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dy\Downloads\"/>
    </mc:Choice>
  </mc:AlternateContent>
  <xr:revisionPtr revIDLastSave="0" documentId="13_ncr:1_{79C3C377-C8CB-4B00-AA4B-8E624675784B}" xr6:coauthVersionLast="47" xr6:coauthVersionMax="47" xr10:uidLastSave="{00000000-0000-0000-0000-000000000000}"/>
  <bookViews>
    <workbookView xWindow="14325" yWindow="2670" windowWidth="21885" windowHeight="20355" xr2:uid="{00000000-000D-0000-FFFF-FFFF00000000}"/>
  </bookViews>
  <sheets>
    <sheet name="report generated at 0709pm on 2" sheetId="1" r:id="rId1"/>
  </sheets>
  <calcPr calcId="191029"/>
</workbook>
</file>

<file path=xl/calcChain.xml><?xml version="1.0" encoding="utf-8"?>
<calcChain xmlns="http://schemas.openxmlformats.org/spreadsheetml/2006/main">
  <c r="B7099" i="1" l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</calcChain>
</file>

<file path=xl/sharedStrings.xml><?xml version="1.0" encoding="utf-8"?>
<sst xmlns="http://schemas.openxmlformats.org/spreadsheetml/2006/main" count="55431" uniqueCount="5289">
  <si>
    <t>Active Listings</t>
  </si>
  <si>
    <t>Address</t>
  </si>
  <si>
    <t>Building Name</t>
  </si>
  <si>
    <t>Neighborhood</t>
  </si>
  <si>
    <t>City</t>
  </si>
  <si>
    <t>Price (Last Known)</t>
  </si>
  <si>
    <t>PPSF</t>
  </si>
  <si>
    <t>R</t>
  </si>
  <si>
    <t>Bd</t>
  </si>
  <si>
    <t>Total Ba</t>
  </si>
  <si>
    <t>MLS Ba</t>
  </si>
  <si>
    <t>Full Ba</t>
  </si>
  <si>
    <t>HBa</t>
  </si>
  <si>
    <t>Sq Ft</t>
  </si>
  <si>
    <t>Monthly Fees</t>
  </si>
  <si>
    <t>Monthly Fees &amp; Taxes</t>
  </si>
  <si>
    <t>Taxes Per Mo.</t>
  </si>
  <si>
    <t>MLS Property Type</t>
  </si>
  <si>
    <t>MLS Property Subtype</t>
  </si>
  <si>
    <t>Compass Property Type</t>
  </si>
  <si>
    <t>Status</t>
  </si>
  <si>
    <t>DOM</t>
  </si>
  <si>
    <t>Updated Date</t>
  </si>
  <si>
    <t>Listed Date</t>
  </si>
  <si>
    <t>Listed Price</t>
  </si>
  <si>
    <t>Last Asking</t>
  </si>
  <si>
    <t>Contract Date</t>
  </si>
  <si>
    <t>Sold Price</t>
  </si>
  <si>
    <t>Closed Price Verification</t>
  </si>
  <si>
    <t>Sold Date</t>
  </si>
  <si>
    <t>Open House</t>
  </si>
  <si>
    <t>Open House Type</t>
  </si>
  <si>
    <t>ZIP</t>
  </si>
  <si>
    <t>Building Size</t>
  </si>
  <si>
    <t>Lot Size</t>
  </si>
  <si>
    <t>Outdoor Space</t>
  </si>
  <si>
    <t>Year Built</t>
  </si>
  <si>
    <t>Service Level</t>
  </si>
  <si>
    <t>Building Units</t>
  </si>
  <si>
    <t>Notes</t>
  </si>
  <si>
    <t>NoMad</t>
  </si>
  <si>
    <t>Manhattan</t>
  </si>
  <si>
    <t>Condo</t>
  </si>
  <si>
    <t>Private Exclusive</t>
  </si>
  <si>
    <t>Unknown</t>
  </si>
  <si>
    <t>Balcony
Roof Deck
Common Roof Deck
Common Outdoor Space</t>
  </si>
  <si>
    <t>Doorman, Full-Time Doorman, Concierge</t>
  </si>
  <si>
    <t>Lower East Side</t>
  </si>
  <si>
    <t>Roof Deck
Common Roof Deck
Common Outdoor Space</t>
  </si>
  <si>
    <t>Full-Time Doorman, Concierge</t>
  </si>
  <si>
    <t>TriBeCa</t>
  </si>
  <si>
    <t>Active</t>
  </si>
  <si>
    <t>Common Roof Deck
Common Outdoor Space</t>
  </si>
  <si>
    <t>Hudson Square</t>
  </si>
  <si>
    <t>Common Garden</t>
  </si>
  <si>
    <t>Full-Time Doorman</t>
  </si>
  <si>
    <t>Flatiron</t>
  </si>
  <si>
    <t>Upper West Side</t>
  </si>
  <si>
    <t>Juliet Balcony
Roof Deck
Common Roof Deck
Common Outdoor Space</t>
  </si>
  <si>
    <t>Murray Hill</t>
  </si>
  <si>
    <t>Common Roof Deck
Barbecue Area</t>
  </si>
  <si>
    <t>Private Terrace
Roof Deck
Common Roof Deck
Common Outdoor Space</t>
  </si>
  <si>
    <t>Chelsea</t>
  </si>
  <si>
    <t>Private Terrace</t>
  </si>
  <si>
    <t>Gramercy</t>
  </si>
  <si>
    <t>Roof Deck
Common Roof Deck
Common Garden
Common Outdoor Space</t>
  </si>
  <si>
    <t>Common Roof Deck
Barbecue Area
Common Garden</t>
  </si>
  <si>
    <t>West Village</t>
  </si>
  <si>
    <t>Balcony
Private Wrap Around Terrace
Common Outdoor Space</t>
  </si>
  <si>
    <t>Balcony
Private Terrace
Private Roof Deck
Common Outdoor Space</t>
  </si>
  <si>
    <t>Part-Time Doorman, Concierge</t>
  </si>
  <si>
    <t>East Village</t>
  </si>
  <si>
    <t>Private Terrace
Common Garden</t>
  </si>
  <si>
    <t>Part-Time Doorman</t>
  </si>
  <si>
    <t>Balcony
Common Roof Deck</t>
  </si>
  <si>
    <t>Remote Doorman</t>
  </si>
  <si>
    <t>Barbecue Area</t>
  </si>
  <si>
    <t>Hudson Yards</t>
  </si>
  <si>
    <t>Common Roof Deck</t>
  </si>
  <si>
    <t>NoLita</t>
  </si>
  <si>
    <t>Common Garden
Common Outdoor Space</t>
  </si>
  <si>
    <t>Balcony
Private Terrace
Roof Deck
Common Outdoor Space</t>
  </si>
  <si>
    <t>Upper East Side</t>
  </si>
  <si>
    <t>Roof Deck
Common Roof Deck
Barbecue Area
Common Garden</t>
  </si>
  <si>
    <t>Central Harlem</t>
  </si>
  <si>
    <t>Harlem</t>
  </si>
  <si>
    <t>Aug 22, 11:30am - 12:30pm</t>
  </si>
  <si>
    <t>Public</t>
  </si>
  <si>
    <t>Private Terrace
Roof Deck
Common Roof Deck
Barbecue Area
Common Outdoor Space</t>
  </si>
  <si>
    <t>Balcony
Roof Deck
Common Roof Deck
Barbecue Area
Common Outdoor Space</t>
  </si>
  <si>
    <t>Hell's Kitchen</t>
  </si>
  <si>
    <t>Aug 22, 1:00pm - 2:00pm - By Appt</t>
  </si>
  <si>
    <t>Private Roof Deck
Common Roof Deck
Barbecue Area</t>
  </si>
  <si>
    <t>Washington Heights</t>
  </si>
  <si>
    <t>Private Patio
Roof Deck
Common Roof Deck
Common Outdoor Space</t>
  </si>
  <si>
    <t>Balcony
Common Garden
Common Outdoor Space</t>
  </si>
  <si>
    <t>Financial District</t>
  </si>
  <si>
    <t>Roof Deck
Common Roof Deck
Barbecue Area</t>
  </si>
  <si>
    <t>179 Suffolk St</t>
  </si>
  <si>
    <t>Studio</t>
  </si>
  <si>
    <t>Condo/Other</t>
  </si>
  <si>
    <t>Roof Deck</t>
  </si>
  <si>
    <t>Common Roof Deck
Barbecue Area
Common Garden
Common Outdoor Space</t>
  </si>
  <si>
    <t>Private Terrace
Common Roof Deck
Common Outdoor Space
Private Outdoor Space</t>
  </si>
  <si>
    <t>Aug 19, 12:00pm - 1:00pm - By Appt</t>
  </si>
  <si>
    <t>Condop/Condo</t>
  </si>
  <si>
    <t>Deck
Common Roof Deck
Barbecue Area
Common Garden
Common Outdoor Space
Private Outdoor Space</t>
  </si>
  <si>
    <t>Playground
Common Garden
Common Outdoor Space</t>
  </si>
  <si>
    <t>Doorman, Full-Time Doorman</t>
  </si>
  <si>
    <t>Balcony
Deck
Common Roof Deck
Barbecue Area
Common Garden
Common Outdoor Space
Private Outdoor Space</t>
  </si>
  <si>
    <t>Balcony
Deck
Roof Deck
Common Roof Deck
Common Outdoor Space</t>
  </si>
  <si>
    <t>Deck
Roof Deck
Common Roof Deck
Common Outdoor Space</t>
  </si>
  <si>
    <t>Private Terrace
Roof Deck
Private Outdoor Space</t>
  </si>
  <si>
    <t>Civic Center</t>
  </si>
  <si>
    <t>Deck
Common Roof Deck</t>
  </si>
  <si>
    <t>Full-Time Doorman, Part-Time Doorman, Concierge</t>
  </si>
  <si>
    <t>Midtown East</t>
  </si>
  <si>
    <t>Private Terrace
Common Roof Deck
Private Outdoor Space</t>
  </si>
  <si>
    <t>Roof Deck
Common Outdoor Space</t>
  </si>
  <si>
    <t>Aug 22, 2:00pm - 3:30pm - By Appt</t>
  </si>
  <si>
    <t>Midtown South</t>
  </si>
  <si>
    <t>Full-Time Doorman, Concierge, Full-Service Building</t>
  </si>
  <si>
    <t>Private Terrace
Roof Deck
Common Outdoor Space
Private Outdoor Space</t>
  </si>
  <si>
    <t>Aug 19, 11:45am - 12:45pm - By Appt
Aug 20, 11:45am - 12:45pm - By Appt
Aug 21, 11:00am - 1:00pm - By Appt
Aug 22, 11:00am - 1:00pm - By Appt</t>
  </si>
  <si>
    <t>Public
Public
Public
Public</t>
  </si>
  <si>
    <t>Doorman, Concierge</t>
  </si>
  <si>
    <t>Bryant Park</t>
  </si>
  <si>
    <t>Aug 19, 12:00pm - 2:00pm - By Appt</t>
  </si>
  <si>
    <t>Balcony
Juliet Balcony
Roof Deck
Common Roof Deck
Common Outdoor Space
Private Outdoor Space</t>
  </si>
  <si>
    <t>Condominium/Condo</t>
  </si>
  <si>
    <t>Balcony
Deck
Roof Deck
Common Roof Deck
Barbecue Area
Common Garden
Common Outdoor Space
Private Outdoor Space</t>
  </si>
  <si>
    <t>Private Terrace
Private Outdoor Space</t>
  </si>
  <si>
    <t>Patio
Roof Deck
Common Roof Deck
Common Outdoor Space
Private Outdoor Space</t>
  </si>
  <si>
    <t>Private Terrace
Common Roof Deck
Common Outdoor Space</t>
  </si>
  <si>
    <t>Private Terrace
Private Roof Deck
Deck
Common Roof Deck
Common Outdoor Space
Private Outdoor Space</t>
  </si>
  <si>
    <t>Balcony
Private Outdoor Space</t>
  </si>
  <si>
    <t>Doorman</t>
  </si>
  <si>
    <t>Balcony
Private Terrace
Private Wrap Around Terrace
Common Outdoor Space
Private Outdoor Space</t>
  </si>
  <si>
    <t>Balcony
Private Terrace
Private Outdoor Space</t>
  </si>
  <si>
    <t>Midtown Central</t>
  </si>
  <si>
    <t>Roof Deck
Common Roof Deck</t>
  </si>
  <si>
    <t>Aug 22, 3:00pm - 4:00pm - By Appt</t>
  </si>
  <si>
    <t>Balcony
Private Roof Deck
Deck
Common Roof Deck
Barbecue Area
Common Outdoor Space
Private Outdoor Space</t>
  </si>
  <si>
    <t>Doorman, Part-Time Doorman</t>
  </si>
  <si>
    <t>Aug 22, 11:00am - 1:00pm - By Appt</t>
  </si>
  <si>
    <t>Private Terrace
Private Roof Deck
Common Outdoor Space
Private Outdoor Space</t>
  </si>
  <si>
    <t>Doorman, Full-Time Doorman, Part-Time Doorman</t>
  </si>
  <si>
    <t>Patio
Roof Deck
Common Roof Deck
Common Outdoor Space</t>
  </si>
  <si>
    <t>Private Terrace
Deck
Common Roof Deck
Barbecue Area
Common Garden
Common Outdoor Space
Private Outdoor Space</t>
  </si>
  <si>
    <t>Balcony
Private Terrace
Deck
Common Roof Deck
Barbecue Area
Common Garden
Common Outdoor Space
Private Outdoor Space</t>
  </si>
  <si>
    <t>Private Wrap Around Terrace
Deck
Common Roof Deck
Barbecue Area
Common Garden
Common Outdoor Space
Private Outdoor Space</t>
  </si>
  <si>
    <t>Private Roof Deck
Deck
Common Roof Deck
Barbecue Area
Common Garden
Common Outdoor Space
Private Outdoor Space</t>
  </si>
  <si>
    <t>Private Terrace
Common Garden
Common Outdoor Space
Private Outdoor Space</t>
  </si>
  <si>
    <t>Alcove</t>
  </si>
  <si>
    <t>Balcony
Private Terrace
Roof Deck
Common Roof Deck
Common Garden
Common Outdoor Space
Private Outdoor Space</t>
  </si>
  <si>
    <t>Doorman, Full-Time Doorman, Concierge, Full-Service Building</t>
  </si>
  <si>
    <t>Private Terrace
Roof Deck
Common Roof Deck
Barbecue Area
Common Outdoor Space
Private Outdoor Space</t>
  </si>
  <si>
    <t>Condo/Co-Operative</t>
  </si>
  <si>
    <t>Co-op/Condo</t>
  </si>
  <si>
    <t>Private Terrace
Roof Deck
Common Roof Deck
Common Garden
Common Outdoor Space
Private Outdoor Space</t>
  </si>
  <si>
    <t>Private Outdoor Space</t>
  </si>
  <si>
    <t>Aug 22, 12:00pm - 2:00pm - By Appt</t>
  </si>
  <si>
    <t>Balcony
Private Terrace
Private Roof Deck
Deck
Roof Deck
Common Roof Deck
Common Garden
Common Outdoor Space
Private Outdoor Space</t>
  </si>
  <si>
    <t>Roof Deck
Common Roof Deck
Barbecue Area
Common Garden
Common Outdoor Space</t>
  </si>
  <si>
    <t>Private Terrace
Private Wrap Around Terrace
Common Outdoor Space</t>
  </si>
  <si>
    <t>Roof Deck
Common Roof Deck
Barbecue Area
Common Outdoor Space</t>
  </si>
  <si>
    <t>Aug 21, 12:00pm - 4:00pm - By Appt
Aug 22, 11:00am - 3:00pm - By Appt</t>
  </si>
  <si>
    <t>Public
Public</t>
  </si>
  <si>
    <t>Deck
Roof Deck
Common Roof Deck
Common Garden
Common Outdoor Space</t>
  </si>
  <si>
    <t>Aug 21, 12:00pm - 4:00pm - By Appt
Aug 22, 11:00am - 3:00pm</t>
  </si>
  <si>
    <t>Balcony
Roof Deck
Common Outdoor Space</t>
  </si>
  <si>
    <t>Aug 22, 12:00pm - 3:00pm - By Appt</t>
  </si>
  <si>
    <t>Roof Deck
Common Roof Deck
Barbecue Area
Playground
Common Garden
Common Outdoor Space</t>
  </si>
  <si>
    <t>Balcony
Private Roof Deck
Common Roof Deck
Common Outdoor Space
Private Outdoor Space</t>
  </si>
  <si>
    <t>Deck
Common Roof Deck
Common Outdoor Space</t>
  </si>
  <si>
    <t>Doorman, Full-Time Doorman, Part-Time Doorman, Concierge</t>
  </si>
  <si>
    <t>Balcony
Private Roof Deck
Common Outdoor Space
Private Outdoor Space</t>
  </si>
  <si>
    <t>Common Outdoor Space</t>
  </si>
  <si>
    <t>Balcony
Roof Deck
Common Roof Deck
Common Garden
Common Outdoor Space
Private Outdoor Space</t>
  </si>
  <si>
    <t>Roof Deck
Common Roof Deck
Common Outdoor Space
Private Outdoor Space</t>
  </si>
  <si>
    <t>Deck
Roof Deck
Common Roof Deck
Barbecue Area
Common Garden
Common Outdoor Space
Private Outdoor Space</t>
  </si>
  <si>
    <t>Condop</t>
  </si>
  <si>
    <t>Deck</t>
  </si>
  <si>
    <t>Balcony
Roof Deck
Common Outdoor Space
Private Outdoor Space</t>
  </si>
  <si>
    <t>Balcony
Juliet Balcony
Roof Deck
Common Roof Deck
Common Garden
Common Outdoor Space</t>
  </si>
  <si>
    <t>Deck
Roof Deck
Common Roof Deck
Barbecue Area
Common Garden
Common Outdoor Space</t>
  </si>
  <si>
    <t>Private Terrace
Private Roof Deck
Deck
Roof Deck
Common Roof Deck
Barbecue Area
Common Garden
Common Outdoor Space
Private Outdoor Space</t>
  </si>
  <si>
    <t>Balcony
Juliet Balcony
Roof Deck
Common Roof Deck
Common Garden
Common Outdoor Space
Private Outdoor Space</t>
  </si>
  <si>
    <t>Private Terrace
Deck
Roof Deck
Common Roof Deck
Barbecue Area
Common Garden
Common Outdoor Space
Private Outdoor Space</t>
  </si>
  <si>
    <t>Deck
Roof Deck
Common Roof Deck
Barbecue Area
Common Garden</t>
  </si>
  <si>
    <t>Condominium</t>
  </si>
  <si>
    <t>Common Roof Deck
Barbecue Area
Playground
Common Garden
Common Outdoor Space</t>
  </si>
  <si>
    <t>Private Terrace
Deck
Roof Deck
Common Roof Deck
Common Outdoor Space
Private Outdoor Space</t>
  </si>
  <si>
    <t>Balcony
Private Terrace
Deck
Roof Deck
Common Roof Deck
Common Outdoor Space
Private Outdoor Space</t>
  </si>
  <si>
    <t>Juliet Balcony
Private Terrace
Deck
Private Outdoor Space</t>
  </si>
  <si>
    <t>Private Terrace
Deck
Private Outdoor Space</t>
  </si>
  <si>
    <t>Roof Deck
Common Outdoor Space
Private Outdoor Space</t>
  </si>
  <si>
    <t>Common Outdoor Space
Private Outdoor Space</t>
  </si>
  <si>
    <t>Kips Bay</t>
  </si>
  <si>
    <t>Private Wrap Around Terrace
Deck
Common Roof Deck</t>
  </si>
  <si>
    <t>Balcony
Roof Deck
Common Garden
Common Outdoor Space</t>
  </si>
  <si>
    <t>Deck
Roof Deck
Common Roof Deck</t>
  </si>
  <si>
    <t>Concierge</t>
  </si>
  <si>
    <t>Balcony
Deck
Roof Deck
Common Roof Deck
Common Outdoor Space
Private Outdoor Space</t>
  </si>
  <si>
    <t>Private Terrace
Private Roof Deck
Common Roof Deck
Barbecue Area</t>
  </si>
  <si>
    <t>Common Roof Deck
Barbecue Area
Common Outdoor Space</t>
  </si>
  <si>
    <t>Deck
Common Roof Deck
Barbecue Area</t>
  </si>
  <si>
    <t>Balcony
Private Roof Deck
Roof Deck
Common Roof Deck</t>
  </si>
  <si>
    <t>Deck
Roof Deck
Common Outdoor Space</t>
  </si>
  <si>
    <t>Deck
Common Roof Deck
Barbecue Area
Common Outdoor Space</t>
  </si>
  <si>
    <t>Roof Deck
Barbecue Area</t>
  </si>
  <si>
    <t>Private Terrace
Roof Deck
Common Roof Deck
Common Outdoor Space
Private Outdoor Space</t>
  </si>
  <si>
    <t>Private Terrace
Common Roof Deck
Barbecue Area
Common Garden
Common Outdoor Space
Private Outdoor Space</t>
  </si>
  <si>
    <t>Private Terrace
Common Roof Deck
Barbecue Area
Common Outdoor Space
Private Outdoor Space</t>
  </si>
  <si>
    <t>Deck
Common Roof Deck
Barbecue Area
Playground
Common Garden
Common Outdoor Space</t>
  </si>
  <si>
    <t>Doorman, Part-Time Doorman, Concierge</t>
  </si>
  <si>
    <t>Private Terrace
Common Outdoor Space
Private Outdoor Space</t>
  </si>
  <si>
    <t>Private Terrace
Private Wrap Around Terrace
Common Outdoor Space
Private Outdoor Space</t>
  </si>
  <si>
    <t>Patio
Deck
Common Roof Deck
Barbecue Area
Common Garden</t>
  </si>
  <si>
    <t>Theater District</t>
  </si>
  <si>
    <t>Private Wrap Around Terrace</t>
  </si>
  <si>
    <t>Aug 21, 12:00pm - 4:00pm - By Appt
Aug 22, 1:00pm - 3:00pm - By Appt</t>
  </si>
  <si>
    <t>Deck
Roof Deck
Common Roof Deck
Common Garden
Common Outdoor Space
Private Outdoor Space</t>
  </si>
  <si>
    <t>Roof Deck
Common Roof Deck
Barbecue Area
Common Outdoor Space
Private Outdoor Space</t>
  </si>
  <si>
    <t>Roof Deck
Common Roof Deck
Barbecue Area
Private Outdoor Space</t>
  </si>
  <si>
    <t>Deck
Roof Deck
Common Roof Deck
Common Outdoor Space
Private Outdoor Space</t>
  </si>
  <si>
    <t>Private Terrace
Common Roof Deck
Barbecue Area
Playground
Common Garden</t>
  </si>
  <si>
    <t>Contract Listings</t>
  </si>
  <si>
    <t>Contract Signed</t>
  </si>
  <si>
    <t>Juliet Balcony
Common Roof Deck</t>
  </si>
  <si>
    <t>Private Patio
Common Outdoor Space</t>
  </si>
  <si>
    <t>Balcony</t>
  </si>
  <si>
    <t>Balcony
Private Terrace
Patio
Common Roof Deck
Barbecue Area
Common Outdoor Space</t>
  </si>
  <si>
    <t>Balcony
Private Terrace
Private Wrap Around Terrace</t>
  </si>
  <si>
    <t>Common Roof Deck
Barbecue Area
Common Garden
Common Outdoor Space
Private Outdoor Space</t>
  </si>
  <si>
    <t>Playground
Common Garden
Common Outdoor Space
Private Outdoor Space</t>
  </si>
  <si>
    <t>Juliet Balcony
Deck
Roof Deck
Common Roof Deck
Common Outdoor Space</t>
  </si>
  <si>
    <t>Balcony
Private Terrace
Private Patio
Private Outdoor Space</t>
  </si>
  <si>
    <t>Balcony
Roof Deck
Common Roof Deck
Common Outdoor Space
Private Outdoor Space</t>
  </si>
  <si>
    <t>Full-Time Doorman, Part-Time Doorman</t>
  </si>
  <si>
    <t>Private Terrace
Private Roof Deck
Roof Deck
Common Roof Deck
Common Outdoor Space
Private Outdoor Space</t>
  </si>
  <si>
    <t>Balcony
Private Terrace
Roof Deck
Common Roof Deck
Playground
Common Outdoor Space
Private Outdoor Space</t>
  </si>
  <si>
    <t>Roof Deck
Common Roof Deck
Playground
Common Outdoor Space</t>
  </si>
  <si>
    <t>Private Terrace
Roof Deck
Common Roof Deck
Common Garden
Common Outdoor Space</t>
  </si>
  <si>
    <t>Private Terrace
Deck
Common Roof Deck
Private Outdoor Space</t>
  </si>
  <si>
    <t>Deck
Roof Deck
Common Roof Deck
Barbecue Area
Playground
Common Garden
Common Outdoor Space</t>
  </si>
  <si>
    <t>Common Roof Deck
Barbecue Area
Playground
Common Garden</t>
  </si>
  <si>
    <t>Roof Deck
Common Garden</t>
  </si>
  <si>
    <t>Common Roof Deck
Common Garden</t>
  </si>
  <si>
    <t>House/Building/Condo</t>
  </si>
  <si>
    <t>Townhouse/Condo</t>
  </si>
  <si>
    <t>Balcony
Private Terrace
Roof Deck
Common Outdoor Space
Private Outdoor Space</t>
  </si>
  <si>
    <t>Private Terrace
Deck
Common Roof Deck
Common Outdoor Space</t>
  </si>
  <si>
    <t>Deck
Common Roof Deck
Barbecue Area
Common Outdoor Space
Private Outdoor Space</t>
  </si>
  <si>
    <t>Balcony
Juliet Balcony
Roof Deck
Common Roof Deck
Common Outdoor Space</t>
  </si>
  <si>
    <t>Balcony
Private Terrace
Roof Deck
Common Roof Deck
Barbecue Area
Common Outdoor Space</t>
  </si>
  <si>
    <t>Private Terrace
Private Patio
Roof Deck
Common Roof Deck
Barbecue Area
Common Outdoor Space</t>
  </si>
  <si>
    <t>Doorman, Full-Time Doorman, Remote Doorman</t>
  </si>
  <si>
    <t>Balcony
Private Terrace
Private Roof Deck
Roof Deck
Common Roof Deck
Barbecue Area
Common Outdoor Space
Private Outdoor Space</t>
  </si>
  <si>
    <t>Roof Deck
Common Garden
Common Outdoor Space</t>
  </si>
  <si>
    <t>Central Park South</t>
  </si>
  <si>
    <t>Private Wrap Around Terrace
Roof Deck
Common Roof Deck
Common Outdoor Space</t>
  </si>
  <si>
    <t>Balcony
Private Terrace
Deck
Roof Deck
Common Roof Deck
Common Outdoor Space</t>
  </si>
  <si>
    <t>Private Terrace
Roof Deck
Common Roof Deck
Private Outdoor Space</t>
  </si>
  <si>
    <t>Balcony
Private Wrap Around Terrace
Roof Deck
Common Roof Deck
Common Outdoor Space</t>
  </si>
  <si>
    <t>Private Terrace
Deck
Roof Deck
Common Roof Deck
Common Outdoor Space</t>
  </si>
  <si>
    <t>Balcony
Private Wrap Around Terrace
Deck
Roof Deck
Common Roof Deck
Common Outdoor Space
Private Outdoor Space</t>
  </si>
  <si>
    <t>Private Roof Deck
Deck
Roof Deck
Common Roof Deck
Common Outdoor Space</t>
  </si>
  <si>
    <t>Balcony
Private Terrace
Private Roof Deck
Deck
Roof Deck
Common Roof Deck
Common Outdoor Space</t>
  </si>
  <si>
    <t>Balcony
Roof Deck
Common Garden
Common Outdoor Space
Private Outdoor Space</t>
  </si>
  <si>
    <t>Sold Listings</t>
  </si>
  <si>
    <t>Co-op</t>
  </si>
  <si>
    <t>Co-op/Condop</t>
  </si>
  <si>
    <t>Sold</t>
  </si>
  <si>
    <t>&lt;a href="http://a836-acris.nyc.gov/DS/DocumentSearch/DocumentDetail?doc_id=2021031001085001" target="_blank"&gt;Verified by Public Record&lt;/a&gt;</t>
  </si>
  <si>
    <t>Unverified</t>
  </si>
  <si>
    <t>&lt;a href="http://a836-acris.nyc.gov/DS/DocumentSearch/DocumentDetail?doc_id=2021060700352005" target="_blank"&gt;Verified by Public Record&lt;/a&gt;</t>
  </si>
  <si>
    <t>Greenwich Village</t>
  </si>
  <si>
    <t>&lt;a href="http://a836-acris.nyc.gov/DS/DocumentSearch/DocumentDetail?doc_id=2019060400046001" target="_blank"&gt;Verified by Public Record&lt;/a&gt;</t>
  </si>
  <si>
    <t>&lt;a href="http://a836-acris.nyc.gov/DS/DocumentSearch/DocumentDetail?doc_id=2021061500252001" target="_blank"&gt;Verified by Public Record&lt;/a&gt;</t>
  </si>
  <si>
    <t>&lt;a href="http://a836-acris.nyc.gov/DS/DocumentSearch/DocumentDetail?doc_id=2017021300193001" target="_blank"&gt;Verified by Public Record&lt;/a&gt;</t>
  </si>
  <si>
    <t>&lt;a href="http://a836-acris.nyc.gov/DS/DocumentSearch/DocumentDetail?doc_id=2019091901055002" target="_blank"&gt;Verified by Public Record&lt;/a&gt;</t>
  </si>
  <si>
    <t>&lt;a href="http://a836-acris.nyc.gov/DS/DocumentSearch/DocumentDetail?doc_id=2020102800910002" target="_blank"&gt;Verified by Public Record&lt;/a&gt;</t>
  </si>
  <si>
    <t>&lt;a href="http://a836-acris.nyc.gov/DS/DocumentSearch/DocumentDetail?doc_id=2020072100426003" target="_blank"&gt;Verified by Public Record&lt;/a&gt;</t>
  </si>
  <si>
    <t>&lt;a href="http://a836-acris.nyc.gov/DS/DocumentSearch/DocumentDetail?doc_id=2019081900677003" target="_blank"&gt;Verified by Public Record&lt;/a&gt;</t>
  </si>
  <si>
    <t>&lt;a href="http://a836-acris.nyc.gov/DS/DocumentSearch/DocumentDetail?doc_id=2021061100179003" target="_blank"&gt;Verified by Public Record&lt;/a&gt;</t>
  </si>
  <si>
    <t>&lt;a href="http://a836-acris.nyc.gov/DS/DocumentSearch/DocumentDetail?doc_id=2021080901335001" target="_blank"&gt;Verified by Public Record&lt;/a&gt;</t>
  </si>
  <si>
    <t>&lt;a href="http://a836-acris.nyc.gov/DS/DocumentSearch/DocumentDetail?doc_id=2021042800796001" target="_blank"&gt;Verified by Public Record&lt;/a&gt;</t>
  </si>
  <si>
    <t>Balcony
Private Terrace
Private Patio
Patio
Deck
Porch</t>
  </si>
  <si>
    <t>&lt;a href="http://a836-acris.nyc.gov/DS/DocumentSearch/DocumentDetail?doc_id=2019062500210001" target="_blank"&gt;Verified by Public Record&lt;/a&gt;</t>
  </si>
  <si>
    <t>&lt;a href="http://a836-acris.nyc.gov/DS/DocumentSearch/DocumentDetail?doc_id=2021070800598002" target="_blank"&gt;Verified by Public Record&lt;/a&gt;</t>
  </si>
  <si>
    <t>&lt;a href="http://a836-acris.nyc.gov/DS/DocumentSearch/DocumentDetail?doc_id=2021052400914001" target="_blank"&gt;Verified by Public Record&lt;/a&gt;</t>
  </si>
  <si>
    <t>&lt;a href="http://a836-acris.nyc.gov/DS/DocumentSearch/DocumentDetail?doc_id=2021041400689003" target="_blank"&gt;Verified by Public Record&lt;/a&gt;</t>
  </si>
  <si>
    <t>Balcony
Juliet Balcony</t>
  </si>
  <si>
    <t>&lt;a href="http://a836-acris.nyc.gov/DS/DocumentSearch/DocumentDetail?doc_id=2015072901145002" target="_blank"&gt;Verified by Public Record&lt;/a&gt;</t>
  </si>
  <si>
    <t>Verified by Compass</t>
  </si>
  <si>
    <t>Balcony
Private Terrace
Common Garden</t>
  </si>
  <si>
    <t>Balcony
Common Garden</t>
  </si>
  <si>
    <t>SoHo</t>
  </si>
  <si>
    <t>&lt;a href="http://a836-acris.nyc.gov/DS/DocumentSearch/DocumentDetail?doc_id=2019011500977001" target="_blank"&gt;Verified by Public Record&lt;/a&gt;</t>
  </si>
  <si>
    <t>&lt;a href="http://a836-acris.nyc.gov/DS/DocumentSearch/DocumentDetail?doc_id=2017071400277001" target="_blank"&gt;Verified by Public Record&lt;/a&gt;</t>
  </si>
  <si>
    <t>Private Terrace
Private Wrap Around Terrace
Common Garden</t>
  </si>
  <si>
    <t>&lt;a href="http://a836-acris.nyc.gov/DS/DocumentSearch/DocumentDetail?doc_id=2019022700942001" target="_blank"&gt;Verified by Public Record&lt;/a&gt;</t>
  </si>
  <si>
    <t>&lt;a href="http://a836-acris.nyc.gov/DS/DocumentSearch/DocumentDetail?doc_id=2019062700521001" target="_blank"&gt;Verified by Public Record&lt;/a&gt;</t>
  </si>
  <si>
    <t>Common Garden
Common Outdoor Space
Back Yard</t>
  </si>
  <si>
    <t>&lt;a href="http://a836-acris.nyc.gov/DS/DocumentSearch/DocumentDetail?doc_id=2019121800844001" target="_blank"&gt;Verified by Public Record&lt;/a&gt;</t>
  </si>
  <si>
    <t>Common Roof Deck
Common Garden
Common Outdoor Space</t>
  </si>
  <si>
    <t>&lt;a href="http://a836-acris.nyc.gov/DS/DocumentSearch/DocumentDetail?doc_id=2019121700016001" target="_blank"&gt;Verified by Public Record&lt;/a&gt;</t>
  </si>
  <si>
    <t>&lt;a href="http://a836-acris.nyc.gov/DS/DocumentSearch/DocumentDetail?doc_id=2020041500434001" target="_blank"&gt;Verified by Public Record&lt;/a&gt;</t>
  </si>
  <si>
    <t>&lt;a href="http://a836-acris.nyc.gov/DS/DocumentSearch/DocumentDetail?doc_id=2020011500030001" target="_blank"&gt;Verified by Public Record&lt;/a&gt;</t>
  </si>
  <si>
    <t>&lt;a href="http://a836-acris.nyc.gov/DS/DocumentSearch/DocumentDetail?doc_id=2019122300103001" target="_blank"&gt;Verified by Public Record&lt;/a&gt;</t>
  </si>
  <si>
    <t>&lt;a href="http://a836-acris.nyc.gov/DS/DocumentSearch/DocumentDetail?doc_id=2020041400110001" target="_blank"&gt;Verified by Public Record&lt;/a&gt;</t>
  </si>
  <si>
    <t>&lt;a href="http://a836-acris.nyc.gov/DS/DocumentSearch/DocumentDetail?doc_id=2020012401017001" target="_blank"&gt;Verified by Public Record&lt;/a&gt;</t>
  </si>
  <si>
    <t>&lt;a href="http://a836-acris.nyc.gov/DS/DocumentSearch/DocumentDetail?doc_id=2020070200293002" target="_blank"&gt;Verified by Public Record&lt;/a&gt;</t>
  </si>
  <si>
    <t>&lt;a href="http://a836-acris.nyc.gov/DS/DocumentSearch/DocumentDetail?doc_id=2019122601198001" target="_blank"&gt;Verified by Public Record&lt;/a&gt;</t>
  </si>
  <si>
    <t>&lt;a href="http://a836-acris.nyc.gov/DS/DocumentSearch/DocumentDetail?doc_id=2020011700761006" target="_blank"&gt;Verified by Public Record&lt;/a&gt;</t>
  </si>
  <si>
    <t>&lt;a href="http://a836-acris.nyc.gov/DS/DocumentSearch/DocumentDetail?doc_id=2019070200696001" target="_blank"&gt;Verified by Public Record&lt;/a&gt;</t>
  </si>
  <si>
    <t>Balcony
Private Terrace
Private Roof Deck
Common Garden
Common Outdoor Space</t>
  </si>
  <si>
    <t>&lt;a href="http://a836-acris.nyc.gov/DS/DocumentSearch/DocumentDetail?doc_id=2020021200337002" target="_blank"&gt;Verified by Public Record&lt;/a&gt;</t>
  </si>
  <si>
    <t>Private Terrace
Common Garden
Common Outdoor Space</t>
  </si>
  <si>
    <t>&lt;a href="http://a836-acris.nyc.gov/DS/DocumentSearch/DocumentDetail?doc_id=2020010200235001" target="_blank"&gt;Verified by Public Record&lt;/a&gt;</t>
  </si>
  <si>
    <t>&lt;a href="http://a836-acris.nyc.gov/DS/DocumentSearch/DocumentDetail?doc_id=2020012400634001" target="_blank"&gt;Verified by Public Record&lt;/a&gt;</t>
  </si>
  <si>
    <t>&lt;a href="http://a836-acris.nyc.gov/DS/DocumentSearch/DocumentDetail?doc_id=2020012101311001" target="_blank"&gt;Verified by Public Record&lt;/a&gt;</t>
  </si>
  <si>
    <t>&lt;a href="http://a836-acris.nyc.gov/DS/DocumentSearch/DocumentDetail?doc_id=2019123001447001" target="_blank"&gt;Verified by Public Record&lt;/a&gt;</t>
  </si>
  <si>
    <t>&lt;a href="http://a836-acris.nyc.gov/DS/DocumentSearch/DocumentDetail?doc_id=2019120300043001" target="_blank"&gt;Verified by Public Record&lt;/a&gt;</t>
  </si>
  <si>
    <t>&lt;a href="http://a836-acris.nyc.gov/DS/DocumentSearch/DocumentDetail?doc_id=2019123000760002" target="_blank"&gt;Verified by Public Record&lt;/a&gt;</t>
  </si>
  <si>
    <t>&lt;a href="http://a836-acris.nyc.gov/DS/DocumentSearch/DocumentDetail?doc_id=2019120900698001" target="_blank"&gt;Verified by Public Record&lt;/a&gt;</t>
  </si>
  <si>
    <t>&lt;a href="http://a836-acris.nyc.gov/DS/DocumentSearch/DocumentDetail?doc_id=2019120201267001" target="_blank"&gt;Verified by Public Record&lt;/a&gt;</t>
  </si>
  <si>
    <t>&lt;a href="http://a836-acris.nyc.gov/DS/DocumentSearch/DocumentDetail?doc_id=2019120200921002" target="_blank"&gt;Verified by Public Record&lt;/a&gt;</t>
  </si>
  <si>
    <t>&lt;a href="http://a836-acris.nyc.gov/DS/DocumentSearch/DocumentDetail?doc_id=2020071900022001" target="_blank"&gt;Verified by Public Record&lt;/a&gt;</t>
  </si>
  <si>
    <t>&lt;a href="http://a836-acris.nyc.gov/DS/DocumentSearch/DocumentDetail?doc_id=2019122700560006" target="_blank"&gt;Verified by Public Record&lt;/a&gt;</t>
  </si>
  <si>
    <t>&lt;a href="http://a836-acris.nyc.gov/DS/DocumentSearch/DocumentDetail?doc_id=2020040300768001" target="_blank"&gt;Verified by Public Record&lt;/a&gt;</t>
  </si>
  <si>
    <t>Other</t>
  </si>
  <si>
    <t>&lt;a href="http://a836-acris.nyc.gov/DS/DocumentSearch/DocumentDetail?doc_id=2020010300266001" target="_blank"&gt;Verified by Public Record&lt;/a&gt;</t>
  </si>
  <si>
    <t>&lt;a href="http://a836-acris.nyc.gov/DS/DocumentSearch/DocumentDetail?doc_id=2019120401211001" target="_blank"&gt;Verified by Public Record&lt;/a&gt;</t>
  </si>
  <si>
    <t>&lt;a href="http://a836-acris.nyc.gov/DS/DocumentSearch/DocumentDetail?doc_id=2020041300174001" target="_blank"&gt;Verified by Public Record&lt;/a&gt;</t>
  </si>
  <si>
    <t>&lt;a href="http://a836-acris.nyc.gov/DS/DocumentSearch/DocumentDetail?doc_id=2020022000269006" target="_blank"&gt;Verified by Public Record&lt;/a&gt;</t>
  </si>
  <si>
    <t>&lt;a href="http://a836-acris.nyc.gov/DS/DocumentSearch/DocumentDetail?doc_id=2020011000857002" target="_blank"&gt;Verified by Public Record&lt;/a&gt;</t>
  </si>
  <si>
    <t>&lt;a href="http://a836-acris.nyc.gov/DS/DocumentSearch/DocumentDetail?doc_id=2020010900442001" target="_blank"&gt;Verified by Public Record&lt;/a&gt;</t>
  </si>
  <si>
    <t>&lt;a href="http://a836-acris.nyc.gov/DS/DocumentSearch/DocumentDetail?doc_id=2019120500691001" target="_blank"&gt;Verified by Public Record&lt;/a&gt;</t>
  </si>
  <si>
    <t>&lt;a href="http://a836-acris.nyc.gov/DS/DocumentSearch/DocumentDetail?doc_id=2020010200221001" target="_blank"&gt;Verified by Public Record&lt;/a&gt;</t>
  </si>
  <si>
    <t>&lt;a href="http://a836-acris.nyc.gov/DS/DocumentSearch/DocumentDetail?doc_id=2020010200478001" target="_blank"&gt;Verified by Public Record&lt;/a&gt;</t>
  </si>
  <si>
    <t>&lt;a href="http://a836-acris.nyc.gov/DS/DocumentSearch/DocumentDetail?doc_id=2021052401329001" target="_blank"&gt;Verified by Public Record&lt;/a&gt;</t>
  </si>
  <si>
    <t>&lt;a href="http://a836-acris.nyc.gov/DS/DocumentSearch/DocumentDetail?doc_id=2020031300758001" target="_blank"&gt;Verified by Public Record&lt;/a&gt;</t>
  </si>
  <si>
    <t>&lt;a href="http://a836-acris.nyc.gov/DS/DocumentSearch/DocumentDetail?doc_id=2020021801428001" target="_blank"&gt;Verified by Public Record&lt;/a&gt;</t>
  </si>
  <si>
    <t>&lt;a href="http://a836-acris.nyc.gov/DS/DocumentSearch/DocumentDetail?doc_id=2019061301124001" target="_blank"&gt;Verified by Public Record&lt;/a&gt;</t>
  </si>
  <si>
    <t>Private Roof Deck
Common Garden
Common Outdoor Space</t>
  </si>
  <si>
    <t>&lt;a href="http://a836-acris.nyc.gov/DS/DocumentSearch/DocumentDetail?doc_id=2015050101041002" target="_blank"&gt;Verified by Public Record&lt;/a&gt;</t>
  </si>
  <si>
    <t>&lt;a href="http://a836-acris.nyc.gov/DS/DocumentSearch/DocumentDetail?doc_id=2015012200410001" target="_blank"&gt;Verified by Public Record&lt;/a&gt;</t>
  </si>
  <si>
    <t>Juliet Balcony</t>
  </si>
  <si>
    <t>&lt;a href="http://a836-acris.nyc.gov/DS/DocumentSearch/DocumentDetail?doc_id=2015020400493001" target="_blank"&gt;Verified by Public Record&lt;/a&gt;</t>
  </si>
  <si>
    <t>&lt;a href="http://a836-acris.nyc.gov/DS/DocumentSearch/DocumentDetail?doc_id=2015012800924003" target="_blank"&gt;Verified by Public Record&lt;/a&gt;</t>
  </si>
  <si>
    <t>&lt;a href="http://a836-acris.nyc.gov/DS/DocumentSearch/DocumentDetail?doc_id=2015091000372001" target="_blank"&gt;Verified by Public Record&lt;/a&gt;</t>
  </si>
  <si>
    <t>Private Terrace
Private Wrap Around Terrace
Private Roof Deck
Common Outdoor Space</t>
  </si>
  <si>
    <t>&lt;a href="http://a836-acris.nyc.gov/DS/DocumentSearch/DocumentDetail?doc_id=2015012000098001" target="_blank"&gt;Verified by Public Record&lt;/a&gt;</t>
  </si>
  <si>
    <t>&lt;a href="http://a836-acris.nyc.gov/DS/DocumentSearch/DocumentDetail?doc_id=2015011500209003" target="_blank"&gt;Verified by Public Record&lt;/a&gt;</t>
  </si>
  <si>
    <t>&lt;a href="http://a836-acris.nyc.gov/DS/DocumentSearch/DocumentDetail?doc_id=2015011600630001" target="_blank"&gt;Verified by Public Record&lt;/a&gt;</t>
  </si>
  <si>
    <t>&lt;a href="http://a836-acris.nyc.gov/DS/DocumentSearch/DocumentDetail?doc_id=2016112101345003" target="_blank"&gt;Verified by Public Record&lt;/a&gt;</t>
  </si>
  <si>
    <t>&lt;a href="http://a836-acris.nyc.gov/DS/DocumentSearch/DocumentDetail?doc_id=2020021000176001" target="_blank"&gt;Verified by Public Record&lt;/a&gt;</t>
  </si>
  <si>
    <t>&lt;a href="http://a836-acris.nyc.gov/DS/DocumentSearch/DocumentDetail?doc_id=2021011200017001" target="_blank"&gt;Verified by Public Record&lt;/a&gt;</t>
  </si>
  <si>
    <t>&lt;a href="http://a836-acris.nyc.gov/DS/DocumentSearch/DocumentDetail?doc_id=2018041300148001" target="_blank"&gt;Verified by Public Record&lt;/a&gt;</t>
  </si>
  <si>
    <t>&lt;a href="http://a836-acris.nyc.gov/DS/DocumentSearch/DocumentDetail?doc_id=2020050800442001" target="_blank"&gt;Verified by Public Record&lt;/a&gt;</t>
  </si>
  <si>
    <t>&lt;a href="http://a836-acris.nyc.gov/DS/DocumentSearch/DocumentDetail?doc_id=2017081401020003" target="_blank"&gt;Verified by Public Record&lt;/a&gt;</t>
  </si>
  <si>
    <t>&lt;a href="http://a836-acris.nyc.gov/DS/DocumentSearch/DocumentDetail?doc_id=2018090600848001" target="_blank"&gt;Verified by Public Record&lt;/a&gt;</t>
  </si>
  <si>
    <t>&lt;a href="http://a836-acris.nyc.gov/DS/DocumentSearch/DocumentDetail?doc_id=2018040301143001" target="_blank"&gt;Verified by Public Record&lt;/a&gt;</t>
  </si>
  <si>
    <t>&lt;a href="http://a836-acris.nyc.gov/DS/DocumentSearch/DocumentDetail?doc_id=2020010200038001" target="_blank"&gt;Verified by Public Record&lt;/a&gt;</t>
  </si>
  <si>
    <t>&lt;a href="http://a836-acris.nyc.gov/DS/DocumentSearch/DocumentDetail?doc_id=2018071600490001" target="_blank"&gt;Verified by Public Record&lt;/a&gt;</t>
  </si>
  <si>
    <t>Balcony
Private Terrace
Private Roof Deck</t>
  </si>
  <si>
    <t>&lt;a href="http://a836-acris.nyc.gov/DS/DocumentSearch/DocumentDetail?doc_id=2021060401041001" target="_blank"&gt;Verified by Public Record&lt;/a&gt;</t>
  </si>
  <si>
    <t>&lt;a href="http://a836-acris.nyc.gov/DS/DocumentSearch/DocumentDetail?doc_id=2020073100505001" target="_blank"&gt;Verified by Public Record&lt;/a&gt;</t>
  </si>
  <si>
    <t>&lt;a href="http://a836-acris.nyc.gov/DS/DocumentSearch/DocumentDetail?doc_id=2021040500187001" target="_blank"&gt;Verified by Public Record&lt;/a&gt;</t>
  </si>
  <si>
    <t>&lt;a href="http://a836-acris.nyc.gov/DS/DocumentSearch/DocumentDetail?doc_id=2020081800942001" target="_blank"&gt;Verified by Public Record&lt;/a&gt;</t>
  </si>
  <si>
    <t>&lt;a href="http://a836-acris.nyc.gov/DS/DocumentSearch/DocumentDetail?doc_id=2020040300464008" target="_blank"&gt;Verified by Public Record&lt;/a&gt;</t>
  </si>
  <si>
    <t>&lt;a href="http://a836-acris.nyc.gov/DS/DocumentSearch/DocumentDetail?doc_id=2021052601196001" target="_blank"&gt;Verified by Public Record&lt;/a&gt;</t>
  </si>
  <si>
    <t>&lt;a href="http://a836-acris.nyc.gov/DS/DocumentSearch/DocumentDetail?doc_id=2019121701273002" target="_blank"&gt;Verified by Public Record&lt;/a&gt;</t>
  </si>
  <si>
    <t>&lt;a href="http://a836-acris.nyc.gov/DS/DocumentSearch/DocumentDetail?doc_id=2020040700266001" target="_blank"&gt;Verified by Public Record&lt;/a&gt;</t>
  </si>
  <si>
    <t>&lt;a href="http://a836-acris.nyc.gov/DS/DocumentSearch/DocumentDetail?doc_id=2020032300318001" target="_blank"&gt;Verified by Public Record&lt;/a&gt;</t>
  </si>
  <si>
    <t>&lt;a href="http://a836-acris.nyc.gov/DS/DocumentSearch/DocumentDetail?doc_id=2019072201202003" target="_blank"&gt;Verified by Public Record&lt;/a&gt;</t>
  </si>
  <si>
    <t>&lt;a href="http://a836-acris.nyc.gov/DS/DocumentSearch/DocumentDetail?doc_id=2020121401149003" target="_blank"&gt;Verified by Public Record&lt;/a&gt;</t>
  </si>
  <si>
    <t>&lt;a href="http://a836-acris.nyc.gov/DS/DocumentSearch/DocumentDetail?doc_id=2019050800279001" target="_blank"&gt;Verified by Public Record&lt;/a&gt;</t>
  </si>
  <si>
    <t>&lt;a href="http://a836-acris.nyc.gov/DS/DocumentSearch/DocumentDetail?doc_id=2021030500696002" target="_blank"&gt;Verified by Public Record&lt;/a&gt;</t>
  </si>
  <si>
    <t>&lt;a href="http://a836-acris.nyc.gov/DS/DocumentSearch/DocumentDetail?doc_id=2017062301169001" target="_blank"&gt;Verified by Public Record&lt;/a&gt;</t>
  </si>
  <si>
    <t>&lt;a href="http://a836-acris.nyc.gov/DS/DocumentSearch/DocumentDetail?doc_id=2021020400941003" target="_blank"&gt;Verified by Public Record&lt;/a&gt;</t>
  </si>
  <si>
    <t>&lt;a href="http://a836-acris.nyc.gov/DS/DocumentSearch/DocumentDetail?doc_id=2021050500739001" target="_blank"&gt;Verified by Public Record&lt;/a&gt;</t>
  </si>
  <si>
    <t>&lt;a href="http://a836-acris.nyc.gov/DS/DocumentSearch/DocumentDetail?doc_id=2019110601152001" target="_blank"&gt;Verified by Public Record&lt;/a&gt;</t>
  </si>
  <si>
    <t>&lt;a href="http://a836-acris.nyc.gov/DS/DocumentSearch/DocumentDetail?doc_id=2018111900963002" target="_blank"&gt;Verified by Public Record&lt;/a&gt;</t>
  </si>
  <si>
    <t>&lt;a href="http://a836-acris.nyc.gov/DS/DocumentSearch/DocumentDetail?doc_id=2018110600430002" target="_blank"&gt;Verified by Public Record&lt;/a&gt;</t>
  </si>
  <si>
    <t>&lt;a href="http://a836-acris.nyc.gov/DS/DocumentSearch/DocumentDetail?doc_id=2016032100368002" target="_blank"&gt;Verified by Public Record&lt;/a&gt;</t>
  </si>
  <si>
    <t>&lt;a href="http://a836-acris.nyc.gov/DS/DocumentSearch/DocumentDetail?doc_id=2016071400525002" target="_blank"&gt;Verified by Public Record&lt;/a&gt;</t>
  </si>
  <si>
    <t>&lt;a href="http://a836-acris.nyc.gov/DS/DocumentSearch/DocumentDetail?doc_id=2016042000925001" target="_blank"&gt;Verified by Public Record&lt;/a&gt;</t>
  </si>
  <si>
    <t>&lt;a href="http://a836-acris.nyc.gov/DS/DocumentSearch/DocumentDetail?doc_id=2016032100918002" target="_blank"&gt;Verified by Public Record&lt;/a&gt;</t>
  </si>
  <si>
    <t>&lt;a href="http://a836-acris.nyc.gov/DS/DocumentSearch/DocumentDetail?doc_id=2016071600029001" target="_blank"&gt;Verified by Public Record&lt;/a&gt;</t>
  </si>
  <si>
    <t>&lt;a href="http://a836-acris.nyc.gov/DS/DocumentSearch/DocumentDetail?doc_id=2016041200146002" target="_blank"&gt;Verified by Public Record&lt;/a&gt;</t>
  </si>
  <si>
    <t>&lt;a href="http://a836-acris.nyc.gov/DS/DocumentSearch/DocumentDetail?doc_id=2016072000484001" target="_blank"&gt;Verified by Public Record&lt;/a&gt;</t>
  </si>
  <si>
    <t>&lt;a href="http://a836-acris.nyc.gov/DS/DocumentSearch/DocumentDetail?doc_id=2016032201052002" target="_blank"&gt;Verified by Public Record&lt;/a&gt;</t>
  </si>
  <si>
    <t>&lt;a href="http://a836-acris.nyc.gov/DS/DocumentSearch/DocumentDetail?doc_id=2021020100575001" target="_blank"&gt;Verified by Public Record&lt;/a&gt;</t>
  </si>
  <si>
    <t>Barbecue Area
Common Outdoor Space</t>
  </si>
  <si>
    <t>&lt;a href="http://a836-acris.nyc.gov/DS/DocumentSearch/DocumentDetail?doc_id=2016050900833001" target="_blank"&gt;Verified by Public Record&lt;/a&gt;</t>
  </si>
  <si>
    <t>&lt;a href="http://a836-acris.nyc.gov/DS/DocumentSearch/DocumentDetail?doc_id=2018090400980001" target="_blank"&gt;Verified by Public Record&lt;/a&gt;</t>
  </si>
  <si>
    <t>&lt;a href="http://a836-acris.nyc.gov/DS/DocumentSearch/DocumentDetail?doc_id=2019080900108002" target="_blank"&gt;Verified by Public Record&lt;/a&gt;</t>
  </si>
  <si>
    <t>&lt;a href="http://a836-acris.nyc.gov/DS/DocumentSearch/DocumentDetail?doc_id=2021021701305001" target="_blank"&gt;Verified by Public Record&lt;/a&gt;</t>
  </si>
  <si>
    <t>&lt;a href="http://a836-acris.nyc.gov/DS/DocumentSearch/DocumentDetail?doc_id=2019111201289003" target="_blank"&gt;Verified by Public Record&lt;/a&gt;</t>
  </si>
  <si>
    <t>&lt;a href="http://a836-acris.nyc.gov/DS/DocumentSearch/DocumentDetail?doc_id=2018062900761003" target="_blank"&gt;Verified by Public Record&lt;/a&gt;</t>
  </si>
  <si>
    <t>&lt;a href="http://a836-acris.nyc.gov/DS/DocumentSearch/DocumentDetail?doc_id=2017113000756001" target="_blank"&gt;Verified by Public Record&lt;/a&gt;</t>
  </si>
  <si>
    <t>Private Pool</t>
  </si>
  <si>
    <t>&lt;a href="http://a836-acris.nyc.gov/DS/DocumentSearch/DocumentDetail?doc_id=2016070800141001" target="_blank"&gt;Verified by Public Record&lt;/a&gt;</t>
  </si>
  <si>
    <t>&lt;a href="http://a836-acris.nyc.gov/DS/DocumentSearch/DocumentDetail?doc_id=2021063000588002" target="_blank"&gt;Verified by Public Record&lt;/a&gt;</t>
  </si>
  <si>
    <t>&lt;a href="http://a836-acris.nyc.gov/DS/DocumentSearch/DocumentDetail?doc_id=2017120100321001" target="_blank"&gt;Verified by Public Record&lt;/a&gt;</t>
  </si>
  <si>
    <t>&lt;a href="http://a836-acris.nyc.gov/DS/DocumentSearch/DocumentDetail?doc_id=2017071701331001" target="_blank"&gt;Verified by Public Record&lt;/a&gt;</t>
  </si>
  <si>
    <t>&lt;a href="http://a836-acris.nyc.gov/DS/DocumentSearch/DocumentDetail?doc_id=2017012400357002" target="_blank"&gt;Verified by Public Record&lt;/a&gt;</t>
  </si>
  <si>
    <t>&lt;a href="http://a836-acris.nyc.gov/DS/DocumentSearch/DocumentDetail?doc_id=2017111700371001" target="_blank"&gt;Verified by Public Record&lt;/a&gt;</t>
  </si>
  <si>
    <t>&lt;a href="http://a836-acris.nyc.gov/DS/DocumentSearch/DocumentDetail?doc_id=2018050200467001" target="_blank"&gt;Verified by Public Record&lt;/a&gt;</t>
  </si>
  <si>
    <t>&lt;a href="http://a836-acris.nyc.gov/DS/DocumentSearch/DocumentDetail?doc_id=2017120400890001" target="_blank"&gt;Verified by Public Record&lt;/a&gt;</t>
  </si>
  <si>
    <t>&lt;a href="http://a836-acris.nyc.gov/DS/DocumentSearch/DocumentDetail?doc_id=2017060100471001" target="_blank"&gt;Verified by Public Record&lt;/a&gt;</t>
  </si>
  <si>
    <t>&lt;a href="http://a836-acris.nyc.gov/DS/DocumentSearch/DocumentDetail?doc_id=2019122601231001" target="_blank"&gt;Verified by Public Record&lt;/a&gt;</t>
  </si>
  <si>
    <t>&lt;a href="http://a836-acris.nyc.gov/DS/DocumentSearch/DocumentDetail?doc_id=2018121400134001" target="_blank"&gt;Verified by Public Record&lt;/a&gt;</t>
  </si>
  <si>
    <t>&lt;a href="http://a836-acris.nyc.gov/DS/DocumentSearch/DocumentDetail?doc_id=2019121100378001" target="_blank"&gt;Verified by Public Record&lt;/a&gt;</t>
  </si>
  <si>
    <t>&lt;a href="http://a836-acris.nyc.gov/DS/DocumentSearch/DocumentDetail?doc_id=2021051801320001" target="_blank"&gt;Verified by Public Record&lt;/a&gt;</t>
  </si>
  <si>
    <t>Juliet Balcony
Common Roof Deck
Barbecue Area
Common Outdoor Space</t>
  </si>
  <si>
    <t>&lt;a href="http://a836-acris.nyc.gov/DS/DocumentSearch/DocumentDetail?doc_id=2018122400404001" target="_blank"&gt;Verified by Public Record&lt;/a&gt;</t>
  </si>
  <si>
    <t>&lt;a href="http://a836-acris.nyc.gov/DS/DocumentSearch/DocumentDetail?doc_id=2019121100868003" target="_blank"&gt;Verified by Public Record&lt;/a&gt;</t>
  </si>
  <si>
    <t>&lt;a href="http://a836-acris.nyc.gov/DS/DocumentSearch/DocumentDetail?doc_id=2019010301069001" target="_blank"&gt;Verified by Public Record&lt;/a&gt;</t>
  </si>
  <si>
    <t>&lt;a href="http://a836-acris.nyc.gov/DS/DocumentSearch/DocumentDetail?doc_id=2018121900516001" target="_blank"&gt;Verified by Public Record&lt;/a&gt;</t>
  </si>
  <si>
    <t>&lt;a href="http://a836-acris.nyc.gov/DS/DocumentSearch/DocumentDetail?doc_id=2019011800418003" target="_blank"&gt;Verified by Public Record&lt;/a&gt;</t>
  </si>
  <si>
    <t>East Harlem</t>
  </si>
  <si>
    <t>&lt;a href="http://a836-acris.nyc.gov/DS/DocumentSearch/DocumentDetail?doc_id=2019012800611001" target="_blank"&gt;Verified by Public Record&lt;/a&gt;</t>
  </si>
  <si>
    <t>&lt;a href="http://a836-acris.nyc.gov/DS/DocumentSearch/DocumentDetail?doc_id=2020032000903003" target="_blank"&gt;Verified by Public Record&lt;/a&gt;</t>
  </si>
  <si>
    <t>&lt;a href="http://a836-acris.nyc.gov/DS/DocumentSearch/DocumentDetail?doc_id=2019121000919001" target="_blank"&gt;Verified by Public Record&lt;/a&gt;</t>
  </si>
  <si>
    <t>Private Terrace
Private Roof Deck</t>
  </si>
  <si>
    <t>&lt;a href="http://a836-acris.nyc.gov/DS/DocumentSearch/DocumentDetail?doc_id=2020043000213001" target="_blank"&gt;Verified by Public Record&lt;/a&gt;</t>
  </si>
  <si>
    <t>&lt;a href="http://a836-acris.nyc.gov/DS/DocumentSearch/DocumentDetail?doc_id=2019110700767001" target="_blank"&gt;Verified by Public Record&lt;/a&gt;</t>
  </si>
  <si>
    <t>Balcony
Private Terrace
Private Patio
Patio
Deck
Common Roof Deck</t>
  </si>
  <si>
    <t>&lt;a href="http://a836-acris.nyc.gov/DS/DocumentSearch/DocumentDetail?doc_id=2021061000195001" target="_blank"&gt;Verified by Public Record&lt;/a&gt;</t>
  </si>
  <si>
    <t>&lt;a href="http://a836-acris.nyc.gov/DS/DocumentSearch/DocumentDetail?doc_id=2021040901160002" target="_blank"&gt;Verified by Public Record&lt;/a&gt;</t>
  </si>
  <si>
    <t>&lt;a href="http://a836-acris.nyc.gov/DS/DocumentSearch/DocumentDetail?doc_id=2018122000609001" target="_blank"&gt;Verified by Public Record&lt;/a&gt;</t>
  </si>
  <si>
    <t>&lt;a href="http://a836-acris.nyc.gov/DS/DocumentSearch/DocumentDetail?doc_id=2019052900990001" target="_blank"&gt;Verified by Public Record&lt;/a&gt;</t>
  </si>
  <si>
    <t>Private Terrace
Private Roof Deck
Roof Deck
Common Roof Deck
Common Outdoor Space</t>
  </si>
  <si>
    <t>&lt;a href="http://a836-acris.nyc.gov/DS/DocumentSearch/DocumentDetail?doc_id=2020010200633001" target="_blank"&gt;Verified by Public Record&lt;/a&gt;</t>
  </si>
  <si>
    <t>Balcony
Private Terrace
Common Outdoor Space</t>
  </si>
  <si>
    <t>&lt;a href="http://a836-acris.nyc.gov/DS/DocumentSearch/DocumentDetail?doc_id=2018082300283002" target="_blank"&gt;Verified by Public Record&lt;/a&gt;</t>
  </si>
  <si>
    <t>&lt;a href="http://a836-acris.nyc.gov/DS/DocumentSearch/DocumentDetail?doc_id=2020081300148001" target="_blank"&gt;Verified by Public Record&lt;/a&gt;</t>
  </si>
  <si>
    <t>Private Patio
Common Roof Deck
Common Outdoor Space
Private Outdoor Space</t>
  </si>
  <si>
    <t>&lt;a href="http://a836-acris.nyc.gov/DS/DocumentSearch/DocumentDetail?doc_id=2021080300956002" target="_blank"&gt;Verified by Public Record&lt;/a&gt;</t>
  </si>
  <si>
    <t>&lt;a href="http://a836-acris.nyc.gov/DS/DocumentSearch/DocumentDetail?doc_id=2018082700769001" target="_blank"&gt;Verified by Public Record&lt;/a&gt;</t>
  </si>
  <si>
    <t>&lt;a href="http://a836-acris.nyc.gov/DS/DocumentSearch/DocumentDetail?doc_id=2017120500511001" target="_blank"&gt;Verified by Public Record&lt;/a&gt;</t>
  </si>
  <si>
    <t>Balcony
Common Roof Deck
Private Outdoor Space</t>
  </si>
  <si>
    <t>&lt;a href="http://a836-acris.nyc.gov/DS/DocumentSearch/DocumentDetail?doc_id=2017122100958001" target="_blank"&gt;Verified by Public Record&lt;/a&gt;</t>
  </si>
  <si>
    <t>Doorman, Remote Doorman</t>
  </si>
  <si>
    <t>&lt;a href="http://a836-acris.nyc.gov/DS/DocumentSearch/DocumentDetail?doc_id=2017120800012001" target="_blank"&gt;Verified by Public Record&lt;/a&gt;</t>
  </si>
  <si>
    <t>&lt;a href="http://a836-acris.nyc.gov/DS/DocumentSearch/DocumentDetail?doc_id=2017121900994001" target="_blank"&gt;Verified by Public Record&lt;/a&gt;</t>
  </si>
  <si>
    <t>Balcony
Private Terrace
Common Roof Deck
Common Outdoor Space
Private Outdoor Space</t>
  </si>
  <si>
    <t>&lt;a href="http://a836-acris.nyc.gov/DS/DocumentSearch/DocumentDetail?doc_id=2018030500116001" target="_blank"&gt;Verified by Public Record&lt;/a&gt;</t>
  </si>
  <si>
    <t>&lt;a href="http://a836-acris.nyc.gov/DS/DocumentSearch/DocumentDetail?doc_id=2015081300753001" target="_blank"&gt;Verified by Public Record&lt;/a&gt;</t>
  </si>
  <si>
    <t>Private Terrace
Common Roof Deck</t>
  </si>
  <si>
    <t>&lt;a href="http://a836-acris.nyc.gov/DS/DocumentSearch/DocumentDetail?doc_id=2015091101345001" target="_blank"&gt;Verified by Public Record&lt;/a&gt;</t>
  </si>
  <si>
    <t>Balcony
Private Patio
Common Roof Deck</t>
  </si>
  <si>
    <t>Balcony
Private Roof Deck
Deck
Common Roof Deck
Private Outdoor Space</t>
  </si>
  <si>
    <t>&lt;a href="http://a836-acris.nyc.gov/DS/DocumentSearch/DocumentDetail?doc_id=2017090100705001" target="_blank"&gt;Verified by Public Record&lt;/a&gt;</t>
  </si>
  <si>
    <t>&lt;a href="http://a836-acris.nyc.gov/DS/DocumentSearch/DocumentDetail?doc_id=2017092200302006" target="_blank"&gt;Verified by Public Record&lt;/a&gt;</t>
  </si>
  <si>
    <t>&lt;a href="http://a836-acris.nyc.gov/DS/DocumentSearch/DocumentDetail?doc_id=2017011901267001" target="_blank"&gt;Verified by Public Record&lt;/a&gt;</t>
  </si>
  <si>
    <t>Balcony
Common Roof Deck
Common Outdoor Space
Private Outdoor Space</t>
  </si>
  <si>
    <t>&lt;a href="http://a836-acris.nyc.gov/DS/DocumentSearch/DocumentDetail?doc_id=2021071301325001" target="_blank"&gt;Verified by Public Record&lt;/a&gt;</t>
  </si>
  <si>
    <t>&lt;a href="http://a836-acris.nyc.gov/DS/DocumentSearch/DocumentDetail?doc_id=2015080700463001" target="_blank"&gt;Verified by Public Record&lt;/a&gt;</t>
  </si>
  <si>
    <t>Balcony
Deck
Fence
Common Roof Deck</t>
  </si>
  <si>
    <t>&lt;a href="http://a836-acris.nyc.gov/DS/DocumentSearch/DocumentDetail?doc_id=2020051700019001" target="_blank"&gt;Verified by Public Record&lt;/a&gt;</t>
  </si>
  <si>
    <t>Balcony
Juliet Balcony
Common Roof Deck
Common Outdoor Space
Private Outdoor Space</t>
  </si>
  <si>
    <t>Juliet Balcony
Private Roof Deck
Deck
Common Roof Deck
Private Outdoor Space</t>
  </si>
  <si>
    <t>Juliet Balcony
Private Roof Deck
Deck
Common Roof Deck</t>
  </si>
  <si>
    <t>&lt;a href="http://a836-acris.nyc.gov/DS/DocumentSearch/DocumentDetail?doc_id=2017102400595001" target="_blank"&gt;Verified by Public Record&lt;/a&gt;</t>
  </si>
  <si>
    <t>&lt;a href="http://a836-acris.nyc.gov/DS/DocumentSearch/DocumentDetail?doc_id=2018040200824001" target="_blank"&gt;Verified by Public Record&lt;/a&gt;</t>
  </si>
  <si>
    <t>&lt;a href="http://a836-acris.nyc.gov/DS/DocumentSearch/DocumentDetail?doc_id=2018042601178001" target="_blank"&gt;Verified by Public Record&lt;/a&gt;</t>
  </si>
  <si>
    <t>&lt;a href="http://a836-acris.nyc.gov/DS/DocumentSearch/DocumentDetail?doc_id=2018122101013001" target="_blank"&gt;Verified by Public Record&lt;/a&gt;</t>
  </si>
  <si>
    <t>&lt;a href="http://a836-acris.nyc.gov/DS/DocumentSearch/DocumentDetail?doc_id=2017120400463001" target="_blank"&gt;Verified by Public Record&lt;/a&gt;</t>
  </si>
  <si>
    <t>&lt;a href="http://a836-acris.nyc.gov/DS/DocumentSearch/DocumentDetail?doc_id=2018051601006001" target="_blank"&gt;Verified by Public Record&lt;/a&gt;</t>
  </si>
  <si>
    <t>&lt;a href="http://a836-acris.nyc.gov/DS/DocumentSearch/DocumentDetail?doc_id=2016052700444002" target="_blank"&gt;Verified by Public Record&lt;/a&gt;</t>
  </si>
  <si>
    <t>&lt;a href="http://a836-acris.nyc.gov/DS/DocumentSearch/DocumentDetail?doc_id=2017111501320001" target="_blank"&gt;Verified by Public Record&lt;/a&gt;</t>
  </si>
  <si>
    <t>&lt;a href="http://a836-acris.nyc.gov/DS/DocumentSearch/DocumentDetail?doc_id=2017110600557001" target="_blank"&gt;Verified by Public Record&lt;/a&gt;</t>
  </si>
  <si>
    <t>&lt;a href="http://a836-acris.nyc.gov/DS/DocumentSearch/DocumentDetail?doc_id=2017111600533001" target="_blank"&gt;Verified by Public Record&lt;/a&gt;</t>
  </si>
  <si>
    <t>&lt;a href="http://a836-acris.nyc.gov/DS/DocumentSearch/DocumentDetail?doc_id=2017122200211001" target="_blank"&gt;Verified by Public Record&lt;/a&gt;</t>
  </si>
  <si>
    <t>&lt;a href="http://a836-acris.nyc.gov/DS/DocumentSearch/DocumentDetail?doc_id=2018110100430001" target="_blank"&gt;Verified by Public Record&lt;/a&gt;</t>
  </si>
  <si>
    <t>&lt;a href="http://a836-acris.nyc.gov/DS/DocumentSearch/DocumentDetail?doc_id=2018080200409001" target="_blank"&gt;Verified by Public Record&lt;/a&gt;</t>
  </si>
  <si>
    <t>&lt;a href="http://a836-acris.nyc.gov/DS/DocumentSearch/DocumentDetail?doc_id=2018051800243001" target="_blank"&gt;Verified by Public Record&lt;/a&gt;</t>
  </si>
  <si>
    <t>&lt;a href="http://a836-acris.nyc.gov/DS/DocumentSearch/DocumentDetail?doc_id=2020022601078003" target="_blank"&gt;Verified by Public Record&lt;/a&gt;</t>
  </si>
  <si>
    <t>Private Terrace
Common Outdoor Space</t>
  </si>
  <si>
    <t>&lt;a href="http://a836-acris.nyc.gov/DS/DocumentSearch/DocumentDetail?doc_id=2016072901083002" target="_blank"&gt;Verified by Public Record&lt;/a&gt;</t>
  </si>
  <si>
    <t>&lt;a href="http://a836-acris.nyc.gov/DS/DocumentSearch/DocumentDetail?doc_id=2016072100308002" target="_blank"&gt;Verified by Public Record&lt;/a&gt;</t>
  </si>
  <si>
    <t>&lt;a href="http://a836-acris.nyc.gov/DS/DocumentSearch/DocumentDetail?doc_id=2016102200076001" target="_blank"&gt;Verified by Public Record&lt;/a&gt;</t>
  </si>
  <si>
    <t>Balcony
Common Roof Deck
Common Outdoor Space</t>
  </si>
  <si>
    <t>&lt;a href="http://a836-acris.nyc.gov/DS/DocumentSearch/DocumentDetail?doc_id=2016070100661001" target="_blank"&gt;Verified by Public Record&lt;/a&gt;</t>
  </si>
  <si>
    <t>Private Roof Deck
Common Roof Deck
Common Outdoor Space</t>
  </si>
  <si>
    <t>&lt;a href="http://a836-acris.nyc.gov/DS/DocumentSearch/DocumentDetail?doc_id=2016072500165001" target="_blank"&gt;Verified by Public Record&lt;/a&gt;</t>
  </si>
  <si>
    <t>&lt;a href="http://a836-acris.nyc.gov/DS/DocumentSearch/DocumentDetail?doc_id=2016050500342001" target="_blank"&gt;Verified by Public Record&lt;/a&gt;</t>
  </si>
  <si>
    <t>&lt;a href="http://a836-acris.nyc.gov/DS/DocumentSearch/DocumentDetail?doc_id=2016051701228001" target="_blank"&gt;Verified by Public Record&lt;/a&gt;</t>
  </si>
  <si>
    <t>Balcony
Private Roof Deck
Common Roof Deck
Common Outdoor Space</t>
  </si>
  <si>
    <t>&lt;a href="http://a836-acris.nyc.gov/DS/DocumentSearch/DocumentDetail?doc_id=2019061701131001" target="_blank"&gt;Verified by Public Record&lt;/a&gt;</t>
  </si>
  <si>
    <t>Balcony
Juliet Balcony
Deck
Common Roof Deck
Private Outdoor Space</t>
  </si>
  <si>
    <t>&lt;a href="http://a836-acris.nyc.gov/DS/DocumentSearch/DocumentDetail?doc_id=2018032100335001" target="_blank"&gt;Verified by Public Record&lt;/a&gt;</t>
  </si>
  <si>
    <t>&lt;a href="http://a836-acris.nyc.gov/DS/DocumentSearch/DocumentDetail?doc_id=2018033000476001" target="_blank"&gt;Verified by Public Record&lt;/a&gt;</t>
  </si>
  <si>
    <t>&lt;a href="http://a836-acris.nyc.gov/DS/DocumentSearch/DocumentDetail?doc_id=2018031200672001" target="_blank"&gt;Verified by Public Record&lt;/a&gt;</t>
  </si>
  <si>
    <t>Townhouse/Condo/Other</t>
  </si>
  <si>
    <t>&lt;a href="http://a836-acris.nyc.gov/DS/DocumentSearch/DocumentDetail?doc_id=2021072801450001" target="_blank"&gt;Verified by Public Record&lt;/a&gt;</t>
  </si>
  <si>
    <t>Private Roof Deck
Common Outdoor Space</t>
  </si>
  <si>
    <t>&lt;a href="http://a836-acris.nyc.gov/DS/DocumentSearch/DocumentDetail?doc_id=2018071300516002" target="_blank"&gt;Verified by Public Record&lt;/a&gt;</t>
  </si>
  <si>
    <t>&lt;a href="http://a836-acris.nyc.gov/DS/DocumentSearch/DocumentDetail?doc_id=2018072001133001" target="_blank"&gt;Verified by Public Record&lt;/a&gt;</t>
  </si>
  <si>
    <t>&lt;a href="http://a836-acris.nyc.gov/DS/DocumentSearch/DocumentDetail?doc_id=2018070100006001" target="_blank"&gt;Verified by Public Record&lt;/a&gt;</t>
  </si>
  <si>
    <t>Co-op/Condop/Condo</t>
  </si>
  <si>
    <t>&lt;a href="http://a836-acris.nyc.gov/DS/DocumentSearch/DocumentDetail?doc_id=2020050500482001" target="_blank"&gt;Verified by Public Record&lt;/a&gt;</t>
  </si>
  <si>
    <t>&lt;a href="http://a836-acris.nyc.gov/DS/DocumentSearch/DocumentDetail?doc_id=2018062901225001" target="_blank"&gt;Verified by Public Record&lt;/a&gt;</t>
  </si>
  <si>
    <t>&lt;a href="http://a836-acris.nyc.gov/DS/DocumentSearch/DocumentDetail?doc_id=2019060601214001" target="_blank"&gt;Verified by Public Record&lt;/a&gt;</t>
  </si>
  <si>
    <t>Balcony
Deck
Common Roof Deck
Barbecue Area
Common Garden
Private Outdoor Space</t>
  </si>
  <si>
    <t>&lt;a href="http://a836-acris.nyc.gov/DS/DocumentSearch/DocumentDetail?doc_id=2018071100499002" target="_blank"&gt;Verified by Public Record&lt;/a&gt;</t>
  </si>
  <si>
    <t>&lt;a href="http://a836-acris.nyc.gov/DS/DocumentSearch/DocumentDetail?doc_id=2017101801091001" target="_blank"&gt;Verified by Public Record&lt;/a&gt;</t>
  </si>
  <si>
    <t>&lt;a href="http://a836-acris.nyc.gov/DS/DocumentSearch/DocumentDetail?doc_id=2017102500553001" target="_blank"&gt;Verified by Public Record&lt;/a&gt;</t>
  </si>
  <si>
    <t>&lt;a href="http://a836-acris.nyc.gov/DS/DocumentSearch/DocumentDetail?doc_id=2016121402046003" target="_blank"&gt;Verified by Public Record&lt;/a&gt;</t>
  </si>
  <si>
    <t>Deck
Common Roof Deck
Barbecue Area
Common Garden</t>
  </si>
  <si>
    <t>&lt;a href="http://a836-acris.nyc.gov/DS/DocumentSearch/DocumentDetail?doc_id=2017051200692001" target="_blank"&gt;Verified by Public Record&lt;/a&gt;</t>
  </si>
  <si>
    <t>&lt;a href="http://a836-acris.nyc.gov/DS/DocumentSearch/DocumentDetail?doc_id=2016122300350001" target="_blank"&gt;Verified by Public Record&lt;/a&gt;</t>
  </si>
  <si>
    <t>&lt;a href="http://a836-acris.nyc.gov/DS/DocumentSearch/DocumentDetail?doc_id=2016101900265001" target="_blank"&gt;Verified by Public Record&lt;/a&gt;</t>
  </si>
  <si>
    <t>&lt;a href="http://a836-acris.nyc.gov/DS/DocumentSearch/DocumentDetail?doc_id=2021030400087002" target="_blank"&gt;Verified by Public Record&lt;/a&gt;</t>
  </si>
  <si>
    <t>Balcony
Private Terrace
Deck
Common Roof Deck
Barbecue Area
Common Garden
Private Outdoor Space</t>
  </si>
  <si>
    <t>&lt;a href="http://a836-acris.nyc.gov/DS/DocumentSearch/DocumentDetail?doc_id=2016121901049002" target="_blank"&gt;Verified by Public Record&lt;/a&gt;</t>
  </si>
  <si>
    <t>&lt;a href="http://a836-acris.nyc.gov/DS/DocumentSearch/DocumentDetail?doc_id=2016120900490002" target="_blank"&gt;Verified by Public Record&lt;/a&gt;</t>
  </si>
  <si>
    <t>&lt;a href="http://a836-acris.nyc.gov/DS/DocumentSearch/DocumentDetail?doc_id=2016121901284001" target="_blank"&gt;Verified by Public Record&lt;/a&gt;</t>
  </si>
  <si>
    <t>&lt;a href="http://a836-acris.nyc.gov/DS/DocumentSearch/DocumentDetail?doc_id=2017042500910001" target="_blank"&gt;Verified by Public Record&lt;/a&gt;</t>
  </si>
  <si>
    <t>&lt;a href="http://a836-acris.nyc.gov/DS/DocumentSearch/DocumentDetail?doc_id=2017071900660001" target="_blank"&gt;Verified by Public Record&lt;/a&gt;</t>
  </si>
  <si>
    <t>&lt;a href="http://a836-acris.nyc.gov/DS/DocumentSearch/DocumentDetail?doc_id=2017121200349001" target="_blank"&gt;Verified by Public Record&lt;/a&gt;</t>
  </si>
  <si>
    <t>Private Wrap Around Terrace
Barbecue Area</t>
  </si>
  <si>
    <t>&lt;a href="http://a836-acris.nyc.gov/DS/DocumentSearch/DocumentDetail?doc_id=2018100100956001" target="_blank"&gt;Verified by Public Record&lt;/a&gt;</t>
  </si>
  <si>
    <t>Private Terrace
Barbecue Area
Common Outdoor Space
Private Outdoor Space</t>
  </si>
  <si>
    <t>&lt;a href="http://a836-acris.nyc.gov/DS/DocumentSearch/DocumentDetail?doc_id=2017053100849001" target="_blank"&gt;Verified by Public Record&lt;/a&gt;</t>
  </si>
  <si>
    <t>&lt;a href="http://a836-acris.nyc.gov/DS/DocumentSearch/DocumentDetail?doc_id=2021030800761001" target="_blank"&gt;Verified by Public Record&lt;/a&gt;</t>
  </si>
  <si>
    <t>Full-Time Doorman, Full-Service Building</t>
  </si>
  <si>
    <t>&lt;a href="http://a836-acris.nyc.gov/DS/DocumentSearch/DocumentDetail?doc_id=2016102000872001" target="_blank"&gt;Verified by Public Record&lt;/a&gt;</t>
  </si>
  <si>
    <t>&lt;a href="http://a836-acris.nyc.gov/DS/DocumentSearch/DocumentDetail?doc_id=2017010301639003" target="_blank"&gt;Verified by Public Record&lt;/a&gt;</t>
  </si>
  <si>
    <t>Deck
Common Roof Deck
Barbecue Area
Common Garden
Private Outdoor Space</t>
  </si>
  <si>
    <t>&lt;a href="http://a836-acris.nyc.gov/DS/DocumentSearch/DocumentDetail?doc_id=2017010401008001" target="_blank"&gt;Verified by Public Record&lt;/a&gt;</t>
  </si>
  <si>
    <t>&lt;a href="http://a836-acris.nyc.gov/DS/DocumentSearch/DocumentDetail?doc_id=2017010601186002" target="_blank"&gt;Verified by Public Record&lt;/a&gt;</t>
  </si>
  <si>
    <t>&lt;a href="http://a836-acris.nyc.gov/DS/DocumentSearch/DocumentDetail?doc_id=2017021400804001" target="_blank"&gt;Verified by Public Record&lt;/a&gt;</t>
  </si>
  <si>
    <t>&lt;a href="http://a836-acris.nyc.gov/DS/DocumentSearch/DocumentDetail?doc_id=2016121500762001" target="_blank"&gt;Verified by Public Record&lt;/a&gt;</t>
  </si>
  <si>
    <t>&lt;a href="http://a836-acris.nyc.gov/DS/DocumentSearch/DocumentDetail?doc_id=2019043000106001" target="_blank"&gt;Verified by Public Record&lt;/a&gt;</t>
  </si>
  <si>
    <t>Balcony
Common Outdoor Space
Private Outdoor Space</t>
  </si>
  <si>
    <t>&lt;a href="http://a836-acris.nyc.gov/DS/DocumentSearch/DocumentDetail?doc_id=2019071101052001" target="_blank"&gt;Verified by Public Record&lt;/a&gt;</t>
  </si>
  <si>
    <t>&lt;a href="http://a836-acris.nyc.gov/DS/DocumentSearch/DocumentDetail?doc_id=2017050501061002" target="_blank"&gt;Verified by Public Record&lt;/a&gt;</t>
  </si>
  <si>
    <t>&lt;a href="http://a836-acris.nyc.gov/DS/DocumentSearch/DocumentDetail?doc_id=2016122000471001" target="_blank"&gt;Verified by Public Record&lt;/a&gt;</t>
  </si>
  <si>
    <t>&lt;a href="http://a836-acris.nyc.gov/DS/DocumentSearch/DocumentDetail?doc_id=2017011700577001" target="_blank"&gt;Verified by Public Record&lt;/a&gt;</t>
  </si>
  <si>
    <t>&lt;a href="http://a836-acris.nyc.gov/DS/DocumentSearch/DocumentDetail?doc_id=2017030800479001" target="_blank"&gt;Verified by Public Record&lt;/a&gt;</t>
  </si>
  <si>
    <t>&lt;a href="http://a836-acris.nyc.gov/DS/DocumentSearch/DocumentDetail?doc_id=2017013000766001" target="_blank"&gt;Verified by Public Record&lt;/a&gt;</t>
  </si>
  <si>
    <t>&lt;a href="http://a836-acris.nyc.gov/DS/DocumentSearch/DocumentDetail?doc_id=2016122000734002" target="_blank"&gt;Verified by Public Record&lt;/a&gt;</t>
  </si>
  <si>
    <t>&lt;a href="http://a836-acris.nyc.gov/DS/DocumentSearch/DocumentDetail?doc_id=2017012500667003" target="_blank"&gt;Verified by Public Record&lt;/a&gt;</t>
  </si>
  <si>
    <t>&lt;a href="http://a836-acris.nyc.gov/DS/DocumentSearch/DocumentDetail?doc_id=2016121201164001" target="_blank"&gt;Verified by Public Record&lt;/a&gt;</t>
  </si>
  <si>
    <t>&lt;a href="http://a836-acris.nyc.gov/DS/DocumentSearch/DocumentDetail?doc_id=2017012400647001" target="_blank"&gt;Verified by Public Record&lt;/a&gt;</t>
  </si>
  <si>
    <t>&lt;a href="http://a836-acris.nyc.gov/DS/DocumentSearch/DocumentDetail?doc_id=2016121200719001" target="_blank"&gt;Verified by Public Record&lt;/a&gt;</t>
  </si>
  <si>
    <t>&lt;a href="http://a836-acris.nyc.gov/DS/DocumentSearch/DocumentDetail?doc_id=2017022800925001" target="_blank"&gt;Verified by Public Record&lt;/a&gt;</t>
  </si>
  <si>
    <t>&lt;a href="http://a836-acris.nyc.gov/DS/DocumentSearch/DocumentDetail?doc_id=2017010400652001" target="_blank"&gt;Verified by Public Record&lt;/a&gt;</t>
  </si>
  <si>
    <t>&lt;a href="http://a836-acris.nyc.gov/DS/DocumentSearch/DocumentDetail?doc_id=2017040601225001" target="_blank"&gt;Verified by Public Record&lt;/a&gt;</t>
  </si>
  <si>
    <t>&lt;a href="http://a836-acris.nyc.gov/DS/DocumentSearch/DocumentDetail?doc_id=2017052500445001" target="_blank"&gt;Verified by Public Record&lt;/a&gt;</t>
  </si>
  <si>
    <t>&lt;a href="http://a836-acris.nyc.gov/DS/DocumentSearch/DocumentDetail?doc_id=2016120901287001" target="_blank"&gt;Verified by Public Record&lt;/a&gt;</t>
  </si>
  <si>
    <t>&lt;a href="http://a836-acris.nyc.gov/DS/DocumentSearch/DocumentDetail?doc_id=2017020100837001" target="_blank"&gt;Verified by Public Record&lt;/a&gt;</t>
  </si>
  <si>
    <t>&lt;a href="http://a836-acris.nyc.gov/DS/DocumentSearch/DocumentDetail?doc_id=2016121900964001" target="_blank"&gt;Verified by Public Record&lt;/a&gt;</t>
  </si>
  <si>
    <t>&lt;a href="http://a836-acris.nyc.gov/DS/DocumentSearch/DocumentDetail?doc_id=2018091001095001" target="_blank"&gt;Verified by Public Record&lt;/a&gt;</t>
  </si>
  <si>
    <t>&lt;a href="http://a836-acris.nyc.gov/DS/DocumentSearch/DocumentDetail?doc_id=2016110901202001" target="_blank"&gt;Verified by Public Record&lt;/a&gt;</t>
  </si>
  <si>
    <t>&lt;a href="http://a836-acris.nyc.gov/DS/DocumentSearch/DocumentDetail?doc_id=2016103100371001" target="_blank"&gt;Verified by Public Record&lt;/a&gt;</t>
  </si>
  <si>
    <t>&lt;a href="http://a836-acris.nyc.gov/DS/DocumentSearch/DocumentDetail?doc_id=2016112500282001" target="_blank"&gt;Verified by Public Record&lt;/a&gt;</t>
  </si>
  <si>
    <t>&lt;a href="http://a836-acris.nyc.gov/DS/DocumentSearch/DocumentDetail?doc_id=2016101900191001" target="_blank"&gt;Verified by Public Record&lt;/a&gt;</t>
  </si>
  <si>
    <t>&lt;a href="http://a836-acris.nyc.gov/DS/DocumentSearch/DocumentDetail?doc_id=2018101900871001" target="_blank"&gt;Verified by Public Record&lt;/a&gt;</t>
  </si>
  <si>
    <t>&lt;a href="http://a836-acris.nyc.gov/DS/DocumentSearch/DocumentDetail?doc_id=2021031600685001" target="_blank"&gt;Verified by Public Record&lt;/a&gt;</t>
  </si>
  <si>
    <t>&lt;a href="http://a836-acris.nyc.gov/DS/DocumentSearch/DocumentDetail?doc_id=2016111500690001" target="_blank"&gt;Verified by Public Record&lt;/a&gt;</t>
  </si>
  <si>
    <t>Private Terrace
Deck
Common Roof Deck
Barbecue Area
Common Garden
Private Outdoor Space</t>
  </si>
  <si>
    <t>&lt;a href="http://a836-acris.nyc.gov/DS/DocumentSearch/DocumentDetail?doc_id=2017082500712001" target="_blank"&gt;Verified by Public Record&lt;/a&gt;</t>
  </si>
  <si>
    <t>Private Terrace
Deck
Common Roof Deck
Barbecue Area
Common Garden
Common Outdoor Space</t>
  </si>
  <si>
    <t>&lt;a href="http://a836-acris.nyc.gov/DS/DocumentSearch/DocumentDetail?doc_id=2019032400066001" target="_blank"&gt;Verified by Public Record&lt;/a&gt;</t>
  </si>
  <si>
    <t>&lt;a href="http://a836-acris.nyc.gov/DS/DocumentSearch/DocumentDetail?doc_id=2016110800511001" target="_blank"&gt;Verified by Public Record&lt;/a&gt;</t>
  </si>
  <si>
    <t>&lt;a href="http://a836-acris.nyc.gov/DS/DocumentSearch/DocumentDetail?doc_id=2016110200126001" target="_blank"&gt;Verified by Public Record&lt;/a&gt;</t>
  </si>
  <si>
    <t>&lt;a href="http://a836-acris.nyc.gov/DS/DocumentSearch/DocumentDetail?doc_id=2019081900682001" target="_blank"&gt;Verified by Public Record&lt;/a&gt;</t>
  </si>
  <si>
    <t>&lt;a href="http://a836-acris.nyc.gov/DS/DocumentSearch/DocumentDetail?doc_id=2020040100355003" target="_blank"&gt;Verified by Public Record&lt;/a&gt;</t>
  </si>
  <si>
    <t>&lt;a href="http://a836-acris.nyc.gov/DS/DocumentSearch/DocumentDetail?doc_id=2021031100427003" target="_blank"&gt;Verified by Public Record&lt;/a&gt;</t>
  </si>
  <si>
    <t>Private Roof Deck
Common Outdoor Space
Private Outdoor Space</t>
  </si>
  <si>
    <t>&lt;a href="http://a836-acris.nyc.gov/DS/DocumentSearch/DocumentDetail?doc_id=2020072900412001" target="_blank"&gt;Verified by Public Record&lt;/a&gt;</t>
  </si>
  <si>
    <t>&lt;a href="http://a836-acris.nyc.gov/DS/DocumentSearch/DocumentDetail?doc_id=2016120901198002" target="_blank"&gt;Verified by Public Record&lt;/a&gt;</t>
  </si>
  <si>
    <t>&lt;a href="http://a836-acris.nyc.gov/DS/DocumentSearch/DocumentDetail?doc_id=2016112300335007" target="_blank"&gt;Verified by Public Record&lt;/a&gt;</t>
  </si>
  <si>
    <t>Common Roof Deck
Common Outdoor Space
Private Outdoor Space</t>
  </si>
  <si>
    <t>&lt;a href="http://a836-acris.nyc.gov/DS/DocumentSearch/DocumentDetail?doc_id=2016120500299001" target="_blank"&gt;Verified by Public Record&lt;/a&gt;</t>
  </si>
  <si>
    <t>Balcony
Private Terrace
Private Roof Deck
Deck
Common Roof Deck
Private Outdoor Space</t>
  </si>
  <si>
    <t>&lt;a href="http://a836-acris.nyc.gov/DS/DocumentSearch/DocumentDetail?doc_id=2019100801015001" target="_blank"&gt;Verified by Public Record&lt;/a&gt;</t>
  </si>
  <si>
    <t>&lt;a href="http://a836-acris.nyc.gov/DS/DocumentSearch/DocumentDetail?doc_id=2018062901017001" target="_blank"&gt;Verified by Public Record&lt;/a&gt;</t>
  </si>
  <si>
    <t>&lt;a href="http://a836-acris.nyc.gov/DS/DocumentSearch/DocumentDetail?doc_id=2018083000113001" target="_blank"&gt;Verified by Public Record&lt;/a&gt;</t>
  </si>
  <si>
    <t>&lt;a href="http://a836-acris.nyc.gov/DS/DocumentSearch/DocumentDetail?doc_id=2019110600286001" target="_blank"&gt;Verified by Public Record&lt;/a&gt;</t>
  </si>
  <si>
    <t>&lt;a href="http://a836-acris.nyc.gov/DS/DocumentSearch/DocumentDetail?doc_id=2016110500149003" target="_blank"&gt;Verified by Public Record&lt;/a&gt;</t>
  </si>
  <si>
    <t>&lt;a href="http://a836-acris.nyc.gov/DS/DocumentSearch/DocumentDetail?doc_id=2016110200852001" target="_blank"&gt;Verified by Public Record&lt;/a&gt;</t>
  </si>
  <si>
    <t>&lt;a href="http://a836-acris.nyc.gov/DS/DocumentSearch/DocumentDetail?doc_id=2019081800044001" target="_blank"&gt;Verified by Public Record&lt;/a&gt;</t>
  </si>
  <si>
    <t>&lt;a href="http://a836-acris.nyc.gov/DS/DocumentSearch/DocumentDetail?doc_id=2021061401200001" target="_blank"&gt;Verified by Public Record&lt;/a&gt;</t>
  </si>
  <si>
    <t>&lt;a href="http://a836-acris.nyc.gov/DS/DocumentSearch/DocumentDetail?doc_id=2017011901294001" target="_blank"&gt;Verified by Public Record&lt;/a&gt;</t>
  </si>
  <si>
    <t>Balcony
Juliet Balcony
Deck
Common Roof Deck</t>
  </si>
  <si>
    <t>&lt;a href="http://a836-acris.nyc.gov/DS/DocumentSearch/DocumentDetail?doc_id=2017012400325001" target="_blank"&gt;Verified by Public Record&lt;/a&gt;</t>
  </si>
  <si>
    <t>&lt;a href="http://a836-acris.nyc.gov/DS/DocumentSearch/DocumentDetail?doc_id=2017012700429001" target="_blank"&gt;Verified by Public Record&lt;/a&gt;</t>
  </si>
  <si>
    <t>&lt;a href="http://a836-acris.nyc.gov/DS/DocumentSearch/DocumentDetail?doc_id=2021060700998003" target="_blank"&gt;Verified by Public Record&lt;/a&gt;</t>
  </si>
  <si>
    <t>&lt;a href="http://a836-acris.nyc.gov/DS/DocumentSearch/DocumentDetail?doc_id=2018082201159001" target="_blank"&gt;Verified by Public Record&lt;/a&gt;</t>
  </si>
  <si>
    <t>&lt;a href="http://a836-acris.nyc.gov/DS/DocumentSearch/DocumentDetail?doc_id=2018083100498001" target="_blank"&gt;Verified by Public Record&lt;/a&gt;</t>
  </si>
  <si>
    <t>&lt;a href="http://a836-acris.nyc.gov/DS/DocumentSearch/DocumentDetail?doc_id=2018082200910001" target="_blank"&gt;Verified by Public Record&lt;/a&gt;</t>
  </si>
  <si>
    <t>&lt;a href="http://a836-acris.nyc.gov/DS/DocumentSearch/DocumentDetail?doc_id=2018092700381001" target="_blank"&gt;Verified by Public Record&lt;/a&gt;</t>
  </si>
  <si>
    <t>&lt;a href="http://a836-acris.nyc.gov/DS/DocumentSearch/DocumentDetail?doc_id=2021060801404001" target="_blank"&gt;Verified by Public Record&lt;/a&gt;</t>
  </si>
  <si>
    <t>&lt;a href="http://a836-acris.nyc.gov/DS/DocumentSearch/DocumentDetail?doc_id=2019040900659001" target="_blank"&gt;Verified by Public Record&lt;/a&gt;</t>
  </si>
  <si>
    <t>&lt;a href="http://a836-acris.nyc.gov/DS/DocumentSearch/DocumentDetail?doc_id=2017012700888001" target="_blank"&gt;Verified by Public Record&lt;/a&gt;</t>
  </si>
  <si>
    <t>&lt;a href="http://a836-acris.nyc.gov/DS/DocumentSearch/DocumentDetail?doc_id=2018102200819001" target="_blank"&gt;Verified by Public Record&lt;/a&gt;</t>
  </si>
  <si>
    <t>&lt;a href="http://a836-acris.nyc.gov/DS/DocumentSearch/DocumentDetail?doc_id=2017062601236001" target="_blank"&gt;Verified by Public Record&lt;/a&gt;</t>
  </si>
  <si>
    <t>&lt;a href="http://a836-acris.nyc.gov/DS/DocumentSearch/DocumentDetail?doc_id=2017062200068002" target="_blank"&gt;Verified by Public Record&lt;/a&gt;</t>
  </si>
  <si>
    <t>&lt;a href="http://a836-acris.nyc.gov/DS/DocumentSearch/DocumentDetail?doc_id=2021071401379001" target="_blank"&gt;Verified by Public Record&lt;/a&gt;</t>
  </si>
  <si>
    <t>&lt;a href="http://a836-acris.nyc.gov/DS/DocumentSearch/DocumentDetail?doc_id=2016111800640001" target="_blank"&gt;Verified by Public Record&lt;/a&gt;</t>
  </si>
  <si>
    <t>Deck
Common Roof Deck
Private Outdoor Space</t>
  </si>
  <si>
    <t>&lt;a href="http://a836-acris.nyc.gov/DS/DocumentSearch/DocumentDetail?doc_id=2017071400432001" target="_blank"&gt;Verified by Public Record&lt;/a&gt;</t>
  </si>
  <si>
    <t>&lt;a href="http://a836-acris.nyc.gov/DS/DocumentSearch/DocumentDetail?doc_id=2017112101574001" target="_blank"&gt;Verified by Public Record&lt;/a&gt;</t>
  </si>
  <si>
    <t>&lt;a href="http://a836-acris.nyc.gov/DS/DocumentSearch/DocumentDetail?doc_id=2017012700323001" target="_blank"&gt;Verified by Public Record&lt;/a&gt;</t>
  </si>
  <si>
    <t>&lt;a href="http://a836-acris.nyc.gov/DS/DocumentSearch/DocumentDetail?doc_id=2015120100701001" target="_blank"&gt;Verified by Public Record&lt;/a&gt;</t>
  </si>
  <si>
    <t>Balcony
Deck
Roof Deck
Common Roof Deck</t>
  </si>
  <si>
    <t>&lt;a href="http://a836-acris.nyc.gov/DS/DocumentSearch/DocumentDetail?doc_id=2016121200672001" target="_blank"&gt;Verified by Public Record&lt;/a&gt;</t>
  </si>
  <si>
    <t>&lt;a href="http://a836-acris.nyc.gov/DS/DocumentSearch/DocumentDetail?doc_id=2017012300632001" target="_blank"&gt;Verified by Public Record&lt;/a&gt;</t>
  </si>
  <si>
    <t>&lt;a href="http://a836-acris.nyc.gov/DS/DocumentSearch/DocumentDetail?doc_id=2017080901203001" target="_blank"&gt;Verified by Public Record&lt;/a&gt;</t>
  </si>
  <si>
    <t>&lt;a href="http://a836-acris.nyc.gov/DS/DocumentSearch/DocumentDetail?doc_id=2017081100154001" target="_blank"&gt;Verified by Public Record&lt;/a&gt;</t>
  </si>
  <si>
    <t>&lt;a href="http://a836-acris.nyc.gov/DS/DocumentSearch/DocumentDetail?doc_id=2018032700344001" target="_blank"&gt;Verified by Public Record&lt;/a&gt;</t>
  </si>
  <si>
    <t>&lt;a href="http://a836-acris.nyc.gov/DS/DocumentSearch/DocumentDetail?doc_id=2017091100709001" target="_blank"&gt;Verified by Public Record&lt;/a&gt;</t>
  </si>
  <si>
    <t>&lt;a href="http://a836-acris.nyc.gov/DS/DocumentSearch/DocumentDetail?doc_id=2017072800843001" target="_blank"&gt;Verified by Public Record&lt;/a&gt;</t>
  </si>
  <si>
    <t>&lt;a href="http://a836-acris.nyc.gov/DS/DocumentSearch/DocumentDetail?doc_id=2017082500034002" target="_blank"&gt;Verified by Public Record&lt;/a&gt;</t>
  </si>
  <si>
    <t>&lt;a href="http://a836-acris.nyc.gov/DS/DocumentSearch/DocumentDetail?doc_id=2017013000360002" target="_blank"&gt;Verified by Public Record&lt;/a&gt;</t>
  </si>
  <si>
    <t>&lt;a href="http://a836-acris.nyc.gov/DS/DocumentSearch/DocumentDetail?doc_id=2019112501005001" target="_blank"&gt;Verified by Public Record&lt;/a&gt;</t>
  </si>
  <si>
    <t>&lt;a href="http://a836-acris.nyc.gov/DS/DocumentSearch/DocumentDetail?doc_id=2018040200574002" target="_blank"&gt;Verified by Public Record&lt;/a&gt;</t>
  </si>
  <si>
    <t>&lt;a href="http://a836-acris.nyc.gov/DS/DocumentSearch/DocumentDetail?doc_id=2017011800853001" target="_blank"&gt;Verified by Public Record&lt;/a&gt;</t>
  </si>
  <si>
    <t>&lt;a href="http://a836-acris.nyc.gov/DS/DocumentSearch/DocumentDetail?doc_id=2019032700437001" target="_blank"&gt;Verified by Public Record&lt;/a&gt;</t>
  </si>
  <si>
    <t>&lt;a href="http://a836-acris.nyc.gov/DS/DocumentSearch/DocumentDetail?doc_id=2017011900623002" target="_blank"&gt;Verified by Public Record&lt;/a&gt;</t>
  </si>
  <si>
    <t>&lt;a href="http://a836-acris.nyc.gov/DS/DocumentSearch/DocumentDetail?doc_id=2016122300310001" target="_blank"&gt;Verified by Public Record&lt;/a&gt;</t>
  </si>
  <si>
    <t>&lt;a href="http://a836-acris.nyc.gov/DS/DocumentSearch/DocumentDetail?doc_id=2020010801328001" target="_blank"&gt;Verified by Public Record&lt;/a&gt;</t>
  </si>
  <si>
    <t>&lt;a href="http://a836-acris.nyc.gov/DS/DocumentSearch/DocumentDetail?doc_id=2021050601354002" target="_blank"&gt;Verified by Public Record&lt;/a&gt;</t>
  </si>
  <si>
    <t>&lt;a href="http://a836-acris.nyc.gov/DS/DocumentSearch/DocumentDetail?doc_id=2016112300581002" target="_blank"&gt;Verified by Public Record&lt;/a&gt;</t>
  </si>
  <si>
    <t>&lt;a href="http://a836-acris.nyc.gov/DS/DocumentSearch/DocumentDetail?doc_id=2021021801358006" target="_blank"&gt;Verified by Public Record&lt;/a&gt;</t>
  </si>
  <si>
    <t>&lt;a href="http://a836-acris.nyc.gov/DS/DocumentSearch/DocumentDetail?doc_id=2017031600182003" target="_blank"&gt;Verified by Public Record&lt;/a&gt;</t>
  </si>
  <si>
    <t>&lt;a href="http://a836-acris.nyc.gov/DS/DocumentSearch/DocumentDetail?doc_id=2017011701416001" target="_blank"&gt;Verified by Public Record&lt;/a&gt;</t>
  </si>
  <si>
    <t>&lt;a href="http://a836-acris.nyc.gov/DS/DocumentSearch/DocumentDetail?doc_id=2017031701105001" target="_blank"&gt;Verified by Public Record&lt;/a&gt;</t>
  </si>
  <si>
    <t>&lt;a href="http://a836-acris.nyc.gov/DS/DocumentSearch/DocumentDetail?doc_id=2017031600230001" target="_blank"&gt;Verified by Public Record&lt;/a&gt;</t>
  </si>
  <si>
    <t>&lt;a href="http://a836-acris.nyc.gov/DS/DocumentSearch/DocumentDetail?doc_id=2017080101315002" target="_blank"&gt;Verified by Public Record&lt;/a&gt;</t>
  </si>
  <si>
    <t>&lt;a href="http://a836-acris.nyc.gov/DS/DocumentSearch/DocumentDetail?doc_id=2019071100958001" target="_blank"&gt;Verified by Public Record&lt;/a&gt;</t>
  </si>
  <si>
    <t>Private Wrap Around Terrace
Common Roof Deck
Common Outdoor Space</t>
  </si>
  <si>
    <t>&lt;a href="http://a836-acris.nyc.gov/DS/DocumentSearch/DocumentDetail?doc_id=2019041100404001" target="_blank"&gt;Verified by Public Record&lt;/a&gt;</t>
  </si>
  <si>
    <t>&lt;a href="http://a836-acris.nyc.gov/DS/DocumentSearch/DocumentDetail?doc_id=2019011800626001" target="_blank"&gt;Verified by Public Record&lt;/a&gt;</t>
  </si>
  <si>
    <t>&lt;a href="http://a836-acris.nyc.gov/DS/DocumentSearch/DocumentDetail?doc_id=2021071200317001" target="_blank"&gt;Verified by Public Record&lt;/a&gt;</t>
  </si>
  <si>
    <t>&lt;a href="http://a836-acris.nyc.gov/DS/DocumentSearch/DocumentDetail?doc_id=2016110400501001" target="_blank"&gt;Verified by Public Record&lt;/a&gt;</t>
  </si>
  <si>
    <t>&lt;a href="http://a836-acris.nyc.gov/DS/DocumentSearch/DocumentDetail?doc_id=2018100200490001" target="_blank"&gt;Verified by Public Record&lt;/a&gt;</t>
  </si>
  <si>
    <t>&lt;a href="http://a836-acris.nyc.gov/DS/DocumentSearch/DocumentDetail?doc_id=2017091201052001" target="_blank"&gt;Verified by Public Record&lt;/a&gt;</t>
  </si>
  <si>
    <t>&lt;a href="http://a836-acris.nyc.gov/DS/DocumentSearch/DocumentDetail?doc_id=2018011500225001" target="_blank"&gt;Verified by Public Record&lt;/a&gt;</t>
  </si>
  <si>
    <t>&lt;a href="http://a836-acris.nyc.gov/DS/DocumentSearch/DocumentDetail?doc_id=2017091300305001" target="_blank"&gt;Verified by Public Record&lt;/a&gt;</t>
  </si>
  <si>
    <t>&lt;a href="http://a836-acris.nyc.gov/DS/DocumentSearch/DocumentDetail?doc_id=2019070300048001" target="_blank"&gt;Verified by Public Record&lt;/a&gt;</t>
  </si>
  <si>
    <t>&lt;a href="http://a836-acris.nyc.gov/DS/DocumentSearch/DocumentDetail?doc_id=2019101101189001" target="_blank"&gt;Verified by Public Record&lt;/a&gt;</t>
  </si>
  <si>
    <t>&lt;a href="http://a836-acris.nyc.gov/DS/DocumentSearch/DocumentDetail?doc_id=2017021701020002" target="_blank"&gt;Verified by Public Record&lt;/a&gt;</t>
  </si>
  <si>
    <t>&lt;a href="http://a836-acris.nyc.gov/DS/DocumentSearch/DocumentDetail?doc_id=2021052601156001" target="_blank"&gt;Verified by Public Record&lt;/a&gt;</t>
  </si>
  <si>
    <t>&lt;a href="http://a836-acris.nyc.gov/DS/DocumentSearch/DocumentDetail?doc_id=2017050800091001" target="_blank"&gt;Verified by Public Record&lt;/a&gt;</t>
  </si>
  <si>
    <t>&lt;a href="http://a836-acris.nyc.gov/DS/DocumentSearch/DocumentDetail?doc_id=2017081000910001" target="_blank"&gt;Verified by Public Record&lt;/a&gt;</t>
  </si>
  <si>
    <t>&lt;a href="http://a836-acris.nyc.gov/DS/DocumentSearch/DocumentDetail?doc_id=2019091300571001" target="_blank"&gt;Verified by Public Record&lt;/a&gt;</t>
  </si>
  <si>
    <t>&lt;a href="http://a836-acris.nyc.gov/DS/DocumentSearch/DocumentDetail?doc_id=2015082800873001" target="_blank"&gt;Verified by Public Record&lt;/a&gt;</t>
  </si>
  <si>
    <t>&lt;a href="http://a836-acris.nyc.gov/DS/DocumentSearch/DocumentDetail?doc_id=2017030800977001" target="_blank"&gt;Verified by Public Record&lt;/a&gt;</t>
  </si>
  <si>
    <t>&lt;a href="http://a836-acris.nyc.gov/DS/DocumentSearch/DocumentDetail?doc_id=2016112200794007" target="_blank"&gt;Verified by Public Record&lt;/a&gt;</t>
  </si>
  <si>
    <t>&lt;a href="http://a836-acris.nyc.gov/DS/DocumentSearch/DocumentDetail?doc_id=2018122801071003" target="_blank"&gt;Verified by Public Record&lt;/a&gt;</t>
  </si>
  <si>
    <t>&lt;a href="http://a836-acris.nyc.gov/DS/DocumentSearch/DocumentDetail?doc_id=2017042601128001" target="_blank"&gt;Verified by Public Record&lt;/a&gt;</t>
  </si>
  <si>
    <t>&lt;a href="http://a836-acris.nyc.gov/DS/DocumentSearch/DocumentDetail?doc_id=2017113000544001" target="_blank"&gt;Verified by Public Record&lt;/a&gt;</t>
  </si>
  <si>
    <t>&lt;a href="http://a836-acris.nyc.gov/DS/DocumentSearch/DocumentDetail?doc_id=2019040900369001" target="_blank"&gt;Verified by Public Record&lt;/a&gt;</t>
  </si>
  <si>
    <t>&lt;a href="http://a836-acris.nyc.gov/DS/DocumentSearch/DocumentDetail?doc_id=2017040200030001" target="_blank"&gt;Verified by Public Record&lt;/a&gt;</t>
  </si>
  <si>
    <t>Verified by Public Record</t>
  </si>
  <si>
    <t>&lt;a href="http://a836-acris.nyc.gov/DS/DocumentSearch/DocumentDetail?doc_id=2020092300247001" target="_blank"&gt;Verified by Public Record&lt;/a&gt;</t>
  </si>
  <si>
    <t>&lt;a href="http://a836-acris.nyc.gov/DS/DocumentSearch/DocumentDetail?doc_id=2016110200594001" target="_blank"&gt;Verified by Public Record&lt;/a&gt;</t>
  </si>
  <si>
    <t>&lt;a href="http://a836-acris.nyc.gov/DS/DocumentSearch/DocumentDetail?doc_id=2017053100592001" target="_blank"&gt;Verified by Public Record&lt;/a&gt;</t>
  </si>
  <si>
    <t>&lt;a href="http://a836-acris.nyc.gov/DS/DocumentSearch/DocumentDetail?doc_id=2017062300672001" target="_blank"&gt;Verified by Public Record&lt;/a&gt;</t>
  </si>
  <si>
    <t>&lt;a href="http://a836-acris.nyc.gov/DS/DocumentSearch/DocumentDetail?doc_id=2016102700776001" target="_blank"&gt;Verified by Public Record&lt;/a&gt;</t>
  </si>
  <si>
    <t>&lt;a href="http://a836-acris.nyc.gov/DS/DocumentSearch/DocumentDetail?doc_id=2016102600624001" target="_blank"&gt;Verified by Public Record&lt;/a&gt;</t>
  </si>
  <si>
    <t>&lt;a href="http://a836-acris.nyc.gov/DS/DocumentSearch/DocumentDetail?doc_id=2016102100633001" target="_blank"&gt;Verified by Public Record&lt;/a&gt;</t>
  </si>
  <si>
    <t>&lt;a href="http://a836-acris.nyc.gov/DS/DocumentSearch/DocumentDetail?doc_id=2016122000022001" target="_blank"&gt;Verified by Public Record&lt;/a&gt;</t>
  </si>
  <si>
    <t>&lt;a href="http://a836-acris.nyc.gov/DS/DocumentSearch/DocumentDetail?doc_id=2019062601195001" target="_blank"&gt;Verified by Public Record&lt;/a&gt;</t>
  </si>
  <si>
    <t>&lt;a href="http://a836-acris.nyc.gov/DS/DocumentSearch/DocumentDetail?doc_id=2020021100815001" target="_blank"&gt;Verified by Public Record&lt;/a&gt;</t>
  </si>
  <si>
    <t>&lt;a href="http://a836-acris.nyc.gov/DS/DocumentSearch/DocumentDetail?doc_id=2017060800602001" target="_blank"&gt;Verified by Public Record&lt;/a&gt;</t>
  </si>
  <si>
    <t>&lt;a href="http://a836-acris.nyc.gov/DS/DocumentSearch/DocumentDetail?doc_id=2017101000340002" target="_blank"&gt;Verified by Public Record&lt;/a&gt;</t>
  </si>
  <si>
    <t>&lt;a href="http://a836-acris.nyc.gov/DS/DocumentSearch/DocumentDetail?doc_id=2020123000358001" target="_blank"&gt;Verified by Public Record&lt;/a&gt;</t>
  </si>
  <si>
    <t>Private Terrace
Private Wrap Around Terrace
Common Roof Deck
Common Outdoor Space
Private Outdoor Space</t>
  </si>
  <si>
    <t>&lt;a href="http://a836-acris.nyc.gov/DS/DocumentSearch/DocumentDetail?doc_id=2020022800973001" target="_blank"&gt;Verified by Public Record&lt;/a&gt;</t>
  </si>
  <si>
    <t>&lt;a href="http://a836-acris.nyc.gov/DS/DocumentSearch/DocumentDetail?doc_id=2019071700327003" target="_blank"&gt;Verified by Public Record&lt;/a&gt;</t>
  </si>
  <si>
    <t>&lt;a href="http://a836-acris.nyc.gov/DS/DocumentSearch/DocumentDetail?doc_id=2020060200663010" target="_blank"&gt;Verified by Public Record&lt;/a&gt;</t>
  </si>
  <si>
    <t>&lt;a href="http://a836-acris.nyc.gov/DS/DocumentSearch/DocumentDetail?doc_id=2019092000008008" target="_blank"&gt;Verified by Public Record&lt;/a&gt;</t>
  </si>
  <si>
    <t>&lt;a href="http://a836-acris.nyc.gov/DS/DocumentSearch/DocumentDetail?doc_id=2020042200171002" target="_blank"&gt;Verified by Public Record&lt;/a&gt;</t>
  </si>
  <si>
    <t>&lt;a href="http://a836-acris.nyc.gov/DS/DocumentSearch/DocumentDetail?doc_id=2017080201013001" target="_blank"&gt;Verified by Public Record&lt;/a&gt;</t>
  </si>
  <si>
    <t>&lt;a href="http://a836-acris.nyc.gov/DS/DocumentSearch/DocumentDetail?doc_id=2016122800894001" target="_blank"&gt;Verified by Public Record&lt;/a&gt;</t>
  </si>
  <si>
    <t>&lt;a href="http://a836-acris.nyc.gov/DS/DocumentSearch/DocumentDetail?doc_id=2019030500038002" target="_blank"&gt;Verified by Public Record&lt;/a&gt;</t>
  </si>
  <si>
    <t>&lt;a href="http://a836-acris.nyc.gov/DS/DocumentSearch/DocumentDetail?doc_id=2016120901006003" target="_blank"&gt;Verified by Public Record&lt;/a&gt;</t>
  </si>
  <si>
    <t>&lt;a href="http://a836-acris.nyc.gov/DS/DocumentSearch/DocumentDetail?doc_id=2017032400901001" target="_blank"&gt;Verified by Public Record&lt;/a&gt;</t>
  </si>
  <si>
    <t>&lt;a href="http://a836-acris.nyc.gov/DS/DocumentSearch/DocumentDetail?doc_id=2016121301534001" target="_blank"&gt;Verified by Public Record&lt;/a&gt;</t>
  </si>
  <si>
    <t>&lt;a href="http://a836-acris.nyc.gov/DS/DocumentSearch/DocumentDetail?doc_id=2020102801146007" target="_blank"&gt;Verified by Public Record&lt;/a&gt;</t>
  </si>
  <si>
    <t>&lt;a href="http://a836-acris.nyc.gov/DS/DocumentSearch/DocumentDetail?doc_id=2017011300491007" target="_blank"&gt;Verified by Public Record&lt;/a&gt;</t>
  </si>
  <si>
    <t>&lt;a href="http://a836-acris.nyc.gov/DS/DocumentSearch/DocumentDetail?doc_id=2016032100995001" target="_blank"&gt;Verified by Public Record&lt;/a&gt;</t>
  </si>
  <si>
    <t>Private Terrace
Deck
Roof Deck
Common Roof Deck
Private Outdoor Space</t>
  </si>
  <si>
    <t>&lt;a href="http://a836-acris.nyc.gov/DS/DocumentSearch/DocumentDetail?doc_id=2016091900705002" target="_blank"&gt;Verified by Public Record&lt;/a&gt;</t>
  </si>
  <si>
    <t>&lt;a href="http://a836-acris.nyc.gov/DS/DocumentSearch/DocumentDetail?doc_id=2016101800570002" target="_blank"&gt;Verified by Public Record&lt;/a&gt;</t>
  </si>
  <si>
    <t>&lt;a href="http://a836-acris.nyc.gov/DS/DocumentSearch/DocumentDetail?doc_id=2017043000085001" target="_blank"&gt;Verified by Public Record&lt;/a&gt;</t>
  </si>
  <si>
    <t>&lt;a href="http://a836-acris.nyc.gov/DS/DocumentSearch/DocumentDetail?doc_id=2017031300776002" target="_blank"&gt;Verified by Public Record&lt;/a&gt;</t>
  </si>
  <si>
    <t>&lt;a href="http://a836-acris.nyc.gov/DS/DocumentSearch/DocumentDetail?doc_id=2018110900868001" target="_blank"&gt;Verified by Public Record&lt;/a&gt;</t>
  </si>
  <si>
    <t>&lt;a href="http://a836-acris.nyc.gov/DS/DocumentSearch/DocumentDetail?doc_id=2017032100484001" target="_blank"&gt;Verified by Public Record&lt;/a&gt;</t>
  </si>
  <si>
    <t>&lt;a href="http://a836-acris.nyc.gov/DS/DocumentSearch/DocumentDetail?doc_id=2016112901229001" target="_blank"&gt;Verified by Public Record&lt;/a&gt;</t>
  </si>
  <si>
    <t>&lt;a href="http://a836-acris.nyc.gov/DS/DocumentSearch/DocumentDetail?doc_id=2021010900147001" target="_blank"&gt;Verified by Public Record&lt;/a&gt;</t>
  </si>
  <si>
    <t>&lt;a href="http://a836-acris.nyc.gov/DS/DocumentSearch/DocumentDetail?doc_id=2018050900812001" target="_blank"&gt;Verified by Public Record&lt;/a&gt;</t>
  </si>
  <si>
    <t>&lt;a href="http://a836-acris.nyc.gov/DS/DocumentSearch/DocumentDetail?doc_id=2019041200367001" target="_blank"&gt;Verified by Public Record&lt;/a&gt;</t>
  </si>
  <si>
    <t>&lt;a href="http://a836-acris.nyc.gov/DS/DocumentSearch/DocumentDetail?doc_id=2019031300461001" target="_blank"&gt;Verified by Public Record&lt;/a&gt;</t>
  </si>
  <si>
    <t>&lt;a href="http://a836-acris.nyc.gov/DS/DocumentSearch/DocumentDetail?doc_id=2016121300326001" target="_blank"&gt;Verified by Public Record&lt;/a&gt;</t>
  </si>
  <si>
    <t>&lt;a href="http://a836-acris.nyc.gov/DS/DocumentSearch/DocumentDetail?doc_id=2016012800112001" target="_blank"&gt;Verified by Public Record&lt;/a&gt;</t>
  </si>
  <si>
    <t>&lt;a href="http://a836-acris.nyc.gov/DS/DocumentSearch/DocumentDetail?doc_id=2016120901200001" target="_blank"&gt;Verified by Public Record&lt;/a&gt;</t>
  </si>
  <si>
    <t>&lt;a href="http://a836-acris.nyc.gov/DS/DocumentSearch/DocumentDetail?doc_id=2018122400227001" target="_blank"&gt;Verified by Public Record&lt;/a&gt;</t>
  </si>
  <si>
    <t>&lt;a href="http://a836-acris.nyc.gov/DS/DocumentSearch/DocumentDetail?doc_id=2019060600927001" target="_blank"&gt;Verified by Public Record&lt;/a&gt;</t>
  </si>
  <si>
    <t>&lt;a href="http://a836-acris.nyc.gov/DS/DocumentSearch/DocumentDetail?doc_id=2019041900266001" target="_blank"&gt;Verified by Public Record&lt;/a&gt;</t>
  </si>
  <si>
    <t>&lt;a href="http://a836-acris.nyc.gov/DS/DocumentSearch/DocumentDetail?doc_id=2021061701447003" target="_blank"&gt;Verified by Public Record&lt;/a&gt;</t>
  </si>
  <si>
    <t>&lt;a href="http://a836-acris.nyc.gov/DS/DocumentSearch/DocumentDetail?doc_id=2017050300282001" target="_blank"&gt;Verified by Public Record&lt;/a&gt;</t>
  </si>
  <si>
    <t>&lt;a href="http://a836-acris.nyc.gov/DS/DocumentSearch/DocumentDetail?doc_id=2018100500257002" target="_blank"&gt;Verified by Public Record&lt;/a&gt;</t>
  </si>
  <si>
    <t>&lt;a href="http://a836-acris.nyc.gov/DS/DocumentSearch/DocumentDetail?doc_id=2019070300776001" target="_blank"&gt;Verified by Public Record&lt;/a&gt;</t>
  </si>
  <si>
    <t>&lt;a href="http://a836-acris.nyc.gov/DS/DocumentSearch/DocumentDetail?doc_id=2017071000214001" target="_blank"&gt;Verified by Public Record&lt;/a&gt;</t>
  </si>
  <si>
    <t>&lt;a href="http://a836-acris.nyc.gov/DS/DocumentSearch/DocumentDetail?doc_id=2017072700231001" target="_blank"&gt;Verified by Public Record&lt;/a&gt;</t>
  </si>
  <si>
    <t>&lt;a href="http://a836-acris.nyc.gov/DS/DocumentSearch/DocumentDetail?doc_id=2017051600538001" target="_blank"&gt;Verified by Public Record&lt;/a&gt;</t>
  </si>
  <si>
    <t>&lt;a href="http://a836-acris.nyc.gov/DS/DocumentSearch/DocumentDetail?doc_id=2021020300874002" target="_blank"&gt;Verified by Public Record&lt;/a&gt;</t>
  </si>
  <si>
    <t>&lt;a href="http://a836-acris.nyc.gov/DS/DocumentSearch/DocumentDetail?doc_id=2016092700778001" target="_blank"&gt;Verified by Public Record&lt;/a&gt;</t>
  </si>
  <si>
    <t>&lt;a href="http://a836-acris.nyc.gov/DS/DocumentSearch/DocumentDetail?doc_id=2017031301001001" target="_blank"&gt;Verified by Public Record&lt;/a&gt;</t>
  </si>
  <si>
    <t>&lt;a href="http://a836-acris.nyc.gov/DS/DocumentSearch/DocumentDetail?doc_id=2019041000934001" target="_blank"&gt;Verified by Public Record&lt;/a&gt;</t>
  </si>
  <si>
    <t>&lt;a href="http://a836-acris.nyc.gov/DS/DocumentSearch/DocumentDetail?doc_id=2017091501036001" target="_blank"&gt;Verified by Public Record&lt;/a&gt;</t>
  </si>
  <si>
    <t>&lt;a href="http://a836-acris.nyc.gov/DS/DocumentSearch/DocumentDetail?doc_id=2017012401513001" target="_blank"&gt;Verified by Public Record&lt;/a&gt;</t>
  </si>
  <si>
    <t>&lt;a href="http://a836-acris.nyc.gov/DS/DocumentSearch/DocumentDetail?doc_id=2017081400267001" target="_blank"&gt;Verified by Public Record&lt;/a&gt;</t>
  </si>
  <si>
    <t>&lt;a href="http://a836-acris.nyc.gov/DS/DocumentSearch/DocumentDetail?doc_id=2019032500163001" target="_blank"&gt;Verified by Public Record&lt;/a&gt;</t>
  </si>
  <si>
    <t>&lt;a href="http://a836-acris.nyc.gov/DS/DocumentSearch/DocumentDetail?doc_id=2019082800713001" target="_blank"&gt;Verified by Public Record&lt;/a&gt;</t>
  </si>
  <si>
    <t>&lt;a href="http://a836-acris.nyc.gov/DS/DocumentSearch/DocumentDetail?doc_id=2021071900844001" target="_blank"&gt;Verified by Public Record&lt;/a&gt;</t>
  </si>
  <si>
    <t>&lt;a href="http://a836-acris.nyc.gov/DS/DocumentSearch/DocumentDetail?doc_id=2016101900940001" target="_blank"&gt;Verified by Public Record&lt;/a&gt;</t>
  </si>
  <si>
    <t>&lt;a href="http://a836-acris.nyc.gov/DS/DocumentSearch/DocumentDetail?doc_id=2016102400529001" target="_blank"&gt;Verified by Public Record&lt;/a&gt;</t>
  </si>
  <si>
    <t>&lt;a href="http://a836-acris.nyc.gov/DS/DocumentSearch/DocumentDetail?doc_id=2016102400962001" target="_blank"&gt;Verified by Public Record&lt;/a&gt;</t>
  </si>
  <si>
    <t>&lt;a href="http://a836-acris.nyc.gov/DS/DocumentSearch/DocumentDetail?doc_id=2016112901094002" target="_blank"&gt;Verified by Public Record&lt;/a&gt;</t>
  </si>
  <si>
    <t>&lt;a href="http://a836-acris.nyc.gov/DS/DocumentSearch/DocumentDetail?doc_id=2016101800596001" target="_blank"&gt;Verified by Public Record&lt;/a&gt;</t>
  </si>
  <si>
    <t>&lt;a href="http://a836-acris.nyc.gov/DS/DocumentSearch/DocumentDetail?doc_id=2016112301126001" target="_blank"&gt;Verified by Public Record&lt;/a&gt;</t>
  </si>
  <si>
    <t>&lt;a href="http://a836-acris.nyc.gov/DS/DocumentSearch/DocumentDetail?doc_id=2016101400294003" target="_blank"&gt;Verified by Public Record&lt;/a&gt;</t>
  </si>
  <si>
    <t>&lt;a href="http://a836-acris.nyc.gov/DS/DocumentSearch/DocumentDetail?doc_id=2017102401203001" target="_blank"&gt;Verified by Public Record&lt;/a&gt;</t>
  </si>
  <si>
    <t>&lt;a href="http://a836-acris.nyc.gov/DS/DocumentSearch/DocumentDetail?doc_id=2018032801392003" target="_blank"&gt;Verified by Public Record&lt;/a&gt;</t>
  </si>
  <si>
    <t>&lt;a href="http://a836-acris.nyc.gov/DS/DocumentSearch/DocumentDetail?doc_id=2019032600529002" target="_blank"&gt;Verified by Public Record&lt;/a&gt;</t>
  </si>
  <si>
    <t>&lt;a href="http://a836-acris.nyc.gov/DS/DocumentSearch/DocumentDetail?doc_id=2018030700669001" target="_blank"&gt;Verified by Public Record&lt;/a&gt;</t>
  </si>
  <si>
    <t>&lt;a href="http://a836-acris.nyc.gov/DS/DocumentSearch/DocumentDetail?doc_id=2017091200572001" target="_blank"&gt;Verified by Public Record&lt;/a&gt;</t>
  </si>
  <si>
    <t>&lt;a href="http://a836-acris.nyc.gov/DS/DocumentSearch/DocumentDetail?doc_id=2017091301136001" target="_blank"&gt;Verified by Public Record&lt;/a&gt;</t>
  </si>
  <si>
    <t>&lt;a href="http://a836-acris.nyc.gov/DS/DocumentSearch/DocumentDetail?doc_id=2019070200308002" target="_blank"&gt;Verified by Public Record&lt;/a&gt;</t>
  </si>
  <si>
    <t>&lt;a href="http://a836-acris.nyc.gov/DS/DocumentSearch/DocumentDetail?doc_id=2017080100284001" target="_blank"&gt;Verified by Public Record&lt;/a&gt;</t>
  </si>
  <si>
    <t>&lt;a href="http://a836-acris.nyc.gov/DS/DocumentSearch/DocumentDetail?doc_id=2017090100620004" target="_blank"&gt;Verified by Public Record&lt;/a&gt;</t>
  </si>
  <si>
    <t>&lt;a href="http://a836-acris.nyc.gov/DS/DocumentSearch/DocumentDetail?doc_id=2019031200244001" target="_blank"&gt;Verified by Public Record&lt;/a&gt;</t>
  </si>
  <si>
    <t>&lt;a href="http://a836-acris.nyc.gov/DS/DocumentSearch/DocumentDetail?doc_id=2019070500179002" target="_blank"&gt;Verified by Public Record&lt;/a&gt;</t>
  </si>
  <si>
    <t>&lt;a href="http://a836-acris.nyc.gov/DS/DocumentSearch/DocumentDetail?doc_id=2017011901553001" target="_blank"&gt;Verified by Public Record&lt;/a&gt;</t>
  </si>
  <si>
    <t>&lt;a href="http://a836-acris.nyc.gov/DS/DocumentSearch/DocumentDetail?doc_id=2016062200027001" target="_blank"&gt;Verified by Public Record&lt;/a&gt;</t>
  </si>
  <si>
    <t>&lt;a href="http://a836-acris.nyc.gov/DS/DocumentSearch/DocumentDetail?doc_id=2016052400201001" target="_blank"&gt;Verified by Public Record&lt;/a&gt;</t>
  </si>
  <si>
    <t>&lt;a href="http://a836-acris.nyc.gov/DS/DocumentSearch/DocumentDetail?doc_id=2016110200797001" target="_blank"&gt;Verified by Public Record&lt;/a&gt;</t>
  </si>
  <si>
    <t>&lt;a href="http://a836-acris.nyc.gov/DS/DocumentSearch/DocumentDetail?doc_id=2017032300942001" target="_blank"&gt;Verified by Public Record&lt;/a&gt;</t>
  </si>
  <si>
    <t>&lt;a href="http://a836-acris.nyc.gov/DS/DocumentSearch/DocumentDetail?doc_id=2021060401241001" target="_blank"&gt;Verified by Public Record&lt;/a&gt;</t>
  </si>
  <si>
    <t>&lt;a href="http://a836-acris.nyc.gov/DS/DocumentSearch/DocumentDetail?doc_id=2018103100744001" target="_blank"&gt;Verified by Public Record&lt;/a&gt;</t>
  </si>
  <si>
    <t>&lt;a href="http://a836-acris.nyc.gov/DS/DocumentSearch/DocumentDetail?doc_id=2015120401043001" target="_blank"&gt;Verified by Public Record&lt;/a&gt;</t>
  </si>
  <si>
    <t>Balcony
Juliet Balcony
Deck
Roof Deck
Common Roof Deck
Private Outdoor Space</t>
  </si>
  <si>
    <t>&lt;a href="http://a836-acris.nyc.gov/DS/DocumentSearch/DocumentDetail?doc_id=2020091500740001" target="_blank"&gt;Verified by Public Record&lt;/a&gt;</t>
  </si>
  <si>
    <t>Balcony
Private Terrace
Private Roof Deck
Common Roof Deck
Common Outdoor Space
Private Outdoor Space</t>
  </si>
  <si>
    <t>&lt;a href="http://a836-acris.nyc.gov/DS/DocumentSearch/DocumentDetail?doc_id=2016110400483002" target="_blank"&gt;Verified by Public Record&lt;/a&gt;</t>
  </si>
  <si>
    <t>&lt;a href="http://a836-acris.nyc.gov/DS/DocumentSearch/DocumentDetail?doc_id=2016111600525001" target="_blank"&gt;Verified by Public Record&lt;/a&gt;</t>
  </si>
  <si>
    <t>&lt;a href="http://a836-acris.nyc.gov/DS/DocumentSearch/DocumentDetail?doc_id=2017062900840001" target="_blank"&gt;Verified by Public Record&lt;/a&gt;</t>
  </si>
  <si>
    <t>Private Terrace
Patio
Roof Deck
Common Roof Deck
Common Outdoor Space</t>
  </si>
  <si>
    <t>&lt;a href="http://a836-acris.nyc.gov/DS/DocumentSearch/DocumentDetail?doc_id=2016113000715001" target="_blank"&gt;Verified by Public Record&lt;/a&gt;</t>
  </si>
  <si>
    <t>&lt;a href="http://a836-acris.nyc.gov/DS/DocumentSearch/DocumentDetail?doc_id=2017012000716001" target="_blank"&gt;Verified by Public Record&lt;/a&gt;</t>
  </si>
  <si>
    <t>&lt;a href="http://a836-acris.nyc.gov/DS/DocumentSearch/DocumentDetail?doc_id=2016061001871001" target="_blank"&gt;Verified by Public Record&lt;/a&gt;</t>
  </si>
  <si>
    <t>&lt;a href="http://a836-acris.nyc.gov/DS/DocumentSearch/DocumentDetail?doc_id=2019020600566001" target="_blank"&gt;Verified by Public Record&lt;/a&gt;</t>
  </si>
  <si>
    <t>Private Terrace
Private Wrap Around Terrace
Common Roof Deck
Common Outdoor Space</t>
  </si>
  <si>
    <t>&lt;a href="http://a836-acris.nyc.gov/DS/DocumentSearch/DocumentDetail?doc_id=2017122101377003" target="_blank"&gt;Verified by Public Record&lt;/a&gt;</t>
  </si>
  <si>
    <t>&lt;a href="http://a836-acris.nyc.gov/DS/DocumentSearch/DocumentDetail?doc_id=2016120600301001" target="_blank"&gt;Verified by Public Record&lt;/a&gt;</t>
  </si>
  <si>
    <t>Balcony
Private Terrace
Common Outdoor Space
Private Outdoor Space</t>
  </si>
  <si>
    <t>&lt;a href="http://a836-acris.nyc.gov/DS/DocumentSearch/DocumentDetail?doc_id=2016102000997001" target="_blank"&gt;Verified by Public Record&lt;/a&gt;</t>
  </si>
  <si>
    <t>&lt;a href="http://a836-acris.nyc.gov/DS/DocumentSearch/DocumentDetail?doc_id=2017082100046001" target="_blank"&gt;Verified by Public Record&lt;/a&gt;</t>
  </si>
  <si>
    <t>&lt;a href="http://a836-acris.nyc.gov/DS/DocumentSearch/DocumentDetail?doc_id=2017031600706001" target="_blank"&gt;Verified by Public Record&lt;/a&gt;</t>
  </si>
  <si>
    <t>&lt;a href="http://a836-acris.nyc.gov/DS/DocumentSearch/DocumentDetail?doc_id=2019080800880002" target="_blank"&gt;Verified by Public Record&lt;/a&gt;</t>
  </si>
  <si>
    <t>&lt;a href="http://a836-acris.nyc.gov/DS/DocumentSearch/DocumentDetail?doc_id=2020012700897001" target="_blank"&gt;Verified by Public Record&lt;/a&gt;</t>
  </si>
  <si>
    <t>&lt;a href="http://a836-acris.nyc.gov/DS/DocumentSearch/DocumentDetail?doc_id=2020010200184001" target="_blank"&gt;Verified by Public Record&lt;/a&gt;</t>
  </si>
  <si>
    <t>&lt;a href="http://a836-acris.nyc.gov/DS/DocumentSearch/DocumentDetail?doc_id=2019070100552003" target="_blank"&gt;Verified by Public Record&lt;/a&gt;</t>
  </si>
  <si>
    <t>&lt;a href="http://a836-acris.nyc.gov/DS/DocumentSearch/DocumentDetail?doc_id=2017071200261001" target="_blank"&gt;Verified by Public Record&lt;/a&gt;</t>
  </si>
  <si>
    <t>&lt;a href="http://a836-acris.nyc.gov/DS/DocumentSearch/DocumentDetail?doc_id=2019062400706009" target="_blank"&gt;Verified by Public Record&lt;/a&gt;</t>
  </si>
  <si>
    <t>&lt;a href="http://a836-acris.nyc.gov/DS/DocumentSearch/DocumentDetail?doc_id=2018081601291001" target="_blank"&gt;Verified by Public Record&lt;/a&gt;</t>
  </si>
  <si>
    <t>&lt;a href="http://a836-acris.nyc.gov/DS/DocumentSearch/DocumentDetail?doc_id=2017040200018001" target="_blank"&gt;Verified by Public Record&lt;/a&gt;</t>
  </si>
  <si>
    <t>&lt;a href="http://a836-acris.nyc.gov/DS/DocumentSearch/DocumentDetail?doc_id=2016113000039001" target="_blank"&gt;Verified by Public Record&lt;/a&gt;</t>
  </si>
  <si>
    <t>Balcony
Private Terrace
Private Roof Deck
Common Outdoor Space
Private Outdoor Space</t>
  </si>
  <si>
    <t>&lt;a href="http://a836-acris.nyc.gov/DS/DocumentSearch/DocumentDetail?doc_id=2020030200308002" target="_blank"&gt;Verified by Public Record&lt;/a&gt;</t>
  </si>
  <si>
    <t>&lt;a href="http://a836-acris.nyc.gov/DS/DocumentSearch/DocumentDetail?doc_id=2019050300215001" target="_blank"&gt;Verified by Public Record&lt;/a&gt;</t>
  </si>
  <si>
    <t>&lt;a href="http://a836-acris.nyc.gov/DS/DocumentSearch/DocumentDetail?doc_id=2016110401090003" target="_blank"&gt;Verified by Public Record&lt;/a&gt;</t>
  </si>
  <si>
    <t>&lt;a href="http://a836-acris.nyc.gov/DS/DocumentSearch/DocumentDetail?doc_id=2016111701041001" target="_blank"&gt;Verified by Public Record&lt;/a&gt;</t>
  </si>
  <si>
    <t>&lt;a href="http://a836-acris.nyc.gov/DS/DocumentSearch/DocumentDetail?doc_id=2017011900902002" target="_blank"&gt;Verified by Public Record&lt;/a&gt;</t>
  </si>
  <si>
    <t>&lt;a href="http://a836-acris.nyc.gov/DS/DocumentSearch/DocumentDetail?doc_id=2017013100649001" target="_blank"&gt;Verified by Public Record&lt;/a&gt;</t>
  </si>
  <si>
    <t>&lt;a href="http://a836-acris.nyc.gov/DS/DocumentSearch/DocumentDetail?doc_id=2016062004049001" target="_blank"&gt;Verified by Public Record&lt;/a&gt;</t>
  </si>
  <si>
    <t>&lt;a href="http://a836-acris.nyc.gov/DS/DocumentSearch/DocumentDetail?doc_id=2020050700855001" target="_blank"&gt;Verified by Public Record&lt;/a&gt;</t>
  </si>
  <si>
    <t>&lt;a href="http://a836-acris.nyc.gov/DS/DocumentSearch/DocumentDetail?doc_id=2019082100159001" target="_blank"&gt;Verified by Public Record&lt;/a&gt;</t>
  </si>
  <si>
    <t>&lt;a href="http://a836-acris.nyc.gov/DS/DocumentSearch/DocumentDetail?doc_id=2016051201018002" target="_blank"&gt;Verified by Public Record&lt;/a&gt;</t>
  </si>
  <si>
    <t>&lt;a href="http://a836-acris.nyc.gov/DS/DocumentSearch/DocumentDetail?doc_id=2019070200593001" target="_blank"&gt;Verified by Public Record&lt;/a&gt;</t>
  </si>
  <si>
    <t>&lt;a href="http://a836-acris.nyc.gov/DS/DocumentSearch/DocumentDetail?doc_id=2019032700726001" target="_blank"&gt;Verified by Public Record&lt;/a&gt;</t>
  </si>
  <si>
    <t>&lt;a href="http://a836-acris.nyc.gov/DS/DocumentSearch/DocumentDetail?doc_id=2017081400300001" target="_blank"&gt;Verified by Public Record&lt;/a&gt;</t>
  </si>
  <si>
    <t>&lt;a href="http://a836-acris.nyc.gov/DS/DocumentSearch/DocumentDetail?doc_id=2021062900997001" target="_blank"&gt;Verified by Public Record&lt;/a&gt;</t>
  </si>
  <si>
    <t>&lt;a href="http://a836-acris.nyc.gov/DS/DocumentSearch/DocumentDetail?doc_id=2017011801036001" target="_blank"&gt;Verified by Public Record&lt;/a&gt;</t>
  </si>
  <si>
    <t>&lt;a href="http://a836-acris.nyc.gov/DS/DocumentSearch/DocumentDetail?doc_id=2017120800907003" target="_blank"&gt;Verified by Public Record&lt;/a&gt;</t>
  </si>
  <si>
    <t>&lt;a href="http://a836-acris.nyc.gov/DS/DocumentSearch/DocumentDetail?doc_id=2017101900396001" target="_blank"&gt;Verified by Public Record&lt;/a&gt;</t>
  </si>
  <si>
    <t>&lt;a href="http://a836-acris.nyc.gov/DS/DocumentSearch/DocumentDetail?doc_id=2016100800050001" target="_blank"&gt;Verified by Public Record&lt;/a&gt;</t>
  </si>
  <si>
    <t>&lt;a href="http://a836-acris.nyc.gov/DS/DocumentSearch/DocumentDetail?doc_id=2017040400997002" target="_blank"&gt;Verified by Public Record&lt;/a&gt;</t>
  </si>
  <si>
    <t>&lt;a href="http://a836-acris.nyc.gov/DS/DocumentSearch/DocumentDetail?doc_id=2017082400334001" target="_blank"&gt;Verified by Public Record&lt;/a&gt;</t>
  </si>
  <si>
    <t>&lt;a href="http://a836-acris.nyc.gov/DS/DocumentSearch/DocumentDetail?doc_id=2017073100241001" target="_blank"&gt;Verified by Public Record&lt;/a&gt;</t>
  </si>
  <si>
    <t>&lt;a href="http://a836-acris.nyc.gov/DS/DocumentSearch/DocumentDetail?doc_id=2017082400860001" target="_blank"&gt;Verified by Public Record&lt;/a&gt;</t>
  </si>
  <si>
    <t>&lt;a href="http://a836-acris.nyc.gov/DS/DocumentSearch/DocumentDetail?doc_id=2018061200384003" target="_blank"&gt;Verified by Public Record&lt;/a&gt;</t>
  </si>
  <si>
    <t>&lt;a href="http://a836-acris.nyc.gov/DS/DocumentSearch/DocumentDetail?doc_id=2016071100725001" target="_blank"&gt;Verified by Public Record&lt;/a&gt;</t>
  </si>
  <si>
    <t>&lt;a href="http://a836-acris.nyc.gov/DS/DocumentSearch/DocumentDetail?doc_id=2016062801468002" target="_blank"&gt;Verified by Public Record&lt;/a&gt;</t>
  </si>
  <si>
    <t>&lt;a href="http://a836-acris.nyc.gov/DS/DocumentSearch/DocumentDetail?doc_id=2019052300348003" target="_blank"&gt;Verified by Public Record&lt;/a&gt;</t>
  </si>
  <si>
    <t>&lt;a href="http://a836-acris.nyc.gov/DS/DocumentSearch/DocumentDetail?doc_id=2017082100241001" target="_blank"&gt;Verified by Public Record&lt;/a&gt;</t>
  </si>
  <si>
    <t>&lt;a href="http://a836-acris.nyc.gov/DS/DocumentSearch/DocumentDetail?doc_id=2020123001250006" target="_blank"&gt;Verified by Public Record&lt;/a&gt;</t>
  </si>
  <si>
    <t>&lt;a href="http://a836-acris.nyc.gov/DS/DocumentSearch/DocumentDetail?doc_id=2016092000665001" target="_blank"&gt;Verified by Public Record&lt;/a&gt;</t>
  </si>
  <si>
    <t>&lt;a href="http://a836-acris.nyc.gov/DS/DocumentSearch/DocumentDetail?doc_id=2017082400332001" target="_blank"&gt;Verified by Public Record&lt;/a&gt;</t>
  </si>
  <si>
    <t>&lt;a href="http://a836-acris.nyc.gov/DS/DocumentSearch/DocumentDetail?doc_id=2021051701516001" target="_blank"&gt;Verified by Public Record&lt;/a&gt;</t>
  </si>
  <si>
    <t>&lt;a href="http://a836-acris.nyc.gov/DS/DocumentSearch/DocumentDetail?doc_id=2021051900387001" target="_blank"&gt;Verified by Public Record&lt;/a&gt;</t>
  </si>
  <si>
    <t>&lt;a href="http://a836-acris.nyc.gov/DS/DocumentSearch/DocumentDetail?doc_id=2017063000848003" target="_blank"&gt;Verified by Public Record&lt;/a&gt;</t>
  </si>
  <si>
    <t>&lt;a href="http://a836-acris.nyc.gov/DS/DocumentSearch/DocumentDetail?doc_id=2016060100974005" target="_blank"&gt;Verified by Public Record&lt;/a&gt;</t>
  </si>
  <si>
    <t>&lt;a href="http://a836-acris.nyc.gov/DS/DocumentSearch/DocumentDetail?doc_id=2017030700258009" target="_blank"&gt;Verified by Public Record&lt;/a&gt;</t>
  </si>
  <si>
    <t>&lt;a href="http://a836-acris.nyc.gov/DS/DocumentSearch/DocumentDetail?doc_id=2016111100632002" target="_blank"&gt;Verified by Public Record&lt;/a&gt;</t>
  </si>
  <si>
    <t>&lt;a href="http://a836-acris.nyc.gov/DS/DocumentSearch/DocumentDetail?doc_id=2017081701525001" target="_blank"&gt;Verified by Public Record&lt;/a&gt;</t>
  </si>
  <si>
    <t>&lt;a href="http://a836-acris.nyc.gov/DS/DocumentSearch/DocumentDetail?doc_id=2019081600111005" target="_blank"&gt;Verified by Public Record&lt;/a&gt;</t>
  </si>
  <si>
    <t>&lt;a href="http://a836-acris.nyc.gov/DS/DocumentSearch/DocumentDetail?doc_id=2017072100450001" target="_blank"&gt;Verified by Public Record&lt;/a&gt;</t>
  </si>
  <si>
    <t>&lt;a href="http://a836-acris.nyc.gov/DS/DocumentSearch/DocumentDetail?doc_id=2019080601446006" target="_blank"&gt;Verified by Public Record&lt;/a&gt;</t>
  </si>
  <si>
    <t>&lt;a href="http://a836-acris.nyc.gov/DS/DocumentSearch/DocumentDetail?doc_id=2019120200598001" target="_blank"&gt;Verified by Public Record&lt;/a&gt;</t>
  </si>
  <si>
    <t>&lt;a href="http://a836-acris.nyc.gov/DS/DocumentSearch/DocumentDetail?doc_id=2019120400706001" target="_blank"&gt;Verified by Public Record&lt;/a&gt;</t>
  </si>
  <si>
    <t>&lt;a href="http://a836-acris.nyc.gov/DS/DocumentSearch/DocumentDetail?doc_id=2017052201101001" target="_blank"&gt;Verified by Public Record&lt;/a&gt;</t>
  </si>
  <si>
    <t>&lt;a href="http://a836-acris.nyc.gov/DS/DocumentSearch/DocumentDetail?doc_id=2017042400553001" target="_blank"&gt;Verified by Public Record&lt;/a&gt;</t>
  </si>
  <si>
    <t>&lt;a href="http://a836-acris.nyc.gov/DS/DocumentSearch/DocumentDetail?doc_id=2017062801465002" target="_blank"&gt;Verified by Public Record&lt;/a&gt;</t>
  </si>
  <si>
    <t>&lt;a href="http://a836-acris.nyc.gov/DS/DocumentSearch/DocumentDetail?doc_id=2017110101596001" target="_blank"&gt;Verified by Public Record&lt;/a&gt;</t>
  </si>
  <si>
    <t>&lt;a href="http://a836-acris.nyc.gov/DS/DocumentSearch/DocumentDetail?doc_id=2017053001209002" target="_blank"&gt;Verified by Public Record&lt;/a&gt;</t>
  </si>
  <si>
    <t>&lt;a href="http://a836-acris.nyc.gov/DS/DocumentSearch/DocumentDetail?doc_id=2017122100065001" target="_blank"&gt;Verified by Public Record&lt;/a&gt;</t>
  </si>
  <si>
    <t>&lt;a href="http://a836-acris.nyc.gov/DS/DocumentSearch/DocumentDetail?doc_id=2021042200757001" target="_blank"&gt;Verified by Public Record&lt;/a&gt;</t>
  </si>
  <si>
    <t>&lt;a href="http://a836-acris.nyc.gov/DS/DocumentSearch/DocumentDetail?doc_id=2019052400938001" target="_blank"&gt;Verified by Public Record&lt;/a&gt;</t>
  </si>
  <si>
    <t>&lt;a href="http://a836-acris.nyc.gov/DS/DocumentSearch/DocumentDetail?doc_id=2019052201135003" target="_blank"&gt;Verified by Public Record&lt;/a&gt;</t>
  </si>
  <si>
    <t>&lt;a href="http://a836-acris.nyc.gov/DS/DocumentSearch/DocumentDetail?doc_id=2019052900053001" target="_blank"&gt;Verified by Public Record&lt;/a&gt;</t>
  </si>
  <si>
    <t>&lt;a href="http://a836-acris.nyc.gov/DS/DocumentSearch/DocumentDetail?doc_id=2020031700405006" target="_blank"&gt;Verified by Public Record&lt;/a&gt;</t>
  </si>
  <si>
    <t>&lt;a href="http://a836-acris.nyc.gov/DS/DocumentSearch/DocumentDetail?doc_id=2018120400386001" target="_blank"&gt;Verified by Public Record&lt;/a&gt;</t>
  </si>
  <si>
    <t>Private Terrace
Private Patio
Patio
Deck
Common Roof Deck
Barbecue Area
Common Garden
Common Outdoor Space
Private Outdoor Space</t>
  </si>
  <si>
    <t>&lt;a href="http://a836-acris.nyc.gov/DS/DocumentSearch/DocumentDetail?doc_id=2017081401132002" target="_blank"&gt;Verified by Public Record&lt;/a&gt;</t>
  </si>
  <si>
    <t>&lt;a href="http://a836-acris.nyc.gov/DS/DocumentSearch/DocumentDetail?doc_id=2017082300261001" target="_blank"&gt;Verified by Public Record&lt;/a&gt;</t>
  </si>
  <si>
    <t>&lt;a href="http://a836-acris.nyc.gov/DS/DocumentSearch/DocumentDetail?doc_id=2017101600637001" target="_blank"&gt;Verified by Public Record&lt;/a&gt;</t>
  </si>
  <si>
    <t>&lt;a href="http://a836-acris.nyc.gov/DS/DocumentSearch/DocumentDetail?doc_id=2019062501091001" target="_blank"&gt;Verified by Public Record&lt;/a&gt;</t>
  </si>
  <si>
    <t>&lt;a href="http://a836-acris.nyc.gov/DS/DocumentSearch/DocumentDetail?doc_id=2019050600366001" target="_blank"&gt;Verified by Public Record&lt;/a&gt;</t>
  </si>
  <si>
    <t>&lt;a href="http://a836-acris.nyc.gov/DS/DocumentSearch/DocumentDetail?doc_id=2019041500552008" target="_blank"&gt;Verified by Public Record&lt;/a&gt;</t>
  </si>
  <si>
    <t>&lt;a href="http://a836-acris.nyc.gov/DS/DocumentSearch/DocumentDetail?doc_id=2019050800725002" target="_blank"&gt;Verified by Public Record&lt;/a&gt;</t>
  </si>
  <si>
    <t>&lt;a href="http://a836-acris.nyc.gov/DS/DocumentSearch/DocumentDetail?doc_id=2019042901118002" target="_blank"&gt;Verified by Public Record&lt;/a&gt;</t>
  </si>
  <si>
    <t>&lt;a href="http://a836-acris.nyc.gov/DS/DocumentSearch/DocumentDetail?doc_id=2019050800312001" target="_blank"&gt;Verified by Public Record&lt;/a&gt;</t>
  </si>
  <si>
    <t>&lt;a href="http://a836-acris.nyc.gov/DS/DocumentSearch/DocumentDetail?doc_id=2019031800802001" target="_blank"&gt;Verified by Public Record&lt;/a&gt;</t>
  </si>
  <si>
    <t>&lt;a href="http://a836-acris.nyc.gov/DS/DocumentSearch/DocumentDetail?doc_id=2018112001184001" target="_blank"&gt;Verified by Public Record&lt;/a&gt;</t>
  </si>
  <si>
    <t>&lt;a href="http://a836-acris.nyc.gov/DS/DocumentSearch/DocumentDetail?doc_id=2017101000642001" target="_blank"&gt;Verified by Public Record&lt;/a&gt;</t>
  </si>
  <si>
    <t>&lt;a href="http://a836-acris.nyc.gov/DS/DocumentSearch/DocumentDetail?doc_id=2017041700960001" target="_blank"&gt;Verified by Public Record&lt;/a&gt;</t>
  </si>
  <si>
    <t>&lt;a href="http://a836-acris.nyc.gov/DS/DocumentSearch/DocumentDetail?doc_id=2017042500832001" target="_blank"&gt;Verified by Public Record&lt;/a&gt;</t>
  </si>
  <si>
    <t>&lt;a href="http://a836-acris.nyc.gov/DS/DocumentSearch/DocumentDetail?doc_id=2017050200105001" target="_blank"&gt;Verified by Public Record&lt;/a&gt;</t>
  </si>
  <si>
    <t>&lt;a href="http://a836-acris.nyc.gov/DS/DocumentSearch/DocumentDetail?doc_id=2020021200785001" target="_blank"&gt;Verified by Public Record&lt;/a&gt;</t>
  </si>
  <si>
    <t>&lt;a href="http://a836-acris.nyc.gov/DS/DocumentSearch/DocumentDetail?doc_id=2020082100179001" target="_blank"&gt;Public Record Only&lt;/a&gt;</t>
  </si>
  <si>
    <t>&lt;a href="http://a836-acris.nyc.gov/DS/DocumentSearch/DocumentDetail?doc_id=2019061200194001" target="_blank"&gt;Verified by Public Record&lt;/a&gt;</t>
  </si>
  <si>
    <t>&lt;a href="http://a836-acris.nyc.gov/DS/DocumentSearch/DocumentDetail?doc_id=2020092201187002" target="_blank"&gt;Verified by Public Record&lt;/a&gt;</t>
  </si>
  <si>
    <t>&lt;a href="http://a836-acris.nyc.gov/DS/DocumentSearch/DocumentDetail?doc_id=2017050401404002" target="_blank"&gt;Verified by Public Record&lt;/a&gt;</t>
  </si>
  <si>
    <t>&lt;a href="http://a836-acris.nyc.gov/DS/DocumentSearch/DocumentDetail?doc_id=2019041201048001" target="_blank"&gt;Verified by Public Record&lt;/a&gt;</t>
  </si>
  <si>
    <t>&lt;a href="http://a836-acris.nyc.gov/DS/DocumentSearch/DocumentDetail?doc_id=2020041400484001" target="_blank"&gt;Verified by Public Record&lt;/a&gt;</t>
  </si>
  <si>
    <t>&lt;a href="http://a836-acris.nyc.gov/DS/DocumentSearch/DocumentDetail?doc_id=2021030400384004" target="_blank"&gt;Verified by Public Record&lt;/a&gt;</t>
  </si>
  <si>
    <t>&lt;a href="http://a836-acris.nyc.gov/DS/DocumentSearch/DocumentDetail?doc_id=2017041000382001" target="_blank"&gt;Verified by Public Record&lt;/a&gt;</t>
  </si>
  <si>
    <t>&lt;a href="http://a836-acris.nyc.gov/DS/DocumentSearch/DocumentDetail?doc_id=2017030200010001" target="_blank"&gt;Verified by Public Record&lt;/a&gt;</t>
  </si>
  <si>
    <t>&lt;a href="http://a836-acris.nyc.gov/DS/DocumentSearch/DocumentDetail?doc_id=2020032500268002" target="_blank"&gt;Verified by Public Record&lt;/a&gt;</t>
  </si>
  <si>
    <t>&lt;a href="http://a836-acris.nyc.gov/DS/DocumentSearch/DocumentDetail?doc_id=2020030600454001" target="_blank"&gt;Verified by Public Record&lt;/a&gt;</t>
  </si>
  <si>
    <t>&lt;a href="http://a836-acris.nyc.gov/DS/DocumentSearch/DocumentDetail?doc_id=2020030200415001" target="_blank"&gt;Verified by Public Record&lt;/a&gt;</t>
  </si>
  <si>
    <t>&lt;a href="http://a836-acris.nyc.gov/DS/DocumentSearch/DocumentDetail?doc_id=2020032300911001" target="_blank"&gt;Verified by Public Record&lt;/a&gt;</t>
  </si>
  <si>
    <t>&lt;a href="http://a836-acris.nyc.gov/DS/DocumentSearch/DocumentDetail?doc_id=2019052300069001" target="_blank"&gt;Verified by Public Record&lt;/a&gt;</t>
  </si>
  <si>
    <t>&lt;a href="http://a836-acris.nyc.gov/DS/DocumentSearch/DocumentDetail?doc_id=2020052100537001" target="_blank"&gt;Verified by Public Record&lt;/a&gt;</t>
  </si>
  <si>
    <t>&lt;a href="http://a836-acris.nyc.gov/DS/DocumentSearch/DocumentDetail?doc_id=2019061800128004" target="_blank"&gt;Verified by Public Record&lt;/a&gt;</t>
  </si>
  <si>
    <t>&lt;a href="http://a836-acris.nyc.gov/DS/DocumentSearch/DocumentDetail?doc_id=2019071100171001" target="_blank"&gt;Verified by Public Record&lt;/a&gt;</t>
  </si>
  <si>
    <t>&lt;a href="http://a836-acris.nyc.gov/DS/DocumentSearch/DocumentDetail?doc_id=2019090600491001" target="_blank"&gt;Verified by Public Record&lt;/a&gt;</t>
  </si>
  <si>
    <t>&lt;a href="http://a836-acris.nyc.gov/DS/DocumentSearch/DocumentDetail?doc_id=2020022101119001" target="_blank"&gt;Verified by Public Record&lt;/a&gt;</t>
  </si>
  <si>
    <t>&lt;a href="http://a836-acris.nyc.gov/DS/DocumentSearch/DocumentDetail?doc_id=2019042400287003" target="_blank"&gt;Verified by Public Record&lt;/a&gt;</t>
  </si>
  <si>
    <t>&lt;a href="http://a836-acris.nyc.gov/DS/DocumentSearch/DocumentDetail?doc_id=2020082600975002" target="_blank"&gt;Verified by Public Record&lt;/a&gt;</t>
  </si>
  <si>
    <t>&lt;a href="http://a836-acris.nyc.gov/DS/DocumentSearch/DocumentDetail?doc_id=2019070801243002" target="_blank"&gt;Verified by Public Record&lt;/a&gt;</t>
  </si>
  <si>
    <t>&lt;a href="http://a836-acris.nyc.gov/DS/DocumentSearch/DocumentDetail?doc_id=2019101800336001" target="_blank"&gt;Verified by Public Record&lt;/a&gt;</t>
  </si>
  <si>
    <t>&lt;a href="http://a836-acris.nyc.gov/DS/DocumentSearch/DocumentDetail?doc_id=2020071600937001" target="_blank"&gt;Verified by Public Record&lt;/a&gt;</t>
  </si>
  <si>
    <t>&lt;a href="http://a836-acris.nyc.gov/DS/DocumentSearch/DocumentDetail?doc_id=2017042500504001" target="_blank"&gt;Verified by Public Record&lt;/a&gt;</t>
  </si>
  <si>
    <t>&lt;a href="http://a836-acris.nyc.gov/DS/DocumentSearch/DocumentDetail?doc_id=2018112801216001" target="_blank"&gt;Verified by Public Record&lt;/a&gt;</t>
  </si>
  <si>
    <t>&lt;a href="http://a836-acris.nyc.gov/DS/DocumentSearch/DocumentDetail?doc_id=2017090600109001" target="_blank"&gt;Verified by Public Record&lt;/a&gt;</t>
  </si>
  <si>
    <t>&lt;a href="http://a836-acris.nyc.gov/DS/DocumentSearch/DocumentDetail?doc_id=2020021801149001" target="_blank"&gt;Verified by Public Record&lt;/a&gt;</t>
  </si>
  <si>
    <t>&lt;a href="http://a836-acris.nyc.gov/DS/DocumentSearch/DocumentDetail?doc_id=2020010201216001" target="_blank"&gt;Verified by Public Record&lt;/a&gt;</t>
  </si>
  <si>
    <t>&lt;a href="http://a836-acris.nyc.gov/DS/DocumentSearch/DocumentDetail?doc_id=2019102201079001" target="_blank"&gt;Verified by Public Record&lt;/a&gt;</t>
  </si>
  <si>
    <t>&lt;a href="http://a836-acris.nyc.gov/DS/DocumentSearch/DocumentDetail?doc_id=2019061000051001" target="_blank"&gt;Verified by Public Record&lt;/a&gt;</t>
  </si>
  <si>
    <t>&lt;a href="http://a836-acris.nyc.gov/DS/DocumentSearch/DocumentDetail?doc_id=2019111200364002" target="_blank"&gt;Verified by Public Record&lt;/a&gt;</t>
  </si>
  <si>
    <t>&lt;a href="http://a836-acris.nyc.gov/DS/DocumentSearch/DocumentDetail?doc_id=2019080601343005" target="_blank"&gt;Verified by Public Record&lt;/a&gt;</t>
  </si>
  <si>
    <t>&lt;a href="http://a836-acris.nyc.gov/DS/DocumentSearch/DocumentDetail?doc_id=2019052100797006" target="_blank"&gt;Verified by Public Record&lt;/a&gt;</t>
  </si>
  <si>
    <t>Balcony
Private Roof Deck
Deck
Common Roof Deck
Barbecue Area
Common Garden
Common Outdoor Space
Private Outdoor Space</t>
  </si>
  <si>
    <t>&lt;a href="http://a836-acris.nyc.gov/DS/DocumentSearch/DocumentDetail?doc_id=2020082600951001" target="_blank"&gt;Verified by Public Record&lt;/a&gt;</t>
  </si>
  <si>
    <t>&lt;a href="http://a836-acris.nyc.gov/DS/DocumentSearch/DocumentDetail?doc_id=2019101000549006" target="_blank"&gt;Verified by Public Record&lt;/a&gt;</t>
  </si>
  <si>
    <t>&lt;a href="http://a836-acris.nyc.gov/DS/DocumentSearch/DocumentDetail?doc_id=2017103101684003" target="_blank"&gt;Verified by Public Record&lt;/a&gt;</t>
  </si>
  <si>
    <t>&lt;a href="http://a836-acris.nyc.gov/DS/DocumentSearch/DocumentDetail?doc_id=2017110900195001" target="_blank"&gt;Verified by Public Record&lt;/a&gt;</t>
  </si>
  <si>
    <t>&lt;a href="http://a836-acris.nyc.gov/DS/DocumentSearch/DocumentDetail?doc_id=2017112801122001" target="_blank"&gt;Verified by Public Record&lt;/a&gt;</t>
  </si>
  <si>
    <t>&lt;a href="http://a836-acris.nyc.gov/DS/DocumentSearch/DocumentDetail?doc_id=2019040801003001" target="_blank"&gt;Verified by Public Record&lt;/a&gt;</t>
  </si>
  <si>
    <t>&lt;a href="http://a836-acris.nyc.gov/DS/DocumentSearch/DocumentDetail?doc_id=2019031801053001" target="_blank"&gt;Verified by Public Record&lt;/a&gt;</t>
  </si>
  <si>
    <t>&lt;a href="http://a836-acris.nyc.gov/DS/DocumentSearch/DocumentDetail?doc_id=2017060100093003" target="_blank"&gt;Verified by Public Record&lt;/a&gt;</t>
  </si>
  <si>
    <t>&lt;a href="http://a836-acris.nyc.gov/DS/DocumentSearch/DocumentDetail?doc_id=2017050400551001" target="_blank"&gt;Verified by Public Record&lt;/a&gt;</t>
  </si>
  <si>
    <t>&lt;a href="http://a836-acris.nyc.gov/DS/DocumentSearch/DocumentDetail?doc_id=2017060600980001" target="_blank"&gt;Verified by Public Record&lt;/a&gt;</t>
  </si>
  <si>
    <t>&lt;a href="http://a836-acris.nyc.gov/DS/DocumentSearch/DocumentDetail?doc_id=2017081500608001" target="_blank"&gt;Verified by Public Record&lt;/a&gt;</t>
  </si>
  <si>
    <t>&lt;a href="http://a836-acris.nyc.gov/DS/DocumentSearch/DocumentDetail?doc_id=2017052000014001" target="_blank"&gt;Verified by Public Record&lt;/a&gt;</t>
  </si>
  <si>
    <t>&lt;a href="http://a836-acris.nyc.gov/DS/DocumentSearch/DocumentDetail?doc_id=2017042100295001" target="_blank"&gt;Verified by Public Record&lt;/a&gt;</t>
  </si>
  <si>
    <t>&lt;a href="http://a836-acris.nyc.gov/DS/DocumentSearch/DocumentDetail?doc_id=2019060400067001" target="_blank"&gt;Verified by Public Record&lt;/a&gt;</t>
  </si>
  <si>
    <t>&lt;a href="http://a836-acris.nyc.gov/DS/DocumentSearch/DocumentDetail?doc_id=2019041000940001" target="_blank"&gt;Verified by Public Record&lt;/a&gt;</t>
  </si>
  <si>
    <t>&lt;a href="http://a836-acris.nyc.gov/DS/DocumentSearch/DocumentDetail?doc_id=2019100300610001" target="_blank"&gt;Verified by Public Record&lt;/a&gt;</t>
  </si>
  <si>
    <t>&lt;a href="http://a836-acris.nyc.gov/DS/DocumentSearch/DocumentDetail?doc_id=2019041200482001" target="_blank"&gt;Verified by Public Record&lt;/a&gt;</t>
  </si>
  <si>
    <t>&lt;a href="http://a836-acris.nyc.gov/DS/DocumentSearch/DocumentDetail?doc_id=2016032500074001" target="_blank"&gt;Verified by Public Record&lt;/a&gt;</t>
  </si>
  <si>
    <t>Balcony
Deck
Roof Deck
Common Roof Deck
Private Outdoor Space</t>
  </si>
  <si>
    <t>&lt;a href="http://a836-acris.nyc.gov/DS/DocumentSearch/DocumentDetail?doc_id=2017073100335002" target="_blank"&gt;Verified by Public Record&lt;/a&gt;</t>
  </si>
  <si>
    <t>&lt;a href="http://a836-acris.nyc.gov/DS/DocumentSearch/DocumentDetail?doc_id=2017081000424001" target="_blank"&gt;Verified by Public Record&lt;/a&gt;</t>
  </si>
  <si>
    <t>&lt;a href="http://a836-acris.nyc.gov/DS/DocumentSearch/DocumentDetail?doc_id=2017083000151001" target="_blank"&gt;Verified by Public Record&lt;/a&gt;</t>
  </si>
  <si>
    <t>&lt;a href="http://a836-acris.nyc.gov/DS/DocumentSearch/DocumentDetail?doc_id=2019051601012002" target="_blank"&gt;Verified by Public Record&lt;/a&gt;</t>
  </si>
  <si>
    <t>&lt;a href="http://a836-acris.nyc.gov/DS/DocumentSearch/DocumentDetail?doc_id=2019040400905001" target="_blank"&gt;Verified by Public Record&lt;/a&gt;</t>
  </si>
  <si>
    <t>&lt;a href="http://a836-acris.nyc.gov/DS/DocumentSearch/DocumentDetail?doc_id=2019071201230001" target="_blank"&gt;Verified by Public Record&lt;/a&gt;</t>
  </si>
  <si>
    <t>&lt;a href="http://a836-acris.nyc.gov/DS/DocumentSearch/DocumentDetail?doc_id=2018121400446002" target="_blank"&gt;Verified by Public Record&lt;/a&gt;</t>
  </si>
  <si>
    <t>&lt;a href="http://a836-acris.nyc.gov/DS/DocumentSearch/DocumentDetail?doc_id=2021061801411007" target="_blank"&gt;Verified by Public Record&lt;/a&gt;</t>
  </si>
  <si>
    <t>&lt;a href="http://a836-acris.nyc.gov/DS/DocumentSearch/DocumentDetail?doc_id=2019062700658001" target="_blank"&gt;Verified by Public Record&lt;/a&gt;</t>
  </si>
  <si>
    <t>&lt;a href="http://a836-acris.nyc.gov/DS/DocumentSearch/DocumentDetail?doc_id=2017050900454001" target="_blank"&gt;Verified by Public Record&lt;/a&gt;</t>
  </si>
  <si>
    <t>&lt;a href="http://a836-acris.nyc.gov/DS/DocumentSearch/DocumentDetail?doc_id=2019042400748001" target="_blank"&gt;Verified by Public Record&lt;/a&gt;</t>
  </si>
  <si>
    <t>&lt;a href="http://a836-acris.nyc.gov/DS/DocumentSearch/DocumentDetail?doc_id=2019101700714001" target="_blank"&gt;Verified by Public Record&lt;/a&gt;</t>
  </si>
  <si>
    <t>&lt;a href="http://a836-acris.nyc.gov/DS/DocumentSearch/DocumentDetail?doc_id=2020013101059002" target="_blank"&gt;Verified by Public Record&lt;/a&gt;</t>
  </si>
  <si>
    <t>&lt;a href="http://a836-acris.nyc.gov/DS/DocumentSearch/DocumentDetail?doc_id=2019022000633001" target="_blank"&gt;Verified by Public Record&lt;/a&gt;</t>
  </si>
  <si>
    <t>&lt;a href="http://a836-acris.nyc.gov/DS/DocumentSearch/DocumentDetail?doc_id=2019100500071001" target="_blank"&gt;Verified by Public Record&lt;/a&gt;</t>
  </si>
  <si>
    <t>&lt;a href="http://a836-acris.nyc.gov/DS/DocumentSearch/DocumentDetail?doc_id=2017110300360001" target="_blank"&gt;Verified by Public Record&lt;/a&gt;</t>
  </si>
  <si>
    <t>&lt;a href="http://a836-acris.nyc.gov/DS/DocumentSearch/DocumentDetail?doc_id=2020081100897007" target="_blank"&gt;Verified by Public Record&lt;/a&gt;</t>
  </si>
  <si>
    <t>&lt;a href="http://a836-acris.nyc.gov/DS/DocumentSearch/DocumentDetail?doc_id=2017081500420004" target="_blank"&gt;Verified by Public Record&lt;/a&gt;</t>
  </si>
  <si>
    <t>&lt;a href="http://a836-acris.nyc.gov/DS/DocumentSearch/DocumentDetail?doc_id=2017081100408001" target="_blank"&gt;Verified by Public Record&lt;/a&gt;</t>
  </si>
  <si>
    <t>&lt;a href="http://a836-acris.nyc.gov/DS/DocumentSearch/DocumentDetail?doc_id=2017081701046004" target="_blank"&gt;Verified by Public Record&lt;/a&gt;</t>
  </si>
  <si>
    <t>&lt;a href="http://a836-acris.nyc.gov/DS/DocumentSearch/DocumentDetail?doc_id=2017083000986001" target="_blank"&gt;Verified by Public Record&lt;/a&gt;</t>
  </si>
  <si>
    <t>&lt;a href="http://a836-acris.nyc.gov/DS/DocumentSearch/DocumentDetail?doc_id=2020022800743002" target="_blank"&gt;Verified by Public Record&lt;/a&gt;</t>
  </si>
  <si>
    <t>&lt;a href="http://a836-acris.nyc.gov/DS/DocumentSearch/DocumentDetail?doc_id=2017090801076001" target="_blank"&gt;Verified by Public Record&lt;/a&gt;</t>
  </si>
  <si>
    <t>&lt;a href="http://a836-acris.nyc.gov/DS/DocumentSearch/DocumentDetail?doc_id=2017083100571001" target="_blank"&gt;Verified by Public Record&lt;/a&gt;</t>
  </si>
  <si>
    <t>&lt;a href="http://a836-acris.nyc.gov/DS/DocumentSearch/DocumentDetail?doc_id=2019033000001001" target="_blank"&gt;Verified by Public Record&lt;/a&gt;</t>
  </si>
  <si>
    <t>&lt;a href="http://a836-acris.nyc.gov/DS/DocumentSearch/DocumentDetail?doc_id=2018120700651001" target="_blank"&gt;Verified by Public Record&lt;/a&gt;</t>
  </si>
  <si>
    <t>&lt;a href="http://a836-acris.nyc.gov/DS/DocumentSearch/DocumentDetail?doc_id=2019050100560001" target="_blank"&gt;Verified by Public Record&lt;/a&gt;</t>
  </si>
  <si>
    <t>&lt;a href="http://a836-acris.nyc.gov/DS/DocumentSearch/DocumentDetail?doc_id=2017112100465001" target="_blank"&gt;Verified by Public Record&lt;/a&gt;</t>
  </si>
  <si>
    <t>&lt;a href="http://a836-acris.nyc.gov/DS/DocumentSearch/DocumentDetail?doc_id=2019032000336001" target="_blank"&gt;Verified by Public Record&lt;/a&gt;</t>
  </si>
  <si>
    <t>Deck
Common Roof Deck
Barbecue Area
Common Garden
Common Outdoor Space</t>
  </si>
  <si>
    <t>&lt;a href="http://a836-acris.nyc.gov/DS/DocumentSearch/DocumentDetail?doc_id=2017090500147001" target="_blank"&gt;Verified by Public Record&lt;/a&gt;</t>
  </si>
  <si>
    <t>&lt;a href="http://a836-acris.nyc.gov/DS/DocumentSearch/DocumentDetail?doc_id=2020110501024005" target="_blank"&gt;Verified by Public Record&lt;/a&gt;</t>
  </si>
  <si>
    <t>&lt;a href="http://a836-acris.nyc.gov/DS/DocumentSearch/DocumentDetail?doc_id=2019032100827001" target="_blank"&gt;Verified by Public Record&lt;/a&gt;</t>
  </si>
  <si>
    <t>&lt;a href="http://a836-acris.nyc.gov/DS/DocumentSearch/DocumentDetail?doc_id=2018101700903001" target="_blank"&gt;Verified by Public Record&lt;/a&gt;</t>
  </si>
  <si>
    <t>&lt;a href="http://a836-acris.nyc.gov/DS/DocumentSearch/DocumentDetail?doc_id=2017090600908003" target="_blank"&gt;Verified by Public Record&lt;/a&gt;</t>
  </si>
  <si>
    <t>&lt;a href="http://a836-acris.nyc.gov/DS/DocumentSearch/DocumentDetail?doc_id=2020122400507003" target="_blank"&gt;Verified by Public Record&lt;/a&gt;</t>
  </si>
  <si>
    <t>&lt;a href="http://a836-acris.nyc.gov/DS/DocumentSearch/DocumentDetail?doc_id=2019022701136001" target="_blank"&gt;Verified by Public Record&lt;/a&gt;</t>
  </si>
  <si>
    <t>&lt;a href="http://a836-acris.nyc.gov/DS/DocumentSearch/DocumentDetail?doc_id=2018042400207001" target="_blank"&gt;Verified by Public Record&lt;/a&gt;</t>
  </si>
  <si>
    <t>&lt;a href="http://a836-acris.nyc.gov/DS/DocumentSearch/DocumentDetail?doc_id=2017082301027001" target="_blank"&gt;Verified by Public Record&lt;/a&gt;</t>
  </si>
  <si>
    <t>&lt;a href="http://a836-acris.nyc.gov/DS/DocumentSearch/DocumentDetail?doc_id=2017090501319001" target="_blank"&gt;Verified by Public Record&lt;/a&gt;</t>
  </si>
  <si>
    <t>&lt;a href="http://a836-acris.nyc.gov/DS/DocumentSearch/DocumentDetail?doc_id=2017091300128001" target="_blank"&gt;Verified by Public Record&lt;/a&gt;</t>
  </si>
  <si>
    <t>&lt;a href="http://a836-acris.nyc.gov/DS/DocumentSearch/DocumentDetail?doc_id=2017090600231001" target="_blank"&gt;Verified by Public Record&lt;/a&gt;</t>
  </si>
  <si>
    <t>&lt;a href="http://a836-acris.nyc.gov/DS/DocumentSearch/DocumentDetail?doc_id=2017090600298002" target="_blank"&gt;Verified by Public Record&lt;/a&gt;</t>
  </si>
  <si>
    <t>&lt;a href="http://a836-acris.nyc.gov/DS/DocumentSearch/DocumentDetail?doc_id=2018011801048001" target="_blank"&gt;Verified by Public Record&lt;/a&gt;</t>
  </si>
  <si>
    <t>&lt;a href="http://a836-acris.nyc.gov/DS/DocumentSearch/DocumentDetail?doc_id=2016120700371004" target="_blank"&gt;Verified by Public Record&lt;/a&gt;</t>
  </si>
  <si>
    <t>&lt;a href="http://a836-acris.nyc.gov/DS/DocumentSearch/DocumentDetail?doc_id=2017101901235001" target="_blank"&gt;Verified by Public Record&lt;/a&gt;</t>
  </si>
  <si>
    <t>Private Terrace
Common Roof Deck
Barbecue Area
Common Garden
Common Outdoor Space</t>
  </si>
  <si>
    <t>NoHo</t>
  </si>
  <si>
    <t>&lt;a href="http://a836-acris.nyc.gov/DS/DocumentSearch/DocumentDetail?doc_id=2015110600960001" target="_blank"&gt;Verified by Public Record&lt;/a&gt;</t>
  </si>
  <si>
    <t>&lt;a href="http://a836-acris.nyc.gov/DS/DocumentSearch/DocumentDetail?doc_id=2017080201287001" target="_blank"&gt;Verified by Public Record&lt;/a&gt;</t>
  </si>
  <si>
    <t>&lt;a href="http://a836-acris.nyc.gov/DS/DocumentSearch/DocumentDetail?doc_id=2017081501066004" target="_blank"&gt;Verified by Public Record&lt;/a&gt;</t>
  </si>
  <si>
    <t>&lt;a href="http://a836-acris.nyc.gov/DS/DocumentSearch/DocumentDetail?doc_id=2017081500668001" target="_blank"&gt;Verified by Public Record&lt;/a&gt;</t>
  </si>
  <si>
    <t>&lt;a href="http://a836-acris.nyc.gov/DS/DocumentSearch/DocumentDetail?doc_id=2017091200918001" target="_blank"&gt;Verified by Public Record&lt;/a&gt;</t>
  </si>
  <si>
    <t>&lt;a href="http://a836-acris.nyc.gov/DS/DocumentSearch/DocumentDetail?doc_id=2017081701522001" target="_blank"&gt;Verified by Public Record&lt;/a&gt;</t>
  </si>
  <si>
    <t>&lt;a href="http://a836-acris.nyc.gov/DS/DocumentSearch/DocumentDetail?doc_id=2017010501423001" target="_blank"&gt;Verified by Public Record&lt;/a&gt;</t>
  </si>
  <si>
    <t>&lt;a href="http://a836-acris.nyc.gov/DS/DocumentSearch/DocumentDetail?doc_id=2016060700220001" target="_blank"&gt;Public Record Only&lt;/a&gt;</t>
  </si>
  <si>
    <t>&lt;a href="http://a836-acris.nyc.gov/DS/DocumentSearch/DocumentDetail?doc_id=2018021200087001" target="_blank"&gt;Verified by Public Record&lt;/a&gt;</t>
  </si>
  <si>
    <t>&lt;a href="http://a836-acris.nyc.gov/DS/DocumentSearch/DocumentDetail?doc_id=2020030200161001" target="_blank"&gt;Public Record Only&lt;/a&gt;</t>
  </si>
  <si>
    <t>&lt;a href="http://a836-acris.nyc.gov/DS/DocumentSearch/DocumentDetail?doc_id=2017090101028002" target="_blank"&gt;Verified by Public Record&lt;/a&gt;</t>
  </si>
  <si>
    <t>&lt;a href="http://a836-acris.nyc.gov/DS/DocumentSearch/DocumentDetail?doc_id=2017080200605001" target="_blank"&gt;Verified by Public Record&lt;/a&gt;</t>
  </si>
  <si>
    <t>&lt;a href="http://a836-acris.nyc.gov/DS/DocumentSearch/DocumentDetail?doc_id=2017042100383002" target="_blank"&gt;Verified by Public Record&lt;/a&gt;</t>
  </si>
  <si>
    <t>&lt;a href="http://a836-acris.nyc.gov/DS/DocumentSearch/DocumentDetail?doc_id=2017120600110008" target="_blank"&gt;Verified by Public Record&lt;/a&gt;</t>
  </si>
  <si>
    <t>&lt;a href="http://a836-acris.nyc.gov/DS/DocumentSearch/DocumentDetail?doc_id=2015111900890001" target="_blank"&gt;Verified by Public Record&lt;/a&gt;</t>
  </si>
  <si>
    <t>Balcony
Private Terrace
Deck
Roof Deck
Common Roof Deck
Private Outdoor Space</t>
  </si>
  <si>
    <t>&lt;a href="http://a836-acris.nyc.gov/DS/DocumentSearch/DocumentDetail?doc_id=2017082200703001" target="_blank"&gt;Verified by Public Record&lt;/a&gt;</t>
  </si>
  <si>
    <t>&lt;a href="http://a836-acris.nyc.gov/DS/DocumentSearch/DocumentDetail?doc_id=2017020600560003" target="_blank"&gt;Verified by Public Record&lt;/a&gt;</t>
  </si>
  <si>
    <t>&lt;a href="http://a836-acris.nyc.gov/DS/DocumentSearch/DocumentDetail?doc_id=2021061701447002" target="_blank"&gt;Public Record Only&lt;/a&gt;</t>
  </si>
  <si>
    <t>Balcony
Common Outdoor Space</t>
  </si>
  <si>
    <t>&lt;a href="http://a836-acris.nyc.gov/DS/DocumentSearch/DocumentDetail?doc_id=2021022200432003" target="_blank"&gt;Verified by Public Record&lt;/a&gt;</t>
  </si>
  <si>
    <t>&lt;a href="http://a836-acris.nyc.gov/DS/DocumentSearch/DocumentDetail?doc_id=2021022200805001" target="_blank"&gt;Verified by Public Record&lt;/a&gt;</t>
  </si>
  <si>
    <t>Balcony
Private Roof Deck
Common Outdoor Space</t>
  </si>
  <si>
    <t>&lt;a href="http://a836-acris.nyc.gov/DS/DocumentSearch/DocumentDetail?doc_id=2021031500390006" target="_blank"&gt;Verified by Public Record&lt;/a&gt;</t>
  </si>
  <si>
    <t>&lt;a href="http://a836-acris.nyc.gov/DS/DocumentSearch/DocumentDetail?doc_id=2019051400642001" target="_blank"&gt;Verified by Public Record&lt;/a&gt;</t>
  </si>
  <si>
    <t>&lt;a href="http://a836-acris.nyc.gov/DS/DocumentSearch/DocumentDetail?doc_id=2019041600970002" target="_blank"&gt;Verified by Public Record&lt;/a&gt;</t>
  </si>
  <si>
    <t>&lt;a href="http://a836-acris.nyc.gov/DS/DocumentSearch/DocumentDetail?doc_id=2019042300362001" target="_blank"&gt;Verified by Public Record&lt;/a&gt;</t>
  </si>
  <si>
    <t>&lt;a href="http://a836-acris.nyc.gov/DS/DocumentSearch/DocumentDetail?doc_id=2019050301091002" target="_blank"&gt;Verified by Public Record&lt;/a&gt;</t>
  </si>
  <si>
    <t>&lt;a href="http://a836-acris.nyc.gov/DS/DocumentSearch/DocumentDetail?doc_id=2019032000382010" target="_blank"&gt;Verified by Public Record&lt;/a&gt;</t>
  </si>
  <si>
    <t>&lt;a href="http://a836-acris.nyc.gov/DS/DocumentSearch/DocumentDetail?doc_id=2019070300375001" target="_blank"&gt;Verified by Public Record&lt;/a&gt;</t>
  </si>
  <si>
    <t>&lt;a href="http://a836-acris.nyc.gov/DS/DocumentSearch/DocumentDetail?doc_id=2018100100899001" target="_blank"&gt;Public Record Only&lt;/a&gt;</t>
  </si>
  <si>
    <t>&lt;a href="http://a836-acris.nyc.gov/DS/DocumentSearch/DocumentDetail?doc_id=2017080900550004" target="_blank"&gt;Verified by Public Record&lt;/a&gt;</t>
  </si>
  <si>
    <t>&lt;a href="http://a836-acris.nyc.gov/DS/DocumentSearch/DocumentDetail?doc_id=2017091301064002" target="_blank"&gt;Verified by Public Record&lt;/a&gt;</t>
  </si>
  <si>
    <t>&lt;a href="http://a836-acris.nyc.gov/DS/DocumentSearch/DocumentDetail?doc_id=2016081600453003" target="_blank"&gt;Verified by Public Record&lt;/a&gt;</t>
  </si>
  <si>
    <t>&lt;a href="http://a836-acris.nyc.gov/DS/DocumentSearch/DocumentDetail?doc_id=2016102000015001" target="_blank"&gt;Verified by Public Record&lt;/a&gt;</t>
  </si>
  <si>
    <t>&lt;a href="http://a836-acris.nyc.gov/DS/DocumentSearch/DocumentDetail?doc_id=2016090100805001" target="_blank"&gt;Verified by Public Record&lt;/a&gt;</t>
  </si>
  <si>
    <t>&lt;a href="http://a836-acris.nyc.gov/DS/DocumentSearch/DocumentDetail?doc_id=2018041800198001" target="_blank"&gt;Verified by Public Record&lt;/a&gt;</t>
  </si>
  <si>
    <t>&lt;a href="http://a836-acris.nyc.gov/DS/DocumentSearch/DocumentDetail?doc_id=2018042200014001" target="_blank"&gt;Verified by Public Record&lt;/a&gt;</t>
  </si>
  <si>
    <t>&lt;a href="http://a836-acris.nyc.gov/DS/DocumentSearch/DocumentDetail?doc_id=2018052400098001" target="_blank"&gt;Verified by Public Record&lt;/a&gt;</t>
  </si>
  <si>
    <t>&lt;a href="http://a836-acris.nyc.gov/DS/DocumentSearch/DocumentDetail?doc_id=2018040900429002" target="_blank"&gt;Verified by Public Record&lt;/a&gt;</t>
  </si>
  <si>
    <t>&lt;a href="http://a836-acris.nyc.gov/DS/DocumentSearch/DocumentDetail?doc_id=2021060800086001" target="_blank"&gt;Public Record Only&lt;/a&gt;</t>
  </si>
  <si>
    <t>&lt;a href="http://a836-acris.nyc.gov/DS/DocumentSearch/DocumentDetail?doc_id=2016080200853003" target="_blank"&gt;Verified by Public Record&lt;/a&gt;</t>
  </si>
  <si>
    <t>&lt;a href="http://a836-acris.nyc.gov/DS/DocumentSearch/DocumentDetail?doc_id=2018111900913001" target="_blank"&gt;Verified by Public Record&lt;/a&gt;</t>
  </si>
  <si>
    <t>&lt;a href="http://a836-acris.nyc.gov/DS/DocumentSearch/DocumentDetail?doc_id=2019070300577002" target="_blank"&gt;Verified by Public Record&lt;/a&gt;</t>
  </si>
  <si>
    <t>&lt;a href="http://a836-acris.nyc.gov/DS/DocumentSearch/DocumentDetail?doc_id=2016120601042001" target="_blank"&gt;Public Record Only&lt;/a&gt;</t>
  </si>
  <si>
    <t>&lt;a href="http://a836-acris.nyc.gov/DS/DocumentSearch/DocumentDetail?doc_id=2018042600972001" target="_blank"&gt;Verified by Public Record&lt;/a&gt;</t>
  </si>
  <si>
    <t>&lt;a href="http://a836-acris.nyc.gov/DS/DocumentSearch/DocumentDetail?doc_id=2018042400291002" target="_blank"&gt;Verified by Public Record&lt;/a&gt;</t>
  </si>
  <si>
    <t>&lt;a href="http://a836-acris.nyc.gov/DS/DocumentSearch/DocumentDetail?doc_id=2017080200951002" target="_blank"&gt;Verified by Public Record&lt;/a&gt;</t>
  </si>
  <si>
    <t>&lt;a href="http://a836-acris.nyc.gov/DS/DocumentSearch/DocumentDetail?doc_id=2017072800180001" target="_blank"&gt;Verified by Public Record&lt;/a&gt;</t>
  </si>
  <si>
    <t>&lt;a href="http://a836-acris.nyc.gov/DS/DocumentSearch/DocumentDetail?doc_id=2018022300521001" target="_blank"&gt;Verified by Public Record&lt;/a&gt;</t>
  </si>
  <si>
    <t>&lt;a href="http://a836-acris.nyc.gov/DS/DocumentSearch/DocumentDetail?doc_id=2019070600010001" target="_blank"&gt;Verified by Public Record&lt;/a&gt;</t>
  </si>
  <si>
    <t>&lt;a href="http://a836-acris.nyc.gov/DS/DocumentSearch/DocumentDetail?doc_id=2019121300644001" target="_blank"&gt;Verified by Public Record&lt;/a&gt;</t>
  </si>
  <si>
    <t>&lt;a href="http://a836-acris.nyc.gov/DS/DocumentSearch/DocumentDetail?doc_id=2019112100772001" target="_blank"&gt;Public Record Only&lt;/a&gt;</t>
  </si>
  <si>
    <t>Playground</t>
  </si>
  <si>
    <t>&lt;a href="http://a836-acris.nyc.gov/DS/DocumentSearch/DocumentDetail?doc_id=2019032800280001" target="_blank"&gt;Verified by Public Record&lt;/a&gt;</t>
  </si>
  <si>
    <t>&lt;a href="http://a836-acris.nyc.gov/DS/DocumentSearch/DocumentDetail?doc_id=2019032000517007" target="_blank"&gt;Verified by Public Record&lt;/a&gt;</t>
  </si>
  <si>
    <t>&lt;a href="http://a836-acris.nyc.gov/DS/DocumentSearch/DocumentDetail?doc_id=2019031800117001" target="_blank"&gt;Verified by Public Record&lt;/a&gt;</t>
  </si>
  <si>
    <t>&lt;a href="http://a836-acris.nyc.gov/DS/DocumentSearch/DocumentDetail?doc_id=2019051601004001" target="_blank"&gt;Verified by Public Record&lt;/a&gt;</t>
  </si>
  <si>
    <t>&lt;a href="http://a836-acris.nyc.gov/DS/DocumentSearch/DocumentDetail?doc_id=2019070100485001" target="_blank"&gt;Verified by Public Record&lt;/a&gt;</t>
  </si>
  <si>
    <t>&lt;a href="http://a836-acris.nyc.gov/DS/DocumentSearch/DocumentDetail?doc_id=2016122701058001" target="_blank"&gt;Public Record Only&lt;/a&gt;</t>
  </si>
  <si>
    <t>&lt;a href="http://a836-acris.nyc.gov/DS/DocumentSearch/DocumentDetail?doc_id=2021060900362001" target="_blank"&gt;Verified by Public Record&lt;/a&gt;</t>
  </si>
  <si>
    <t>Barbecue Area
Common Garden
Common Outdoor Space</t>
  </si>
  <si>
    <t>&lt;a href="http://a836-acris.nyc.gov/DS/DocumentSearch/DocumentDetail?doc_id=2018111301001005" target="_blank"&gt;Public Record Only&lt;/a&gt;</t>
  </si>
  <si>
    <t>&lt;a href="http://a836-acris.nyc.gov/DS/DocumentSearch/DocumentDetail?doc_id=2019051000956001" target="_blank"&gt;Public Record Only&lt;/a&gt;</t>
  </si>
  <si>
    <t>&lt;a href="http://a836-acris.nyc.gov/DS/DocumentSearch/DocumentDetail?doc_id=2019052000571004" target="_blank"&gt;Public Record Only&lt;/a&gt;</t>
  </si>
  <si>
    <t>&lt;a href="http://a836-acris.nyc.gov/DS/DocumentSearch/DocumentDetail?doc_id=2019060500557001" target="_blank"&gt;Public Record Only&lt;/a&gt;</t>
  </si>
  <si>
    <t>&lt;a href="http://a836-acris.nyc.gov/DS/DocumentSearch/DocumentDetail?doc_id=2019100200539007" target="_blank"&gt;Public Record Only&lt;/a&gt;</t>
  </si>
  <si>
    <t>&lt;a href="http://a836-acris.nyc.gov/DS/DocumentSearch/DocumentDetail?doc_id=2019101800551001" target="_blank"&gt;Public Record Only&lt;/a&gt;</t>
  </si>
  <si>
    <t>&lt;a href="http://a836-acris.nyc.gov/DS/DocumentSearch/DocumentDetail?doc_id=2018090500782002" target="_blank"&gt;Public Record Only&lt;/a&gt;</t>
  </si>
  <si>
    <t>&lt;a href="http://a836-acris.nyc.gov/DS/DocumentSearch/DocumentDetail?doc_id=2018092000515001" target="_blank"&gt;Public Record Only&lt;/a&gt;</t>
  </si>
  <si>
    <t>&lt;a href="http://a836-acris.nyc.gov/DS/DocumentSearch/DocumentDetail?doc_id=2019061000759001" target="_blank"&gt;Public Record Only&lt;/a&gt;</t>
  </si>
  <si>
    <t>&lt;a href="http://a836-acris.nyc.gov/DS/DocumentSearch/DocumentDetail?doc_id=2019061400209009" target="_blank"&gt;Public Record Only&lt;/a&gt;</t>
  </si>
  <si>
    <t>&lt;a href="http://a836-acris.nyc.gov/DS/DocumentSearch/DocumentDetail?doc_id=2019061700034001" target="_blank"&gt;Public Record Only&lt;/a&gt;</t>
  </si>
  <si>
    <t>&lt;a href="http://a836-acris.nyc.gov/DS/DocumentSearch/DocumentDetail?doc_id=2019071101083001" target="_blank"&gt;Public Record Only&lt;/a&gt;</t>
  </si>
  <si>
    <t>&lt;a href="http://a836-acris.nyc.gov/DS/DocumentSearch/DocumentDetail?doc_id=2019061600059001" target="_blank"&gt;Public Record Only&lt;/a&gt;</t>
  </si>
  <si>
    <t>&lt;a href="http://a836-acris.nyc.gov/DS/DocumentSearch/DocumentDetail?doc_id=2017092600846003" target="_blank"&gt;Verified by Public Record&lt;/a&gt;</t>
  </si>
  <si>
    <t>&lt;a href="http://a836-acris.nyc.gov/DS/DocumentSearch/DocumentDetail?doc_id=2019061100520002" target="_blank"&gt;Public Record Only&lt;/a&gt;</t>
  </si>
  <si>
    <t>&lt;a href="http://a836-acris.nyc.gov/DS/DocumentSearch/DocumentDetail?doc_id=2018062500329002" target="_blank"&gt;Verified by Public Record&lt;/a&gt;</t>
  </si>
  <si>
    <t>&lt;a href="http://a836-acris.nyc.gov/DS/DocumentSearch/DocumentDetail?doc_id=2018031600391002" target="_blank"&gt;Verified by Public Record&lt;/a&gt;</t>
  </si>
  <si>
    <t>&lt;a href="http://a836-acris.nyc.gov/DS/DocumentSearch/DocumentDetail?doc_id=2018073101391001" target="_blank"&gt;Verified by Public Record&lt;/a&gt;</t>
  </si>
  <si>
    <t>&lt;a href="http://a836-acris.nyc.gov/DS/DocumentSearch/DocumentDetail?doc_id=2017102700570001" target="_blank"&gt;Public Record Only&lt;/a&gt;</t>
  </si>
  <si>
    <t>&lt;a href="http://a836-acris.nyc.gov/DS/DocumentSearch/DocumentDetail?doc_id=2018051601105001" target="_blank"&gt;Public Record Only&lt;/a&gt;</t>
  </si>
  <si>
    <t>&lt;a href="http://a836-acris.nyc.gov/DS/DocumentSearch/DocumentDetail?doc_id=2018102200133004" target="_blank"&gt;Public Record Only&lt;/a&gt;</t>
  </si>
  <si>
    <t>&lt;a href="http://a836-acris.nyc.gov/DS/DocumentSearch/DocumentDetail?doc_id=2018080700474001" target="_blank"&gt;Public Record Only&lt;/a&gt;</t>
  </si>
  <si>
    <t>&lt;a href="http://a836-acris.nyc.gov/DS/DocumentSearch/DocumentDetail?doc_id=2020011000361004" target="_blank"&gt;Verified by Public Record&lt;/a&gt;</t>
  </si>
  <si>
    <t>Private Terrace
Barbecue Area
Common Garden
Common Outdoor Space</t>
  </si>
  <si>
    <t>&lt;a href="http://a836-acris.nyc.gov/DS/DocumentSearch/DocumentDetail?doc_id=2019060401164001" target="_blank"&gt;Verified by Public Record&lt;/a&gt;</t>
  </si>
  <si>
    <t>&lt;a href="http://a836-acris.nyc.gov/DS/DocumentSearch/DocumentDetail?doc_id=2017062000071002" target="_blank"&gt;Public Record Only&lt;/a&gt;</t>
  </si>
  <si>
    <t>&lt;a href="http://a836-acris.nyc.gov/DS/DocumentSearch/DocumentDetail?doc_id=2018041300211001" target="_blank"&gt;Verified by Public Record&lt;/a&gt;</t>
  </si>
  <si>
    <t>&lt;a href="http://a836-acris.nyc.gov/DS/DocumentSearch/DocumentDetail?doc_id=2018010900884003" target="_blank"&gt;Verified by Public Record&lt;/a&gt;</t>
  </si>
  <si>
    <t>&lt;a href="http://a836-acris.nyc.gov/DS/DocumentSearch/DocumentDetail?doc_id=2016083100936001" target="_blank"&gt;Verified by Public Record&lt;/a&gt;</t>
  </si>
  <si>
    <t>&lt;a href="http://a836-acris.nyc.gov/DS/DocumentSearch/DocumentDetail?doc_id=2018041700713001" target="_blank"&gt;Verified by Public Record&lt;/a&gt;</t>
  </si>
  <si>
    <t>&lt;a href="http://a836-acris.nyc.gov/DS/DocumentSearch/DocumentDetail?doc_id=2018012300102001" target="_blank"&gt;Verified by Public Record&lt;/a&gt;</t>
  </si>
  <si>
    <t>Balcony
Private Terrace
Playground
Common Outdoor Space
Private Outdoor Space</t>
  </si>
  <si>
    <t>&lt;a href="http://a836-acris.nyc.gov/DS/DocumentSearch/DocumentDetail?doc_id=2021052100661001" target="_blank"&gt;Verified by Public Record&lt;/a&gt;</t>
  </si>
  <si>
    <t>&lt;a href="http://a836-acris.nyc.gov/DS/DocumentSearch/DocumentDetail?doc_id=2019102900987001" target="_blank"&gt;Verified by Public Record&lt;/a&gt;</t>
  </si>
  <si>
    <t>&lt;a href="http://a836-acris.nyc.gov/DS/DocumentSearch/DocumentDetail?doc_id=2018072600467001" target="_blank"&gt;Verified by Public Record&lt;/a&gt;</t>
  </si>
  <si>
    <t>&lt;a href="http://a836-acris.nyc.gov/DS/DocumentSearch/DocumentDetail?doc_id=2018040200196001" target="_blank"&gt;Public Record Only&lt;/a&gt;</t>
  </si>
  <si>
    <t>&lt;a href="http://a836-acris.nyc.gov/DS/DocumentSearch/DocumentDetail?doc_id=2019032900274001" target="_blank"&gt;Verified by Public Record&lt;/a&gt;</t>
  </si>
  <si>
    <t>&lt;a href="http://a836-acris.nyc.gov/DS/DocumentSearch/DocumentDetail?doc_id=2016111000912001" target="_blank"&gt;Verified by Public Record&lt;/a&gt;</t>
  </si>
  <si>
    <t>&lt;a href="http://a836-acris.nyc.gov/DS/DocumentSearch/DocumentDetail?doc_id=2018071300256001" target="_blank"&gt;Verified by Public Record&lt;/a&gt;</t>
  </si>
  <si>
    <t>&lt;a href="http://a836-acris.nyc.gov/DS/DocumentSearch/DocumentDetail?doc_id=2019042300641001" target="_blank"&gt;Verified by Public Record&lt;/a&gt;</t>
  </si>
  <si>
    <t>&lt;a href="http://a836-acris.nyc.gov/DS/DocumentSearch/DocumentDetail?doc_id=2019050800749006" target="_blank"&gt;Verified by Public Record&lt;/a&gt;</t>
  </si>
  <si>
    <t>&lt;a href="http://a836-acris.nyc.gov/DS/DocumentSearch/DocumentDetail?doc_id=2018070600198006" target="_blank"&gt;Verified by Public Record&lt;/a&gt;</t>
  </si>
  <si>
    <t>&lt;a href="http://a836-acris.nyc.gov/DS/DocumentSearch/DocumentDetail?doc_id=2018071000067001" target="_blank"&gt;Verified by Public Record&lt;/a&gt;</t>
  </si>
  <si>
    <t>&lt;a href="http://a836-acris.nyc.gov/DS/DocumentSearch/DocumentDetail?doc_id=2018050700622001" target="_blank"&gt;Verified by Public Record&lt;/a&gt;</t>
  </si>
  <si>
    <t>&lt;a href="http://a836-acris.nyc.gov/DS/DocumentSearch/DocumentDetail?doc_id=2018052200771003" target="_blank"&gt;Verified by Public Record&lt;/a&gt;</t>
  </si>
  <si>
    <t>&lt;a href="http://a836-acris.nyc.gov/DS/DocumentSearch/DocumentDetail?doc_id=2018060500514001" target="_blank"&gt;Verified by Public Record&lt;/a&gt;</t>
  </si>
  <si>
    <t>&lt;a href="http://a836-acris.nyc.gov/DS/DocumentSearch/DocumentDetail?doc_id=2020091800481001" target="_blank"&gt;Verified by Public Record&lt;/a&gt;</t>
  </si>
  <si>
    <t>Juliet Balcony
Deck
Roof Deck
Common Roof Deck</t>
  </si>
  <si>
    <t>&lt;a href="http://a836-acris.nyc.gov/DS/DocumentSearch/DocumentDetail?doc_id=2018062501085001" target="_blank"&gt;Verified by Public Record&lt;/a&gt;</t>
  </si>
  <si>
    <t>&lt;a href="http://a836-acris.nyc.gov/DS/DocumentSearch/DocumentDetail?doc_id=2018042000280001" target="_blank"&gt;Verified by Public Record&lt;/a&gt;</t>
  </si>
  <si>
    <t>&lt;a href="http://a836-acris.nyc.gov/DS/DocumentSearch/DocumentDetail?doc_id=2018060500112001" target="_blank"&gt;Verified by Public Record&lt;/a&gt;</t>
  </si>
  <si>
    <t>&lt;a href="http://a836-acris.nyc.gov/DS/DocumentSearch/DocumentDetail?doc_id=2018031401124001" target="_blank"&gt;Verified by Public Record&lt;/a&gt;</t>
  </si>
  <si>
    <t>&lt;a href="http://a836-acris.nyc.gov/DS/DocumentSearch/DocumentDetail?doc_id=2021063000257001" target="_blank"&gt;Verified by Public Record&lt;/a&gt;</t>
  </si>
  <si>
    <t>Balcony
Private Terrace
Patio
Deck
Roof Deck
Common Roof Deck
Common Outdoor Space
Private Outdoor Space</t>
  </si>
  <si>
    <t>&lt;a href="http://a836-acris.nyc.gov/DS/DocumentSearch/DocumentDetail?doc_id=2018060500309001" target="_blank"&gt;Verified by Public Record&lt;/a&gt;</t>
  </si>
  <si>
    <t>Roof Deck
Common Roof Deck
Common Garden
Common Outdoor Space
Private Outdoor Space</t>
  </si>
  <si>
    <t>&lt;a href="http://a836-acris.nyc.gov/DS/DocumentSearch/DocumentDetail?doc_id=2018070201040006" target="_blank"&gt;Verified by Public Record&lt;/a&gt;</t>
  </si>
  <si>
    <t>&lt;a href="http://a836-acris.nyc.gov/DS/DocumentSearch/DocumentDetail?doc_id=2018042600298001" target="_blank"&gt;Verified by Public Record&lt;/a&gt;</t>
  </si>
  <si>
    <t>Balcony
Roof Deck
Common Roof Deck
Common Garden
Common Outdoor Space</t>
  </si>
  <si>
    <t>&lt;a href="http://a836-acris.nyc.gov/DS/DocumentSearch/DocumentDetail?doc_id=2017101900958007" target="_blank"&gt;Public Record Only&lt;/a&gt;</t>
  </si>
  <si>
    <t>&lt;a href="http://a836-acris.nyc.gov/DS/DocumentSearch/DocumentDetail?doc_id=2019032701038001" target="_blank"&gt;Verified by Public Record&lt;/a&gt;</t>
  </si>
  <si>
    <t>&lt;a href="http://a836-acris.nyc.gov/DS/DocumentSearch/DocumentDetail?doc_id=2018073101360006" target="_blank"&gt;Verified by Public Record&lt;/a&gt;</t>
  </si>
  <si>
    <t>Private Terrace
Private Roof Deck
Roof Deck
Common Roof Deck
Common Garden
Common Outdoor Space</t>
  </si>
  <si>
    <t>&lt;a href="http://a836-acris.nyc.gov/DS/DocumentSearch/DocumentDetail?doc_id=2020060900727002" target="_blank"&gt;Verified by Public Record&lt;/a&gt;</t>
  </si>
  <si>
    <t>&lt;a href="http://a836-acris.nyc.gov/DS/DocumentSearch/DocumentDetail?doc_id=2018083100535002" target="_blank"&gt;Verified by Public Record&lt;/a&gt;</t>
  </si>
  <si>
    <t>&lt;a href="http://a836-acris.nyc.gov/DS/DocumentSearch/DocumentDetail?doc_id=2020012200647001" target="_blank"&gt;Verified by Public Record&lt;/a&gt;</t>
  </si>
  <si>
    <t>&lt;a href="http://a836-acris.nyc.gov/DS/DocumentSearch/DocumentDetail?doc_id=2019032801278001" target="_blank"&gt;Verified by Public Record&lt;/a&gt;</t>
  </si>
  <si>
    <t>&lt;a href="http://a836-acris.nyc.gov/DS/DocumentSearch/DocumentDetail?doc_id=2019042600384006" target="_blank"&gt;Verified by Public Record&lt;/a&gt;</t>
  </si>
  <si>
    <t>&lt;a href="http://a836-acris.nyc.gov/DS/DocumentSearch/DocumentDetail?doc_id=2019032801106001" target="_blank"&gt;Verified by Public Record&lt;/a&gt;</t>
  </si>
  <si>
    <t>&lt;a href="http://a836-acris.nyc.gov/DS/DocumentSearch/DocumentDetail?doc_id=2019043000722001" target="_blank"&gt;Verified by Public Record&lt;/a&gt;</t>
  </si>
  <si>
    <t>&lt;a href="http://a836-acris.nyc.gov/DS/DocumentSearch/DocumentDetail?doc_id=2016080500935001" target="_blank"&gt;Verified by Public Record&lt;/a&gt;</t>
  </si>
  <si>
    <t>&lt;a href="http://a836-acris.nyc.gov/DS/DocumentSearch/DocumentDetail?doc_id=2018032300456003" target="_blank"&gt;Verified by Public Record&lt;/a&gt;</t>
  </si>
  <si>
    <t>&lt;a href="http://a836-acris.nyc.gov/DS/DocumentSearch/DocumentDetail?doc_id=2019021101344001" target="_blank"&gt;Verified by Public Record&lt;/a&gt;</t>
  </si>
  <si>
    <t>&lt;a href="http://a836-acris.nyc.gov/DS/DocumentSearch/DocumentDetail?doc_id=2018031600922003" target="_blank"&gt;Verified by Public Record&lt;/a&gt;</t>
  </si>
  <si>
    <t>&lt;a href="http://a836-acris.nyc.gov/DS/DocumentSearch/DocumentDetail?doc_id=2019121200998001" target="_blank"&gt;Verified by Public Record&lt;/a&gt;</t>
  </si>
  <si>
    <t>Balcony
Juliet Balcony
Deck
Roof Deck
Common Roof Deck
Common Outdoor Space</t>
  </si>
  <si>
    <t>&lt;a href="http://a836-acris.nyc.gov/DS/DocumentSearch/DocumentDetail?doc_id=2018071600637001" target="_blank"&gt;Verified by Public Record&lt;/a&gt;</t>
  </si>
  <si>
    <t>&lt;a href="http://a836-acris.nyc.gov/DS/DocumentSearch/DocumentDetail?doc_id=2018081300946001" target="_blank"&gt;Verified by Public Record&lt;/a&gt;</t>
  </si>
  <si>
    <t>&lt;a href="http://a836-acris.nyc.gov/DS/DocumentSearch/DocumentDetail?doc_id=2018091000773001" target="_blank"&gt;Verified by Public Record&lt;/a&gt;</t>
  </si>
  <si>
    <t>&lt;a href="http://a836-acris.nyc.gov/DS/DocumentSearch/DocumentDetail?doc_id=2018071700241006" target="_blank"&gt;Verified by Public Record&lt;/a&gt;</t>
  </si>
  <si>
    <t>&lt;a href="http://a836-acris.nyc.gov/DS/DocumentSearch/DocumentDetail?doc_id=2018060600377003" target="_blank"&gt;Verified by Public Record&lt;/a&gt;</t>
  </si>
  <si>
    <t>&lt;a href="http://a836-acris.nyc.gov/DS/DocumentSearch/DocumentDetail?doc_id=2018052300152001" target="_blank"&gt;Verified by Public Record&lt;/a&gt;</t>
  </si>
  <si>
    <t>&lt;a href="http://a836-acris.nyc.gov/DS/DocumentSearch/DocumentDetail?doc_id=2018082800138001" target="_blank"&gt;Verified by Public Record&lt;/a&gt;</t>
  </si>
  <si>
    <t>Private Roof Deck
Roof Deck
Common Roof Deck
Common Garden
Common Outdoor Space</t>
  </si>
  <si>
    <t>&lt;a href="http://a836-acris.nyc.gov/DS/DocumentSearch/DocumentDetail?doc_id=2020081000876002" target="_blank"&gt;Verified by Public Record&lt;/a&gt;</t>
  </si>
  <si>
    <t>&lt;a href="http://a836-acris.nyc.gov/DS/DocumentSearch/DocumentDetail?doc_id=2016082300359003" target="_blank"&gt;Verified by Public Record&lt;/a&gt;</t>
  </si>
  <si>
    <t>&lt;a href="http://a836-acris.nyc.gov/DS/DocumentSearch/DocumentDetail?doc_id=2016090701202001" target="_blank"&gt;Verified by Public Record&lt;/a&gt;</t>
  </si>
  <si>
    <t>&lt;a href="http://a836-acris.nyc.gov/DS/DocumentSearch/DocumentDetail?doc_id=2016091201041001" target="_blank"&gt;Verified by Public Record&lt;/a&gt;</t>
  </si>
  <si>
    <t>&lt;a href="http://a836-acris.nyc.gov/DS/DocumentSearch/DocumentDetail?doc_id=2016080300963001" target="_blank"&gt;Verified by Public Record&lt;/a&gt;</t>
  </si>
  <si>
    <t>&lt;a href="http://a836-acris.nyc.gov/DS/DocumentSearch/DocumentDetail?doc_id=2019080601411001" target="_blank"&gt;Verified by Public Record&lt;/a&gt;</t>
  </si>
  <si>
    <t>&lt;a href="http://a836-acris.nyc.gov/DS/DocumentSearch/DocumentDetail?doc_id=2021060801728003" target="_blank"&gt;Verified by Public Record&lt;/a&gt;</t>
  </si>
  <si>
    <t>&lt;a href="http://a836-acris.nyc.gov/DS/DocumentSearch/DocumentDetail?doc_id=2021042601416001" target="_blank"&gt;Verified by Public Record&lt;/a&gt;</t>
  </si>
  <si>
    <t>&lt;a href="http://a836-acris.nyc.gov/DS/DocumentSearch/DocumentDetail?doc_id=2021040701402006" target="_blank"&gt;Verified by Public Record&lt;/a&gt;</t>
  </si>
  <si>
    <t>&lt;a href="http://a836-acris.nyc.gov/DS/DocumentSearch/DocumentDetail?doc_id=2018062700344002" target="_blank"&gt;Verified by Public Record&lt;/a&gt;</t>
  </si>
  <si>
    <t>&lt;a href="http://a836-acris.nyc.gov/DS/DocumentSearch/DocumentDetail?doc_id=2021011100343001" target="_blank"&gt;Verified by Public Record&lt;/a&gt;</t>
  </si>
  <si>
    <t>Private Terrace
Private Wrap Around Terrace
Deck
Roof Deck
Common Roof Deck
Common Outdoor Space
Private Outdoor Space</t>
  </si>
  <si>
    <t>&lt;a href="http://a836-acris.nyc.gov/DS/DocumentSearch/DocumentDetail?doc_id=2020122300547001" target="_blank"&gt;Verified by Public Record&lt;/a&gt;</t>
  </si>
  <si>
    <t>&lt;a href="http://a836-acris.nyc.gov/DS/DocumentSearch/DocumentDetail?doc_id=2021060200769001" target="_blank"&gt;Verified by Public Record&lt;/a&gt;</t>
  </si>
  <si>
    <t>&lt;a href="http://a836-acris.nyc.gov/DS/DocumentSearch/DocumentDetail?doc_id=2021032200471004" target="_blank"&gt;Verified by Public Record&lt;/a&gt;</t>
  </si>
  <si>
    <t>&lt;a href="http://a836-acris.nyc.gov/DS/DocumentSearch/DocumentDetail?doc_id=2019062500323001" target="_blank"&gt;Public Record Only&lt;/a&gt;</t>
  </si>
  <si>
    <t>&lt;a href="http://a836-acris.nyc.gov/DS/DocumentSearch/DocumentDetail?doc_id=2020022400538001" target="_blank"&gt;Public Record Only&lt;/a&gt;</t>
  </si>
  <si>
    <t>&lt;a href="http://a836-acris.nyc.gov/DS/DocumentSearch/DocumentDetail?doc_id=2020022400397001" target="_blank"&gt;Public Record Only&lt;/a&gt;</t>
  </si>
  <si>
    <t>&lt;a href="http://a836-acris.nyc.gov/DS/DocumentSearch/DocumentDetail?doc_id=2018071800382001" target="_blank"&gt;Public Record Only&lt;/a&gt;</t>
  </si>
  <si>
    <t>&lt;a href="http://a836-acris.nyc.gov/DS/DocumentSearch/DocumentDetail?doc_id=2015102701095001" target="_blank"&gt;Verified by Public Record&lt;/a&gt;</t>
  </si>
  <si>
    <t>&lt;a href="http://a836-acris.nyc.gov/DS/DocumentSearch/DocumentDetail?doc_id=2020042900705001" target="_blank"&gt;Verified by Public Record&lt;/a&gt;</t>
  </si>
  <si>
    <t>&lt;a href="http://a836-acris.nyc.gov/DS/DocumentSearch/DocumentDetail?doc_id=2017061500378001" target="_blank"&gt;Verified by Public Record&lt;/a&gt;</t>
  </si>
  <si>
    <t>&lt;a href="http://a836-acris.nyc.gov/DS/DocumentSearch/DocumentDetail?doc_id=2020021800609001" target="_blank"&gt;Verified by Public Record&lt;/a&gt;</t>
  </si>
  <si>
    <t>&lt;a href="http://a836-acris.nyc.gov/DS/DocumentSearch/DocumentDetail?doc_id=2021063001419001" target="_blank"&gt;Verified by Public Record&lt;/a&gt;</t>
  </si>
  <si>
    <t>Private Terrace
Private Roof Deck
Deck
Roof Deck
Common Roof Deck
Common Outdoor Space
Private Outdoor Space</t>
  </si>
  <si>
    <t>&lt;a href="http://a836-acris.nyc.gov/DS/DocumentSearch/DocumentDetail?doc_id=2021021700819002" target="_blank"&gt;Public Record Only&lt;/a&gt;</t>
  </si>
  <si>
    <t>&lt;a href="http://a836-acris.nyc.gov/DS/DocumentSearch/DocumentDetail?doc_id=2017050101128001" target="_blank"&gt;Verified by Public Record&lt;/a&gt;</t>
  </si>
  <si>
    <t>&lt;a href="http://a836-acris.nyc.gov/DS/DocumentSearch/DocumentDetail?doc_id=2021060200778003" target="_blank"&gt;Verified by Public Record&lt;/a&gt;</t>
  </si>
  <si>
    <t>&lt;a href="http://a836-acris.nyc.gov/DS/DocumentSearch/DocumentDetail?doc_id=2019070200590003" target="_blank"&gt;Verified by Public Record&lt;/a&gt;</t>
  </si>
  <si>
    <t>&lt;a href="http://a836-acris.nyc.gov/DS/DocumentSearch/DocumentDetail?doc_id=2020022400946003" target="_blank"&gt;Verified by Public Record&lt;/a&gt;</t>
  </si>
  <si>
    <t>&lt;a href="http://a836-acris.nyc.gov/DS/DocumentSearch/DocumentDetail?doc_id=2019110800831001" target="_blank"&gt;Verified by Public Record&lt;/a&gt;</t>
  </si>
  <si>
    <t>&lt;a href="http://a836-acris.nyc.gov/DS/DocumentSearch/DocumentDetail?doc_id=2019112600879001" target="_blank"&gt;Verified by Public Record&lt;/a&gt;</t>
  </si>
  <si>
    <t>&lt;a href="http://a836-acris.nyc.gov/DS/DocumentSearch/DocumentDetail?doc_id=2015102100423001" target="_blank"&gt;Verified by Public Record&lt;/a&gt;</t>
  </si>
  <si>
    <t>&lt;a href="http://a836-acris.nyc.gov/DS/DocumentSearch/DocumentDetail?doc_id=2019112500665001" target="_blank"&gt;Verified by Public Record&lt;/a&gt;</t>
  </si>
  <si>
    <t>Private Terrace
Private Roof Deck
Deck
Roof Deck
Common Roof Deck
Private Outdoor Space</t>
  </si>
  <si>
    <t>&lt;a href="http://a836-acris.nyc.gov/DS/DocumentSearch/DocumentDetail?doc_id=2021040900767002" target="_blank"&gt;Public Record Only&lt;/a&gt;</t>
  </si>
  <si>
    <t>&lt;a href="http://a836-acris.nyc.gov/DS/DocumentSearch/DocumentDetail?doc_id=2020042300284001" target="_blank"&gt;Verified by Public Record&lt;/a&gt;</t>
  </si>
  <si>
    <t>&lt;a href="http://a836-acris.nyc.gov/DS/DocumentSearch/DocumentDetail?doc_id=2019090600893001" target="_blank"&gt;Verified by Public Record&lt;/a&gt;</t>
  </si>
  <si>
    <t>&lt;a href="http://a836-acris.nyc.gov/DS/DocumentSearch/DocumentDetail?doc_id=2017040501182003" target="_blank"&gt;Verified by Public Record&lt;/a&gt;</t>
  </si>
  <si>
    <t>&lt;a href="http://a836-acris.nyc.gov/DS/DocumentSearch/DocumentDetail?doc_id=2020010800300005" target="_blank"&gt;Public Record Only&lt;/a&gt;</t>
  </si>
  <si>
    <t>&lt;a href="http://a836-acris.nyc.gov/DS/DocumentSearch/DocumentDetail?doc_id=2019041100938001" target="_blank"&gt;Verified by Public Record&lt;/a&gt;</t>
  </si>
  <si>
    <t>&lt;a href="http://a836-acris.nyc.gov/DS/DocumentSearch/DocumentDetail?doc_id=2021072800570001" target="_blank"&gt;Public Record Only&lt;/a&gt;</t>
  </si>
  <si>
    <t>&lt;a href="http://a836-acris.nyc.gov/DS/DocumentSearch/DocumentDetail?doc_id=2017010400633001" target="_blank"&gt;Public Record Only&lt;/a&gt;</t>
  </si>
  <si>
    <t>&lt;a href="http://a836-acris.nyc.gov/DS/DocumentSearch/DocumentDetail?doc_id=2018032800929003" target="_blank"&gt;Verified by Public Record&lt;/a&gt;</t>
  </si>
  <si>
    <t>&lt;a href="http://a836-acris.nyc.gov/DS/DocumentSearch/DocumentDetail?doc_id=2017070501303001" target="_blank"&gt;Verified by Public Record&lt;/a&gt;</t>
  </si>
  <si>
    <t>&lt;a href="http://a836-acris.nyc.gov/DS/DocumentSearch/DocumentDetail?doc_id=2018090501050002" target="_blank"&gt;Public Record Only&lt;/a&gt;</t>
  </si>
  <si>
    <t>&lt;a href="http://a836-acris.nyc.gov/DS/DocumentSearch/DocumentDetail?doc_id=2018092100338002" target="_blank"&gt;Public Record Only&lt;/a&gt;</t>
  </si>
  <si>
    <t>&lt;a href="http://a836-acris.nyc.gov/DS/DocumentSearch/DocumentDetail?doc_id=2018092100798001" target="_blank"&gt;Public Record Only&lt;/a&gt;</t>
  </si>
  <si>
    <t>&lt;a href="http://a836-acris.nyc.gov/DS/DocumentSearch/DocumentDetail?doc_id=2018101200908001" target="_blank"&gt;Public Record Only&lt;/a&gt;</t>
  </si>
  <si>
    <t>&lt;a href="http://a836-acris.nyc.gov/DS/DocumentSearch/DocumentDetail?doc_id=2019042501194001" target="_blank"&gt;Verified by Public Record&lt;/a&gt;</t>
  </si>
  <si>
    <t>&lt;a href="http://a836-acris.nyc.gov/DS/DocumentSearch/DocumentDetail?doc_id=2019052201242001" target="_blank"&gt;Verified by Public Record&lt;/a&gt;</t>
  </si>
  <si>
    <t>&lt;a href="http://a836-acris.nyc.gov/DS/DocumentSearch/DocumentDetail?doc_id=2019061901021001" target="_blank"&gt;Verified by Public Record&lt;/a&gt;</t>
  </si>
  <si>
    <t>&lt;a href="http://a836-acris.nyc.gov/DS/DocumentSearch/DocumentDetail?doc_id=2019062600050003" target="_blank"&gt;Verified by Public Record&lt;/a&gt;</t>
  </si>
  <si>
    <t>&lt;a href="http://a836-acris.nyc.gov/DS/DocumentSearch/DocumentDetail?doc_id=2019061100664001" target="_blank"&gt;Public Record Only&lt;/a&gt;</t>
  </si>
  <si>
    <t>&lt;a href="http://a836-acris.nyc.gov/DS/DocumentSearch/DocumentDetail?doc_id=2018031400240002" target="_blank"&gt;Verified by Public Record&lt;/a&gt;</t>
  </si>
  <si>
    <t>Private Roof Deck
Roof Deck
Common Roof Deck
Common Outdoor Space</t>
  </si>
  <si>
    <t>Roof Deck
Common Roof Deck
Private Outdoor Space</t>
  </si>
  <si>
    <t>&lt;a href="http://a836-acris.nyc.gov/DS/DocumentSearch/DocumentDetail?doc_id=2019112200132001" target="_blank"&gt;Public Record Only&lt;/a&gt;</t>
  </si>
  <si>
    <t>&lt;a href="http://a836-acris.nyc.gov/DS/DocumentSearch/DocumentDetail?doc_id=2020100100920005" target="_blank"&gt;Public Record Only&lt;/a&gt;</t>
  </si>
  <si>
    <t>&lt;a href="http://a836-acris.nyc.gov/DS/DocumentSearch/DocumentDetail?doc_id=2019100100433001" target="_blank"&gt;Verified by Public Record&lt;/a&gt;</t>
  </si>
  <si>
    <t>Balcony
Juliet Balcony
Private Wrap Around Terrace
Common Garden
Common Outdoor Space
Private Outdoor Space</t>
  </si>
  <si>
    <t>&lt;a href="http://a836-acris.nyc.gov/DS/DocumentSearch/DocumentDetail?doc_id=2019040200529006" target="_blank"&gt;Verified by Public Record&lt;/a&gt;</t>
  </si>
  <si>
    <t>&lt;a href="http://a836-acris.nyc.gov/DS/DocumentSearch/DocumentDetail?doc_id=2019042200472001" target="_blank"&gt;Verified by Public Record&lt;/a&gt;</t>
  </si>
  <si>
    <t>&lt;a href="http://a836-acris.nyc.gov/DS/DocumentSearch/DocumentDetail?doc_id=2021060100561002" target="_blank"&gt;Verified by Public Record&lt;/a&gt;</t>
  </si>
  <si>
    <t>&lt;a href="http://a836-acris.nyc.gov/DS/DocumentSearch/DocumentDetail?doc_id=2018022800077003" target="_blank"&gt;Verified by Public Record&lt;/a&gt;</t>
  </si>
  <si>
    <t>&lt;a href="http://a836-acris.nyc.gov/DS/DocumentSearch/DocumentDetail?doc_id=2017120800387001" target="_blank"&gt;Verified by Public Record&lt;/a&gt;</t>
  </si>
  <si>
    <t>&lt;a href="http://a836-acris.nyc.gov/DS/DocumentSearch/DocumentDetail?doc_id=2019042500147001" target="_blank"&gt;Verified by Public Record&lt;/a&gt;</t>
  </si>
  <si>
    <t>&lt;a href="http://a836-acris.nyc.gov/DS/DocumentSearch/DocumentDetail?doc_id=2019060600074001" target="_blank"&gt;Verified by Public Record&lt;/a&gt;</t>
  </si>
  <si>
    <t>&lt;a href="http://a836-acris.nyc.gov/DS/DocumentSearch/DocumentDetail?doc_id=2019072600757001" target="_blank"&gt;Verified by Public Record&lt;/a&gt;</t>
  </si>
  <si>
    <t>&lt;a href="http://a836-acris.nyc.gov/DS/DocumentSearch/DocumentDetail?doc_id=2019052801154001" target="_blank"&gt;Verified by Public Record&lt;/a&gt;</t>
  </si>
  <si>
    <t>&lt;a href="http://a836-acris.nyc.gov/DS/DocumentSearch/DocumentDetail?doc_id=2019050200211002" target="_blank"&gt;Verified by Public Record&lt;/a&gt;</t>
  </si>
  <si>
    <t>&lt;a href="http://a836-acris.nyc.gov/DS/DocumentSearch/DocumentDetail?doc_id=2019060700118003" target="_blank"&gt;Verified by Public Record&lt;/a&gt;</t>
  </si>
  <si>
    <t>&lt;a href="http://a836-acris.nyc.gov/DS/DocumentSearch/DocumentDetail?doc_id=2019052800407001" target="_blank"&gt;Verified by Public Record&lt;/a&gt;</t>
  </si>
  <si>
    <t>&lt;a href="http://a836-acris.nyc.gov/DS/DocumentSearch/DocumentDetail?doc_id=2019052800683001" target="_blank"&gt;Verified by Public Record&lt;/a&gt;</t>
  </si>
  <si>
    <t>&lt;a href="http://a836-acris.nyc.gov/DS/DocumentSearch/DocumentDetail?doc_id=2019072300911001" target="_blank"&gt;Verified by Public Record&lt;/a&gt;</t>
  </si>
  <si>
    <t>&lt;a href="http://a836-acris.nyc.gov/DS/DocumentSearch/DocumentDetail?doc_id=2019052000931001" target="_blank"&gt;Verified by Public Record&lt;/a&gt;</t>
  </si>
  <si>
    <t>&lt;a href="http://a836-acris.nyc.gov/DS/DocumentSearch/DocumentDetail?doc_id=2019040400090001" target="_blank"&gt;Verified by Public Record&lt;/a&gt;</t>
  </si>
  <si>
    <t>&lt;a href="http://a836-acris.nyc.gov/DS/DocumentSearch/DocumentDetail?doc_id=2019042300846001" target="_blank"&gt;Verified by Public Record&lt;/a&gt;</t>
  </si>
  <si>
    <t>&lt;a href="http://a836-acris.nyc.gov/DS/DocumentSearch/DocumentDetail?doc_id=2019053000755001" target="_blank"&gt;Verified by Public Record&lt;/a&gt;</t>
  </si>
  <si>
    <t>&lt;a href="http://a836-acris.nyc.gov/DS/DocumentSearch/DocumentDetail?doc_id=2019071600826001" target="_blank"&gt;Verified by Public Record&lt;/a&gt;</t>
  </si>
  <si>
    <t>&lt;a href="http://a836-acris.nyc.gov/DS/DocumentSearch/DocumentDetail?doc_id=2019051300858003" target="_blank"&gt;Verified by Public Record&lt;/a&gt;</t>
  </si>
  <si>
    <t>&lt;a href="http://a836-acris.nyc.gov/DS/DocumentSearch/DocumentDetail?doc_id=2019042300565001" target="_blank"&gt;Verified by Public Record&lt;/a&gt;</t>
  </si>
  <si>
    <t>&lt;a href="http://a836-acris.nyc.gov/DS/DocumentSearch/DocumentDetail?doc_id=2018032700442003" target="_blank"&gt;Verified by Public Record&lt;/a&gt;</t>
  </si>
  <si>
    <t>&lt;a href="http://a836-acris.nyc.gov/DS/DocumentSearch/DocumentDetail?doc_id=2021072701065005" target="_blank"&gt;Public Record Only&lt;/a&gt;</t>
  </si>
  <si>
    <t>&lt;a href="http://a836-acris.nyc.gov/DS/DocumentSearch/DocumentDetail?doc_id=2020102100771001" target="_blank"&gt;Public Record Only&lt;/a&gt;</t>
  </si>
  <si>
    <t>&lt;a href="http://a836-acris.nyc.gov/DS/DocumentSearch/DocumentDetail?doc_id=2019101101190001" target="_blank"&gt;Verified by Public Record&lt;/a&gt;</t>
  </si>
  <si>
    <t>Balcony
Juliet Balcony
Private Terrace
Common Garden
Common Outdoor Space
Private Outdoor Space</t>
  </si>
  <si>
    <t>&lt;a href="http://a836-acris.nyc.gov/DS/DocumentSearch/DocumentDetail?doc_id=2019060600862004" target="_blank"&gt;Verified by Public Record&lt;/a&gt;</t>
  </si>
  <si>
    <t>&lt;a href="http://a836-acris.nyc.gov/DS/DocumentSearch/DocumentDetail?doc_id=2019062300056001" target="_blank"&gt;Verified by Public Record&lt;/a&gt;</t>
  </si>
  <si>
    <t>&lt;a href="http://a836-acris.nyc.gov/DS/DocumentSearch/DocumentDetail?doc_id=2018031600425001" target="_blank"&gt;Verified by Public Record&lt;/a&gt;</t>
  </si>
  <si>
    <t>&lt;a href="http://a836-acris.nyc.gov/DS/DocumentSearch/DocumentDetail?doc_id=2019042500369001" target="_blank"&gt;Verified by Public Record&lt;/a&gt;</t>
  </si>
  <si>
    <t>&lt;a href="http://a836-acris.nyc.gov/DS/DocumentSearch/DocumentDetail?doc_id=2019110601140001" target="_blank"&gt;Public Record Only&lt;/a&gt;</t>
  </si>
  <si>
    <t>&lt;a href="http://a836-acris.nyc.gov/DS/DocumentSearch/DocumentDetail?doc_id=2017060900401001" target="_blank"&gt;Verified by Public Record&lt;/a&gt;</t>
  </si>
  <si>
    <t>&lt;a href="http://a836-acris.nyc.gov/DS/DocumentSearch/DocumentDetail?doc_id=2019070300357001" target="_blank"&gt;Verified by Public Record&lt;/a&gt;</t>
  </si>
  <si>
    <t>&lt;a href="http://a836-acris.nyc.gov/DS/DocumentSearch/DocumentDetail?doc_id=2016072000871003" target="_blank"&gt;Verified by Public Record&lt;/a&gt;</t>
  </si>
  <si>
    <t>&lt;a href="http://a836-acris.nyc.gov/DS/DocumentSearch/DocumentDetail?doc_id=2021030500192001" target="_blank"&gt;Verified by Public Record&lt;/a&gt;</t>
  </si>
  <si>
    <t>&lt;a href="http://a836-acris.nyc.gov/DS/DocumentSearch/DocumentDetail?doc_id=2019071800563001" target="_blank"&gt;Verified by Public Record&lt;/a&gt;</t>
  </si>
  <si>
    <t>&lt;a href="http://a836-acris.nyc.gov/DS/DocumentSearch/DocumentDetail?doc_id=2019071800729001" target="_blank"&gt;Verified by Public Record&lt;/a&gt;</t>
  </si>
  <si>
    <t>&lt;a href="http://a836-acris.nyc.gov/DS/DocumentSearch/DocumentDetail?doc_id=2019090500507001" target="_blank"&gt;Verified by Public Record&lt;/a&gt;</t>
  </si>
  <si>
    <t>&lt;a href="http://a836-acris.nyc.gov/DS/DocumentSearch/DocumentDetail?doc_id=2019060600389001" target="_blank"&gt;Verified by Public Record&lt;/a&gt;</t>
  </si>
  <si>
    <t>&lt;a href="http://a836-acris.nyc.gov/DS/DocumentSearch/DocumentDetail?doc_id=2018040600266001" target="_blank"&gt;Verified by Public Record&lt;/a&gt;</t>
  </si>
  <si>
    <t>&lt;a href="http://a836-acris.nyc.gov/DS/DocumentSearch/DocumentDetail?doc_id=2020121000559001" target="_blank"&gt;Verified by Public Record&lt;/a&gt;</t>
  </si>
  <si>
    <t>&lt;a href="http://a836-acris.nyc.gov/DS/DocumentSearch/DocumentDetail?doc_id=2017071800133001" target="_blank"&gt;Verified by Public Record&lt;/a&gt;</t>
  </si>
  <si>
    <t>&lt;a href="http://a836-acris.nyc.gov/DS/DocumentSearch/DocumentDetail?doc_id=2018041600583001" target="_blank"&gt;Verified by Public Record&lt;/a&gt;</t>
  </si>
  <si>
    <t>&lt;a href="http://a836-acris.nyc.gov/DS/DocumentSearch/DocumentDetail?doc_id=2017041100136001" target="_blank"&gt;Public Record Only&lt;/a&gt;</t>
  </si>
  <si>
    <t>&lt;a href="http://a836-acris.nyc.gov/DS/DocumentSearch/DocumentDetail?doc_id=2019072901013001" target="_blank"&gt;Verified by Public Record&lt;/a&gt;</t>
  </si>
  <si>
    <t>&lt;a href="http://a836-acris.nyc.gov/DS/DocumentSearch/DocumentDetail?doc_id=2019070201046002" target="_blank"&gt;Verified by Public Record&lt;/a&gt;</t>
  </si>
  <si>
    <t>&lt;a href="http://a836-acris.nyc.gov/DS/DocumentSearch/DocumentDetail?doc_id=2018051600927001" target="_blank"&gt;Verified by Public Record&lt;/a&gt;</t>
  </si>
  <si>
    <t>&lt;a href="http://a836-acris.nyc.gov/DS/DocumentSearch/DocumentDetail?doc_id=2018020800579002" target="_blank"&gt;Verified by Public Record&lt;/a&gt;</t>
  </si>
  <si>
    <t>&lt;a href="http://a836-acris.nyc.gov/DS/DocumentSearch/DocumentDetail?doc_id=2018051700193001" target="_blank"&gt;Verified by Public Record&lt;/a&gt;</t>
  </si>
  <si>
    <t>&lt;a href="http://a836-acris.nyc.gov/DS/DocumentSearch/DocumentDetail?doc_id=2018030601118001" target="_blank"&gt;Verified by Public Record&lt;/a&gt;</t>
  </si>
  <si>
    <t>&lt;a href="http://a836-acris.nyc.gov/DS/DocumentSearch/DocumentDetail?doc_id=2015110600602001" target="_blank"&gt;Verified by Public Record&lt;/a&gt;</t>
  </si>
  <si>
    <t>&lt;a href="http://a836-acris.nyc.gov/DS/DocumentSearch/DocumentDetail?doc_id=2015073101668001" target="_blank"&gt;Verified by Public Record&lt;/a&gt;</t>
  </si>
  <si>
    <t>&lt;a href="http://a836-acris.nyc.gov/DS/DocumentSearch/DocumentDetail?doc_id=2015112500847001" target="_blank"&gt;Verified by Public Record&lt;/a&gt;</t>
  </si>
  <si>
    <t>&lt;a href="http://a836-acris.nyc.gov/DS/DocumentSearch/DocumentDetail?doc_id=2015081300323003" target="_blank"&gt;Verified by Public Record&lt;/a&gt;</t>
  </si>
  <si>
    <t>&lt;a href="http://a836-acris.nyc.gov/DS/DocumentSearch/DocumentDetail?doc_id=2015072800920001" target="_blank"&gt;Verified by Public Record&lt;/a&gt;</t>
  </si>
  <si>
    <t>&lt;a href="http://a836-acris.nyc.gov/DS/DocumentSearch/DocumentDetail?doc_id=2015073100243001" target="_blank"&gt;Verified by Public Record&lt;/a&gt;</t>
  </si>
  <si>
    <t>&lt;a href="http://a836-acris.nyc.gov/DS/DocumentSearch/DocumentDetail?doc_id=2021051300551001" target="_blank"&gt;Public Record Only&lt;/a&gt;</t>
  </si>
  <si>
    <t>&lt;a href="http://a836-acris.nyc.gov/DS/DocumentSearch/DocumentDetail?doc_id=2021031701131001" target="_blank"&gt;Public Record Only&lt;/a&gt;</t>
  </si>
  <si>
    <t>&lt;a href="http://a836-acris.nyc.gov/DS/DocumentSearch/DocumentDetail?doc_id=2019111200609001" target="_blank"&gt;Public Record Only&lt;/a&gt;</t>
  </si>
  <si>
    <t>&lt;a href="http://a836-acris.nyc.gov/DS/DocumentSearch/DocumentDetail?doc_id=2017072600862001" target="_blank"&gt;Verified by Public Record&lt;/a&gt;</t>
  </si>
  <si>
    <t>&lt;a href="http://a836-acris.nyc.gov/DS/DocumentSearch/DocumentDetail?doc_id=2018101100422001" target="_blank"&gt;Verified by Public Record&lt;/a&gt;</t>
  </si>
  <si>
    <t>&lt;a href="http://a836-acris.nyc.gov/DS/DocumentSearch/DocumentDetail?doc_id=2017071700979002" target="_blank"&gt;Verified by Public Record&lt;/a&gt;</t>
  </si>
  <si>
    <t>Private Terrace
Private Roof Deck
Common Roof Deck
Common Outdoor Space</t>
  </si>
  <si>
    <t>&lt;a href="http://a836-acris.nyc.gov/DS/DocumentSearch/DocumentDetail?doc_id=2019071101108001" target="_blank"&gt;Verified by Public Record&lt;/a&gt;</t>
  </si>
  <si>
    <t>&lt;a href="http://a836-acris.nyc.gov/DS/DocumentSearch/DocumentDetail?doc_id=2019082300689001" target="_blank"&gt;Verified by Public Record&lt;/a&gt;</t>
  </si>
  <si>
    <t>&lt;a href="http://a836-acris.nyc.gov/DS/DocumentSearch/DocumentDetail?doc_id=2015072800682001" target="_blank"&gt;Verified by Public Record&lt;/a&gt;</t>
  </si>
  <si>
    <t>&lt;a href="http://a836-acris.nyc.gov/DS/DocumentSearch/DocumentDetail?doc_id=2015081000706001" target="_blank"&gt;Verified by Public Record&lt;/a&gt;</t>
  </si>
  <si>
    <t>&lt;a href="http://a836-acris.nyc.gov/DS/DocumentSearch/DocumentDetail?doc_id=2015080300528002" target="_blank"&gt;Verified by Public Record&lt;/a&gt;</t>
  </si>
  <si>
    <t>&lt;a href="http://a836-acris.nyc.gov/DS/DocumentSearch/DocumentDetail?doc_id=2018110900287007" target="_blank"&gt;Public Record Only&lt;/a&gt;</t>
  </si>
  <si>
    <t>&lt;a href="http://a836-acris.nyc.gov/DS/DocumentSearch/DocumentDetail?doc_id=2017081400870001" target="_blank"&gt;Public Record Only&lt;/a&gt;</t>
  </si>
  <si>
    <t>&lt;a href="http://a836-acris.nyc.gov/DS/DocumentSearch/DocumentDetail?doc_id=2021061702308002" target="_blank"&gt;Public Record Only&lt;/a&gt;</t>
  </si>
  <si>
    <t>&lt;a href="http://a836-acris.nyc.gov/DS/DocumentSearch/DocumentDetail?doc_id=2019042901193002" target="_blank"&gt;Verified by Public Record&lt;/a&gt;</t>
  </si>
  <si>
    <t>&lt;a href="http://a836-acris.nyc.gov/DS/DocumentSearch/DocumentDetail?doc_id=2015073101138002" target="_blank"&gt;Verified by Public Record&lt;/a&gt;</t>
  </si>
  <si>
    <t>&lt;a href="http://a836-acris.nyc.gov/DS/DocumentSearch/DocumentDetail?doc_id=2021061401444001" target="_blank"&gt;Verified by Public Record&lt;/a&gt;</t>
  </si>
  <si>
    <t>&lt;a href="http://a836-acris.nyc.gov/DS/DocumentSearch/DocumentDetail?doc_id=2017070700382001" target="_blank"&gt;Verified by Public Record&lt;/a&gt;</t>
  </si>
  <si>
    <t>&lt;a href="http://a836-acris.nyc.gov/DS/DocumentSearch/DocumentDetail?doc_id=2019122000547001" target="_blank"&gt;Verified by Public Record&lt;/a&gt;</t>
  </si>
  <si>
    <t>&lt;a href="http://a836-acris.nyc.gov/DS/DocumentSearch/DocumentDetail?doc_id=2020111800270001" target="_blank"&gt;Verified by Public Record&lt;/a&gt;</t>
  </si>
  <si>
    <t>&lt;a href="http://a836-acris.nyc.gov/DS/DocumentSearch/DocumentDetail?doc_id=2020022400605001" target="_blank"&gt;Public Record Only&lt;/a&gt;</t>
  </si>
  <si>
    <t>&lt;a href="http://a836-acris.nyc.gov/DS/DocumentSearch/DocumentDetail?doc_id=2020022400297001" target="_blank"&gt;Public Record Only&lt;/a&gt;</t>
  </si>
  <si>
    <t>&lt;a href="http://a836-acris.nyc.gov/DS/DocumentSearch/DocumentDetail?doc_id=2019030701046001" target="_blank"&gt;Verified by Public Record&lt;/a&gt;</t>
  </si>
  <si>
    <t>&lt;a href="http://a836-acris.nyc.gov/DS/DocumentSearch/DocumentDetail?doc_id=2021012501482001" target="_blank"&gt;Public Record Only&lt;/a&gt;</t>
  </si>
  <si>
    <t>&lt;a href="http://a836-acris.nyc.gov/DS/DocumentSearch/DocumentDetail?doc_id=2018050200640001" target="_blank"&gt;Public Record Only&lt;/a&gt;</t>
  </si>
  <si>
    <t>&lt;a href="http://a836-acris.nyc.gov/DS/DocumentSearch/DocumentDetail?doc_id=2017122100897001" target="_blank"&gt;Public Record Only&lt;/a&gt;</t>
  </si>
  <si>
    <t>&lt;a href="http://a836-acris.nyc.gov/DS/DocumentSearch/DocumentDetail?doc_id=2018043001160001" target="_blank"&gt;Verified by Public Record&lt;/a&gt;</t>
  </si>
  <si>
    <t>&lt;a href="http://a836-acris.nyc.gov/DS/DocumentSearch/DocumentDetail?doc_id=2019031200613001" target="_blank"&gt;Verified by Public Record&lt;/a&gt;</t>
  </si>
  <si>
    <t>&lt;a href="http://a836-acris.nyc.gov/DS/DocumentSearch/DocumentDetail?doc_id=2017062000311001" target="_blank"&gt;Verified by Public Record&lt;/a&gt;</t>
  </si>
  <si>
    <t>&lt;a href="http://a836-acris.nyc.gov/DS/DocumentSearch/DocumentDetail?doc_id=2017080401242001" target="_blank"&gt;Verified by Public Record&lt;/a&gt;</t>
  </si>
  <si>
    <t>&lt;a href="http://a836-acris.nyc.gov/DS/DocumentSearch/DocumentDetail?doc_id=2017062900183001" target="_blank"&gt;Verified by Public Record&lt;/a&gt;</t>
  </si>
  <si>
    <t>&lt;a href="http://a836-acris.nyc.gov/DS/DocumentSearch/DocumentDetail?doc_id=2018041000733001" target="_blank"&gt;Verified by Public Record&lt;/a&gt;</t>
  </si>
  <si>
    <t>&lt;a href="http://a836-acris.nyc.gov/DS/DocumentSearch/DocumentDetail?doc_id=2018041100868001" target="_blank"&gt;Verified by Public Record&lt;/a&gt;</t>
  </si>
  <si>
    <t>&lt;a href="http://a836-acris.nyc.gov/DS/DocumentSearch/DocumentDetail?doc_id=2017080400334003" target="_blank"&gt;Verified by Public Record&lt;/a&gt;</t>
  </si>
  <si>
    <t>&lt;a href="http://a836-acris.nyc.gov/DS/DocumentSearch/DocumentDetail?doc_id=2021081001369001" target="_blank"&gt;Verified by Public Record&lt;/a&gt;</t>
  </si>
  <si>
    <t>&lt;a href="http://a836-acris.nyc.gov/DS/DocumentSearch/DocumentDetail?doc_id=2017062201196002" target="_blank"&gt;Verified by Public Record&lt;/a&gt;</t>
  </si>
  <si>
    <t>&lt;a href="http://a836-acris.nyc.gov/DS/DocumentSearch/DocumentDetail?doc_id=2016072100049001" target="_blank"&gt;Verified by Public Record&lt;/a&gt;</t>
  </si>
  <si>
    <t>&lt;a href="http://a836-acris.nyc.gov/DS/DocumentSearch/DocumentDetail?doc_id=2016070100689002" target="_blank"&gt;Verified by Public Record&lt;/a&gt;</t>
  </si>
  <si>
    <t>&lt;a href="http://a836-acris.nyc.gov/DS/DocumentSearch/DocumentDetail?doc_id=2017121200345001" target="_blank"&gt;Verified by Public Record&lt;/a&gt;</t>
  </si>
  <si>
    <t>&lt;a href="http://a836-acris.nyc.gov/DS/DocumentSearch/DocumentDetail?doc_id=2019071000767004" target="_blank"&gt;Verified by Public Record&lt;/a&gt;</t>
  </si>
  <si>
    <t>&lt;a href="http://a836-acris.nyc.gov/DS/DocumentSearch/DocumentDetail?doc_id=2019091901332001" target="_blank"&gt;Public Record Only&lt;/a&gt;</t>
  </si>
  <si>
    <t>&lt;a href="http://a836-acris.nyc.gov/DS/DocumentSearch/DocumentDetail?doc_id=2018043000090001" target="_blank"&gt;Public Record Only&lt;/a&gt;</t>
  </si>
  <si>
    <t>&lt;a href="http://a836-acris.nyc.gov/DS/DocumentSearch/DocumentDetail?doc_id=2014070200554001" target="_blank"&gt;Verified by Public Record&lt;/a&gt;</t>
  </si>
  <si>
    <t>&lt;a href="http://a836-acris.nyc.gov/DS/DocumentSearch/DocumentDetail?doc_id=2014070200178001" target="_blank"&gt;Verified by Public Record&lt;/a&gt;</t>
  </si>
  <si>
    <t>&lt;a href="http://a836-acris.nyc.gov/DS/DocumentSearch/DocumentDetail?doc_id=2019091900097001" target="_blank"&gt;Verified by Public Record&lt;/a&gt;</t>
  </si>
  <si>
    <t>&lt;a href="http://a836-acris.nyc.gov/DS/DocumentSearch/DocumentDetail?doc_id=2018082800252001" target="_blank"&gt;Verified by Public Record&lt;/a&gt;</t>
  </si>
  <si>
    <t>&lt;a href="http://a836-acris.nyc.gov/DS/DocumentSearch/DocumentDetail?doc_id=2019062400884001" target="_blank"&gt;Verified by Public Record&lt;/a&gt;</t>
  </si>
  <si>
    <t>&lt;a href="http://a836-acris.nyc.gov/DS/DocumentSearch/DocumentDetail?doc_id=2020012200769001" target="_blank"&gt;Verified by Public Record&lt;/a&gt;</t>
  </si>
  <si>
    <t>&lt;a href="http://a836-acris.nyc.gov/DS/DocumentSearch/DocumentDetail?doc_id=2019070200796003" target="_blank"&gt;Verified by Public Record&lt;/a&gt;</t>
  </si>
  <si>
    <t>&lt;a href="http://a836-acris.nyc.gov/DS/DocumentSearch/DocumentDetail?doc_id=2019061000848001" target="_blank"&gt;Verified by Public Record&lt;/a&gt;</t>
  </si>
  <si>
    <t>Rental/Condo</t>
  </si>
  <si>
    <t>&lt;a href="http://a836-acris.nyc.gov/DS/DocumentSearch/DocumentDetail?doc_id=2017021400599003" target="_blank"&gt;Verified by Public Record&lt;/a&gt;</t>
  </si>
  <si>
    <t>&lt;a href="http://a836-acris.nyc.gov/DS/DocumentSearch/DocumentDetail?doc_id=2016102000023002" target="_blank"&gt;Verified by Public Record&lt;/a&gt;</t>
  </si>
  <si>
    <t>&lt;a href="http://a836-acris.nyc.gov/DS/DocumentSearch/DocumentDetail?doc_id=2019093000715001" target="_blank"&gt;Verified by Public Record&lt;/a&gt;</t>
  </si>
  <si>
    <t>&lt;a href="http://a836-acris.nyc.gov/DS/DocumentSearch/DocumentDetail?doc_id=2017092100397001" target="_blank"&gt;Verified by Public Record&lt;/a&gt;</t>
  </si>
  <si>
    <t>&lt;a href="http://a836-acris.nyc.gov/DS/DocumentSearch/DocumentDetail?doc_id=2021042001063001" target="_blank"&gt;Verified by Public Record&lt;/a&gt;</t>
  </si>
  <si>
    <t>&lt;a href="http://a836-acris.nyc.gov/DS/DocumentSearch/DocumentDetail?doc_id=2019091200833001" target="_blank"&gt;Verified by Public Record&lt;/a&gt;</t>
  </si>
  <si>
    <t>&lt;a href="http://a836-acris.nyc.gov/DS/DocumentSearch/DocumentDetail?doc_id=2019070800259001" target="_blank"&gt;Verified by Public Record&lt;/a&gt;</t>
  </si>
  <si>
    <t>&lt;a href="http://a836-acris.nyc.gov/DS/DocumentSearch/DocumentDetail?doc_id=2019070201357003" target="_blank"&gt;Verified by Public Record&lt;/a&gt;</t>
  </si>
  <si>
    <t>&lt;a href="http://a836-acris.nyc.gov/DS/DocumentSearch/DocumentDetail?doc_id=2020020600105001" target="_blank"&gt;Public Record Only&lt;/a&gt;</t>
  </si>
  <si>
    <t>&lt;a href="http://a836-acris.nyc.gov/DS/DocumentSearch/DocumentDetail?doc_id=2021062900040003" target="_blank"&gt;Verified by Public Record&lt;/a&gt;</t>
  </si>
  <si>
    <t>&lt;a href="http://a836-acris.nyc.gov/DS/DocumentSearch/DocumentDetail?doc_id=2017071300071001" target="_blank"&gt;Verified by Public Record&lt;/a&gt;</t>
  </si>
  <si>
    <t>&lt;a href="http://a836-acris.nyc.gov/DS/DocumentSearch/DocumentDetail?doc_id=2017061900382001" target="_blank"&gt;Verified by Public Record&lt;/a&gt;</t>
  </si>
  <si>
    <t>&lt;a href="http://a836-acris.nyc.gov/DS/DocumentSearch/DocumentDetail?doc_id=2017032801528001" target="_blank"&gt;Verified by Public Record&lt;/a&gt;</t>
  </si>
  <si>
    <t>&lt;a href="http://a836-acris.nyc.gov/DS/DocumentSearch/DocumentDetail?doc_id=2018110500803001" target="_blank"&gt;Verified by Public Record&lt;/a&gt;</t>
  </si>
  <si>
    <t>&lt;a href="http://a836-acris.nyc.gov/DS/DocumentSearch/DocumentDetail?doc_id=2017061900711001" target="_blank"&gt;Verified by Public Record&lt;/a&gt;</t>
  </si>
  <si>
    <t>&lt;a href="http://a836-acris.nyc.gov/DS/DocumentSearch/DocumentDetail?doc_id=2017110801005001" target="_blank"&gt;Public Record Only&lt;/a&gt;</t>
  </si>
  <si>
    <t>&lt;a href="http://a836-acris.nyc.gov/DS/DocumentSearch/DocumentDetail?doc_id=2018040300961001" target="_blank"&gt;Verified by Public Record&lt;/a&gt;</t>
  </si>
  <si>
    <t>&lt;a href="http://a836-acris.nyc.gov/DS/DocumentSearch/DocumentDetail?doc_id=2017030301146001" target="_blank"&gt;Verified by Public Record&lt;/a&gt;</t>
  </si>
  <si>
    <t>&lt;a href="http://a836-acris.nyc.gov/DS/DocumentSearch/DocumentDetail?doc_id=2021041900959001" target="_blank"&gt;Verified by Public Record&lt;/a&gt;</t>
  </si>
  <si>
    <t>&lt;a href="http://a836-acris.nyc.gov/DS/DocumentSearch/DocumentDetail?doc_id=2021071301361002" target="_blank"&gt;Public Record Only&lt;/a&gt;</t>
  </si>
  <si>
    <t>&lt;a href="http://a836-acris.nyc.gov/DS/DocumentSearch/DocumentDetail?doc_id=2019070301190002" target="_blank"&gt;Verified by Public Record&lt;/a&gt;</t>
  </si>
  <si>
    <t>&lt;a href="http://a836-acris.nyc.gov/DS/DocumentSearch/DocumentDetail?doc_id=2017070700615001" target="_blank"&gt;Verified by Public Record&lt;/a&gt;</t>
  </si>
  <si>
    <t>&lt;a href="http://a836-acris.nyc.gov/DS/DocumentSearch/DocumentDetail?doc_id=2017062300616002" target="_blank"&gt;Verified by Public Record&lt;/a&gt;</t>
  </si>
  <si>
    <t>&lt;a href="http://a836-acris.nyc.gov/DS/DocumentSearch/DocumentDetail?doc_id=2017071301087001" target="_blank"&gt;Verified by Public Record&lt;/a&gt;</t>
  </si>
  <si>
    <t>&lt;a href="http://a836-acris.nyc.gov/DS/DocumentSearch/DocumentDetail?doc_id=2020030600373001" target="_blank"&gt;Verified by Public Record&lt;/a&gt;</t>
  </si>
  <si>
    <t>Patio
Common Garden
Common Outdoor Space</t>
  </si>
  <si>
    <t>&lt;a href="http://a836-acris.nyc.gov/DS/DocumentSearch/DocumentDetail?doc_id=2019071600213003" target="_blank"&gt;Verified by Public Record&lt;/a&gt;</t>
  </si>
  <si>
    <t>&lt;a href="http://a836-acris.nyc.gov/DS/DocumentSearch/DocumentDetail?doc_id=2019071000358001" target="_blank"&gt;Verified by Public Record&lt;/a&gt;</t>
  </si>
  <si>
    <t>&lt;a href="http://a836-acris.nyc.gov/DS/DocumentSearch/DocumentDetail?doc_id=2019090400925001" target="_blank"&gt;Public Record Only&lt;/a&gt;</t>
  </si>
  <si>
    <t>&lt;a href="http://a836-acris.nyc.gov/DS/DocumentSearch/DocumentDetail?doc_id=2021010700154006" target="_blank"&gt;Public Record Only&lt;/a&gt;</t>
  </si>
  <si>
    <t>&lt;a href="http://a836-acris.nyc.gov/DS/DocumentSearch/DocumentDetail?doc_id=2019070100820001" target="_blank"&gt;Verified by Public Record&lt;/a&gt;</t>
  </si>
  <si>
    <t>&lt;a href="http://a836-acris.nyc.gov/DS/DocumentSearch/DocumentDetail?doc_id=2018080901135001" target="_blank"&gt;Verified by Public Record&lt;/a&gt;</t>
  </si>
  <si>
    <t>&lt;a href="http://a836-acris.nyc.gov/DS/DocumentSearch/DocumentDetail?doc_id=2020061800546001" target="_blank"&gt;Verified by Public Record&lt;/a&gt;</t>
  </si>
  <si>
    <t>&lt;a href="http://a836-acris.nyc.gov/DS/DocumentSearch/DocumentDetail?doc_id=2021012200880001" target="_blank"&gt;Verified by Public Record&lt;/a&gt;</t>
  </si>
  <si>
    <t>&lt;a href="http://a836-acris.nyc.gov/DS/DocumentSearch/DocumentDetail?doc_id=2017051700513001" target="_blank"&gt;Verified by Public Record&lt;/a&gt;</t>
  </si>
  <si>
    <t>&lt;a href="http://a836-acris.nyc.gov/DS/DocumentSearch/DocumentDetail?doc_id=2017031500809001" target="_blank"&gt;Verified by Public Record&lt;/a&gt;</t>
  </si>
  <si>
    <t>&lt;a href="http://a836-acris.nyc.gov/DS/DocumentSearch/DocumentDetail?doc_id=2017031001219001" target="_blank"&gt;Verified by Public Record&lt;/a&gt;</t>
  </si>
  <si>
    <t>&lt;a href="http://a836-acris.nyc.gov/DS/DocumentSearch/DocumentDetail?doc_id=2017040300564001" target="_blank"&gt;Verified by Public Record&lt;/a&gt;</t>
  </si>
  <si>
    <t>&lt;a href="http://a836-acris.nyc.gov/DS/DocumentSearch/DocumentDetail?doc_id=2019082600163005" target="_blank"&gt;Verified by Public Record&lt;/a&gt;</t>
  </si>
  <si>
    <t>&lt;a href="http://a836-acris.nyc.gov/DS/DocumentSearch/DocumentDetail?doc_id=2019070500448001" target="_blank"&gt;Verified by Public Record&lt;/a&gt;</t>
  </si>
  <si>
    <t>&lt;a href="http://a836-acris.nyc.gov/DS/DocumentSearch/DocumentDetail?doc_id=2019070300620001" target="_blank"&gt;Verified by Public Record&lt;/a&gt;</t>
  </si>
  <si>
    <t>&lt;a href="http://a836-acris.nyc.gov/DS/DocumentSearch/DocumentDetail?doc_id=2017080200762001" target="_blank"&gt;Verified by Public Record&lt;/a&gt;</t>
  </si>
  <si>
    <t>&lt;a href="http://a836-acris.nyc.gov/DS/DocumentSearch/DocumentDetail?doc_id=2017062800637001" target="_blank"&gt;Verified by Public Record&lt;/a&gt;</t>
  </si>
  <si>
    <t>&lt;a href="http://a836-acris.nyc.gov/DS/DocumentSearch/DocumentDetail?doc_id=2017110900790001" target="_blank"&gt;Verified by Public Record&lt;/a&gt;</t>
  </si>
  <si>
    <t>&lt;a href="http://a836-acris.nyc.gov/DS/DocumentSearch/DocumentDetail?doc_id=2016072201084002" target="_blank"&gt;Verified by Public Record&lt;/a&gt;</t>
  </si>
  <si>
    <t>&lt;a href="http://a836-acris.nyc.gov/DS/DocumentSearch/DocumentDetail?doc_id=2016071300863002" target="_blank"&gt;Verified by Public Record&lt;/a&gt;</t>
  </si>
  <si>
    <t>&lt;a href="http://a836-acris.nyc.gov/DS/DocumentSearch/DocumentDetail?doc_id=2016081000119001" target="_blank"&gt;Verified by Public Record&lt;/a&gt;</t>
  </si>
  <si>
    <t>&lt;a href="http://a836-acris.nyc.gov/DS/DocumentSearch/DocumentDetail?doc_id=2017042801208001" target="_blank"&gt;Verified by Public Record&lt;/a&gt;</t>
  </si>
  <si>
    <t>&lt;a href="http://a836-acris.nyc.gov/DS/DocumentSearch/DocumentDetail?doc_id=2018011700960001" target="_blank"&gt;Verified by Public Record&lt;/a&gt;</t>
  </si>
  <si>
    <t>&lt;a href="http://a836-acris.nyc.gov/DS/DocumentSearch/DocumentDetail?doc_id=2017033001303001" target="_blank"&gt;Verified by Public Record&lt;/a&gt;</t>
  </si>
  <si>
    <t>&lt;a href="http://a836-acris.nyc.gov/DS/DocumentSearch/DocumentDetail?doc_id=2021041900516001" target="_blank"&gt;Verified by Public Record&lt;/a&gt;</t>
  </si>
  <si>
    <t>&lt;a href="http://a836-acris.nyc.gov/DS/DocumentSearch/DocumentDetail?doc_id=2017071000386005" target="_blank"&gt;Verified by Public Record&lt;/a&gt;</t>
  </si>
  <si>
    <t>&lt;a href="http://a836-acris.nyc.gov/DS/DocumentSearch/DocumentDetail?doc_id=2019071000192006" target="_blank"&gt;Verified by Public Record&lt;/a&gt;</t>
  </si>
  <si>
    <t>&lt;a href="http://a836-acris.nyc.gov/DS/DocumentSearch/DocumentDetail?doc_id=2021051801345001" target="_blank"&gt;Verified by Public Record&lt;/a&gt;</t>
  </si>
  <si>
    <t>&lt;a href="http://a836-acris.nyc.gov/DS/DocumentSearch/DocumentDetail?doc_id=2017080901117001" target="_blank"&gt;Verified by Public Record&lt;/a&gt;</t>
  </si>
  <si>
    <t>&lt;a href="http://a836-acris.nyc.gov/DS/DocumentSearch/DocumentDetail?doc_id=2017050400275001" target="_blank"&gt;Verified by Public Record&lt;/a&gt;</t>
  </si>
  <si>
    <t>&lt;a href="http://a836-acris.nyc.gov/DS/DocumentSearch/DocumentDetail?doc_id=2017060501204001" target="_blank"&gt;Verified by Public Record&lt;/a&gt;</t>
  </si>
  <si>
    <t>&lt;a href="http://a836-acris.nyc.gov/DS/DocumentSearch/DocumentDetail?doc_id=2019013101161001" target="_blank"&gt;Verified by Public Record&lt;/a&gt;</t>
  </si>
  <si>
    <t>&lt;a href="http://a836-acris.nyc.gov/DS/DocumentSearch/DocumentDetail?doc_id=2019060400740001" target="_blank"&gt;Verified by Public Record&lt;/a&gt;</t>
  </si>
  <si>
    <t>&lt;a href="http://a836-acris.nyc.gov/DS/DocumentSearch/DocumentDetail?doc_id=2021041901044001" target="_blank"&gt;Verified by Public Record&lt;/a&gt;</t>
  </si>
  <si>
    <t>&lt;a href="http://a836-acris.nyc.gov/DS/DocumentSearch/DocumentDetail?doc_id=2019031900583001" target="_blank"&gt;Verified by Public Record&lt;/a&gt;</t>
  </si>
  <si>
    <t>&lt;a href="http://a836-acris.nyc.gov/DS/DocumentSearch/DocumentDetail?doc_id=2017072800670001" target="_blank"&gt;Verified by Public Record&lt;/a&gt;</t>
  </si>
  <si>
    <t>&lt;a href="http://a836-acris.nyc.gov/DS/DocumentSearch/DocumentDetail?doc_id=2017061500789001" target="_blank"&gt;Verified by Public Record&lt;/a&gt;</t>
  </si>
  <si>
    <t>&lt;a href="http://a836-acris.nyc.gov/DS/DocumentSearch/DocumentDetail?doc_id=2017072100461001" target="_blank"&gt;Verified by Public Record&lt;/a&gt;</t>
  </si>
  <si>
    <t>&lt;a href="http://a836-acris.nyc.gov/DS/DocumentSearch/DocumentDetail?doc_id=2017070300322001" target="_blank"&gt;Verified by Public Record&lt;/a&gt;</t>
  </si>
  <si>
    <t>&lt;a href="http://a836-acris.nyc.gov/DS/DocumentSearch/DocumentDetail?doc_id=2018032000523001" target="_blank"&gt;Verified by Public Record&lt;/a&gt;</t>
  </si>
  <si>
    <t>&lt;a href="http://a836-acris.nyc.gov/DS/DocumentSearch/DocumentDetail?doc_id=2017030700645001" target="_blank"&gt;Verified by Public Record&lt;/a&gt;</t>
  </si>
  <si>
    <t>&lt;a href="http://a836-acris.nyc.gov/DS/DocumentSearch/DocumentDetail?doc_id=2020061800577001" target="_blank"&gt;Verified by Public Record&lt;/a&gt;</t>
  </si>
  <si>
    <t>&lt;a href="http://a836-acris.nyc.gov/DS/DocumentSearch/DocumentDetail?doc_id=2019060400938003" target="_blank"&gt;Verified by Public Record&lt;/a&gt;</t>
  </si>
  <si>
    <t>&lt;a href="http://a836-acris.nyc.gov/DS/DocumentSearch/DocumentDetail?doc_id=2020021000692001" target="_blank"&gt;Verified by Public Record&lt;/a&gt;</t>
  </si>
  <si>
    <t>&lt;a href="http://a836-acris.nyc.gov/DS/DocumentSearch/DocumentDetail?doc_id=2021062200478001" target="_blank"&gt;Verified by Public Record&lt;/a&gt;</t>
  </si>
  <si>
    <t>&lt;a href="http://a836-acris.nyc.gov/DS/DocumentSearch/DocumentDetail?doc_id=2021062100844001" target="_blank"&gt;Verified by Public Record&lt;/a&gt;</t>
  </si>
  <si>
    <t>&lt;a href="http://a836-acris.nyc.gov/DS/DocumentSearch/DocumentDetail?doc_id=2017081600557001" target="_blank"&gt;Verified by Public Record&lt;/a&gt;</t>
  </si>
  <si>
    <t>&lt;a href="http://a836-acris.nyc.gov/DS/DocumentSearch/DocumentDetail?doc_id=2017071200297001" target="_blank"&gt;Verified by Public Record&lt;/a&gt;</t>
  </si>
  <si>
    <t>&lt;a href="http://a836-acris.nyc.gov/DS/DocumentSearch/DocumentDetail?doc_id=2017112000862001" target="_blank"&gt;Verified by Public Record&lt;/a&gt;</t>
  </si>
  <si>
    <t>&lt;a href="http://a836-acris.nyc.gov/DS/DocumentSearch/DocumentDetail?doc_id=2017062200365001" target="_blank"&gt;Verified by Public Record&lt;/a&gt;</t>
  </si>
  <si>
    <t>&lt;a href="http://a836-acris.nyc.gov/DS/DocumentSearch/DocumentDetail?doc_id=2018022201290001" target="_blank"&gt;Verified by Public Record&lt;/a&gt;</t>
  </si>
  <si>
    <t>&lt;a href="http://a836-acris.nyc.gov/DS/DocumentSearch/DocumentDetail?doc_id=2017061300923001" target="_blank"&gt;Verified by Public Record&lt;/a&gt;</t>
  </si>
  <si>
    <t>&lt;a href="http://a836-acris.nyc.gov/DS/DocumentSearch/DocumentDetail?doc_id=2021042700994001" target="_blank"&gt;Verified by Public Record&lt;/a&gt;</t>
  </si>
  <si>
    <t>&lt;a href="http://a836-acris.nyc.gov/DS/DocumentSearch/DocumentDetail?doc_id=2017060700831001" target="_blank"&gt;Verified by Public Record&lt;/a&gt;</t>
  </si>
  <si>
    <t>&lt;a href="http://a836-acris.nyc.gov/DS/DocumentSearch/DocumentDetail?doc_id=2018060500673001" target="_blank"&gt;Verified by Public Record&lt;/a&gt;</t>
  </si>
  <si>
    <t>&lt;a href="http://a836-acris.nyc.gov/DS/DocumentSearch/DocumentDetail?doc_id=2021050401462001" target="_blank"&gt;Verified by Public Record&lt;/a&gt;</t>
  </si>
  <si>
    <t>&lt;a href="http://a836-acris.nyc.gov/DS/DocumentSearch/DocumentDetail?doc_id=2021052500450001" target="_blank"&gt;Verified by Public Record&lt;/a&gt;</t>
  </si>
  <si>
    <t>&lt;a href="http://a836-acris.nyc.gov/DS/DocumentSearch/DocumentDetail?doc_id=2017071800704001" target="_blank"&gt;Verified by Public Record&lt;/a&gt;</t>
  </si>
  <si>
    <t>&lt;a href="http://a836-acris.nyc.gov/DS/DocumentSearch/DocumentDetail?doc_id=2017020101051001" target="_blank"&gt;Verified by Public Record&lt;/a&gt;</t>
  </si>
  <si>
    <t>&lt;a href="http://a836-acris.nyc.gov/DS/DocumentSearch/DocumentDetail?doc_id=2017081500966001" target="_blank"&gt;Verified by Public Record&lt;/a&gt;</t>
  </si>
  <si>
    <t>&lt;a href="http://a836-acris.nyc.gov/DS/DocumentSearch/DocumentDetail?doc_id=2017050200709001" target="_blank"&gt;Verified by Public Record&lt;/a&gt;</t>
  </si>
  <si>
    <t>&lt;a href="http://a836-acris.nyc.gov/DS/DocumentSearch/DocumentDetail?doc_id=2017040300921001" target="_blank"&gt;Verified by Public Record&lt;/a&gt;</t>
  </si>
  <si>
    <t>&lt;a href="http://a836-acris.nyc.gov/DS/DocumentSearch/DocumentDetail?doc_id=2018042401071001" target="_blank"&gt;Verified by Public Record&lt;/a&gt;</t>
  </si>
  <si>
    <t>&lt;a href="http://a836-acris.nyc.gov/DS/DocumentSearch/DocumentDetail?doc_id=2017031301445001" target="_blank"&gt;Verified by Public Record&lt;/a&gt;</t>
  </si>
  <si>
    <t>&lt;a href="http://a836-acris.nyc.gov/DS/DocumentSearch/DocumentDetail?doc_id=2017082300887001" target="_blank"&gt;Verified by Public Record&lt;/a&gt;</t>
  </si>
  <si>
    <t>&lt;a href="http://a836-acris.nyc.gov/DS/DocumentSearch/DocumentDetail?doc_id=2018091200396001" target="_blank"&gt;Verified by Public Record&lt;/a&gt;</t>
  </si>
  <si>
    <t>&lt;a href="http://a836-acris.nyc.gov/DS/DocumentSearch/DocumentDetail?doc_id=2016071101361001" target="_blank"&gt;Verified by Public Record&lt;/a&gt;</t>
  </si>
  <si>
    <t>&lt;a href="http://a836-acris.nyc.gov/DS/DocumentSearch/DocumentDetail?doc_id=2016062800768001" target="_blank"&gt;Verified by Public Record&lt;/a&gt;</t>
  </si>
  <si>
    <t>&lt;a href="http://a836-acris.nyc.gov/DS/DocumentSearch/DocumentDetail?doc_id=2021040701510001" target="_blank"&gt;Verified by Public Record&lt;/a&gt;</t>
  </si>
  <si>
    <t>&lt;a href="http://a836-acris.nyc.gov/DS/DocumentSearch/DocumentDetail?doc_id=2015111800957001" target="_blank"&gt;Verified by Public Record&lt;/a&gt;</t>
  </si>
  <si>
    <t>&lt;a href="http://a836-acris.nyc.gov/DS/DocumentSearch/DocumentDetail?doc_id=2015102600403001" target="_blank"&gt;Verified by Public Record&lt;/a&gt;</t>
  </si>
  <si>
    <t>Balcony
Private Terrace</t>
  </si>
  <si>
    <t>&lt;a href="http://a836-acris.nyc.gov/DS/DocumentSearch/DocumentDetail?doc_id=2019060400414001" target="_blank"&gt;Verified by Public Record&lt;/a&gt;</t>
  </si>
  <si>
    <t>&lt;a href="http://a836-acris.nyc.gov/DS/DocumentSearch/DocumentDetail?doc_id=2020021000543001" target="_blank"&gt;Verified by Public Record&lt;/a&gt;</t>
  </si>
  <si>
    <t>&lt;a href="http://a836-acris.nyc.gov/DS/DocumentSearch/DocumentDetail?doc_id=2020061800518001" target="_blank"&gt;Verified by Public Record&lt;/a&gt;</t>
  </si>
  <si>
    <t>&lt;a href="http://a836-acris.nyc.gov/DS/DocumentSearch/DocumentDetail?doc_id=2017050500870001" target="_blank"&gt;Verified by Public Record&lt;/a&gt;</t>
  </si>
  <si>
    <t>&lt;a href="http://a836-acris.nyc.gov/DS/DocumentSearch/DocumentDetail?doc_id=2017082300641001" target="_blank"&gt;Verified by Public Record&lt;/a&gt;</t>
  </si>
  <si>
    <t>&lt;a href="http://a836-acris.nyc.gov/DS/DocumentSearch/DocumentDetail?doc_id=2021020500228001" target="_blank"&gt;Public Record Only&lt;/a&gt;</t>
  </si>
  <si>
    <t>&lt;a href="http://a836-acris.nyc.gov/DS/DocumentSearch/DocumentDetail?doc_id=2018092500117001" target="_blank"&gt;Verified by Public Record&lt;/a&gt;</t>
  </si>
  <si>
    <t>Juliet Balcony
Deck
Roof Deck
Common Roof Deck
Common Outdoor Space
Private Outdoor Space</t>
  </si>
  <si>
    <t>&lt;a href="http://a836-acris.nyc.gov/DS/DocumentSearch/DocumentDetail?doc_id=2019082100220001" target="_blank"&gt;Verified by Public Record&lt;/a&gt;</t>
  </si>
  <si>
    <t>&lt;a href="http://a836-acris.nyc.gov/DS/DocumentSearch/DocumentDetail?doc_id=2018041800538001" target="_blank"&gt;Verified by Public Record&lt;/a&gt;</t>
  </si>
  <si>
    <t>&lt;a href="http://a836-acris.nyc.gov/DS/DocumentSearch/DocumentDetail?doc_id=2018040500219001" target="_blank"&gt;Verified by Public Record&lt;/a&gt;</t>
  </si>
  <si>
    <t>&lt;a href="http://a836-acris.nyc.gov/DS/DocumentSearch/DocumentDetail?doc_id=2017081101254002" target="_blank"&gt;Verified by Public Record&lt;/a&gt;</t>
  </si>
  <si>
    <t>&lt;a href="http://a836-acris.nyc.gov/DS/DocumentSearch/DocumentDetail?doc_id=2015102600475001" target="_blank"&gt;Public Record Only&lt;/a&gt;</t>
  </si>
  <si>
    <t>&lt;a href="http://a836-acris.nyc.gov/DS/DocumentSearch/DocumentDetail?doc_id=2020061000002001" target="_blank"&gt;Verified by Public Record&lt;/a&gt;</t>
  </si>
  <si>
    <t>&lt;a href="http://a836-acris.nyc.gov/DS/DocumentSearch/DocumentDetail?doc_id=2016122300829003" target="_blank"&gt;Verified by Public Record&lt;/a&gt;</t>
  </si>
  <si>
    <t>Balcony
Private Terrace
Roof Deck
Common Roof Deck
Common Outdoor Space
Private Outdoor Space</t>
  </si>
  <si>
    <t>&lt;a href="http://a836-acris.nyc.gov/DS/DocumentSearch/DocumentDetail?doc_id=2019031800785001" target="_blank"&gt;Verified by Public Record&lt;/a&gt;</t>
  </si>
  <si>
    <t>&lt;a href="http://a836-acris.nyc.gov/DS/DocumentSearch/DocumentDetail?doc_id=2018052400322001" target="_blank"&gt;Verified by Public Record&lt;/a&gt;</t>
  </si>
  <si>
    <t>&lt;a href="http://a836-acris.nyc.gov/DS/DocumentSearch/DocumentDetail?doc_id=2017010300804003" target="_blank"&gt;Verified by Public Record&lt;/a&gt;</t>
  </si>
  <si>
    <t>Balcony
Roof Deck
Common Roof Deck
Private Outdoor Space</t>
  </si>
  <si>
    <t>&lt;a href="http://a836-acris.nyc.gov/DS/DocumentSearch/DocumentDetail?doc_id=2019061701126001" target="_blank"&gt;Verified by Public Record&lt;/a&gt;</t>
  </si>
  <si>
    <t>&lt;a href="http://a836-acris.nyc.gov/DS/DocumentSearch/DocumentDetail?doc_id=2021042400062001" target="_blank"&gt;Verified by Public Record&lt;/a&gt;</t>
  </si>
  <si>
    <t>&lt;a href="http://a836-acris.nyc.gov/DS/DocumentSearch/DocumentDetail?doc_id=2019010900188001" target="_blank"&gt;Verified by Public Record&lt;/a&gt;</t>
  </si>
  <si>
    <t>&lt;a href="http://a836-acris.nyc.gov/DS/DocumentSearch/DocumentDetail?doc_id=2021010401208002" target="_blank"&gt;Verified by Public Record&lt;/a&gt;</t>
  </si>
  <si>
    <t>&lt;a href="http://a836-acris.nyc.gov/DS/DocumentSearch/DocumentDetail?doc_id=2018071700300001" target="_blank"&gt;Verified by Public Record&lt;/a&gt;</t>
  </si>
  <si>
    <t>&lt;a href="http://a836-acris.nyc.gov/DS/DocumentSearch/DocumentDetail?doc_id=2018060800468001" target="_blank"&gt;Verified by Public Record&lt;/a&gt;</t>
  </si>
  <si>
    <t>&lt;a href="http://a836-acris.nyc.gov/DS/DocumentSearch/DocumentDetail?doc_id=2018040901151001" target="_blank"&gt;Verified by Public Record&lt;/a&gt;</t>
  </si>
  <si>
    <t>&lt;a href="http://a836-acris.nyc.gov/DS/DocumentSearch/DocumentDetail?doc_id=2018053000659001" target="_blank"&gt;Verified by Public Record&lt;/a&gt;</t>
  </si>
  <si>
    <t>&lt;a href="http://a836-acris.nyc.gov/DS/DocumentSearch/DocumentDetail?doc_id=2018050900196001" target="_blank"&gt;Verified by Public Record&lt;/a&gt;</t>
  </si>
  <si>
    <t>&lt;a href="http://a836-acris.nyc.gov/DS/DocumentSearch/DocumentDetail?doc_id=2018012201039001" target="_blank"&gt;Verified by Public Record&lt;/a&gt;</t>
  </si>
  <si>
    <t>Juliet Balcony
Private Terrace
Deck
Roof Deck
Common Roof Deck
Common Outdoor Space</t>
  </si>
  <si>
    <t>&lt;a href="http://a836-acris.nyc.gov/DS/DocumentSearch/DocumentDetail?doc_id=2019121800788001" target="_blank"&gt;Verified by Public Record&lt;/a&gt;</t>
  </si>
  <si>
    <t>&lt;a href="http://a836-acris.nyc.gov/DS/DocumentSearch/DocumentDetail?doc_id=2018060700773002" target="_blank"&gt;Verified by Public Record&lt;/a&gt;</t>
  </si>
  <si>
    <t>&lt;a href="http://a836-acris.nyc.gov/DS/DocumentSearch/DocumentDetail?doc_id=2018071100899001" target="_blank"&gt;Verified by Public Record&lt;/a&gt;</t>
  </si>
  <si>
    <t>&lt;a href="http://a836-acris.nyc.gov/DS/DocumentSearch/DocumentDetail?doc_id=2018011601186001" target="_blank"&gt;Verified by Public Record&lt;/a&gt;</t>
  </si>
  <si>
    <t>&lt;a href="http://a836-acris.nyc.gov/DS/DocumentSearch/DocumentDetail?doc_id=2016072600773001" target="_blank"&gt;Verified by Public Record&lt;/a&gt;</t>
  </si>
  <si>
    <t>&lt;a href="http://a836-acris.nyc.gov/DS/DocumentSearch/DocumentDetail?doc_id=2016070500461001" target="_blank"&gt;Verified by Public Record&lt;/a&gt;</t>
  </si>
  <si>
    <t>&lt;a href="http://a836-acris.nyc.gov/DS/DocumentSearch/DocumentDetail?doc_id=2016071500484001" target="_blank"&gt;Verified by Public Record&lt;/a&gt;</t>
  </si>
  <si>
    <t>&lt;a href="http://a836-acris.nyc.gov/DS/DocumentSearch/DocumentDetail?doc_id=2021051900850001" target="_blank"&gt;Verified by Public Record&lt;/a&gt;</t>
  </si>
  <si>
    <t>&lt;a href="http://a836-acris.nyc.gov/DS/DocumentSearch/DocumentDetail?doc_id=2019070700004001" target="_blank"&gt;Verified by Public Record&lt;/a&gt;</t>
  </si>
  <si>
    <t>&lt;a href="http://a836-acris.nyc.gov/DS/DocumentSearch/DocumentDetail?doc_id=2021073000410001" target="_blank"&gt;Verified by Public Record&lt;/a&gt;</t>
  </si>
  <si>
    <t>&lt;a href="http://a836-acris.nyc.gov/DS/DocumentSearch/DocumentDetail?doc_id=2021010800766001" target="_blank"&gt;Public Record Only&lt;/a&gt;</t>
  </si>
  <si>
    <t>&lt;a href="http://a836-acris.nyc.gov/DS/DocumentSearch/DocumentDetail?doc_id=2021021001578006" target="_blank"&gt;Public Record Only&lt;/a&gt;</t>
  </si>
  <si>
    <t>&lt;a href="http://a836-acris.nyc.gov/DS/DocumentSearch/DocumentDetail?doc_id=2021062801565001" target="_blank"&gt;Verified by Public Record&lt;/a&gt;</t>
  </si>
  <si>
    <t>&lt;a href="http://a836-acris.nyc.gov/DS/DocumentSearch/DocumentDetail?doc_id=2021080600938001" target="_blank"&gt;Public Record Only&lt;/a&gt;</t>
  </si>
  <si>
    <t>&lt;a href="http://a836-acris.nyc.gov/DS/DocumentSearch/DocumentDetail?doc_id=2014110700243001" target="_blank"&gt;Public Record Only&lt;/a&gt;</t>
  </si>
  <si>
    <t>&lt;a href="http://a836-acris.nyc.gov/DS/DocumentSearch/DocumentDetail?doc_id=2019082600863001" target="_blank"&gt;Verified by Public Record&lt;/a&gt;</t>
  </si>
  <si>
    <t>&lt;a href="http://a836-acris.nyc.gov/DS/DocumentSearch/DocumentDetail?doc_id=2020070700440001" target="_blank"&gt;Verified by Public Record&lt;/a&gt;</t>
  </si>
  <si>
    <t>&lt;a href="http://a836-acris.nyc.gov/DS/DocumentSearch/DocumentDetail?doc_id=2021061001129002" target="_blank"&gt;Verified by Public Record&lt;/a&gt;</t>
  </si>
  <si>
    <t>&lt;a href="http://a836-acris.nyc.gov/DS/DocumentSearch/DocumentDetail?doc_id=2018110600043001" target="_blank"&gt;Verified by Public Record&lt;/a&gt;</t>
  </si>
  <si>
    <t>&lt;a href="http://a836-acris.nyc.gov/DS/DocumentSearch/DocumentDetail?doc_id=2021050501202003" target="_blank"&gt;Verified by Public Record&lt;/a&gt;</t>
  </si>
  <si>
    <t>&lt;a href="http://a836-acris.nyc.gov/DS/DocumentSearch/DocumentDetail?doc_id=2021060400570001" target="_blank"&gt;Verified by Public Record&lt;/a&gt;</t>
  </si>
  <si>
    <t>&lt;a href="http://a836-acris.nyc.gov/DS/DocumentSearch/DocumentDetail?doc_id=2021061700015001" target="_blank"&gt;Verified by Public Record&lt;/a&gt;</t>
  </si>
  <si>
    <t>&lt;a href="http://a836-acris.nyc.gov/DS/DocumentSearch/DocumentDetail?doc_id=2015011400993008" target="_blank"&gt;Verified by Public Record&lt;/a&gt;</t>
  </si>
  <si>
    <t>&lt;a href="http://a836-acris.nyc.gov/DS/DocumentSearch/DocumentDetail?doc_id=2018082400849001" target="_blank"&gt;Verified by Public Record&lt;/a&gt;</t>
  </si>
  <si>
    <t>&lt;a href="http://a836-acris.nyc.gov/DS/DocumentSearch/DocumentDetail?doc_id=2021011400634004" target="_blank"&gt;Verified by Public Record&lt;/a&gt;</t>
  </si>
  <si>
    <t>&lt;a href="http://a836-acris.nyc.gov/DS/DocumentSearch/DocumentDetail?doc_id=2021031001412001" target="_blank"&gt;Public Record Only&lt;/a&gt;</t>
  </si>
  <si>
    <t>&lt;a href="http://a836-acris.nyc.gov/DS/DocumentSearch/DocumentDetail?doc_id=2021041201334001" target="_blank"&gt;Verified by Public Record&lt;/a&gt;</t>
  </si>
  <si>
    <t>&lt;a href="http://a836-acris.nyc.gov/DS/DocumentSearch/DocumentDetail?doc_id=2017030800460001" target="_blank"&gt;Verified by Public Record&lt;/a&gt;</t>
  </si>
  <si>
    <t>Doorman, Full-Time Doorman, Full-Service Building</t>
  </si>
  <si>
    <t>&lt;a href="http://a836-acris.nyc.gov/DS/DocumentSearch/DocumentDetail?doc_id=2018051500298001" target="_blank"&gt;Verified by Public Record&lt;/a&gt;</t>
  </si>
  <si>
    <t>&lt;a href="http://a836-acris.nyc.gov/DS/DocumentSearch/DocumentDetail?doc_id=2020121000475001" target="_blank"&gt;Verified by Public Record&lt;/a&gt;</t>
  </si>
  <si>
    <t>&lt;a href="http://a836-acris.nyc.gov/DS/DocumentSearch/DocumentDetail?doc_id=2020100300069001" target="_blank"&gt;Verified by Public Record&lt;/a&gt;</t>
  </si>
  <si>
    <t>&lt;a href="http://a836-acris.nyc.gov/DS/DocumentSearch/DocumentDetail?doc_id=2015051500416001" target="_blank"&gt;Verified by Public Record&lt;/a&gt;</t>
  </si>
  <si>
    <t>&lt;a href="http://a836-acris.nyc.gov/DS/DocumentSearch/DocumentDetail?doc_id=2019052801074003" target="_blank"&gt;Verified by Public Record&lt;/a&gt;</t>
  </si>
  <si>
    <t>&lt;a href="http://a836-acris.nyc.gov/DS/DocumentSearch/DocumentDetail?doc_id=2019050901129001" target="_blank"&gt;Verified by Public Record&lt;/a&gt;</t>
  </si>
  <si>
    <t>&lt;a href="http://a836-acris.nyc.gov/DS/DocumentSearch/DocumentDetail?doc_id=2019110601182001" target="_blank"&gt;Verified by Public Record&lt;/a&gt;</t>
  </si>
  <si>
    <t>&lt;a href="http://a836-acris.nyc.gov/DS/DocumentSearch/DocumentDetail?doc_id=2018060100579006" target="_blank"&gt;Verified by Public Record&lt;/a&gt;</t>
  </si>
  <si>
    <t>&lt;a href="http://a836-acris.nyc.gov/DS/DocumentSearch/DocumentDetail?doc_id=2017041901282001" target="_blank"&gt;Verified by Public Record&lt;/a&gt;</t>
  </si>
  <si>
    <t>&lt;a href="http://a836-acris.nyc.gov/DS/DocumentSearch/DocumentDetail?doc_id=2017032400149001" target="_blank"&gt;Verified by Public Record&lt;/a&gt;</t>
  </si>
  <si>
    <t>&lt;a href="http://a836-acris.nyc.gov/DS/DocumentSearch/DocumentDetail?doc_id=2021060900487001" target="_blank"&gt;Public Record Only&lt;/a&gt;</t>
  </si>
  <si>
    <t>&lt;a href="http://a836-acris.nyc.gov/DS/DocumentSearch/DocumentDetail?doc_id=2018022600533006" target="_blank"&gt;Verified by Public Record&lt;/a&gt;</t>
  </si>
  <si>
    <t>&lt;a href="http://a836-acris.nyc.gov/DS/DocumentSearch/DocumentDetail?doc_id=2018112600321001" target="_blank"&gt;Verified by Public Record&lt;/a&gt;</t>
  </si>
  <si>
    <t>&lt;a href="http://a836-acris.nyc.gov/DS/DocumentSearch/DocumentDetail?doc_id=2020061100692001" target="_blank"&gt;Verified by Public Record&lt;/a&gt;</t>
  </si>
  <si>
    <t>&lt;a href="http://a836-acris.nyc.gov/DS/DocumentSearch/DocumentDetail?doc_id=2020120900122005" target="_blank"&gt;Verified by Public Record&lt;/a&gt;</t>
  </si>
  <si>
    <t>&lt;a href="http://a836-acris.nyc.gov/DS/DocumentSearch/DocumentDetail?doc_id=2017030300310001" target="_blank"&gt;Verified by Public Record&lt;/a&gt;</t>
  </si>
  <si>
    <t>&lt;a href="http://a836-acris.nyc.gov/DS/DocumentSearch/DocumentDetail?doc_id=2021042300967004" target="_blank"&gt;Verified by Public Record&lt;/a&gt;</t>
  </si>
  <si>
    <t>&lt;a href="http://a836-acris.nyc.gov/DS/DocumentSearch/DocumentDetail?doc_id=2017101100779001" target="_blank"&gt;Verified by Public Record&lt;/a&gt;</t>
  </si>
  <si>
    <t>&lt;a href="http://a836-acris.nyc.gov/DS/DocumentSearch/DocumentDetail?doc_id=2018052900318001" target="_blank"&gt;Verified by Public Record&lt;/a&gt;</t>
  </si>
  <si>
    <t>&lt;a href="http://a836-acris.nyc.gov/DS/DocumentSearch/DocumentDetail?doc_id=2021020500386001" target="_blank"&gt;Verified by Public Record&lt;/a&gt;</t>
  </si>
  <si>
    <t>&lt;a href="http://a836-acris.nyc.gov/DS/DocumentSearch/DocumentDetail?doc_id=2019050600442001" target="_blank"&gt;Verified by Public Record&lt;/a&gt;</t>
  </si>
  <si>
    <t>&lt;a href="http://a836-acris.nyc.gov/DS/DocumentSearch/DocumentDetail?doc_id=2016022200097001" target="_blank"&gt;Verified by Public Record&lt;/a&gt;</t>
  </si>
  <si>
    <t>&lt;a href="http://a836-acris.nyc.gov/DS/DocumentSearch/DocumentDetail?doc_id=2016030701211001" target="_blank"&gt;Verified by Public Record&lt;/a&gt;</t>
  </si>
  <si>
    <t>&lt;a href="http://a836-acris.nyc.gov/DS/DocumentSearch/DocumentDetail?doc_id=2019021100261003" target="_blank"&gt;Verified by Public Record&lt;/a&gt;</t>
  </si>
  <si>
    <t>&lt;a href="http://a836-acris.nyc.gov/DS/DocumentSearch/DocumentDetail?doc_id=2017112200755001" target="_blank"&gt;Verified by Public Record&lt;/a&gt;</t>
  </si>
  <si>
    <t>&lt;a href="http://a836-acris.nyc.gov/DS/DocumentSearch/DocumentDetail?doc_id=2018060600780001" target="_blank"&gt;Verified by Public Record&lt;/a&gt;</t>
  </si>
  <si>
    <t>Private Wrap Around Terrace
Private Roof Deck
Common Outdoor Space
Private Outdoor Space</t>
  </si>
  <si>
    <t>Doorman, Full-Time Doorman, Part-Time Doorman, Remote Doorman</t>
  </si>
  <si>
    <t>&lt;a href="http://a836-acris.nyc.gov/DS/DocumentSearch/DocumentDetail?doc_id=2017043000083001" target="_blank"&gt;Verified by Public Record&lt;/a&gt;</t>
  </si>
  <si>
    <t>&lt;a href="http://a836-acris.nyc.gov/DS/DocumentSearch/DocumentDetail?doc_id=2017040400006004" target="_blank"&gt;Verified by Public Record&lt;/a&gt;</t>
  </si>
  <si>
    <t>&lt;a href="http://a836-acris.nyc.gov/DS/DocumentSearch/DocumentDetail?doc_id=2017120800718005" target="_blank"&gt;Verified by Public Record&lt;/a&gt;</t>
  </si>
  <si>
    <t>&lt;a href="http://a836-acris.nyc.gov/DS/DocumentSearch/DocumentDetail?doc_id=2021062800890001" target="_blank"&gt;Verified by Public Record&lt;/a&gt;</t>
  </si>
  <si>
    <t>&lt;a href="http://a836-acris.nyc.gov/DS/DocumentSearch/DocumentDetail?doc_id=2016030700951001" target="_blank"&gt;Verified by Public Record&lt;/a&gt;</t>
  </si>
  <si>
    <t>&lt;a href="http://a836-acris.nyc.gov/DS/DocumentSearch/DocumentDetail?doc_id=2019042500237001" target="_blank"&gt;Verified by Public Record&lt;/a&gt;</t>
  </si>
  <si>
    <t>&lt;a href="http://a836-acris.nyc.gov/DS/DocumentSearch/DocumentDetail?doc_id=2019062500334001" target="_blank"&gt;Verified by Public Record&lt;/a&gt;</t>
  </si>
  <si>
    <t>&lt;a href="http://a836-acris.nyc.gov/DS/DocumentSearch/DocumentDetail?doc_id=2018081000097001" target="_blank"&gt;Public Record Only&lt;/a&gt;</t>
  </si>
  <si>
    <t>&lt;a href="http://a836-acris.nyc.gov/DS/DocumentSearch/DocumentDetail?doc_id=2016041900511003" target="_blank"&gt;Public Record Only&lt;/a&gt;</t>
  </si>
  <si>
    <t>&lt;a href="http://a836-acris.nyc.gov/DS/DocumentSearch/DocumentDetail?doc_id=2019062600470001" target="_blank"&gt;Verified by Public Record&lt;/a&gt;</t>
  </si>
  <si>
    <t>&lt;a href="http://a836-acris.nyc.gov/DS/DocumentSearch/DocumentDetail?doc_id=2021042001433001" target="_blank"&gt;Verified by Public Record&lt;/a&gt;</t>
  </si>
  <si>
    <t>&lt;a href="http://a836-acris.nyc.gov/DS/DocumentSearch/DocumentDetail?doc_id=2016022300063001" target="_blank"&gt;Verified by Public Record&lt;/a&gt;</t>
  </si>
  <si>
    <t>&lt;a href="http://a836-acris.nyc.gov/DS/DocumentSearch/DocumentDetail?doc_id=2019101400071001" target="_blank"&gt;Verified by Public Record&lt;/a&gt;</t>
  </si>
  <si>
    <t>&lt;a href="http://a836-acris.nyc.gov/DS/DocumentSearch/DocumentDetail?doc_id=2021012600675001" target="_blank"&gt;Verified by Public Record&lt;/a&gt;</t>
  </si>
  <si>
    <t>&lt;a href="http://a836-acris.nyc.gov/DS/DocumentSearch/DocumentDetail?doc_id=2020071800056004" target="_blank"&gt;Verified by Public Record&lt;/a&gt;</t>
  </si>
  <si>
    <t>&lt;a href="http://a836-acris.nyc.gov/DS/DocumentSearch/DocumentDetail?doc_id=2021070700651001" target="_blank"&gt;Verified by Public Record&lt;/a&gt;</t>
  </si>
  <si>
    <t>&lt;a href="http://a836-acris.nyc.gov/DS/DocumentSearch/DocumentDetail?doc_id=2016020200012002" target="_blank"&gt;Verified by Public Record&lt;/a&gt;</t>
  </si>
  <si>
    <t>&lt;a href="http://a836-acris.nyc.gov/DS/DocumentSearch/DocumentDetail?doc_id=2021060401057001" target="_blank"&gt;Verified by Public Record&lt;/a&gt;</t>
  </si>
  <si>
    <t>&lt;a href="http://a836-acris.nyc.gov/DS/DocumentSearch/DocumentDetail?doc_id=2021050601544001" target="_blank"&gt;Verified by Public Record&lt;/a&gt;</t>
  </si>
  <si>
    <t>&lt;a href="http://a836-acris.nyc.gov/DS/DocumentSearch/DocumentDetail?doc_id=2017111700058001" target="_blank"&gt;Verified by Public Record&lt;/a&gt;</t>
  </si>
  <si>
    <t>&lt;a href="http://a836-acris.nyc.gov/DS/DocumentSearch/DocumentDetail?doc_id=2018061100853003" target="_blank"&gt;Verified by Public Record&lt;/a&gt;</t>
  </si>
  <si>
    <t>&lt;a href="http://a836-acris.nyc.gov/DS/DocumentSearch/DocumentDetail?doc_id=2016031700552003" target="_blank"&gt;Verified by Public Record&lt;/a&gt;</t>
  </si>
  <si>
    <t>&lt;a href="http://a836-acris.nyc.gov/DS/DocumentSearch/DocumentDetail?doc_id=2016040500339001" target="_blank"&gt;Verified by Public Record&lt;/a&gt;</t>
  </si>
  <si>
    <t>&lt;a href="http://a836-acris.nyc.gov/DS/DocumentSearch/DocumentDetail?doc_id=2021020700033002" target="_blank"&gt;Verified by Public Record&lt;/a&gt;</t>
  </si>
  <si>
    <t>&lt;a href="http://a836-acris.nyc.gov/DS/DocumentSearch/DocumentDetail?doc_id=2021021201149001" target="_blank"&gt;Verified by Public Record&lt;/a&gt;</t>
  </si>
  <si>
    <t>&lt;a href="http://a836-acris.nyc.gov/DS/DocumentSearch/DocumentDetail?doc_id=2020102000875004" target="_blank"&gt;Verified by Public Record&lt;/a&gt;</t>
  </si>
  <si>
    <t>&lt;a href="http://a836-acris.nyc.gov/DS/DocumentSearch/DocumentDetail?doc_id=2020041000196002" target="_blank"&gt;Verified by Public Record&lt;/a&gt;</t>
  </si>
  <si>
    <t>&lt;a href="http://a836-acris.nyc.gov/DS/DocumentSearch/DocumentDetail?doc_id=2017010400700001" target="_blank"&gt;Verified by Public Record&lt;/a&gt;</t>
  </si>
  <si>
    <t>&lt;a href="http://a836-acris.nyc.gov/DS/DocumentSearch/DocumentDetail?doc_id=2020081000643005" target="_blank"&gt;Public Record Only&lt;/a&gt;</t>
  </si>
  <si>
    <t>&lt;a href="http://a836-acris.nyc.gov/DS/DocumentSearch/DocumentDetail?doc_id=2017011600129001" target="_blank"&gt;Verified by Public Record&lt;/a&gt;</t>
  </si>
  <si>
    <t>&lt;a href="http://a836-acris.nyc.gov/DS/DocumentSearch/DocumentDetail?doc_id=2016112800892001" target="_blank"&gt;Verified by Public Record&lt;/a&gt;</t>
  </si>
  <si>
    <t>&lt;a href="http://a836-acris.nyc.gov/DS/DocumentSearch/DocumentDetail?doc_id=2020102100752001" target="_blank"&gt;Verified by Public Record&lt;/a&gt;</t>
  </si>
  <si>
    <t>&lt;a href="http://a836-acris.nyc.gov/DS/DocumentSearch/DocumentDetail?doc_id=2019111901529004" target="_blank"&gt;Verified by Public Record&lt;/a&gt;</t>
  </si>
  <si>
    <t>&lt;a href="http://a836-acris.nyc.gov/DS/DocumentSearch/DocumentDetail?doc_id=2021020501101007" target="_blank"&gt;Verified by Public Record&lt;/a&gt;</t>
  </si>
  <si>
    <t>&lt;a href="http://a836-acris.nyc.gov/DS/DocumentSearch/DocumentDetail?doc_id=2020012400756003" target="_blank"&gt;Verified by Public Record&lt;/a&gt;</t>
  </si>
  <si>
    <t>&lt;a href="http://a836-acris.nyc.gov/DS/DocumentSearch/DocumentDetail?doc_id=2020021700290004" target="_blank"&gt;Verified by Public Record&lt;/a&gt;</t>
  </si>
  <si>
    <t>&lt;a href="http://a836-acris.nyc.gov/DS/DocumentSearch/DocumentDetail?doc_id=2020031300243001" target="_blank"&gt;Verified by Public Record&lt;/a&gt;</t>
  </si>
  <si>
    <t>&lt;a href="http://a836-acris.nyc.gov/DS/DocumentSearch/DocumentDetail?doc_id=2020031900131001" target="_blank"&gt;Verified by Public Record&lt;/a&gt;</t>
  </si>
  <si>
    <t>Private Roof Deck
Deck
Common Roof Deck</t>
  </si>
  <si>
    <t>&lt;a href="http://a836-acris.nyc.gov/DS/DocumentSearch/DocumentDetail?doc_id=2019062900022001" target="_blank"&gt;Verified by Public Record&lt;/a&gt;</t>
  </si>
  <si>
    <t>&lt;a href="http://a836-acris.nyc.gov/DS/DocumentSearch/DocumentDetail?doc_id=2020060400613002" target="_blank"&gt;Verified by Public Record&lt;/a&gt;</t>
  </si>
  <si>
    <t>&lt;a href="http://a836-acris.nyc.gov/DS/DocumentSearch/DocumentDetail?doc_id=2018011900648001" target="_blank"&gt;Verified by Public Record&lt;/a&gt;</t>
  </si>
  <si>
    <t>&lt;a href="http://a836-acris.nyc.gov/DS/DocumentSearch/DocumentDetail?doc_id=2021071501310003" target="_blank"&gt;Verified by Public Record&lt;/a&gt;</t>
  </si>
  <si>
    <t>Private Terrace
Deck
Common Roof Deck</t>
  </si>
  <si>
    <t>&lt;a href="http://a836-acris.nyc.gov/DS/DocumentSearch/DocumentDetail?doc_id=2016031401233001" target="_blank"&gt;Verified by Public Record&lt;/a&gt;</t>
  </si>
  <si>
    <t>&lt;a href="http://a836-acris.nyc.gov/DS/DocumentSearch/DocumentDetail?doc_id=2021050700490001" target="_blank"&gt;Verified by Public Record&lt;/a&gt;</t>
  </si>
  <si>
    <t>&lt;a href="http://a836-acris.nyc.gov/DS/DocumentSearch/DocumentDetail?doc_id=2021070800430002" target="_blank"&gt;Verified by Public Record&lt;/a&gt;</t>
  </si>
  <si>
    <t>&lt;a href="http://a836-acris.nyc.gov/DS/DocumentSearch/DocumentDetail?doc_id=2021050301447003" target="_blank"&gt;Verified by Public Record&lt;/a&gt;</t>
  </si>
  <si>
    <t>&lt;a href="http://a836-acris.nyc.gov/DS/DocumentSearch/DocumentDetail?doc_id=2016032200805001" target="_blank"&gt;Verified by Public Record&lt;/a&gt;</t>
  </si>
  <si>
    <t>&lt;a href="http://a836-acris.nyc.gov/DS/DocumentSearch/DocumentDetail?doc_id=2020011600606005" target="_blank"&gt;Verified by Public Record&lt;/a&gt;</t>
  </si>
  <si>
    <t>&lt;a href="http://a836-acris.nyc.gov/DS/DocumentSearch/DocumentDetail?doc_id=2019021300723001" target="_blank"&gt;Public Record Only&lt;/a&gt;</t>
  </si>
  <si>
    <t>&lt;a href="http://a836-acris.nyc.gov/DS/DocumentSearch/DocumentDetail?doc_id=2021060100354001" target="_blank"&gt;Verified by Public Record&lt;/a&gt;</t>
  </si>
  <si>
    <t>&lt;a href="http://a836-acris.nyc.gov/DS/DocumentSearch/DocumentDetail?doc_id=2021062901101001" target="_blank"&gt;Verified by Public Record&lt;/a&gt;</t>
  </si>
  <si>
    <t>&lt;a href="http://a836-acris.nyc.gov/DS/DocumentSearch/DocumentDetail?doc_id=2019121200119001" target="_blank"&gt;Verified by Public Record&lt;/a&gt;</t>
  </si>
  <si>
    <t>&lt;a href="http://a836-acris.nyc.gov/DS/DocumentSearch/DocumentDetail?doc_id=2021061801434001" target="_blank"&gt;Verified by Public Record&lt;/a&gt;</t>
  </si>
  <si>
    <t>&lt;a href="http://a836-acris.nyc.gov/DS/DocumentSearch/DocumentDetail?doc_id=2021040801469003" target="_blank"&gt;Verified by Public Record&lt;/a&gt;</t>
  </si>
  <si>
    <t>&lt;a href="http://a836-acris.nyc.gov/DS/DocumentSearch/DocumentDetail?doc_id=2021050500549001" target="_blank"&gt;Verified by Public Record&lt;/a&gt;</t>
  </si>
  <si>
    <t>&lt;a href="http://a836-acris.nyc.gov/DS/DocumentSearch/DocumentDetail?doc_id=2021062300831001" target="_blank"&gt;Verified by Public Record&lt;/a&gt;</t>
  </si>
  <si>
    <t>&lt;a href="http://a836-acris.nyc.gov/DS/DocumentSearch/DocumentDetail?doc_id=2021070801289001" target="_blank"&gt;Verified by Public Record&lt;/a&gt;</t>
  </si>
  <si>
    <t>&lt;a href="http://a836-acris.nyc.gov/DS/DocumentSearch/DocumentDetail?doc_id=2021051901093001" target="_blank"&gt;Verified by Public Record&lt;/a&gt;</t>
  </si>
  <si>
    <t>&lt;a href="http://a836-acris.nyc.gov/DS/DocumentSearch/DocumentDetail?doc_id=2021063000309001" target="_blank"&gt;Verified by Public Record&lt;/a&gt;</t>
  </si>
  <si>
    <t>&lt;a href="http://a836-acris.nyc.gov/DS/DocumentSearch/DocumentDetail?doc_id=2021070100331001" target="_blank"&gt;Verified by Public Record&lt;/a&gt;</t>
  </si>
  <si>
    <t>&lt;a href="http://a836-acris.nyc.gov/DS/DocumentSearch/DocumentDetail?doc_id=2021061000457001" target="_blank"&gt;Verified by Public Record&lt;/a&gt;</t>
  </si>
  <si>
    <t>&lt;a href="http://a836-acris.nyc.gov/DS/DocumentSearch/DocumentDetail?doc_id=2021072100506001" target="_blank"&gt;Verified by Public Record&lt;/a&gt;</t>
  </si>
  <si>
    <t>&lt;a href="http://a836-acris.nyc.gov/DS/DocumentSearch/DocumentDetail?doc_id=2021072300415001" target="_blank"&gt;Verified by Public Record&lt;/a&gt;</t>
  </si>
  <si>
    <t>&lt;a href="http://a836-acris.nyc.gov/DS/DocumentSearch/DocumentDetail?doc_id=2021071300316001" target="_blank"&gt;Verified by Public Record&lt;/a&gt;</t>
  </si>
  <si>
    <t>&lt;a href="http://a836-acris.nyc.gov/DS/DocumentSearch/DocumentDetail?doc_id=2021070201204002" target="_blank"&gt;Verified by Public Record&lt;/a&gt;</t>
  </si>
  <si>
    <t>&lt;a href="http://a836-acris.nyc.gov/DS/DocumentSearch/DocumentDetail?doc_id=2021080901065001" target="_blank"&gt;Verified by Public Record&lt;/a&gt;</t>
  </si>
  <si>
    <t>&lt;a href="http://a836-acris.nyc.gov/DS/DocumentSearch/DocumentDetail?doc_id=2021063001172002" target="_blank"&gt;Verified by Public Record&lt;/a&gt;</t>
  </si>
  <si>
    <t>&lt;a href="http://a836-acris.nyc.gov/DS/DocumentSearch/DocumentDetail?doc_id=2021062200987001" target="_blank"&gt;Verified by Public Record&lt;/a&gt;</t>
  </si>
  <si>
    <t>&lt;a href="http://a836-acris.nyc.gov/DS/DocumentSearch/DocumentDetail?doc_id=2021061800550001" target="_blank"&gt;Verified by Public Record&lt;/a&gt;</t>
  </si>
  <si>
    <t>&lt;a href="http://a836-acris.nyc.gov/DS/DocumentSearch/DocumentDetail?doc_id=2021063000385002" target="_blank"&gt;Verified by Public Record&lt;/a&gt;</t>
  </si>
  <si>
    <t>&lt;a href="http://a836-acris.nyc.gov/DS/DocumentSearch/DocumentDetail?doc_id=2021070800454003" target="_blank"&gt;Verified by Public Record&lt;/a&gt;</t>
  </si>
  <si>
    <t>&lt;a href="http://a836-acris.nyc.gov/DS/DocumentSearch/DocumentDetail?doc_id=2021060201319002" target="_blank"&gt;Verified by Public Record&lt;/a&gt;</t>
  </si>
  <si>
    <t>&lt;a href="http://a836-acris.nyc.gov/DS/DocumentSearch/DocumentDetail?doc_id=2017072600837001" target="_blank"&gt;Public Record Only&lt;/a&gt;</t>
  </si>
  <si>
    <t>&lt;a href="http://a836-acris.nyc.gov/DS/DocumentSearch/DocumentDetail?doc_id=2021071900296001" target="_blank"&gt;Verified by Public Record&lt;/a&gt;</t>
  </si>
  <si>
    <t>&lt;a href="http://a836-acris.nyc.gov/DS/DocumentSearch/DocumentDetail?doc_id=2015072700341002" target="_blank"&gt;Public Record Only&lt;/a&gt;</t>
  </si>
  <si>
    <t>&lt;a href="http://a836-acris.nyc.gov/DS/DocumentSearch/DocumentDetail?doc_id=2019013100811001" target="_blank"&gt;Public Record Only&lt;/a&gt;</t>
  </si>
  <si>
    <t>&lt;a href="http://a836-acris.nyc.gov/DS/DocumentSearch/DocumentDetail?doc_id=2017050200756001" target="_blank"&gt;Public Record Only&lt;/a&gt;</t>
  </si>
  <si>
    <t>&lt;a href="http://a836-acris.nyc.gov/DS/DocumentSearch/DocumentDetail?doc_id=2018090400807001" target="_blank"&gt;Verified by Public Record&lt;/a&gt;</t>
  </si>
  <si>
    <t>&lt;a href="http://a836-acris.nyc.gov/DS/DocumentSearch/DocumentDetail?doc_id=2017092900295005" target="_blank"&gt;Verified by Public Record&lt;/a&gt;</t>
  </si>
  <si>
    <t>&lt;a href="http://a836-acris.nyc.gov/DS/DocumentSearch/DocumentDetail?doc_id=2017082301078001" target="_blank"&gt;Public Record Only&lt;/a&gt;</t>
  </si>
  <si>
    <t>&lt;a href="http://a836-acris.nyc.gov/DS/DocumentSearch/DocumentDetail?doc_id=2021042600541001" target="_blank"&gt;Public Record Only&lt;/a&gt;</t>
  </si>
  <si>
    <t>&lt;a href="http://a836-acris.nyc.gov/DS/DocumentSearch/DocumentDetail?doc_id=2021070201491001" target="_blank"&gt;Verified by Public Record&lt;/a&gt;</t>
  </si>
  <si>
    <t>&lt;a href="http://a836-acris.nyc.gov/DS/DocumentSearch/DocumentDetail?doc_id=2021050700733001" target="_blank"&gt;Verified by Public Record&lt;/a&gt;</t>
  </si>
  <si>
    <t>&lt;a href="http://a836-acris.nyc.gov/DS/DocumentSearch/DocumentDetail?doc_id=2017071600039001" target="_blank"&gt;Public Record Only&lt;/a&gt;</t>
  </si>
  <si>
    <t>&lt;a href="http://a836-acris.nyc.gov/DS/DocumentSearch/DocumentDetail?doc_id=2016020400155001" target="_blank"&gt;Verified by Public Record&lt;/a&gt;</t>
  </si>
  <si>
    <t>&lt;a href="http://a836-acris.nyc.gov/DS/DocumentSearch/DocumentDetail?doc_id=2018041900317003" target="_blank"&gt;Public Record Only&lt;/a&gt;</t>
  </si>
  <si>
    <t>&lt;a href="http://a836-acris.nyc.gov/DS/DocumentSearch/DocumentDetail?doc_id=2020122100714001" target="_blank"&gt;Public Record Only&lt;/a&gt;</t>
  </si>
  <si>
    <t>&lt;a href="http://a836-acris.nyc.gov/DS/DocumentSearch/DocumentDetail?doc_id=2021071600425001" target="_blank"&gt;Verified by Public Record&lt;/a&gt;</t>
  </si>
  <si>
    <t>&lt;a href="http://a836-acris.nyc.gov/DS/DocumentSearch/DocumentDetail?doc_id=2021062201059001" target="_blank"&gt;Verified by Public Record&lt;/a&gt;</t>
  </si>
  <si>
    <t>&lt;a href="http://a836-acris.nyc.gov/DS/DocumentSearch/DocumentDetail?doc_id=2021050501085002" target="_blank"&gt;Verified by Public Record&lt;/a&gt;</t>
  </si>
  <si>
    <t>&lt;a href="http://a836-acris.nyc.gov/DS/DocumentSearch/DocumentDetail?doc_id=2021050501085004" target="_blank"&gt;Verified by Public Record&lt;/a&gt;</t>
  </si>
  <si>
    <t>&lt;a href="http://a836-acris.nyc.gov/DS/DocumentSearch/DocumentDetail?doc_id=2021050301167002" target="_blank"&gt;Verified by Public Record&lt;/a&gt;</t>
  </si>
  <si>
    <t>Bedford-Stuyvesant</t>
  </si>
  <si>
    <t>Brooklyn</t>
  </si>
  <si>
    <t>&lt;a href="http://a836-acris.nyc.gov/DS/DocumentSearch/DocumentDetail?doc_id=2020102000266001" target="_blank"&gt;Verified by Public Record&lt;/a&gt;</t>
  </si>
  <si>
    <t>&lt;a href="http://a836-acris.nyc.gov/DS/DocumentSearch/DocumentDetail?doc_id=2021062300799001" target="_blank"&gt;Verified by Public Record&lt;/a&gt;</t>
  </si>
  <si>
    <t>&lt;a href="http://a836-acris.nyc.gov/DS/DocumentSearch/DocumentDetail?doc_id=2021063001412001" target="_blank"&gt;Verified by Public Record&lt;/a&gt;</t>
  </si>
  <si>
    <t>&lt;a href="http://a836-acris.nyc.gov/DS/DocumentSearch/DocumentDetail?doc_id=2016021700517001" target="_blank"&gt;Verified by Public Record&lt;/a&gt;</t>
  </si>
  <si>
    <t>Balcony
Deck
Roof Deck
Common Roof Deck
Barbecue Area
Common Garden
Common Outdoor Space</t>
  </si>
  <si>
    <t>&lt;a href="http://a836-acris.nyc.gov/DS/DocumentSearch/DocumentDetail?doc_id=2017080100201004" target="_blank"&gt;Verified by Public Record&lt;/a&gt;</t>
  </si>
  <si>
    <t>&lt;a href="http://a836-acris.nyc.gov/DS/DocumentSearch/DocumentDetail?doc_id=2016030401325004" target="_blank"&gt;Verified by Public Record&lt;/a&gt;</t>
  </si>
  <si>
    <t>&lt;a href="http://a836-acris.nyc.gov/DS/DocumentSearch/DocumentDetail?doc_id=2016022900277001" target="_blank"&gt;Verified by Public Record&lt;/a&gt;</t>
  </si>
  <si>
    <t>&lt;a href="http://a836-acris.nyc.gov/DS/DocumentSearch/DocumentDetail?doc_id=2018090600422001" target="_blank"&gt;Verified by Public Record&lt;/a&gt;</t>
  </si>
  <si>
    <t>&lt;a href="http://a836-acris.nyc.gov/DS/DocumentSearch/DocumentDetail?doc_id=2018111600359005" target="_blank"&gt;Verified by Public Record&lt;/a&gt;</t>
  </si>
  <si>
    <t>Roof Deck
Common Roof Deck
Barbecue Area
Common Garden
Common Outdoor Space
Private Outdoor Space</t>
  </si>
  <si>
    <t>&lt;a href="http://a836-acris.nyc.gov/DS/DocumentSearch/DocumentDetail?doc_id=2018091100937001" target="_blank"&gt;Verified by Public Record&lt;/a&gt;</t>
  </si>
  <si>
    <t>Private Roof Deck
Common Garden
Common Outdoor Space
Private Outdoor Space</t>
  </si>
  <si>
    <t>&lt;a href="http://a836-acris.nyc.gov/DS/DocumentSearch/DocumentDetail?doc_id=2021051801119001" target="_blank"&gt;Verified by Public Record&lt;/a&gt;</t>
  </si>
  <si>
    <t>&lt;a href="http://a836-acris.nyc.gov/DS/DocumentSearch/DocumentDetail?doc_id=2021062900482001" target="_blank"&gt;Verified by Public Record&lt;/a&gt;</t>
  </si>
  <si>
    <t>&lt;a href="http://a836-acris.nyc.gov/DS/DocumentSearch/DocumentDetail?doc_id=2018080800550001" target="_blank"&gt;Verified by Public Record&lt;/a&gt;</t>
  </si>
  <si>
    <t>&lt;a href="http://a836-acris.nyc.gov/DS/DocumentSearch/DocumentDetail?doc_id=2021062901265002" target="_blank"&gt;Verified by Public Record&lt;/a&gt;</t>
  </si>
  <si>
    <t>&lt;a href="http://a836-acris.nyc.gov/DS/DocumentSearch/DocumentDetail?doc_id=2021080500994002" target="_blank"&gt;Verified by Public Record&lt;/a&gt;</t>
  </si>
  <si>
    <t>&lt;a href="http://a836-acris.nyc.gov/DS/DocumentSearch/DocumentDetail?doc_id=2020103000599002" target="_blank"&gt;Verified by Public Record&lt;/a&gt;</t>
  </si>
  <si>
    <t>&lt;a href="http://a836-acris.nyc.gov/DS/DocumentSearch/DocumentDetail?doc_id=2020102700169001" target="_blank"&gt;Verified by Public Record&lt;/a&gt;</t>
  </si>
  <si>
    <t>&lt;a href="http://a836-acris.nyc.gov/DS/DocumentSearch/DocumentDetail?doc_id=2017080300161001" target="_blank"&gt;Verified by Public Record&lt;/a&gt;</t>
  </si>
  <si>
    <t>&lt;a href="http://a836-acris.nyc.gov/DS/DocumentSearch/DocumentDetail?doc_id=2020082700392001" target="_blank"&gt;Verified by Public Record&lt;/a&gt;</t>
  </si>
  <si>
    <t>&lt;a href="http://a836-acris.nyc.gov/DS/DocumentSearch/DocumentDetail?doc_id=2020100600815002" target="_blank"&gt;Verified by Public Record&lt;/a&gt;</t>
  </si>
  <si>
    <t>&lt;a href="http://a836-acris.nyc.gov/DS/DocumentSearch/DocumentDetail?doc_id=2020100900892002" target="_blank"&gt;Verified by Public Record&lt;/a&gt;</t>
  </si>
  <si>
    <t>&lt;a href="http://a836-acris.nyc.gov/DS/DocumentSearch/DocumentDetail?doc_id=2020100200351002" target="_blank"&gt;Verified by Public Record&lt;/a&gt;</t>
  </si>
  <si>
    <t>&lt;a href="http://a836-acris.nyc.gov/DS/DocumentSearch/DocumentDetail?doc_id=2020102700682001" target="_blank"&gt;Verified by Public Record&lt;/a&gt;</t>
  </si>
  <si>
    <t>&lt;a href="http://a836-acris.nyc.gov/DS/DocumentSearch/DocumentDetail?doc_id=2021070200401002" target="_blank"&gt;Verified by Public Record&lt;/a&gt;</t>
  </si>
  <si>
    <t>&lt;a href="http://a836-acris.nyc.gov/DS/DocumentSearch/DocumentDetail?doc_id=2016030101290001" target="_blank"&gt;Verified by Public Record&lt;/a&gt;</t>
  </si>
  <si>
    <t>&lt;a href="http://a836-acris.nyc.gov/DS/DocumentSearch/DocumentDetail?doc_id=2016030200782001" target="_blank"&gt;Verified by Public Record&lt;/a&gt;</t>
  </si>
  <si>
    <t>&lt;a href="http://a836-acris.nyc.gov/DS/DocumentSearch/DocumentDetail?doc_id=2017082901338001" target="_blank"&gt;Public Record Only&lt;/a&gt;</t>
  </si>
  <si>
    <t>&lt;a href="http://a836-acris.nyc.gov/DS/DocumentSearch/DocumentDetail?doc_id=2021080301032001" target="_blank"&gt;Verified by Public Record&lt;/a&gt;</t>
  </si>
  <si>
    <t>&lt;a href="http://a836-acris.nyc.gov/DS/DocumentSearch/DocumentDetail?doc_id=2017072101250003" target="_blank"&gt;Verified by Public Record&lt;/a&gt;</t>
  </si>
  <si>
    <t>&lt;a href="http://a836-acris.nyc.gov/DS/DocumentSearch/DocumentDetail?doc_id=2021072600174001" target="_blank"&gt;Verified by Public Record&lt;/a&gt;</t>
  </si>
  <si>
    <t>Private Terrace
Private Patio
Deck
Roof Deck
Common Roof Deck
Barbecue Area
Common Garden
Common Outdoor Space</t>
  </si>
  <si>
    <t>&lt;a href="http://a836-acris.nyc.gov/DS/DocumentSearch/DocumentDetail?doc_id=2016020401467002" target="_blank"&gt;Verified by Public Record&lt;/a&gt;</t>
  </si>
  <si>
    <t>&lt;a href="http://a836-acris.nyc.gov/DS/DocumentSearch/DocumentDetail?doc_id=2016022700088001" target="_blank"&gt;Verified by Public Record&lt;/a&gt;</t>
  </si>
  <si>
    <t>&lt;a href="http://a836-acris.nyc.gov/DS/DocumentSearch/DocumentDetail?doc_id=2021072801695001" target="_blank"&gt;Verified by Public Record&lt;/a&gt;</t>
  </si>
  <si>
    <t>&lt;a href="http://a836-acris.nyc.gov/DS/DocumentSearch/DocumentDetail?doc_id=2021070800416001" target="_blank"&gt;Verified by Public Record&lt;/a&gt;</t>
  </si>
  <si>
    <t>&lt;a href="http://a836-acris.nyc.gov/DS/DocumentSearch/DocumentDetail?doc_id=2021070100563001" target="_blank"&gt;Verified by Public Record&lt;/a&gt;</t>
  </si>
  <si>
    <t>&lt;a href="http://a836-acris.nyc.gov/DS/DocumentSearch/DocumentDetail?doc_id=2019081400961001" target="_blank"&gt;Verified by Public Record&lt;/a&gt;</t>
  </si>
  <si>
    <t>&lt;a href="http://a836-acris.nyc.gov/DS/DocumentSearch/DocumentDetail?doc_id=2018041000188001" target="_blank"&gt;Verified by Public Record&lt;/a&gt;</t>
  </si>
  <si>
    <t>&lt;a href="http://a836-acris.nyc.gov/DS/DocumentSearch/DocumentDetail?doc_id=2018101100923004" target="_blank"&gt;Verified by Public Record&lt;/a&gt;</t>
  </si>
  <si>
    <t>&lt;a href="http://a836-acris.nyc.gov/DS/DocumentSearch/DocumentDetail?doc_id=2016030100920001" target="_blank"&gt;Verified by Public Record&lt;/a&gt;</t>
  </si>
  <si>
    <t>&lt;a href="http://a836-acris.nyc.gov/DS/DocumentSearch/DocumentDetail?doc_id=2020092100360001" target="_blank"&gt;Verified by Public Record&lt;/a&gt;</t>
  </si>
  <si>
    <t>&lt;a href="http://a836-acris.nyc.gov/DS/DocumentSearch/DocumentDetail?doc_id=2016022200602002" target="_blank"&gt;Verified by Public Record&lt;/a&gt;</t>
  </si>
  <si>
    <t>&lt;a href="http://a836-acris.nyc.gov/DS/DocumentSearch/DocumentDetail?doc_id=2016030900747001" target="_blank"&gt;Verified by Public Record&lt;/a&gt;</t>
  </si>
  <si>
    <t>&lt;a href="http://a836-acris.nyc.gov/DS/DocumentSearch/DocumentDetail?doc_id=2018070300531001" target="_blank"&gt;Verified by Public Record&lt;/a&gt;</t>
  </si>
  <si>
    <t>Private Terrace
Patio
Deck
Roof Deck
Common Roof Deck
Barbecue Area
Common Garden
Common Outdoor Space</t>
  </si>
  <si>
    <t>&lt;a href="http://a836-acris.nyc.gov/DS/DocumentSearch/DocumentDetail?doc_id=2016071401231006" target="_blank"&gt;Verified by Public Record&lt;/a&gt;</t>
  </si>
  <si>
    <t>&lt;a href="http://a836-acris.nyc.gov/DS/DocumentSearch/DocumentDetail?doc_id=2016030701514005" target="_blank"&gt;Verified by Public Record&lt;/a&gt;</t>
  </si>
  <si>
    <t>&lt;a href="http://a836-acris.nyc.gov/DS/DocumentSearch/DocumentDetail?doc_id=2017122700301001" target="_blank"&gt;Verified by Public Record&lt;/a&gt;</t>
  </si>
  <si>
    <t>Private Roof Deck
Roof Deck
Common Roof Deck
Barbecue Area
Common Garden
Common Outdoor Space
Private Outdoor Space</t>
  </si>
  <si>
    <t>&lt;a href="http://a836-acris.nyc.gov/DS/DocumentSearch/DocumentDetail?doc_id=2016110300420001" target="_blank"&gt;Verified by Public Record&lt;/a&gt;</t>
  </si>
  <si>
    <t>&lt;a href="http://a836-acris.nyc.gov/DS/DocumentSearch/DocumentDetail?doc_id=2017092000114002" target="_blank"&gt;Verified by Public Record&lt;/a&gt;</t>
  </si>
  <si>
    <t>&lt;a href="http://a836-acris.nyc.gov/DS/DocumentSearch/DocumentDetail?doc_id=2015120200585001" target="_blank"&gt;Verified by Public Record&lt;/a&gt;</t>
  </si>
  <si>
    <t>&lt;a href="http://a836-acris.nyc.gov/DS/DocumentSearch/DocumentDetail?doc_id=2015012000409001" target="_blank"&gt;Public Record Only&lt;/a&gt;</t>
  </si>
  <si>
    <t>Private Patio
Deck
Roof Deck
Common Roof Deck
Barbecue Area
Common Garden
Common Outdoor Space
Private Outdoor Space</t>
  </si>
  <si>
    <t>&lt;a href="http://a836-acris.nyc.gov/DS/DocumentSearch/DocumentDetail?doc_id=2018090600832002" target="_blank"&gt;Verified by Public Record&lt;/a&gt;</t>
  </si>
  <si>
    <t>&lt;a href="http://a836-acris.nyc.gov/DS/DocumentSearch/DocumentDetail?doc_id=2016021100817002" target="_blank"&gt;Verified by Public Record&lt;/a&gt;</t>
  </si>
  <si>
    <t>&lt;a href="http://a836-acris.nyc.gov/DS/DocumentSearch/DocumentDetail?doc_id=2016022600998001" target="_blank"&gt;Verified by Public Record&lt;/a&gt;</t>
  </si>
  <si>
    <t>&lt;a href="http://a836-acris.nyc.gov/DS/DocumentSearch/DocumentDetail?doc_id=2016031701071001" target="_blank"&gt;Verified by Public Record&lt;/a&gt;</t>
  </si>
  <si>
    <t>Common Garden
Common Outdoor Space
Private Outdoor Space</t>
  </si>
  <si>
    <t>&lt;a href="http://a836-acris.nyc.gov/DS/DocumentSearch/DocumentDetail?doc_id=2017071801098001" target="_blank"&gt;Verified by Public Record&lt;/a&gt;</t>
  </si>
  <si>
    <t>&lt;a href="http://a836-acris.nyc.gov/DS/DocumentSearch/DocumentDetail?doc_id=2019071900595001" target="_blank"&gt;Verified by Public Record&lt;/a&gt;</t>
  </si>
  <si>
    <t>Common Garden
Private Outdoor Space</t>
  </si>
  <si>
    <t>&lt;a href="http://a836-acris.nyc.gov/DS/DocumentSearch/DocumentDetail?doc_id=2021062500368003" target="_blank"&gt;Verified by Public Record&lt;/a&gt;</t>
  </si>
  <si>
    <t>&lt;a href="http://a836-acris.nyc.gov/DS/DocumentSearch/DocumentDetail?doc_id=2017110201066001" target="_blank"&gt;Verified by Public Record&lt;/a&gt;</t>
  </si>
  <si>
    <t>&lt;a href="http://a836-acris.nyc.gov/DS/DocumentSearch/DocumentDetail?doc_id=2019010400617002" target="_blank"&gt;Verified by Public Record&lt;/a&gt;</t>
  </si>
  <si>
    <t>&lt;a href="http://a836-acris.nyc.gov/DS/DocumentSearch/DocumentDetail?doc_id=2016022601095002" target="_blank"&gt;Verified by Public Record&lt;/a&gt;</t>
  </si>
  <si>
    <t>&lt;a href="http://a836-acris.nyc.gov/DS/DocumentSearch/DocumentDetail?doc_id=2016021900333002" target="_blank"&gt;Verified by Public Record&lt;/a&gt;</t>
  </si>
  <si>
    <t>&lt;a href="http://a836-acris.nyc.gov/DS/DocumentSearch/DocumentDetail?doc_id=2017060900907002" target="_blank"&gt;Public Record Only&lt;/a&gt;</t>
  </si>
  <si>
    <t>&lt;a href="http://a836-acris.nyc.gov/DS/DocumentSearch/DocumentDetail?doc_id=2021060300077001" target="_blank"&gt;Verified by Public Record&lt;/a&gt;</t>
  </si>
  <si>
    <t>&lt;a href="http://a836-acris.nyc.gov/DS/DocumentSearch/DocumentDetail?doc_id=2020092500280001" target="_blank"&gt;Verified by Public Record&lt;/a&gt;</t>
  </si>
  <si>
    <t>&lt;a href="http://a836-acris.nyc.gov/DS/DocumentSearch/DocumentDetail?doc_id=2017060600909001" target="_blank"&gt;Public Record Only&lt;/a&gt;</t>
  </si>
  <si>
    <t>&lt;a href="http://a836-acris.nyc.gov/DS/DocumentSearch/DocumentDetail?doc_id=2016022500016001" target="_blank"&gt;Verified by Public Record&lt;/a&gt;</t>
  </si>
  <si>
    <t>&lt;a href="http://a836-acris.nyc.gov/DS/DocumentSearch/DocumentDetail?doc_id=2019041101103001" target="_blank"&gt;Verified by Public Record&lt;/a&gt;</t>
  </si>
  <si>
    <t>&lt;a href="http://a836-acris.nyc.gov/DS/DocumentSearch/DocumentDetail?doc_id=2019041900181001" target="_blank"&gt;Verified by Public Record&lt;/a&gt;</t>
  </si>
  <si>
    <t>&lt;a href="http://a836-acris.nyc.gov/DS/DocumentSearch/DocumentDetail?doc_id=2020012800778006" target="_blank"&gt;Verified by Public Record&lt;/a&gt;</t>
  </si>
  <si>
    <t>&lt;a href="http://a836-acris.nyc.gov/DS/DocumentSearch/DocumentDetail?doc_id=2019061800343001" target="_blank"&gt;Verified by Public Record&lt;/a&gt;</t>
  </si>
  <si>
    <t>Balcony
Private Terrace
Common Roof Deck
Common Outdoor Space</t>
  </si>
  <si>
    <t>&lt;a href="http://a836-acris.nyc.gov/DS/DocumentSearch/DocumentDetail?doc_id=2019121700498002" target="_blank"&gt;Verified by Public Record&lt;/a&gt;</t>
  </si>
  <si>
    <t>&lt;a href="http://a836-acris.nyc.gov/DS/DocumentSearch/DocumentDetail?doc_id=2017010401117001" target="_blank"&gt;Verified by Public Record&lt;/a&gt;</t>
  </si>
  <si>
    <t>&lt;a href="http://a836-acris.nyc.gov/DS/DocumentSearch/DocumentDetail?doc_id=2020112200010004" target="_blank"&gt;Verified by Public Record&lt;/a&gt;</t>
  </si>
  <si>
    <t>&lt;a href="http://a836-acris.nyc.gov/DS/DocumentSearch/DocumentDetail?doc_id=2019050600774006" target="_blank"&gt;Verified by Public Record&lt;/a&gt;</t>
  </si>
  <si>
    <t>&lt;a href="http://a836-acris.nyc.gov/DS/DocumentSearch/DocumentDetail?doc_id=2019061400440001" target="_blank"&gt;Verified by Public Record&lt;/a&gt;</t>
  </si>
  <si>
    <t>&lt;a href="http://a836-acris.nyc.gov/DS/DocumentSearch/DocumentDetail?doc_id=2019061100948002" target="_blank"&gt;Verified by Public Record&lt;/a&gt;</t>
  </si>
  <si>
    <t>&lt;a href="http://a836-acris.nyc.gov/DS/DocumentSearch/DocumentDetail?doc_id=2019062600244001" target="_blank"&gt;Verified by Public Record&lt;/a&gt;</t>
  </si>
  <si>
    <t>&lt;a href="http://a836-acris.nyc.gov/DS/DocumentSearch/DocumentDetail?doc_id=2021061701094001" target="_blank"&gt;Verified by Public Record&lt;/a&gt;</t>
  </si>
  <si>
    <t>&lt;a href="http://a836-acris.nyc.gov/DS/DocumentSearch/DocumentDetail?doc_id=2021061401082002" target="_blank"&gt;Verified by Public Record&lt;/a&gt;</t>
  </si>
  <si>
    <t>&lt;a href="http://a836-acris.nyc.gov/DS/DocumentSearch/DocumentDetail?doc_id=2019110501034001" target="_blank"&gt;Verified by Public Record&lt;/a&gt;</t>
  </si>
  <si>
    <t>&lt;a href="http://a836-acris.nyc.gov/DS/DocumentSearch/DocumentDetail?doc_id=2020070700991005" target="_blank"&gt;Verified by Public Record&lt;/a&gt;</t>
  </si>
  <si>
    <t>&lt;a href="http://a836-acris.nyc.gov/DS/DocumentSearch/DocumentDetail?doc_id=2019071100534001" target="_blank"&gt;Verified by Public Record&lt;/a&gt;</t>
  </si>
  <si>
    <t>&lt;a href="http://a836-acris.nyc.gov/DS/DocumentSearch/DocumentDetail?doc_id=2017110700152003" target="_blank"&gt;Public Record Only&lt;/a&gt;</t>
  </si>
  <si>
    <t>&lt;a href="http://a836-acris.nyc.gov/DS/DocumentSearch/DocumentDetail?doc_id=2021080300370002" target="_blank"&gt;Verified by Public Record&lt;/a&gt;</t>
  </si>
  <si>
    <t>&lt;a href="http://a836-acris.nyc.gov/DS/DocumentSearch/DocumentDetail?doc_id=2019042300084003" target="_blank"&gt;Verified by Public Record&lt;/a&gt;</t>
  </si>
  <si>
    <t>&lt;a href="http://a836-acris.nyc.gov/DS/DocumentSearch/DocumentDetail?doc_id=2019042200552003" target="_blank"&gt;Verified by Public Record&lt;/a&gt;</t>
  </si>
  <si>
    <t>&lt;a href="http://a836-acris.nyc.gov/DS/DocumentSearch/DocumentDetail?doc_id=2021010500271001" target="_blank"&gt;Verified by Public Record&lt;/a&gt;</t>
  </si>
  <si>
    <t>&lt;a href="http://a836-acris.nyc.gov/DS/DocumentSearch/DocumentDetail?doc_id=2019052000203006" target="_blank"&gt;Verified by Public Record&lt;/a&gt;</t>
  </si>
  <si>
    <t>&lt;a href="http://a836-acris.nyc.gov/DS/DocumentSearch/DocumentDetail?doc_id=2019070500753003" target="_blank"&gt;Verified by Public Record&lt;/a&gt;</t>
  </si>
  <si>
    <t>&lt;a href="http://a836-acris.nyc.gov/DS/DocumentSearch/DocumentDetail?doc_id=2019051600462002" target="_blank"&gt;Verified by Public Record&lt;/a&gt;</t>
  </si>
  <si>
    <t>&lt;a href="http://a836-acris.nyc.gov/DS/DocumentSearch/DocumentDetail?doc_id=2019102800845001" target="_blank"&gt;Verified by Public Record&lt;/a&gt;</t>
  </si>
  <si>
    <t>&lt;a href="http://a836-acris.nyc.gov/DS/DocumentSearch/DocumentDetail?doc_id=2016041100252001" target="_blank"&gt;Verified by Public Record&lt;/a&gt;</t>
  </si>
  <si>
    <t>&lt;a href="http://a836-acris.nyc.gov/DS/DocumentSearch/DocumentDetail?doc_id=2017122700350001" target="_blank"&gt;Public Record Only&lt;/a&gt;</t>
  </si>
  <si>
    <t>&lt;a href="http://a836-acris.nyc.gov/DS/DocumentSearch/DocumentDetail?doc_id=2020123001267001" target="_blank"&gt;Verified by Public Record&lt;/a&gt;</t>
  </si>
  <si>
    <t>&lt;a href="http://a836-acris.nyc.gov/DS/DocumentSearch/DocumentDetail?doc_id=2020012200401001" target="_blank"&gt;Public Record Only&lt;/a&gt;</t>
  </si>
  <si>
    <t>&lt;a href="http://a836-acris.nyc.gov/DS/DocumentSearch/DocumentDetail?doc_id=2020061100703001" target="_blank"&gt;Verified by Public Record&lt;/a&gt;</t>
  </si>
  <si>
    <t>&lt;a href="http://a836-acris.nyc.gov/DS/DocumentSearch/DocumentDetail?doc_id=2021031200593003" target="_blank"&gt;Verified by Public Record&lt;/a&gt;</t>
  </si>
  <si>
    <t>&lt;a href="http://a836-acris.nyc.gov/DS/DocumentSearch/DocumentDetail?doc_id=2019071601280003" target="_blank"&gt;Verified by Public Record&lt;/a&gt;</t>
  </si>
  <si>
    <t>&lt;a href="http://a836-acris.nyc.gov/DS/DocumentSearch/DocumentDetail?doc_id=2019070301046001" target="_blank"&gt;Verified by Public Record&lt;/a&gt;</t>
  </si>
  <si>
    <t>&lt;a href="http://a836-acris.nyc.gov/DS/DocumentSearch/DocumentDetail?doc_id=2019052300561001" target="_blank"&gt;Verified by Public Record&lt;/a&gt;</t>
  </si>
  <si>
    <t>&lt;a href="http://a836-acris.nyc.gov/DS/DocumentSearch/DocumentDetail?doc_id=2018012600414001" target="_blank"&gt;Verified by Public Record&lt;/a&gt;</t>
  </si>
  <si>
    <t>&lt;a href="http://a836-acris.nyc.gov/DS/DocumentSearch/DocumentDetail?doc_id=2016033100612001" target="_blank"&gt;Verified by Public Record&lt;/a&gt;</t>
  </si>
  <si>
    <t>&lt;a href="http://a836-acris.nyc.gov/DS/DocumentSearch/DocumentDetail?doc_id=2021061100840001" target="_blank"&gt;Verified by Public Record&lt;/a&gt;</t>
  </si>
  <si>
    <t>&lt;a href="http://a836-acris.nyc.gov/DS/DocumentSearch/DocumentDetail?doc_id=2021060100416001" target="_blank"&gt;Verified by Public Record&lt;/a&gt;</t>
  </si>
  <si>
    <t>&lt;a href="http://a836-acris.nyc.gov/DS/DocumentSearch/DocumentDetail?doc_id=2016032100932002" target="_blank"&gt;Verified by Public Record&lt;/a&gt;</t>
  </si>
  <si>
    <t>&lt;a href="http://a836-acris.nyc.gov/DS/DocumentSearch/DocumentDetail?doc_id=2020111900458001" target="_blank"&gt;Public Record Only&lt;/a&gt;</t>
  </si>
  <si>
    <t>&lt;a href="http://a836-acris.nyc.gov/DS/DocumentSearch/DocumentDetail?doc_id=2019051400855002" target="_blank"&gt;Verified by Public Record&lt;/a&gt;</t>
  </si>
  <si>
    <t>&lt;a href="http://a836-acris.nyc.gov/DS/DocumentSearch/DocumentDetail?doc_id=2017062801100001" target="_blank"&gt;Verified by Public Record&lt;/a&gt;</t>
  </si>
  <si>
    <t>&lt;a href="http://a836-acris.nyc.gov/DS/DocumentSearch/DocumentDetail?doc_id=2017030801072001" target="_blank"&gt;Verified by Public Record&lt;/a&gt;</t>
  </si>
  <si>
    <t>&lt;a href="http://a836-acris.nyc.gov/DS/DocumentSearch/DocumentDetail?doc_id=2019050700878002" target="_blank"&gt;Verified by Public Record&lt;/a&gt;</t>
  </si>
  <si>
    <t>&lt;a href="http://a836-acris.nyc.gov/DS/DocumentSearch/DocumentDetail?doc_id=2021052601335001" target="_blank"&gt;Verified by Public Record&lt;/a&gt;</t>
  </si>
  <si>
    <t>&lt;a href="http://a836-acris.nyc.gov/DS/DocumentSearch/DocumentDetail?doc_id=2020091800256001" target="_blank"&gt;Verified by Public Record&lt;/a&gt;</t>
  </si>
  <si>
    <t>&lt;a href="http://a836-acris.nyc.gov/DS/DocumentSearch/DocumentDetail?doc_id=2019091200183003" target="_blank"&gt;Public Record Only&lt;/a&gt;</t>
  </si>
  <si>
    <t>&lt;a href="http://a836-acris.nyc.gov/DS/DocumentSearch/DocumentDetail?doc_id=2019050800559001" target="_blank"&gt;Verified by Public Record&lt;/a&gt;</t>
  </si>
  <si>
    <t>&lt;a href="http://a836-acris.nyc.gov/DS/DocumentSearch/DocumentDetail?doc_id=2021040600838003" target="_blank"&gt;Verified by Public Record&lt;/a&gt;</t>
  </si>
  <si>
    <t>&lt;a href="http://a836-acris.nyc.gov/DS/DocumentSearch/DocumentDetail?doc_id=2021051700526003" target="_blank"&gt;Verified by Public Record&lt;/a&gt;</t>
  </si>
  <si>
    <t>&lt;a href="http://a836-acris.nyc.gov/DS/DocumentSearch/DocumentDetail?doc_id=2016041401242002" target="_blank"&gt;Verified by Public Record&lt;/a&gt;</t>
  </si>
  <si>
    <t>Private Terrace
Private Roof Deck
Deck
Roof Deck
Common Roof Deck
Barbecue Area
Common Garden
Common Outdoor Space</t>
  </si>
  <si>
    <t>&lt;a href="http://a836-acris.nyc.gov/DS/DocumentSearch/DocumentDetail?doc_id=2021052700397003" target="_blank"&gt;Verified by Public Record&lt;/a&gt;</t>
  </si>
  <si>
    <t>&lt;a href="http://a836-acris.nyc.gov/DS/DocumentSearch/DocumentDetail?doc_id=2021061702187001" target="_blank"&gt;Verified by Public Record&lt;/a&gt;</t>
  </si>
  <si>
    <t>Private Wrap Around Terrace
Roof Deck
Common Roof Deck
Common Outdoor Space
Private Outdoor Space</t>
  </si>
  <si>
    <t>&lt;a href="http://a836-acris.nyc.gov/DS/DocumentSearch/DocumentDetail?doc_id=2019052000065001" target="_blank"&gt;Verified by Public Record&lt;/a&gt;</t>
  </si>
  <si>
    <t>Private Terrace
Common Roof Deck
Barbecue Area
Common Outdoor Space</t>
  </si>
  <si>
    <t>&lt;a href="http://a836-acris.nyc.gov/DS/DocumentSearch/DocumentDetail?doc_id=2019052300462001" target="_blank"&gt;Verified by Public Record&lt;/a&gt;</t>
  </si>
  <si>
    <t>&lt;a href="http://a836-acris.nyc.gov/DS/DocumentSearch/DocumentDetail?doc_id=2019091100404001" target="_blank"&gt;Verified by Public Record&lt;/a&gt;</t>
  </si>
  <si>
    <t>&lt;a href="http://a836-acris.nyc.gov/DS/DocumentSearch/DocumentDetail?doc_id=2020110600768001" target="_blank"&gt;Verified by Public Record&lt;/a&gt;</t>
  </si>
  <si>
    <t>&lt;a href="http://a836-acris.nyc.gov/DS/DocumentSearch/DocumentDetail?doc_id=2017062700278001" target="_blank"&gt;Verified by Public Record&lt;/a&gt;</t>
  </si>
  <si>
    <t>&lt;a href="http://a836-acris.nyc.gov/DS/DocumentSearch/DocumentDetail?doc_id=2020110900951005" target="_blank"&gt;Verified by Public Record&lt;/a&gt;</t>
  </si>
  <si>
    <t>&lt;a href="http://a836-acris.nyc.gov/DS/DocumentSearch/DocumentDetail?doc_id=2015102000463001" target="_blank"&gt;Verified by Public Record&lt;/a&gt;</t>
  </si>
  <si>
    <t>&lt;a href="http://a836-acris.nyc.gov/DS/DocumentSearch/DocumentDetail?doc_id=2015110900686001" target="_blank"&gt;Verified by Public Record&lt;/a&gt;</t>
  </si>
  <si>
    <t>&lt;a href="http://a836-acris.nyc.gov/DS/DocumentSearch/DocumentDetail?doc_id=2016030800388001" target="_blank"&gt;Verified by Public Record&lt;/a&gt;</t>
  </si>
  <si>
    <t>&lt;a href="http://a836-acris.nyc.gov/DS/DocumentSearch/DocumentDetail?doc_id=2017022200914005" target="_blank"&gt;Verified by Public Record&lt;/a&gt;</t>
  </si>
  <si>
    <t>&lt;a href="http://a836-acris.nyc.gov/DS/DocumentSearch/DocumentDetail?doc_id=2016022301305006" target="_blank"&gt;Verified by Public Record&lt;/a&gt;</t>
  </si>
  <si>
    <t>&lt;a href="http://a836-acris.nyc.gov/DS/DocumentSearch/DocumentDetail?doc_id=2019081600688002" target="_blank"&gt;Verified by Public Record&lt;/a&gt;</t>
  </si>
  <si>
    <t>&lt;a href="http://a836-acris.nyc.gov/DS/DocumentSearch/DocumentDetail?doc_id=2019052100741001" target="_blank"&gt;Verified by Public Record&lt;/a&gt;</t>
  </si>
  <si>
    <t>&lt;a href="http://a836-acris.nyc.gov/DS/DocumentSearch/DocumentDetail?doc_id=2021030300856001" target="_blank"&gt;Verified by Public Record&lt;/a&gt;</t>
  </si>
  <si>
    <t>&lt;a href="http://a836-acris.nyc.gov/DS/DocumentSearch/DocumentDetail?doc_id=2020012900573002" target="_blank"&gt;Verified by Public Record&lt;/a&gt;</t>
  </si>
  <si>
    <t>Juliet Balcony
Roof Deck
Common Roof Deck
Common Garden
Common Outdoor Space
Private Outdoor Space</t>
  </si>
  <si>
    <t>&lt;a href="http://a836-acris.nyc.gov/DS/DocumentSearch/DocumentDetail?doc_id=2021040600946007" target="_blank"&gt;Verified by Public Record&lt;/a&gt;</t>
  </si>
  <si>
    <t>&lt;a href="http://a836-acris.nyc.gov/DS/DocumentSearch/DocumentDetail?doc_id=2019052200111001" target="_blank"&gt;Verified by Public Record&lt;/a&gt;</t>
  </si>
  <si>
    <t>&lt;a href="http://a836-acris.nyc.gov/DS/DocumentSearch/DocumentDetail?doc_id=2019041200132006" target="_blank"&gt;Verified by Public Record&lt;/a&gt;</t>
  </si>
  <si>
    <t>&lt;a href="http://a836-acris.nyc.gov/DS/DocumentSearch/DocumentDetail?doc_id=2019051700559001" target="_blank"&gt;Verified by Public Record&lt;/a&gt;</t>
  </si>
  <si>
    <t>&lt;a href="http://a836-acris.nyc.gov/DS/DocumentSearch/DocumentDetail?doc_id=2021042600596011" target="_blank"&gt;Verified by Public Record&lt;/a&gt;</t>
  </si>
  <si>
    <t>Balcony
Juliet Balcony
Private Terrace
Roof Deck
Common Roof Deck
Common Garden
Common Outdoor Space
Private Outdoor Space</t>
  </si>
  <si>
    <t>&lt;a href="http://a836-acris.nyc.gov/DS/DocumentSearch/DocumentDetail?doc_id=2019043001003001" target="_blank"&gt;Verified by Public Record&lt;/a&gt;</t>
  </si>
  <si>
    <t>&lt;a href="http://a836-acris.nyc.gov/DS/DocumentSearch/DocumentDetail?doc_id=2019052000067001" target="_blank"&gt;Verified by Public Record&lt;/a&gt;</t>
  </si>
  <si>
    <t>&lt;a href="http://a836-acris.nyc.gov/DS/DocumentSearch/DocumentDetail?doc_id=2019102800963001" target="_blank"&gt;Verified by Public Record&lt;/a&gt;</t>
  </si>
  <si>
    <t>&lt;a href="http://a836-acris.nyc.gov/DS/DocumentSearch/DocumentDetail?doc_id=2017061301211001" target="_blank"&gt;Verified by Public Record&lt;/a&gt;</t>
  </si>
  <si>
    <t>&lt;a href="http://a836-acris.nyc.gov/DS/DocumentSearch/DocumentDetail?doc_id=2017112800432006" target="_blank"&gt;Verified by Public Record&lt;/a&gt;</t>
  </si>
  <si>
    <t>&lt;a href="http://a836-acris.nyc.gov/DS/DocumentSearch/DocumentDetail?doc_id=2020020600384002" target="_blank"&gt;Verified by Public Record&lt;/a&gt;</t>
  </si>
  <si>
    <t>&lt;a href="http://a836-acris.nyc.gov/DS/DocumentSearch/DocumentDetail?doc_id=2019082300253003" target="_blank"&gt;Verified by Public Record&lt;/a&gt;</t>
  </si>
  <si>
    <t>&lt;a href="http://a836-acris.nyc.gov/DS/DocumentSearch/DocumentDetail?doc_id=2019111200913002" target="_blank"&gt;Verified by Public Record&lt;/a&gt;</t>
  </si>
  <si>
    <t>&lt;a href="http://a836-acris.nyc.gov/DS/DocumentSearch/DocumentDetail?doc_id=2019041700302001" target="_blank"&gt;Verified by Public Record&lt;/a&gt;</t>
  </si>
  <si>
    <t>&lt;a href="http://a836-acris.nyc.gov/DS/DocumentSearch/DocumentDetail?doc_id=2020110500902001" target="_blank"&gt;Verified by Public Record&lt;/a&gt;</t>
  </si>
  <si>
    <t>&lt;a href="http://a836-acris.nyc.gov/DS/DocumentSearch/DocumentDetail?doc_id=2021042700551005" target="_blank"&gt;Verified by Public Record&lt;/a&gt;</t>
  </si>
  <si>
    <t>&lt;a href="http://a836-acris.nyc.gov/DS/DocumentSearch/DocumentDetail?doc_id=2019081900655002" target="_blank"&gt;Verified by Public Record&lt;/a&gt;</t>
  </si>
  <si>
    <t>&lt;a href="http://a836-acris.nyc.gov/DS/DocumentSearch/DocumentDetail?doc_id=2020012400390005" target="_blank"&gt;Verified by Public Record&lt;/a&gt;</t>
  </si>
  <si>
    <t>Condominium/Residential/Condo</t>
  </si>
  <si>
    <t>/Condo</t>
  </si>
  <si>
    <t>&lt;a href="http://a836-acris.nyc.gov/DS/DocumentSearch/DocumentDetail?doc_id=2020012100390003" target="_blank"&gt;Verified by Public Record&lt;/a&gt;</t>
  </si>
  <si>
    <t>&lt;a href="http://a836-acris.nyc.gov/DS/DocumentSearch/DocumentDetail?doc_id=2020101400289001" target="_blank"&gt;Verified by Public Record&lt;/a&gt;</t>
  </si>
  <si>
    <t>&lt;a href="http://a836-acris.nyc.gov/DS/DocumentSearch/DocumentDetail?doc_id=2019051000170001" target="_blank"&gt;Verified by Public Record&lt;/a&gt;</t>
  </si>
  <si>
    <t>&lt;a href="http://a836-acris.nyc.gov/DS/DocumentSearch/DocumentDetail?doc_id=2021012500358002" target="_blank"&gt;Verified by Public Record&lt;/a&gt;</t>
  </si>
  <si>
    <t>Private Terrace
Private Wrap Around Terrace
Roof Deck
Common Roof Deck
Common Outdoor Space</t>
  </si>
  <si>
    <t>&lt;a href="http://a836-acris.nyc.gov/DS/DocumentSearch/DocumentDetail?doc_id=2020022100725004" target="_blank"&gt;Public Record Only&lt;/a&gt;</t>
  </si>
  <si>
    <t>&lt;a href="http://a836-acris.nyc.gov/DS/DocumentSearch/DocumentDetail?doc_id=2019050800444001" target="_blank"&gt;Verified by Public Record&lt;/a&gt;</t>
  </si>
  <si>
    <t>Private Terrace
Private Patio
Deck
Roof Deck
Common Roof Deck
Barbecue Area
Playground
Common Garden
Common Outdoor Space
Private Outdoor Space</t>
  </si>
  <si>
    <t>Townhouse/Condo/Single Family</t>
  </si>
  <si>
    <t>0' x 0'</t>
  </si>
  <si>
    <t>&lt;a href="http://a836-acris.nyc.gov/DS/DocumentSearch/DocumentDetail?doc_id=2020020401230001" target="_blank"&gt;Public Record Only&lt;/a&gt;</t>
  </si>
  <si>
    <t>&lt;a href="http://a836-acris.nyc.gov/DS/DocumentSearch/DocumentDetail?doc_id=2020030900505001" target="_blank"&gt;Public Record Only&lt;/a&gt;</t>
  </si>
  <si>
    <t>&lt;a href="http://a836-acris.nyc.gov/DS/DocumentSearch/DocumentDetail?doc_id=2020091700833001" target="_blank"&gt;Public Record Only&lt;/a&gt;</t>
  </si>
  <si>
    <t>&lt;a href="http://a836-acris.nyc.gov/DS/DocumentSearch/DocumentDetail?doc_id=2020051200706001" target="_blank"&gt;Verified by Public Record&lt;/a&gt;</t>
  </si>
  <si>
    <t>&lt;a href="http://a836-acris.nyc.gov/DS/DocumentSearch/DocumentDetail?doc_id=2020051200671001" target="_blank"&gt;Verified by Public Record&lt;/a&gt;</t>
  </si>
  <si>
    <t>&lt;a href="http://a836-acris.nyc.gov/DS/DocumentSearch/DocumentDetail?doc_id=2018052100488001" target="_blank"&gt;Public Record Only&lt;/a&gt;</t>
  </si>
  <si>
    <t>&lt;a href="http://a836-acris.nyc.gov/DS/DocumentSearch/DocumentDetail?doc_id=2020091400770001" target="_blank"&gt;Public Record Only&lt;/a&gt;</t>
  </si>
  <si>
    <t>&lt;a href="http://a836-acris.nyc.gov/DS/DocumentSearch/DocumentDetail?doc_id=2017122100612001" target="_blank"&gt;Verified by Public Record&lt;/a&gt;</t>
  </si>
  <si>
    <t>&lt;a href="http://a836-acris.nyc.gov/DS/DocumentSearch/DocumentDetail?doc_id=2018112000921004" target="_blank"&gt;Verified by Public Record&lt;/a&gt;</t>
  </si>
  <si>
    <t>Patio
Deck
Roof Deck
Common Roof Deck
Barbecue Area
Playground
Common Garden
Common Outdoor Space</t>
  </si>
  <si>
    <t>&lt;a href="http://a836-acris.nyc.gov/DS/DocumentSearch/DocumentDetail?doc_id=2021052701662001" target="_blank"&gt;Verified by Public Record&lt;/a&gt;</t>
  </si>
  <si>
    <t>&lt;a href="http://a836-acris.nyc.gov/DS/DocumentSearch/DocumentDetail?doc_id=2018062600191001" target="_blank"&gt;Verified by Public Record&lt;/a&gt;</t>
  </si>
  <si>
    <t>&lt;a href="http://a836-acris.nyc.gov/DS/DocumentSearch/DocumentDetail?doc_id=2019092000171001" target="_blank"&gt;Public Record Only&lt;/a&gt;</t>
  </si>
  <si>
    <t>&lt;a href="http://a836-acris.nyc.gov/DS/DocumentSearch/DocumentDetail?doc_id=2019100701231001" target="_blank"&gt;Public Record Only&lt;/a&gt;</t>
  </si>
  <si>
    <t>&lt;a href="http://a836-acris.nyc.gov/DS/DocumentSearch/DocumentDetail?doc_id=2019100400468001" target="_blank"&gt;Public Record Only&lt;/a&gt;</t>
  </si>
  <si>
    <t>&lt;a href="http://a836-acris.nyc.gov/DS/DocumentSearch/DocumentDetail?doc_id=2019111000056001" target="_blank"&gt;Public Record Only&lt;/a&gt;</t>
  </si>
  <si>
    <t>&lt;a href="http://a836-acris.nyc.gov/DS/DocumentSearch/DocumentDetail?doc_id=2019101700653001" target="_blank"&gt;Public Record Only&lt;/a&gt;</t>
  </si>
  <si>
    <t>&lt;a href="http://a836-acris.nyc.gov/DS/DocumentSearch/DocumentDetail?doc_id=2018040900511001" target="_blank"&gt;Verified by Public Record&lt;/a&gt;</t>
  </si>
  <si>
    <t>&lt;a href="http://a836-acris.nyc.gov/DS/DocumentSearch/DocumentDetail?doc_id=2021062101299001" target="_blank"&gt;Verified by Public Record&lt;/a&gt;</t>
  </si>
  <si>
    <t>&lt;a href="http://a836-acris.nyc.gov/DS/DocumentSearch/DocumentDetail?doc_id=2016030700804001" target="_blank"&gt;Verified by Public Record&lt;/a&gt;</t>
  </si>
  <si>
    <t>&lt;a href="http://a836-acris.nyc.gov/DS/DocumentSearch/DocumentDetail?doc_id=2019122200006001" target="_blank"&gt;Verified by Public Record&lt;/a&gt;</t>
  </si>
  <si>
    <t>&lt;a href="http://a836-acris.nyc.gov/DS/DocumentSearch/DocumentDetail?doc_id=2020012900462001" target="_blank"&gt;Verified by Public Record&lt;/a&gt;</t>
  </si>
  <si>
    <t>&lt;a href="http://a836-acris.nyc.gov/DS/DocumentSearch/DocumentDetail?doc_id=2018081500337001" target="_blank"&gt;Verified by Public Record&lt;/a&gt;</t>
  </si>
  <si>
    <t>&lt;a href="http://a836-acris.nyc.gov/DS/DocumentSearch/DocumentDetail?doc_id=2017082200268001" target="_blank"&gt;Verified by Public Record&lt;/a&gt;</t>
  </si>
  <si>
    <t>&lt;a href="http://a836-acris.nyc.gov/DS/DocumentSearch/DocumentDetail?doc_id=2017011200079002" target="_blank"&gt;Verified by Public Record&lt;/a&gt;</t>
  </si>
  <si>
    <t>&lt;a href="http://a836-acris.nyc.gov/DS/DocumentSearch/DocumentDetail?doc_id=2016021201865001" target="_blank"&gt;Verified by Public Record&lt;/a&gt;</t>
  </si>
  <si>
    <t>&lt;a href="http://a836-acris.nyc.gov/DS/DocumentSearch/DocumentDetail?doc_id=2016021000802002" target="_blank"&gt;Verified by Public Record&lt;/a&gt;</t>
  </si>
  <si>
    <t>&lt;a href="http://a836-acris.nyc.gov/DS/DocumentSearch/DocumentDetail?doc_id=2016030700685001" target="_blank"&gt;Verified by Public Record&lt;/a&gt;</t>
  </si>
  <si>
    <t>&lt;a href="http://a836-acris.nyc.gov/DS/DocumentSearch/DocumentDetail?doc_id=2016030901027001" target="_blank"&gt;Verified by Public Record&lt;/a&gt;</t>
  </si>
  <si>
    <t>&lt;a href="http://a836-acris.nyc.gov/DS/DocumentSearch/DocumentDetail?doc_id=2016030301322001" target="_blank"&gt;Public Record Only&lt;/a&gt;</t>
  </si>
  <si>
    <t>&lt;a href="http://a836-acris.nyc.gov/DS/DocumentSearch/DocumentDetail?doc_id=2019071500342001" target="_blank"&gt;Verified by Public Record&lt;/a&gt;</t>
  </si>
  <si>
    <t>&lt;a href="http://a836-acris.nyc.gov/DS/DocumentSearch/DocumentDetail?doc_id=2021062900781003" target="_blank"&gt;Verified by Public Record&lt;/a&gt;</t>
  </si>
  <si>
    <t>&lt;a href="http://a836-acris.nyc.gov/DS/DocumentSearch/DocumentDetail?doc_id=2019031900776001" target="_blank"&gt;Verified by Public Record&lt;/a&gt;</t>
  </si>
  <si>
    <t>&lt;a href="http://a836-acris.nyc.gov/DS/DocumentSearch/DocumentDetail?doc_id=2018081501006003" target="_blank"&gt;Verified by Public Record&lt;/a&gt;</t>
  </si>
  <si>
    <t>&lt;a href="http://a836-acris.nyc.gov/DS/DocumentSearch/DocumentDetail?doc_id=2020060500331001" target="_blank"&gt;Verified by Public Record&lt;/a&gt;</t>
  </si>
  <si>
    <t>&lt;a href="http://a836-acris.nyc.gov/DS/DocumentSearch/DocumentDetail?doc_id=2016020802501001" target="_blank"&gt;Verified by Public Record&lt;/a&gt;</t>
  </si>
  <si>
    <t>&lt;a href="http://a836-acris.nyc.gov/DS/DocumentSearch/DocumentDetail?doc_id=2016020500894001" target="_blank"&gt;Verified by Public Record&lt;/a&gt;</t>
  </si>
  <si>
    <t>&lt;a href="http://a836-acris.nyc.gov/DS/DocumentSearch/DocumentDetail?doc_id=2016031000629001" target="_blank"&gt;Verified by Public Record&lt;/a&gt;</t>
  </si>
  <si>
    <t>&lt;a href="http://a836-acris.nyc.gov/DS/DocumentSearch/DocumentDetail?doc_id=2016021700285001" target="_blank"&gt;Verified by Public Record&lt;/a&gt;</t>
  </si>
  <si>
    <t>&lt;a href="http://a836-acris.nyc.gov/DS/DocumentSearch/DocumentDetail?doc_id=2016022901067001" target="_blank"&gt;Verified by Public Record&lt;/a&gt;</t>
  </si>
  <si>
    <t>&lt;a href="http://a836-acris.nyc.gov/DS/DocumentSearch/DocumentDetail?doc_id=2016031800277001" target="_blank"&gt;Verified by Public Record&lt;/a&gt;</t>
  </si>
  <si>
    <t>&lt;a href="http://a836-acris.nyc.gov/DS/DocumentSearch/DocumentDetail?doc_id=2016032800041001" target="_blank"&gt;Verified by Public Record&lt;/a&gt;</t>
  </si>
  <si>
    <t>&lt;a href="http://a836-acris.nyc.gov/DS/DocumentSearch/DocumentDetail?doc_id=2016031000065001" target="_blank"&gt;Verified by Public Record&lt;/a&gt;</t>
  </si>
  <si>
    <t>&lt;a href="http://a836-acris.nyc.gov/DS/DocumentSearch/DocumentDetail?doc_id=2016020802452001" target="_blank"&gt;Verified by Public Record&lt;/a&gt;</t>
  </si>
  <si>
    <t>&lt;a href="http://a836-acris.nyc.gov/DS/DocumentSearch/DocumentDetail?doc_id=2016051000309001" target="_blank"&gt;Verified by Public Record&lt;/a&gt;</t>
  </si>
  <si>
    <t>&lt;a href="http://a836-acris.nyc.gov/DS/DocumentSearch/DocumentDetail?doc_id=2017042400865001" target="_blank"&gt;Verified by Public Record&lt;/a&gt;</t>
  </si>
  <si>
    <t>&lt;a href="http://a836-acris.nyc.gov/DS/DocumentSearch/DocumentDetail?doc_id=2018020201013002" target="_blank"&gt;Verified by Public Record&lt;/a&gt;</t>
  </si>
  <si>
    <t>&lt;a href="http://a836-acris.nyc.gov/DS/DocumentSearch/DocumentDetail?doc_id=2020080500042001" target="_blank"&gt;Verified by Public Record&lt;/a&gt;</t>
  </si>
  <si>
    <t>&lt;a href="http://a836-acris.nyc.gov/DS/DocumentSearch/DocumentDetail?doc_id=2017113000903001" target="_blank"&gt;Verified by Public Record&lt;/a&gt;</t>
  </si>
  <si>
    <t>&lt;a href="http://a836-acris.nyc.gov/DS/DocumentSearch/DocumentDetail?doc_id=2019022701158002" target="_blank"&gt;Verified by Public Record&lt;/a&gt;</t>
  </si>
  <si>
    <t>&lt;a href="http://a836-acris.nyc.gov/DS/DocumentSearch/DocumentDetail?doc_id=2019030400317001" target="_blank"&gt;Verified by Public Record&lt;/a&gt;</t>
  </si>
  <si>
    <t>&lt;a href="http://a836-acris.nyc.gov/DS/DocumentSearch/DocumentDetail?doc_id=2018051400860001" target="_blank"&gt;Verified by Public Record&lt;/a&gt;</t>
  </si>
  <si>
    <t>&lt;a href="http://a836-acris.nyc.gov/DS/DocumentSearch/DocumentDetail?doc_id=2018011800545002" target="_blank"&gt;Verified by Public Record&lt;/a&gt;</t>
  </si>
  <si>
    <t>&lt;a href="http://a836-acris.nyc.gov/DS/DocumentSearch/DocumentDetail?doc_id=2015112300942001" target="_blank"&gt;Verified by Public Record&lt;/a&gt;</t>
  </si>
  <si>
    <t>&lt;a href="http://a836-acris.nyc.gov/DS/DocumentSearch/DocumentDetail?doc_id=2021062800832003" target="_blank"&gt;Verified by Public Record&lt;/a&gt;</t>
  </si>
  <si>
    <t>&lt;a href="http://a836-acris.nyc.gov/DS/DocumentSearch/DocumentDetail?doc_id=2021051800799001" target="_blank"&gt;Verified by Public Record&lt;/a&gt;</t>
  </si>
  <si>
    <t>&lt;a href="http://a836-acris.nyc.gov/DS/DocumentSearch/DocumentDetail?doc_id=2020041600354001" target="_blank"&gt;Verified by Public Record&lt;/a&gt;</t>
  </si>
  <si>
    <t>&lt;a href="http://a836-acris.nyc.gov/DS/DocumentSearch/DocumentDetail?doc_id=2016031800519001" target="_blank"&gt;Verified by Public Record&lt;/a&gt;</t>
  </si>
  <si>
    <t>&lt;a href="http://a836-acris.nyc.gov/DS/DocumentSearch/DocumentDetail?doc_id=2018031400417001" target="_blank"&gt;Verified by Public Record&lt;/a&gt;</t>
  </si>
  <si>
    <t>&lt;a href="http://a836-acris.nyc.gov/DS/DocumentSearch/DocumentDetail?doc_id=2019042400247001" target="_blank"&gt;Verified by Public Record&lt;/a&gt;</t>
  </si>
  <si>
    <t>&lt;a href="http://a836-acris.nyc.gov/DS/DocumentSearch/DocumentDetail?doc_id=2017070600707002" target="_blank"&gt;Verified by Public Record&lt;/a&gt;</t>
  </si>
  <si>
    <t>&lt;a href="http://a836-acris.nyc.gov/DS/DocumentSearch/DocumentDetail?doc_id=2020050400672001" target="_blank"&gt;Verified by Public Record&lt;/a&gt;</t>
  </si>
  <si>
    <t>&lt;a href="http://a836-acris.nyc.gov/DS/DocumentSearch/DocumentDetail?doc_id=2016031600830002" target="_blank"&gt;Verified by Public Record&lt;/a&gt;</t>
  </si>
  <si>
    <t>&lt;a href="http://a836-acris.nyc.gov/DS/DocumentSearch/DocumentDetail?doc_id=2021062300992001" target="_blank"&gt;Verified by Public Record&lt;/a&gt;</t>
  </si>
  <si>
    <t>&lt;a href="http://a836-acris.nyc.gov/DS/DocumentSearch/DocumentDetail?doc_id=2021050701179002" target="_blank"&gt;Verified by Public Record&lt;/a&gt;</t>
  </si>
  <si>
    <t>&lt;a href="http://a836-acris.nyc.gov/DS/DocumentSearch/DocumentDetail?doc_id=2020111701057003" target="_blank"&gt;Verified by Public Record&lt;/a&gt;</t>
  </si>
  <si>
    <t>&lt;a href="http://a836-acris.nyc.gov/DS/DocumentSearch/DocumentDetail?doc_id=2020060300600002" target="_blank"&gt;Verified by Public Record&lt;/a&gt;</t>
  </si>
  <si>
    <t>&lt;a href="http://a836-acris.nyc.gov/DS/DocumentSearch/DocumentDetail?doc_id=2021060201362001" target="_blank"&gt;Verified by Public Record&lt;/a&gt;</t>
  </si>
  <si>
    <t>&lt;a href="http://a836-acris.nyc.gov/DS/DocumentSearch/DocumentDetail?doc_id=2021020801542001" target="_blank"&gt;Verified by Public Record&lt;/a&gt;</t>
  </si>
  <si>
    <t>&lt;a href="http://a836-acris.nyc.gov/DS/DocumentSearch/DocumentDetail?doc_id=2020110200971001" target="_blank"&gt;Verified by Public Record&lt;/a&gt;</t>
  </si>
  <si>
    <t>&lt;a href="http://a836-acris.nyc.gov/DS/DocumentSearch/DocumentDetail?doc_id=2020112000560003" target="_blank"&gt;Verified by Public Record&lt;/a&gt;</t>
  </si>
  <si>
    <t>&lt;a href="http://a836-acris.nyc.gov/DS/DocumentSearch/DocumentDetail?doc_id=2021071500488002" target="_blank"&gt;Verified by Public Record&lt;/a&gt;</t>
  </si>
  <si>
    <t>&lt;a href="http://a836-acris.nyc.gov/DS/DocumentSearch/DocumentDetail?doc_id=2021070801165001" target="_blank"&gt;Public Record Only&lt;/a&gt;</t>
  </si>
  <si>
    <t>&lt;a href="http://a836-acris.nyc.gov/DS/DocumentSearch/DocumentDetail?doc_id=2021042500139004" target="_blank"&gt;Verified by Public Record&lt;/a&gt;</t>
  </si>
  <si>
    <t>&lt;a href="http://a836-acris.nyc.gov/DS/DocumentSearch/DocumentDetail?doc_id=2020050500382001" target="_blank"&gt;Verified by Public Record&lt;/a&gt;</t>
  </si>
  <si>
    <t>&lt;a href="http://a836-acris.nyc.gov/DS/DocumentSearch/DocumentDetail?doc_id=2020071000260002" target="_blank"&gt;Verified by Public Record&lt;/a&gt;</t>
  </si>
  <si>
    <t>&lt;a href="http://a836-acris.nyc.gov/DS/DocumentSearch/DocumentDetail?doc_id=2019062700639001" target="_blank"&gt;Verified by Public Record&lt;/a&gt;</t>
  </si>
  <si>
    <t>&lt;a href="http://a836-acris.nyc.gov/DS/DocumentSearch/DocumentDetail?doc_id=2019053000631001" target="_blank"&gt;Verified by Public Record&lt;/a&gt;</t>
  </si>
  <si>
    <t>&lt;a href="http://a836-acris.nyc.gov/DS/DocumentSearch/DocumentDetail?doc_id=2019040501141001" target="_blank"&gt;Verified by Public Record&lt;/a&gt;</t>
  </si>
  <si>
    <t>&lt;a href="http://a836-acris.nyc.gov/DS/DocumentSearch/DocumentDetail?doc_id=2018043001068001" target="_blank"&gt;Verified by Public Record&lt;/a&gt;</t>
  </si>
  <si>
    <t>&lt;a href="http://a836-acris.nyc.gov/DS/DocumentSearch/DocumentDetail?doc_id=2019062800207002" target="_blank"&gt;Verified by Public Record&lt;/a&gt;</t>
  </si>
  <si>
    <t>&lt;a href="http://a836-acris.nyc.gov/DS/DocumentSearch/DocumentDetail?doc_id=2021052900104002" target="_blank"&gt;Verified by Public Record&lt;/a&gt;</t>
  </si>
  <si>
    <t>&lt;a href="http://a836-acris.nyc.gov/DS/DocumentSearch/DocumentDetail?doc_id=2017042400463005" target="_blank"&gt;Verified by Public Record&lt;/a&gt;</t>
  </si>
  <si>
    <t>&lt;a href="http://a836-acris.nyc.gov/DS/DocumentSearch/DocumentDetail?doc_id=2016071800464001" target="_blank"&gt;Verified by Public Record&lt;/a&gt;</t>
  </si>
  <si>
    <t>&lt;a href="http://a836-acris.nyc.gov/DS/DocumentSearch/DocumentDetail?doc_id=2020031700811002" target="_blank"&gt;Verified by Public Record&lt;/a&gt;</t>
  </si>
  <si>
    <t>&lt;a href="http://a836-acris.nyc.gov/DS/DocumentSearch/DocumentDetail?doc_id=2020061800196001" target="_blank"&gt;Verified by Public Record&lt;/a&gt;</t>
  </si>
  <si>
    <t>&lt;a href="http://a836-acris.nyc.gov/DS/DocumentSearch/DocumentDetail?doc_id=2021051300804001" target="_blank"&gt;Verified by Public Record&lt;/a&gt;</t>
  </si>
  <si>
    <t>&lt;a href="http://a836-acris.nyc.gov/DS/DocumentSearch/DocumentDetail?doc_id=2021050500311003" target="_blank"&gt;Verified by Public Record&lt;/a&gt;</t>
  </si>
  <si>
    <t>&lt;a href="http://a836-acris.nyc.gov/DS/DocumentSearch/DocumentDetail?doc_id=2018091100770001" target="_blank"&gt;Verified by Public Record&lt;/a&gt;</t>
  </si>
  <si>
    <t>&lt;a href="http://a836-acris.nyc.gov/DS/DocumentSearch/DocumentDetail?doc_id=2018120700352001" target="_blank"&gt;Verified by Public Record&lt;/a&gt;</t>
  </si>
  <si>
    <t>&lt;a href="http://a836-acris.nyc.gov/DS/DocumentSearch/DocumentDetail?doc_id=2016032500208001" target="_blank"&gt;Verified by Public Record&lt;/a&gt;</t>
  </si>
  <si>
    <t>&lt;a href="http://a836-acris.nyc.gov/DS/DocumentSearch/DocumentDetail?doc_id=2018082200105002" target="_blank"&gt;Verified by Public Record&lt;/a&gt;</t>
  </si>
  <si>
    <t>&lt;a href="http://a836-acris.nyc.gov/DS/DocumentSearch/DocumentDetail?doc_id=2018071101036001" target="_blank"&gt;Verified by Public Record&lt;/a&gt;</t>
  </si>
  <si>
    <t>&lt;a href="http://a836-acris.nyc.gov/DS/DocumentSearch/DocumentDetail?doc_id=2020102500015002" target="_blank"&gt;Verified by Public Record&lt;/a&gt;</t>
  </si>
  <si>
    <t>&lt;a href="http://a836-acris.nyc.gov/DS/DocumentSearch/DocumentDetail?doc_id=2017110200318001" target="_blank"&gt;Verified by Public Record&lt;/a&gt;</t>
  </si>
  <si>
    <t>&lt;a href="http://a836-acris.nyc.gov/DS/DocumentSearch/DocumentDetail?doc_id=2021041400838001" target="_blank"&gt;Verified by Public Record&lt;/a&gt;</t>
  </si>
  <si>
    <t>&lt;a href="http://a836-acris.nyc.gov/DS/DocumentSearch/DocumentDetail?doc_id=2021040801189001" target="_blank"&gt;Verified by Public Record&lt;/a&gt;</t>
  </si>
  <si>
    <t>&lt;a href="http://a836-acris.nyc.gov/DS/DocumentSearch/DocumentDetail?doc_id=2017111500048001" target="_blank"&gt;Verified by Public Record&lt;/a&gt;</t>
  </si>
  <si>
    <t>&lt;a href="http://a836-acris.nyc.gov/DS/DocumentSearch/DocumentDetail?doc_id=2016032200401001" target="_blank"&gt;Verified by Public Record&lt;/a&gt;</t>
  </si>
  <si>
    <t>&lt;a href="http://a836-acris.nyc.gov/DS/DocumentSearch/DocumentDetail?doc_id=2016022600256005" target="_blank"&gt;Verified by Public Record&lt;/a&gt;</t>
  </si>
  <si>
    <t>&lt;a href="http://a836-acris.nyc.gov/DS/DocumentSearch/DocumentDetail?doc_id=2016030300070001" target="_blank"&gt;Verified by Public Record&lt;/a&gt;</t>
  </si>
  <si>
    <t>&lt;a href="http://a836-acris.nyc.gov/DS/DocumentSearch/DocumentDetail?doc_id=2020112000124001" target="_blank"&gt;Verified by Public Record&lt;/a&gt;</t>
  </si>
  <si>
    <t>&lt;a href="http://a836-acris.nyc.gov/DS/DocumentSearch/DocumentDetail?doc_id=2016081200604001" target="_blank"&gt;Verified by Public Record&lt;/a&gt;</t>
  </si>
  <si>
    <t>&lt;a href="http://a836-acris.nyc.gov/DS/DocumentSearch/DocumentDetail?doc_id=2018102200165004" target="_blank"&gt;Verified by Public Record&lt;/a&gt;</t>
  </si>
  <si>
    <t>&lt;a href="http://a836-acris.nyc.gov/DS/DocumentSearch/DocumentDetail?doc_id=2016041201105002" target="_blank"&gt;Verified by Public Record&lt;/a&gt;</t>
  </si>
  <si>
    <t>&lt;a href="http://a836-acris.nyc.gov/DS/DocumentSearch/DocumentDetail?doc_id=2018040600679002" target="_blank"&gt;Verified by Public Record&lt;/a&gt;</t>
  </si>
  <si>
    <t>&lt;a href="http://a836-acris.nyc.gov/DS/DocumentSearch/DocumentDetail?doc_id=2018041200827001" target="_blank"&gt;Verified by Public Record&lt;/a&gt;</t>
  </si>
  <si>
    <t>&lt;a href="http://a836-acris.nyc.gov/DS/DocumentSearch/DocumentDetail?doc_id=2018040200691002" target="_blank"&gt;Verified by Public Record&lt;/a&gt;</t>
  </si>
  <si>
    <t>&lt;a href="http://a836-acris.nyc.gov/DS/DocumentSearch/DocumentDetail?doc_id=2018040200595001" target="_blank"&gt;Verified by Public Record&lt;/a&gt;</t>
  </si>
  <si>
    <t>&lt;a href="http://a836-acris.nyc.gov/DS/DocumentSearch/DocumentDetail?doc_id=2018032700898001" target="_blank"&gt;Verified by Public Record&lt;/a&gt;</t>
  </si>
  <si>
    <t>&lt;a href="http://a836-acris.nyc.gov/DS/DocumentSearch/DocumentDetail?doc_id=2018040500910001" target="_blank"&gt;Verified by Public Record&lt;/a&gt;</t>
  </si>
  <si>
    <t>&lt;a href="http://a836-acris.nyc.gov/DS/DocumentSearch/DocumentDetail?doc_id=2021070101345001" target="_blank"&gt;Verified by Public Record&lt;/a&gt;</t>
  </si>
  <si>
    <t>&lt;a href="http://a836-acris.nyc.gov/DS/DocumentSearch/DocumentDetail?doc_id=2016053100011002" target="_blank"&gt;Verified by Public Record&lt;/a&gt;</t>
  </si>
  <si>
    <t>&lt;a href="http://a836-acris.nyc.gov/DS/DocumentSearch/DocumentDetail?doc_id=2016072001121002" target="_blank"&gt;Verified by Public Record&lt;/a&gt;</t>
  </si>
  <si>
    <t>&lt;a href="http://a836-acris.nyc.gov/DS/DocumentSearch/DocumentDetail?doc_id=2016080200725001" target="_blank"&gt;Verified by Public Record&lt;/a&gt;</t>
  </si>
  <si>
    <t>Private Terrace
Roof Deck
Common Outdoor Space</t>
  </si>
  <si>
    <t>&lt;a href="http://a836-acris.nyc.gov/DS/DocumentSearch/DocumentDetail?doc_id=2016031400919001" target="_blank"&gt;Verified by Public Record&lt;/a&gt;</t>
  </si>
  <si>
    <t>&lt;a href="http://a836-acris.nyc.gov/DS/DocumentSearch/DocumentDetail?doc_id=2020021300574001" target="_blank"&gt;Verified by Public Record&lt;/a&gt;</t>
  </si>
  <si>
    <t>&lt;a href="http://a836-acris.nyc.gov/DS/DocumentSearch/DocumentDetail?doc_id=2020031700964002" target="_blank"&gt;Verified by Public Record&lt;/a&gt;</t>
  </si>
  <si>
    <t>&lt;a href="http://a836-acris.nyc.gov/DS/DocumentSearch/DocumentDetail?doc_id=2020092901233003" target="_blank"&gt;Verified by Public Record&lt;/a&gt;</t>
  </si>
  <si>
    <t>&lt;a href="http://a836-acris.nyc.gov/DS/DocumentSearch/DocumentDetail?doc_id=2020041200021001" target="_blank"&gt;Verified by Public Record&lt;/a&gt;</t>
  </si>
  <si>
    <t>&lt;a href="http://a836-acris.nyc.gov/DS/DocumentSearch/DocumentDetail?doc_id=2019080900595001" target="_blank"&gt;Verified by Public Record&lt;/a&gt;</t>
  </si>
  <si>
    <t>&lt;a href="http://a836-acris.nyc.gov/DS/DocumentSearch/DocumentDetail?doc_id=2021020500889004" target="_blank"&gt;Verified by Public Record&lt;/a&gt;</t>
  </si>
  <si>
    <t>&lt;a href="http://a836-acris.nyc.gov/DS/DocumentSearch/DocumentDetail?doc_id=2017081400145002" target="_blank"&gt;Verified by Public Record&lt;/a&gt;</t>
  </si>
  <si>
    <t>&lt;a href="http://a836-acris.nyc.gov/DS/DocumentSearch/DocumentDetail?doc_id=2016121900269001" target="_blank"&gt;Verified by Public Record&lt;/a&gt;</t>
  </si>
  <si>
    <t>&lt;a href="http://a836-acris.nyc.gov/DS/DocumentSearch/DocumentDetail?doc_id=2017050800921003" target="_blank"&gt;Verified by Public Record&lt;/a&gt;</t>
  </si>
  <si>
    <t>&lt;a href="http://a836-acris.nyc.gov/DS/DocumentSearch/DocumentDetail?doc_id=2018022001189001" target="_blank"&gt;Verified by Public Record&lt;/a&gt;</t>
  </si>
  <si>
    <t>&lt;a href="http://a836-acris.nyc.gov/DS/DocumentSearch/DocumentDetail?doc_id=2018031300239001" target="_blank"&gt;Verified by Public Record&lt;/a&gt;</t>
  </si>
  <si>
    <t>&lt;a href="http://a836-acris.nyc.gov/DS/DocumentSearch/DocumentDetail?doc_id=2021042200582003" target="_blank"&gt;Verified by Public Record&lt;/a&gt;</t>
  </si>
  <si>
    <t>&lt;a href="http://a836-acris.nyc.gov/DS/DocumentSearch/DocumentDetail?doc_id=2021031601101002" target="_blank"&gt;Verified by Public Record&lt;/a&gt;</t>
  </si>
  <si>
    <t>Private Roof Deck
Roof Deck
Common Roof Deck
Barbecue Area
Playground
Common Garden
Common Outdoor Space</t>
  </si>
  <si>
    <t>&lt;a href="http://a836-acris.nyc.gov/DS/DocumentSearch/DocumentDetail?doc_id=2017082901108001" target="_blank"&gt;Verified by Public Record&lt;/a&gt;</t>
  </si>
  <si>
    <t>&lt;a href="http://a836-acris.nyc.gov/DS/DocumentSearch/DocumentDetail?doc_id=2016062100442006" target="_blank"&gt;Verified by Public Record&lt;/a&gt;</t>
  </si>
  <si>
    <t>&lt;a href="http://a836-acris.nyc.gov/DS/DocumentSearch/DocumentDetail?doc_id=2016072200197003" target="_blank"&gt;Verified by Public Record&lt;/a&gt;</t>
  </si>
  <si>
    <t>&lt;a href="http://a836-acris.nyc.gov/DS/DocumentSearch/DocumentDetail?doc_id=2021051401149002" target="_blank"&gt;Verified by Public Record&lt;/a&gt;</t>
  </si>
  <si>
    <t>&lt;a href="http://a836-acris.nyc.gov/DS/DocumentSearch/DocumentDetail?doc_id=2016100600501001" target="_blank"&gt;Verified by Public Record&lt;/a&gt;</t>
  </si>
  <si>
    <t>&lt;a href="http://a836-acris.nyc.gov/DS/DocumentSearch/DocumentDetail?doc_id=2016041300956001" target="_blank"&gt;Verified by Public Record&lt;/a&gt;</t>
  </si>
  <si>
    <t>&lt;a href="http://a836-acris.nyc.gov/DS/DocumentSearch/DocumentDetail?doc_id=2020021400432001" target="_blank"&gt;Verified by Public Record&lt;/a&gt;</t>
  </si>
  <si>
    <t>&lt;a href="http://a836-acris.nyc.gov/DS/DocumentSearch/DocumentDetail?doc_id=2020030200362001" target="_blank"&gt;Verified by Public Record&lt;/a&gt;</t>
  </si>
  <si>
    <t>&lt;a href="http://a836-acris.nyc.gov/DS/DocumentSearch/DocumentDetail?doc_id=2020031300222001" target="_blank"&gt;Verified by Public Record&lt;/a&gt;</t>
  </si>
  <si>
    <t>&lt;a href="http://a836-acris.nyc.gov/DS/DocumentSearch/DocumentDetail?doc_id=2020031300212001" target="_blank"&gt;Verified by Public Record&lt;/a&gt;</t>
  </si>
  <si>
    <t>&lt;a href="http://a836-acris.nyc.gov/DS/DocumentSearch/DocumentDetail?doc_id=2020061800674001" target="_blank"&gt;Verified by Public Record&lt;/a&gt;</t>
  </si>
  <si>
    <t>&lt;a href="http://a836-acris.nyc.gov/DS/DocumentSearch/DocumentDetail?doc_id=2020061000724001" target="_blank"&gt;Verified by Public Record&lt;/a&gt;</t>
  </si>
  <si>
    <t>&lt;a href="http://a836-acris.nyc.gov/DS/DocumentSearch/DocumentDetail?doc_id=2020071000410003" target="_blank"&gt;Verified by Public Record&lt;/a&gt;</t>
  </si>
  <si>
    <t>&lt;a href="http://a836-acris.nyc.gov/DS/DocumentSearch/DocumentDetail?doc_id=2020081000617002" target="_blank"&gt;Verified by Public Record&lt;/a&gt;</t>
  </si>
  <si>
    <t>&lt;a href="http://a836-acris.nyc.gov/DS/DocumentSearch/DocumentDetail?doc_id=2020031300235001" target="_blank"&gt;Verified by Public Record&lt;/a&gt;</t>
  </si>
  <si>
    <t>&lt;a href="http://a836-acris.nyc.gov/DS/DocumentSearch/DocumentDetail?doc_id=2017042400758001" target="_blank"&gt;Verified by Public Record&lt;/a&gt;</t>
  </si>
  <si>
    <t>&lt;a href="http://a836-acris.nyc.gov/DS/DocumentSearch/DocumentDetail?doc_id=2016062400425001" target="_blank"&gt;Verified by Public Record&lt;/a&gt;</t>
  </si>
  <si>
    <t>&lt;a href="http://a836-acris.nyc.gov/DS/DocumentSearch/DocumentDetail?doc_id=2016080100512001" target="_blank"&gt;Verified by Public Record&lt;/a&gt;</t>
  </si>
  <si>
    <t>&lt;a href="http://a836-acris.nyc.gov/DS/DocumentSearch/DocumentDetail?doc_id=2021062900463003" target="_blank"&gt;Verified by Public Record&lt;/a&gt;</t>
  </si>
  <si>
    <t>&lt;a href="http://a836-acris.nyc.gov/DS/DocumentSearch/DocumentDetail?doc_id=2020111000307001" target="_blank"&gt;Verified by Public Record&lt;/a&gt;</t>
  </si>
  <si>
    <t>&lt;a href="http://a836-acris.nyc.gov/DS/DocumentSearch/DocumentDetail?doc_id=2018040200749005" target="_blank"&gt;Verified by Public Record&lt;/a&gt;</t>
  </si>
  <si>
    <t>&lt;a href="http://a836-acris.nyc.gov/DS/DocumentSearch/DocumentDetail?doc_id=2017111700387001" target="_blank"&gt;Verified by Public Record&lt;/a&gt;</t>
  </si>
  <si>
    <t>&lt;a href="http://a836-acris.nyc.gov/DS/DocumentSearch/DocumentDetail?doc_id=2018042000869003" target="_blank"&gt;Verified by Public Record&lt;/a&gt;</t>
  </si>
  <si>
    <t>&lt;a href="http://a836-acris.nyc.gov/DS/DocumentSearch/DocumentDetail?doc_id=2019061800488001" target="_blank"&gt;Verified by Public Record&lt;/a&gt;</t>
  </si>
  <si>
    <t>&lt;a href="http://a836-acris.nyc.gov/DS/DocumentSearch/DocumentDetail?doc_id=2018032000359002" target="_blank"&gt;Verified by Public Record&lt;/a&gt;</t>
  </si>
  <si>
    <t>&lt;a href="http://a836-acris.nyc.gov/DS/DocumentSearch/DocumentDetail?doc_id=2018031501309001" target="_blank"&gt;Verified by Public Record&lt;/a&gt;</t>
  </si>
  <si>
    <t>&lt;a href="http://a836-acris.nyc.gov/DS/DocumentSearch/DocumentDetail?doc_id=2018081900001001" target="_blank"&gt;Verified by Public Record&lt;/a&gt;</t>
  </si>
  <si>
    <t>&lt;a href="http://a836-acris.nyc.gov/DS/DocumentSearch/DocumentDetail?doc_id=2020042700523005" target="_blank"&gt;Verified by Public Record&lt;/a&gt;</t>
  </si>
  <si>
    <t>&lt;a href="http://a836-acris.nyc.gov/DS/DocumentSearch/DocumentDetail?doc_id=2020032000197003" target="_blank"&gt;Verified by Public Record&lt;/a&gt;</t>
  </si>
  <si>
    <t>&lt;a href="http://a836-acris.nyc.gov/DS/DocumentSearch/DocumentDetail?doc_id=2021050501140008" target="_blank"&gt;Verified by Public Record&lt;/a&gt;</t>
  </si>
  <si>
    <t>&lt;a href="http://a836-acris.nyc.gov/DS/DocumentSearch/DocumentDetail?doc_id=2020110500802003" target="_blank"&gt;Verified by Public Record&lt;/a&gt;</t>
  </si>
  <si>
    <t>&lt;a href="http://a836-acris.nyc.gov/DS/DocumentSearch/DocumentDetail?doc_id=2019103000153003" target="_blank"&gt;Public Record Only&lt;/a&gt;</t>
  </si>
  <si>
    <t>&lt;a href="http://a836-acris.nyc.gov/DS/DocumentSearch/DocumentDetail?doc_id=2019111100193004" target="_blank"&gt;Public Record Only&lt;/a&gt;</t>
  </si>
  <si>
    <t>&lt;a href="http://a836-acris.nyc.gov/DS/DocumentSearch/DocumentDetail?doc_id=2019050900358001" target="_blank"&gt;Verified by Public Record&lt;/a&gt;</t>
  </si>
  <si>
    <t>&lt;a href="http://a836-acris.nyc.gov/DS/DocumentSearch/DocumentDetail?doc_id=2018082800966002" target="_blank"&gt;Verified by Public Record&lt;/a&gt;</t>
  </si>
  <si>
    <t>Private Terrace
Roof Deck
Common Roof Deck
Barbecue Area
Common Garden
Common Outdoor Space</t>
  </si>
  <si>
    <t>&lt;a href="http://a836-acris.nyc.gov/DS/DocumentSearch/DocumentDetail?doc_id=2016110300414001" target="_blank"&gt;Public Record Only&lt;/a&gt;</t>
  </si>
  <si>
    <t>&lt;a href="http://a836-acris.nyc.gov/DS/DocumentSearch/DocumentDetail?doc_id=2020070600733001" target="_blank"&gt;Verified by Public Record&lt;/a&gt;</t>
  </si>
  <si>
    <t>&lt;a href="http://a836-acris.nyc.gov/DS/DocumentSearch/DocumentDetail?doc_id=2020040300121001" target="_blank"&gt;Verified by Public Record&lt;/a&gt;</t>
  </si>
  <si>
    <t>&lt;a href="http://a836-acris.nyc.gov/DS/DocumentSearch/DocumentDetail?doc_id=2019090500940005" target="_blank"&gt;Public Record Only&lt;/a&gt;</t>
  </si>
  <si>
    <t>&lt;a href="http://a836-acris.nyc.gov/DS/DocumentSearch/DocumentDetail?doc_id=2019111800903001" target="_blank"&gt;Public Record Only&lt;/a&gt;</t>
  </si>
  <si>
    <t>&lt;a href="http://a836-acris.nyc.gov/DS/DocumentSearch/DocumentDetail?doc_id=2018052200678007" target="_blank"&gt;Verified by Public Record&lt;/a&gt;</t>
  </si>
  <si>
    <t>&lt;a href="http://a836-acris.nyc.gov/DS/DocumentSearch/DocumentDetail?doc_id=2019050300150001" target="_blank"&gt;Verified by Public Record&lt;/a&gt;</t>
  </si>
  <si>
    <t>&lt;a href="http://a836-acris.nyc.gov/DS/DocumentSearch/DocumentDetail?doc_id=2019052200960001" target="_blank"&gt;Verified by Public Record&lt;/a&gt;</t>
  </si>
  <si>
    <t>&lt;a href="http://a836-acris.nyc.gov/DS/DocumentSearch/DocumentDetail?doc_id=2019082300220004" target="_blank"&gt;Public Record Only&lt;/a&gt;</t>
  </si>
  <si>
    <t>&lt;a href="http://a836-acris.nyc.gov/DS/DocumentSearch/DocumentDetail?doc_id=2018031200879005" target="_blank"&gt;Verified by Public Record&lt;/a&gt;</t>
  </si>
  <si>
    <t>&lt;a href="http://a836-acris.nyc.gov/DS/DocumentSearch/DocumentDetail?doc_id=2019020801164001" target="_blank"&gt;Verified by Public Record&lt;/a&gt;</t>
  </si>
  <si>
    <t>&lt;a href="http://a836-acris.nyc.gov/DS/DocumentSearch/DocumentDetail?doc_id=2021032400725001" target="_blank"&gt;Verified by Public Record&lt;/a&gt;</t>
  </si>
  <si>
    <t>&lt;a href="http://a836-acris.nyc.gov/DS/DocumentSearch/DocumentDetail?doc_id=2019051400068001" target="_blank"&gt;Verified by Public Record&lt;/a&gt;</t>
  </si>
  <si>
    <t>&lt;a href="http://a836-acris.nyc.gov/DS/DocumentSearch/DocumentDetail?doc_id=2018050200469001" target="_blank"&gt;Verified by Public Record&lt;/a&gt;</t>
  </si>
  <si>
    <t>&lt;a href="http://a836-acris.nyc.gov/DS/DocumentSearch/DocumentDetail?doc_id=2019081300840001" target="_blank"&gt;Public Record Only&lt;/a&gt;</t>
  </si>
  <si>
    <t>&lt;a href="http://a836-acris.nyc.gov/DS/DocumentSearch/DocumentDetail?doc_id=2019091300952001" target="_blank"&gt;Public Record Only&lt;/a&gt;</t>
  </si>
  <si>
    <t>&lt;a href="http://a836-acris.nyc.gov/DS/DocumentSearch/DocumentDetail?doc_id=2021061000935001" target="_blank"&gt;Verified by Public Record&lt;/a&gt;</t>
  </si>
  <si>
    <t>&lt;a href="http://a836-acris.nyc.gov/DS/DocumentSearch/DocumentDetail?doc_id=2020111100686003" target="_blank"&gt;Verified by Public Record&lt;/a&gt;</t>
  </si>
  <si>
    <t>&lt;a href="http://a836-acris.nyc.gov/DS/DocumentSearch/DocumentDetail?doc_id=2017052400411001" target="_blank"&gt;Verified by Public Record&lt;/a&gt;</t>
  </si>
  <si>
    <t>&lt;a href="http://a836-acris.nyc.gov/DS/DocumentSearch/DocumentDetail?doc_id=2019122600566001" target="_blank"&gt;Verified by Public Record&lt;/a&gt;</t>
  </si>
  <si>
    <t>&lt;a href="http://a836-acris.nyc.gov/DS/DocumentSearch/DocumentDetail?doc_id=2016060200261002" target="_blank"&gt;Verified by Public Record&lt;/a&gt;</t>
  </si>
  <si>
    <t>&lt;a href="http://a836-acris.nyc.gov/DS/DocumentSearch/DocumentDetail?doc_id=2020101501038003" target="_blank"&gt;Verified by Public Record&lt;/a&gt;</t>
  </si>
  <si>
    <t>&lt;a href="http://a836-acris.nyc.gov/DS/DocumentSearch/DocumentDetail?doc_id=2017010500364001" target="_blank"&gt;Verified by Public Record&lt;/a&gt;</t>
  </si>
  <si>
    <t>&lt;a href="http://a836-acris.nyc.gov/DS/DocumentSearch/DocumentDetail?doc_id=2016062401036002" target="_blank"&gt;Verified by Public Record&lt;/a&gt;</t>
  </si>
  <si>
    <t>&lt;a href="http://a836-acris.nyc.gov/DS/DocumentSearch/DocumentDetail?doc_id=2017120101056001" target="_blank"&gt;Verified by Public Record&lt;/a&gt;</t>
  </si>
  <si>
    <t>&lt;a href="http://a836-acris.nyc.gov/DS/DocumentSearch/DocumentDetail?doc_id=2017082400431001" target="_blank"&gt;Verified by Public Record&lt;/a&gt;</t>
  </si>
  <si>
    <t>&lt;a href="http://a836-acris.nyc.gov/DS/DocumentSearch/DocumentDetail?doc_id=2018031400229001" target="_blank"&gt;Verified by Public Record&lt;/a&gt;</t>
  </si>
  <si>
    <t>&lt;a href="http://a836-acris.nyc.gov/DS/DocumentSearch/DocumentDetail?doc_id=2018051600113002" target="_blank"&gt;Verified by Public Record&lt;/a&gt;</t>
  </si>
  <si>
    <t>&lt;a href="http://a836-acris.nyc.gov/DS/DocumentSearch/DocumentDetail?doc_id=2018042400756002" target="_blank"&gt;Verified by Public Record&lt;/a&gt;</t>
  </si>
  <si>
    <t>&lt;a href="http://a836-acris.nyc.gov/DS/DocumentSearch/DocumentDetail?doc_id=2017091500136003" target="_blank"&gt;Verified by Public Record&lt;/a&gt;</t>
  </si>
  <si>
    <t>&lt;a href="http://a836-acris.nyc.gov/DS/DocumentSearch/DocumentDetail?doc_id=2020042700726001" target="_blank"&gt;Verified by Public Record&lt;/a&gt;</t>
  </si>
  <si>
    <t>&lt;a href="http://a836-acris.nyc.gov/DS/DocumentSearch/DocumentDetail?doc_id=2016062200416001" target="_blank"&gt;Verified by Public Record&lt;/a&gt;</t>
  </si>
  <si>
    <t>&lt;a href="http://a836-acris.nyc.gov/DS/DocumentSearch/DocumentDetail?doc_id=2017052501207001" target="_blank"&gt;Verified by Public Record&lt;/a&gt;</t>
  </si>
  <si>
    <t>&lt;a href="http://a836-acris.nyc.gov/DS/DocumentSearch/DocumentDetail?doc_id=2018080200751002" target="_blank"&gt;Verified by Public Record&lt;/a&gt;</t>
  </si>
  <si>
    <t>&lt;a href="http://a836-acris.nyc.gov/DS/DocumentSearch/DocumentDetail?doc_id=2017012600191003" target="_blank"&gt;Verified by Public Record&lt;/a&gt;</t>
  </si>
  <si>
    <t>&lt;a href="http://a836-acris.nyc.gov/DS/DocumentSearch/DocumentDetail?doc_id=2018070900723001" target="_blank"&gt;Verified by Public Record&lt;/a&gt;</t>
  </si>
  <si>
    <t>&lt;a href="http://a836-acris.nyc.gov/DS/DocumentSearch/DocumentDetail?doc_id=2018061500334001" target="_blank"&gt;Verified by Public Record&lt;/a&gt;</t>
  </si>
  <si>
    <t>&lt;a href="http://a836-acris.nyc.gov/DS/DocumentSearch/DocumentDetail?doc_id=2018061800254001" target="_blank"&gt;Verified by Public Record&lt;/a&gt;</t>
  </si>
  <si>
    <t>&lt;a href="http://a836-acris.nyc.gov/DS/DocumentSearch/DocumentDetail?doc_id=2017122600684003" target="_blank"&gt;Verified by Public Record&lt;/a&gt;</t>
  </si>
  <si>
    <t>&lt;a href="http://a836-acris.nyc.gov/DS/DocumentSearch/DocumentDetail?doc_id=2018072500481001" target="_blank"&gt;Verified by Public Record&lt;/a&gt;</t>
  </si>
  <si>
    <t>&lt;a href="http://a836-acris.nyc.gov/DS/DocumentSearch/DocumentDetail?doc_id=2016110700764001" target="_blank"&gt;Verified by Public Record&lt;/a&gt;</t>
  </si>
  <si>
    <t>&lt;a href="http://a836-acris.nyc.gov/DS/DocumentSearch/DocumentDetail?doc_id=2019011700271001" target="_blank"&gt;Verified by Public Record&lt;/a&gt;</t>
  </si>
  <si>
    <t>Private Wrap Around Terrace
Deck
Roof Deck
Common Roof Deck
Common Outdoor Space
Private Outdoor Space</t>
  </si>
  <si>
    <t>&lt;a href="http://a836-acris.nyc.gov/DS/DocumentSearch/DocumentDetail?doc_id=2018020800463001" target="_blank"&gt;Verified by Public Record&lt;/a&gt;</t>
  </si>
  <si>
    <t>&lt;a href="http://a836-acris.nyc.gov/DS/DocumentSearch/DocumentDetail?doc_id=2019021301123006" target="_blank"&gt;Verified by Public Record&lt;/a&gt;</t>
  </si>
  <si>
    <t>&lt;a href="http://a836-acris.nyc.gov/DS/DocumentSearch/DocumentDetail?doc_id=2017110101278002" target="_blank"&gt;Verified by Public Record&lt;/a&gt;</t>
  </si>
  <si>
    <t>&lt;a href="http://a836-acris.nyc.gov/DS/DocumentSearch/DocumentDetail?doc_id=2017112700092002" target="_blank"&gt;Verified by Public Record&lt;/a&gt;</t>
  </si>
  <si>
    <t>&lt;a href="http://a836-acris.nyc.gov/DS/DocumentSearch/DocumentDetail?doc_id=2017112600021001" target="_blank"&gt;Verified by Public Record&lt;/a&gt;</t>
  </si>
  <si>
    <t>&lt;a href="http://a836-acris.nyc.gov/DS/DocumentSearch/DocumentDetail?doc_id=2017103100589001" target="_blank"&gt;Verified by Public Record&lt;/a&gt;</t>
  </si>
  <si>
    <t>&lt;a href="http://a836-acris.nyc.gov/DS/DocumentSearch/DocumentDetail?doc_id=2017121100619001" target="_blank"&gt;Verified by Public Record&lt;/a&gt;</t>
  </si>
  <si>
    <t>&lt;a href="http://a836-acris.nyc.gov/DS/DocumentSearch/DocumentDetail?doc_id=2020110300306002" target="_blank"&gt;Verified by Public Record&lt;/a&gt;</t>
  </si>
  <si>
    <t>&lt;a href="http://a836-acris.nyc.gov/DS/DocumentSearch/DocumentDetail?doc_id=2020111100717009" target="_blank"&gt;Verified by Public Record&lt;/a&gt;</t>
  </si>
  <si>
    <t>&lt;a href="http://a836-acris.nyc.gov/DS/DocumentSearch/DocumentDetail?doc_id=2019040500636005" target="_blank"&gt;Verified by Public Record&lt;/a&gt;</t>
  </si>
  <si>
    <t>&lt;a href="http://a836-acris.nyc.gov/DS/DocumentSearch/DocumentDetail?doc_id=2019122000564001" target="_blank"&gt;Verified by Public Record&lt;/a&gt;</t>
  </si>
  <si>
    <t>&lt;a href="http://a836-acris.nyc.gov/DS/DocumentSearch/DocumentDetail?doc_id=2018061201173001" target="_blank"&gt;Verified by Public Record&lt;/a&gt;</t>
  </si>
  <si>
    <t>&lt;a href="http://a836-acris.nyc.gov/DS/DocumentSearch/DocumentDetail?doc_id=2018110200399001" target="_blank"&gt;Verified by Public Record&lt;/a&gt;</t>
  </si>
  <si>
    <t>&lt;a href="http://a836-acris.nyc.gov/DS/DocumentSearch/DocumentDetail?doc_id=2019123000742001" target="_blank"&gt;Public Record Only&lt;/a&gt;</t>
  </si>
  <si>
    <t>&lt;a href="http://a836-acris.nyc.gov/DS/DocumentSearch/DocumentDetail?doc_id=2017111400356005" target="_blank"&gt;Verified by Public Record&lt;/a&gt;</t>
  </si>
  <si>
    <t>&lt;a href="http://a836-acris.nyc.gov/DS/DocumentSearch/DocumentDetail?doc_id=2019070800463002" target="_blank"&gt;Verified by Public Record&lt;/a&gt;</t>
  </si>
  <si>
    <t>&lt;a href="http://a836-acris.nyc.gov/DS/DocumentSearch/DocumentDetail?doc_id=2019070800420001" target="_blank"&gt;Verified by Public Record&lt;/a&gt;</t>
  </si>
  <si>
    <t>&lt;a href="http://a836-acris.nyc.gov/DS/DocumentSearch/DocumentDetail?doc_id=2019010400813001" target="_blank"&gt;Public Record Only&lt;/a&gt;</t>
  </si>
  <si>
    <t>&lt;a href="http://a836-acris.nyc.gov/DS/DocumentSearch/DocumentDetail?doc_id=2018012300405001" target="_blank"&gt;Verified by Public Record&lt;/a&gt;</t>
  </si>
  <si>
    <t>&lt;a href="http://a836-acris.nyc.gov/DS/DocumentSearch/DocumentDetail?doc_id=2019032701178001" target="_blank"&gt;Verified by Public Record&lt;/a&gt;</t>
  </si>
  <si>
    <t>&lt;a href="http://a836-acris.nyc.gov/DS/DocumentSearch/DocumentDetail?doc_id=2019030600327001" target="_blank"&gt;Verified by Public Record&lt;/a&gt;</t>
  </si>
  <si>
    <t>&lt;a href="http://a836-acris.nyc.gov/DS/DocumentSearch/DocumentDetail?doc_id=2017012000886001" target="_blank"&gt;Verified by Public Record&lt;/a&gt;</t>
  </si>
  <si>
    <t>&lt;a href="http://a836-acris.nyc.gov/DS/DocumentSearch/DocumentDetail?doc_id=2016060100810001" target="_blank"&gt;Verified by Public Record&lt;/a&gt;</t>
  </si>
  <si>
    <t>&lt;a href="http://a836-acris.nyc.gov/DS/DocumentSearch/DocumentDetail?doc_id=2016100700070001" target="_blank"&gt;Verified by Public Record&lt;/a&gt;</t>
  </si>
  <si>
    <t>&lt;a href="http://a836-acris.nyc.gov/DS/DocumentSearch/DocumentDetail?doc_id=2016122900195001" target="_blank"&gt;Verified by Public Record&lt;/a&gt;</t>
  </si>
  <si>
    <t>&lt;a href="http://a836-acris.nyc.gov/DS/DocumentSearch/DocumentDetail?doc_id=2016062200729003" target="_blank"&gt;Verified by Public Record&lt;/a&gt;</t>
  </si>
  <si>
    <t>&lt;a href="http://a836-acris.nyc.gov/DS/DocumentSearch/DocumentDetail?doc_id=2016063001419001" target="_blank"&gt;Verified by Public Record&lt;/a&gt;</t>
  </si>
  <si>
    <t>&lt;a href="http://a836-acris.nyc.gov/DS/DocumentSearch/DocumentDetail?doc_id=2017110301010002" target="_blank"&gt;Verified by Public Record&lt;/a&gt;</t>
  </si>
  <si>
    <t>&lt;a href="http://a836-acris.nyc.gov/DS/DocumentSearch/DocumentDetail?doc_id=2017102701323003" target="_blank"&gt;Verified by Public Record&lt;/a&gt;</t>
  </si>
  <si>
    <t>&lt;a href="http://a836-acris.nyc.gov/DS/DocumentSearch/DocumentDetail?doc_id=2016081901221002" target="_blank"&gt;Verified by Public Record&lt;/a&gt;</t>
  </si>
  <si>
    <t>&lt;a href="http://a836-acris.nyc.gov/DS/DocumentSearch/DocumentDetail?doc_id=2016090201090005" target="_blank"&gt;Verified by Public Record&lt;/a&gt;</t>
  </si>
  <si>
    <t>&lt;a href="http://a836-acris.nyc.gov/DS/DocumentSearch/DocumentDetail?doc_id=2016110901273001" target="_blank"&gt;Verified by Public Record&lt;/a&gt;</t>
  </si>
  <si>
    <t>&lt;a href="http://a836-acris.nyc.gov/DS/DocumentSearch/DocumentDetail?doc_id=2016080200459001" target="_blank"&gt;Verified by Public Record&lt;/a&gt;</t>
  </si>
  <si>
    <t>&lt;a href="http://a836-acris.nyc.gov/DS/DocumentSearch/DocumentDetail?doc_id=2016072200422001" target="_blank"&gt;Verified by Public Record&lt;/a&gt;</t>
  </si>
  <si>
    <t>&lt;a href="http://a836-acris.nyc.gov/DS/DocumentSearch/DocumentDetail?doc_id=2017091401057001" target="_blank"&gt;Verified by Public Record&lt;/a&gt;</t>
  </si>
  <si>
    <t>&lt;a href="http://a836-acris.nyc.gov/DS/DocumentSearch/DocumentDetail?doc_id=2018071600719001" target="_blank"&gt;Verified by Public Record&lt;/a&gt;</t>
  </si>
  <si>
    <t>&lt;a href="http://a836-acris.nyc.gov/DS/DocumentSearch/DocumentDetail?doc_id=2020110300962001" target="_blank"&gt;Verified by Public Record&lt;/a&gt;</t>
  </si>
  <si>
    <t>&lt;a href="http://a836-acris.nyc.gov/DS/DocumentSearch/DocumentDetail?doc_id=2016120200306001" target="_blank"&gt;Verified by Public Record&lt;/a&gt;</t>
  </si>
  <si>
    <t>&lt;a href="http://a836-acris.nyc.gov/DS/DocumentSearch/DocumentDetail?doc_id=2019041700345001" target="_blank"&gt;Verified by Public Record&lt;/a&gt;</t>
  </si>
  <si>
    <t>&lt;a href="http://a836-acris.nyc.gov/DS/DocumentSearch/DocumentDetail?doc_id=2020030600670001" target="_blank"&gt;Verified by Public Record&lt;/a&gt;</t>
  </si>
  <si>
    <t>&lt;a href="http://a836-acris.nyc.gov/DS/DocumentSearch/DocumentDetail?doc_id=2016081200878003" target="_blank"&gt;Verified by Public Record&lt;/a&gt;</t>
  </si>
  <si>
    <t>&lt;a href="http://a836-acris.nyc.gov/DS/DocumentSearch/DocumentDetail?doc_id=2016063000874001" target="_blank"&gt;Verified by Public Record&lt;/a&gt;</t>
  </si>
  <si>
    <t>&lt;a href="http://a836-acris.nyc.gov/DS/DocumentSearch/DocumentDetail?doc_id=2017031700169003" target="_blank"&gt;Verified by Public Record&lt;/a&gt;</t>
  </si>
  <si>
    <t>&lt;a href="http://a836-acris.nyc.gov/DS/DocumentSearch/DocumentDetail?doc_id=2017022300109001" target="_blank"&gt;Verified by Public Record&lt;/a&gt;</t>
  </si>
  <si>
    <t>&lt;a href="http://a836-acris.nyc.gov/DS/DocumentSearch/DocumentDetail?doc_id=2016122801618001" target="_blank"&gt;Verified by Public Record&lt;/a&gt;</t>
  </si>
  <si>
    <t>&lt;a href="http://a836-acris.nyc.gov/DS/DocumentSearch/DocumentDetail?doc_id=2017060700036001" target="_blank"&gt;Verified by Public Record&lt;/a&gt;</t>
  </si>
  <si>
    <t>&lt;a href="http://a836-acris.nyc.gov/DS/DocumentSearch/DocumentDetail?doc_id=2018010800964001" target="_blank"&gt;Verified by Public Record&lt;/a&gt;</t>
  </si>
  <si>
    <t>&lt;a href="http://a836-acris.nyc.gov/DS/DocumentSearch/DocumentDetail?doc_id=2019120600230001" target="_blank"&gt;Verified by Public Record&lt;/a&gt;</t>
  </si>
  <si>
    <t>&lt;a href="http://a836-acris.nyc.gov/DS/DocumentSearch/DocumentDetail?doc_id=2017060100339001" target="_blank"&gt;Verified by Public Record&lt;/a&gt;</t>
  </si>
  <si>
    <t>&lt;a href="http://a836-acris.nyc.gov/DS/DocumentSearch/DocumentDetail?doc_id=2017071901276003" target="_blank"&gt;Verified by Public Record&lt;/a&gt;</t>
  </si>
  <si>
    <t>&lt;a href="http://a836-acris.nyc.gov/DS/DocumentSearch/DocumentDetail?doc_id=2018010900656001" target="_blank"&gt;Verified by Public Record&lt;/a&gt;</t>
  </si>
  <si>
    <t>&lt;a href="http://a836-acris.nyc.gov/DS/DocumentSearch/DocumentDetail?doc_id=2017011701413001" target="_blank"&gt;Verified by Public Record&lt;/a&gt;</t>
  </si>
  <si>
    <t>&lt;a href="http://a836-acris.nyc.gov/DS/DocumentSearch/DocumentDetail?doc_id=2017062301014001" target="_blank"&gt;Verified by Public Record&lt;/a&gt;</t>
  </si>
  <si>
    <t>&lt;a href="http://a836-acris.nyc.gov/DS/DocumentSearch/DocumentDetail?doc_id=2017042800636001" target="_blank"&gt;Verified by Public Record&lt;/a&gt;</t>
  </si>
  <si>
    <t>&lt;a href="http://a836-acris.nyc.gov/DS/DocumentSearch/DocumentDetail?doc_id=2017090800163001" target="_blank"&gt;Verified by Public Record&lt;/a&gt;</t>
  </si>
  <si>
    <t>&lt;a href="http://a836-acris.nyc.gov/DS/DocumentSearch/DocumentDetail?doc_id=2017040400507001" target="_blank"&gt;Verified by Public Record&lt;/a&gt;</t>
  </si>
  <si>
    <t>&lt;a href="http://a836-acris.nyc.gov/DS/DocumentSearch/DocumentDetail?doc_id=2019063000033002" target="_blank"&gt;Public Record Only&lt;/a&gt;</t>
  </si>
  <si>
    <t>&lt;a href="http://a836-acris.nyc.gov/DS/DocumentSearch/DocumentDetail?doc_id=2018051001095001" target="_blank"&gt;Verified by Public Record&lt;/a&gt;</t>
  </si>
  <si>
    <t>&lt;a href="http://a836-acris.nyc.gov/DS/DocumentSearch/DocumentDetail?doc_id=2019111100090001" target="_blank"&gt;Verified by Public Record&lt;/a&gt;</t>
  </si>
  <si>
    <t>&lt;a href="http://a836-acris.nyc.gov/DS/DocumentSearch/DocumentDetail?doc_id=2018081401011003" target="_blank"&gt;Verified by Public Record&lt;/a&gt;</t>
  </si>
  <si>
    <t>&lt;a href="http://a836-acris.nyc.gov/DS/DocumentSearch/DocumentDetail?doc_id=2019071000789002" target="_blank"&gt;Verified by Public Record&lt;/a&gt;</t>
  </si>
  <si>
    <t>&lt;a href="http://a836-acris.nyc.gov/DS/DocumentSearch/DocumentDetail?doc_id=2017103101461004" target="_blank"&gt;Verified by Public Record&lt;/a&gt;</t>
  </si>
  <si>
    <t>&lt;a href="http://a836-acris.nyc.gov/DS/DocumentSearch/DocumentDetail?doc_id=2017110700711001" target="_blank"&gt;Verified by Public Record&lt;/a&gt;</t>
  </si>
  <si>
    <t>&lt;a href="http://a836-acris.nyc.gov/DS/DocumentSearch/DocumentDetail?doc_id=2017110201584001" target="_blank"&gt;Verified by Public Record&lt;/a&gt;</t>
  </si>
  <si>
    <t>&lt;a href="http://a836-acris.nyc.gov/DS/DocumentSearch/DocumentDetail?doc_id=2017122200788001" target="_blank"&gt;Verified by Public Record&lt;/a&gt;</t>
  </si>
  <si>
    <t>&lt;a href="http://a836-acris.nyc.gov/DS/DocumentSearch/DocumentDetail?doc_id=2021060200149001" target="_blank"&gt;Verified by Public Record&lt;/a&gt;</t>
  </si>
  <si>
    <t>&lt;a href="http://a836-acris.nyc.gov/DS/DocumentSearch/DocumentDetail?doc_id=2017110600355001" target="_blank"&gt;Verified by Public Record&lt;/a&gt;</t>
  </si>
  <si>
    <t>&lt;a href="http://a836-acris.nyc.gov/DS/DocumentSearch/DocumentDetail?doc_id=2019031900872002" target="_blank"&gt;Verified by Public Record&lt;/a&gt;</t>
  </si>
  <si>
    <t>&lt;a href="http://a836-acris.nyc.gov/DS/DocumentSearch/DocumentDetail?doc_id=2021040600649002" target="_blank"&gt;Verified by Public Record&lt;/a&gt;</t>
  </si>
  <si>
    <t>&lt;a href="http://a836-acris.nyc.gov/DS/DocumentSearch/DocumentDetail?doc_id=2019052301066001" target="_blank"&gt;Verified by Public Record&lt;/a&gt;</t>
  </si>
  <si>
    <t>&lt;a href="http://a836-acris.nyc.gov/DS/DocumentSearch/DocumentDetail?doc_id=2018060601047003" target="_blank"&gt;Verified by Public Record&lt;/a&gt;</t>
  </si>
  <si>
    <t>&lt;a href="http://a836-acris.nyc.gov/DS/DocumentSearch/DocumentDetail?doc_id=2020042300046001" target="_blank"&gt;Verified by Public Record&lt;/a&gt;</t>
  </si>
  <si>
    <t>&lt;a href="http://a836-acris.nyc.gov/DS/DocumentSearch/DocumentDetail?doc_id=2016091500735001" target="_blank"&gt;Public Record Only&lt;/a&gt;</t>
  </si>
  <si>
    <t>&lt;a href="http://a836-acris.nyc.gov/DS/DocumentSearch/DocumentDetail?doc_id=2016060200430001" target="_blank"&gt;Public Record Only&lt;/a&gt;</t>
  </si>
  <si>
    <t>&lt;a href="http://a836-acris.nyc.gov/DS/DocumentSearch/DocumentDetail?doc_id=2016081701014002" target="_blank"&gt;Public Record Only&lt;/a&gt;</t>
  </si>
  <si>
    <t>&lt;a href="http://a836-acris.nyc.gov/DS/DocumentSearch/DocumentDetail?doc_id=2020041300177002" target="_blank"&gt;Verified by Public Record&lt;/a&gt;</t>
  </si>
  <si>
    <t>&lt;a href="http://a836-acris.nyc.gov/DS/DocumentSearch/DocumentDetail?doc_id=2020061900731001" target="_blank"&gt;Verified by Public Record&lt;/a&gt;</t>
  </si>
  <si>
    <t>&lt;a href="http://a836-acris.nyc.gov/DS/DocumentSearch/DocumentDetail?doc_id=2016092601406001" target="_blank"&gt;Verified by Public Record&lt;/a&gt;</t>
  </si>
  <si>
    <t>&lt;a href="http://a836-acris.nyc.gov/DS/DocumentSearch/DocumentDetail?doc_id=2016072001019001" target="_blank"&gt;Verified by Public Record&lt;/a&gt;</t>
  </si>
  <si>
    <t>&lt;a href="http://a836-acris.nyc.gov/DS/DocumentSearch/DocumentDetail?doc_id=2016092200281001" target="_blank"&gt;Verified by Public Record&lt;/a&gt;</t>
  </si>
  <si>
    <t>&lt;a href="http://a836-acris.nyc.gov/DS/DocumentSearch/DocumentDetail?doc_id=2019051700318003" target="_blank"&gt;Verified by Public Record&lt;/a&gt;</t>
  </si>
  <si>
    <t>&lt;a href="http://a836-acris.nyc.gov/DS/DocumentSearch/DocumentDetail?doc_id=2018032701217002" target="_blank"&gt;Verified by Public Record&lt;/a&gt;</t>
  </si>
  <si>
    <t>&lt;a href="http://a836-acris.nyc.gov/DS/DocumentSearch/DocumentDetail?doc_id=2021042201507008" target="_blank"&gt;Public Record Only&lt;/a&gt;</t>
  </si>
  <si>
    <t>&lt;a href="http://a836-acris.nyc.gov/DS/DocumentSearch/DocumentDetail?doc_id=2018121200414002" target="_blank"&gt;Verified by Public Record&lt;/a&gt;</t>
  </si>
  <si>
    <t>&lt;a href="http://a836-acris.nyc.gov/DS/DocumentSearch/DocumentDetail?doc_id=2019080900269004" target="_blank"&gt;Verified by Public Record&lt;/a&gt;</t>
  </si>
  <si>
    <t>&lt;a href="http://a836-acris.nyc.gov/DS/DocumentSearch/DocumentDetail?doc_id=2017052300916001" target="_blank"&gt;Verified by Public Record&lt;/a&gt;</t>
  </si>
  <si>
    <t>&lt;a href="http://a836-acris.nyc.gov/DS/DocumentSearch/DocumentDetail?doc_id=2019070100732002" target="_blank"&gt;Verified by Public Record&lt;/a&gt;</t>
  </si>
  <si>
    <t>&lt;a href="http://a836-acris.nyc.gov/DS/DocumentSearch/DocumentDetail?doc_id=2021031100498001" target="_blank"&gt;Verified by Public Record&lt;/a&gt;</t>
  </si>
  <si>
    <t>&lt;a href="http://a836-acris.nyc.gov/DS/DocumentSearch/DocumentDetail?doc_id=2017120800438001" target="_blank"&gt;Verified by Public Record&lt;/a&gt;</t>
  </si>
  <si>
    <t>&lt;a href="http://a836-acris.nyc.gov/DS/DocumentSearch/DocumentDetail?doc_id=2018042700438001" target="_blank"&gt;Public Record Only&lt;/a&gt;</t>
  </si>
  <si>
    <t>&lt;a href="http://a836-acris.nyc.gov/DS/DocumentSearch/DocumentDetail?doc_id=2021062501112001" target="_blank"&gt;Public Record Only&lt;/a&gt;</t>
  </si>
  <si>
    <t>&lt;a href="http://a836-acris.nyc.gov/DS/DocumentSearch/DocumentDetail?doc_id=2021071900612003" target="_blank"&gt;Public Record Only&lt;/a&gt;</t>
  </si>
  <si>
    <t>&lt;a href="http://a836-acris.nyc.gov/DS/DocumentSearch/DocumentDetail?doc_id=2021080200643001" target="_blank"&gt;Public Record Only&lt;/a&gt;</t>
  </si>
  <si>
    <t>&lt;a href="http://a836-acris.nyc.gov/DS/DocumentSearch/DocumentDetail?doc_id=2018012901207002" target="_blank"&gt;Verified by Public Record&lt;/a&gt;</t>
  </si>
  <si>
    <t>&lt;a href="http://a836-acris.nyc.gov/DS/DocumentSearch/DocumentDetail?doc_id=2018100200477001" target="_blank"&gt;Public Record Only&lt;/a&gt;</t>
  </si>
  <si>
    <t>&lt;a href="http://a836-acris.nyc.gov/DS/DocumentSearch/DocumentDetail?doc_id=2018032701179003" target="_blank"&gt;Verified by Public Record&lt;/a&gt;</t>
  </si>
  <si>
    <t>&lt;a href="http://a836-acris.nyc.gov/DS/DocumentSearch/DocumentDetail?doc_id=2018041300402001" target="_blank"&gt;Verified by Public Record&lt;/a&gt;</t>
  </si>
  <si>
    <t>&lt;a href="http://a836-acris.nyc.gov/DS/DocumentSearch/DocumentDetail?doc_id=2018062100841001" target="_blank"&gt;Verified by Public Record&lt;/a&gt;</t>
  </si>
  <si>
    <t>&lt;a href="http://a836-acris.nyc.gov/DS/DocumentSearch/DocumentDetail?doc_id=2017103101478002" target="_blank"&gt;Verified by Public Record&lt;/a&gt;</t>
  </si>
  <si>
    <t>&lt;a href="http://a836-acris.nyc.gov/DS/DocumentSearch/DocumentDetail?doc_id=2019100701260001" target="_blank"&gt;Public Record Only&lt;/a&gt;</t>
  </si>
  <si>
    <t>&lt;a href="http://a836-acris.nyc.gov/DS/DocumentSearch/DocumentDetail?doc_id=2020112200066009" target="_blank"&gt;Verified by Public Record&lt;/a&gt;</t>
  </si>
  <si>
    <t>&lt;a href="http://a836-acris.nyc.gov/DS/DocumentSearch/DocumentDetail?doc_id=2018051801006002" target="_blank"&gt;Verified by Public Record&lt;/a&gt;</t>
  </si>
  <si>
    <t>&lt;a href="http://a836-acris.nyc.gov/DS/DocumentSearch/DocumentDetail?doc_id=2017111000390001" target="_blank"&gt;Verified by Public Record&lt;/a&gt;</t>
  </si>
  <si>
    <t>&lt;a href="http://a836-acris.nyc.gov/DS/DocumentSearch/DocumentDetail?doc_id=2018010800576001" target="_blank"&gt;Verified by Public Record&lt;/a&gt;</t>
  </si>
  <si>
    <t>&lt;a href="http://a836-acris.nyc.gov/DS/DocumentSearch/DocumentDetail?doc_id=2021071501104009" target="_blank"&gt;Verified by Public Record&lt;/a&gt;</t>
  </si>
  <si>
    <t>&lt;a href="http://a836-acris.nyc.gov/DS/DocumentSearch/DocumentDetail?doc_id=2020031600819001" target="_blank"&gt;Verified by Public Record&lt;/a&gt;</t>
  </si>
  <si>
    <t>&lt;a href="http://a836-acris.nyc.gov/DS/DocumentSearch/DocumentDetail?doc_id=2021052400848001" target="_blank"&gt;Verified by Public Record&lt;/a&gt;</t>
  </si>
  <si>
    <t>&lt;a href="http://a836-acris.nyc.gov/DS/DocumentSearch/DocumentDetail?doc_id=2019062700498002" target="_blank"&gt;Verified by Public Record&lt;/a&gt;</t>
  </si>
  <si>
    <t>&lt;a href="http://a836-acris.nyc.gov/DS/DocumentSearch/DocumentDetail?doc_id=2019021300440003" target="_blank"&gt;Verified by Public Record&lt;/a&gt;</t>
  </si>
  <si>
    <t>&lt;a href="http://a836-acris.nyc.gov/DS/DocumentSearch/DocumentDetail?doc_id=2020122800526001" target="_blank"&gt;Verified by Public Record&lt;/a&gt;</t>
  </si>
  <si>
    <t>&lt;a href="http://a836-acris.nyc.gov/DS/DocumentSearch/DocumentDetail?doc_id=2020111700237004" target="_blank"&gt;Verified by Public Record&lt;/a&gt;</t>
  </si>
  <si>
    <t>&lt;a href="http://a836-acris.nyc.gov/DS/DocumentSearch/DocumentDetail?doc_id=2017092101079001" target="_blank"&gt;Verified by Public Record&lt;/a&gt;</t>
  </si>
  <si>
    <t>&lt;a href="http://a836-acris.nyc.gov/DS/DocumentSearch/DocumentDetail?doc_id=2018020900980001" target="_blank"&gt;Verified by Public Record&lt;/a&gt;</t>
  </si>
  <si>
    <t>&lt;a href="http://a836-acris.nyc.gov/DS/DocumentSearch/DocumentDetail?doc_id=2018041000790005" target="_blank"&gt;Verified by Public Record&lt;/a&gt;</t>
  </si>
  <si>
    <t>Private Terrace
Common Roof Deck
Barbecue Area</t>
  </si>
  <si>
    <t>&lt;a href="http://a836-acris.nyc.gov/DS/DocumentSearch/DocumentDetail?doc_id=2020051200576001" target="_blank"&gt;Verified by Public Record&lt;/a&gt;</t>
  </si>
  <si>
    <t>&lt;a href="http://a836-acris.nyc.gov/DS/DocumentSearch/DocumentDetail?doc_id=2018050900905003" target="_blank"&gt;Verified by Public Record&lt;/a&gt;</t>
  </si>
  <si>
    <t>&lt;a href="http://a836-acris.nyc.gov/DS/DocumentSearch/DocumentDetail?doc_id=2021031101306001" target="_blank"&gt;Verified by Public Record&lt;/a&gt;</t>
  </si>
  <si>
    <t>&lt;a href="http://a836-acris.nyc.gov/DS/DocumentSearch/DocumentDetail?doc_id=2018070600962001" target="_blank"&gt;Verified by Public Record&lt;/a&gt;</t>
  </si>
  <si>
    <t>&lt;a href="http://a836-acris.nyc.gov/DS/DocumentSearch/DocumentDetail?doc_id=2018032300916002" target="_blank"&gt;Verified by Public Record&lt;/a&gt;</t>
  </si>
  <si>
    <t>&lt;a href="http://a836-acris.nyc.gov/DS/DocumentSearch/DocumentDetail?doc_id=2018031300534004" target="_blank"&gt;Verified by Public Record&lt;/a&gt;</t>
  </si>
  <si>
    <t>&lt;a href="http://a836-acris.nyc.gov/DS/DocumentSearch/DocumentDetail?doc_id=2017110201055001" target="_blank"&gt;Verified by Public Record&lt;/a&gt;</t>
  </si>
  <si>
    <t>&lt;a href="http://a836-acris.nyc.gov/DS/DocumentSearch/DocumentDetail?doc_id=2016072200341001" target="_blank"&gt;Public Record Only&lt;/a&gt;</t>
  </si>
  <si>
    <t>&lt;a href="http://a836-acris.nyc.gov/DS/DocumentSearch/DocumentDetail?doc_id=2016020500799001" target="_blank"&gt;Public Record Only&lt;/a&gt;</t>
  </si>
  <si>
    <t>&lt;a href="http://a836-acris.nyc.gov/DS/DocumentSearch/DocumentDetail?doc_id=2021022501034001" target="_blank"&gt;Verified by Public Record&lt;/a&gt;</t>
  </si>
  <si>
    <t>&lt;a href="http://a836-acris.nyc.gov/DS/DocumentSearch/DocumentDetail?doc_id=2021061801608002" target="_blank"&gt;Verified by Public Record&lt;/a&gt;</t>
  </si>
  <si>
    <t>&lt;a href="http://a836-acris.nyc.gov/DS/DocumentSearch/DocumentDetail?doc_id=2020120900535006" target="_blank"&gt;Verified by Public Record&lt;/a&gt;</t>
  </si>
  <si>
    <t>&lt;a href="http://a836-acris.nyc.gov/DS/DocumentSearch/DocumentDetail?doc_id=2019122800012001" target="_blank"&gt;Verified by Public Record&lt;/a&gt;</t>
  </si>
  <si>
    <t>&lt;a href="http://a836-acris.nyc.gov/DS/DocumentSearch/DocumentDetail?doc_id=2018040200856001" target="_blank"&gt;Verified by Public Record&lt;/a&gt;</t>
  </si>
  <si>
    <t>&lt;a href="http://a836-acris.nyc.gov/DS/DocumentSearch/DocumentDetail?doc_id=2018042000335001" target="_blank"&gt;Verified by Public Record&lt;/a&gt;</t>
  </si>
  <si>
    <t>&lt;a href="http://a836-acris.nyc.gov/DS/DocumentSearch/DocumentDetail?doc_id=2018081300518001" target="_blank"&gt;Verified by Public Record&lt;/a&gt;</t>
  </si>
  <si>
    <t>&lt;a href="http://a836-acris.nyc.gov/DS/DocumentSearch/DocumentDetail?doc_id=2018082100035001" target="_blank"&gt;Verified by Public Record&lt;/a&gt;</t>
  </si>
  <si>
    <t>&lt;a href="http://a836-acris.nyc.gov/DS/DocumentSearch/DocumentDetail?doc_id=2019043001095002" target="_blank"&gt;Verified by Public Record&lt;/a&gt;</t>
  </si>
  <si>
    <t>&lt;a href="http://a836-acris.nyc.gov/DS/DocumentSearch/DocumentDetail?doc_id=2017102501503001" target="_blank"&gt;Verified by Public Record&lt;/a&gt;</t>
  </si>
  <si>
    <t>&lt;a href="http://a836-acris.nyc.gov/DS/DocumentSearch/DocumentDetail?doc_id=2016031700498001" target="_blank"&gt;Public Record Only&lt;/a&gt;</t>
  </si>
  <si>
    <t>&lt;a href="http://a836-acris.nyc.gov/DS/DocumentSearch/DocumentDetail?doc_id=2019060600217001" target="_blank"&gt;Verified by Public Record&lt;/a&gt;</t>
  </si>
  <si>
    <t>&lt;a href="http://a836-acris.nyc.gov/DS/DocumentSearch/DocumentDetail?doc_id=2017061401042001" target="_blank"&gt;Public Record Only&lt;/a&gt;</t>
  </si>
  <si>
    <t>&lt;a href="http://a836-acris.nyc.gov/DS/DocumentSearch/DocumentDetail?doc_id=2018112100338001" target="_blank"&gt;Verified by Public Record&lt;/a&gt;</t>
  </si>
  <si>
    <t>&lt;a href="http://a836-acris.nyc.gov/DS/DocumentSearch/DocumentDetail?doc_id=2020031700394003" target="_blank"&gt;Verified by Public Record&lt;/a&gt;</t>
  </si>
  <si>
    <t>&lt;a href="http://a836-acris.nyc.gov/DS/DocumentSearch/DocumentDetail?doc_id=2016021602762001" target="_blank"&gt;Public Record Only&lt;/a&gt;</t>
  </si>
  <si>
    <t>&lt;a href="http://a836-acris.nyc.gov/DS/DocumentSearch/DocumentDetail?doc_id=2021061800486003" target="_blank"&gt;Verified by Public Record&lt;/a&gt;</t>
  </si>
  <si>
    <t>Private Wrap Around Terrace
Deck
Common Roof Deck
Common Outdoor Space</t>
  </si>
  <si>
    <t>&lt;a href="http://a836-acris.nyc.gov/DS/DocumentSearch/DocumentDetail?doc_id=2018061300498002" target="_blank"&gt;Verified by Public Record&lt;/a&gt;</t>
  </si>
  <si>
    <t>&lt;a href="http://a836-acris.nyc.gov/DS/DocumentSearch/DocumentDetail?doc_id=2021052801056001" target="_blank"&gt;Verified by Public Record&lt;/a&gt;</t>
  </si>
  <si>
    <t>&lt;a href="http://a836-acris.nyc.gov/DS/DocumentSearch/DocumentDetail?doc_id=2021071600527012" target="_blank"&gt;Verified by Public Record&lt;/a&gt;</t>
  </si>
  <si>
    <t>&lt;a href="http://a836-acris.nyc.gov/DS/DocumentSearch/DocumentDetail?doc_id=2021080300842002" target="_blank"&gt;Verified by Public Record&lt;/a&gt;</t>
  </si>
  <si>
    <t>&lt;a href="http://a836-acris.nyc.gov/DS/DocumentSearch/DocumentDetail?doc_id=2018101000093001" target="_blank"&gt;Verified by Public Record&lt;/a&gt;</t>
  </si>
  <si>
    <t>Common Roof Deck
Barbecue Area
Private Outdoor Space</t>
  </si>
  <si>
    <t>&lt;a href="http://a836-acris.nyc.gov/DS/DocumentSearch/DocumentDetail?doc_id=2016022301349001" target="_blank"&gt;Public Record Only&lt;/a&gt;</t>
  </si>
  <si>
    <t>&lt;a href="http://a836-acris.nyc.gov/DS/DocumentSearch/DocumentDetail?doc_id=2019040300472002" target="_blank"&gt;Public Record Only&lt;/a&gt;</t>
  </si>
  <si>
    <t>&lt;a href="http://a836-acris.nyc.gov/DS/DocumentSearch/DocumentDetail?doc_id=2019050800370001" target="_blank"&gt;Public Record Only&lt;/a&gt;</t>
  </si>
  <si>
    <t>&lt;a href="http://a836-acris.nyc.gov/DS/DocumentSearch/DocumentDetail?doc_id=2019051400862001" target="_blank"&gt;Public Record Only&lt;/a&gt;</t>
  </si>
  <si>
    <t>&lt;a href="http://a836-acris.nyc.gov/DS/DocumentSearch/DocumentDetail?doc_id=2019051501121001" target="_blank"&gt;Public Record Only&lt;/a&gt;</t>
  </si>
  <si>
    <t>&lt;a href="http://a836-acris.nyc.gov/DS/DocumentSearch/DocumentDetail?doc_id=2019060700263001" target="_blank"&gt;Public Record Only&lt;/a&gt;</t>
  </si>
  <si>
    <t>&lt;a href="http://a836-acris.nyc.gov/DS/DocumentSearch/DocumentDetail?doc_id=2016041801165001" target="_blank"&gt;Public Record Only&lt;/a&gt;</t>
  </si>
  <si>
    <t>&lt;a href="http://a836-acris.nyc.gov/DS/DocumentSearch/DocumentDetail?doc_id=2016050400195003" target="_blank"&gt;Public Record Only&lt;/a&gt;</t>
  </si>
  <si>
    <t>&lt;a href="http://a836-acris.nyc.gov/DS/DocumentSearch/DocumentDetail?doc_id=2016042100731001" target="_blank"&gt;Public Record Only&lt;/a&gt;</t>
  </si>
  <si>
    <t>&lt;a href="http://a836-acris.nyc.gov/DS/DocumentSearch/DocumentDetail?doc_id=2016010700828001" target="_blank"&gt;Public Record Only&lt;/a&gt;</t>
  </si>
  <si>
    <t>&lt;a href="http://a836-acris.nyc.gov/DS/DocumentSearch/DocumentDetail?doc_id=2015121700776001" target="_blank"&gt;Public Record Only&lt;/a&gt;</t>
  </si>
  <si>
    <t>&lt;a href="http://a836-acris.nyc.gov/DS/DocumentSearch/DocumentDetail?doc_id=2016012900509003" target="_blank"&gt;Public Record Only&lt;/a&gt;</t>
  </si>
  <si>
    <t>&lt;a href="http://a836-acris.nyc.gov/DS/DocumentSearch/DocumentDetail?doc_id=2016011200249001" target="_blank"&gt;Public Record Only&lt;/a&gt;</t>
  </si>
  <si>
    <t>&lt;a href="http://a836-acris.nyc.gov/DS/DocumentSearch/DocumentDetail?doc_id=2015112400043001" target="_blank"&gt;Public Record Only&lt;/a&gt;</t>
  </si>
  <si>
    <t>&lt;a href="http://a836-acris.nyc.gov/DS/DocumentSearch/DocumentDetail?doc_id=2016030100298001" target="_blank"&gt;Public Record Only&lt;/a&gt;</t>
  </si>
  <si>
    <t>&lt;a href="http://a836-acris.nyc.gov/DS/DocumentSearch/DocumentDetail?doc_id=2021051101229002" target="_blank"&gt;Public Record Only&lt;/a&gt;</t>
  </si>
  <si>
    <t>&lt;a href="http://a836-acris.nyc.gov/DS/DocumentSearch/DocumentDetail?doc_id=2017122200498001" target="_blank"&gt;Verified by Public Record&lt;/a&gt;</t>
  </si>
  <si>
    <t>&lt;a href="http://a836-acris.nyc.gov/DS/DocumentSearch/DocumentDetail?doc_id=2018031301090001" target="_blank"&gt;Verified by Public Record&lt;/a&gt;</t>
  </si>
  <si>
    <t>&lt;a href="http://a836-acris.nyc.gov/DS/DocumentSearch/DocumentDetail?doc_id=2018081700444001" target="_blank"&gt;Verified by Public Record&lt;/a&gt;</t>
  </si>
  <si>
    <t>&lt;a href="http://a836-acris.nyc.gov/DS/DocumentSearch/DocumentDetail?doc_id=2016040801007001" target="_blank"&gt;Public Record Only&lt;/a&gt;</t>
  </si>
  <si>
    <t>&lt;a href="http://a836-acris.nyc.gov/DS/DocumentSearch/DocumentDetail?doc_id=2016031501485001" target="_blank"&gt;Public Record Only&lt;/a&gt;</t>
  </si>
  <si>
    <t>&lt;a href="http://a836-acris.nyc.gov/DS/DocumentSearch/DocumentDetail?doc_id=2016051100968003" target="_blank"&gt;Public Record Only&lt;/a&gt;</t>
  </si>
  <si>
    <t>&lt;a href="http://a836-acris.nyc.gov/DS/DocumentSearch/DocumentDetail?doc_id=2016033000113001" target="_blank"&gt;Public Record Only&lt;/a&gt;</t>
  </si>
  <si>
    <t>&lt;a href="http://a836-acris.nyc.gov/DS/DocumentSearch/DocumentDetail?doc_id=2016082500580001" target="_blank"&gt;Public Record Only&lt;/a&gt;</t>
  </si>
  <si>
    <t>&lt;a href="http://a836-acris.nyc.gov/DS/DocumentSearch/DocumentDetail?doc_id=2016032901097001" target="_blank"&gt;Public Record Only&lt;/a&gt;</t>
  </si>
  <si>
    <t>&lt;a href="http://a836-acris.nyc.gov/DS/DocumentSearch/DocumentDetail?doc_id=2015113000950001" target="_blank"&gt;Public Record Only&lt;/a&gt;</t>
  </si>
  <si>
    <t>&lt;a href="http://a836-acris.nyc.gov/DS/DocumentSearch/DocumentDetail?doc_id=2016030800465001" target="_blank"&gt;Public Record Only&lt;/a&gt;</t>
  </si>
  <si>
    <t>&lt;a href="http://a836-acris.nyc.gov/DS/DocumentSearch/DocumentDetail?doc_id=2015121000542001" target="_blank"&gt;Public Record Only&lt;/a&gt;</t>
  </si>
  <si>
    <t>&lt;a href="http://a836-acris.nyc.gov/DS/DocumentSearch/DocumentDetail?doc_id=2016020101077001" target="_blank"&gt;Public Record Only&lt;/a&gt;</t>
  </si>
  <si>
    <t>&lt;a href="http://a836-acris.nyc.gov/DS/DocumentSearch/DocumentDetail?doc_id=2015122101215001" target="_blank"&gt;Public Record Only&lt;/a&gt;</t>
  </si>
  <si>
    <t>&lt;a href="http://a836-acris.nyc.gov/DS/DocumentSearch/DocumentDetail?doc_id=2015111901279002" target="_blank"&gt;Public Record Only&lt;/a&gt;</t>
  </si>
  <si>
    <t>&lt;a href="http://a836-acris.nyc.gov/DS/DocumentSearch/DocumentDetail?doc_id=2015122101503001" target="_blank"&gt;Public Record Only&lt;/a&gt;</t>
  </si>
  <si>
    <t>&lt;a href="http://a836-acris.nyc.gov/DS/DocumentSearch/DocumentDetail?doc_id=2016032200040002" target="_blank"&gt;Public Record Only&lt;/a&gt;</t>
  </si>
  <si>
    <t>&lt;a href="http://a836-acris.nyc.gov/DS/DocumentSearch/DocumentDetail?doc_id=2021080100071001" target="_blank"&gt;Public Record Only&lt;/a&gt;</t>
  </si>
  <si>
    <t>&lt;a href="http://a836-acris.nyc.gov/DS/DocumentSearch/DocumentDetail?doc_id=2021071501103010" target="_blank"&gt;Verified by Public Record&lt;/a&gt;</t>
  </si>
  <si>
    <t>&lt;a href="http://a836-acris.nyc.gov/DS/DocumentSearch/DocumentDetail?doc_id=2021062400579003" target="_blank"&gt;Verified by Public Record&lt;/a&gt;</t>
  </si>
  <si>
    <t>Balcony
Juliet Balcony
Private Patio
Common Roof Deck
Common Outdoor Space
Private Outdoor Space</t>
  </si>
  <si>
    <t>&lt;a href="http://a836-acris.nyc.gov/DS/DocumentSearch/DocumentDetail?doc_id=2021062100478001" target="_blank"&gt;Public Record Only&lt;/a&gt;</t>
  </si>
  <si>
    <t>&lt;a href="http://a836-acris.nyc.gov/DS/DocumentSearch/DocumentDetail?doc_id=2021081200163001" target="_blank"&gt;Public Record Only&lt;/a&gt;</t>
  </si>
  <si>
    <t>&lt;a href="http://a836-acris.nyc.gov/DS/DocumentSearch/DocumentDetail?doc_id=2016012500735001" target="_blank"&gt;Public Record Only&lt;/a&gt;</t>
  </si>
  <si>
    <t>&lt;a href="http://a836-acris.nyc.gov/DS/DocumentSearch/DocumentDetail?doc_id=2021072300512001" target="_blank"&gt;Verified by Public Record&lt;/a&gt;</t>
  </si>
  <si>
    <t>&lt;a href="http://a836-acris.nyc.gov/DS/DocumentSearch/DocumentDetail?doc_id=2016061700700001" target="_blank"&gt;Public Record Only&lt;/a&gt;</t>
  </si>
  <si>
    <t>&lt;a href="http://a836-acris.nyc.gov/DS/DocumentSearch/DocumentDetail?doc_id=2019031900715001" target="_blank"&gt;Public Record Only&lt;/a&gt;</t>
  </si>
  <si>
    <t>&lt;a href="http://a836-acris.nyc.gov/DS/DocumentSearch/DocumentDetail?doc_id=2019051500634001" target="_blank"&gt;Public Record Only&lt;/a&gt;</t>
  </si>
  <si>
    <t>&lt;a href="http://a836-acris.nyc.gov/DS/DocumentSearch/DocumentDetail?doc_id=2016020900815001" target="_blank"&gt;Public Record Only&lt;/a&gt;</t>
  </si>
  <si>
    <t>&lt;a href="http://a836-acris.nyc.gov/DS/DocumentSearch/DocumentDetail?doc_id=2015123000581001" target="_blank"&gt;Public Record Only&lt;/a&gt;</t>
  </si>
  <si>
    <t>&lt;a href="http://a836-acris.nyc.gov/DS/DocumentSearch/DocumentDetail?doc_id=2016042200556004" target="_blank"&gt;Public Record Only&lt;/a&gt;</t>
  </si>
  <si>
    <t>&lt;a href="http://a836-acris.nyc.gov/DS/DocumentSearch/DocumentDetail?doc_id=2015122300566003" target="_blank"&gt;Public Record Only&lt;/a&gt;</t>
  </si>
  <si>
    <t>&lt;a href="http://a836-acris.nyc.gov/DS/DocumentSearch/DocumentDetail?doc_id=2015121600426003" target="_blank"&gt;Public Record Only&lt;/a&gt;</t>
  </si>
  <si>
    <t>&lt;a href="http://a836-acris.nyc.gov/DS/DocumentSearch/DocumentDetail?doc_id=2015121800099001" target="_blank"&gt;Public Record Only&lt;/a&gt;</t>
  </si>
  <si>
    <t>&lt;a href="http://a836-acris.nyc.gov/DS/DocumentSearch/DocumentDetail?doc_id=2015121400806001" target="_blank"&gt;Public Record Only&lt;/a&gt;</t>
  </si>
  <si>
    <t>&lt;a href="http://a836-acris.nyc.gov/DS/DocumentSearch/DocumentDetail?doc_id=2015121400940003" target="_blank"&gt;Public Record Only&lt;/a&gt;</t>
  </si>
  <si>
    <t>&lt;a href="http://a836-acris.nyc.gov/DS/DocumentSearch/DocumentDetail?doc_id=2015122400289001" target="_blank"&gt;Public Record Only&lt;/a&gt;</t>
  </si>
  <si>
    <t>&lt;a href="http://a836-acris.nyc.gov/DS/DocumentSearch/DocumentDetail?doc_id=2015111800965001" target="_blank"&gt;Public Record Only&lt;/a&gt;</t>
  </si>
  <si>
    <t>&lt;a href="http://a836-acris.nyc.gov/DS/DocumentSearch/DocumentDetail?doc_id=2016020200019001" target="_blank"&gt;Public Record Only&lt;/a&gt;</t>
  </si>
  <si>
    <t>&lt;a href="http://a836-acris.nyc.gov/DS/DocumentSearch/DocumentDetail?doc_id=2021072701794002" target="_blank"&gt;Public Record Only&lt;/a&gt;</t>
  </si>
  <si>
    <t>&lt;a href="http://a836-acris.nyc.gov/DS/DocumentSearch/DocumentDetail?doc_id=2021061401040001" target="_blank"&gt;Verified by Public Record&lt;/a&gt;</t>
  </si>
  <si>
    <t>&lt;a href="http://a836-acris.nyc.gov/DS/DocumentSearch/DocumentDetail?doc_id=2016032800013001" target="_blank"&gt;Public Record Only&lt;/a&gt;</t>
  </si>
  <si>
    <t>&lt;a href="http://a836-acris.nyc.gov/DS/DocumentSearch/DocumentDetail?doc_id=2016053101161001" target="_blank"&gt;Public Record Only&lt;/a&gt;</t>
  </si>
  <si>
    <t>&lt;a href="http://a836-acris.nyc.gov/DS/DocumentSearch/DocumentDetail?doc_id=2016042700645002" target="_blank"&gt;Public Record Only&lt;/a&gt;</t>
  </si>
  <si>
    <t>&lt;a href="http://a836-acris.nyc.gov/DS/DocumentSearch/DocumentDetail?doc_id=2016030900259001" target="_blank"&gt;Public Record Only&lt;/a&gt;</t>
  </si>
  <si>
    <t>&lt;a href="http://a836-acris.nyc.gov/DS/DocumentSearch/DocumentDetail?doc_id=2021072500064003" target="_blank"&gt;Public Record Only&lt;/a&gt;</t>
  </si>
  <si>
    <t>&lt;a href="http://a836-acris.nyc.gov/DS/DocumentSearch/DocumentDetail?doc_id=2019061000131002" target="_blank"&gt;Public Record Only&lt;/a&gt;</t>
  </si>
  <si>
    <t>&lt;a href="http://a836-acris.nyc.gov/DS/DocumentSearch/DocumentDetail?doc_id=2016010100044001" target="_blank"&gt;Public Record Only&lt;/a&gt;</t>
  </si>
  <si>
    <t>&lt;a href="http://a836-acris.nyc.gov/DS/DocumentSearch/DocumentDetail?doc_id=2016031100882002" target="_blank"&gt;Public Record Only&lt;/a&gt;</t>
  </si>
  <si>
    <t>&lt;a href="http://a836-acris.nyc.gov/DS/DocumentSearch/DocumentDetail?doc_id=2016011200345001" target="_blank"&gt;Public Record Only&lt;/a&gt;</t>
  </si>
  <si>
    <t>&lt;a href="http://a836-acris.nyc.gov/DS/DocumentSearch/DocumentDetail?doc_id=2019040800288001" target="_blank"&gt;Public Record Only&lt;/a&gt;</t>
  </si>
  <si>
    <t>&lt;a href="http://a836-acris.nyc.gov/DS/DocumentSearch/DocumentDetail?doc_id=2019043000618001" target="_blank"&gt;Public Record Only&lt;/a&gt;</t>
  </si>
  <si>
    <t>&lt;a href="http://a836-acris.nyc.gov/DS/DocumentSearch/DocumentDetail?doc_id=2019050800194001" target="_blank"&gt;Public Record Only&lt;/a&gt;</t>
  </si>
  <si>
    <t>&lt;a href="http://a836-acris.nyc.gov/DS/DocumentSearch/DocumentDetail?doc_id=2019051500528002" target="_blank"&gt;Public Record Only&lt;/a&gt;</t>
  </si>
  <si>
    <t>&lt;a href="http://a836-acris.nyc.gov/DS/DocumentSearch/DocumentDetail?doc_id=2019060700883001" target="_blank"&gt;Public Record Only&lt;/a&gt;</t>
  </si>
  <si>
    <t>&lt;a href="http://a836-acris.nyc.gov/DS/DocumentSearch/DocumentDetail?doc_id=2019060300810001" target="_blank"&gt;Public Record Only&lt;/a&gt;</t>
  </si>
  <si>
    <t>&lt;a href="http://a836-acris.nyc.gov/DS/DocumentSearch/DocumentDetail?doc_id=2016032900380003" target="_blank"&gt;Public Record Only&lt;/a&gt;</t>
  </si>
  <si>
    <t>&lt;a href="http://a836-acris.nyc.gov/DS/DocumentSearch/DocumentDetail?doc_id=2016030300215001" target="_blank"&gt;Public Record Only&lt;/a&gt;</t>
  </si>
  <si>
    <t>&lt;a href="http://a836-acris.nyc.gov/DS/DocumentSearch/DocumentDetail?doc_id=2016031500279001" target="_blank"&gt;Public Record Only&lt;/a&gt;</t>
  </si>
  <si>
    <t>&lt;a href="http://a836-acris.nyc.gov/DS/DocumentSearch/DocumentDetail?doc_id=2016022201219001" target="_blank"&gt;Public Record Only&lt;/a&gt;</t>
  </si>
  <si>
    <t>&lt;a href="http://a836-acris.nyc.gov/DS/DocumentSearch/DocumentDetail?doc_id=2016032200397003" target="_blank"&gt;Public Record Only&lt;/a&gt;</t>
  </si>
  <si>
    <t>&lt;a href="http://a836-acris.nyc.gov/DS/DocumentSearch/DocumentDetail?doc_id=2016011900602001" target="_blank"&gt;Public Record Only&lt;/a&gt;</t>
  </si>
  <si>
    <t>&lt;a href="http://a836-acris.nyc.gov/DS/DocumentSearch/DocumentDetail?doc_id=2016021201236002" target="_blank"&gt;Public Record Only&lt;/a&gt;</t>
  </si>
  <si>
    <t>&lt;a href="http://a836-acris.nyc.gov/DS/DocumentSearch/DocumentDetail?doc_id=2016072600172001" target="_blank"&gt;Public Record Only&lt;/a&gt;</t>
  </si>
  <si>
    <t>&lt;a href="http://a836-acris.nyc.gov/DS/DocumentSearch/DocumentDetail?doc_id=2016011100505001" target="_blank"&gt;Public Record Only&lt;/a&gt;</t>
  </si>
  <si>
    <t>&lt;a href="http://a836-acris.nyc.gov/DS/DocumentSearch/DocumentDetail?doc_id=2016012601457003" target="_blank"&gt;Public Record Only&lt;/a&gt;</t>
  </si>
  <si>
    <t>&lt;a href="http://a836-acris.nyc.gov/DS/DocumentSearch/DocumentDetail?doc_id=2016100301258001" target="_blank"&gt;Public Record Only&lt;/a&gt;</t>
  </si>
  <si>
    <t>&lt;a href="http://a836-acris.nyc.gov/DS/DocumentSearch/DocumentDetail?doc_id=2016090500042002" target="_blank"&gt;Public Record Only&lt;/a&gt;</t>
  </si>
  <si>
    <t>&lt;a href="http://a836-acris.nyc.gov/DS/DocumentSearch/DocumentDetail?doc_id=2019080800679001" target="_blank"&gt;Public Record Only&lt;/a&gt;</t>
  </si>
  <si>
    <t>&lt;a href="http://a836-acris.nyc.gov/DS/DocumentSearch/DocumentDetail?doc_id=2019061800347001" target="_blank"&gt;Public Record Only&lt;/a&gt;</t>
  </si>
  <si>
    <t>&lt;a href="http://a836-acris.nyc.gov/DS/DocumentSearch/DocumentDetail?doc_id=2021031601015002" target="_blank"&gt;Public Record Only&lt;/a&gt;</t>
  </si>
  <si>
    <t>&lt;a href="http://a836-acris.nyc.gov/DS/DocumentSearch/DocumentDetail?doc_id=2017070600707001" target="_blank"&gt;Public Record Only&lt;/a&gt;</t>
  </si>
  <si>
    <t>&lt;a href="http://a836-acris.nyc.gov/DS/DocumentSearch/DocumentDetail?doc_id=2018010500849003" target="_blank"&gt;Verified by Public Record&lt;/a&gt;</t>
  </si>
  <si>
    <t>&lt;a href="http://a836-acris.nyc.gov/DS/DocumentSearch/DocumentDetail?doc_id=2020031000810001" target="_blank"&gt;Verified by Public Record&lt;/a&gt;</t>
  </si>
  <si>
    <t>&lt;a href="http://a836-acris.nyc.gov/DS/DocumentSearch/DocumentDetail?doc_id=2018020500274001" target="_blank"&gt;Verified by Public Record&lt;/a&gt;</t>
  </si>
  <si>
    <t>&lt;a href="http://a836-acris.nyc.gov/DS/DocumentSearch/DocumentDetail?doc_id=2021081100798005" target="_blank"&gt;Verified by Public Record&lt;/a&gt;</t>
  </si>
  <si>
    <t>&lt;a href="http://a836-acris.nyc.gov/DS/DocumentSearch/DocumentDetail?doc_id=2021061100692002" target="_blank"&gt;Verified by Public Record&lt;/a&gt;</t>
  </si>
  <si>
    <t>&lt;a href="http://a836-acris.nyc.gov/DS/DocumentSearch/DocumentDetail?doc_id=2021070801475001" target="_blank"&gt;Verified by Public Record&lt;/a&gt;</t>
  </si>
  <si>
    <t>&lt;a href="http://a836-acris.nyc.gov/DS/DocumentSearch/DocumentDetail?doc_id=2017042600504001" target="_blank"&gt;Public Record Only&lt;/a&gt;</t>
  </si>
  <si>
    <t>&lt;a href="http://a836-acris.nyc.gov/DS/DocumentSearch/DocumentDetail?doc_id=2018101600543001" target="_blank"&gt;Verified by Public Record&lt;/a&gt;</t>
  </si>
  <si>
    <t>&lt;a href="http://a836-acris.nyc.gov/DS/DocumentSearch/DocumentDetail?doc_id=2021052800906001" target="_blank"&gt;Public Record Only&lt;/a&gt;</t>
  </si>
  <si>
    <t>&lt;a href="http://a836-acris.nyc.gov/DS/DocumentSearch/DocumentDetail?doc_id=2021062100777002" target="_blank"&gt;Public Record Only&lt;/a&gt;</t>
  </si>
  <si>
    <t>&lt;a href="http://a836-acris.nyc.gov/DS/DocumentSearch/DocumentDetail?doc_id=2021072900833001" target="_blank"&gt;Public Record Only&lt;/a&gt;</t>
  </si>
  <si>
    <t>&lt;a href="http://a836-acris.nyc.gov/DS/DocumentSearch/DocumentDetail?doc_id=2021072101645001" target="_blank"&gt;Verified by Public Record&lt;/a&gt;</t>
  </si>
  <si>
    <t>&lt;a href="http://a836-acris.nyc.gov/DS/DocumentSearch/DocumentDetail?doc_id=2021062500678002" target="_blank"&gt;Verified by Public Record&lt;/a&gt;</t>
  </si>
  <si>
    <t>&lt;a href="http://a836-acris.nyc.gov/DS/DocumentSearch/DocumentDetail?doc_id=2021071301176001" target="_blank"&gt;Verified by Public Record&lt;/a&gt;</t>
  </si>
  <si>
    <t>&lt;a href="http://a836-acris.nyc.gov/DS/DocumentSearch/DocumentDetail?doc_id=2020032700865001" target="_blank"&gt;Verified by Public Record&lt;/a&gt;</t>
  </si>
  <si>
    <t>&lt;a href="http://a836-acris.nyc.gov/DS/DocumentSearch/DocumentDetail?doc_id=2019092701243001" target="_blank"&gt;Verified by Public Record&lt;/a&gt;</t>
  </si>
  <si>
    <t>&lt;a href="http://a836-acris.nyc.gov/DS/DocumentSearch/DocumentDetail?doc_id=2018072600569001" target="_blank"&gt;Verified by Public Record&lt;/a&gt;</t>
  </si>
  <si>
    <t>&lt;a href="http://a836-acris.nyc.gov/DS/DocumentSearch/DocumentDetail?doc_id=2021070700906011" target="_blank"&gt;Verified by Public Record&lt;/a&gt;</t>
  </si>
  <si>
    <t>&lt;a href="http://a836-acris.nyc.gov/DS/DocumentSearch/DocumentDetail?doc_id=2021063001000011" target="_blank"&gt;Verified by Public Record&lt;/a&gt;</t>
  </si>
  <si>
    <t>&lt;a href="http://a836-acris.nyc.gov/DS/DocumentSearch/DocumentDetail?doc_id=2021071300921001" target="_blank"&gt;Verified by Public Record&lt;/a&gt;</t>
  </si>
  <si>
    <t>&lt;a href="http://a836-acris.nyc.gov/DS/DocumentSearch/DocumentDetail?doc_id=2021062501175001" target="_blank"&gt;Verified by Public Record&lt;/a&gt;</t>
  </si>
  <si>
    <t>&lt;a href="http://a836-acris.nyc.gov/DS/DocumentSearch/DocumentDetail?doc_id=2021072701497001" target="_blank"&gt;Verified by Public Record&lt;/a&gt;</t>
  </si>
  <si>
    <t>&lt;a href="http://a836-acris.nyc.gov/DS/DocumentSearch/DocumentDetail?doc_id=2017122900787001" target="_blank"&gt;Verified by Public Record&lt;/a&gt;</t>
  </si>
  <si>
    <t>&lt;a href="http://a836-acris.nyc.gov/DS/DocumentSearch/DocumentDetail?doc_id=2021070600561006" target="_blank"&gt;Verified by Public Record&lt;/a&gt;</t>
  </si>
  <si>
    <t>&lt;a href="http://a836-acris.nyc.gov/DS/DocumentSearch/DocumentDetail?doc_id=2016022400311002" target="_blank"&gt;Public Record Only&lt;/a&gt;</t>
  </si>
  <si>
    <t>&lt;a href="http://a836-acris.nyc.gov/DS/DocumentSearch/DocumentDetail?doc_id=2016072100141001" target="_blank"&gt;Public Record Only&lt;/a&gt;</t>
  </si>
  <si>
    <t>&lt;a href="http://a836-acris.nyc.gov/DS/DocumentSearch/DocumentDetail?doc_id=2021050401341001" target="_blank"&gt;Public Record Only&lt;/a&gt;</t>
  </si>
  <si>
    <t>&lt;a href="http://a836-acris.nyc.gov/DS/DocumentSearch/DocumentDetail?doc_id=2021060101147001" target="_blank"&gt;Public Record Only&lt;/a&gt;</t>
  </si>
  <si>
    <t>&lt;a href="http://a836-acris.nyc.gov/DS/DocumentSearch/DocumentDetail?doc_id=2021062200826001" target="_blank"&gt;Public Record Only&lt;/a&gt;</t>
  </si>
  <si>
    <t>&lt;a href="http://a836-acris.nyc.gov/DS/DocumentSearch/DocumentDetail?doc_id=2021070100015003" target="_blank"&gt;Public Record Only&lt;/a&gt;</t>
  </si>
  <si>
    <t>&lt;a href="http://a836-acris.nyc.gov/DS/DocumentSearch/DocumentDetail?doc_id=2021062600051001" target="_blank"&gt;Public Record Only&lt;/a&gt;</t>
  </si>
  <si>
    <t>&lt;a href="http://a836-acris.nyc.gov/DS/DocumentSearch/DocumentDetail?doc_id=2021071300336001" target="_blank"&gt;Public Record Only&lt;/a&gt;</t>
  </si>
  <si>
    <t>&lt;a href="http://a836-acris.nyc.gov/DS/DocumentSearch/DocumentDetail?doc_id=2021080700057001" target="_blank"&gt;Public Record Only&lt;/a&gt;</t>
  </si>
  <si>
    <t>&lt;a href="http://a836-acris.nyc.gov/DS/DocumentSearch/DocumentDetail?doc_id=2019060200016004" target="_blank"&gt;Verified by Public Record&lt;/a&gt;</t>
  </si>
  <si>
    <t>&lt;a href="http://a836-acris.nyc.gov/DS/DocumentSearch/DocumentDetail?doc_id=2018011900143001" target="_blank"&gt;Verified by Public Record&lt;/a&gt;</t>
  </si>
  <si>
    <t>&lt;a href="http://a836-acris.nyc.gov/DS/DocumentSearch/DocumentDetail?doc_id=2021062500676001" target="_blank"&gt;Verified by Public Record&lt;/a&gt;</t>
  </si>
  <si>
    <t>&lt;a href="http://a836-acris.nyc.gov/DS/DocumentSearch/DocumentDetail?doc_id=2021071200221003" target="_blank"&gt;Verified by Public Record&lt;/a&gt;</t>
  </si>
  <si>
    <t>&lt;a href="http://a836-acris.nyc.gov/DS/DocumentSearch/DocumentDetail?doc_id=2021051400443001" target="_blank"&gt;Public Record Only&lt;/a&gt;</t>
  </si>
  <si>
    <t>&lt;a href="http://a836-acris.nyc.gov/DS/DocumentSearch/DocumentDetail?doc_id=2021070200315001" target="_blank"&gt;Public Record Only&lt;/a&gt;</t>
  </si>
  <si>
    <t>&lt;a href="http://a836-acris.nyc.gov/DS/DocumentSearch/DocumentDetail?doc_id=2021051400852001" target="_blank"&gt;Public Record Only&lt;/a&gt;</t>
  </si>
  <si>
    <t>&lt;a href="http://a836-acris.nyc.gov/DS/DocumentSearch/DocumentDetail?doc_id=2016022000091001" target="_blank"&gt;Public Record Only&lt;/a&gt;</t>
  </si>
  <si>
    <t>&lt;a href="http://a836-acris.nyc.gov/DS/DocumentSearch/DocumentDetail?doc_id=2020040200206001" target="_blank"&gt;Verified by Public Record&lt;/a&gt;</t>
  </si>
  <si>
    <t>&lt;a href="http://a836-acris.nyc.gov/DS/DocumentSearch/DocumentDetail?doc_id=2019060300702001" target="_blank"&gt;Verified by Public Record&lt;/a&gt;</t>
  </si>
  <si>
    <t>&lt;a href="http://a836-acris.nyc.gov/DS/DocumentSearch/DocumentDetail?doc_id=2019052100285001" target="_blank"&gt;Verified by Public Record&lt;/a&gt;</t>
  </si>
  <si>
    <t>&lt;a href="http://a836-acris.nyc.gov/DS/DocumentSearch/DocumentDetail?doc_id=2020052700282004" target="_blank"&gt;Verified by Public Record&lt;/a&gt;</t>
  </si>
  <si>
    <t>&lt;a href="http://a836-acris.nyc.gov/DS/DocumentSearch/DocumentDetail?doc_id=2018040500971001" target="_blank"&gt;Verified by Public Record&lt;/a&gt;</t>
  </si>
  <si>
    <t>&lt;a href="http://a836-acris.nyc.gov/DS/DocumentSearch/DocumentDetail?doc_id=2016112800581001" target="_blank"&gt;Public Record Only&lt;/a&gt;</t>
  </si>
  <si>
    <t>&lt;a href="http://a836-acris.nyc.gov/DS/DocumentSearch/DocumentDetail?doc_id=2021050401383001" target="_blank"&gt;Public Record Only&lt;/a&gt;</t>
  </si>
  <si>
    <t>&lt;a href="http://a836-acris.nyc.gov/DS/DocumentSearch/DocumentDetail?doc_id=2021061500889001" target="_blank"&gt;Public Record Only&lt;/a&gt;</t>
  </si>
  <si>
    <t>&lt;a href="http://a836-acris.nyc.gov/DS/DocumentSearch/DocumentDetail?doc_id=2021070801095001" target="_blank"&gt;Public Record Only&lt;/a&gt;</t>
  </si>
  <si>
    <t>&lt;a href="http://a836-acris.nyc.gov/DS/DocumentSearch/DocumentDetail?doc_id=2021070801013001" target="_blank"&gt;Public Record Only&lt;/a&gt;</t>
  </si>
  <si>
    <t>&lt;a href="http://a836-acris.nyc.gov/DS/DocumentSearch/DocumentDetail?doc_id=2021081000861001" target="_blank"&gt;Public Record Only&lt;/a&gt;</t>
  </si>
  <si>
    <t>&lt;a href="http://a836-acris.nyc.gov/DS/DocumentSearch/DocumentDetail?doc_id=2019061700210001" target="_blank"&gt;Verified by Public Record&lt;/a&gt;</t>
  </si>
  <si>
    <t>&lt;a href="http://a836-acris.nyc.gov/DS/DocumentSearch/DocumentDetail?doc_id=2019032200362002" target="_blank"&gt;Public Record Only&lt;/a&gt;</t>
  </si>
  <si>
    <t>&lt;a href="http://a836-acris.nyc.gov/DS/DocumentSearch/DocumentDetail?doc_id=2016050601134002" target="_blank"&gt;Public Record Only&lt;/a&gt;</t>
  </si>
  <si>
    <t>&lt;a href="http://a836-acris.nyc.gov/DS/DocumentSearch/DocumentDetail?doc_id=2016012200830001" target="_blank"&gt;Public Record Only&lt;/a&gt;</t>
  </si>
  <si>
    <t>&lt;a href="http://a836-acris.nyc.gov/DS/DocumentSearch/DocumentDetail?doc_id=2016012701099001" target="_blank"&gt;Public Record Only&lt;/a&gt;</t>
  </si>
  <si>
    <t>&lt;a href="http://a836-acris.nyc.gov/DS/DocumentSearch/DocumentDetail?doc_id=2020051200069001" target="_blank"&gt;Verified by Public Record&lt;/a&gt;</t>
  </si>
  <si>
    <t>&lt;a href="http://a836-acris.nyc.gov/DS/DocumentSearch/DocumentDetail?doc_id=2021070600114001" target="_blank"&gt;Public Record Only&lt;/a&gt;</t>
  </si>
  <si>
    <t>&lt;a href="http://a836-acris.nyc.gov/DS/DocumentSearch/DocumentDetail?doc_id=2021071300761001" target="_blank"&gt;Public Record Only&lt;/a&gt;</t>
  </si>
  <si>
    <t>&lt;a href="http://a836-acris.nyc.gov/DS/DocumentSearch/DocumentDetail?doc_id=2017110100215001" target="_blank"&gt;Verified by Public Record&lt;/a&gt;</t>
  </si>
  <si>
    <t>&lt;a href="http://a836-acris.nyc.gov/DS/DocumentSearch/DocumentDetail?doc_id=2017103001672001" target="_blank"&gt;Verified by Public Record&lt;/a&gt;</t>
  </si>
  <si>
    <t>&lt;a href="http://a836-acris.nyc.gov/DS/DocumentSearch/DocumentDetail?doc_id=2016031600696001" target="_blank"&gt;Public Record Only&lt;/a&gt;</t>
  </si>
  <si>
    <t>&lt;a href="http://a836-acris.nyc.gov/DS/DocumentSearch/DocumentDetail?doc_id=2018031200969001" target="_blank"&gt;Verified by Public Record&lt;/a&gt;</t>
  </si>
  <si>
    <t>&lt;a href="http://a836-acris.nyc.gov/DS/DocumentSearch/DocumentDetail?doc_id=2019041601177001" target="_blank"&gt;Verified by Public Record&lt;/a&gt;</t>
  </si>
  <si>
    <t>&lt;a href="http://a836-acris.nyc.gov/DS/DocumentSearch/DocumentDetail?doc_id=2021061400442002" target="_blank"&gt;Public Record Only&lt;/a&gt;</t>
  </si>
  <si>
    <t>&lt;a href="http://a836-acris.nyc.gov/DS/DocumentSearch/DocumentDetail?doc_id=2021070500012001" target="_blank"&gt;Public Record Only&lt;/a&gt;</t>
  </si>
  <si>
    <t>&lt;a href="http://a836-acris.nyc.gov/DS/DocumentSearch/DocumentDetail?doc_id=2021070900373001" target="_blank"&gt;Public Record Only&lt;/a&gt;</t>
  </si>
  <si>
    <t>&lt;a href="http://a836-acris.nyc.gov/DS/DocumentSearch/DocumentDetail?doc_id=2021071300441001" target="_blank"&gt;Public Record Only&lt;/a&gt;</t>
  </si>
  <si>
    <t>&lt;a href="http://a836-acris.nyc.gov/DS/DocumentSearch/DocumentDetail?doc_id=2021072601137001" target="_blank"&gt;Public Record Only&lt;/a&gt;</t>
  </si>
  <si>
    <t>&lt;a href="http://a836-acris.nyc.gov/DS/DocumentSearch/DocumentDetail?doc_id=2015073001261001" target="_blank"&gt;Verified by Public Record&lt;/a&gt;</t>
  </si>
  <si>
    <t>&lt;a href="http://a836-acris.nyc.gov/DS/DocumentSearch/DocumentDetail?doc_id=2020111801260001" target="_blank"&gt;Verified by Public Record&lt;/a&gt;</t>
  </si>
  <si>
    <t>&lt;a href="http://a836-acris.nyc.gov/DS/DocumentSearch/DocumentDetail?doc_id=2016022300291001" target="_blank"&gt;Public Record Only&lt;/a&gt;</t>
  </si>
  <si>
    <t>&lt;a href="http://a836-acris.nyc.gov/DS/DocumentSearch/DocumentDetail?doc_id=2019070200280003" target="_blank"&gt;Public Record Only&lt;/a&gt;</t>
  </si>
  <si>
    <t>&lt;a href="http://a836-acris.nyc.gov/DS/DocumentSearch/DocumentDetail?doc_id=2015123000934001" target="_blank"&gt;Public Record Only&lt;/a&gt;</t>
  </si>
  <si>
    <t>&lt;a href="http://a836-acris.nyc.gov/DS/DocumentSearch/DocumentDetail?doc_id=2021030401182001" target="_blank"&gt;Verified by Public Record&lt;/a&gt;</t>
  </si>
  <si>
    <t>&lt;a href="http://a836-acris.nyc.gov/DS/DocumentSearch/DocumentDetail?doc_id=2019091200877004" target="_blank"&gt;Verified by Public Record&lt;/a&gt;</t>
  </si>
  <si>
    <t>&lt;a href="http://a836-acris.nyc.gov/DS/DocumentSearch/DocumentDetail?doc_id=2019092600398004" target="_blank"&gt;Verified by Public Record&lt;/a&gt;</t>
  </si>
  <si>
    <t>&lt;a href="http://a836-acris.nyc.gov/DS/DocumentSearch/DocumentDetail?doc_id=2019070900556002" target="_blank"&gt;Verified by Public Record&lt;/a&gt;</t>
  </si>
  <si>
    <t>&lt;a href="http://a836-acris.nyc.gov/DS/DocumentSearch/DocumentDetail?doc_id=2015071400082001" target="_blank"&gt;Verified by Public Record&lt;/a&gt;</t>
  </si>
  <si>
    <t>&lt;a href="http://a836-acris.nyc.gov/DS/DocumentSearch/DocumentDetail?doc_id=2015070901501001" target="_blank"&gt;Verified by Public Record&lt;/a&gt;</t>
  </si>
  <si>
    <t>&lt;a href="http://a836-acris.nyc.gov/DS/DocumentSearch/DocumentDetail?doc_id=2016020100691007" target="_blank"&gt;Verified by Public Record&lt;/a&gt;</t>
  </si>
  <si>
    <t>&lt;a href="http://a836-acris.nyc.gov/DS/DocumentSearch/DocumentDetail?doc_id=2015073101367001" target="_blank"&gt;Verified by Public Record&lt;/a&gt;</t>
  </si>
  <si>
    <t>&lt;a href="http://a836-acris.nyc.gov/DS/DocumentSearch/DocumentDetail?doc_id=2018020101949001" target="_blank"&gt;Public Record Only&lt;/a&gt;</t>
  </si>
  <si>
    <t>&lt;a href="http://a836-acris.nyc.gov/DS/DocumentSearch/DocumentDetail?doc_id=2016020100598001" target="_blank"&gt;Public Record Only&lt;/a&gt;</t>
  </si>
  <si>
    <t>&lt;a href="http://a836-acris.nyc.gov/DS/DocumentSearch/DocumentDetail?doc_id=2019061701107003" target="_blank"&gt;Public Record Only&lt;/a&gt;</t>
  </si>
  <si>
    <t>&lt;a href="http://a836-acris.nyc.gov/DS/DocumentSearch/DocumentDetail?doc_id=2020121101156001" target="_blank"&gt;Verified by Public Record&lt;/a&gt;</t>
  </si>
  <si>
    <t>&lt;a href="http://a836-acris.nyc.gov/DS/DocumentSearch/DocumentDetail?doc_id=2015062600056009" target="_blank"&gt;Verified by Public Record&lt;/a&gt;</t>
  </si>
  <si>
    <t>&lt;a href="http://a836-acris.nyc.gov/DS/DocumentSearch/DocumentDetail?doc_id=2015072000984001" target="_blank"&gt;Verified by Public Record&lt;/a&gt;</t>
  </si>
  <si>
    <t>&lt;a href="http://a836-acris.nyc.gov/DS/DocumentSearch/DocumentDetail?doc_id=2020041500349001" target="_blank"&gt;Verified by Public Record&lt;/a&gt;</t>
  </si>
  <si>
    <t>&lt;a href="http://a836-acris.nyc.gov/DS/DocumentSearch/DocumentDetail?doc_id=2020091700114004" target="_blank"&gt;Verified by Public Record&lt;/a&gt;</t>
  </si>
  <si>
    <t>&lt;a href="http://a836-acris.nyc.gov/DS/DocumentSearch/DocumentDetail?doc_id=2020030200335003" target="_blank"&gt;Verified by Public Record&lt;/a&gt;</t>
  </si>
  <si>
    <t>&lt;a href="http://a836-acris.nyc.gov/DS/DocumentSearch/DocumentDetail?doc_id=2019082700928002" target="_blank"&gt;Verified by Public Record&lt;/a&gt;</t>
  </si>
  <si>
    <t>&lt;a href="http://a836-acris.nyc.gov/DS/DocumentSearch/DocumentDetail?doc_id=2020033100053002" target="_blank"&gt;Verified by Public Record&lt;/a&gt;</t>
  </si>
  <si>
    <t>&lt;a href="http://a836-acris.nyc.gov/DS/DocumentSearch/DocumentDetail?doc_id=2020011301063001" target="_blank"&gt;Verified by Public Record&lt;/a&gt;</t>
  </si>
  <si>
    <t>&lt;a href="http://a836-acris.nyc.gov/DS/DocumentSearch/DocumentDetail?doc_id=2017100200613001" target="_blank"&gt;Verified by Public Record&lt;/a&gt;</t>
  </si>
  <si>
    <t>&lt;a href="http://a836-acris.nyc.gov/DS/DocumentSearch/DocumentDetail?doc_id=2015072400594007" target="_blank"&gt;Verified by Public Record&lt;/a&gt;</t>
  </si>
  <si>
    <t>&lt;a href="http://a836-acris.nyc.gov/DS/DocumentSearch/DocumentDetail?doc_id=2016082300732001" target="_blank"&gt;Public Record Only&lt;/a&gt;</t>
  </si>
  <si>
    <t>&lt;a href="http://a836-acris.nyc.gov/DS/DocumentSearch/DocumentDetail?doc_id=2021061001078001" target="_blank"&gt;Public Record Only&lt;/a&gt;</t>
  </si>
  <si>
    <t>&lt;a href="http://a836-acris.nyc.gov/DS/DocumentSearch/DocumentDetail?doc_id=2021063001287007" target="_blank"&gt;Public Record Only&lt;/a&gt;</t>
  </si>
  <si>
    <t>&lt;a href="http://a836-acris.nyc.gov/DS/DocumentSearch/DocumentDetail?doc_id=2021071300411001" target="_blank"&gt;Public Record Only&lt;/a&gt;</t>
  </si>
  <si>
    <t>&lt;a href="http://a836-acris.nyc.gov/DS/DocumentSearch/DocumentDetail?doc_id=2021072201286001" target="_blank"&gt;Public Record Only&lt;/a&gt;</t>
  </si>
  <si>
    <t>&lt;a href="http://a836-acris.nyc.gov/DS/DocumentSearch/DocumentDetail?doc_id=2021062800453001" target="_blank"&gt;Public Record Only&lt;/a&gt;</t>
  </si>
  <si>
    <t>&lt;a href="http://a836-acris.nyc.gov/DS/DocumentSearch/DocumentDetail?doc_id=2021072601169003" target="_blank"&gt;Public Record Only&lt;/a&gt;</t>
  </si>
  <si>
    <t>&lt;a href="http://a836-acris.nyc.gov/DS/DocumentSearch/DocumentDetail?doc_id=2021081001130001" target="_blank"&gt;Public Record Only&lt;/a&gt;</t>
  </si>
  <si>
    <t>&lt;a href="http://a836-acris.nyc.gov/DS/DocumentSearch/DocumentDetail?doc_id=2018102400823001" target="_blank"&gt;Public Record Only&lt;/a&gt;</t>
  </si>
  <si>
    <t>&lt;a href="http://a836-acris.nyc.gov/DS/DocumentSearch/DocumentDetail?doc_id=2015070700779003" target="_blank"&gt;Verified by Public Record&lt;/a&gt;</t>
  </si>
  <si>
    <t>&lt;a href="http://a836-acris.nyc.gov/DS/DocumentSearch/DocumentDetail?doc_id=2020042900195001" target="_blank"&gt;Verified by Public Record&lt;/a&gt;</t>
  </si>
  <si>
    <t>&lt;a href="http://a836-acris.nyc.gov/DS/DocumentSearch/DocumentDetail?doc_id=2018012500662001" target="_blank"&gt;Verified by Public Record&lt;/a&gt;</t>
  </si>
  <si>
    <t>&lt;a href="http://a836-acris.nyc.gov/DS/DocumentSearch/DocumentDetail?doc_id=2018021200168003" target="_blank"&gt;Verified by Public Record&lt;/a&gt;</t>
  </si>
  <si>
    <t>&lt;a href="http://a836-acris.nyc.gov/DS/DocumentSearch/DocumentDetail?doc_id=2021072001174001" target="_blank"&gt;Public Record Only&lt;/a&gt;</t>
  </si>
  <si>
    <t>&lt;a href="http://a836-acris.nyc.gov/DS/DocumentSearch/DocumentDetail?doc_id=2020031600888001" target="_blank"&gt;Verified by Public Record&lt;/a&gt;</t>
  </si>
  <si>
    <t>&lt;a href="http://a836-acris.nyc.gov/DS/DocumentSearch/DocumentDetail?doc_id=2015070800456002" target="_blank"&gt;Verified by Public Record&lt;/a&gt;</t>
  </si>
  <si>
    <t>&lt;a href="http://a836-acris.nyc.gov/DS/DocumentSearch/DocumentDetail?doc_id=2020040300348001" target="_blank"&gt;Public Record Only&lt;/a&gt;</t>
  </si>
  <si>
    <t>&lt;a href="http://a836-acris.nyc.gov/DS/DocumentSearch/DocumentDetail?doc_id=2021081001446001" target="_blank"&gt;Public Record Only&lt;/a&gt;</t>
  </si>
  <si>
    <t>&lt;a href="http://a836-acris.nyc.gov/DS/DocumentSearch/DocumentDetail?doc_id=2021052400420001" target="_blank"&gt;Verified by Public Record&lt;/a&gt;</t>
  </si>
  <si>
    <t>&lt;a href="http://a836-acris.nyc.gov/DS/DocumentSearch/DocumentDetail?doc_id=2018062501134002" target="_blank"&gt;Verified by Public Record&lt;/a&gt;</t>
  </si>
  <si>
    <t>&lt;a href="http://a836-acris.nyc.gov/DS/DocumentSearch/DocumentDetail?doc_id=2015072101206001" target="_blank"&gt;Verified by Public Record&lt;/a&gt;</t>
  </si>
  <si>
    <t>&lt;a href="http://a836-acris.nyc.gov/DS/DocumentSearch/DocumentDetail?doc_id=2017021500399001" target="_blank"&gt;Verified by Public Record&lt;/a&gt;</t>
  </si>
  <si>
    <t>&lt;a href="http://a836-acris.nyc.gov/DS/DocumentSearch/DocumentDetail?doc_id=2015091701615001" target="_blank"&gt;Verified by Public Record&lt;/a&gt;</t>
  </si>
  <si>
    <t>&lt;a href="http://a836-acris.nyc.gov/DS/DocumentSearch/DocumentDetail?doc_id=2015081300617002" target="_blank"&gt;Verified by Public Record&lt;/a&gt;</t>
  </si>
  <si>
    <t>&lt;a href="http://a836-acris.nyc.gov/DS/DocumentSearch/DocumentDetail?doc_id=2015062500340008" target="_blank"&gt;Verified by Public Record&lt;/a&gt;</t>
  </si>
  <si>
    <t>&lt;a href="http://a836-acris.nyc.gov/DS/DocumentSearch/DocumentDetail?doc_id=2016050400994001" target="_blank"&gt;Verified by Public Record&lt;/a&gt;</t>
  </si>
  <si>
    <t>&lt;a href="http://a836-acris.nyc.gov/DS/DocumentSearch/DocumentDetail?doc_id=2015111700438001" target="_blank"&gt;Verified by Public Record&lt;/a&gt;</t>
  </si>
  <si>
    <t>&lt;a href="http://a836-acris.nyc.gov/DS/DocumentSearch/DocumentDetail?doc_id=2016091300641001" target="_blank"&gt;Verified by Public Record&lt;/a&gt;</t>
  </si>
  <si>
    <t>&lt;a href="http://a836-acris.nyc.gov/DS/DocumentSearch/DocumentDetail?doc_id=2015062900736007" target="_blank"&gt;Verified by Public Record&lt;/a&gt;</t>
  </si>
  <si>
    <t>&lt;a href="http://a836-acris.nyc.gov/DS/DocumentSearch/DocumentDetail?doc_id=2015121800689001" target="_blank"&gt;Verified by Public Record&lt;/a&gt;</t>
  </si>
  <si>
    <t>&lt;a href="http://a836-acris.nyc.gov/DS/DocumentSearch/DocumentDetail?doc_id=2016052501156001" target="_blank"&gt;Verified by Public Record&lt;/a&gt;</t>
  </si>
  <si>
    <t>&lt;a href="http://a836-acris.nyc.gov/DS/DocumentSearch/DocumentDetail?doc_id=2016060900994005" target="_blank"&gt;Verified by Public Record&lt;/a&gt;</t>
  </si>
  <si>
    <t>&lt;a href="http://a836-acris.nyc.gov/DS/DocumentSearch/DocumentDetail?doc_id=2017020100017001" target="_blank"&gt;Verified by Public Record&lt;/a&gt;</t>
  </si>
  <si>
    <t>&lt;a href="http://a836-acris.nyc.gov/DS/DocumentSearch/DocumentDetail?doc_id=2015072300354003" target="_blank"&gt;Verified by Public Record&lt;/a&gt;</t>
  </si>
  <si>
    <t>&lt;a href="http://a836-acris.nyc.gov/DS/DocumentSearch/DocumentDetail?doc_id=2017031001534001" target="_blank"&gt;Verified by Public Record&lt;/a&gt;</t>
  </si>
  <si>
    <t>&lt;a href="http://a836-acris.nyc.gov/DS/DocumentSearch/DocumentDetail?doc_id=2015081100271001" target="_blank"&gt;Verified by Public Record&lt;/a&gt;</t>
  </si>
  <si>
    <t>&lt;a href="http://a836-acris.nyc.gov/DS/DocumentSearch/DocumentDetail?doc_id=2021012001311002" target="_blank"&gt;Verified by Public Record&lt;/a&gt;</t>
  </si>
  <si>
    <t>&lt;a href="http://a836-acris.nyc.gov/DS/DocumentSearch/DocumentDetail?doc_id=2018031300730001" target="_blank"&gt;Public Record Only&lt;/a&gt;</t>
  </si>
  <si>
    <t>&lt;a href="http://a836-acris.nyc.gov/DS/DocumentSearch/DocumentDetail?doc_id=2016080300877005" target="_blank"&gt;Verified by Public Record&lt;/a&gt;</t>
  </si>
  <si>
    <t>&lt;a href="http://a836-acris.nyc.gov/DS/DocumentSearch/DocumentDetail?doc_id=2016022400154001" target="_blank"&gt;Verified by Public Record&lt;/a&gt;</t>
  </si>
  <si>
    <t>&lt;a href="http://a836-acris.nyc.gov/DS/DocumentSearch/DocumentDetail?doc_id=2016053100301003" target="_blank"&gt;Verified by Public Record&lt;/a&gt;</t>
  </si>
  <si>
    <t>&lt;a href="http://a836-acris.nyc.gov/DS/DocumentSearch/DocumentDetail?doc_id=2016080200454001" target="_blank"&gt;Verified by Public Record&lt;/a&gt;</t>
  </si>
  <si>
    <t>&lt;a href="http://a836-acris.nyc.gov/DS/DocumentSearch/DocumentDetail?doc_id=2018041700330001" target="_blank"&gt;Verified by Public Record&lt;/a&gt;</t>
  </si>
  <si>
    <t>&lt;a href="http://a836-acris.nyc.gov/DS/DocumentSearch/DocumentDetail?doc_id=2017101200772002" target="_blank"&gt;Verified by Public Record&lt;/a&gt;</t>
  </si>
  <si>
    <t>&lt;a href="http://a836-acris.nyc.gov/DS/DocumentSearch/DocumentDetail?doc_id=2017060801177001" target="_blank"&gt;Verified by Public Record&lt;/a&gt;</t>
  </si>
  <si>
    <t>&lt;a href="http://a836-acris.nyc.gov/DS/DocumentSearch/DocumentDetail?doc_id=2015080401570001" target="_blank"&gt;Verified by Public Record&lt;/a&gt;</t>
  </si>
  <si>
    <t>&lt;a href="http://a836-acris.nyc.gov/DS/DocumentSearch/DocumentDetail?doc_id=2017011701148005" target="_blank"&gt;Verified by Public Record&lt;/a&gt;</t>
  </si>
  <si>
    <t>&lt;a href="http://a836-acris.nyc.gov/DS/DocumentSearch/DocumentDetail?doc_id=2016120200156001" target="_blank"&gt;Verified by Public Record&lt;/a&gt;</t>
  </si>
  <si>
    <t>&lt;a href="http://a836-acris.nyc.gov/DS/DocumentSearch/DocumentDetail?doc_id=2021061100249001" target="_blank"&gt;Public Record Only&lt;/a&gt;</t>
  </si>
  <si>
    <t>&lt;a href="http://a836-acris.nyc.gov/DS/DocumentSearch/DocumentDetail?doc_id=2021070800489004" target="_blank"&gt;Public Record Only&lt;/a&gt;</t>
  </si>
  <si>
    <t>&lt;a href="http://a836-acris.nyc.gov/DS/DocumentSearch/DocumentDetail?doc_id=2021071501841001" target="_blank"&gt;Public Record Only&lt;/a&gt;</t>
  </si>
  <si>
    <t>&lt;a href="http://a836-acris.nyc.gov/DS/DocumentSearch/DocumentDetail?doc_id=2021070200224009" target="_blank"&gt;Public Record Only&lt;/a&gt;</t>
  </si>
  <si>
    <t>&lt;a href="http://a836-acris.nyc.gov/DS/DocumentSearch/DocumentDetail?doc_id=2021071500002001" target="_blank"&gt;Public Record Only&lt;/a&gt;</t>
  </si>
  <si>
    <t>&lt;a href="http://a836-acris.nyc.gov/DS/DocumentSearch/DocumentDetail?doc_id=2021051201344001" target="_blank"&gt;Verified by Public Record&lt;/a&gt;</t>
  </si>
  <si>
    <t>&lt;a href="http://a836-acris.nyc.gov/DS/DocumentSearch/DocumentDetail?doc_id=2021042200179003" target="_blank"&gt;Verified by Public Record&lt;/a&gt;</t>
  </si>
  <si>
    <t>Balcony
Juliet Balcony
Deck
Roof Deck
Common Roof Deck</t>
  </si>
  <si>
    <t>&lt;a href="http://a836-acris.nyc.gov/DS/DocumentSearch/DocumentDetail?doc_id=2021072201173003" target="_blank"&gt;Verified by Public Record&lt;/a&gt;</t>
  </si>
  <si>
    <t>&lt;a href="http://a836-acris.nyc.gov/DS/DocumentSearch/DocumentDetail?doc_id=2021052700698001" target="_blank"&gt;Public Record Only&lt;/a&gt;</t>
  </si>
  <si>
    <t>&lt;a href="http://a836-acris.nyc.gov/DS/DocumentSearch/DocumentDetail?doc_id=2018050200550001" target="_blank"&gt;Verified by Public Record&lt;/a&gt;</t>
  </si>
  <si>
    <t>&lt;a href="http://a836-acris.nyc.gov/DS/DocumentSearch/DocumentDetail?doc_id=2018082600019001" target="_blank"&gt;Verified by Public Record&lt;/a&gt;</t>
  </si>
  <si>
    <t>&lt;a href="http://a836-acris.nyc.gov/DS/DocumentSearch/DocumentDetail?doc_id=2021062100512001" target="_blank"&gt;Verified by Public Record&lt;/a&gt;</t>
  </si>
  <si>
    <t>&lt;a href="http://a836-acris.nyc.gov/DS/DocumentSearch/DocumentDetail?doc_id=2018061200359001" target="_blank"&gt;Verified by Public Record&lt;/a&gt;</t>
  </si>
  <si>
    <t>&lt;a href="http://a836-acris.nyc.gov/DS/DocumentSearch/DocumentDetail?doc_id=2018042000673001" target="_blank"&gt;Verified by Public Record&lt;/a&gt;</t>
  </si>
  <si>
    <t>&lt;a href="http://a836-acris.nyc.gov/DS/DocumentSearch/DocumentDetail?doc_id=2021070600515001" target="_blank"&gt;Verified by Public Record&lt;/a&gt;</t>
  </si>
  <si>
    <t>&lt;a href="http://a836-acris.nyc.gov/DS/DocumentSearch/DocumentDetail?doc_id=2017103001737002" target="_blank"&gt;Public Record Only&lt;/a&gt;</t>
  </si>
  <si>
    <t>&lt;a href="http://a836-acris.nyc.gov/DS/DocumentSearch/DocumentDetail?doc_id=2016102701050001" target="_blank"&gt;Verified by Public Record&lt;/a&gt;</t>
  </si>
  <si>
    <t>&lt;a href="http://a836-acris.nyc.gov/DS/DocumentSearch/DocumentDetail?doc_id=2017122700557001" target="_blank"&gt;Verified by Public Record&lt;/a&gt;</t>
  </si>
  <si>
    <t>&lt;a href="http://a836-acris.nyc.gov/DS/DocumentSearch/DocumentDetail?doc_id=2018081000686001" target="_blank"&gt;Verified by Public Record&lt;/a&gt;</t>
  </si>
  <si>
    <t>&lt;a href="http://a836-acris.nyc.gov/DS/DocumentSearch/DocumentDetail?doc_id=2021070500046001" target="_blank"&gt;Verified by Public Record&lt;/a&gt;</t>
  </si>
  <si>
    <t>&lt;a href="http://a836-acris.nyc.gov/DS/DocumentSearch/DocumentDetail?doc_id=2015091801106001" target="_blank"&gt;Verified by Public Record&lt;/a&gt;</t>
  </si>
  <si>
    <t>&lt;a href="http://a836-acris.nyc.gov/DS/DocumentSearch/DocumentDetail?doc_id=2015072300902002" target="_blank"&gt;Verified by Public Record&lt;/a&gt;</t>
  </si>
  <si>
    <t>&lt;a href="http://a836-acris.nyc.gov/DS/DocumentSearch/DocumentDetail?doc_id=2021040901037001" target="_blank"&gt;Verified by Public Record&lt;/a&gt;</t>
  </si>
  <si>
    <t>&lt;a href="http://a836-acris.nyc.gov/DS/DocumentSearch/DocumentDetail?doc_id=2021052700381001" target="_blank"&gt;Verified by Public Record&lt;/a&gt;</t>
  </si>
  <si>
    <t>&lt;a href="http://a836-acris.nyc.gov/DS/DocumentSearch/DocumentDetail?doc_id=2021022500489001" target="_blank"&gt;Verified by Public Record&lt;/a&gt;</t>
  </si>
  <si>
    <t>&lt;a href="http://a836-acris.nyc.gov/DS/DocumentSearch/DocumentDetail?doc_id=2019031500973001" target="_blank"&gt;Verified by Public Record&lt;/a&gt;</t>
  </si>
  <si>
    <t>&lt;a href="http://a836-acris.nyc.gov/DS/DocumentSearch/DocumentDetail?doc_id=2019050300988002" target="_blank"&gt;Verified by Public Record&lt;/a&gt;</t>
  </si>
  <si>
    <t>&lt;a href="http://a836-acris.nyc.gov/DS/DocumentSearch/DocumentDetail?doc_id=2019081500633001" target="_blank"&gt;Verified by Public Record&lt;/a&gt;</t>
  </si>
  <si>
    <t>&lt;a href="http://a836-acris.nyc.gov/DS/DocumentSearch/DocumentDetail?doc_id=2019111901592001" target="_blank"&gt;Verified by Public Record&lt;/a&gt;</t>
  </si>
  <si>
    <t>&lt;a href="http://a836-acris.nyc.gov/DS/DocumentSearch/DocumentDetail?doc_id=2019102900392001" target="_blank"&gt;Verified by Public Record&lt;/a&gt;</t>
  </si>
  <si>
    <t>&lt;a href="http://a836-acris.nyc.gov/DS/DocumentSearch/DocumentDetail?doc_id=2019051301090001" target="_blank"&gt;Verified by Public Record&lt;/a&gt;</t>
  </si>
  <si>
    <t>&lt;a href="http://a836-acris.nyc.gov/DS/DocumentSearch/DocumentDetail?doc_id=2019041900358001" target="_blank"&gt;Verified by Public Record&lt;/a&gt;</t>
  </si>
  <si>
    <t>&lt;a href="http://a836-acris.nyc.gov/DS/DocumentSearch/DocumentDetail?doc_id=2019061700345001" target="_blank"&gt;Verified by Public Record&lt;/a&gt;</t>
  </si>
  <si>
    <t>&lt;a href="http://a836-acris.nyc.gov/DS/DocumentSearch/DocumentDetail?doc_id=2019032600965001" target="_blank"&gt;Verified by Public Record&lt;/a&gt;</t>
  </si>
  <si>
    <t>&lt;a href="http://a836-acris.nyc.gov/DS/DocumentSearch/DocumentDetail?doc_id=2019032600708001" target="_blank"&gt;Verified by Public Record&lt;/a&gt;</t>
  </si>
  <si>
    <t>&lt;a href="http://a836-acris.nyc.gov/DS/DocumentSearch/DocumentDetail?doc_id=2019081500555002" target="_blank"&gt;Verified by Public Record&lt;/a&gt;</t>
  </si>
  <si>
    <t>&lt;a href="http://a836-acris.nyc.gov/DS/DocumentSearch/DocumentDetail?doc_id=2019032900104001" target="_blank"&gt;Verified by Public Record&lt;/a&gt;</t>
  </si>
  <si>
    <t>&lt;a href="http://a836-acris.nyc.gov/DS/DocumentSearch/DocumentDetail?doc_id=2019031500427001" target="_blank"&gt;Verified by Public Record&lt;/a&gt;</t>
  </si>
  <si>
    <t>&lt;a href="http://a836-acris.nyc.gov/DS/DocumentSearch/DocumentDetail?doc_id=2019031900412001" target="_blank"&gt;Verified by Public Record&lt;/a&gt;</t>
  </si>
  <si>
    <t>&lt;a href="http://a836-acris.nyc.gov/DS/DocumentSearch/DocumentDetail?doc_id=2019022100324001" target="_blank"&gt;Verified by Public Record&lt;/a&gt;</t>
  </si>
  <si>
    <t>&lt;a href="http://a836-acris.nyc.gov/DS/DocumentSearch/DocumentDetail?doc_id=2019031500415002" target="_blank"&gt;Verified by Public Record&lt;/a&gt;</t>
  </si>
  <si>
    <t>&lt;a href="http://a836-acris.nyc.gov/DS/DocumentSearch/DocumentDetail?doc_id=2019031400328001" target="_blank"&gt;Verified by Public Record&lt;/a&gt;</t>
  </si>
  <si>
    <t>&lt;a href="http://a836-acris.nyc.gov/DS/DocumentSearch/DocumentDetail?doc_id=2021030400368001" target="_blank"&gt;Verified by Public Record&lt;/a&gt;</t>
  </si>
  <si>
    <t>&lt;a href="http://a836-acris.nyc.gov/DS/DocumentSearch/DocumentDetail?doc_id=2019042500365001" target="_blank"&gt;Verified by Public Record&lt;/a&gt;</t>
  </si>
  <si>
    <t>&lt;a href="http://a836-acris.nyc.gov/DS/DocumentSearch/DocumentDetail?doc_id=2018071100283001" target="_blank"&gt;Verified by Public Record&lt;/a&gt;</t>
  </si>
  <si>
    <t>&lt;a href="http://a836-acris.nyc.gov/DS/DocumentSearch/DocumentDetail?doc_id=2021070600734001" target="_blank"&gt;Verified by Public Record&lt;/a&gt;</t>
  </si>
  <si>
    <t>&lt;a href="http://a836-acris.nyc.gov/DS/DocumentSearch/DocumentDetail?doc_id=2019091700967002" target="_blank"&gt;Verified by Public Record&lt;/a&gt;</t>
  </si>
  <si>
    <t>&lt;a href="http://a836-acris.nyc.gov/DS/DocumentSearch/DocumentDetail?doc_id=2021072100489001" target="_blank"&gt;Verified by Public Record&lt;/a&gt;</t>
  </si>
  <si>
    <t>&lt;a href="http://a836-acris.nyc.gov/DS/DocumentSearch/DocumentDetail?doc_id=2021031600243003" target="_blank"&gt;Verified by Public Record&lt;/a&gt;</t>
  </si>
  <si>
    <t>&lt;a href="http://a836-acris.nyc.gov/DS/DocumentSearch/DocumentDetail?doc_id=2021042600828001" target="_blank"&gt;Verified by Public Record&lt;/a&gt;</t>
  </si>
  <si>
    <t>&lt;a href="http://a836-acris.nyc.gov/DS/DocumentSearch/DocumentDetail?doc_id=2021042300398004" target="_blank"&gt;Verified by Public Record&lt;/a&gt;</t>
  </si>
  <si>
    <t>&lt;a href="http://a836-acris.nyc.gov/DS/DocumentSearch/DocumentDetail?doc_id=2015082100568001" target="_blank"&gt;Verified by Public Record&lt;/a&gt;</t>
  </si>
  <si>
    <t>&lt;a href="http://a836-acris.nyc.gov/DS/DocumentSearch/DocumentDetail?doc_id=2015120200349002" target="_blank"&gt;Verified by Public Record&lt;/a&gt;</t>
  </si>
  <si>
    <t>&lt;a href="http://a836-acris.nyc.gov/DS/DocumentSearch/DocumentDetail?doc_id=2015121800888001" target="_blank"&gt;Verified by Public Record&lt;/a&gt;</t>
  </si>
  <si>
    <t>&lt;a href="http://a836-acris.nyc.gov/DS/DocumentSearch/DocumentDetail?doc_id=2015072700419001" target="_blank"&gt;Verified by Public Record&lt;/a&gt;</t>
  </si>
  <si>
    <t>&lt;a href="http://a836-acris.nyc.gov/DS/DocumentSearch/DocumentDetail?doc_id=2015080600838001" target="_blank"&gt;Verified by Public Record&lt;/a&gt;</t>
  </si>
  <si>
    <t>&lt;a href="http://a836-acris.nyc.gov/DS/DocumentSearch/DocumentDetail?doc_id=2021062901071002" target="_blank"&gt;Verified by Public Record&lt;/a&gt;</t>
  </si>
  <si>
    <t>&lt;a href="http://a836-acris.nyc.gov/DS/DocumentSearch/DocumentDetail?doc_id=2019091800092002" target="_blank"&gt;Verified by Public Record&lt;/a&gt;</t>
  </si>
  <si>
    <t>&lt;a href="http://a836-acris.nyc.gov/DS/DocumentSearch/DocumentDetail?doc_id=2021020401139001" target="_blank"&gt;Verified by Public Record&lt;/a&gt;</t>
  </si>
  <si>
    <t>&lt;a href="http://a836-acris.nyc.gov/DS/DocumentSearch/DocumentDetail?doc_id=2018010900962001" target="_blank"&gt;Verified by Public Record&lt;/a&gt;</t>
  </si>
  <si>
    <t>&lt;a href="http://a836-acris.nyc.gov/DS/DocumentSearch/DocumentDetail?doc_id=2017112800543001" target="_blank"&gt;Verified by Public Record&lt;/a&gt;</t>
  </si>
  <si>
    <t>&lt;a href="http://a836-acris.nyc.gov/DS/DocumentSearch/DocumentDetail?doc_id=2020061000851001" target="_blank"&gt;Verified by Public Record&lt;/a&gt;</t>
  </si>
  <si>
    <t>&lt;a href="http://a836-acris.nyc.gov/DS/DocumentSearch/DocumentDetail?doc_id=2020060300931003" target="_blank"&gt;Verified by Public Record&lt;/a&gt;</t>
  </si>
  <si>
    <t>&lt;a href="http://a836-acris.nyc.gov/DS/DocumentSearch/DocumentDetail?doc_id=2017040500290001" target="_blank"&gt;Verified by Public Record&lt;/a&gt;</t>
  </si>
  <si>
    <t>&lt;a href="http://a836-acris.nyc.gov/DS/DocumentSearch/DocumentDetail?doc_id=2018051100097001" target="_blank"&gt;Verified by Public Record&lt;/a&gt;</t>
  </si>
  <si>
    <t>&lt;a href="http://a836-acris.nyc.gov/DS/DocumentSearch/DocumentDetail?doc_id=2021061700790002" target="_blank"&gt;Verified by Public Record&lt;/a&gt;</t>
  </si>
  <si>
    <t>&lt;a href="http://a836-acris.nyc.gov/DS/DocumentSearch/DocumentDetail?doc_id=2019053001215001" target="_blank"&gt;Verified by Public Record&lt;/a&gt;</t>
  </si>
  <si>
    <t>&lt;a href="http://a836-acris.nyc.gov/DS/DocumentSearch/DocumentDetail?doc_id=2019042500447003" target="_blank"&gt;Verified by Public Record&lt;/a&gt;</t>
  </si>
  <si>
    <t>&lt;a href="http://a836-acris.nyc.gov/DS/DocumentSearch/DocumentDetail?doc_id=2019110800259001" target="_blank"&gt;Verified by Public Record&lt;/a&gt;</t>
  </si>
  <si>
    <t>&lt;a href="http://a836-acris.nyc.gov/DS/DocumentSearch/DocumentDetail?doc_id=2019110700927002" target="_blank"&gt;Verified by Public Record&lt;/a&gt;</t>
  </si>
  <si>
    <t>&lt;a href="http://a836-acris.nyc.gov/DS/DocumentSearch/DocumentDetail?doc_id=2019110800292002" target="_blank"&gt;Verified by Public Record&lt;/a&gt;</t>
  </si>
  <si>
    <t>&lt;a href="http://a836-acris.nyc.gov/DS/DocumentSearch/DocumentDetail?doc_id=2021072700786001" target="_blank"&gt;Public Record Only&lt;/a&gt;</t>
  </si>
  <si>
    <t>&lt;a href="http://a836-acris.nyc.gov/DS/DocumentSearch/DocumentDetail?doc_id=2019042400284001" target="_blank"&gt;Public Record Only&lt;/a&gt;</t>
  </si>
  <si>
    <t>&lt;a href="http://a836-acris.nyc.gov/DS/DocumentSearch/DocumentDetail?doc_id=2019042401319001" target="_blank"&gt;Public Record Only&lt;/a&gt;</t>
  </si>
  <si>
    <t>&lt;a href="http://a836-acris.nyc.gov/DS/DocumentSearch/DocumentDetail?doc_id=2019050100703002" target="_blank"&gt;Public Record Only&lt;/a&gt;</t>
  </si>
  <si>
    <t>&lt;a href="http://a836-acris.nyc.gov/DS/DocumentSearch/DocumentDetail?doc_id=2019040700002001" target="_blank"&gt;Public Record Only&lt;/a&gt;</t>
  </si>
  <si>
    <t>&lt;a href="http://a836-acris.nyc.gov/DS/DocumentSearch/DocumentDetail?doc_id=2019060300728001" target="_blank"&gt;Public Record Only&lt;/a&gt;</t>
  </si>
  <si>
    <t>&lt;a href="http://a836-acris.nyc.gov/DS/DocumentSearch/DocumentDetail?doc_id=2019040301081001" target="_blank"&gt;Public Record Only&lt;/a&gt;</t>
  </si>
  <si>
    <t>&lt;a href="http://a836-acris.nyc.gov/DS/DocumentSearch/DocumentDetail?doc_id=2019041601107001" target="_blank"&gt;Public Record Only&lt;/a&gt;</t>
  </si>
  <si>
    <t>&lt;a href="http://a836-acris.nyc.gov/DS/DocumentSearch/DocumentDetail?doc_id=2019042500848001" target="_blank"&gt;Public Record Only&lt;/a&gt;</t>
  </si>
  <si>
    <t>&lt;a href="http://a836-acris.nyc.gov/DS/DocumentSearch/DocumentDetail?doc_id=2019053100062001" target="_blank"&gt;Public Record Only&lt;/a&gt;</t>
  </si>
  <si>
    <t>&lt;a href="http://a836-acris.nyc.gov/DS/DocumentSearch/DocumentDetail?doc_id=2019051400193001" target="_blank"&gt;Public Record Only&lt;/a&gt;</t>
  </si>
  <si>
    <t>&lt;a href="http://a836-acris.nyc.gov/DS/DocumentSearch/DocumentDetail?doc_id=2019041800799001" target="_blank"&gt;Verified by Public Record&lt;/a&gt;</t>
  </si>
  <si>
    <t>&lt;a href="http://a836-acris.nyc.gov/DS/DocumentSearch/DocumentDetail?doc_id=2021061000564001" target="_blank"&gt;Verified by Public Record&lt;/a&gt;</t>
  </si>
  <si>
    <t>&lt;a href="http://a836-acris.nyc.gov/DS/DocumentSearch/DocumentDetail?doc_id=2015070100254001" target="_blank"&gt;Verified by Public Record&lt;/a&gt;</t>
  </si>
  <si>
    <t>&lt;a href="http://a836-acris.nyc.gov/DS/DocumentSearch/DocumentDetail?doc_id=2015072000092005" target="_blank"&gt;Verified by Public Record&lt;/a&gt;</t>
  </si>
  <si>
    <t>&lt;a href="http://a836-acris.nyc.gov/DS/DocumentSearch/DocumentDetail?doc_id=2021060401253001" target="_blank"&gt;Verified by Public Record&lt;/a&gt;</t>
  </si>
  <si>
    <t>&lt;a href="http://a836-acris.nyc.gov/DS/DocumentSearch/DocumentDetail?doc_id=2019081200334001" target="_blank"&gt;Verified by Public Record&lt;/a&gt;</t>
  </si>
  <si>
    <t>&lt;a href="http://a836-acris.nyc.gov/DS/DocumentSearch/DocumentDetail?doc_id=2019091001148002" target="_blank"&gt;Verified by Public Record&lt;/a&gt;</t>
  </si>
  <si>
    <t>&lt;a href="http://a836-acris.nyc.gov/DS/DocumentSearch/DocumentDetail?doc_id=2021070800901001" target="_blank"&gt;Verified by Public Record&lt;/a&gt;</t>
  </si>
  <si>
    <t>&lt;a href="http://a836-acris.nyc.gov/DS/DocumentSearch/DocumentDetail?doc_id=2021032401094001" target="_blank"&gt;Verified by Public Record&lt;/a&gt;</t>
  </si>
  <si>
    <t>&lt;a href="http://a836-acris.nyc.gov/DS/DocumentSearch/DocumentDetail?doc_id=2019100700243001" target="_blank"&gt;Verified by Public Record&lt;/a&gt;</t>
  </si>
  <si>
    <t>&lt;a href="http://a836-acris.nyc.gov/DS/DocumentSearch/DocumentDetail?doc_id=2021052101203001" target="_blank"&gt;Verified by Public Record&lt;/a&gt;</t>
  </si>
  <si>
    <t>&lt;a href="http://a836-acris.nyc.gov/DS/DocumentSearch/DocumentDetail?doc_id=2015071700801001" target="_blank"&gt;Public Record Only&lt;/a&gt;</t>
  </si>
  <si>
    <t>&lt;a href="http://a836-acris.nyc.gov/DS/DocumentSearch/DocumentDetail?doc_id=2016011200181001" target="_blank"&gt;Verified by Public Record&lt;/a&gt;</t>
  </si>
  <si>
    <t>&lt;a href="http://a836-acris.nyc.gov/DS/DocumentSearch/DocumentDetail?doc_id=2021050301157001" target="_blank"&gt;Verified by Public Record&lt;/a&gt;</t>
  </si>
  <si>
    <t>&lt;a href="http://a836-acris.nyc.gov/DS/DocumentSearch/DocumentDetail?doc_id=2015071400293001" target="_blank"&gt;Verified by Public Record&lt;/a&gt;</t>
  </si>
  <si>
    <t>&lt;a href="http://a836-acris.nyc.gov/DS/DocumentSearch/DocumentDetail?doc_id=2015073100202001" target="_blank"&gt;Verified by Public Record&lt;/a&gt;</t>
  </si>
  <si>
    <t>Roof Deck
Common Roof Deck
Barbecue Area
Common Garden
Private Outdoor Space</t>
  </si>
  <si>
    <t>&lt;a href="http://a836-acris.nyc.gov/DS/DocumentSearch/DocumentDetail?doc_id=2015071500468001" target="_blank"&gt;Verified by Public Record&lt;/a&gt;</t>
  </si>
  <si>
    <t>&lt;a href="http://a836-acris.nyc.gov/DS/DocumentSearch/DocumentDetail?doc_id=2021052600295001" target="_blank"&gt;Verified by Public Record&lt;/a&gt;</t>
  </si>
  <si>
    <t>&lt;a href="http://a836-acris.nyc.gov/DS/DocumentSearch/DocumentDetail?doc_id=2020011000903003" target="_blank"&gt;Verified by Public Record&lt;/a&gt;</t>
  </si>
  <si>
    <t>&lt;a href="http://a836-acris.nyc.gov/DS/DocumentSearch/DocumentDetail?doc_id=2020010801375002" target="_blank"&gt;Verified by Public Record&lt;/a&gt;</t>
  </si>
  <si>
    <t>&lt;a href="http://a836-acris.nyc.gov/DS/DocumentSearch/DocumentDetail?doc_id=2019101100930001" target="_blank"&gt;Verified by Public Record&lt;/a&gt;</t>
  </si>
  <si>
    <t>&lt;a href="http://a836-acris.nyc.gov/DS/DocumentSearch/DocumentDetail?doc_id=2019112100908001" target="_blank"&gt;Verified by Public Record&lt;/a&gt;</t>
  </si>
  <si>
    <t>&lt;a href="http://a836-acris.nyc.gov/DS/DocumentSearch/DocumentDetail?doc_id=2019091900245002" target="_blank"&gt;Verified by Public Record&lt;/a&gt;</t>
  </si>
  <si>
    <t>&lt;a href="http://a836-acris.nyc.gov/DS/DocumentSearch/DocumentDetail?doc_id=2019121200269001" target="_blank"&gt;Verified by Public Record&lt;/a&gt;</t>
  </si>
  <si>
    <t>&lt;a href="http://a836-acris.nyc.gov/DS/DocumentSearch/DocumentDetail?doc_id=2019092000168001" target="_blank"&gt;Verified by Public Record&lt;/a&gt;</t>
  </si>
  <si>
    <t>&lt;a href="http://a836-acris.nyc.gov/DS/DocumentSearch/DocumentDetail?doc_id=2019090900179001" target="_blank"&gt;Verified by Public Record&lt;/a&gt;</t>
  </si>
  <si>
    <t>&lt;a href="http://a836-acris.nyc.gov/DS/DocumentSearch/DocumentDetail?doc_id=2021071501876001" target="_blank"&gt;Verified by Public Record&lt;/a&gt;</t>
  </si>
  <si>
    <t>&lt;a href="http://a836-acris.nyc.gov/DS/DocumentSearch/DocumentDetail?doc_id=2019032701039001" target="_blank"&gt;Verified by Public Record&lt;/a&gt;</t>
  </si>
  <si>
    <t>&lt;a href="http://a836-acris.nyc.gov/DS/DocumentSearch/DocumentDetail?doc_id=2019060300910001" target="_blank"&gt;Verified by Public Record&lt;/a&gt;</t>
  </si>
  <si>
    <t>&lt;a href="http://a836-acris.nyc.gov/DS/DocumentSearch/DocumentDetail?doc_id=2019040600012001" target="_blank"&gt;Verified by Public Record&lt;/a&gt;</t>
  </si>
  <si>
    <t>&lt;a href="http://a836-acris.nyc.gov/DS/DocumentSearch/DocumentDetail?doc_id=2019080100920001" target="_blank"&gt;Verified by Public Record&lt;/a&gt;</t>
  </si>
  <si>
    <t>&lt;a href="http://a836-acris.nyc.gov/DS/DocumentSearch/DocumentDetail?doc_id=2019032501065003" target="_blank"&gt;Verified by Public Record&lt;/a&gt;</t>
  </si>
  <si>
    <t>&lt;a href="http://a836-acris.nyc.gov/DS/DocumentSearch/DocumentDetail?doc_id=2019040500846001" target="_blank"&gt;Verified by Public Record&lt;/a&gt;</t>
  </si>
  <si>
    <t>&lt;a href="http://a836-acris.nyc.gov/DS/DocumentSearch/DocumentDetail?doc_id=2019031400958001" target="_blank"&gt;Verified by Public Record&lt;/a&gt;</t>
  </si>
  <si>
    <t>&lt;a href="http://a836-acris.nyc.gov/DS/DocumentSearch/DocumentDetail?doc_id=2019030401181001" target="_blank"&gt;Verified by Public Record&lt;/a&gt;</t>
  </si>
  <si>
    <t>&lt;a href="http://a836-acris.nyc.gov/DS/DocumentSearch/DocumentDetail?doc_id=2020110401169001" target="_blank"&gt;Verified by Public Record&lt;/a&gt;</t>
  </si>
  <si>
    <t>&lt;a href="http://a836-acris.nyc.gov/DS/DocumentSearch/DocumentDetail?doc_id=2020081800279001" target="_blank"&gt;Verified by Public Record&lt;/a&gt;</t>
  </si>
  <si>
    <t>&lt;a href="http://a836-acris.nyc.gov/DS/DocumentSearch/DocumentDetail?doc_id=2021061400498001" target="_blank"&gt;Verified by Public Record&lt;/a&gt;</t>
  </si>
  <si>
    <t>&lt;a href="http://a836-acris.nyc.gov/DS/DocumentSearch/DocumentDetail?doc_id=2016100301032001" target="_blank"&gt;Verified by Public Record&lt;/a&gt;</t>
  </si>
  <si>
    <t>Private Terrace
Deck
Roof Deck
Common Roof Deck
Barbecue Area
Common Garden
Private Outdoor Space</t>
  </si>
  <si>
    <t>&lt;a href="http://a836-acris.nyc.gov/DS/DocumentSearch/DocumentDetail?doc_id=2015073101554001" target="_blank"&gt;Verified by Public Record&lt;/a&gt;</t>
  </si>
  <si>
    <t>&lt;a href="http://a836-acris.nyc.gov/DS/DocumentSearch/DocumentDetail?doc_id=2016062800949001" target="_blank"&gt;Verified by Public Record&lt;/a&gt;</t>
  </si>
  <si>
    <t>&lt;a href="http://a836-acris.nyc.gov/DS/DocumentSearch/DocumentDetail?doc_id=2015072400342002" target="_blank"&gt;Verified by Public Record&lt;/a&gt;</t>
  </si>
  <si>
    <t>&lt;a href="http://a836-acris.nyc.gov/DS/DocumentSearch/DocumentDetail?doc_id=2016081901209001" target="_blank"&gt;Verified by Public Record&lt;/a&gt;</t>
  </si>
  <si>
    <t>&lt;a href="http://a836-acris.nyc.gov/DS/DocumentSearch/DocumentDetail?doc_id=2016080500518001" target="_blank"&gt;Verified by Public Record&lt;/a&gt;</t>
  </si>
  <si>
    <t>&lt;a href="http://a836-acris.nyc.gov/DS/DocumentSearch/DocumentDetail?doc_id=2017091800219002" target="_blank"&gt;Verified by Public Record&lt;/a&gt;</t>
  </si>
  <si>
    <t>Private Terrace
Deck
Roof Deck
Common Roof Deck
Barbecue Area
Common Garden</t>
  </si>
  <si>
    <t>&lt;a href="http://a836-acris.nyc.gov/DS/DocumentSearch/DocumentDetail?doc_id=2015072700702002" target="_blank"&gt;Verified by Public Record&lt;/a&gt;</t>
  </si>
  <si>
    <t>&lt;a href="http://a836-acris.nyc.gov/DS/DocumentSearch/DocumentDetail?doc_id=2015090100518001" target="_blank"&gt;Verified by Public Record&lt;/a&gt;</t>
  </si>
  <si>
    <t>&lt;a href="http://a836-acris.nyc.gov/DS/DocumentSearch/DocumentDetail?doc_id=2019051300962001" target="_blank"&gt;Verified by Public Record&lt;/a&gt;</t>
  </si>
  <si>
    <t>&lt;a href="http://a836-acris.nyc.gov/DS/DocumentSearch/DocumentDetail?doc_id=2021070201125001" target="_blank"&gt;Verified by Public Record&lt;/a&gt;</t>
  </si>
  <si>
    <t>&lt;a href="http://a836-acris.nyc.gov/DS/DocumentSearch/DocumentDetail?doc_id=2021011100847001" target="_blank"&gt;Verified by Public Record&lt;/a&gt;</t>
  </si>
  <si>
    <t>&lt;a href="http://a836-acris.nyc.gov/DS/DocumentSearch/DocumentDetail?doc_id=2021032200917003" target="_blank"&gt;Verified by Public Record&lt;/a&gt;</t>
  </si>
  <si>
    <t>Private Terrace
Deck
Roof Deck
Common Roof Deck</t>
  </si>
  <si>
    <t>&lt;a href="http://a836-acris.nyc.gov/DS/DocumentSearch/DocumentDetail?doc_id=2021052000006001" target="_blank"&gt;Verified by Public Record&lt;/a&gt;</t>
  </si>
  <si>
    <t>&lt;a href="http://a836-acris.nyc.gov/DS/DocumentSearch/DocumentDetail?doc_id=2021041500621006" target="_blank"&gt;Verified by Public Record&lt;/a&gt;</t>
  </si>
  <si>
    <t>&lt;a href="http://a836-acris.nyc.gov/DS/DocumentSearch/DocumentDetail?doc_id=2016121200518001" target="_blank"&gt;Verified by Public Record&lt;/a&gt;</t>
  </si>
  <si>
    <t>&lt;a href="http://a836-acris.nyc.gov/DS/DocumentSearch/DocumentDetail?doc_id=2017011100239001" target="_blank"&gt;Verified by Public Record&lt;/a&gt;</t>
  </si>
  <si>
    <t>&lt;a href="http://a836-acris.nyc.gov/DS/DocumentSearch/DocumentDetail?doc_id=2021041501298001" target="_blank"&gt;Verified by Public Record&lt;/a&gt;</t>
  </si>
  <si>
    <t>&lt;a href="http://a836-acris.nyc.gov/DS/DocumentSearch/DocumentDetail?doc_id=2019071900681001" target="_blank"&gt;Verified by Public Record&lt;/a&gt;</t>
  </si>
  <si>
    <t>&lt;a href="http://a836-acris.nyc.gov/DS/DocumentSearch/DocumentDetail?doc_id=2019112601348001" target="_blank"&gt;Verified by Public Record&lt;/a&gt;</t>
  </si>
  <si>
    <t>&lt;a href="http://a836-acris.nyc.gov/DS/DocumentSearch/DocumentDetail?doc_id=2020020600173002" target="_blank"&gt;Verified by Public Record&lt;/a&gt;</t>
  </si>
  <si>
    <t>&lt;a href="http://a836-acris.nyc.gov/DS/DocumentSearch/DocumentDetail?doc_id=2019070200564001" target="_blank"&gt;Verified by Public Record&lt;/a&gt;</t>
  </si>
  <si>
    <t>&lt;a href="http://a836-acris.nyc.gov/DS/DocumentSearch/DocumentDetail?doc_id=2019081901094001" target="_blank"&gt;Verified by Public Record&lt;/a&gt;</t>
  </si>
  <si>
    <t>&lt;a href="http://a836-acris.nyc.gov/DS/DocumentSearch/DocumentDetail?doc_id=2021052100634001" target="_blank"&gt;Verified by Public Record&lt;/a&gt;</t>
  </si>
  <si>
    <t>&lt;a href="http://a836-acris.nyc.gov/DS/DocumentSearch/DocumentDetail?doc_id=2015072901340002" target="_blank"&gt;Verified by Public Record&lt;/a&gt;</t>
  </si>
  <si>
    <t>&lt;a href="http://a836-acris.nyc.gov/DS/DocumentSearch/DocumentDetail?doc_id=2015072900658002" target="_blank"&gt;Verified by Public Record&lt;/a&gt;</t>
  </si>
  <si>
    <t>&lt;a href="http://a836-acris.nyc.gov/DS/DocumentSearch/DocumentDetail?doc_id=2016082900336001" target="_blank"&gt;Verified by Public Record&lt;/a&gt;</t>
  </si>
  <si>
    <t>&lt;a href="http://a836-acris.nyc.gov/DS/DocumentSearch/DocumentDetail?doc_id=2021040101306001" target="_blank"&gt;Verified by Public Record&lt;/a&gt;</t>
  </si>
  <si>
    <t>&lt;a href="http://a836-acris.nyc.gov/DS/DocumentSearch/DocumentDetail?doc_id=2020051700018002" target="_blank"&gt;Verified by Public Record&lt;/a&gt;</t>
  </si>
  <si>
    <t>&lt;a href="http://a836-acris.nyc.gov/DS/DocumentSearch/DocumentDetail?doc_id=2021062100933001" target="_blank"&gt;Public Record Only&lt;/a&gt;</t>
  </si>
  <si>
    <t>&lt;a href="http://a836-acris.nyc.gov/DS/DocumentSearch/DocumentDetail?doc_id=2020102600915001" target="_blank"&gt;Verified by Public Record&lt;/a&gt;</t>
  </si>
  <si>
    <t>&lt;a href="http://a836-acris.nyc.gov/DS/DocumentSearch/DocumentDetail?doc_id=2019070100021001" target="_blank"&gt;Verified by Public Record&lt;/a&gt;</t>
  </si>
  <si>
    <t>&lt;a href="http://a836-acris.nyc.gov/DS/DocumentSearch/DocumentDetail?doc_id=2019070100023001" target="_blank"&gt;Verified by Public Record&lt;/a&gt;</t>
  </si>
  <si>
    <t>&lt;a href="http://a836-acris.nyc.gov/DS/DocumentSearch/DocumentDetail?doc_id=2019102900278001" target="_blank"&gt;Verified by Public Record&lt;/a&gt;</t>
  </si>
  <si>
    <t>&lt;a href="http://a836-acris.nyc.gov/DS/DocumentSearch/DocumentDetail?doc_id=2020031300751002" target="_blank"&gt;Verified by Public Record&lt;/a&gt;</t>
  </si>
  <si>
    <t>&lt;a href="http://a836-acris.nyc.gov/DS/DocumentSearch/DocumentDetail?doc_id=2019050101243001" target="_blank"&gt;Verified by Public Record&lt;/a&gt;</t>
  </si>
  <si>
    <t>&lt;a href="http://a836-acris.nyc.gov/DS/DocumentSearch/DocumentDetail?doc_id=2019042901064001" target="_blank"&gt;Verified by Public Record&lt;/a&gt;</t>
  </si>
  <si>
    <t>&lt;a href="http://a836-acris.nyc.gov/DS/DocumentSearch/DocumentDetail?doc_id=2019032500542001" target="_blank"&gt;Verified by Public Record&lt;/a&gt;</t>
  </si>
  <si>
    <t>&lt;a href="http://a836-acris.nyc.gov/DS/DocumentSearch/DocumentDetail?doc_id=2019042900482001" target="_blank"&gt;Verified by Public Record&lt;/a&gt;</t>
  </si>
  <si>
    <t>&lt;a href="http://a836-acris.nyc.gov/DS/DocumentSearch/DocumentDetail?doc_id=2019042301011001" target="_blank"&gt;Verified by Public Record&lt;/a&gt;</t>
  </si>
  <si>
    <t>&lt;a href="http://a836-acris.nyc.gov/DS/DocumentSearch/DocumentDetail?doc_id=2019031401343001" target="_blank"&gt;Verified by Public Record&lt;/a&gt;</t>
  </si>
  <si>
    <t>&lt;a href="http://a836-acris.nyc.gov/DS/DocumentSearch/DocumentDetail?doc_id=2019031900374001" target="_blank"&gt;Verified by Public Record&lt;/a&gt;</t>
  </si>
  <si>
    <t>&lt;a href="http://a836-acris.nyc.gov/DS/DocumentSearch/DocumentDetail?doc_id=2016050300433007" target="_blank"&gt;Verified by Public Record&lt;/a&gt;</t>
  </si>
  <si>
    <t>&lt;a href="http://a836-acris.nyc.gov/DS/DocumentSearch/DocumentDetail?doc_id=2019062700488001" target="_blank"&gt;Verified by Public Record&lt;/a&gt;</t>
  </si>
  <si>
    <t>&lt;a href="http://a836-acris.nyc.gov/DS/DocumentSearch/DocumentDetail?doc_id=2021070901323002" target="_blank"&gt;Verified by Public Record&lt;/a&gt;</t>
  </si>
  <si>
    <t>&lt;a href="http://a836-acris.nyc.gov/DS/DocumentSearch/DocumentDetail?doc_id=2017071200542001" target="_blank"&gt;Verified by Public Record&lt;/a&gt;</t>
  </si>
  <si>
    <t>&lt;a href="http://a836-acris.nyc.gov/DS/DocumentSearch/DocumentDetail?doc_id=2017032701382001" target="_blank"&gt;Verified by Public Record&lt;/a&gt;</t>
  </si>
  <si>
    <t>&lt;a href="http://a836-acris.nyc.gov/DS/DocumentSearch/DocumentDetail?doc_id=2017041801108001" target="_blank"&gt;Verified by Public Record&lt;/a&gt;</t>
  </si>
  <si>
    <t>&lt;a href="http://a836-acris.nyc.gov/DS/DocumentSearch/DocumentDetail?doc_id=2018052500469001" target="_blank"&gt;Verified by Public Record&lt;/a&gt;</t>
  </si>
  <si>
    <t>&lt;a href="http://a836-acris.nyc.gov/DS/DocumentSearch/DocumentDetail?doc_id=2018102201202005" target="_blank"&gt;Public Record Only&lt;/a&gt;</t>
  </si>
  <si>
    <t>&lt;a href="http://a836-acris.nyc.gov/DS/DocumentSearch/DocumentDetail?doc_id=2016060900952001" target="_blank"&gt;Public Record Only&lt;/a&gt;</t>
  </si>
  <si>
    <t>&lt;a href="http://a836-acris.nyc.gov/DS/DocumentSearch/DocumentDetail?doc_id=2016080301545001" target="_blank"&gt;Public Record Only&lt;/a&gt;</t>
  </si>
  <si>
    <t>&lt;a href="http://a836-acris.nyc.gov/DS/DocumentSearch/DocumentDetail?doc_id=2016032100231001" target="_blank"&gt;Public Record Only&lt;/a&gt;</t>
  </si>
  <si>
    <t>&lt;a href="http://a836-acris.nyc.gov/DS/DocumentSearch/DocumentDetail?doc_id=2020091001124002" target="_blank"&gt;Public Record Only&lt;/a&gt;</t>
  </si>
  <si>
    <t>&lt;a href="http://a836-acris.nyc.gov/DS/DocumentSearch/DocumentDetail?doc_id=2016030300195001" target="_blank"&gt;Public Record Only&lt;/a&gt;</t>
  </si>
  <si>
    <t>&lt;a href="http://a836-acris.nyc.gov/DS/DocumentSearch/DocumentDetail?doc_id=2017050100900001" target="_blank"&gt;Verified by Public Record&lt;/a&gt;</t>
  </si>
  <si>
    <t>&lt;a href="http://a836-acris.nyc.gov/DS/DocumentSearch/DocumentDetail?doc_id=2017062600291001" target="_blank"&gt;Verified by Public Record&lt;/a&gt;</t>
  </si>
  <si>
    <t>&lt;a href="http://a836-acris.nyc.gov/DS/DocumentSearch/DocumentDetail?doc_id=2015071000502002" target="_blank"&gt;Verified by Public Record&lt;/a&gt;</t>
  </si>
  <si>
    <t>&lt;a href="http://a836-acris.nyc.gov/DS/DocumentSearch/DocumentDetail?doc_id=2016081200370005" target="_blank"&gt;Verified by Public Record&lt;/a&gt;</t>
  </si>
  <si>
    <t>&lt;a href="http://a836-acris.nyc.gov/DS/DocumentSearch/DocumentDetail?doc_id=2015072300328002" target="_blank"&gt;Verified by Public Record&lt;/a&gt;</t>
  </si>
  <si>
    <t>&lt;a href="http://a836-acris.nyc.gov/DS/DocumentSearch/DocumentDetail?doc_id=2015072300555001" target="_blank"&gt;Verified by Public Record&lt;/a&gt;</t>
  </si>
  <si>
    <t>&lt;a href="http://a836-acris.nyc.gov/DS/DocumentSearch/DocumentDetail?doc_id=2015070300163001" target="_blank"&gt;Verified by Public Record&lt;/a&gt;</t>
  </si>
  <si>
    <t>&lt;a href="http://a836-acris.nyc.gov/DS/DocumentSearch/DocumentDetail?doc_id=2017051500143001" target="_blank"&gt;Verified by Public Record&lt;/a&gt;</t>
  </si>
  <si>
    <t>&lt;a href="http://a836-acris.nyc.gov/DS/DocumentSearch/DocumentDetail?doc_id=2017062300452001" target="_blank"&gt;Verified by Public Record&lt;/a&gt;</t>
  </si>
  <si>
    <t>&lt;a href="http://a836-acris.nyc.gov/DS/DocumentSearch/DocumentDetail?doc_id=2017100400029002" target="_blank"&gt;Verified by Public Record&lt;/a&gt;</t>
  </si>
  <si>
    <t>&lt;a href="http://a836-acris.nyc.gov/DS/DocumentSearch/DocumentDetail?doc_id=2017011100204009" target="_blank"&gt;Verified by Public Record&lt;/a&gt;</t>
  </si>
  <si>
    <t>&lt;a href="http://a836-acris.nyc.gov/DS/DocumentSearch/DocumentDetail?doc_id=2016101700190002" target="_blank"&gt;Verified by Public Record&lt;/a&gt;</t>
  </si>
  <si>
    <t>&lt;a href="http://a836-acris.nyc.gov/DS/DocumentSearch/DocumentDetail?doc_id=2021042300404011" target="_blank"&gt;Public Record Only&lt;/a&gt;</t>
  </si>
  <si>
    <t>&lt;a href="http://a836-acris.nyc.gov/DS/DocumentSearch/DocumentDetail?doc_id=2021041601351001" target="_blank"&gt;Verified by Public Record&lt;/a&gt;</t>
  </si>
  <si>
    <t>&lt;a href="http://a836-acris.nyc.gov/DS/DocumentSearch/DocumentDetail?doc_id=2021041201199001" target="_blank"&gt;Verified by Public Record&lt;/a&gt;</t>
  </si>
  <si>
    <t>&lt;a href="http://a836-acris.nyc.gov/DS/DocumentSearch/DocumentDetail?doc_id=2021020700010001" target="_blank"&gt;Verified by Public Record&lt;/a&gt;</t>
  </si>
  <si>
    <t>&lt;a href="http://a836-acris.nyc.gov/DS/DocumentSearch/DocumentDetail?doc_id=2021062200953001" target="_blank"&gt;Verified by Public Record&lt;/a&gt;</t>
  </si>
  <si>
    <t>&lt;a href="http://a836-acris.nyc.gov/DS/DocumentSearch/DocumentDetail?doc_id=2021042801490001" target="_blank"&gt;Verified by Public Record&lt;/a&gt;</t>
  </si>
  <si>
    <t>&lt;a href="http://a836-acris.nyc.gov/DS/DocumentSearch/DocumentDetail?doc_id=2016120101111001" target="_blank"&gt;Verified by Public Record&lt;/a&gt;</t>
  </si>
  <si>
    <t>&lt;a href="http://a836-acris.nyc.gov/DS/DocumentSearch/DocumentDetail?doc_id=2016052000480001" target="_blank"&gt;Verified by Public Record&lt;/a&gt;</t>
  </si>
  <si>
    <t>&lt;a href="http://a836-acris.nyc.gov/DS/DocumentSearch/DocumentDetail?doc_id=2015071300608001" target="_blank"&gt;Verified by Public Record&lt;/a&gt;</t>
  </si>
  <si>
    <t>&lt;a href="http://a836-acris.nyc.gov/DS/DocumentSearch/DocumentDetail?doc_id=2021042300404013" target="_blank"&gt;Public Record Only&lt;/a&gt;</t>
  </si>
  <si>
    <t>&lt;a href="http://a836-acris.nyc.gov/DS/DocumentSearch/DocumentDetail?doc_id=2021043001165001" target="_blank"&gt;Verified by Public Record&lt;/a&gt;</t>
  </si>
  <si>
    <t>&lt;a href="http://a836-acris.nyc.gov/DS/DocumentSearch/DocumentDetail?doc_id=2020030301204001" target="_blank"&gt;Verified by Public Record&lt;/a&gt;</t>
  </si>
  <si>
    <t>&lt;a href="http://a836-acris.nyc.gov/DS/DocumentSearch/DocumentDetail?doc_id=2020091300022002" target="_blank"&gt;Public Record Only&lt;/a&gt;</t>
  </si>
  <si>
    <t>&lt;a href="http://a836-acris.nyc.gov/DS/DocumentSearch/DocumentDetail?doc_id=2020040800429003" target="_blank"&gt;Public Record Only&lt;/a&gt;</t>
  </si>
  <si>
    <t>&lt;a href="http://a836-acris.nyc.gov/DS/DocumentSearch/DocumentDetail?doc_id=2020030401291001" target="_blank"&gt;Public Record Only&lt;/a&gt;</t>
  </si>
  <si>
    <t>&lt;a href="http://a836-acris.nyc.gov/DS/DocumentSearch/DocumentDetail?doc_id=2020122600030013" target="_blank"&gt;Public Record Only&lt;/a&gt;</t>
  </si>
  <si>
    <t>&lt;a href="http://a836-acris.nyc.gov/DS/DocumentSearch/DocumentDetail?doc_id=2017110101445001" target="_blank"&gt;Verified by Public Record&lt;/a&gt;</t>
  </si>
  <si>
    <t>&lt;a href="http://a836-acris.nyc.gov/DS/DocumentSearch/DocumentDetail?doc_id=2016021100140001" target="_blank"&gt;Verified by Public Record&lt;/a&gt;</t>
  </si>
  <si>
    <t>&lt;a href="http://a836-acris.nyc.gov/DS/DocumentSearch/DocumentDetail?doc_id=2019011500113001" target="_blank"&gt;Verified by Public Record&lt;/a&gt;</t>
  </si>
  <si>
    <t>&lt;a href="http://a836-acris.nyc.gov/DS/DocumentSearch/DocumentDetail?doc_id=2017062700714002" target="_blank"&gt;Verified by Public Record&lt;/a&gt;</t>
  </si>
  <si>
    <t>&lt;a href="http://a836-acris.nyc.gov/DS/DocumentSearch/DocumentDetail?doc_id=2017031300306001" target="_blank"&gt;Verified by Public Record&lt;/a&gt;</t>
  </si>
  <si>
    <t>&lt;a href="http://a836-acris.nyc.gov/DS/DocumentSearch/DocumentDetail?doc_id=2017052200706001" target="_blank"&gt;Verified by Public Record&lt;/a&gt;</t>
  </si>
  <si>
    <t>&lt;a href="http://a836-acris.nyc.gov/DS/DocumentSearch/DocumentDetail?doc_id=2017051900083001" target="_blank"&gt;Verified by Public Record&lt;/a&gt;</t>
  </si>
  <si>
    <t>&lt;a href="http://a836-acris.nyc.gov/DS/DocumentSearch/DocumentDetail?doc_id=2017031700826001" target="_blank"&gt;Verified by Public Record&lt;/a&gt;</t>
  </si>
  <si>
    <t>&lt;a href="http://a836-acris.nyc.gov/DS/DocumentSearch/DocumentDetail?doc_id=2019112501086002" target="_blank"&gt;Public Record Only&lt;/a&gt;</t>
  </si>
  <si>
    <t>&lt;a href="http://a836-acris.nyc.gov/DS/DocumentSearch/DocumentDetail?doc_id=2021072301160001" target="_blank"&gt;Public Record Only&lt;/a&gt;</t>
  </si>
  <si>
    <t>&lt;a href="http://a836-acris.nyc.gov/DS/DocumentSearch/DocumentDetail?doc_id=2021061501649002" target="_blank"&gt;Public Record Only&lt;/a&gt;</t>
  </si>
  <si>
    <t>&lt;a href="http://a836-acris.nyc.gov/DS/DocumentSearch/DocumentDetail?doc_id=2021040801132001" target="_blank"&gt;Public Record Only&lt;/a&gt;</t>
  </si>
  <si>
    <t>&lt;a href="http://a836-acris.nyc.gov/DS/DocumentSearch/DocumentDetail?doc_id=2015072800598001" target="_blank"&gt;Verified by Public Record&lt;/a&gt;</t>
  </si>
  <si>
    <t>&lt;a href="http://a836-acris.nyc.gov/DS/DocumentSearch/DocumentDetail?doc_id=2021070600455006" target="_blank"&gt;Verified by Public Record&lt;/a&gt;</t>
  </si>
  <si>
    <t>&lt;a href="http://a836-acris.nyc.gov/DS/DocumentSearch/DocumentDetail?doc_id=2015072800209003" target="_blank"&gt;Verified by Public Record&lt;/a&gt;</t>
  </si>
  <si>
    <t>&lt;a href="http://a836-acris.nyc.gov/DS/DocumentSearch/DocumentDetail?doc_id=2021020900638002" target="_blank"&gt;Verified by Public Record&lt;/a&gt;</t>
  </si>
  <si>
    <t>&lt;a href="http://a836-acris.nyc.gov/DS/DocumentSearch/DocumentDetail?doc_id=2015071100063001" target="_blank"&gt;Verified by Public Record&lt;/a&gt;</t>
  </si>
  <si>
    <t>&lt;a href="http://a836-acris.nyc.gov/DS/DocumentSearch/DocumentDetail?doc_id=2021050500611001" target="_blank"&gt;Verified by Public Record&lt;/a&gt;</t>
  </si>
  <si>
    <t>&lt;a href="http://a836-acris.nyc.gov/DS/DocumentSearch/DocumentDetail?doc_id=2017090400034001" target="_blank"&gt;Verified by Public Record&lt;/a&gt;</t>
  </si>
  <si>
    <t>&lt;a href="http://a836-acris.nyc.gov/DS/DocumentSearch/DocumentDetail?doc_id=2019062501427006" target="_blank"&gt;Verified by Public Record&lt;/a&gt;</t>
  </si>
  <si>
    <t>&lt;a href="http://a836-acris.nyc.gov/DS/DocumentSearch/DocumentDetail?doc_id=2016082500652001" target="_blank"&gt;Verified by Public Record&lt;/a&gt;</t>
  </si>
  <si>
    <t>&lt;a href="http://a836-acris.nyc.gov/DS/DocumentSearch/DocumentDetail?doc_id=2021040801476001" target="_blank"&gt;Verified by Public Record&lt;/a&gt;</t>
  </si>
  <si>
    <t>&lt;a href="http://a836-acris.nyc.gov/DS/DocumentSearch/DocumentDetail?doc_id=2021052101047001" target="_blank"&gt;Verified by Public Record&lt;/a&gt;</t>
  </si>
  <si>
    <t>&lt;a href="http://a836-acris.nyc.gov/DS/DocumentSearch/DocumentDetail?doc_id=2020041500200002" target="_blank"&gt;Verified by Public Record&lt;/a&gt;</t>
  </si>
  <si>
    <t>&lt;a href="http://a836-acris.nyc.gov/DS/DocumentSearch/DocumentDetail?doc_id=2019111200872001" target="_blank"&gt;Verified by Public Record&lt;/a&gt;</t>
  </si>
  <si>
    <t>&lt;a href="http://a836-acris.nyc.gov/DS/DocumentSearch/DocumentDetail?doc_id=2019110700586002" target="_blank"&gt;Verified by Public Record&lt;/a&gt;</t>
  </si>
  <si>
    <t>Co-op/House/Building/Condo</t>
  </si>
  <si>
    <t>Townhouse/Co-op/Condo</t>
  </si>
  <si>
    <t>&lt;a href="http://a836-acris.nyc.gov/DS/DocumentSearch/DocumentDetail?doc_id=2020022700812003" target="_blank"&gt;Verified by Public Record&lt;/a&gt;</t>
  </si>
  <si>
    <t>&lt;a href="http://a836-acris.nyc.gov/DS/DocumentSearch/DocumentDetail?doc_id=2019122400077001" target="_blank"&gt;Verified by Public Record&lt;/a&gt;</t>
  </si>
  <si>
    <t>&lt;a href="http://a836-acris.nyc.gov/DS/DocumentSearch/DocumentDetail?doc_id=2017051600233001" target="_blank"&gt;Verified by Public Record&lt;/a&gt;</t>
  </si>
  <si>
    <t>&lt;a href="http://a836-acris.nyc.gov/DS/DocumentSearch/DocumentDetail?doc_id=2021050501513002" target="_blank"&gt;Public Record Only&lt;/a&gt;</t>
  </si>
  <si>
    <t>&lt;a href="http://a836-acris.nyc.gov/DS/DocumentSearch/DocumentDetail?doc_id=2021050501513001" target="_blank"&gt;Public Record Only&lt;/a&gt;</t>
  </si>
  <si>
    <t>&lt;a href="http://a836-acris.nyc.gov/DS/DocumentSearch/DocumentDetail?doc_id=2016031401218001" target="_blank"&gt;Verified by Public Record&lt;/a&gt;</t>
  </si>
  <si>
    <t>Deck
Roof Deck
Common Roof Deck
Barbecue Area
Common Garden
Private Outdoor Space</t>
  </si>
  <si>
    <t>&lt;a href="http://a836-acris.nyc.gov/DS/DocumentSearch/DocumentDetail?doc_id=2019112600241001" target="_blank"&gt;Verified by Public Record&lt;/a&gt;</t>
  </si>
  <si>
    <t>&lt;a href="http://a836-acris.nyc.gov/DS/DocumentSearch/DocumentDetail?doc_id=2021072901016001" target="_blank"&gt;Public Record Only&lt;/a&gt;</t>
  </si>
  <si>
    <t>&lt;a href="http://a836-acris.nyc.gov/DS/DocumentSearch/DocumentDetail?doc_id=2020110901340002" target="_blank"&gt;Verified by Public Record&lt;/a&gt;</t>
  </si>
  <si>
    <t>&lt;a href="http://a836-acris.nyc.gov/DS/DocumentSearch/DocumentDetail?doc_id=2021030900496001" target="_blank"&gt;Verified by Public Record&lt;/a&gt;</t>
  </si>
  <si>
    <t>&lt;a href="http://a836-acris.nyc.gov/DS/DocumentSearch/DocumentDetail?doc_id=2021050500722006" target="_blank"&gt;Verified by Public Record&lt;/a&gt;</t>
  </si>
  <si>
    <t>Balcony
Private Terrace
Private Wrap Around Terrace
Deck
Roof Deck
Common Roof Deck</t>
  </si>
  <si>
    <t>&lt;a href="http://a836-acris.nyc.gov/DS/DocumentSearch/DocumentDetail?doc_id=2021033000375009" target="_blank"&gt;Public Record Only&lt;/a&gt;</t>
  </si>
  <si>
    <t>&lt;a href="http://a836-acris.nyc.gov/DS/DocumentSearch/DocumentDetail?doc_id=2019013000373002" target="_blank"&gt;Verified by Public Record&lt;/a&gt;</t>
  </si>
  <si>
    <t>&lt;a href="http://a836-acris.nyc.gov/DS/DocumentSearch/DocumentDetail?doc_id=2017041900279001" target="_blank"&gt;Verified by Public Record&lt;/a&gt;</t>
  </si>
  <si>
    <t>&lt;a href="http://a836-acris.nyc.gov/DS/DocumentSearch/DocumentDetail?doc_id=2021050601749001" target="_blank"&gt;Verified by Public Record&lt;/a&gt;</t>
  </si>
  <si>
    <t>&lt;a href="http://a836-acris.nyc.gov/DS/DocumentSearch/DocumentDetail?doc_id=2021061800583001" target="_blank"&gt;Public Record Only&lt;/a&gt;</t>
  </si>
  <si>
    <t>&lt;a href="http://a836-acris.nyc.gov/DS/DocumentSearch/DocumentDetail?doc_id=2021062500606002" target="_blank"&gt;Public Record Only&lt;/a&gt;</t>
  </si>
  <si>
    <t>&lt;a href="http://a836-acris.nyc.gov/DS/DocumentSearch/DocumentDetail?doc_id=2020031700846003" target="_blank"&gt;Public Record Only&lt;/a&gt;</t>
  </si>
  <si>
    <t>&lt;a href="http://a836-acris.nyc.gov/DS/DocumentSearch/DocumentDetail?doc_id=2020021001123002" target="_blank"&gt;Public Record Only&lt;/a&gt;</t>
  </si>
  <si>
    <t>&lt;a href="http://a836-acris.nyc.gov/DS/DocumentSearch/DocumentDetail?doc_id=2020021101322001" target="_blank"&gt;Public Record Only&lt;/a&gt;</t>
  </si>
  <si>
    <t>&lt;a href="http://a836-acris.nyc.gov/DS/DocumentSearch/DocumentDetail?doc_id=2020021000740001" target="_blank"&gt;Public Record Only&lt;/a&gt;</t>
  </si>
  <si>
    <t>&lt;a href="http://a836-acris.nyc.gov/DS/DocumentSearch/DocumentDetail?doc_id=2017112800553001" target="_blank"&gt;Verified by Public Record&lt;/a&gt;</t>
  </si>
  <si>
    <t>&lt;a href="http://a836-acris.nyc.gov/DS/DocumentSearch/DocumentDetail?doc_id=2016091900398013" target="_blank"&gt;Verified by Public Record&lt;/a&gt;</t>
  </si>
  <si>
    <t>&lt;a href="http://a836-acris.nyc.gov/DS/DocumentSearch/DocumentDetail?doc_id=2016120600275001" target="_blank"&gt;Verified by Public Record&lt;/a&gt;</t>
  </si>
  <si>
    <t>&lt;a href="http://a836-acris.nyc.gov/DS/DocumentSearch/DocumentDetail?doc_id=2016101101339009" target="_blank"&gt;Verified by Public Record&lt;/a&gt;</t>
  </si>
  <si>
    <t>&lt;a href="http://a836-acris.nyc.gov/DS/DocumentSearch/DocumentDetail?doc_id=2017022700842002" target="_blank"&gt;Verified by Public Record&lt;/a&gt;</t>
  </si>
  <si>
    <t>&lt;a href="http://a836-acris.nyc.gov/DS/DocumentSearch/DocumentDetail?doc_id=2017071400642001" target="_blank"&gt;Verified by Public Record&lt;/a&gt;</t>
  </si>
  <si>
    <t>&lt;a href="http://a836-acris.nyc.gov/DS/DocumentSearch/DocumentDetail?doc_id=2017020100387001" target="_blank"&gt;Verified by Public Record&lt;/a&gt;</t>
  </si>
  <si>
    <t>&lt;a href="http://a836-acris.nyc.gov/DS/DocumentSearch/DocumentDetail?doc_id=2017010601409001" target="_blank"&gt;Verified by Public Record&lt;/a&gt;</t>
  </si>
  <si>
    <t>&lt;a href="http://a836-acris.nyc.gov/DS/DocumentSearch/DocumentDetail?doc_id=2017050400307001" target="_blank"&gt;Verified by Public Record&lt;/a&gt;</t>
  </si>
  <si>
    <t>&lt;a href="http://a836-acris.nyc.gov/DS/DocumentSearch/DocumentDetail?doc_id=2017040300448001" target="_blank"&gt;Verified by Public Record&lt;/a&gt;</t>
  </si>
  <si>
    <t>&lt;a href="http://a836-acris.nyc.gov/DS/DocumentSearch/DocumentDetail?doc_id=2019102200873002" target="_blank"&gt;Verified by Public Record&lt;/a&gt;</t>
  </si>
  <si>
    <t>&lt;a href="http://a836-acris.nyc.gov/DS/DocumentSearch/DocumentDetail?doc_id=2021030201097001" target="_blank"&gt;Verified by Public Record&lt;/a&gt;</t>
  </si>
  <si>
    <t>&lt;a href="http://a836-acris.nyc.gov/DS/DocumentSearch/DocumentDetail?doc_id=2021041300234001" target="_blank"&gt;Public Record Only&lt;/a&gt;</t>
  </si>
  <si>
    <t>&lt;a href="http://a836-acris.nyc.gov/DS/DocumentSearch/DocumentDetail?doc_id=2021052600852013" target="_blank"&gt;Public Record Only&lt;/a&gt;</t>
  </si>
  <si>
    <t>&lt;a href="http://a836-acris.nyc.gov/DS/DocumentSearch/DocumentDetail?doc_id=2017040401273001" target="_blank"&gt;Verified by Public Record&lt;/a&gt;</t>
  </si>
  <si>
    <t>&lt;a href="http://a836-acris.nyc.gov/DS/DocumentSearch/DocumentDetail?doc_id=2020010900389001" target="_blank"&gt;Verified by Public Record&lt;/a&gt;</t>
  </si>
  <si>
    <t>&lt;a href="http://a836-acris.nyc.gov/DS/DocumentSearch/DocumentDetail?doc_id=2017020200427001" target="_blank"&gt;Verified by Public Record&lt;/a&gt;</t>
  </si>
  <si>
    <t>&lt;a href="http://a836-acris.nyc.gov/DS/DocumentSearch/DocumentDetail?doc_id=2017020701023014" target="_blank"&gt;Verified by Public Record&lt;/a&gt;</t>
  </si>
  <si>
    <t>&lt;a href="http://a836-acris.nyc.gov/DS/DocumentSearch/DocumentDetail?doc_id=2017010401103013" target="_blank"&gt;Verified by Public Record&lt;/a&gt;</t>
  </si>
  <si>
    <t>&lt;a href="http://a836-acris.nyc.gov/DS/DocumentSearch/DocumentDetail?doc_id=2017030601158001" target="_blank"&gt;Verified by Public Record&lt;/a&gt;</t>
  </si>
  <si>
    <t>&lt;a href="http://a836-acris.nyc.gov/DS/DocumentSearch/DocumentDetail?doc_id=2017031600524001" target="_blank"&gt;Verified by Public Record&lt;/a&gt;</t>
  </si>
  <si>
    <t>&lt;a href="http://a836-acris.nyc.gov/DS/DocumentSearch/DocumentDetail?doc_id=2017021600916001" target="_blank"&gt;Verified by Public Record&lt;/a&gt;</t>
  </si>
  <si>
    <t>&lt;a href="http://a836-acris.nyc.gov/DS/DocumentSearch/DocumentDetail?doc_id=2019020800457003" target="_blank"&gt;Verified by Public Record&lt;/a&gt;</t>
  </si>
  <si>
    <t>&lt;a href="http://a836-acris.nyc.gov/DS/DocumentSearch/DocumentDetail?doc_id=2019093000293002" target="_blank"&gt;Verified by Public Record&lt;/a&gt;</t>
  </si>
  <si>
    <t>&lt;a href="http://a836-acris.nyc.gov/DS/DocumentSearch/DocumentDetail?doc_id=2020061600124001" target="_blank"&gt;Verified by Public Record&lt;/a&gt;</t>
  </si>
  <si>
    <t>&lt;a href="http://a836-acris.nyc.gov/DS/DocumentSearch/DocumentDetail?doc_id=2021010500499002" target="_blank"&gt;Verified by Public Record&lt;/a&gt;</t>
  </si>
  <si>
    <t>&lt;a href="http://a836-acris.nyc.gov/DS/DocumentSearch/DocumentDetail?doc_id=2021032501415001" target="_blank"&gt;Verified by Public Record&lt;/a&gt;</t>
  </si>
  <si>
    <t>&lt;a href="http://a836-acris.nyc.gov/DS/DocumentSearch/DocumentDetail?doc_id=2020020100044001" target="_blank"&gt;Verified by Public Record&lt;/a&gt;</t>
  </si>
  <si>
    <t>&lt;a href="http://a836-acris.nyc.gov/DS/DocumentSearch/DocumentDetail?doc_id=2020010201180002" target="_blank"&gt;Verified by Public Record&lt;/a&gt;</t>
  </si>
  <si>
    <t>&lt;a href="http://a836-acris.nyc.gov/DS/DocumentSearch/DocumentDetail?doc_id=2019100400593004" target="_blank"&gt;Verified by Public Record&lt;/a&gt;</t>
  </si>
  <si>
    <t>&lt;a href="http://a836-acris.nyc.gov/DS/DocumentSearch/DocumentDetail?doc_id=2017041800395001" target="_blank"&gt;Verified by Public Record&lt;/a&gt;</t>
  </si>
  <si>
    <t>&lt;a href="http://a836-acris.nyc.gov/DS/DocumentSearch/DocumentDetail?doc_id=2020031801121001" target="_blank"&gt;Public Record Only&lt;/a&gt;</t>
  </si>
  <si>
    <t>&lt;a href="http://a836-acris.nyc.gov/DS/DocumentSearch/DocumentDetail?doc_id=2019120300683001" target="_blank"&gt;Public Record Only&lt;/a&gt;</t>
  </si>
  <si>
    <t>&lt;a href="http://a836-acris.nyc.gov/DS/DocumentSearch/DocumentDetail?doc_id=2016060600226001" target="_blank"&gt;Verified by Public Record&lt;/a&gt;</t>
  </si>
  <si>
    <t>&lt;a href="http://a836-acris.nyc.gov/DS/DocumentSearch/DocumentDetail?doc_id=2015091700034003" target="_blank"&gt;Verified by Public Record&lt;/a&gt;</t>
  </si>
  <si>
    <t>&lt;a href="http://a836-acris.nyc.gov/DS/DocumentSearch/DocumentDetail?doc_id=2016010600214001" target="_blank"&gt;Verified by Public Record&lt;/a&gt;</t>
  </si>
  <si>
    <t>&lt;a href="http://a836-acris.nyc.gov/DS/DocumentSearch/DocumentDetail?doc_id=2019112100856001" target="_blank"&gt;Verified by Public Record&lt;/a&gt;</t>
  </si>
  <si>
    <t>&lt;a href="http://a836-acris.nyc.gov/DS/DocumentSearch/DocumentDetail?doc_id=2017030700677001" target="_blank"&gt;Verified by Public Record&lt;/a&gt;</t>
  </si>
  <si>
    <t>&lt;a href="http://a836-acris.nyc.gov/DS/DocumentSearch/DocumentDetail?doc_id=2017120401005001" target="_blank"&gt;Verified by Public Record&lt;/a&gt;</t>
  </si>
  <si>
    <t>&lt;a href="http://a836-acris.nyc.gov/DS/DocumentSearch/DocumentDetail?doc_id=2016120501133001" target="_blank"&gt;Verified by Public Record&lt;/a&gt;</t>
  </si>
  <si>
    <t>&lt;a href="http://a836-acris.nyc.gov/DS/DocumentSearch/DocumentDetail?doc_id=2016121600669001" target="_blank"&gt;Verified by Public Record&lt;/a&gt;</t>
  </si>
  <si>
    <t>&lt;a href="http://a836-acris.nyc.gov/DS/DocumentSearch/DocumentDetail?doc_id=2017010601089001" target="_blank"&gt;Verified by Public Record&lt;/a&gt;</t>
  </si>
  <si>
    <t>&lt;a href="http://a836-acris.nyc.gov/DS/DocumentSearch/DocumentDetail?doc_id=2017061300810001" target="_blank"&gt;Verified by Public Record&lt;/a&gt;</t>
  </si>
  <si>
    <t>&lt;a href="http://a836-acris.nyc.gov/DS/DocumentSearch/DocumentDetail?doc_id=2016042000286001" target="_blank"&gt;Verified by Public Record&lt;/a&gt;</t>
  </si>
  <si>
    <t>&lt;a href="http://a836-acris.nyc.gov/DS/DocumentSearch/DocumentDetail?doc_id=2016052701091001" target="_blank"&gt;Verified by Public Record&lt;/a&gt;</t>
  </si>
  <si>
    <t>&lt;a href="http://a836-acris.nyc.gov/DS/DocumentSearch/DocumentDetail?doc_id=2019112600403001" target="_blank"&gt;Verified by Public Record&lt;/a&gt;</t>
  </si>
  <si>
    <t>&lt;a href="http://a836-acris.nyc.gov/DS/DocumentSearch/DocumentDetail?doc_id=2018080201001001" target="_blank"&gt;Verified by Public Record&lt;/a&gt;</t>
  </si>
  <si>
    <t>&lt;a href="http://a836-acris.nyc.gov/DS/DocumentSearch/DocumentDetail?doc_id=2018052000015002" target="_blank"&gt;Verified by Public Record&lt;/a&gt;</t>
  </si>
  <si>
    <t>&lt;a href="http://a836-acris.nyc.gov/DS/DocumentSearch/DocumentDetail?doc_id=2015063000667001" target="_blank"&gt;Verified by Public Record&lt;/a&gt;</t>
  </si>
  <si>
    <t>&lt;a href="http://a836-acris.nyc.gov/DS/DocumentSearch/DocumentDetail?doc_id=2015070701091001" target="_blank"&gt;Verified by Public Record&lt;/a&gt;</t>
  </si>
  <si>
    <t>&lt;a href="http://a836-acris.nyc.gov/DS/DocumentSearch/DocumentDetail?doc_id=2015071400032001" target="_blank"&gt;Verified by Public Record&lt;/a&gt;</t>
  </si>
  <si>
    <t>&lt;a href="http://a836-acris.nyc.gov/DS/DocumentSearch/DocumentDetail?doc_id=2015072700770001" target="_blank"&gt;Verified by Public Record&lt;/a&gt;</t>
  </si>
  <si>
    <t>&lt;a href="http://a836-acris.nyc.gov/DS/DocumentSearch/DocumentDetail?doc_id=2015062300386001" target="_blank"&gt;Verified by Public Record&lt;/a&gt;</t>
  </si>
  <si>
    <t>&lt;a href="http://a836-acris.nyc.gov/DS/DocumentSearch/DocumentDetail?doc_id=2016041900294001" target="_blank"&gt;Verified by Public Record&lt;/a&gt;</t>
  </si>
  <si>
    <t>&lt;a href="http://a836-acris.nyc.gov/DS/DocumentSearch/DocumentDetail?doc_id=2015080600422002" target="_blank"&gt;Verified by Public Record&lt;/a&gt;</t>
  </si>
  <si>
    <t>&lt;a href="http://a836-acris.nyc.gov/DS/DocumentSearch/DocumentDetail?doc_id=2015111900184002" target="_blank"&gt;Verified by Public Record&lt;/a&gt;</t>
  </si>
  <si>
    <t>&lt;a href="http://a836-acris.nyc.gov/DS/DocumentSearch/DocumentDetail?doc_id=2015061900123002" target="_blank"&gt;Verified by Public Record&lt;/a&gt;</t>
  </si>
  <si>
    <t>&lt;a href="http://a836-acris.nyc.gov/DS/DocumentSearch/DocumentDetail?doc_id=2015062300219001" target="_blank"&gt;Verified by Public Record&lt;/a&gt;</t>
  </si>
  <si>
    <t>&lt;a href="http://a836-acris.nyc.gov/DS/DocumentSearch/DocumentDetail?doc_id=2015062300139001" target="_blank"&gt;Verified by Public Record&lt;/a&gt;</t>
  </si>
  <si>
    <t>&lt;a href="http://a836-acris.nyc.gov/DS/DocumentSearch/DocumentDetail?doc_id=2015062201181002" target="_blank"&gt;Verified by Public Record&lt;/a&gt;</t>
  </si>
  <si>
    <t>&lt;a href="http://a836-acris.nyc.gov/DS/DocumentSearch/DocumentDetail?doc_id=2015071500918002" target="_blank"&gt;Verified by Public Record&lt;/a&gt;</t>
  </si>
  <si>
    <t>&lt;a href="http://a836-acris.nyc.gov/DS/DocumentSearch/DocumentDetail?doc_id=2015062501041001" target="_blank"&gt;Verified by Public Record&lt;/a&gt;</t>
  </si>
  <si>
    <t>&lt;a href="http://a836-acris.nyc.gov/DS/DocumentSearch/DocumentDetail?doc_id=2015062200551001" target="_blank"&gt;Verified by Public Record&lt;/a&gt;</t>
  </si>
  <si>
    <t>&lt;a href="http://a836-acris.nyc.gov/DS/DocumentSearch/DocumentDetail?doc_id=2015062600021002" target="_blank"&gt;Verified by Public Record&lt;/a&gt;</t>
  </si>
  <si>
    <t>&lt;a href="http://a836-acris.nyc.gov/DS/DocumentSearch/DocumentDetail?doc_id=2018082200577001" target="_blank"&gt;Verified by Public Record&lt;/a&gt;</t>
  </si>
  <si>
    <t>&lt;a href="http://a836-acris.nyc.gov/DS/DocumentSearch/DocumentDetail?doc_id=2018080600393001" target="_blank"&gt;Verified by Public Record&lt;/a&gt;</t>
  </si>
  <si>
    <t>&lt;a href="http://a836-acris.nyc.gov/DS/DocumentSearch/DocumentDetail?doc_id=2020111300930004" target="_blank"&gt;Public Record Only&lt;/a&gt;</t>
  </si>
  <si>
    <t>&lt;a href="http://a836-acris.nyc.gov/DS/DocumentSearch/DocumentDetail?doc_id=2016050901204001" target="_blank"&gt;Verified by Public Record&lt;/a&gt;</t>
  </si>
  <si>
    <t>&lt;a href="http://a836-acris.nyc.gov/DS/DocumentSearch/DocumentDetail?doc_id=2015112400030002" target="_blank"&gt;Verified by Public Record&lt;/a&gt;</t>
  </si>
  <si>
    <t>&lt;a href="http://a836-acris.nyc.gov/DS/DocumentSearch/DocumentDetail?doc_id=2015081200346001" target="_blank"&gt;Verified by Public Record&lt;/a&gt;</t>
  </si>
  <si>
    <t>&lt;a href="http://a836-acris.nyc.gov/DS/DocumentSearch/DocumentDetail?doc_id=2015072800771001" target="_blank"&gt;Verified by Public Record&lt;/a&gt;</t>
  </si>
  <si>
    <t>&lt;a href="http://a836-acris.nyc.gov/DS/DocumentSearch/DocumentDetail?doc_id=2018051001017001" target="_blank"&gt;Verified by Public Record&lt;/a&gt;</t>
  </si>
  <si>
    <t>&lt;a href="http://a836-acris.nyc.gov/DS/DocumentSearch/DocumentDetail?doc_id=2016090201055001" target="_blank"&gt;Verified by Public Record&lt;/a&gt;</t>
  </si>
  <si>
    <t>&lt;a href="http://a836-acris.nyc.gov/DS/DocumentSearch/DocumentDetail?doc_id=2016072200262001" target="_blank"&gt;Verified by Public Record&lt;/a&gt;</t>
  </si>
  <si>
    <t>&lt;a href="http://a836-acris.nyc.gov/DS/DocumentSearch/DocumentDetail?doc_id=2018041800634001" target="_blank"&gt;Verified by Public Record&lt;/a&gt;</t>
  </si>
  <si>
    <t>&lt;a href="http://a836-acris.nyc.gov/DS/DocumentSearch/DocumentDetail?doc_id=2017101400025001" target="_blank"&gt;Verified by Public Record&lt;/a&gt;</t>
  </si>
  <si>
    <t>&lt;a href="http://a836-acris.nyc.gov/DS/DocumentSearch/DocumentDetail?doc_id=2017112100953001" target="_blank"&gt;Verified by Public Record&lt;/a&gt;</t>
  </si>
  <si>
    <t>&lt;a href="http://a836-acris.nyc.gov/DS/DocumentSearch/DocumentDetail?doc_id=2017122300004001" target="_blank"&gt;Verified by Public Record&lt;/a&gt;</t>
  </si>
  <si>
    <t>&lt;a href="http://a836-acris.nyc.gov/DS/DocumentSearch/DocumentDetail?doc_id=2017110200654001" target="_blank"&gt;Verified by Public Record&lt;/a&gt;</t>
  </si>
  <si>
    <t>&lt;a href="http://a836-acris.nyc.gov/DS/DocumentSearch/DocumentDetail?doc_id=2017031700139001" target="_blank"&gt;Verified by Public Record&lt;/a&gt;</t>
  </si>
  <si>
    <t>&lt;a href="http://a836-acris.nyc.gov/DS/DocumentSearch/DocumentDetail?doc_id=2017112200493001" target="_blank"&gt;Verified by Public Record&lt;/a&gt;</t>
  </si>
  <si>
    <t>&lt;a href="http://a836-acris.nyc.gov/DS/DocumentSearch/DocumentDetail?doc_id=2017082201112001" target="_blank"&gt;Verified by Public Record&lt;/a&gt;</t>
  </si>
  <si>
    <t>&lt;a href="http://a836-acris.nyc.gov/DS/DocumentSearch/DocumentDetail?doc_id=2018101101178001" target="_blank"&gt;Verified by Public Record&lt;/a&gt;</t>
  </si>
  <si>
    <t>&lt;a href="http://a836-acris.nyc.gov/DS/DocumentSearch/DocumentDetail?doc_id=2020012400777001" target="_blank"&gt;Verified by Public Record&lt;/a&gt;</t>
  </si>
  <si>
    <t>Private Roof Deck
Roof Deck
Common Roof Deck
Common Outdoor Space
Private Outdoor Space</t>
  </si>
  <si>
    <t>&lt;a href="http://a836-acris.nyc.gov/DS/DocumentSearch/DocumentDetail?doc_id=2017041200105001" target="_blank"&gt;Verified by Public Record&lt;/a&gt;</t>
  </si>
  <si>
    <t>&lt;a href="http://a836-acris.nyc.gov/DS/DocumentSearch/DocumentDetail?doc_id=2016102600302002" target="_blank"&gt;Verified by Public Record&lt;/a&gt;</t>
  </si>
  <si>
    <t>&lt;a href="http://a836-acris.nyc.gov/DS/DocumentSearch/DocumentDetail?doc_id=2019111201315001" target="_blank"&gt;Verified by Public Record&lt;/a&gt;</t>
  </si>
  <si>
    <t>&lt;a href="http://a836-acris.nyc.gov/DS/DocumentSearch/DocumentDetail?doc_id=2021072300547001" target="_blank"&gt;Verified by Public Record&lt;/a&gt;</t>
  </si>
  <si>
    <t>&lt;a href="http://a836-acris.nyc.gov/DS/DocumentSearch/DocumentDetail?doc_id=2019102800452001" target="_blank"&gt;Verified by Public Record&lt;/a&gt;</t>
  </si>
  <si>
    <t>&lt;a href="http://a836-acris.nyc.gov/DS/DocumentSearch/DocumentDetail?doc_id=2019020600174001" target="_blank"&gt;Verified by Public Record&lt;/a&gt;</t>
  </si>
  <si>
    <t>&lt;a href="http://a836-acris.nyc.gov/DS/DocumentSearch/DocumentDetail?doc_id=2018051800978002" target="_blank"&gt;Verified by Public Record&lt;/a&gt;</t>
  </si>
  <si>
    <t>&lt;a href="http://a836-acris.nyc.gov/DS/DocumentSearch/DocumentDetail?doc_id=2016080900946001" target="_blank"&gt;Verified by Public Record&lt;/a&gt;</t>
  </si>
  <si>
    <t>&lt;a href="http://a836-acris.nyc.gov/DS/DocumentSearch/DocumentDetail?doc_id=2019091600817001" target="_blank"&gt;Verified by Public Record&lt;/a&gt;</t>
  </si>
  <si>
    <t>&lt;a href="http://a836-acris.nyc.gov/DS/DocumentSearch/DocumentDetail?doc_id=2020010201007001" target="_blank"&gt;Verified by Public Record&lt;/a&gt;</t>
  </si>
  <si>
    <t>&lt;a href="http://a836-acris.nyc.gov/DS/DocumentSearch/DocumentDetail?doc_id=2021080200596001" target="_blank"&gt;Verified by Public Record&lt;/a&gt;</t>
  </si>
  <si>
    <t>&lt;a href="http://a836-acris.nyc.gov/DS/DocumentSearch/DocumentDetail?doc_id=2017050500765001" target="_blank"&gt;Verified by Public Record&lt;/a&gt;</t>
  </si>
  <si>
    <t>&lt;a href="http://a836-acris.nyc.gov/DS/DocumentSearch/DocumentDetail?doc_id=2021033000127001" target="_blank"&gt;Verified by Public Record&lt;/a&gt;</t>
  </si>
  <si>
    <t>&lt;a href="http://a836-acris.nyc.gov/DS/DocumentSearch/DocumentDetail?doc_id=2020042200482001" target="_blank"&gt;Verified by Public Record&lt;/a&gt;</t>
  </si>
  <si>
    <t>Balcony
Private Terrace
Patio
Roof Deck
Common Roof Deck
Common Garden
Common Outdoor Space
Private Outdoor Space</t>
  </si>
  <si>
    <t>&lt;a href="http://a836-acris.nyc.gov/DS/DocumentSearch/DocumentDetail?doc_id=2021031801424003" target="_blank"&gt;Verified by Public Record&lt;/a&gt;</t>
  </si>
  <si>
    <t>&lt;a href="http://a836-acris.nyc.gov/DS/DocumentSearch/DocumentDetail?doc_id=2017010500111002" target="_blank"&gt;Verified by Public Record&lt;/a&gt;</t>
  </si>
  <si>
    <t>&lt;a href="http://a836-acris.nyc.gov/DS/DocumentSearch/DocumentDetail?doc_id=2018100400058001" target="_blank"&gt;Verified by Public Record&lt;/a&gt;</t>
  </si>
  <si>
    <t>&lt;a href="http://a836-acris.nyc.gov/DS/DocumentSearch/DocumentDetail?doc_id=2018102300397001" target="_blank"&gt;Verified by Public Record&lt;/a&gt;</t>
  </si>
  <si>
    <t>&lt;a href="http://a836-acris.nyc.gov/DS/DocumentSearch/DocumentDetail?doc_id=2018101000791001" target="_blank"&gt;Verified by Public Record&lt;/a&gt;</t>
  </si>
  <si>
    <t>&lt;a href="http://a836-acris.nyc.gov/DS/DocumentSearch/DocumentDetail?doc_id=2018101600832001" target="_blank"&gt;Verified by Public Record&lt;/a&gt;</t>
  </si>
  <si>
    <t>&lt;a href="http://a836-acris.nyc.gov/DS/DocumentSearch/DocumentDetail?doc_id=2018100300446001" target="_blank"&gt;Verified by Public Record&lt;/a&gt;</t>
  </si>
  <si>
    <t>Private Terrace
Private Yard
Roof Deck
Common Roof Deck
Common Outdoor Space
Private Outdoor Space</t>
  </si>
  <si>
    <t>&lt;a href="http://a836-acris.nyc.gov/DS/DocumentSearch/DocumentDetail?doc_id=2021070600391001" target="_blank"&gt;Verified by Public Record&lt;/a&gt;</t>
  </si>
  <si>
    <t>&lt;a href="http://a836-acris.nyc.gov/DS/DocumentSearch/DocumentDetail?doc_id=2020100100770001" target="_blank"&gt;Verified by Public Record&lt;/a&gt;</t>
  </si>
  <si>
    <t>Private Roof Deck
Common Roof Deck
Barbecue Area
Common Outdoor Space</t>
  </si>
  <si>
    <t>&lt;a href="http://a836-acris.nyc.gov/DS/DocumentSearch/DocumentDetail?doc_id=2016102600450001" target="_blank"&gt;Verified by Public Record&lt;/a&gt;</t>
  </si>
  <si>
    <t>&lt;a href="http://a836-acris.nyc.gov/DS/DocumentSearch/DocumentDetail?doc_id=2015032500233001" target="_blank"&gt;Verified by Public Record&lt;/a&gt;</t>
  </si>
  <si>
    <t>&lt;a href="http://a836-acris.nyc.gov/DS/DocumentSearch/DocumentDetail?doc_id=2019070300382001" target="_blank"&gt;Verified by Public Record&lt;/a&gt;</t>
  </si>
  <si>
    <t>&lt;a href="http://a836-acris.nyc.gov/DS/DocumentSearch/DocumentDetail?doc_id=2019062101005001" target="_blank"&gt;Public Record Only&lt;/a&gt;</t>
  </si>
  <si>
    <t>&lt;a href="http://a836-acris.nyc.gov/DS/DocumentSearch/DocumentDetail?doc_id=2016100501648002" target="_blank"&gt;Verified by Public Record&lt;/a&gt;</t>
  </si>
  <si>
    <t>&lt;a href="http://a836-acris.nyc.gov/DS/DocumentSearch/DocumentDetail?doc_id=2015032301154002" target="_blank"&gt;Verified by Public Record&lt;/a&gt;</t>
  </si>
  <si>
    <t>&lt;a href="http://a836-acris.nyc.gov/DS/DocumentSearch/DocumentDetail?doc_id=2016091500453001" target="_blank"&gt;Verified by Public Record&lt;/a&gt;</t>
  </si>
  <si>
    <t>&lt;a href="http://a836-acris.nyc.gov/DS/DocumentSearch/DocumentDetail?doc_id=2016100501646002" target="_blank"&gt;Verified by Public Record&lt;/a&gt;</t>
  </si>
  <si>
    <t>&lt;a href="http://a836-acris.nyc.gov/DS/DocumentSearch/DocumentDetail?doc_id=2016100501649003" target="_blank"&gt;Verified by Public Record&lt;/a&gt;</t>
  </si>
  <si>
    <t>&lt;a href="http://a836-acris.nyc.gov/DS/DocumentSearch/DocumentDetail?doc_id=2015031800762001" target="_blank"&gt;Verified by Public Record&lt;/a&gt;</t>
  </si>
  <si>
    <t>&lt;a href="http://a836-acris.nyc.gov/DS/DocumentSearch/DocumentDetail?doc_id=2018062101335002" target="_blank"&gt;Verified by Public Record&lt;/a&gt;</t>
  </si>
  <si>
    <t>&lt;a href="http://a836-acris.nyc.gov/DS/DocumentSearch/DocumentDetail?doc_id=2017100900151001" target="_blank"&gt;Verified by Public Record&lt;/a&gt;</t>
  </si>
  <si>
    <t>&lt;a href="http://a836-acris.nyc.gov/DS/DocumentSearch/DocumentDetail?doc_id=2017092800869002" target="_blank"&gt;Verified by Public Record&lt;/a&gt;</t>
  </si>
  <si>
    <t>&lt;a href="http://a836-acris.nyc.gov/DS/DocumentSearch/DocumentDetail?doc_id=2017101300605001" target="_blank"&gt;Verified by Public Record&lt;/a&gt;</t>
  </si>
  <si>
    <t>&lt;a href="http://a836-acris.nyc.gov/DS/DocumentSearch/DocumentDetail?doc_id=2018042300270002" target="_blank"&gt;Verified by Public Record&lt;/a&gt;</t>
  </si>
  <si>
    <t>&lt;a href="http://a836-acris.nyc.gov/DS/DocumentSearch/DocumentDetail?doc_id=2020111000356002" target="_blank"&gt;Verified by Public Record&lt;/a&gt;</t>
  </si>
  <si>
    <t>&lt;a href="http://a836-acris.nyc.gov/DS/DocumentSearch/DocumentDetail?doc_id=2021080400156002" target="_blank"&gt;Verified by Public Record&lt;/a&gt;</t>
  </si>
  <si>
    <t>&lt;a href="http://a836-acris.nyc.gov/DS/DocumentSearch/DocumentDetail?doc_id=2017092600822001" target="_blank"&gt;Verified by Public Record&lt;/a&gt;</t>
  </si>
  <si>
    <t>&lt;a href="http://a836-acris.nyc.gov/DS/DocumentSearch/DocumentDetail?doc_id=2016102700946001" target="_blank"&gt;Verified by Public Record&lt;/a&gt;</t>
  </si>
  <si>
    <t>&lt;a href="http://a836-acris.nyc.gov/DS/DocumentSearch/DocumentDetail?doc_id=2016102400787001" target="_blank"&gt;Verified by Public Record&lt;/a&gt;</t>
  </si>
  <si>
    <t>Private Roof Deck
Deck
Common Roof Deck
Private Outdoor Space</t>
  </si>
  <si>
    <t>&lt;a href="http://a836-acris.nyc.gov/DS/DocumentSearch/DocumentDetail?doc_id=2016100501638002" target="_blank"&gt;Verified by Public Record&lt;/a&gt;</t>
  </si>
  <si>
    <t>&lt;a href="http://a836-acris.nyc.gov/DS/DocumentSearch/DocumentDetail?doc_id=2021042201006003" target="_blank"&gt;Verified by Public Record&lt;/a&gt;</t>
  </si>
  <si>
    <t>Private Terrace
Private Patio
Roof Deck
Common Roof Deck
Common Outdoor Space
Private Outdoor Space</t>
  </si>
  <si>
    <t>&lt;a href="http://a836-acris.nyc.gov/DS/DocumentSearch/DocumentDetail?doc_id=2016102500999001" target="_blank"&gt;Verified by Public Record&lt;/a&gt;</t>
  </si>
  <si>
    <t>&lt;a href="http://a836-acris.nyc.gov/DS/DocumentSearch/DocumentDetail?doc_id=2016100501640003" target="_blank"&gt;Verified by Public Record&lt;/a&gt;</t>
  </si>
  <si>
    <t>&lt;a href="http://a836-acris.nyc.gov/DS/DocumentSearch/DocumentDetail?doc_id=2018010400056002" target="_blank"&gt;Verified by Public Record&lt;/a&gt;</t>
  </si>
  <si>
    <t>&lt;a href="http://a836-acris.nyc.gov/DS/DocumentSearch/DocumentDetail?doc_id=2016101900332001" target="_blank"&gt;Verified by Public Record&lt;/a&gt;</t>
  </si>
  <si>
    <t>&lt;a href="http://a836-acris.nyc.gov/DS/DocumentSearch/DocumentDetail?doc_id=2017121800713001" target="_blank"&gt;Verified by Public Record&lt;/a&gt;</t>
  </si>
  <si>
    <t>&lt;a href="http://a836-acris.nyc.gov/DS/DocumentSearch/DocumentDetail?doc_id=2015020900375003" target="_blank"&gt;Verified by Public Record&lt;/a&gt;</t>
  </si>
  <si>
    <t>&lt;a href="http://a836-acris.nyc.gov/DS/DocumentSearch/DocumentDetail?doc_id=2015021100805001" target="_blank"&gt;Verified by Public Record&lt;/a&gt;</t>
  </si>
  <si>
    <t>&lt;a href="http://a836-acris.nyc.gov/DS/DocumentSearch/DocumentDetail?doc_id=2015021300185003" target="_blank"&gt;Verified by Public Record&lt;/a&gt;</t>
  </si>
  <si>
    <t>&lt;a href="http://a836-acris.nyc.gov/DS/DocumentSearch/DocumentDetail?doc_id=2016092700534001" target="_blank"&gt;Verified by Public Record&lt;/a&gt;</t>
  </si>
  <si>
    <t>&lt;a href="http://a836-acris.nyc.gov/DS/DocumentSearch/DocumentDetail?doc_id=2018061201138001" target="_blank"&gt;Verified by Public Record&lt;/a&gt;</t>
  </si>
  <si>
    <t>&lt;a href="http://a836-acris.nyc.gov/DS/DocumentSearch/DocumentDetail?doc_id=2016101300604004" target="_blank"&gt;Verified by Public Record&lt;/a&gt;</t>
  </si>
  <si>
    <t>&lt;a href="http://a836-acris.nyc.gov/DS/DocumentSearch/DocumentDetail?doc_id=2016121300436001" target="_blank"&gt;Verified by Public Record&lt;/a&gt;</t>
  </si>
  <si>
    <t>&lt;a href="http://a836-acris.nyc.gov/DS/DocumentSearch/DocumentDetail?doc_id=2016092700658001" target="_blank"&gt;Verified by Public Record&lt;/a&gt;</t>
  </si>
  <si>
    <t>&lt;a href="http://a836-acris.nyc.gov/DS/DocumentSearch/DocumentDetail?doc_id=2016101900436002" target="_blank"&gt;Verified by Public Record&lt;/a&gt;</t>
  </si>
  <si>
    <t>&lt;a href="http://a836-acris.nyc.gov/DS/DocumentSearch/DocumentDetail?doc_id=2017012400038001" target="_blank"&gt;Verified by Public Record&lt;/a&gt;</t>
  </si>
  <si>
    <t>&lt;a href="http://a836-acris.nyc.gov/DS/DocumentSearch/DocumentDetail?doc_id=2015020400965001" target="_blank"&gt;Verified by Public Record&lt;/a&gt;</t>
  </si>
  <si>
    <t>&lt;a href="http://a836-acris.nyc.gov/DS/DocumentSearch/DocumentDetail?doc_id=2015021201025001" target="_blank"&gt;Verified by Public Record&lt;/a&gt;</t>
  </si>
  <si>
    <t>&lt;a href="http://a836-acris.nyc.gov/DS/DocumentSearch/DocumentDetail?doc_id=2015050801198002" target="_blank"&gt;Verified by Public Record&lt;/a&gt;</t>
  </si>
  <si>
    <t>&lt;a href="http://a836-acris.nyc.gov/DS/DocumentSearch/DocumentDetail?doc_id=2015021000411001" target="_blank"&gt;Verified by Public Record&lt;/a&gt;</t>
  </si>
  <si>
    <t>&lt;a href="http://a836-acris.nyc.gov/DS/DocumentSearch/DocumentDetail?doc_id=2016101300764001" target="_blank"&gt;Verified by Public Record&lt;/a&gt;</t>
  </si>
  <si>
    <t>&lt;a href="http://a836-acris.nyc.gov/DS/DocumentSearch/DocumentDetail?doc_id=2016092700368001" target="_blank"&gt;Verified by Public Record&lt;/a&gt;</t>
  </si>
  <si>
    <t>&lt;a href="http://a836-acris.nyc.gov/DS/DocumentSearch/DocumentDetail?doc_id=2017111500238001" target="_blank"&gt;Verified by Public Record&lt;/a&gt;</t>
  </si>
  <si>
    <t>&lt;a href="http://a836-acris.nyc.gov/DS/DocumentSearch/DocumentDetail?doc_id=2015021300935001" target="_blank"&gt;Verified by Public Record&lt;/a&gt;</t>
  </si>
  <si>
    <t>&lt;a href="http://a836-acris.nyc.gov/DS/DocumentSearch/DocumentDetail?doc_id=2017102501569002" target="_blank"&gt;Verified by Public Record&lt;/a&gt;</t>
  </si>
  <si>
    <t>&lt;a href="http://a836-acris.nyc.gov/DS/DocumentSearch/DocumentDetail?doc_id=2017103100952003" target="_blank"&gt;Verified by Public Record&lt;/a&gt;</t>
  </si>
  <si>
    <t>&lt;a href="http://a836-acris.nyc.gov/DS/DocumentSearch/DocumentDetail?doc_id=2017112001121001" target="_blank"&gt;Verified by Public Record&lt;/a&gt;</t>
  </si>
  <si>
    <t>&lt;a href="http://a836-acris.nyc.gov/DS/DocumentSearch/DocumentDetail?doc_id=2017120600387001" target="_blank"&gt;Verified by Public Record&lt;/a&gt;</t>
  </si>
  <si>
    <t>&lt;a href="http://a836-acris.nyc.gov/DS/DocumentSearch/DocumentDetail?doc_id=2017113001344002" target="_blank"&gt;Verified by Public Record&lt;/a&gt;</t>
  </si>
  <si>
    <t>&lt;a href="http://a836-acris.nyc.gov/DS/DocumentSearch/DocumentDetail?doc_id=2017091400419001" target="_blank"&gt;Verified by Public Record&lt;/a&gt;</t>
  </si>
  <si>
    <t>&lt;a href="http://a836-acris.nyc.gov/DS/DocumentSearch/DocumentDetail?doc_id=2017091900480004" target="_blank"&gt;Verified by Public Record&lt;/a&gt;</t>
  </si>
  <si>
    <t>&lt;a href="http://a836-acris.nyc.gov/DS/DocumentSearch/DocumentDetail?doc_id=2017102601757001" target="_blank"&gt;Verified by Public Record&lt;/a&gt;</t>
  </si>
  <si>
    <t>&lt;a href="http://a836-acris.nyc.gov/DS/DocumentSearch/DocumentDetail?doc_id=2017100600973001" target="_blank"&gt;Verified by Public Record&lt;/a&gt;</t>
  </si>
  <si>
    <t>&lt;a href="http://a836-acris.nyc.gov/DS/DocumentSearch/DocumentDetail?doc_id=2015021200329001" target="_blank"&gt;Verified by Public Record&lt;/a&gt;</t>
  </si>
  <si>
    <t>&lt;a href="http://a836-acris.nyc.gov/DS/DocumentSearch/DocumentDetail?doc_id=2016110800757001" target="_blank"&gt;Verified by Public Record&lt;/a&gt;</t>
  </si>
  <si>
    <t>&lt;a href="http://a836-acris.nyc.gov/DS/DocumentSearch/DocumentDetail?doc_id=2015101200600001" target="_blank"&gt;Verified by Public Record&lt;/a&gt;</t>
  </si>
  <si>
    <t>&lt;a href="http://a836-acris.nyc.gov/DS/DocumentSearch/DocumentDetail?doc_id=2015021100572001" target="_blank"&gt;Verified by Public Record&lt;/a&gt;</t>
  </si>
  <si>
    <t>&lt;a href="http://a836-acris.nyc.gov/DS/DocumentSearch/DocumentDetail?doc_id=2015030300673001" target="_blank"&gt;Verified by Public Record&lt;/a&gt;</t>
  </si>
  <si>
    <t>&lt;a href="http://a836-acris.nyc.gov/DS/DocumentSearch/DocumentDetail?doc_id=2015020600909001" target="_blank"&gt;Verified by Public Record&lt;/a&gt;</t>
  </si>
  <si>
    <t>&lt;a href="http://a836-acris.nyc.gov/DS/DocumentSearch/DocumentDetail?doc_id=2017090500998001" target="_blank"&gt;Verified by Public Record&lt;/a&gt;</t>
  </si>
  <si>
    <t>&lt;a href="http://a836-acris.nyc.gov/DS/DocumentSearch/DocumentDetail?doc_id=2015021300904001" target="_blank"&gt;Verified by Public Record&lt;/a&gt;</t>
  </si>
  <si>
    <t>&lt;a href="http://a836-acris.nyc.gov/DS/DocumentSearch/DocumentDetail?doc_id=2018042600797001" target="_blank"&gt;Verified by Public Record&lt;/a&gt;</t>
  </si>
  <si>
    <t>&lt;a href="http://a836-acris.nyc.gov/DS/DocumentSearch/DocumentDetail?doc_id=2015021001108001" target="_blank"&gt;Verified by Public Record&lt;/a&gt;</t>
  </si>
  <si>
    <t>&lt;a href="http://a836-acris.nyc.gov/DS/DocumentSearch/DocumentDetail?doc_id=2015021001205001" target="_blank"&gt;Verified by Public Record&lt;/a&gt;</t>
  </si>
  <si>
    <t>&lt;a href="http://a836-acris.nyc.gov/DS/DocumentSearch/DocumentDetail?doc_id=2015041700225001" target="_blank"&gt;Verified by Public Record&lt;/a&gt;</t>
  </si>
  <si>
    <t>&lt;a href="http://a836-acris.nyc.gov/DS/DocumentSearch/DocumentDetail?doc_id=2015022600745001" target="_blank"&gt;Verified by Public Record&lt;/a&gt;</t>
  </si>
  <si>
    <t>&lt;a href="http://a836-acris.nyc.gov/DS/DocumentSearch/DocumentDetail?doc_id=2015021800666002" target="_blank"&gt;Verified by Public Record&lt;/a&gt;</t>
  </si>
  <si>
    <t>&lt;a href="http://a836-acris.nyc.gov/DS/DocumentSearch/DocumentDetail?doc_id=2019080101054002" target="_blank"&gt;Verified by Public Record&lt;/a&gt;</t>
  </si>
  <si>
    <t>&lt;a href="http://a836-acris.nyc.gov/DS/DocumentSearch/DocumentDetail?doc_id=2016101901261003" target="_blank"&gt;Verified by Public Record&lt;/a&gt;</t>
  </si>
  <si>
    <t>&lt;a href="http://a836-acris.nyc.gov/DS/DocumentSearch/DocumentDetail?doc_id=2016111700390001" target="_blank"&gt;Verified by Public Record&lt;/a&gt;</t>
  </si>
  <si>
    <t>&lt;a href="http://a836-acris.nyc.gov/DS/DocumentSearch/DocumentDetail?doc_id=2018062901217002" target="_blank"&gt;Verified by Public Record&lt;/a&gt;</t>
  </si>
  <si>
    <t>&lt;a href="http://a836-acris.nyc.gov/DS/DocumentSearch/DocumentDetail?doc_id=2016110301251003" target="_blank"&gt;Verified by Public Record&lt;/a&gt;</t>
  </si>
  <si>
    <t>&lt;a href="http://a836-acris.nyc.gov/DS/DocumentSearch/DocumentDetail?doc_id=2015031700443001" target="_blank"&gt;Verified by Public Record&lt;/a&gt;</t>
  </si>
  <si>
    <t>&lt;a href="http://a836-acris.nyc.gov/DS/DocumentSearch/DocumentDetail?doc_id=2015022601112001" target="_blank"&gt;Verified by Public Record&lt;/a&gt;</t>
  </si>
  <si>
    <t>&lt;a href="http://a836-acris.nyc.gov/DS/DocumentSearch/DocumentDetail?doc_id=2015022800046001" target="_blank"&gt;Verified by Public Record&lt;/a&gt;</t>
  </si>
  <si>
    <t>&lt;a href="http://a836-acris.nyc.gov/DS/DocumentSearch/DocumentDetail?doc_id=2017041200263001" target="_blank"&gt;Verified by Public Record&lt;/a&gt;</t>
  </si>
  <si>
    <t>&lt;a href="http://a836-acris.nyc.gov/DS/DocumentSearch/DocumentDetail?doc_id=2015022400997001" target="_blank"&gt;Verified by Public Record&lt;/a&gt;</t>
  </si>
  <si>
    <t>&lt;a href="http://a836-acris.nyc.gov/DS/DocumentSearch/DocumentDetail?doc_id=2015042400080001" target="_blank"&gt;Verified by Public Record&lt;/a&gt;</t>
  </si>
  <si>
    <t>&lt;a href="http://a836-acris.nyc.gov/DS/DocumentSearch/DocumentDetail?doc_id=2018040500186001" target="_blank"&gt;Verified by Public Record&lt;/a&gt;</t>
  </si>
  <si>
    <t>&lt;a href="http://a836-acris.nyc.gov/DS/DocumentSearch/DocumentDetail?doc_id=2016092800141001" target="_blank"&gt;Verified by Public Record&lt;/a&gt;</t>
  </si>
  <si>
    <t>&lt;a href="http://a836-acris.nyc.gov/DS/DocumentSearch/DocumentDetail?doc_id=2017100500808001" target="_blank"&gt;Verified by Public Record&lt;/a&gt;</t>
  </si>
  <si>
    <t>&lt;a href="http://a836-acris.nyc.gov/DS/DocumentSearch/DocumentDetail?doc_id=2017101700875001" target="_blank"&gt;Verified by Public Record&lt;/a&gt;</t>
  </si>
  <si>
    <t>&lt;a href="http://a836-acris.nyc.gov/DS/DocumentSearch/DocumentDetail?doc_id=2017121201439001" target="_blank"&gt;Verified by Public Record&lt;/a&gt;</t>
  </si>
  <si>
    <t>&lt;a href="http://a836-acris.nyc.gov/DS/DocumentSearch/DocumentDetail?doc_id=2017102700116001" target="_blank"&gt;Verified by Public Record&lt;/a&gt;</t>
  </si>
  <si>
    <t>&lt;a href="http://a836-acris.nyc.gov/DS/DocumentSearch/DocumentDetail?doc_id=2017120700451003" target="_blank"&gt;Verified by Public Record&lt;/a&gt;</t>
  </si>
  <si>
    <t>&lt;a href="http://a836-acris.nyc.gov/DS/DocumentSearch/DocumentDetail?doc_id=2017121501077001" target="_blank"&gt;Verified by Public Record&lt;/a&gt;</t>
  </si>
  <si>
    <t>&lt;a href="http://a836-acris.nyc.gov/DS/DocumentSearch/DocumentDetail?doc_id=2017112700271006" target="_blank"&gt;Verified by Public Record&lt;/a&gt;</t>
  </si>
  <si>
    <t>&lt;a href="http://a836-acris.nyc.gov/DS/DocumentSearch/DocumentDetail?doc_id=2017101100941002" target="_blank"&gt;Verified by Public Record&lt;/a&gt;</t>
  </si>
  <si>
    <t>&lt;a href="http://a836-acris.nyc.gov/DS/DocumentSearch/DocumentDetail?doc_id=2017092700057001" target="_blank"&gt;Verified by Public Record&lt;/a&gt;</t>
  </si>
  <si>
    <t>&lt;a href="http://a836-acris.nyc.gov/DS/DocumentSearch/DocumentDetail?doc_id=2018050100971001" target="_blank"&gt;Verified by Public Record&lt;/a&gt;</t>
  </si>
  <si>
    <t>&lt;a href="http://a836-acris.nyc.gov/DS/DocumentSearch/DocumentDetail?doc_id=2015051200421001" target="_blank"&gt;Verified by Public Record&lt;/a&gt;</t>
  </si>
  <si>
    <t>&lt;a href="http://a836-acris.nyc.gov/DS/DocumentSearch/DocumentDetail?doc_id=2020042900554006" target="_blank"&gt;Verified by Public Record&lt;/a&gt;</t>
  </si>
  <si>
    <t>&lt;a href="http://a836-acris.nyc.gov/DS/DocumentSearch/DocumentDetail?doc_id=2015081901515001" target="_blank"&gt;Public Record Only&lt;/a&gt;</t>
  </si>
  <si>
    <t>&lt;a href="http://a836-acris.nyc.gov/DS/DocumentSearch/DocumentDetail?doc_id=2016020300674001" target="_blank"&gt;Verified by Public Record&lt;/a&gt;</t>
  </si>
  <si>
    <t>&lt;a href="http://a836-acris.nyc.gov/DS/DocumentSearch/DocumentDetail?doc_id=2018110500302001" target="_blank"&gt;Verified by Public Record&lt;/a&gt;</t>
  </si>
  <si>
    <t>&lt;a href="http://a836-acris.nyc.gov/DS/DocumentSearch/DocumentDetail?doc_id=2021030200413001" target="_blank"&gt;Verified by Public Record&lt;/a&gt;</t>
  </si>
  <si>
    <t>&lt;a href="http://a836-acris.nyc.gov/DS/DocumentSearch/DocumentDetail?doc_id=2016051200602001" target="_blank"&gt;Verified by Public Record&lt;/a&gt;</t>
  </si>
  <si>
    <t>&lt;a href="http://a836-acris.nyc.gov/DS/DocumentSearch/DocumentDetail?doc_id=2015020900931001" target="_blank"&gt;Verified by Public Record&lt;/a&gt;</t>
  </si>
  <si>
    <t>&lt;a href="http://a836-acris.nyc.gov/DS/DocumentSearch/DocumentDetail?doc_id=2015011600763003" target="_blank"&gt;Verified by Public Record&lt;/a&gt;</t>
  </si>
  <si>
    <t>&lt;a href="http://a836-acris.nyc.gov/DS/DocumentSearch/DocumentDetail?doc_id=2017022301237001" target="_blank"&gt;Verified by Public Record&lt;/a&gt;</t>
  </si>
  <si>
    <t>&lt;a href="http://a836-acris.nyc.gov/DS/DocumentSearch/DocumentDetail?doc_id=2016102500295001" target="_blank"&gt;Verified by Public Record&lt;/a&gt;</t>
  </si>
  <si>
    <t>&lt;a href="http://a836-acris.nyc.gov/DS/DocumentSearch/DocumentDetail?doc_id=2017060100977001" target="_blank"&gt;Verified by Public Record&lt;/a&gt;</t>
  </si>
  <si>
    <t>&lt;a href="http://a836-acris.nyc.gov/DS/DocumentSearch/DocumentDetail?doc_id=2016100600188001" target="_blank"&gt;Verified by Public Record&lt;/a&gt;</t>
  </si>
  <si>
    <t>&lt;a href="http://a836-acris.nyc.gov/DS/DocumentSearch/DocumentDetail?doc_id=2017080201586002" target="_blank"&gt;Verified by Public Record&lt;/a&gt;</t>
  </si>
  <si>
    <t>&lt;a href="http://a836-acris.nyc.gov/DS/DocumentSearch/DocumentDetail?doc_id=2017071400346004" target="_blank"&gt;Verified by Public Record&lt;/a&gt;</t>
  </si>
  <si>
    <t>&lt;a href="http://a836-acris.nyc.gov/DS/DocumentSearch/DocumentDetail?doc_id=2021080401219003" target="_blank"&gt;Verified by Public Record&lt;/a&gt;</t>
  </si>
  <si>
    <t>&lt;a href="http://a836-acris.nyc.gov/DS/DocumentSearch/DocumentDetail?doc_id=2016092100919001" target="_blank"&gt;Public Record Only&lt;/a&gt;</t>
  </si>
  <si>
    <t>&lt;a href="http://a836-acris.nyc.gov/DS/DocumentSearch/DocumentDetail?doc_id=2015021700013001" target="_blank"&gt;Verified by Public Record&lt;/a&gt;</t>
  </si>
  <si>
    <t>&lt;a href="http://a836-acris.nyc.gov/DS/DocumentSearch/DocumentDetail?doc_id=2015032401042001" target="_blank"&gt;Verified by Public Record&lt;/a&gt;</t>
  </si>
  <si>
    <t>&lt;a href="http://a836-acris.nyc.gov/DS/DocumentSearch/DocumentDetail?doc_id=2017100501033001" target="_blank"&gt;Verified by Public Record&lt;/a&gt;</t>
  </si>
  <si>
    <t>&lt;a href="http://a836-acris.nyc.gov/DS/DocumentSearch/DocumentDetail?doc_id=2015061000083001" target="_blank"&gt;Verified by Public Record&lt;/a&gt;</t>
  </si>
  <si>
    <t>&lt;a href="http://a836-acris.nyc.gov/DS/DocumentSearch/DocumentDetail?doc_id=2017060600454002" target="_blank"&gt;Verified by Public Record&lt;/a&gt;</t>
  </si>
  <si>
    <t>&lt;a href="http://a836-acris.nyc.gov/DS/DocumentSearch/DocumentDetail?doc_id=2017092100949003" target="_blank"&gt;Verified by Public Record&lt;/a&gt;</t>
  </si>
  <si>
    <t>&lt;a href="http://a836-acris.nyc.gov/DS/DocumentSearch/DocumentDetail?doc_id=2017120101164001" target="_blank"&gt;Verified by Public Record&lt;/a&gt;</t>
  </si>
  <si>
    <t>&lt;a href="http://a836-acris.nyc.gov/DS/DocumentSearch/DocumentDetail?doc_id=2020060801111001" target="_blank"&gt;Verified by Public Record&lt;/a&gt;</t>
  </si>
  <si>
    <t>Common Roof Deck
Back Yard</t>
  </si>
  <si>
    <t>&lt;a href="http://a836-acris.nyc.gov/DS/DocumentSearch/DocumentDetail?doc_id=2016121401136006" target="_blank"&gt;Verified by Public Record&lt;/a&gt;</t>
  </si>
  <si>
    <t>&lt;a href="http://a836-acris.nyc.gov/DS/DocumentSearch/DocumentDetail?doc_id=2017010300184001" target="_blank"&gt;Verified by Public Record&lt;/a&gt;</t>
  </si>
  <si>
    <t>&lt;a href="http://a836-acris.nyc.gov/DS/DocumentSearch/DocumentDetail?doc_id=2016110901085001" target="_blank"&gt;Verified by Public Record&lt;/a&gt;</t>
  </si>
  <si>
    <t>&lt;a href="http://a836-acris.nyc.gov/DS/DocumentSearch/DocumentDetail?doc_id=2017020701369002" target="_blank"&gt;Verified by Public Record&lt;/a&gt;</t>
  </si>
  <si>
    <t>&lt;a href="http://a836-acris.nyc.gov/DS/DocumentSearch/DocumentDetail?doc_id=2021022401314001" target="_blank"&gt;Public Record Only&lt;/a&gt;</t>
  </si>
  <si>
    <t>&lt;a href="http://a836-acris.nyc.gov/DS/DocumentSearch/DocumentDetail?doc_id=2017100500745002" target="_blank"&gt;Verified by Public Record&lt;/a&gt;</t>
  </si>
  <si>
    <t>&lt;a href="http://a836-acris.nyc.gov/DS/DocumentSearch/DocumentDetail?doc_id=2018011601288002" target="_blank"&gt;Verified by Public Record&lt;/a&gt;</t>
  </si>
  <si>
    <t>&lt;a href="http://a836-acris.nyc.gov/DS/DocumentSearch/DocumentDetail?doc_id=2017110901281001" target="_blank"&gt;Verified by Public Record&lt;/a&gt;</t>
  </si>
  <si>
    <t>&lt;a href="http://a836-acris.nyc.gov/DS/DocumentSearch/DocumentDetail?doc_id=2017112800758001" target="_blank"&gt;Verified by Public Record&lt;/a&gt;</t>
  </si>
  <si>
    <t>&lt;a href="http://a836-acris.nyc.gov/DS/DocumentSearch/DocumentDetail?doc_id=2017120801011001" target="_blank"&gt;Verified by Public Record&lt;/a&gt;</t>
  </si>
  <si>
    <t>&lt;a href="http://a836-acris.nyc.gov/DS/DocumentSearch/DocumentDetail?doc_id=2017121201215001" target="_blank"&gt;Verified by Public Record&lt;/a&gt;</t>
  </si>
  <si>
    <t>&lt;a href="http://a836-acris.nyc.gov/DS/DocumentSearch/DocumentDetail?doc_id=2017113000409001" target="_blank"&gt;Verified by Public Record&lt;/a&gt;</t>
  </si>
  <si>
    <t>&lt;a href="http://a836-acris.nyc.gov/DS/DocumentSearch/DocumentDetail?doc_id=2017092500123001" target="_blank"&gt;Verified by Public Record&lt;/a&gt;</t>
  </si>
  <si>
    <t>&lt;a href="http://a836-acris.nyc.gov/DS/DocumentSearch/DocumentDetail?doc_id=2017100500818003" target="_blank"&gt;Verified by Public Record&lt;/a&gt;</t>
  </si>
  <si>
    <t>&lt;a href="http://a836-acris.nyc.gov/DS/DocumentSearch/DocumentDetail?doc_id=2018043000716001" target="_blank"&gt;Verified by Public Record&lt;/a&gt;</t>
  </si>
  <si>
    <t>&lt;a href="http://a836-acris.nyc.gov/DS/DocumentSearch/DocumentDetail?doc_id=2018040500160001" target="_blank"&gt;Verified by Public Record&lt;/a&gt;</t>
  </si>
  <si>
    <t>&lt;a href="http://a836-acris.nyc.gov/DS/DocumentSearch/DocumentDetail?doc_id=2018041000476001" target="_blank"&gt;Verified by Public Record&lt;/a&gt;</t>
  </si>
  <si>
    <t>&lt;a href="http://a836-acris.nyc.gov/DS/DocumentSearch/DocumentDetail?doc_id=2018041200285001" target="_blank"&gt;Verified by Public Record&lt;/a&gt;</t>
  </si>
  <si>
    <t>&lt;a href="http://a836-acris.nyc.gov/DS/DocumentSearch/DocumentDetail?doc_id=2018050900858003" target="_blank"&gt;Verified by Public Record&lt;/a&gt;</t>
  </si>
  <si>
    <t>&lt;a href="http://a836-acris.nyc.gov/DS/DocumentSearch/DocumentDetail?doc_id=2018032000525001" target="_blank"&gt;Verified by Public Record&lt;/a&gt;</t>
  </si>
  <si>
    <t>&lt;a href="http://a836-acris.nyc.gov/DS/DocumentSearch/DocumentDetail?doc_id=2018032200906001" target="_blank"&gt;Verified by Public Record&lt;/a&gt;</t>
  </si>
  <si>
    <t>&lt;a href="http://a836-acris.nyc.gov/DS/DocumentSearch/DocumentDetail?doc_id=2018040401007001" target="_blank"&gt;Verified by Public Record&lt;/a&gt;</t>
  </si>
  <si>
    <t>&lt;a href="http://a836-acris.nyc.gov/DS/DocumentSearch/DocumentDetail?doc_id=2018032800163003" target="_blank"&gt;Verified by Public Record&lt;/a&gt;</t>
  </si>
  <si>
    <t>&lt;a href="http://a836-acris.nyc.gov/DS/DocumentSearch/DocumentDetail?doc_id=2018040200789001" target="_blank"&gt;Verified by Public Record&lt;/a&gt;</t>
  </si>
  <si>
    <t>&lt;a href="http://a836-acris.nyc.gov/DS/DocumentSearch/DocumentDetail?doc_id=2017103100571001" target="_blank"&gt;Verified by Public Record&lt;/a&gt;</t>
  </si>
  <si>
    <t>&lt;a href="http://a836-acris.nyc.gov/DS/DocumentSearch/DocumentDetail?doc_id=2016112800458001" target="_blank"&gt;Verified by Public Record&lt;/a&gt;</t>
  </si>
  <si>
    <t>&lt;a href="http://a836-acris.nyc.gov/DS/DocumentSearch/DocumentDetail?doc_id=2017022201441001" target="_blank"&gt;Verified by Public Record&lt;/a&gt;</t>
  </si>
  <si>
    <t>&lt;a href="http://a836-acris.nyc.gov/DS/DocumentSearch/DocumentDetail?doc_id=2016101900230001" target="_blank"&gt;Verified by Public Record&lt;/a&gt;</t>
  </si>
  <si>
    <t>&lt;a href="http://a836-acris.nyc.gov/DS/DocumentSearch/DocumentDetail?doc_id=2017012401596001" target="_blank"&gt;Verified by Public Record&lt;/a&gt;</t>
  </si>
  <si>
    <t>&lt;a href="http://a836-acris.nyc.gov/DS/DocumentSearch/DocumentDetail?doc_id=2017092700588001" target="_blank"&gt;Verified by Public Record&lt;/a&gt;</t>
  </si>
  <si>
    <t>&lt;a href="http://a836-acris.nyc.gov/DS/DocumentSearch/DocumentDetail?doc_id=2017021400267002" target="_blank"&gt;Verified by Public Record&lt;/a&gt;</t>
  </si>
  <si>
    <t>&lt;a href="http://a836-acris.nyc.gov/DS/DocumentSearch/DocumentDetail?doc_id=2016102700643001" target="_blank"&gt;Verified by Public Record&lt;/a&gt;</t>
  </si>
  <si>
    <t>&lt;a href="http://a836-acris.nyc.gov/DS/DocumentSearch/DocumentDetail?doc_id=2019032201002001" target="_blank"&gt;Verified by Public Record&lt;/a&gt;</t>
  </si>
  <si>
    <t>&lt;a href="http://a836-acris.nyc.gov/DS/DocumentSearch/DocumentDetail?doc_id=2015031000765002" target="_blank"&gt;Verified by Public Record&lt;/a&gt;</t>
  </si>
  <si>
    <t>&lt;a href="http://a836-acris.nyc.gov/DS/DocumentSearch/DocumentDetail?doc_id=2017120100529001" target="_blank"&gt;Verified by Public Record&lt;/a&gt;</t>
  </si>
  <si>
    <t>&lt;a href="http://a836-acris.nyc.gov/DS/DocumentSearch/DocumentDetail?doc_id=2018110701097003" target="_blank"&gt;Verified by Public Record&lt;/a&gt;</t>
  </si>
  <si>
    <t>&lt;a href="http://a836-acris.nyc.gov/DS/DocumentSearch/DocumentDetail?doc_id=2021050601638001" target="_blank"&gt;Verified by Public Record&lt;/a&gt;</t>
  </si>
  <si>
    <t>&lt;a href="http://a836-acris.nyc.gov/DS/DocumentSearch/DocumentDetail?doc_id=2017021700066001" target="_blank"&gt;Verified by Public Record&lt;/a&gt;</t>
  </si>
  <si>
    <t>&lt;a href="http://a836-acris.nyc.gov/DS/DocumentSearch/DocumentDetail?doc_id=2017022101397001" target="_blank"&gt;Verified by Public Record&lt;/a&gt;</t>
  </si>
  <si>
    <t>&lt;a href="http://a836-acris.nyc.gov/DS/DocumentSearch/DocumentDetail?doc_id=2015080500082001" target="_blank"&gt;Verified by Public Record&lt;/a&gt;</t>
  </si>
  <si>
    <t>Deck
Roof Deck
Common Roof Deck
Common Outdoor Space
Private Outdoor Space
Back Yard</t>
  </si>
  <si>
    <t>&lt;a href="http://a836-acris.nyc.gov/DS/DocumentSearch/DocumentDetail?doc_id=2017092600039001" target="_blank"&gt;Verified by Public Record&lt;/a&gt;</t>
  </si>
  <si>
    <t>&lt;a href="http://a836-acris.nyc.gov/DS/DocumentSearch/DocumentDetail?doc_id=2016111400276001" target="_blank"&gt;Verified by Public Record&lt;/a&gt;</t>
  </si>
  <si>
    <t>&lt;a href="http://a836-acris.nyc.gov/DS/DocumentSearch/DocumentDetail?doc_id=2015070600908001" target="_blank"&gt;Verified by Public Record&lt;/a&gt;</t>
  </si>
  <si>
    <t>&lt;a href="http://a836-acris.nyc.gov/DS/DocumentSearch/DocumentDetail?doc_id=2016111401391001" target="_blank"&gt;Verified by Public Record&lt;/a&gt;</t>
  </si>
  <si>
    <t>&lt;a href="http://a836-acris.nyc.gov/DS/DocumentSearch/DocumentDetail?doc_id=2015022800048002" target="_blank"&gt;Verified by Public Record&lt;/a&gt;</t>
  </si>
  <si>
    <t>&lt;a href="http://a836-acris.nyc.gov/DS/DocumentSearch/DocumentDetail?doc_id=2015022400951001" target="_blank"&gt;Verified by Public Record&lt;/a&gt;</t>
  </si>
  <si>
    <t>&lt;a href="http://a836-acris.nyc.gov/DS/DocumentSearch/DocumentDetail?doc_id=2015011200874001" target="_blank"&gt;Verified by Public Record&lt;/a&gt;</t>
  </si>
  <si>
    <t>&lt;a href="http://a836-acris.nyc.gov/DS/DocumentSearch/DocumentDetail?doc_id=2017082100796001" target="_blank"&gt;Verified by Public Record&lt;/a&gt;</t>
  </si>
  <si>
    <t>&lt;a href="http://a836-acris.nyc.gov/DS/DocumentSearch/DocumentDetail?doc_id=2018050101283002" target="_blank"&gt;Verified by Public Record&lt;/a&gt;</t>
  </si>
  <si>
    <t>&lt;a href="http://a836-acris.nyc.gov/DS/DocumentSearch/DocumentDetail?doc_id=2017080101184001" target="_blank"&gt;Verified by Public Record&lt;/a&gt;</t>
  </si>
  <si>
    <t>&lt;a href="http://a836-acris.nyc.gov/DS/DocumentSearch/DocumentDetail?doc_id=2020062500778002" target="_blank"&gt;Verified by Public Record&lt;/a&gt;</t>
  </si>
  <si>
    <t>Balcony
Deck
Common Roof Deck
Private Outdoor Space</t>
  </si>
  <si>
    <t>&lt;a href="http://a836-acris.nyc.gov/DS/DocumentSearch/DocumentDetail?doc_id=2015071701066001" target="_blank"&gt;Verified by Public Record&lt;/a&gt;</t>
  </si>
  <si>
    <t>&lt;a href="http://a836-acris.nyc.gov/DS/DocumentSearch/DocumentDetail?doc_id=2015080600771002" target="_blank"&gt;Verified by Public Record&lt;/a&gt;</t>
  </si>
  <si>
    <t>&lt;a href="http://a836-acris.nyc.gov/DS/DocumentSearch/DocumentDetail?doc_id=2015080301060001" target="_blank"&gt;Verified by Public Record&lt;/a&gt;</t>
  </si>
  <si>
    <t>&lt;a href="http://a836-acris.nyc.gov/DS/DocumentSearch/DocumentDetail?doc_id=2015081800507003" target="_blank"&gt;Verified by Public Record&lt;/a&gt;</t>
  </si>
  <si>
    <t>&lt;a href="http://a836-acris.nyc.gov/DS/DocumentSearch/DocumentDetail?doc_id=2015072800405001" target="_blank"&gt;Verified by Public Record&lt;/a&gt;</t>
  </si>
  <si>
    <t>&lt;a href="http://a836-acris.nyc.gov/DS/DocumentSearch/DocumentDetail?doc_id=2015072000483001" target="_blank"&gt;Verified by Public Record&lt;/a&gt;</t>
  </si>
  <si>
    <t>&lt;a href="http://a836-acris.nyc.gov/DS/DocumentSearch/DocumentDetail?doc_id=2016050901115001" target="_blank"&gt;Verified by Public Record&lt;/a&gt;</t>
  </si>
  <si>
    <t>&lt;a href="http://a836-acris.nyc.gov/DS/DocumentSearch/DocumentDetail?doc_id=2015022600694002" target="_blank"&gt;Verified by Public Record&lt;/a&gt;</t>
  </si>
  <si>
    <t>&lt;a href="http://a836-acris.nyc.gov/DS/DocumentSearch/DocumentDetail?doc_id=2017092100601002" target="_blank"&gt;Verified by Public Record&lt;/a&gt;</t>
  </si>
  <si>
    <t>&lt;a href="http://a836-acris.nyc.gov/DS/DocumentSearch/DocumentDetail?doc_id=2016122300431001" target="_blank"&gt;Verified by Public Record&lt;/a&gt;</t>
  </si>
  <si>
    <t>&lt;a href="http://a836-acris.nyc.gov/DS/DocumentSearch/DocumentDetail?doc_id=2017061200660006" target="_blank"&gt;Verified by Public Record&lt;/a&gt;</t>
  </si>
  <si>
    <t>&lt;a href="http://a836-acris.nyc.gov/DS/DocumentSearch/DocumentDetail?doc_id=2017101300878001" target="_blank"&gt;Verified by Public Record&lt;/a&gt;</t>
  </si>
  <si>
    <t>&lt;a href="http://a836-acris.nyc.gov/DS/DocumentSearch/DocumentDetail?doc_id=2017112900674002" target="_blank"&gt;Verified by Public Record&lt;/a&gt;</t>
  </si>
  <si>
    <t>&lt;a href="http://a836-acris.nyc.gov/DS/DocumentSearch/DocumentDetail?doc_id=2018012500766002" target="_blank"&gt;Verified by Public Record&lt;/a&gt;</t>
  </si>
  <si>
    <t>&lt;a href="http://a836-acris.nyc.gov/DS/DocumentSearch/DocumentDetail?doc_id=2014122300699003" target="_blank"&gt;Verified by Public Record&lt;/a&gt;</t>
  </si>
  <si>
    <t>&lt;a href="http://a836-acris.nyc.gov/DS/DocumentSearch/DocumentDetail?doc_id=2015021900208001" target="_blank"&gt;Verified by Public Record&lt;/a&gt;</t>
  </si>
  <si>
    <t>&lt;a href="http://a836-acris.nyc.gov/DS/DocumentSearch/DocumentDetail?doc_id=2015042100149001" target="_blank"&gt;Verified by Public Record&lt;/a&gt;</t>
  </si>
  <si>
    <t>&lt;a href="http://a836-acris.nyc.gov/DS/DocumentSearch/DocumentDetail?doc_id=2015050500872001" target="_blank"&gt;Verified by Public Record&lt;/a&gt;</t>
  </si>
  <si>
    <t>&lt;a href="http://a836-acris.nyc.gov/DS/DocumentSearch/DocumentDetail?doc_id=2015050400880001" target="_blank"&gt;Verified by Public Record&lt;/a&gt;</t>
  </si>
  <si>
    <t>&lt;a href="http://a836-acris.nyc.gov/DS/DocumentSearch/DocumentDetail?doc_id=2015082500168002" target="_blank"&gt;Verified by Public Record&lt;/a&gt;</t>
  </si>
  <si>
    <t>Private Terrace
Common Roof Deck
Barbecue Area
Private Outdoor Space</t>
  </si>
  <si>
    <t>&lt;a href="http://a836-acris.nyc.gov/DS/DocumentSearch/DocumentDetail?doc_id=2015051900558001" target="_blank"&gt;Verified by Public Record&lt;/a&gt;</t>
  </si>
  <si>
    <t>&lt;a href="http://a836-acris.nyc.gov/DS/DocumentSearch/DocumentDetail?doc_id=2015052900924002" target="_blank"&gt;Verified by Public Record&lt;/a&gt;</t>
  </si>
  <si>
    <t>&lt;a href="http://a836-acris.nyc.gov/DS/DocumentSearch/DocumentDetail?doc_id=2016032200264002" target="_blank"&gt;Verified by Public Record&lt;/a&gt;</t>
  </si>
  <si>
    <t>&lt;a href="http://a836-acris.nyc.gov/DS/DocumentSearch/DocumentDetail?doc_id=2015040900346001" target="_blank"&gt;Verified by Public Record&lt;/a&gt;</t>
  </si>
  <si>
    <t>&lt;a href="http://a836-acris.nyc.gov/DS/DocumentSearch/DocumentDetail?doc_id=2015040300557001" target="_blank"&gt;Verified by Public Record&lt;/a&gt;</t>
  </si>
  <si>
    <t>&lt;a href="http://a836-acris.nyc.gov/DS/DocumentSearch/DocumentDetail?doc_id=2017102401236002" target="_blank"&gt;Verified by Public Record&lt;/a&gt;</t>
  </si>
  <si>
    <t>&lt;a href="http://a836-acris.nyc.gov/DS/DocumentSearch/DocumentDetail?doc_id=2017101701180002" target="_blank"&gt;Verified by Public Record&lt;/a&gt;</t>
  </si>
  <si>
    <t>&lt;a href="http://a836-acris.nyc.gov/DS/DocumentSearch/DocumentDetail?doc_id=2017100500226001" target="_blank"&gt;Verified by Public Record&lt;/a&gt;</t>
  </si>
  <si>
    <t>&lt;a href="http://a836-acris.nyc.gov/DS/DocumentSearch/DocumentDetail?doc_id=2017090700177001" target="_blank"&gt;Verified by Public Record&lt;/a&gt;</t>
  </si>
  <si>
    <t>&lt;a href="http://a836-acris.nyc.gov/DS/DocumentSearch/DocumentDetail?doc_id=2015021001170002" target="_blank"&gt;Verified by Public Record&lt;/a&gt;</t>
  </si>
  <si>
    <t>&lt;a href="http://a836-acris.nyc.gov/DS/DocumentSearch/DocumentDetail?doc_id=2021062801229001" target="_blank"&gt;Verified by Public Record&lt;/a&gt;</t>
  </si>
  <si>
    <t>&lt;a href="http://a836-acris.nyc.gov/DS/DocumentSearch/DocumentDetail?doc_id=2015030300175002" target="_blank"&gt;Verified by Public Record&lt;/a&gt;</t>
  </si>
  <si>
    <t>&lt;a href="http://a836-acris.nyc.gov/DS/DocumentSearch/DocumentDetail?doc_id=2015021800543001" target="_blank"&gt;Verified by Public Record&lt;/a&gt;</t>
  </si>
  <si>
    <t>&lt;a href="http://a836-acris.nyc.gov/DS/DocumentSearch/DocumentDetail?doc_id=2015021001206001" target="_blank"&gt;Verified by Public Record&lt;/a&gt;</t>
  </si>
  <si>
    <t>&lt;a href="http://a836-acris.nyc.gov/DS/DocumentSearch/DocumentDetail?doc_id=2015052700385001" target="_blank"&gt;Verified by Public Record&lt;/a&gt;</t>
  </si>
  <si>
    <t>&lt;a href="http://a836-acris.nyc.gov/DS/DocumentSearch/DocumentDetail?doc_id=2015030301202001" target="_blank"&gt;Verified by Public Record&lt;/a&gt;</t>
  </si>
  <si>
    <t>&lt;a href="http://a836-acris.nyc.gov/DS/DocumentSearch/DocumentDetail?doc_id=2017063000691002" target="_blank"&gt;Verified by Public Record&lt;/a&gt;</t>
  </si>
  <si>
    <t>&lt;a href="http://a836-acris.nyc.gov/DS/DocumentSearch/DocumentDetail?doc_id=2017082500833001" target="_blank"&gt;Verified by Public Record&lt;/a&gt;</t>
  </si>
  <si>
    <t>&lt;a href="http://a836-acris.nyc.gov/DS/DocumentSearch/DocumentDetail?doc_id=2017061600416001" target="_blank"&gt;Verified by Public Record&lt;/a&gt;</t>
  </si>
  <si>
    <t>&lt;a href="http://a836-acris.nyc.gov/DS/DocumentSearch/DocumentDetail?doc_id=2016122300771002" target="_blank"&gt;Verified by Public Record&lt;/a&gt;</t>
  </si>
  <si>
    <t>&lt;a href="http://a836-acris.nyc.gov/DS/DocumentSearch/DocumentDetail?doc_id=2015011601136001" target="_blank"&gt;Verified by Public Record&lt;/a&gt;</t>
  </si>
  <si>
    <t>&lt;a href="http://a836-acris.nyc.gov/DS/DocumentSearch/DocumentDetail?doc_id=2020041500502001" target="_blank"&gt;Verified by Public Record&lt;/a&gt;</t>
  </si>
  <si>
    <t>&lt;a href="http://a836-acris.nyc.gov/DS/DocumentSearch/DocumentDetail?doc_id=2020100800823002" target="_blank"&gt;Verified by Public Record&lt;/a&gt;</t>
  </si>
  <si>
    <t>&lt;a href="http://a836-acris.nyc.gov/DS/DocumentSearch/DocumentDetail?doc_id=2016110800977001" target="_blank"&gt;Verified by Public Record&lt;/a&gt;</t>
  </si>
  <si>
    <t>&lt;a href="http://a836-acris.nyc.gov/DS/DocumentSearch/DocumentDetail?doc_id=2018010301132001" target="_blank"&gt;Public Record Only&lt;/a&gt;</t>
  </si>
  <si>
    <t>&lt;a href="http://a836-acris.nyc.gov/DS/DocumentSearch/DocumentDetail?doc_id=2015071300789001" target="_blank"&gt;Verified by Public Record&lt;/a&gt;</t>
  </si>
  <si>
    <t>&lt;a href="http://a836-acris.nyc.gov/DS/DocumentSearch/DocumentDetail?doc_id=2015031800839001" target="_blank"&gt;Verified by Public Record&lt;/a&gt;</t>
  </si>
  <si>
    <t>&lt;a href="http://a836-acris.nyc.gov/DS/DocumentSearch/DocumentDetail?doc_id=2015102800503002" target="_blank"&gt;Verified by Public Record&lt;/a&gt;</t>
  </si>
  <si>
    <t>&lt;a href="http://a836-acris.nyc.gov/DS/DocumentSearch/DocumentDetail?doc_id=2015031800883001" target="_blank"&gt;Verified by Public Record&lt;/a&gt;</t>
  </si>
  <si>
    <t>&lt;a href="http://a836-acris.nyc.gov/DS/DocumentSearch/DocumentDetail?doc_id=2015042901153001" target="_blank"&gt;Verified by Public Record&lt;/a&gt;</t>
  </si>
  <si>
    <t>&lt;a href="http://a836-acris.nyc.gov/DS/DocumentSearch/DocumentDetail?doc_id=2015061501382001" target="_blank"&gt;Verified by Public Record&lt;/a&gt;</t>
  </si>
  <si>
    <t>&lt;a href="http://a836-acris.nyc.gov/DS/DocumentSearch/DocumentDetail?doc_id=2015022000406002" target="_blank"&gt;Verified by Public Record&lt;/a&gt;</t>
  </si>
  <si>
    <t>&lt;a href="http://a836-acris.nyc.gov/DS/DocumentSearch/DocumentDetail?doc_id=2015022601051001" target="_blank"&gt;Verified by Public Record&lt;/a&gt;</t>
  </si>
  <si>
    <t>&lt;a href="http://a836-acris.nyc.gov/DS/DocumentSearch/DocumentDetail?doc_id=2017092200585006" target="_blank"&gt;Verified by Public Record&lt;/a&gt;</t>
  </si>
  <si>
    <t>&lt;a href="http://a836-acris.nyc.gov/DS/DocumentSearch/DocumentDetail?doc_id=2020122900578001" target="_blank"&gt;Verified by Public Record&lt;/a&gt;</t>
  </si>
  <si>
    <t>&lt;a href="http://a836-acris.nyc.gov/DS/DocumentSearch/DocumentDetail?doc_id=2021063001521001" target="_blank"&gt;Verified by Public Record&lt;/a&gt;</t>
  </si>
  <si>
    <t>&lt;a href="http://a836-acris.nyc.gov/DS/DocumentSearch/DocumentDetail?doc_id=2017081001450001" target="_blank"&gt;Verified by Public Record&lt;/a&gt;</t>
  </si>
  <si>
    <t>Commercial/Condo</t>
  </si>
  <si>
    <t>&lt;a href="http://a836-acris.nyc.gov/DS/DocumentSearch/DocumentDetail?doc_id=2018122100223002" target="_blank"&gt;Verified by Public Record&lt;/a&gt;</t>
  </si>
  <si>
    <t>&lt;a href="http://a836-acris.nyc.gov/DS/DocumentSearch/DocumentDetail?doc_id=2015020901057001" target="_blank"&gt;Verified by Public Record&lt;/a&gt;</t>
  </si>
  <si>
    <t>Balcony
Private Terrace
Common Garden
Common Outdoor Space
Private Outdoor Space</t>
  </si>
  <si>
    <t>&lt;a href="http://a836-acris.nyc.gov/DS/DocumentSearch/DocumentDetail?doc_id=2015081800612001" target="_blank"&gt;Verified by Public Record&lt;/a&gt;</t>
  </si>
  <si>
    <t>&lt;a href="http://a836-acris.nyc.gov/DS/DocumentSearch/DocumentDetail?doc_id=2015021800992001" target="_blank"&gt;Verified by Public Record&lt;/a&gt;</t>
  </si>
  <si>
    <t>&lt;a href="http://a836-acris.nyc.gov/DS/DocumentSearch/DocumentDetail?doc_id=2015102601282001" target="_blank"&gt;Verified by Public Record&lt;/a&gt;</t>
  </si>
  <si>
    <t>&lt;a href="http://a836-acris.nyc.gov/DS/DocumentSearch/DocumentDetail?doc_id=2018053100249001" target="_blank"&gt;Verified by Public Record&lt;/a&gt;</t>
  </si>
  <si>
    <t>&lt;a href="http://a836-acris.nyc.gov/DS/DocumentSearch/DocumentDetail?doc_id=2016113000239001" target="_blank"&gt;Verified by Public Record&lt;/a&gt;</t>
  </si>
  <si>
    <t>&lt;a href="http://a836-acris.nyc.gov/DS/DocumentSearch/DocumentDetail?doc_id=2017012600205001" target="_blank"&gt;Verified by Public Record&lt;/a&gt;</t>
  </si>
  <si>
    <t>&lt;a href="http://a836-acris.nyc.gov/DS/DocumentSearch/DocumentDetail?doc_id=2017080101192001" target="_blank"&gt;Public Record Only&lt;/a&gt;</t>
  </si>
  <si>
    <t>&lt;a href="http://a836-acris.nyc.gov/DS/DocumentSearch/DocumentDetail?doc_id=2016070400081001" target="_blank"&gt;Verified by Public Record&lt;/a&gt;</t>
  </si>
  <si>
    <t>&lt;a href="http://a836-acris.nyc.gov/DS/DocumentSearch/DocumentDetail?doc_id=2017091900487001" target="_blank"&gt;Verified by Public Record&lt;/a&gt;</t>
  </si>
  <si>
    <t>&lt;a href="http://a836-acris.nyc.gov/DS/DocumentSearch/DocumentDetail?doc_id=2017112900630001" target="_blank"&gt;Verified by Public Record&lt;/a&gt;</t>
  </si>
  <si>
    <t>&lt;a href="http://a836-acris.nyc.gov/DS/DocumentSearch/DocumentDetail?doc_id=2017122700388001" target="_blank"&gt;Verified by Public Record&lt;/a&gt;</t>
  </si>
  <si>
    <t>&lt;a href="http://a836-acris.nyc.gov/DS/DocumentSearch/DocumentDetail?doc_id=2017092200774002" target="_blank"&gt;Verified by Public Record&lt;/a&gt;</t>
  </si>
  <si>
    <t>&lt;a href="http://a836-acris.nyc.gov/DS/DocumentSearch/DocumentDetail?doc_id=2017092100698002" target="_blank"&gt;Verified by Public Record&lt;/a&gt;</t>
  </si>
  <si>
    <t>&lt;a href="http://a836-acris.nyc.gov/DS/DocumentSearch/DocumentDetail?doc_id=2017030200304001" target="_blank"&gt;Verified by Public Record&lt;/a&gt;</t>
  </si>
  <si>
    <t>&lt;a href="http://a836-acris.nyc.gov/DS/DocumentSearch/DocumentDetail?doc_id=2019010900959001" target="_blank"&gt;Verified by Public Record&lt;/a&gt;</t>
  </si>
  <si>
    <t>&lt;a href="http://a836-acris.nyc.gov/DS/DocumentSearch/DocumentDetail?doc_id=2015071600953002" target="_blank"&gt;Verified by Public Record&lt;/a&gt;</t>
  </si>
  <si>
    <t>&lt;a href="http://a836-acris.nyc.gov/DS/DocumentSearch/DocumentDetail?doc_id=2015071600415003" target="_blank"&gt;Verified by Public Record&lt;/a&gt;</t>
  </si>
  <si>
    <t>&lt;a href="http://a836-acris.nyc.gov/DS/DocumentSearch/DocumentDetail?doc_id=2015030201158001" target="_blank"&gt;Verified by Public Record&lt;/a&gt;</t>
  </si>
  <si>
    <t>&lt;a href="http://a836-acris.nyc.gov/DS/DocumentSearch/DocumentDetail?doc_id=2018052300026001" target="_blank"&gt;Verified by Public Record&lt;/a&gt;</t>
  </si>
  <si>
    <t>&lt;a href="http://a836-acris.nyc.gov/DS/DocumentSearch/DocumentDetail?doc_id=2018020200872001" target="_blank"&gt;Verified by Public Record&lt;/a&gt;</t>
  </si>
  <si>
    <t>&lt;a href="http://a836-acris.nyc.gov/DS/DocumentSearch/DocumentDetail?doc_id=2018052401243001" target="_blank"&gt;Verified by Public Record&lt;/a&gt;</t>
  </si>
  <si>
    <t>&lt;a href="http://a836-acris.nyc.gov/DS/DocumentSearch/DocumentDetail?doc_id=2018111900397001" target="_blank"&gt;Verified by Public Record&lt;/a&gt;</t>
  </si>
  <si>
    <t>&lt;a href="http://a836-acris.nyc.gov/DS/DocumentSearch/DocumentDetail?doc_id=2015111701101002" target="_blank"&gt;Verified by Public Record&lt;/a&gt;</t>
  </si>
  <si>
    <t>&lt;a href="http://a836-acris.nyc.gov/DS/DocumentSearch/DocumentDetail?doc_id=2015060901053001" target="_blank"&gt;Verified by Public Record&lt;/a&gt;</t>
  </si>
  <si>
    <t>&lt;a href="http://a836-acris.nyc.gov/DS/DocumentSearch/DocumentDetail?doc_id=2015102201192001" target="_blank"&gt;Verified by Public Record&lt;/a&gt;</t>
  </si>
  <si>
    <t>&lt;a href="http://a836-acris.nyc.gov/DS/DocumentSearch/DocumentDetail?doc_id=2015081201237001" target="_blank"&gt;Verified by Public Record&lt;/a&gt;</t>
  </si>
  <si>
    <t>&lt;a href="http://a836-acris.nyc.gov/DS/DocumentSearch/DocumentDetail?doc_id=2017100200713001" target="_blank"&gt;Verified by Public Record&lt;/a&gt;</t>
  </si>
  <si>
    <t>&lt;a href="http://a836-acris.nyc.gov/DS/DocumentSearch/DocumentDetail?doc_id=2015011200827002" target="_blank"&gt;Verified by Public Record&lt;/a&gt;</t>
  </si>
  <si>
    <t>&lt;a href="http://a836-acris.nyc.gov/DS/DocumentSearch/DocumentDetail?doc_id=2018040400513001" target="_blank"&gt;Verified by Public Record&lt;/a&gt;</t>
  </si>
  <si>
    <t>&lt;a href="http://a836-acris.nyc.gov/DS/DocumentSearch/DocumentDetail?doc_id=2019120500710001" target="_blank"&gt;Public Record Only&lt;/a&gt;</t>
  </si>
  <si>
    <t>&lt;a href="http://a836-acris.nyc.gov/DS/DocumentSearch/DocumentDetail?doc_id=2020042700247001" target="_blank"&gt;Verified by Public Record&lt;/a&gt;</t>
  </si>
  <si>
    <t>&lt;a href="http://a836-acris.nyc.gov/DS/DocumentSearch/DocumentDetail?doc_id=2016120100980001" target="_blank"&gt;Verified by Public Record&lt;/a&gt;</t>
  </si>
  <si>
    <t>&lt;a href="http://a836-acris.nyc.gov/DS/DocumentSearch/DocumentDetail?doc_id=2018091301241001" target="_blank"&gt;Public Record Only&lt;/a&gt;</t>
  </si>
  <si>
    <t>&lt;a href="http://a836-acris.nyc.gov/DS/DocumentSearch/DocumentDetail?doc_id=2015012200238002" target="_blank"&gt;Verified by Public Record&lt;/a&gt;</t>
  </si>
  <si>
    <t>&lt;a href="http://a836-acris.nyc.gov/DS/DocumentSearch/DocumentDetail?doc_id=2016072001123004" target="_blank"&gt;Verified by Public Record&lt;/a&gt;</t>
  </si>
  <si>
    <t>&lt;a href="http://a836-acris.nyc.gov/DS/DocumentSearch/DocumentDetail?doc_id=2014122600728001" target="_blank"&gt;Verified by Public Record&lt;/a&gt;</t>
  </si>
  <si>
    <t>&lt;a href="http://a836-acris.nyc.gov/DS/DocumentSearch/DocumentDetail?doc_id=2021062301295003" target="_blank"&gt;Verified by Public Record&lt;/a&gt;</t>
  </si>
  <si>
    <t>&lt;a href="http://a836-acris.nyc.gov/DS/DocumentSearch/DocumentDetail?doc_id=2015022300724001" target="_blank"&gt;Verified by Public Record&lt;/a&gt;</t>
  </si>
  <si>
    <t>&lt;a href="http://a836-acris.nyc.gov/DS/DocumentSearch/DocumentDetail?doc_id=2017101700177001" target="_blank"&gt;Verified by Public Record&lt;/a&gt;</t>
  </si>
  <si>
    <t>&lt;a href="http://a836-acris.nyc.gov/DS/DocumentSearch/DocumentDetail?doc_id=2017102601430002" target="_blank"&gt;Verified by Public Record&lt;/a&gt;</t>
  </si>
  <si>
    <t>&lt;a href="http://a836-acris.nyc.gov/DS/DocumentSearch/DocumentDetail?doc_id=2017101600519001" target="_blank"&gt;Verified by Public Record&lt;/a&gt;</t>
  </si>
  <si>
    <t>&lt;a href="http://a836-acris.nyc.gov/DS/DocumentSearch/DocumentDetail?doc_id=2015031201152002" target="_blank"&gt;Verified by Public Record&lt;/a&gt;</t>
  </si>
  <si>
    <t>&lt;a href="http://a836-acris.nyc.gov/DS/DocumentSearch/DocumentDetail?doc_id=2015083101231001" target="_blank"&gt;Verified by Public Record&lt;/a&gt;</t>
  </si>
  <si>
    <t>&lt;a href="http://a836-acris.nyc.gov/DS/DocumentSearch/DocumentDetail?doc_id=2015021200365001" target="_blank"&gt;Verified by Public Record&lt;/a&gt;</t>
  </si>
  <si>
    <t>&lt;a href="http://a836-acris.nyc.gov/DS/DocumentSearch/DocumentDetail?doc_id=2016102001148001" target="_blank"&gt;Verified by Public Record&lt;/a&gt;</t>
  </si>
  <si>
    <t>&lt;a href="http://a836-acris.nyc.gov/DS/DocumentSearch/DocumentDetail?doc_id=2015062301241003" target="_blank"&gt;Verified by Public Record&lt;/a&gt;</t>
  </si>
  <si>
    <t>/Single Family</t>
  </si>
  <si>
    <t>&lt;a href="http://a836-acris.nyc.gov/DS/DocumentSearch/DocumentDetail?doc_id=2015020501862001" target="_blank"&gt;Verified by Public Record&lt;/a&gt;</t>
  </si>
  <si>
    <t>47' x 63'</t>
  </si>
  <si>
    <t>&lt;a href="http://a836-acris.nyc.gov/DS/DocumentSearch/DocumentDetail?doc_id=2020061800239002" target="_blank"&gt;Verified by Public Record&lt;/a&gt;</t>
  </si>
  <si>
    <t>&lt;a href="http://a836-acris.nyc.gov/DS/DocumentSearch/DocumentDetail?doc_id=2014122200041003" target="_blank"&gt;Verified by Public Record&lt;/a&gt;</t>
  </si>
  <si>
    <t>&lt;a href="http://a836-acris.nyc.gov/DS/DocumentSearch/DocumentDetail?doc_id=2017120101096001" target="_blank"&gt;Verified by Public Record&lt;/a&gt;</t>
  </si>
  <si>
    <t>&lt;a href="http://a836-acris.nyc.gov/DS/DocumentSearch/DocumentDetail?doc_id=2015061000104001" target="_blank"&gt;Verified by Public Record&lt;/a&gt;</t>
  </si>
  <si>
    <t>&lt;a href="http://a836-acris.nyc.gov/DS/DocumentSearch/DocumentDetail?doc_id=2015051800979001" target="_blank"&gt;Verified by Public Record&lt;/a&gt;</t>
  </si>
  <si>
    <t>&lt;a href="http://a836-acris.nyc.gov/DS/DocumentSearch/DocumentDetail?doc_id=2017061500230001" target="_blank"&gt;Verified by Public Record&lt;/a&gt;</t>
  </si>
  <si>
    <t>&lt;a href="http://a836-acris.nyc.gov/DS/DocumentSearch/DocumentDetail?doc_id=2017072701314001" target="_blank"&gt;Verified by Public Record&lt;/a&gt;</t>
  </si>
  <si>
    <t>&lt;a href="http://a836-acris.nyc.gov/DS/DocumentSearch/DocumentDetail?doc_id=2017061400764001" target="_blank"&gt;Verified by Public Record&lt;/a&gt;</t>
  </si>
  <si>
    <t>&lt;a href="http://a836-acris.nyc.gov/DS/DocumentSearch/DocumentDetail?doc_id=2017060800010001" target="_blank"&gt;Verified by Public Record&lt;/a&gt;</t>
  </si>
  <si>
    <t>&lt;a href="http://a836-acris.nyc.gov/DS/DocumentSearch/DocumentDetail?doc_id=2015021801281002" target="_blank"&gt;Verified by Public Record&lt;/a&gt;</t>
  </si>
  <si>
    <t>&lt;a href="http://a836-acris.nyc.gov/DS/DocumentSearch/DocumentDetail?doc_id=2015032500848002" target="_blank"&gt;Verified by Public Record&lt;/a&gt;</t>
  </si>
  <si>
    <t>&lt;a href="http://a836-acris.nyc.gov/DS/DocumentSearch/DocumentDetail?doc_id=2018021501416001" target="_blank"&gt;Verified by Public Record&lt;/a&gt;</t>
  </si>
  <si>
    <t>&lt;a href="http://a836-acris.nyc.gov/DS/DocumentSearch/DocumentDetail?doc_id=2015080601493001" target="_blank"&gt;Verified by Public Record&lt;/a&gt;</t>
  </si>
  <si>
    <t>&lt;a href="http://a836-acris.nyc.gov/DS/DocumentSearch/DocumentDetail?doc_id=2015061000573001" target="_blank"&gt;Verified by Public Record&lt;/a&gt;</t>
  </si>
  <si>
    <t>&lt;a href="http://a836-acris.nyc.gov/DS/DocumentSearch/DocumentDetail?doc_id=2015080401403001" target="_blank"&gt;Verified by Public Record&lt;/a&gt;</t>
  </si>
  <si>
    <t>&lt;a href="http://a836-acris.nyc.gov/DS/DocumentSearch/DocumentDetail?doc_id=2015080301276001" target="_blank"&gt;Verified by Public Record&lt;/a&gt;</t>
  </si>
  <si>
    <t>&lt;a href="http://a836-acris.nyc.gov/DS/DocumentSearch/DocumentDetail?doc_id=2017022400097001" target="_blank"&gt;Verified by Public Record&lt;/a&gt;</t>
  </si>
  <si>
    <t>&lt;a href="http://a836-acris.nyc.gov/DS/DocumentSearch/DocumentDetail?doc_id=2019010300106002" target="_blank"&gt;Verified by Public Record&lt;/a&gt;</t>
  </si>
  <si>
    <t>&lt;a href="http://a836-acris.nyc.gov/DS/DocumentSearch/DocumentDetail?doc_id=2018041000837002" target="_blank"&gt;Verified by Public Record&lt;/a&gt;</t>
  </si>
  <si>
    <t>&lt;a href="http://a836-acris.nyc.gov/DS/DocumentSearch/DocumentDetail?doc_id=2015033000958004" target="_blank"&gt;Verified by Public Record&lt;/a&gt;</t>
  </si>
  <si>
    <t>&lt;a href="http://a836-acris.nyc.gov/DS/DocumentSearch/DocumentDetail?doc_id=2015010601105001" target="_blank"&gt;Verified by Public Record&lt;/a&gt;</t>
  </si>
  <si>
    <t>&lt;a href="http://a836-acris.nyc.gov/DS/DocumentSearch/DocumentDetail?doc_id=2015031801301002" target="_blank"&gt;Verified by Public Record&lt;/a&gt;</t>
  </si>
  <si>
    <t>&lt;a href="http://a836-acris.nyc.gov/DS/DocumentSearch/DocumentDetail?doc_id=2018121300935001" target="_blank"&gt;Verified by Public Record&lt;/a&gt;</t>
  </si>
  <si>
    <t>Private Roof Deck
Deck
Common Roof Deck
Barbecue Area</t>
  </si>
  <si>
    <t>&lt;a href="http://a836-acris.nyc.gov/DS/DocumentSearch/DocumentDetail?doc_id=2018062800620001" target="_blank"&gt;Verified by Public Record&lt;/a&gt;</t>
  </si>
  <si>
    <t>&lt;a href="http://a836-acris.nyc.gov/DS/DocumentSearch/DocumentDetail?doc_id=2017101700504001" target="_blank"&gt;Verified by Public Record&lt;/a&gt;</t>
  </si>
  <si>
    <t>&lt;a href="http://a836-acris.nyc.gov/DS/DocumentSearch/DocumentDetail?doc_id=2015112000848002" target="_blank"&gt;Verified by Public Record&lt;/a&gt;</t>
  </si>
  <si>
    <t>&lt;a href="http://a836-acris.nyc.gov/DS/DocumentSearch/DocumentDetail?doc_id=2015061200490002" target="_blank"&gt;Verified by Public Record&lt;/a&gt;</t>
  </si>
  <si>
    <t>&lt;a href="http://a836-acris.nyc.gov/DS/DocumentSearch/DocumentDetail?doc_id=2015052900162001" target="_blank"&gt;Verified by Public Record&lt;/a&gt;</t>
  </si>
  <si>
    <t>&lt;a href="http://a836-acris.nyc.gov/DS/DocumentSearch/DocumentDetail?doc_id=2015022400245001" target="_blank"&gt;Verified by Public Record&lt;/a&gt;</t>
  </si>
  <si>
    <t>&lt;a href="http://a836-acris.nyc.gov/DS/DocumentSearch/DocumentDetail?doc_id=2015071600865002" target="_blank"&gt;Verified by Public Record&lt;/a&gt;</t>
  </si>
  <si>
    <t>&lt;a href="http://a836-acris.nyc.gov/DS/DocumentSearch/DocumentDetail?doc_id=2015050801236001" target="_blank"&gt;Verified by Public Record&lt;/a&gt;</t>
  </si>
  <si>
    <t>&lt;a href="http://a836-acris.nyc.gov/DS/DocumentSearch/DocumentDetail?doc_id=2015071700095001" target="_blank"&gt;Verified by Public Record&lt;/a&gt;</t>
  </si>
  <si>
    <t>&lt;a href="http://a836-acris.nyc.gov/DS/DocumentSearch/DocumentDetail?doc_id=2015031600994001" target="_blank"&gt;Verified by Public Record&lt;/a&gt;</t>
  </si>
  <si>
    <t>&lt;a href="http://a836-acris.nyc.gov/DS/DocumentSearch/DocumentDetail?doc_id=2015022700619002" target="_blank"&gt;Verified by Public Record&lt;/a&gt;</t>
  </si>
  <si>
    <t>&lt;a href="http://a836-acris.nyc.gov/DS/DocumentSearch/DocumentDetail?doc_id=2015062900215003" target="_blank"&gt;Verified by Public Record&lt;/a&gt;</t>
  </si>
  <si>
    <t>&lt;a href="http://a836-acris.nyc.gov/DS/DocumentSearch/DocumentDetail?doc_id=2015111701371001" target="_blank"&gt;Verified by Public Record&lt;/a&gt;</t>
  </si>
  <si>
    <t>&lt;a href="http://a836-acris.nyc.gov/DS/DocumentSearch/DocumentDetail?doc_id=2015112301350001" target="_blank"&gt;Verified by Public Record&lt;/a&gt;</t>
  </si>
  <si>
    <t>&lt;a href="http://a836-acris.nyc.gov/DS/DocumentSearch/DocumentDetail?doc_id=2017092800422001" target="_blank"&gt;Verified by Public Record&lt;/a&gt;</t>
  </si>
  <si>
    <t>&lt;a href="http://a836-acris.nyc.gov/DS/DocumentSearch/DocumentDetail?doc_id=2017092601410001" target="_blank"&gt;Verified by Public Record&lt;/a&gt;</t>
  </si>
  <si>
    <t>&lt;a href="http://a836-acris.nyc.gov/DS/DocumentSearch/DocumentDetail?doc_id=2017102601229001" target="_blank"&gt;Verified by Public Record&lt;/a&gt;</t>
  </si>
  <si>
    <t>&lt;a href="http://a836-acris.nyc.gov/DS/DocumentSearch/DocumentDetail?doc_id=2017103100957001" target="_blank"&gt;Verified by Public Record&lt;/a&gt;</t>
  </si>
  <si>
    <t>&lt;a href="http://a836-acris.nyc.gov/DS/DocumentSearch/DocumentDetail?doc_id=2017121301167001" target="_blank"&gt;Verified by Public Record&lt;/a&gt;</t>
  </si>
  <si>
    <t>&lt;a href="http://a836-acris.nyc.gov/DS/DocumentSearch/DocumentDetail?doc_id=2017110600621001" target="_blank"&gt;Verified by Public Record&lt;/a&gt;</t>
  </si>
  <si>
    <t>&lt;a href="http://a836-acris.nyc.gov/DS/DocumentSearch/DocumentDetail?doc_id=2018011601530001" target="_blank"&gt;Verified by Public Record&lt;/a&gt;</t>
  </si>
  <si>
    <t>&lt;a href="http://a836-acris.nyc.gov/DS/DocumentSearch/DocumentDetail?doc_id=2018042500431001" target="_blank"&gt;Verified by Public Record&lt;/a&gt;</t>
  </si>
  <si>
    <t>&lt;a href="http://a836-acris.nyc.gov/DS/DocumentSearch/DocumentDetail?doc_id=2016102600950001" target="_blank"&gt;Verified by Public Record&lt;/a&gt;</t>
  </si>
  <si>
    <t>&lt;a href="http://a836-acris.nyc.gov/DS/DocumentSearch/DocumentDetail?doc_id=2015062901125001" target="_blank"&gt;Verified by Public Record&lt;/a&gt;</t>
  </si>
  <si>
    <t>&lt;a href="http://a836-acris.nyc.gov/DS/DocumentSearch/DocumentDetail?doc_id=2015072800629001" target="_blank"&gt;Verified by Public Record&lt;/a&gt;</t>
  </si>
  <si>
    <t>&lt;a href="http://a836-acris.nyc.gov/DS/DocumentSearch/DocumentDetail?doc_id=2015082601284001" target="_blank"&gt;Verified by Public Record&lt;/a&gt;</t>
  </si>
  <si>
    <t>&lt;a href="http://a836-acris.nyc.gov/DS/DocumentSearch/DocumentDetail?doc_id=2015072700512001" target="_blank"&gt;Verified by Public Record&lt;/a&gt;</t>
  </si>
  <si>
    <t>&lt;a href="http://a836-acris.nyc.gov/DS/DocumentSearch/DocumentDetail?doc_id=2015021200039001" target="_blank"&gt;Verified by Public Record&lt;/a&gt;</t>
  </si>
  <si>
    <t>&lt;a href="http://a836-acris.nyc.gov/DS/DocumentSearch/DocumentDetail?doc_id=2015031101080001" target="_blank"&gt;Verified by Public Record&lt;/a&gt;</t>
  </si>
  <si>
    <t>&lt;a href="http://a836-acris.nyc.gov/DS/DocumentSearch/DocumentDetail?doc_id=2018072300898002" target="_blank"&gt;Verified by Public Record&lt;/a&gt;</t>
  </si>
  <si>
    <t>&lt;a href="http://a836-acris.nyc.gov/DS/DocumentSearch/DocumentDetail?doc_id=2018062700138001" target="_blank"&gt;Verified by Public Record&lt;/a&gt;</t>
  </si>
  <si>
    <t>&lt;a href="http://a836-acris.nyc.gov/DS/DocumentSearch/DocumentDetail?doc_id=2015021000549002" target="_blank"&gt;Verified by Public Record&lt;/a&gt;</t>
  </si>
  <si>
    <t>&lt;a href="http://a836-acris.nyc.gov/DS/DocumentSearch/DocumentDetail?doc_id=2018020101848001" target="_blank"&gt;Verified by Public Record&lt;/a&gt;</t>
  </si>
  <si>
    <t>&lt;a href="http://a836-acris.nyc.gov/DS/DocumentSearch/DocumentDetail?doc_id=2017101700171001" target="_blank"&gt;Verified by Public Record&lt;/a&gt;</t>
  </si>
  <si>
    <t>&lt;a href="http://a836-acris.nyc.gov/DS/DocumentSearch/DocumentDetail?doc_id=2017110600924001" target="_blank"&gt;Verified by Public Record&lt;/a&gt;</t>
  </si>
  <si>
    <t>&lt;a href="http://a836-acris.nyc.gov/DS/DocumentSearch/DocumentDetail?doc_id=2017111000547002" target="_blank"&gt;Verified by Public Record&lt;/a&gt;</t>
  </si>
  <si>
    <t>&lt;a href="http://a836-acris.nyc.gov/DS/DocumentSearch/DocumentDetail?doc_id=2017112200349002" target="_blank"&gt;Verified by Public Record&lt;/a&gt;</t>
  </si>
  <si>
    <t>&lt;a href="http://a836-acris.nyc.gov/DS/DocumentSearch/DocumentDetail?doc_id=2017112101311001" target="_blank"&gt;Verified by Public Record&lt;/a&gt;</t>
  </si>
  <si>
    <t>&lt;a href="http://a836-acris.nyc.gov/DS/DocumentSearch/DocumentDetail?doc_id=2018011801209001" target="_blank"&gt;Verified by Public Record&lt;/a&gt;</t>
  </si>
  <si>
    <t>&lt;a href="http://a836-acris.nyc.gov/DS/DocumentSearch/DocumentDetail?doc_id=2017110300183001" target="_blank"&gt;Verified by Public Record&lt;/a&gt;</t>
  </si>
  <si>
    <t>&lt;a href="http://a836-acris.nyc.gov/DS/DocumentSearch/DocumentDetail?doc_id=2017101800477001" target="_blank"&gt;Verified by Public Record&lt;/a&gt;</t>
  </si>
  <si>
    <t>&lt;a href="http://a836-acris.nyc.gov/DS/DocumentSearch/DocumentDetail?doc_id=2017110600688001" target="_blank"&gt;Verified by Public Record&lt;/a&gt;</t>
  </si>
  <si>
    <t>&lt;a href="http://a836-acris.nyc.gov/DS/DocumentSearch/DocumentDetail?doc_id=2017112200784001" target="_blank"&gt;Verified by Public Record&lt;/a&gt;</t>
  </si>
  <si>
    <t>&lt;a href="http://a836-acris.nyc.gov/DS/DocumentSearch/DocumentDetail?doc_id=2017120800366002" target="_blank"&gt;Verified by Public Record&lt;/a&gt;</t>
  </si>
  <si>
    <t>&lt;a href="http://a836-acris.nyc.gov/DS/DocumentSearch/DocumentDetail?doc_id=2017120800350001" target="_blank"&gt;Verified by Public Record&lt;/a&gt;</t>
  </si>
  <si>
    <t>&lt;a href="http://a836-acris.nyc.gov/DS/DocumentSearch/DocumentDetail?doc_id=2017091200465001" target="_blank"&gt;Verified by Public Record&lt;/a&gt;</t>
  </si>
  <si>
    <t>&lt;a href="http://a836-acris.nyc.gov/DS/DocumentSearch/DocumentDetail?doc_id=2017101000675004" target="_blank"&gt;Verified by Public Record&lt;/a&gt;</t>
  </si>
  <si>
    <t>&lt;a href="http://a836-acris.nyc.gov/DS/DocumentSearch/DocumentDetail?doc_id=2017092000061002" target="_blank"&gt;Verified by Public Record&lt;/a&gt;</t>
  </si>
  <si>
    <t>&lt;a href="http://a836-acris.nyc.gov/DS/DocumentSearch/DocumentDetail?doc_id=2017092200850001" target="_blank"&gt;Verified by Public Record&lt;/a&gt;</t>
  </si>
  <si>
    <t>&lt;a href="http://a836-acris.nyc.gov/DS/DocumentSearch/DocumentDetail?doc_id=2017092000566001" target="_blank"&gt;Verified by Public Record&lt;/a&gt;</t>
  </si>
  <si>
    <t>&lt;a href="http://a836-acris.nyc.gov/DS/DocumentSearch/DocumentDetail?doc_id=2017101800100001" target="_blank"&gt;Verified by Public Record&lt;/a&gt;</t>
  </si>
  <si>
    <t>&lt;a href="http://a836-acris.nyc.gov/DS/DocumentSearch/DocumentDetail?doc_id=2017102600609002" target="_blank"&gt;Verified by Public Record&lt;/a&gt;</t>
  </si>
  <si>
    <t>&lt;a href="http://a836-acris.nyc.gov/DS/DocumentSearch/DocumentDetail?doc_id=2017112100352001" target="_blank"&gt;Verified by Public Record&lt;/a&gt;</t>
  </si>
  <si>
    <t>&lt;a href="http://a836-acris.nyc.gov/DS/DocumentSearch/DocumentDetail?doc_id=2017110101709002" target="_blank"&gt;Verified by Public Record&lt;/a&gt;</t>
  </si>
  <si>
    <t>&lt;a href="http://a836-acris.nyc.gov/DS/DocumentSearch/DocumentDetail?doc_id=2017112000320001" target="_blank"&gt;Verified by Public Record&lt;/a&gt;</t>
  </si>
  <si>
    <t>&lt;a href="http://a836-acris.nyc.gov/DS/DocumentSearch/DocumentDetail?doc_id=2017120800888001" target="_blank"&gt;Verified by Public Record&lt;/a&gt;</t>
  </si>
  <si>
    <t>&lt;a href="http://a836-acris.nyc.gov/DS/DocumentSearch/DocumentDetail?doc_id=2018012400191002" target="_blank"&gt;Verified by Public Record&lt;/a&gt;</t>
  </si>
  <si>
    <t>&lt;a href="http://a836-acris.nyc.gov/DS/DocumentSearch/DocumentDetail?doc_id=2017090800545001" target="_blank"&gt;Verified by Public Record&lt;/a&gt;</t>
  </si>
  <si>
    <t>&lt;a href="http://a836-acris.nyc.gov/DS/DocumentSearch/DocumentDetail?doc_id=2017092700244001" target="_blank"&gt;Verified by Public Record&lt;/a&gt;</t>
  </si>
  <si>
    <t>&lt;a href="http://a836-acris.nyc.gov/DS/DocumentSearch/DocumentDetail?doc_id=2018012300042004" target="_blank"&gt;Verified by Public Record&lt;/a&gt;</t>
  </si>
  <si>
    <t>&lt;a href="http://a836-acris.nyc.gov/DS/DocumentSearch/DocumentDetail?doc_id=2018012200170001" target="_blank"&gt;Verified by Public Record&lt;/a&gt;</t>
  </si>
  <si>
    <t>&lt;a href="http://a836-acris.nyc.gov/DS/DocumentSearch/DocumentDetail?doc_id=2018022701368003" target="_blank"&gt;Verified by Public Record&lt;/a&gt;</t>
  </si>
  <si>
    <t>&lt;a href="http://a836-acris.nyc.gov/DS/DocumentSearch/DocumentDetail?doc_id=2017120700131001" target="_blank"&gt;Verified by Public Record&lt;/a&gt;</t>
  </si>
  <si>
    <t>&lt;a href="http://a836-acris.nyc.gov/DS/DocumentSearch/DocumentDetail?doc_id=2017101101277001" target="_blank"&gt;Verified by Public Record&lt;/a&gt;</t>
  </si>
  <si>
    <t>&lt;a href="http://a836-acris.nyc.gov/DS/DocumentSearch/DocumentDetail?doc_id=2017091301082001" target="_blank"&gt;Verified by Public Record&lt;/a&gt;</t>
  </si>
  <si>
    <t>&lt;a href="http://a836-acris.nyc.gov/DS/DocumentSearch/DocumentDetail?doc_id=2017091301098002" target="_blank"&gt;Verified by Public Record&lt;/a&gt;</t>
  </si>
  <si>
    <t>&lt;a href="http://a836-acris.nyc.gov/DS/DocumentSearch/DocumentDetail?doc_id=2017091400243001" target="_blank"&gt;Verified by Public Record&lt;/a&gt;</t>
  </si>
  <si>
    <t>&lt;a href="http://a836-acris.nyc.gov/DS/DocumentSearch/DocumentDetail?doc_id=2018022300972003" target="_blank"&gt;Verified by Public Record&lt;/a&gt;</t>
  </si>
  <si>
    <t>&lt;a href="http://a836-acris.nyc.gov/DS/DocumentSearch/DocumentDetail?doc_id=2018050900678001" target="_blank"&gt;Verified by Public Record&lt;/a&gt;</t>
  </si>
  <si>
    <t>&lt;a href="http://a836-acris.nyc.gov/DS/DocumentSearch/DocumentDetail?doc_id=2018010300143002" target="_blank"&gt;Verified by Public Record&lt;/a&gt;</t>
  </si>
  <si>
    <t>&lt;a href="http://a836-acris.nyc.gov/DS/DocumentSearch/DocumentDetail?doc_id=2018013100043006" target="_blank"&gt;Verified by Public Record&lt;/a&gt;</t>
  </si>
  <si>
    <t>&lt;a href="http://a836-acris.nyc.gov/DS/DocumentSearch/DocumentDetail?doc_id=2018021401111002" target="_blank"&gt;Verified by Public Record&lt;/a&gt;</t>
  </si>
  <si>
    <t>&lt;a href="http://a836-acris.nyc.gov/DS/DocumentSearch/DocumentDetail?doc_id=2018011900554001" target="_blank"&gt;Verified by Public Record&lt;/a&gt;</t>
  </si>
  <si>
    <t>&lt;a href="http://a836-acris.nyc.gov/DS/DocumentSearch/DocumentDetail?doc_id=2017092100900001" target="_blank"&gt;Verified by Public Record&lt;/a&gt;</t>
  </si>
  <si>
    <t>&lt;a href="http://a836-acris.nyc.gov/DS/DocumentSearch/DocumentDetail?doc_id=2017091500911001" target="_blank"&gt;Verified by Public Record&lt;/a&gt;</t>
  </si>
  <si>
    <t>&lt;a href="http://a836-acris.nyc.gov/DS/DocumentSearch/DocumentDetail?doc_id=2017091401022001" target="_blank"&gt;Verified by Public Record&lt;/a&gt;</t>
  </si>
  <si>
    <t>&lt;a href="http://a836-acris.nyc.gov/DS/DocumentSearch/DocumentDetail?doc_id=2017091901104001" target="_blank"&gt;Verified by Public Record&lt;/a&gt;</t>
  </si>
  <si>
    <t>&lt;a href="http://a836-acris.nyc.gov/DS/DocumentSearch/DocumentDetail?doc_id=2018050900991001" target="_blank"&gt;Verified by Public Record&lt;/a&gt;</t>
  </si>
  <si>
    <t>&lt;a href="http://a836-acris.nyc.gov/DS/DocumentSearch/DocumentDetail?doc_id=2017102300891001" target="_blank"&gt;Verified by Public Record&lt;/a&gt;</t>
  </si>
  <si>
    <t>&lt;a href="http://a836-acris.nyc.gov/DS/DocumentSearch/DocumentDetail?doc_id=2015032000340002" target="_blank"&gt;Verified by Public Record&lt;/a&gt;</t>
  </si>
  <si>
    <t>&lt;a href="http://a836-acris.nyc.gov/DS/DocumentSearch/DocumentDetail?doc_id=2015031701037002" target="_blank"&gt;Verified by Public Record&lt;/a&gt;</t>
  </si>
  <si>
    <t>&lt;a href="http://a836-acris.nyc.gov/DS/DocumentSearch/DocumentDetail?doc_id=2019032200107001" target="_blank"&gt;Public Record Only&lt;/a&gt;</t>
  </si>
  <si>
    <t>&lt;a href="http://a836-acris.nyc.gov/DS/DocumentSearch/DocumentDetail?doc_id=2015060500295002" target="_blank"&gt;Verified by Public Record&lt;/a&gt;</t>
  </si>
  <si>
    <t>&lt;a href="http://a836-acris.nyc.gov/DS/DocumentSearch/DocumentDetail?doc_id=2015051900419001" target="_blank"&gt;Verified by Public Record&lt;/a&gt;</t>
  </si>
  <si>
    <t>&lt;a href="http://a836-acris.nyc.gov/DS/DocumentSearch/DocumentDetail?doc_id=2020032500372002" target="_blank"&gt;Verified by Public Record&lt;/a&gt;</t>
  </si>
  <si>
    <t>&lt;a href="http://a836-acris.nyc.gov/DS/DocumentSearch/DocumentDetail?doc_id=2017092200311001" target="_blank"&gt;Verified by Public Record&lt;/a&gt;</t>
  </si>
  <si>
    <t>&lt;a href="http://a836-acris.nyc.gov/DS/DocumentSearch/DocumentDetail?doc_id=2017040500277001" target="_blank"&gt;Verified by Public Record&lt;/a&gt;</t>
  </si>
  <si>
    <t>&lt;a href="http://a836-acris.nyc.gov/DS/DocumentSearch/DocumentDetail?doc_id=2016100300205001" target="_blank"&gt;Verified by Public Record&lt;/a&gt;</t>
  </si>
  <si>
    <t>&lt;a href="http://a836-acris.nyc.gov/DS/DocumentSearch/DocumentDetail?doc_id=2015092501413001" target="_blank"&gt;Public Record Only&lt;/a&gt;</t>
  </si>
  <si>
    <t>&lt;a href="http://a836-acris.nyc.gov/DS/DocumentSearch/DocumentDetail?doc_id=2015013000386001" target="_blank"&gt;Verified by Public Record&lt;/a&gt;</t>
  </si>
  <si>
    <t>&lt;a href="http://a836-acris.nyc.gov/DS/DocumentSearch/DocumentDetail?doc_id=2015012100448001" target="_blank"&gt;Verified by Public Record&lt;/a&gt;</t>
  </si>
  <si>
    <t>&lt;a href="http://a836-acris.nyc.gov/DS/DocumentSearch/DocumentDetail?doc_id=2019011500404001" target="_blank"&gt;Verified by Public Record&lt;/a&gt;</t>
  </si>
  <si>
    <t>&lt;a href="http://a836-acris.nyc.gov/DS/DocumentSearch/DocumentDetail?doc_id=2019032700741001" target="_blank"&gt;Public Record Only&lt;/a&gt;</t>
  </si>
  <si>
    <t>&lt;a href="http://a836-acris.nyc.gov/DS/DocumentSearch/DocumentDetail?doc_id=2018040500318001" target="_blank"&gt;Public Record Only&lt;/a&gt;</t>
  </si>
  <si>
    <t>&lt;a href="http://a836-acris.nyc.gov/DS/DocumentSearch/DocumentDetail?doc_id=2017022401049001" target="_blank"&gt;Public Record Only&lt;/a&gt;</t>
  </si>
  <si>
    <t>&lt;a href="http://a836-acris.nyc.gov/DS/DocumentSearch/DocumentDetail?doc_id=2017021701114001" target="_blank"&gt;Public Record Only&lt;/a&gt;</t>
  </si>
  <si>
    <t>&lt;a href="http://a836-acris.nyc.gov/DS/DocumentSearch/DocumentDetail?doc_id=2017021300481001" target="_blank"&gt;Verified by Public Record&lt;/a&gt;</t>
  </si>
  <si>
    <t>&lt;a href="http://a836-acris.nyc.gov/DS/DocumentSearch/DocumentDetail?doc_id=2016042500485002" target="_blank"&gt;Verified by Public Record&lt;/a&gt;</t>
  </si>
  <si>
    <t>Balcony
Deck
Common Roof Deck
Common Outdoor Space</t>
  </si>
  <si>
    <t>&lt;a href="http://a836-acris.nyc.gov/DS/DocumentSearch/DocumentDetail?doc_id=2018071800827005" target="_blank"&gt;Verified by Public Record&lt;/a&gt;</t>
  </si>
  <si>
    <t>Balcony
Private Terrace
Roof Deck
Common Roof Deck
Barbecue Area
Common Outdoor Space
Private Outdoor Space</t>
  </si>
  <si>
    <t>&lt;a href="http://a836-acris.nyc.gov/DS/DocumentSearch/DocumentDetail?doc_id=2017120800606001" target="_blank"&gt;Verified by Public Record&lt;/a&gt;</t>
  </si>
  <si>
    <t>&lt;a href="http://a836-acris.nyc.gov/DS/DocumentSearch/DocumentDetail?doc_id=2018102301123002" target="_blank"&gt;Public Record Only&lt;/a&gt;</t>
  </si>
  <si>
    <t>&lt;a href="http://a836-acris.nyc.gov/DS/DocumentSearch/DocumentDetail?doc_id=2019031900712001" target="_blank"&gt;Public Record Only&lt;/a&gt;</t>
  </si>
  <si>
    <t>&lt;a href="http://a836-acris.nyc.gov/DS/DocumentSearch/DocumentDetail?doc_id=2018040400124001" target="_blank"&gt;Public Record Only&lt;/a&gt;</t>
  </si>
  <si>
    <t>&lt;a href="http://a836-acris.nyc.gov/DS/DocumentSearch/DocumentDetail?doc_id=2017100600474001" target="_blank"&gt;Verified by Public Record&lt;/a&gt;</t>
  </si>
  <si>
    <t>&lt;a href="http://a836-acris.nyc.gov/DS/DocumentSearch/DocumentDetail?doc_id=2016062002569001" target="_blank"&gt;Verified by Public Record&lt;/a&gt;</t>
  </si>
  <si>
    <t>&lt;a href="http://a836-acris.nyc.gov/DS/DocumentSearch/DocumentDetail?doc_id=2017111501348001" target="_blank"&gt;Verified by Public Record&lt;/a&gt;</t>
  </si>
  <si>
    <t>Balcony
Common Garden
Common Outdoor Space
Private Outdoor Space</t>
  </si>
  <si>
    <t>&lt;a href="http://a836-acris.nyc.gov/DS/DocumentSearch/DocumentDetail?doc_id=2015062901293001" target="_blank"&gt;Verified by Public Record&lt;/a&gt;</t>
  </si>
  <si>
    <t>&lt;a href="http://a836-acris.nyc.gov/DS/DocumentSearch/DocumentDetail?doc_id=2015062201070001" target="_blank"&gt;Verified by Public Record&lt;/a&gt;</t>
  </si>
  <si>
    <t>&lt;a href="http://a836-acris.nyc.gov/DS/DocumentSearch/DocumentDetail?doc_id=2016021601336001" target="_blank"&gt;Verified by Public Record&lt;/a&gt;</t>
  </si>
  <si>
    <t>&lt;a href="http://a836-acris.nyc.gov/DS/DocumentSearch/DocumentDetail?doc_id=2015021900854003" target="_blank"&gt;Verified by Public Record&lt;/a&gt;</t>
  </si>
  <si>
    <t>&lt;a href="http://a836-acris.nyc.gov/DS/DocumentSearch/DocumentDetail?doc_id=2018012300671001" target="_blank"&gt;Verified by Public Record&lt;/a&gt;</t>
  </si>
  <si>
    <t>&lt;a href="http://a836-acris.nyc.gov/DS/DocumentSearch/DocumentDetail?doc_id=2019041900371001" target="_blank"&gt;Verified by Public Record&lt;/a&gt;</t>
  </si>
  <si>
    <t>&lt;a href="http://a836-acris.nyc.gov/DS/DocumentSearch/DocumentDetail?doc_id=2018110200815002" target="_blank"&gt;Public Record Only&lt;/a&gt;</t>
  </si>
  <si>
    <t>&lt;a href="http://a836-acris.nyc.gov/DS/DocumentSearch/DocumentDetail?doc_id=2017120100696001" target="_blank"&gt;Verified by Public Record&lt;/a&gt;</t>
  </si>
  <si>
    <t>&lt;a href="http://a836-acris.nyc.gov/DS/DocumentSearch/DocumentDetail?doc_id=2018062900386002" target="_blank"&gt;Public Record Only&lt;/a&gt;</t>
  </si>
  <si>
    <t>&lt;a href="http://a836-acris.nyc.gov/DS/DocumentSearch/DocumentDetail?doc_id=2017120800562001" target="_blank"&gt;Verified by Public Record&lt;/a&gt;</t>
  </si>
  <si>
    <t>&lt;a href="http://a836-acris.nyc.gov/DS/DocumentSearch/DocumentDetail?doc_id=2018070201175002" target="_blank"&gt;Public Record Only&lt;/a&gt;</t>
  </si>
  <si>
    <t>&lt;a href="http://a836-acris.nyc.gov/DS/DocumentSearch/DocumentDetail?doc_id=2018120400579002" target="_blank"&gt;Public Record Only&lt;/a&gt;</t>
  </si>
  <si>
    <t>&lt;a href="http://a836-acris.nyc.gov/DS/DocumentSearch/DocumentDetail?doc_id=2018120400551002" target="_blank"&gt;Public Record Only&lt;/a&gt;</t>
  </si>
  <si>
    <t>&lt;a href="http://a836-acris.nyc.gov/DS/DocumentSearch/DocumentDetail?doc_id=2018120400580002" target="_blank"&gt;Public Record Only&lt;/a&gt;</t>
  </si>
  <si>
    <t>&lt;a href="http://a836-acris.nyc.gov/DS/DocumentSearch/DocumentDetail?doc_id=2019030500072001" target="_blank"&gt;Public Record Only&lt;/a&gt;</t>
  </si>
  <si>
    <t>&lt;a href="http://a836-acris.nyc.gov/DS/DocumentSearch/DocumentDetail?doc_id=2019040300553002" target="_blank"&gt;Public Record Only&lt;/a&gt;</t>
  </si>
  <si>
    <t>&lt;a href="http://a836-acris.nyc.gov/DS/DocumentSearch/DocumentDetail?doc_id=2018123100541002" target="_blank"&gt;Public Record Only&lt;/a&gt;</t>
  </si>
  <si>
    <t>&lt;a href="http://a836-acris.nyc.gov/DS/DocumentSearch/DocumentDetail?doc_id=2019022500208001" target="_blank"&gt;Public Record Only&lt;/a&gt;</t>
  </si>
  <si>
    <t>&lt;a href="http://a836-acris.nyc.gov/DS/DocumentSearch/DocumentDetail?doc_id=2019022500412001" target="_blank"&gt;Public Record Only&lt;/a&gt;</t>
  </si>
  <si>
    <t>&lt;a href="http://a836-acris.nyc.gov/DS/DocumentSearch/DocumentDetail?doc_id=2019022701059001" target="_blank"&gt;Public Record Only&lt;/a&gt;</t>
  </si>
  <si>
    <t>&lt;a href="http://a836-acris.nyc.gov/DS/DocumentSearch/DocumentDetail?doc_id=2017070600022001" target="_blank"&gt;Verified by Public Record&lt;/a&gt;</t>
  </si>
  <si>
    <t>&lt;a href="http://a836-acris.nyc.gov/DS/DocumentSearch/DocumentDetail?doc_id=2017090500740002" target="_blank"&gt;Verified by Public Record&lt;/a&gt;</t>
  </si>
  <si>
    <t>&lt;a href="http://a836-acris.nyc.gov/DS/DocumentSearch/DocumentDetail?doc_id=2017060100342001" target="_blank"&gt;Verified by Public Record&lt;/a&gt;</t>
  </si>
  <si>
    <t>&lt;a href="http://a836-acris.nyc.gov/DS/DocumentSearch/DocumentDetail?doc_id=2017120101232001" target="_blank"&gt;Verified by Public Record&lt;/a&gt;</t>
  </si>
  <si>
    <t>&lt;a href="http://a836-acris.nyc.gov/DS/DocumentSearch/DocumentDetail?doc_id=2017102300135001" target="_blank"&gt;Public Record Only&lt;/a&gt;</t>
  </si>
  <si>
    <t>&lt;a href="http://a836-acris.nyc.gov/DS/DocumentSearch/DocumentDetail?doc_id=2017072000366001" target="_blank"&gt;Public Record Only&lt;/a&gt;</t>
  </si>
  <si>
    <t>&lt;a href="http://a836-acris.nyc.gov/DS/DocumentSearch/DocumentDetail?doc_id=2017080101011002" target="_blank"&gt;Public Record Only&lt;/a&gt;</t>
  </si>
  <si>
    <t>&lt;a href="http://a836-acris.nyc.gov/DS/DocumentSearch/DocumentDetail?doc_id=2017080801280002" target="_blank"&gt;Public Record Only&lt;/a&gt;</t>
  </si>
  <si>
    <t>&lt;a href="http://a836-acris.nyc.gov/DS/DocumentSearch/DocumentDetail?doc_id=2015031701134001" target="_blank"&gt;Verified by Public Record&lt;/a&gt;</t>
  </si>
  <si>
    <t>&lt;a href="http://a836-acris.nyc.gov/DS/DocumentSearch/DocumentDetail?doc_id=2016101900128001" target="_blank"&gt;Verified by Public Record&lt;/a&gt;</t>
  </si>
  <si>
    <t>&lt;a href="http://a836-acris.nyc.gov/DS/DocumentSearch/DocumentDetail?doc_id=2018122900049001" target="_blank"&gt;Verified by Public Record&lt;/a&gt;</t>
  </si>
  <si>
    <t>&lt;a href="http://a836-acris.nyc.gov/DS/DocumentSearch/DocumentDetail?doc_id=2018122001086003" target="_blank"&gt;Verified by Public Record&lt;/a&gt;</t>
  </si>
  <si>
    <t>&lt;a href="http://a836-acris.nyc.gov/DS/DocumentSearch/DocumentDetail?doc_id=2019020401094001" target="_blank"&gt;Verified by Public Record&lt;/a&gt;</t>
  </si>
  <si>
    <t>&lt;a href="http://a836-acris.nyc.gov/DS/DocumentSearch/DocumentDetail?doc_id=2015031800929001" target="_blank"&gt;Verified by Public Record&lt;/a&gt;</t>
  </si>
  <si>
    <t>&lt;a href="http://a836-acris.nyc.gov/DS/DocumentSearch/DocumentDetail?doc_id=2018080701015002" target="_blank"&gt;Verified by Public Record&lt;/a&gt;</t>
  </si>
  <si>
    <t>&lt;a href="http://a836-acris.nyc.gov/DS/DocumentSearch/DocumentDetail?doc_id=2019071600467004" target="_blank"&gt;Verified by Public Record&lt;/a&gt;</t>
  </si>
  <si>
    <t>&lt;a href="http://a836-acris.nyc.gov/DS/DocumentSearch/DocumentDetail?doc_id=2021052001348003" target="_blank"&gt;Verified by Public Record&lt;/a&gt;</t>
  </si>
  <si>
    <t>&lt;a href="http://a836-acris.nyc.gov/DS/DocumentSearch/DocumentDetail?doc_id=2015112600045002" target="_blank"&gt;Verified by Public Record&lt;/a&gt;</t>
  </si>
  <si>
    <t>&lt;a href="http://a836-acris.nyc.gov/DS/DocumentSearch/DocumentDetail?doc_id=2015011700041001" target="_blank"&gt;Verified by Public Record&lt;/a&gt;</t>
  </si>
  <si>
    <t>&lt;a href="http://a836-acris.nyc.gov/DS/DocumentSearch/DocumentDetail?doc_id=2017120701038002" target="_blank"&gt;Verified by Public Record&lt;/a&gt;</t>
  </si>
  <si>
    <t>&lt;a href="http://a836-acris.nyc.gov/DS/DocumentSearch/DocumentDetail?doc_id=2017111700732001" target="_blank"&gt;Verified by Public Record&lt;/a&gt;</t>
  </si>
  <si>
    <t>&lt;a href="http://a836-acris.nyc.gov/DS/DocumentSearch/DocumentDetail?doc_id=2018022600642006" target="_blank"&gt;Verified by Public Record&lt;/a&gt;</t>
  </si>
  <si>
    <t>&lt;a href="http://a836-acris.nyc.gov/DS/DocumentSearch/DocumentDetail?doc_id=2017102501095001" target="_blank"&gt;Verified by Public Record&lt;/a&gt;</t>
  </si>
  <si>
    <t>&lt;a href="http://a836-acris.nyc.gov/DS/DocumentSearch/DocumentDetail?doc_id=2015040201063001" target="_blank"&gt;Verified by Public Record&lt;/a&gt;</t>
  </si>
  <si>
    <t>&lt;a href="http://a836-acris.nyc.gov/DS/DocumentSearch/DocumentDetail?doc_id=2015031600884001" target="_blank"&gt;Verified by Public Record&lt;/a&gt;</t>
  </si>
  <si>
    <t>&lt;a href="http://a836-acris.nyc.gov/DS/DocumentSearch/DocumentDetail?doc_id=2015010100027003" target="_blank"&gt;Verified by Public Record&lt;/a&gt;</t>
  </si>
  <si>
    <t>&lt;a href="http://a836-acris.nyc.gov/DS/DocumentSearch/DocumentDetail?doc_id=2015020300902001" target="_blank"&gt;Verified by Public Record&lt;/a&gt;</t>
  </si>
  <si>
    <t>Commercial/Condominium/Condo</t>
  </si>
  <si>
    <t>&lt;a href="http://a836-acris.nyc.gov/DS/DocumentSearch/DocumentDetail?doc_id=2019080800200001" target="_blank"&gt;Verified by Public Record&lt;/a&gt;</t>
  </si>
  <si>
    <t>&lt;a href="http://a836-acris.nyc.gov/DS/DocumentSearch/DocumentDetail?doc_id=2018010400145003" target="_blank"&gt;Verified by Public Record&lt;/a&gt;</t>
  </si>
  <si>
    <t>&lt;a href="http://a836-acris.nyc.gov/DS/DocumentSearch/DocumentDetail?doc_id=2021080200473003" target="_blank"&gt;Verified by Public Record&lt;/a&gt;</t>
  </si>
  <si>
    <t>Barbecue Area
Private Outdoor Space</t>
  </si>
  <si>
    <t>&lt;a href="http://a836-acris.nyc.gov/DS/DocumentSearch/DocumentDetail?doc_id=2018100800499003" target="_blank"&gt;Verified by Public Record&lt;/a&gt;</t>
  </si>
  <si>
    <t>&lt;a href="http://a836-acris.nyc.gov/DS/DocumentSearch/DocumentDetail?doc_id=2017052300557007" target="_blank"&gt;Verified by Public Record&lt;/a&gt;</t>
  </si>
  <si>
    <t>&lt;a href="http://a836-acris.nyc.gov/DS/DocumentSearch/DocumentDetail?doc_id=2017012600206001" target="_blank"&gt;Verified by Public Record&lt;/a&gt;</t>
  </si>
  <si>
    <t>&lt;a href="http://a836-acris.nyc.gov/DS/DocumentSearch/DocumentDetail?doc_id=2017091400934002" target="_blank"&gt;Verified by Public Record&lt;/a&gt;</t>
  </si>
  <si>
    <t>&lt;a href="http://a836-acris.nyc.gov/DS/DocumentSearch/DocumentDetail?doc_id=2017101700886001" target="_blank"&gt;Verified by Public Record&lt;/a&gt;</t>
  </si>
  <si>
    <t>&lt;a href="http://a836-acris.nyc.gov/DS/DocumentSearch/DocumentDetail?doc_id=2017111000166001" target="_blank"&gt;Verified by Public Record&lt;/a&gt;</t>
  </si>
  <si>
    <t>&lt;a href="http://a836-acris.nyc.gov/DS/DocumentSearch/DocumentDetail?doc_id=2017092600656002" target="_blank"&gt;Verified by Public Record&lt;/a&gt;</t>
  </si>
  <si>
    <t>&lt;a href="http://a836-acris.nyc.gov/DS/DocumentSearch/DocumentDetail?doc_id=2017090500159001" target="_blank"&gt;Verified by Public Record&lt;/a&gt;</t>
  </si>
  <si>
    <t>&lt;a href="http://a836-acris.nyc.gov/DS/DocumentSearch/DocumentDetail?doc_id=2017100400621001" target="_blank"&gt;Verified by Public Record&lt;/a&gt;</t>
  </si>
  <si>
    <t>&lt;a href="http://a836-acris.nyc.gov/DS/DocumentSearch/DocumentDetail?doc_id=2017101300803005" target="_blank"&gt;Verified by Public Record&lt;/a&gt;</t>
  </si>
  <si>
    <t>&lt;a href="http://a836-acris.nyc.gov/DS/DocumentSearch/DocumentDetail?doc_id=2017100200357001" target="_blank"&gt;Verified by Public Record&lt;/a&gt;</t>
  </si>
  <si>
    <t>&lt;a href="http://a836-acris.nyc.gov/DS/DocumentSearch/DocumentDetail?doc_id=2017101700475001" target="_blank"&gt;Verified by Public Record&lt;/a&gt;</t>
  </si>
  <si>
    <t>&lt;a href="http://a836-acris.nyc.gov/DS/DocumentSearch/DocumentDetail?doc_id=2017102400857002" target="_blank"&gt;Verified by Public Record&lt;/a&gt;</t>
  </si>
  <si>
    <t>&lt;a href="http://a836-acris.nyc.gov/DS/DocumentSearch/DocumentDetail?doc_id=2017111500272002" target="_blank"&gt;Verified by Public Record&lt;/a&gt;</t>
  </si>
  <si>
    <t>&lt;a href="http://a836-acris.nyc.gov/DS/DocumentSearch/DocumentDetail?doc_id=2017120100465001" target="_blank"&gt;Verified by Public Record&lt;/a&gt;</t>
  </si>
  <si>
    <t>&lt;a href="http://a836-acris.nyc.gov/DS/DocumentSearch/DocumentDetail?doc_id=2017111800017001" target="_blank"&gt;Verified by Public Record&lt;/a&gt;</t>
  </si>
  <si>
    <t>&lt;a href="http://a836-acris.nyc.gov/DS/DocumentSearch/DocumentDetail?doc_id=2018012400401001" target="_blank"&gt;Verified by Public Record&lt;/a&gt;</t>
  </si>
  <si>
    <t>&lt;a href="http://a836-acris.nyc.gov/DS/DocumentSearch/DocumentDetail?doc_id=2018011900099001" target="_blank"&gt;Verified by Public Record&lt;/a&gt;</t>
  </si>
  <si>
    <t>&lt;a href="http://a836-acris.nyc.gov/DS/DocumentSearch/DocumentDetail?doc_id=2017101900297002" target="_blank"&gt;Verified by Public Record&lt;/a&gt;</t>
  </si>
  <si>
    <t>&lt;a href="http://a836-acris.nyc.gov/DS/DocumentSearch/DocumentDetail?doc_id=2017121901062001" target="_blank"&gt;Verified by Public Record&lt;/a&gt;</t>
  </si>
  <si>
    <t>&lt;a href="http://a836-acris.nyc.gov/DS/DocumentSearch/DocumentDetail?doc_id=2017112800293006" target="_blank"&gt;Verified by Public Record&lt;/a&gt;</t>
  </si>
  <si>
    <t>&lt;a href="http://a836-acris.nyc.gov/DS/DocumentSearch/DocumentDetail?doc_id=2017120500847001" target="_blank"&gt;Verified by Public Record&lt;/a&gt;</t>
  </si>
  <si>
    <t>&lt;a href="http://a836-acris.nyc.gov/DS/DocumentSearch/DocumentDetail?doc_id=2017090500128002" target="_blank"&gt;Verified by Public Record&lt;/a&gt;</t>
  </si>
  <si>
    <t>&lt;a href="http://a836-acris.nyc.gov/DS/DocumentSearch/DocumentDetail?doc_id=2017111301492001" target="_blank"&gt;Verified by Public Record&lt;/a&gt;</t>
  </si>
  <si>
    <t>&lt;a href="http://a836-acris.nyc.gov/DS/DocumentSearch/DocumentDetail?doc_id=2017092801185002" target="_blank"&gt;Verified by Public Record&lt;/a&gt;</t>
  </si>
  <si>
    <t>&lt;a href="http://a836-acris.nyc.gov/DS/DocumentSearch/DocumentDetail?doc_id=2017091500477001" target="_blank"&gt;Verified by Public Record&lt;/a&gt;</t>
  </si>
  <si>
    <t>&lt;a href="http://a836-acris.nyc.gov/DS/DocumentSearch/DocumentDetail?doc_id=2018052901133001" target="_blank"&gt;Verified by Public Record&lt;/a&gt;</t>
  </si>
  <si>
    <t>&lt;a href="http://a836-acris.nyc.gov/DS/DocumentSearch/DocumentDetail?doc_id=2018080700219002" target="_blank"&gt;Verified by Public Record&lt;/a&gt;</t>
  </si>
  <si>
    <t>&lt;a href="http://a836-acris.nyc.gov/DS/DocumentSearch/DocumentDetail?doc_id=2016011200713001" target="_blank"&gt;Public Record Only&lt;/a&gt;</t>
  </si>
  <si>
    <t>&lt;a href="http://a836-acris.nyc.gov/DS/DocumentSearch/DocumentDetail?doc_id=2017091500056003" target="_blank"&gt;Public Record Only&lt;/a&gt;</t>
  </si>
  <si>
    <t>&lt;a href="http://a836-acris.nyc.gov/DS/DocumentSearch/DocumentDetail?doc_id=2015122100020001" target="_blank"&gt;Verified by Public Record&lt;/a&gt;</t>
  </si>
  <si>
    <t>&lt;a href="http://a836-acris.nyc.gov/DS/DocumentSearch/DocumentDetail?doc_id=2020040700546002" target="_blank"&gt;Verified by Public Record&lt;/a&gt;</t>
  </si>
  <si>
    <t>&lt;a href="http://a836-acris.nyc.gov/DS/DocumentSearch/DocumentDetail?doc_id=2020060800394001" target="_blank"&gt;Verified by Public Record&lt;/a&gt;</t>
  </si>
  <si>
    <t>&lt;a href="http://a836-acris.nyc.gov/DS/DocumentSearch/DocumentDetail?doc_id=2018082800476001" target="_blank"&gt;Verified by Public Record&lt;/a&gt;</t>
  </si>
  <si>
    <t>&lt;a href="http://a836-acris.nyc.gov/DS/DocumentSearch/DocumentDetail?doc_id=2017110601318002" target="_blank"&gt;Verified by Public Record&lt;/a&gt;</t>
  </si>
  <si>
    <t>&lt;a href="http://a836-acris.nyc.gov/DS/DocumentSearch/DocumentDetail?doc_id=2017101700364001" target="_blank"&gt;Verified by Public Record&lt;/a&gt;</t>
  </si>
  <si>
    <t>&lt;a href="http://a836-acris.nyc.gov/DS/DocumentSearch/DocumentDetail?doc_id=2021051001349001" target="_blank"&gt;Verified by Public Record&lt;/a&gt;</t>
  </si>
  <si>
    <t>&lt;a href="http://a836-acris.nyc.gov/DS/DocumentSearch/DocumentDetail?doc_id=2018053000913001" target="_blank"&gt;Verified by Public Record&lt;/a&gt;</t>
  </si>
  <si>
    <t>&lt;a href="http://a836-acris.nyc.gov/DS/DocumentSearch/DocumentDetail?doc_id=2020013100552001" target="_blank"&gt;Verified by Public Record&lt;/a&gt;</t>
  </si>
  <si>
    <t>&lt;a href="http://a836-acris.nyc.gov/DS/DocumentSearch/DocumentDetail?doc_id=2015081801127001" target="_blank"&gt;Verified by Public Record&lt;/a&gt;</t>
  </si>
  <si>
    <t>&lt;a href="http://a836-acris.nyc.gov/DS/DocumentSearch/DocumentDetail?doc_id=2018010300377002" target="_blank"&gt;Verified by Public Record&lt;/a&gt;</t>
  </si>
  <si>
    <t>&lt;a href="http://a836-acris.nyc.gov/DS/DocumentSearch/DocumentDetail?doc_id=2017120500142001" target="_blank"&gt;Verified by Public Record&lt;/a&gt;</t>
  </si>
  <si>
    <t>&lt;a href="http://a836-acris.nyc.gov/DS/DocumentSearch/DocumentDetail?doc_id=2017091200335002" target="_blank"&gt;Verified by Public Record&lt;/a&gt;</t>
  </si>
  <si>
    <t>&lt;a href="http://a836-acris.nyc.gov/DS/DocumentSearch/DocumentDetail?doc_id=2017071900271001" target="_blank"&gt;Verified by Public Record&lt;/a&gt;</t>
  </si>
  <si>
    <t>&lt;a href="http://a836-acris.nyc.gov/DS/DocumentSearch/DocumentDetail?doc_id=2018122100662001" target="_blank"&gt;Verified by Public Record&lt;/a&gt;</t>
  </si>
  <si>
    <t>&lt;a href="http://a836-acris.nyc.gov/DS/DocumentSearch/DocumentDetail?doc_id=2020111000586003" target="_blank"&gt;Verified by Public Record&lt;/a&gt;</t>
  </si>
  <si>
    <t>Private Terrace
Private Roof Deck
Common Garden
Common Outdoor Space
Private Outdoor Space</t>
  </si>
  <si>
    <t>&lt;a href="http://a836-acris.nyc.gov/DS/DocumentSearch/DocumentDetail?doc_id=2018042501205006" target="_blank"&gt;Verified by Public Record&lt;/a&gt;</t>
  </si>
  <si>
    <t>&lt;a href="http://a836-acris.nyc.gov/DS/DocumentSearch/DocumentDetail?doc_id=2018092500021004" target="_blank"&gt;Verified by Public Record&lt;/a&gt;</t>
  </si>
  <si>
    <t>Private Terrace
Private Wrap Around Terrace
Common Roof Deck
Barbecue Area
Common Outdoor Space
Private Outdoor Space</t>
  </si>
  <si>
    <t>&lt;a href="http://a836-acris.nyc.gov/DS/DocumentSearch/DocumentDetail?doc_id=2018012200120002" target="_blank"&gt;Verified by Public Record&lt;/a&gt;</t>
  </si>
  <si>
    <t>&lt;a href="http://a836-acris.nyc.gov/DS/DocumentSearch/DocumentDetail?doc_id=2017030201001001" target="_blank"&gt;Verified by Public Record&lt;/a&gt;</t>
  </si>
  <si>
    <t>&lt;a href="http://a836-acris.nyc.gov/DS/DocumentSearch/DocumentDetail?doc_id=2018011800235002" target="_blank"&gt;Verified by Public Record&lt;/a&gt;</t>
  </si>
  <si>
    <t>&lt;a href="http://a836-acris.nyc.gov/DS/DocumentSearch/DocumentDetail?doc_id=2018051500274001" target="_blank"&gt;Verified by Public Record&lt;/a&gt;</t>
  </si>
  <si>
    <t>&lt;a href="http://a836-acris.nyc.gov/DS/DocumentSearch/DocumentDetail?doc_id=2018042300696001" target="_blank"&gt;Verified by Public Record&lt;/a&gt;</t>
  </si>
  <si>
    <t>&lt;a href="http://a836-acris.nyc.gov/DS/DocumentSearch/DocumentDetail?doc_id=2019043001048001" target="_blank"&gt;Verified by Public Record&lt;/a&gt;</t>
  </si>
  <si>
    <t>&lt;a href="http://a836-acris.nyc.gov/DS/DocumentSearch/DocumentDetail?doc_id=2018081700857004" target="_blank"&gt;Verified by Public Record&lt;/a&gt;</t>
  </si>
  <si>
    <t>Commercial</t>
  </si>
  <si>
    <t>&lt;a href="http://a836-acris.nyc.gov/DS/DocumentSearch/DocumentDetail?doc_id=2021032600964001" target="_blank"&gt;Verified by Public Record&lt;/a&gt;</t>
  </si>
  <si>
    <t>&lt;a href="http://a836-acris.nyc.gov/DS/DocumentSearch/DocumentDetail?doc_id=2018110500928006" target="_blank"&gt;Verified by Public Record&lt;/a&gt;</t>
  </si>
  <si>
    <t>&lt;a href="http://a836-acris.nyc.gov/DS/DocumentSearch/DocumentDetail?doc_id=2017062300505003" target="_blank"&gt;Verified by Public Record&lt;/a&gt;</t>
  </si>
  <si>
    <t>&lt;a href="http://a836-acris.nyc.gov/DS/DocumentSearch/DocumentDetail?doc_id=2017060801077001" target="_blank"&gt;Verified by Public Record&lt;/a&gt;</t>
  </si>
  <si>
    <t>&lt;a href="http://a836-acris.nyc.gov/DS/DocumentSearch/DocumentDetail?doc_id=2017062600280001" target="_blank"&gt;Verified by Public Record&lt;/a&gt;</t>
  </si>
  <si>
    <t>&lt;a href="http://a836-acris.nyc.gov/DS/DocumentSearch/DocumentDetail?doc_id=2017053100477001" target="_blank"&gt;Verified by Public Record&lt;/a&gt;</t>
  </si>
  <si>
    <t>&lt;a href="http://a836-acris.nyc.gov/DS/DocumentSearch/DocumentDetail?doc_id=2017061300924001" target="_blank"&gt;Verified by Public Record&lt;/a&gt;</t>
  </si>
  <si>
    <t>&lt;a href="http://a836-acris.nyc.gov/DS/DocumentSearch/DocumentDetail?doc_id=2017060500229001" target="_blank"&gt;Verified by Public Record&lt;/a&gt;</t>
  </si>
  <si>
    <t>&lt;a href="http://a836-acris.nyc.gov/DS/DocumentSearch/DocumentDetail?doc_id=2017070500681002" target="_blank"&gt;Verified by Public Record&lt;/a&gt;</t>
  </si>
  <si>
    <t>&lt;a href="http://a836-acris.nyc.gov/DS/DocumentSearch/DocumentDetail?doc_id=2017053100706001" target="_blank"&gt;Verified by Public Record&lt;/a&gt;</t>
  </si>
  <si>
    <t>&lt;a href="http://a836-acris.nyc.gov/DS/DocumentSearch/DocumentDetail?doc_id=2017091900598001" target="_blank"&gt;Verified by Public Record&lt;/a&gt;</t>
  </si>
  <si>
    <t>&lt;a href="http://a836-acris.nyc.gov/DS/DocumentSearch/DocumentDetail?doc_id=2018051601066001" target="_blank"&gt;Verified by Public Record&lt;/a&gt;</t>
  </si>
  <si>
    <t>&lt;a href="http://a836-acris.nyc.gov/DS/DocumentSearch/DocumentDetail?doc_id=2018051700407001" target="_blank"&gt;Verified by Public Record&lt;/a&gt;</t>
  </si>
  <si>
    <t>&lt;a href="http://a836-acris.nyc.gov/DS/DocumentSearch/DocumentDetail?doc_id=2018053000857001" target="_blank"&gt;Verified by Public Record&lt;/a&gt;</t>
  </si>
  <si>
    <t>&lt;a href="http://a836-acris.nyc.gov/DS/DocumentSearch/DocumentDetail?doc_id=2018051800212001" target="_blank"&gt;Verified by Public Record&lt;/a&gt;</t>
  </si>
  <si>
    <t>&lt;a href="http://a836-acris.nyc.gov/DS/DocumentSearch/DocumentDetail?doc_id=2018051800334001" target="_blank"&gt;Verified by Public Record&lt;/a&gt;</t>
  </si>
  <si>
    <t>&lt;a href="http://a836-acris.nyc.gov/DS/DocumentSearch/DocumentDetail?doc_id=2020061500849002" target="_blank"&gt;Verified by Public Record&lt;/a&gt;</t>
  </si>
  <si>
    <t>&lt;a href="http://a836-acris.nyc.gov/DS/DocumentSearch/DocumentDetail?doc_id=2018041200720001" target="_blank"&gt;Verified by Public Record&lt;/a&gt;</t>
  </si>
  <si>
    <t>&lt;a href="http://a836-acris.nyc.gov/DS/DocumentSearch/DocumentDetail?doc_id=2014122300645001" target="_blank"&gt;Verified by Public Record&lt;/a&gt;</t>
  </si>
  <si>
    <t>&lt;a href="http://a836-acris.nyc.gov/DS/DocumentSearch/DocumentDetail?doc_id=2017090100171001" target="_blank"&gt;Verified by Public Record&lt;/a&gt;</t>
  </si>
  <si>
    <t>&lt;a href="http://a836-acris.nyc.gov/DS/DocumentSearch/DocumentDetail?doc_id=2017090800133001" target="_blank"&gt;Public Record Only&lt;/a&gt;</t>
  </si>
  <si>
    <t>&lt;a href="http://a836-acris.nyc.gov/DS/DocumentSearch/DocumentDetail?doc_id=2019091600330001" target="_blank"&gt;Public Record Only&lt;/a&gt;</t>
  </si>
  <si>
    <t>&lt;a href="http://a836-acris.nyc.gov/DS/DocumentSearch/DocumentDetail?doc_id=2017120100191001" target="_blank"&gt;Public Record Only&lt;/a&gt;</t>
  </si>
  <si>
    <t>&lt;a href="http://a836-acris.nyc.gov/DS/DocumentSearch/DocumentDetail?doc_id=2016102600297001" target="_blank"&gt;Public Record Only&lt;/a&gt;</t>
  </si>
  <si>
    <t>&lt;a href="http://a836-acris.nyc.gov/DS/DocumentSearch/DocumentDetail?doc_id=2017110101374003" target="_blank"&gt;Verified by Public Record&lt;/a&gt;</t>
  </si>
  <si>
    <t>Balcony
Juliet Balcony
Private Terrace
Deck
Roof Deck
Common Roof Deck
Common Outdoor Space</t>
  </si>
  <si>
    <t>&lt;a href="http://a836-acris.nyc.gov/DS/DocumentSearch/DocumentDetail?doc_id=2018030900498006" target="_blank"&gt;Verified by Public Record&lt;/a&gt;</t>
  </si>
  <si>
    <t>&lt;a href="http://a836-acris.nyc.gov/DS/DocumentSearch/DocumentDetail?doc_id=2017062300211001" target="_blank"&gt;Verified by Public Record&lt;/a&gt;</t>
  </si>
  <si>
    <t>&lt;a href="http://a836-acris.nyc.gov/DS/DocumentSearch/DocumentDetail?doc_id=2021051200372002" target="_blank"&gt;Verified by Public Record&lt;/a&gt;</t>
  </si>
  <si>
    <t>&lt;a href="http://a836-acris.nyc.gov/DS/DocumentSearch/DocumentDetail?doc_id=2021022400097002" target="_blank"&gt;Public Record Only&lt;/a&gt;</t>
  </si>
  <si>
    <t>&lt;a href="http://a836-acris.nyc.gov/DS/DocumentSearch/DocumentDetail?doc_id=2020040600679003" target="_blank"&gt;Verified by Public Record&lt;/a&gt;</t>
  </si>
  <si>
    <t>&lt;a href="http://a836-acris.nyc.gov/DS/DocumentSearch/DocumentDetail?doc_id=2016011300816004" target="_blank"&gt;Public Record Only&lt;/a&gt;</t>
  </si>
  <si>
    <t>&lt;a href="http://a836-acris.nyc.gov/DS/DocumentSearch/DocumentDetail?doc_id=2016102801326003" target="_blank"&gt;Public Record Only&lt;/a&gt;</t>
  </si>
  <si>
    <t>&lt;a href="http://a836-acris.nyc.gov/DS/DocumentSearch/DocumentDetail?doc_id=2020021200190001" target="_blank"&gt;Public Record Only&lt;/a&gt;</t>
  </si>
  <si>
    <t>&lt;a href="http://a836-acris.nyc.gov/DS/DocumentSearch/DocumentDetail?doc_id=2020092100207002" target="_blank"&gt;Verified by Public Record&lt;/a&gt;</t>
  </si>
  <si>
    <t>&lt;a href="http://a836-acris.nyc.gov/DS/DocumentSearch/DocumentDetail?doc_id=2021042600391001" target="_blank"&gt;Verified by Public Record&lt;/a&gt;</t>
  </si>
  <si>
    <t>&lt;a href="http://a836-acris.nyc.gov/DS/DocumentSearch/DocumentDetail?doc_id=2019032100468001" target="_blank"&gt;Verified by Public Record&lt;/a&gt;</t>
  </si>
  <si>
    <t>&lt;a href="http://a836-acris.nyc.gov/DS/DocumentSearch/DocumentDetail?doc_id=2019032700663004" target="_blank"&gt;Verified by Public Record&lt;/a&gt;</t>
  </si>
  <si>
    <t>&lt;a href="http://a836-acris.nyc.gov/DS/DocumentSearch/DocumentDetail?doc_id=2019062600904001" target="_blank"&gt;Verified by Public Record&lt;/a&gt;</t>
  </si>
  <si>
    <t>&lt;a href="http://a836-acris.nyc.gov/DS/DocumentSearch/DocumentDetail?doc_id=2019062400098001" target="_blank"&gt;Verified by Public Record&lt;/a&gt;</t>
  </si>
  <si>
    <t>&lt;a href="http://a836-acris.nyc.gov/DS/DocumentSearch/DocumentDetail?doc_id=2018043000108001" target="_blank"&gt;Verified by Public Record&lt;/a&gt;</t>
  </si>
  <si>
    <t>&lt;a href="http://a836-acris.nyc.gov/DS/DocumentSearch/DocumentDetail?doc_id=2019053100181003" target="_blank"&gt;Verified by Public Record&lt;/a&gt;</t>
  </si>
  <si>
    <t>&lt;a href="http://a836-acris.nyc.gov/DS/DocumentSearch/DocumentDetail?doc_id=2021051001381005" target="_blank"&gt;Verified by Public Record&lt;/a&gt;</t>
  </si>
  <si>
    <t>&lt;a href="http://a836-acris.nyc.gov/DS/DocumentSearch/DocumentDetail?doc_id=2018112100379001" target="_blank"&gt;Verified by Public Record&lt;/a&gt;</t>
  </si>
  <si>
    <t>&lt;a href="http://a836-acris.nyc.gov/DS/DocumentSearch/DocumentDetail?doc_id=2021043000586001" target="_blank"&gt;Verified by Public Record&lt;/a&gt;</t>
  </si>
  <si>
    <t>&lt;a href="http://a836-acris.nyc.gov/DS/DocumentSearch/DocumentDetail?doc_id=2017030200001001" target="_blank"&gt;Public Record Only&lt;/a&gt;</t>
  </si>
  <si>
    <t>&lt;a href="http://a836-acris.nyc.gov/DS/DocumentSearch/DocumentDetail?doc_id=2017021300509001" target="_blank"&gt;Public Record Only&lt;/a&gt;</t>
  </si>
  <si>
    <t>&lt;a href="http://a836-acris.nyc.gov/DS/DocumentSearch/DocumentDetail?doc_id=2017071901427003" target="_blank"&gt;Verified by Public Record&lt;/a&gt;</t>
  </si>
  <si>
    <t>&lt;a href="http://a836-acris.nyc.gov/DS/DocumentSearch/DocumentDetail?doc_id=2017060700648006" target="_blank"&gt;Verified by Public Record&lt;/a&gt;</t>
  </si>
  <si>
    <t>&lt;a href="http://a836-acris.nyc.gov/DS/DocumentSearch/DocumentDetail?doc_id=2017060201168001" target="_blank"&gt;Verified by Public Record&lt;/a&gt;</t>
  </si>
  <si>
    <t>&lt;a href="http://a836-acris.nyc.gov/DS/DocumentSearch/DocumentDetail?doc_id=2017081800535001" target="_blank"&gt;Verified by Public Record&lt;/a&gt;</t>
  </si>
  <si>
    <t>&lt;a href="http://a836-acris.nyc.gov/DS/DocumentSearch/DocumentDetail?doc_id=2016112300772006" target="_blank"&gt;Public Record Only&lt;/a&gt;</t>
  </si>
  <si>
    <t>&lt;a href="http://a836-acris.nyc.gov/DS/DocumentSearch/DocumentDetail?doc_id=2016092300096002" target="_blank"&gt;Public Record Only&lt;/a&gt;</t>
  </si>
  <si>
    <t>&lt;a href="http://a836-acris.nyc.gov/DS/DocumentSearch/DocumentDetail?doc_id=2015071000672002" target="_blank"&gt;Public Record Only&lt;/a&gt;</t>
  </si>
  <si>
    <t>&lt;a href="http://a836-acris.nyc.gov/DS/DocumentSearch/DocumentDetail?doc_id=2018092700246004" target="_blank"&gt;Verified by Public Record&lt;/a&gt;</t>
  </si>
  <si>
    <t>&lt;a href="http://a836-acris.nyc.gov/DS/DocumentSearch/DocumentDetail?doc_id=2018120300621001" target="_blank"&gt;Verified by Public Record&lt;/a&gt;</t>
  </si>
  <si>
    <t>&lt;a href="http://a836-acris.nyc.gov/DS/DocumentSearch/DocumentDetail?doc_id=2018051601125001" target="_blank"&gt;Verified by Public Record&lt;/a&gt;</t>
  </si>
  <si>
    <t>&lt;a href="http://a836-acris.nyc.gov/DS/DocumentSearch/DocumentDetail?doc_id=2018012200405003" target="_blank"&gt;Verified by Public Record&lt;/a&gt;</t>
  </si>
  <si>
    <t>&lt;a href="http://a836-acris.nyc.gov/DS/DocumentSearch/DocumentDetail?doc_id=2018082000044001" target="_blank"&gt;Verified by Public Record&lt;/a&gt;</t>
  </si>
  <si>
    <t>&lt;a href="http://a836-acris.nyc.gov/DS/DocumentSearch/DocumentDetail?doc_id=2018100300622001" target="_blank"&gt;Verified by Public Record&lt;/a&gt;</t>
  </si>
  <si>
    <t>&lt;a href="http://a836-acris.nyc.gov/DS/DocumentSearch/DocumentDetail?doc_id=2018073000888001" target="_blank"&gt;Verified by Public Record&lt;/a&gt;</t>
  </si>
  <si>
    <t>&lt;a href="http://a836-acris.nyc.gov/DS/DocumentSearch/DocumentDetail?doc_id=2018102600866001" target="_blank"&gt;Verified by Public Record&lt;/a&gt;</t>
  </si>
  <si>
    <t>&lt;a href="http://a836-acris.nyc.gov/DS/DocumentSearch/DocumentDetail?doc_id=2019031401128001" target="_blank"&gt;Verified by Public Record&lt;/a&gt;</t>
  </si>
  <si>
    <t>&lt;a href="http://a836-acris.nyc.gov/DS/DocumentSearch/DocumentDetail?doc_id=2014111300173001" target="_blank"&gt;Verified by Public Record&lt;/a&gt;</t>
  </si>
  <si>
    <t>&lt;a href="http://a836-acris.nyc.gov/DS/DocumentSearch/DocumentDetail?doc_id=2014090700009001" target="_blank"&gt;Verified by Public Record&lt;/a&gt;</t>
  </si>
  <si>
    <t>&lt;a href="http://a836-acris.nyc.gov/DS/DocumentSearch/DocumentDetail?doc_id=2017101100796001" target="_blank"&gt;Verified by Public Record&lt;/a&gt;</t>
  </si>
  <si>
    <t>&lt;a href="http://a836-acris.nyc.gov/DS/DocumentSearch/DocumentDetail?doc_id=2017111501067001" target="_blank"&gt;Verified by Public Record&lt;/a&gt;</t>
  </si>
  <si>
    <t>&lt;a href="http://a836-acris.nyc.gov/DS/DocumentSearch/DocumentDetail?doc_id=2017113000740001" target="_blank"&gt;Verified by Public Record&lt;/a&gt;</t>
  </si>
  <si>
    <t>&lt;a href="http://a836-acris.nyc.gov/DS/DocumentSearch/DocumentDetail?doc_id=2017091901092001" target="_blank"&gt;Verified by Public Record&lt;/a&gt;</t>
  </si>
  <si>
    <t>&lt;a href="http://a836-acris.nyc.gov/DS/DocumentSearch/DocumentDetail?doc_id=2021032600249001" target="_blank"&gt;Verified by Public Record&lt;/a&gt;</t>
  </si>
  <si>
    <t>&lt;a href="http://a836-acris.nyc.gov/DS/DocumentSearch/DocumentDetail?doc_id=2015121700313001" target="_blank"&gt;Verified by Public Record&lt;/a&gt;</t>
  </si>
  <si>
    <t>&lt;a href="http://a836-acris.nyc.gov/DS/DocumentSearch/DocumentDetail?doc_id=2018122200058001" target="_blank"&gt;Verified by Public Record&lt;/a&gt;</t>
  </si>
  <si>
    <t>&lt;a href="http://a836-acris.nyc.gov/DS/DocumentSearch/DocumentDetail?doc_id=2018121800889001" target="_blank"&gt;Verified by Public Record&lt;/a&gt;</t>
  </si>
  <si>
    <t>&lt;a href="http://a836-acris.nyc.gov/DS/DocumentSearch/DocumentDetail?doc_id=2020041200036001" target="_blank"&gt;Verified by Public Record&lt;/a&gt;</t>
  </si>
  <si>
    <t>&lt;a href="http://a836-acris.nyc.gov/DS/DocumentSearch/DocumentDetail?doc_id=2020120801214006" target="_blank"&gt;Verified by Public Record&lt;/a&gt;</t>
  </si>
  <si>
    <t>&lt;a href="http://a836-acris.nyc.gov/DS/DocumentSearch/DocumentDetail?doc_id=2015013000415001" target="_blank"&gt;Verified by Public Record&lt;/a&gt;</t>
  </si>
  <si>
    <t>&lt;a href="http://a836-acris.nyc.gov/DS/DocumentSearch/DocumentDetail?doc_id=2015061601153002" target="_blank"&gt;Verified by Public Record&lt;/a&gt;</t>
  </si>
  <si>
    <t>&lt;a href="http://a836-acris.nyc.gov/DS/DocumentSearch/DocumentDetail?doc_id=2015013000871001" target="_blank"&gt;Verified by Public Record&lt;/a&gt;</t>
  </si>
  <si>
    <t>&lt;a href="http://a836-acris.nyc.gov/DS/DocumentSearch/DocumentDetail?doc_id=2015052100347001" target="_blank"&gt;Verified by Public Record&lt;/a&gt;</t>
  </si>
  <si>
    <t>&lt;a href="http://a836-acris.nyc.gov/DS/DocumentSearch/DocumentDetail?doc_id=2014082600316001" target="_blank"&gt;Verified by Public Record&lt;/a&gt;</t>
  </si>
  <si>
    <t>&lt;a href="http://a836-acris.nyc.gov/DS/DocumentSearch/DocumentDetail?doc_id=2020022400601001" target="_blank"&gt;Verified by Public Record&lt;/a&gt;</t>
  </si>
  <si>
    <t>&lt;a href="http://a836-acris.nyc.gov/DS/DocumentSearch/DocumentDetail?doc_id=2020030600259004" target="_blank"&gt;Verified by Public Record&lt;/a&gt;</t>
  </si>
  <si>
    <t>&lt;a href="http://a836-acris.nyc.gov/DS/DocumentSearch/DocumentDetail?doc_id=2018061900358002" target="_blank"&gt;Verified by Public Record&lt;/a&gt;</t>
  </si>
  <si>
    <t>&lt;a href="http://a836-acris.nyc.gov/DS/DocumentSearch/DocumentDetail?doc_id=2014100800405002" target="_blank"&gt;Verified by Public Record&lt;/a&gt;</t>
  </si>
  <si>
    <t>&lt;a href="http://a836-acris.nyc.gov/DS/DocumentSearch/DocumentDetail?doc_id=2014082200435001" target="_blank"&gt;Verified by Public Record&lt;/a&gt;</t>
  </si>
  <si>
    <t>&lt;a href="http://a836-acris.nyc.gov/DS/DocumentSearch/DocumentDetail?doc_id=2014090800369001" target="_blank"&gt;Verified by Public Record&lt;/a&gt;</t>
  </si>
  <si>
    <t>&lt;a href="http://a836-acris.nyc.gov/DS/DocumentSearch/DocumentDetail?doc_id=2017070600115001" target="_blank"&gt;Verified by Public Record&lt;/a&gt;</t>
  </si>
  <si>
    <t>&lt;a href="http://a836-acris.nyc.gov/DS/DocumentSearch/DocumentDetail?doc_id=2014092901164001" target="_blank"&gt;Verified by Public Record&lt;/a&gt;</t>
  </si>
  <si>
    <t>&lt;a href="http://a836-acris.nyc.gov/DS/DocumentSearch/DocumentDetail?doc_id=2014090200658001" target="_blank"&gt;Verified by Public Record&lt;/a&gt;</t>
  </si>
  <si>
    <t>&lt;a href="http://a836-acris.nyc.gov/DS/DocumentSearch/DocumentDetail?doc_id=2014082900829002" target="_blank"&gt;Verified by Public Record&lt;/a&gt;</t>
  </si>
  <si>
    <t>&lt;a href="http://a836-acris.nyc.gov/DS/DocumentSearch/DocumentDetail?doc_id=2014092501351001" target="_blank"&gt;Verified by Public Record&lt;/a&gt;</t>
  </si>
  <si>
    <t>&lt;a href="http://a836-acris.nyc.gov/DS/DocumentSearch/DocumentDetail?doc_id=2014110700416001" target="_blank"&gt;Verified by Public Record&lt;/a&gt;</t>
  </si>
  <si>
    <t>&lt;a href="http://a836-acris.nyc.gov/DS/DocumentSearch/DocumentDetail?doc_id=2018092601137004" target="_blank"&gt;Verified by Public Record&lt;/a&gt;</t>
  </si>
  <si>
    <t>&lt;a href="http://a836-acris.nyc.gov/DS/DocumentSearch/DocumentDetail?doc_id=2018101900714001" target="_blank"&gt;Verified by Public Record&lt;/a&gt;</t>
  </si>
  <si>
    <t>&lt;a href="http://a836-acris.nyc.gov/DS/DocumentSearch/DocumentDetail?doc_id=2017100500276002" target="_blank"&gt;Verified by Public Record&lt;/a&gt;</t>
  </si>
  <si>
    <t>&lt;a href="http://a836-acris.nyc.gov/DS/DocumentSearch/DocumentDetail?doc_id=2018043000380002" target="_blank"&gt;Verified by Public Record&lt;/a&gt;</t>
  </si>
  <si>
    <t>&lt;a href="http://a836-acris.nyc.gov/DS/DocumentSearch/DocumentDetail?doc_id=2018010300592002" target="_blank"&gt;Verified by Public Record&lt;/a&gt;</t>
  </si>
  <si>
    <t>&lt;a href="http://a836-acris.nyc.gov/DS/DocumentSearch/DocumentDetail?doc_id=2018030600710002" target="_blank"&gt;Verified by Public Record&lt;/a&gt;</t>
  </si>
  <si>
    <t>&lt;a href="http://a836-acris.nyc.gov/DS/DocumentSearch/DocumentDetail?doc_id=2018070600087003" target="_blank"&gt;Verified by Public Record&lt;/a&gt;</t>
  </si>
  <si>
    <t>&lt;a href="http://a836-acris.nyc.gov/DS/DocumentSearch/DocumentDetail?doc_id=2019111900461002" target="_blank"&gt;Verified by Public Record&lt;/a&gt;</t>
  </si>
  <si>
    <t>&lt;a href="http://a836-acris.nyc.gov/DS/DocumentSearch/DocumentDetail?doc_id=2021033000545005" target="_blank"&gt;Public Record Only&lt;/a&gt;</t>
  </si>
  <si>
    <t>&lt;a href="http://a836-acris.nyc.gov/DS/DocumentSearch/DocumentDetail?doc_id=2018071700663001" target="_blank"&gt;Verified by Public Record&lt;/a&gt;</t>
  </si>
  <si>
    <t>&lt;a href="http://a836-acris.nyc.gov/DS/DocumentSearch/DocumentDetail?doc_id=2015072800400002" target="_blank"&gt;Verified by Public Record&lt;/a&gt;</t>
  </si>
  <si>
    <t>&lt;a href="http://a836-acris.nyc.gov/DS/DocumentSearch/DocumentDetail?doc_id=2015020502075001" target="_blank"&gt;Verified by Public Record&lt;/a&gt;</t>
  </si>
  <si>
    <t>&lt;a href="http://a836-acris.nyc.gov/DS/DocumentSearch/DocumentDetail?doc_id=2018042700263002" target="_blank"&gt;Verified by Public Record&lt;/a&gt;</t>
  </si>
  <si>
    <t>&lt;a href="http://a836-acris.nyc.gov/DS/DocumentSearch/DocumentDetail?doc_id=2018032700715001" target="_blank"&gt;Public Record Only&lt;/a&gt;</t>
  </si>
  <si>
    <t>&lt;a href="http://a836-acris.nyc.gov/DS/DocumentSearch/DocumentDetail?doc_id=2015072101153001" target="_blank"&gt;Verified by Public Record&lt;/a&gt;</t>
  </si>
  <si>
    <t>&lt;a href="http://a836-acris.nyc.gov/DS/DocumentSearch/DocumentDetail?doc_id=2015050401116001" target="_blank"&gt;Verified by Public Record&lt;/a&gt;</t>
  </si>
  <si>
    <t>&lt;a href="http://a836-acris.nyc.gov/DS/DocumentSearch/DocumentDetail?doc_id=2015121600786001" target="_blank"&gt;Verified by Public Record&lt;/a&gt;</t>
  </si>
  <si>
    <t>&lt;a href="http://a836-acris.nyc.gov/DS/DocumentSearch/DocumentDetail?doc_id=2015110300543001" target="_blank"&gt;Verified by Public Record&lt;/a&gt;</t>
  </si>
  <si>
    <t>Balcony
Private Terrace
Roof Deck
Common Roof Deck
Common Outdoor Space</t>
  </si>
  <si>
    <t>&lt;a href="http://a836-acris.nyc.gov/DS/DocumentSearch/DocumentDetail?doc_id=2017110201301002" target="_blank"&gt;Verified by Public Record&lt;/a&gt;</t>
  </si>
  <si>
    <t>&lt;a href="http://a836-acris.nyc.gov/DS/DocumentSearch/DocumentDetail?doc_id=2018030500848002" target="_blank"&gt;Verified by Public Record&lt;/a&gt;</t>
  </si>
  <si>
    <t>Juliet Balcony
Private Terrace
Roof Deck
Common Roof Deck
Common Outdoor Space</t>
  </si>
  <si>
    <t>&lt;a href="http://a836-acris.nyc.gov/DS/DocumentSearch/DocumentDetail?doc_id=2018032001409002" target="_blank"&gt;Verified by Public Record&lt;/a&gt;</t>
  </si>
  <si>
    <t>&lt;a href="http://a836-acris.nyc.gov/DS/DocumentSearch/DocumentDetail?doc_id=2018062601135001" target="_blank"&gt;Verified by Public Record&lt;/a&gt;</t>
  </si>
  <si>
    <t>&lt;a href="http://a836-acris.nyc.gov/DS/DocumentSearch/DocumentDetail?doc_id=2018080200058002" target="_blank"&gt;Verified by Public Record&lt;/a&gt;</t>
  </si>
  <si>
    <t>&lt;a href="http://a836-acris.nyc.gov/DS/DocumentSearch/DocumentDetail?doc_id=2019011700684002" target="_blank"&gt;Verified by Public Record&lt;/a&gt;</t>
  </si>
  <si>
    <t>Juliet Balcony
Roof Deck
Common Roof Deck
Common Outdoor Space
Private Outdoor Space</t>
  </si>
  <si>
    <t>&lt;a href="http://a836-acris.nyc.gov/DS/DocumentSearch/DocumentDetail?doc_id=2014103001077001" target="_blank"&gt;Verified by Public Record&lt;/a&gt;</t>
  </si>
  <si>
    <t>&lt;a href="http://a836-acris.nyc.gov/DS/DocumentSearch/DocumentDetail?doc_id=2014090300981001" target="_blank"&gt;Verified by Public Record&lt;/a&gt;</t>
  </si>
  <si>
    <t>&lt;a href="http://a836-acris.nyc.gov/DS/DocumentSearch/DocumentDetail?doc_id=2014091600903001" target="_blank"&gt;Verified by Public Record&lt;/a&gt;</t>
  </si>
  <si>
    <t>&lt;a href="http://a836-acris.nyc.gov/DS/DocumentSearch/DocumentDetail?doc_id=2014091000332001" target="_blank"&gt;Verified by Public Record&lt;/a&gt;</t>
  </si>
  <si>
    <t>&lt;a href="http://a836-acris.nyc.gov/DS/DocumentSearch/DocumentDetail?doc_id=2014091000491002" target="_blank"&gt;Verified by Public Record&lt;/a&gt;</t>
  </si>
  <si>
    <t>&lt;a href="http://a836-acris.nyc.gov/DS/DocumentSearch/DocumentDetail?doc_id=2014081300375001" target="_blank"&gt;Verified by Public Record&lt;/a&gt;</t>
  </si>
  <si>
    <t>&lt;a href="http://a836-acris.nyc.gov/DS/DocumentSearch/DocumentDetail?doc_id=2018061200294003" target="_blank"&gt;Verified by Public Record&lt;/a&gt;</t>
  </si>
  <si>
    <t>&lt;a href="http://a836-acris.nyc.gov/DS/DocumentSearch/DocumentDetail?doc_id=2019010800153001" target="_blank"&gt;Public Record Only&lt;/a&gt;</t>
  </si>
  <si>
    <t>&lt;a href="http://a836-acris.nyc.gov/DS/DocumentSearch/DocumentDetail?doc_id=2019020400920001" target="_blank"&gt;Public Record Only&lt;/a&gt;</t>
  </si>
  <si>
    <t>&lt;a href="http://a836-acris.nyc.gov/DS/DocumentSearch/DocumentDetail?doc_id=2019021300188001" target="_blank"&gt;Public Record Only&lt;/a&gt;</t>
  </si>
  <si>
    <t>&lt;a href="http://a836-acris.nyc.gov/DS/DocumentSearch/DocumentDetail?doc_id=2019011700435002" target="_blank"&gt;Public Record Only&lt;/a&gt;</t>
  </si>
  <si>
    <t>&lt;a href="http://a836-acris.nyc.gov/DS/DocumentSearch/DocumentDetail?doc_id=2019011400509020" target="_blank"&gt;Public Record Only&lt;/a&gt;</t>
  </si>
  <si>
    <t>&lt;a href="http://a836-acris.nyc.gov/DS/DocumentSearch/DocumentDetail?doc_id=2019020600974002" target="_blank"&gt;Public Record Only&lt;/a&gt;</t>
  </si>
  <si>
    <t>&lt;a href="http://a836-acris.nyc.gov/DS/DocumentSearch/DocumentDetail?doc_id=2019013000449001" target="_blank"&gt;Public Record Only&lt;/a&gt;</t>
  </si>
  <si>
    <t>&lt;a href="http://a836-acris.nyc.gov/DS/DocumentSearch/DocumentDetail?doc_id=2019052400498001" target="_blank"&gt;Public Record Only&lt;/a&gt;</t>
  </si>
  <si>
    <t>&lt;a href="http://a836-acris.nyc.gov/DS/DocumentSearch/DocumentDetail?doc_id=2019051401160003" target="_blank"&gt;Public Record Only&lt;/a&gt;</t>
  </si>
  <si>
    <t>&lt;a href="http://a836-acris.nyc.gov/DS/DocumentSearch/DocumentDetail?doc_id=2018121701177001" target="_blank"&gt;Public Record Only&lt;/a&gt;</t>
  </si>
  <si>
    <t>&lt;a href="http://a836-acris.nyc.gov/DS/DocumentSearch/DocumentDetail?doc_id=2018121400346001" target="_blank"&gt;Public Record Only&lt;/a&gt;</t>
  </si>
  <si>
    <t>&lt;a href="http://a836-acris.nyc.gov/DS/DocumentSearch/DocumentDetail?doc_id=2014082500834002" target="_blank"&gt;Verified by Public Record&lt;/a&gt;</t>
  </si>
  <si>
    <t>&lt;a href="http://a836-acris.nyc.gov/DS/DocumentSearch/DocumentDetail?doc_id=2014080800190002" target="_blank"&gt;Verified by Public Record&lt;/a&gt;</t>
  </si>
  <si>
    <t>&lt;a href="http://a836-acris.nyc.gov/DS/DocumentSearch/DocumentDetail?doc_id=2014090200747001" target="_blank"&gt;Verified by Public Record&lt;/a&gt;</t>
  </si>
  <si>
    <t>&lt;a href="http://a836-acris.nyc.gov/DS/DocumentSearch/DocumentDetail?doc_id=2014092500531001" target="_blank"&gt;Verified by Public Record&lt;/a&gt;</t>
  </si>
  <si>
    <t>&lt;a href="http://a836-acris.nyc.gov/DS/DocumentSearch/DocumentDetail?doc_id=2014090300772001" target="_blank"&gt;Verified by Public Record&lt;/a&gt;</t>
  </si>
  <si>
    <t>&lt;a href="http://a836-acris.nyc.gov/DS/DocumentSearch/DocumentDetail?doc_id=2014090400177001" target="_blank"&gt;Verified by Public Record&lt;/a&gt;</t>
  </si>
  <si>
    <t>&lt;a href="http://a836-acris.nyc.gov/DS/DocumentSearch/DocumentDetail?doc_id=2014100600101001" target="_blank"&gt;Verified by Public Record&lt;/a&gt;</t>
  </si>
  <si>
    <t>&lt;a href="http://a836-acris.nyc.gov/DS/DocumentSearch/DocumentDetail?doc_id=2014090300530001" target="_blank"&gt;Verified by Public Record&lt;/a&gt;</t>
  </si>
  <si>
    <t>&lt;a href="http://a836-acris.nyc.gov/DS/DocumentSearch/DocumentDetail?doc_id=2014091900278001" target="_blank"&gt;Verified by Public Record&lt;/a&gt;</t>
  </si>
  <si>
    <t>&lt;a href="http://a836-acris.nyc.gov/DS/DocumentSearch/DocumentDetail?doc_id=2014091600395001" target="_blank"&gt;Verified by Public Record&lt;/a&gt;</t>
  </si>
  <si>
    <t>&lt;a href="http://a836-acris.nyc.gov/DS/DocumentSearch/DocumentDetail?doc_id=2019110601083002" target="_blank"&gt;Verified by Public Record&lt;/a&gt;</t>
  </si>
  <si>
    <t>&lt;a href="http://a836-acris.nyc.gov/DS/DocumentSearch/DocumentDetail?doc_id=2015070800367001" target="_blank"&gt;Verified by Public Record&lt;/a&gt;</t>
  </si>
  <si>
    <t>&lt;a href="http://a836-acris.nyc.gov/DS/DocumentSearch/DocumentDetail?doc_id=2015080500801001" target="_blank"&gt;Verified by Public Record&lt;/a&gt;</t>
  </si>
  <si>
    <t>&lt;a href="http://a836-acris.nyc.gov/DS/DocumentSearch/DocumentDetail?doc_id=2015022800097001" target="_blank"&gt;Verified by Public Record&lt;/a&gt;</t>
  </si>
  <si>
    <t>&lt;a href="http://a836-acris.nyc.gov/DS/DocumentSearch/DocumentDetail?doc_id=2015111100751001" target="_blank"&gt;Verified by Public Record&lt;/a&gt;</t>
  </si>
  <si>
    <t>&lt;a href="http://a836-acris.nyc.gov/DS/DocumentSearch/DocumentDetail?doc_id=2015093000451001" target="_blank"&gt;Verified by Public Record&lt;/a&gt;</t>
  </si>
  <si>
    <t>&lt;a href="http://a836-acris.nyc.gov/DS/DocumentSearch/DocumentDetail?doc_id=2019011400481002" target="_blank"&gt;Verified by Public Record&lt;/a&gt;</t>
  </si>
  <si>
    <t>&lt;a href="http://a836-acris.nyc.gov/DS/DocumentSearch/DocumentDetail?doc_id=2015080700059001" target="_blank"&gt;Public Record Only&lt;/a&gt;</t>
  </si>
  <si>
    <t>&lt;a href="http://a836-acris.nyc.gov/DS/DocumentSearch/DocumentDetail?doc_id=2018121800225001" target="_blank"&gt;Public Record Only&lt;/a&gt;</t>
  </si>
  <si>
    <t>&lt;a href="http://a836-acris.nyc.gov/DS/DocumentSearch/DocumentDetail?doc_id=2017122700647001" target="_blank"&gt;Verified by Public Record&lt;/a&gt;</t>
  </si>
  <si>
    <t>&lt;a href="http://a836-acris.nyc.gov/DS/DocumentSearch/DocumentDetail?doc_id=2018010400313001" target="_blank"&gt;Verified by Public Record&lt;/a&gt;</t>
  </si>
  <si>
    <t>&lt;a href="http://a836-acris.nyc.gov/DS/DocumentSearch/DocumentDetail?doc_id=2018013000058001" target="_blank"&gt;Verified by Public Record&lt;/a&gt;</t>
  </si>
  <si>
    <t>Private Wrap Around Terrace
Private Outdoor Space</t>
  </si>
  <si>
    <t>&lt;a href="http://a836-acris.nyc.gov/DS/DocumentSearch/DocumentDetail?doc_id=2014100800279001" target="_blank"&gt;Verified by Public Record&lt;/a&gt;</t>
  </si>
  <si>
    <t>&lt;a href="http://a836-acris.nyc.gov/DS/DocumentSearch/DocumentDetail?doc_id=2014081300298001" target="_blank"&gt;Verified by Public Record&lt;/a&gt;</t>
  </si>
  <si>
    <t>&lt;a href="http://a836-acris.nyc.gov/DS/DocumentSearch/DocumentDetail?doc_id=2014081403777003" target="_blank"&gt;Verified by Public Record&lt;/a&gt;</t>
  </si>
  <si>
    <t>&lt;a href="http://a836-acris.nyc.gov/DS/DocumentSearch/DocumentDetail?doc_id=2015070600272002" target="_blank"&gt;Verified by Public Record&lt;/a&gt;</t>
  </si>
  <si>
    <t>&lt;a href="http://a836-acris.nyc.gov/DS/DocumentSearch/DocumentDetail?doc_id=2015021900669001" target="_blank"&gt;Verified by Public Record&lt;/a&gt;</t>
  </si>
  <si>
    <t>&lt;a href="http://a836-acris.nyc.gov/DS/DocumentSearch/DocumentDetail?doc_id=2017021700580001" target="_blank"&gt;Verified by Public Record&lt;/a&gt;</t>
  </si>
  <si>
    <t>&lt;a href="http://a836-acris.nyc.gov/DS/DocumentSearch/DocumentDetail?doc_id=2019091700890001" target="_blank"&gt;Verified by Public Record&lt;/a&gt;</t>
  </si>
  <si>
    <t>&lt;a href="http://a836-acris.nyc.gov/DS/DocumentSearch/DocumentDetail?doc_id=2019032800022001" target="_blank"&gt;Verified by Public Record&lt;/a&gt;</t>
  </si>
  <si>
    <t>&lt;a href="http://a836-acris.nyc.gov/DS/DocumentSearch/DocumentDetail?doc_id=2014091600167001" target="_blank"&gt;Verified by Public Record&lt;/a&gt;</t>
  </si>
  <si>
    <t>&lt;a href="http://a836-acris.nyc.gov/DS/DocumentSearch/DocumentDetail?doc_id=2014093002283003" target="_blank"&gt;Verified by Public Record&lt;/a&gt;</t>
  </si>
  <si>
    <t>&lt;a href="http://a836-acris.nyc.gov/DS/DocumentSearch/DocumentDetail?doc_id=2014120500640001" target="_blank"&gt;Verified by Public Record&lt;/a&gt;</t>
  </si>
  <si>
    <t>&lt;a href="http://a836-acris.nyc.gov/DS/DocumentSearch/DocumentDetail?doc_id=2014112400724003" target="_blank"&gt;Verified by Public Record&lt;/a&gt;</t>
  </si>
  <si>
    <t>&lt;a href="http://a836-acris.nyc.gov/DS/DocumentSearch/DocumentDetail?doc_id=2015071001119001" target="_blank"&gt;Verified by Public Record&lt;/a&gt;</t>
  </si>
  <si>
    <t>&lt;a href="http://a836-acris.nyc.gov/DS/DocumentSearch/DocumentDetail?doc_id=2015050700213001" target="_blank"&gt;Verified by Public Record&lt;/a&gt;</t>
  </si>
  <si>
    <t>&lt;a href="http://a836-acris.nyc.gov/DS/DocumentSearch/DocumentDetail?doc_id=2015061901033001" target="_blank"&gt;Verified by Public Record&lt;/a&gt;</t>
  </si>
  <si>
    <t>&lt;a href="http://a836-acris.nyc.gov/DS/DocumentSearch/DocumentDetail?doc_id=2015052600954001" target="_blank"&gt;Public Record Only&lt;/a&gt;</t>
  </si>
  <si>
    <t>&lt;a href="http://a836-acris.nyc.gov/DS/DocumentSearch/DocumentDetail?doc_id=2015102000477003" target="_blank"&gt;Verified by Public Record&lt;/a&gt;</t>
  </si>
  <si>
    <t>&lt;a href="http://a836-acris.nyc.gov/DS/DocumentSearch/DocumentDetail?doc_id=2019010200814002" target="_blank"&gt;Verified by Public Record&lt;/a&gt;</t>
  </si>
  <si>
    <t>&lt;a href="http://a836-acris.nyc.gov/DS/DocumentSearch/DocumentDetail?doc_id=2019011500840002" target="_blank"&gt;Verified by Public Record&lt;/a&gt;</t>
  </si>
  <si>
    <t>&lt;a href="http://a836-acris.nyc.gov/DS/DocumentSearch/DocumentDetail?doc_id=2014110700810001" target="_blank"&gt;Verified by Public Record&lt;/a&gt;</t>
  </si>
  <si>
    <t>&lt;a href="http://a836-acris.nyc.gov/DS/DocumentSearch/DocumentDetail?doc_id=2018051500970002" target="_blank"&gt;Verified by Public Record&lt;/a&gt;</t>
  </si>
  <si>
    <t>Private Terrace
Deck
Roof Deck
Common Roof Deck
Playground
Common Outdoor Space
Private Outdoor Space</t>
  </si>
  <si>
    <t>&lt;a href="http://a836-acris.nyc.gov/DS/DocumentSearch/DocumentDetail?doc_id=2020082100501004" target="_blank"&gt;Public Record Only&lt;/a&gt;</t>
  </si>
  <si>
    <t>&lt;a href="http://a836-acris.nyc.gov/DS/DocumentSearch/DocumentDetail?doc_id=2021060800775001" target="_blank"&gt;Verified by Public Record&lt;/a&gt;</t>
  </si>
  <si>
    <t>&lt;a href="http://a836-acris.nyc.gov/DS/DocumentSearch/DocumentDetail?doc_id=2014081201017003" target="_blank"&gt;Verified by Public Record&lt;/a&gt;</t>
  </si>
  <si>
    <t>&lt;a href="http://a836-acris.nyc.gov/DS/DocumentSearch/DocumentDetail?doc_id=2018062500173002" target="_blank"&gt;Verified by Public Record&lt;/a&gt;</t>
  </si>
  <si>
    <t>&lt;a href="http://a836-acris.nyc.gov/DS/DocumentSearch/DocumentDetail?doc_id=2017101300859004" target="_blank"&gt;Public Record Only&lt;/a&gt;</t>
  </si>
  <si>
    <t>&lt;a href="http://a836-acris.nyc.gov/DS/DocumentSearch/DocumentDetail?doc_id=2019072500886002" target="_blank"&gt;Public Record Only&lt;/a&gt;</t>
  </si>
  <si>
    <t>&lt;a href="http://a836-acris.nyc.gov/DS/DocumentSearch/DocumentDetail?doc_id=2018121200820001" target="_blank"&gt;Verified by Public Record&lt;/a&gt;</t>
  </si>
  <si>
    <t>&lt;a href="http://a836-acris.nyc.gov/DS/DocumentSearch/DocumentDetail?doc_id=2018121001089001" target="_blank"&gt;Verified by Public Record&lt;/a&gt;</t>
  </si>
  <si>
    <t>&lt;a href="http://a836-acris.nyc.gov/DS/DocumentSearch/DocumentDetail?doc_id=2018121801424001" target="_blank"&gt;Verified by Public Record&lt;/a&gt;</t>
  </si>
  <si>
    <t>&lt;a href="http://a836-acris.nyc.gov/DS/DocumentSearch/DocumentDetail?doc_id=2019121100361001" target="_blank"&gt;Verified by Public Record&lt;/a&gt;</t>
  </si>
  <si>
    <t>&lt;a href="http://a836-acris.nyc.gov/DS/DocumentSearch/DocumentDetail?doc_id=2020102100840001" target="_blank"&gt;Verified by Public Record&lt;/a&gt;</t>
  </si>
  <si>
    <t>&lt;a href="http://a836-acris.nyc.gov/DS/DocumentSearch/DocumentDetail?doc_id=2020071400242001" target="_blank"&gt;Verified by Public Record&lt;/a&gt;</t>
  </si>
  <si>
    <t>&lt;a href="http://a836-acris.nyc.gov/DS/DocumentSearch/DocumentDetail?doc_id=2020103000550002" target="_blank"&gt;Verified by Public Record&lt;/a&gt;</t>
  </si>
  <si>
    <t>&lt;a href="http://a836-acris.nyc.gov/DS/DocumentSearch/DocumentDetail?doc_id=2020090900669001" target="_blank"&gt;Verified by Public Record&lt;/a&gt;</t>
  </si>
  <si>
    <t>&lt;a href="http://a836-acris.nyc.gov/DS/DocumentSearch/DocumentDetail?doc_id=2020061900335002" target="_blank"&gt;Verified by Public Record&lt;/a&gt;</t>
  </si>
  <si>
    <t>&lt;a href="http://a836-acris.nyc.gov/DS/DocumentSearch/DocumentDetail?doc_id=2020113000097002" target="_blank"&gt;Verified by Public Record&lt;/a&gt;</t>
  </si>
  <si>
    <t>&lt;a href="http://a836-acris.nyc.gov/DS/DocumentSearch/DocumentDetail?doc_id=2021072101339001" target="_blank"&gt;Verified by Public Record&lt;/a&gt;</t>
  </si>
  <si>
    <t>Balcony
Private Roof Deck
Deck
Roof Deck
Common Roof Deck
Common Outdoor Space
Private Outdoor Space</t>
  </si>
  <si>
    <t>&lt;a href="http://a836-acris.nyc.gov/DS/DocumentSearch/DocumentDetail?doc_id=2019123100362001" target="_blank"&gt;Verified by Public Record&lt;/a&gt;</t>
  </si>
  <si>
    <t>Part-Time Doorman, Remote Doorman</t>
  </si>
  <si>
    <t>&lt;a href="http://a836-acris.nyc.gov/DS/DocumentSearch/DocumentDetail?doc_id=2020010300442002" target="_blank"&gt;Verified by Public Record&lt;/a&gt;</t>
  </si>
  <si>
    <t>&lt;a href="http://a836-acris.nyc.gov/DS/DocumentSearch/DocumentDetail?doc_id=2021041201184007" target="_blank"&gt;Verified by Public Record&lt;/a&gt;</t>
  </si>
  <si>
    <t>&lt;a href="http://a836-acris.nyc.gov/DS/DocumentSearch/DocumentDetail?doc_id=2018112000795002" target="_blank"&gt;Verified by Public Record&lt;/a&gt;</t>
  </si>
  <si>
    <t>&lt;a href="http://a836-acris.nyc.gov/DS/DocumentSearch/DocumentDetail?doc_id=2018121800897003" target="_blank"&gt;Verified by Public Record&lt;/a&gt;</t>
  </si>
  <si>
    <t>&lt;a href="http://a836-acris.nyc.gov/DS/DocumentSearch/DocumentDetail?doc_id=2018091500007002" target="_blank"&gt;Verified by Public Record&lt;/a&gt;</t>
  </si>
  <si>
    <t>&lt;a href="http://a836-acris.nyc.gov/DS/DocumentSearch/DocumentDetail?doc_id=2020113000097005" target="_blank"&gt;Verified by Public Record&lt;/a&gt;</t>
  </si>
  <si>
    <t>&lt;a href="http://a836-acris.nyc.gov/DS/DocumentSearch/DocumentDetail?doc_id=2021062301115001" target="_blank"&gt;Verified by Public Record&lt;/a&gt;</t>
  </si>
  <si>
    <t>&lt;a href="http://a836-acris.nyc.gov/DS/DocumentSearch/DocumentDetail?doc_id=2018120900030002" target="_blank"&gt;Verified by Public Record&lt;/a&gt;</t>
  </si>
  <si>
    <t>&lt;a href="http://a836-acris.nyc.gov/DS/DocumentSearch/DocumentDetail?doc_id=2018092501155002" target="_blank"&gt;Verified by Public Record&lt;/a&gt;</t>
  </si>
  <si>
    <t>&lt;a href="http://a836-acris.nyc.gov/DS/DocumentSearch/DocumentDetail?doc_id=2015022300272003" target="_blank"&gt;Verified by Public Record&lt;/a&gt;</t>
  </si>
  <si>
    <t>&lt;a href="http://a836-acris.nyc.gov/DS/DocumentSearch/DocumentDetail?doc_id=2020090400418001" target="_blank"&gt;Verified by Public Record&lt;/a&gt;</t>
  </si>
  <si>
    <t>&lt;a href="http://a836-acris.nyc.gov/DS/DocumentSearch/DocumentDetail?doc_id=2018070600649003" target="_blank"&gt;Verified by Public Record&lt;/a&gt;</t>
  </si>
  <si>
    <t>&lt;a href="http://a836-acris.nyc.gov/DS/DocumentSearch/DocumentDetail?doc_id=2017112200859003" target="_blank"&gt;Verified by Public Record&lt;/a&gt;</t>
  </si>
  <si>
    <t>&lt;a href="http://a836-acris.nyc.gov/DS/DocumentSearch/DocumentDetail?doc_id=2018050800946003" target="_blank"&gt;Verified by Public Record&lt;/a&gt;</t>
  </si>
  <si>
    <t>&lt;a href="http://a836-acris.nyc.gov/DS/DocumentSearch/DocumentDetail?doc_id=2018030601476003" target="_blank"&gt;Verified by Public Record&lt;/a&gt;</t>
  </si>
  <si>
    <t>&lt;a href="http://a836-acris.nyc.gov/DS/DocumentSearch/DocumentDetail?doc_id=2018062800334002" target="_blank"&gt;Verified by Public Record&lt;/a&gt;</t>
  </si>
  <si>
    <t>&lt;a href="http://a836-acris.nyc.gov/DS/DocumentSearch/DocumentDetail?doc_id=2018060800046002" target="_blank"&gt;Verified by Public Record&lt;/a&gt;</t>
  </si>
  <si>
    <t>&lt;a href="http://a836-acris.nyc.gov/DS/DocumentSearch/DocumentDetail?doc_id=2021062400684004" target="_blank"&gt;Verified by Public Record&lt;/a&gt;</t>
  </si>
  <si>
    <t>&lt;a href="http://a836-acris.nyc.gov/DS/DocumentSearch/DocumentDetail?doc_id=2014123000389001" target="_blank"&gt;Public Record Only&lt;/a&gt;</t>
  </si>
  <si>
    <t>&lt;a href="http://a836-acris.nyc.gov/DS/DocumentSearch/DocumentDetail?doc_id=2014120101191001" target="_blank"&gt;Public Record Only&lt;/a&gt;</t>
  </si>
  <si>
    <t>&lt;a href="http://a836-acris.nyc.gov/DS/DocumentSearch/DocumentDetail?doc_id=2020080400394002" target="_blank"&gt;Verified by Public Record&lt;/a&gt;</t>
  </si>
  <si>
    <t>&lt;a href="http://a836-acris.nyc.gov/DS/DocumentSearch/DocumentDetail?doc_id=2021011901649002" target="_blank"&gt;Verified by Public Record&lt;/a&gt;</t>
  </si>
  <si>
    <t>&lt;a href="http://a836-acris.nyc.gov/DS/DocumentSearch/DocumentDetail?doc_id=2020110300801001" target="_blank"&gt;Verified by Public Record&lt;/a&gt;</t>
  </si>
  <si>
    <t>&lt;a href="http://a836-acris.nyc.gov/DS/DocumentSearch/DocumentDetail?doc_id=2020111601569001" target="_blank"&gt;Verified by Public Record&lt;/a&gt;</t>
  </si>
  <si>
    <t>&lt;a href="http://a836-acris.nyc.gov/DS/DocumentSearch/DocumentDetail?doc_id=2020020500308004" target="_blank"&gt;Verified by Public Record&lt;/a&gt;</t>
  </si>
  <si>
    <t>&lt;a href="http://a836-acris.nyc.gov/DS/DocumentSearch/DocumentDetail?doc_id=2020110100054001" target="_blank"&gt;Verified by Public Record&lt;/a&gt;</t>
  </si>
  <si>
    <t>&lt;a href="http://a836-acris.nyc.gov/DS/DocumentSearch/DocumentDetail?doc_id=2020021100666003" target="_blank"&gt;Verified by Public Record&lt;/a&gt;</t>
  </si>
  <si>
    <t>&lt;a href="http://a836-acris.nyc.gov/DS/DocumentSearch/DocumentDetail?doc_id=2020011600383001" target="_blank"&gt;Verified by Public Record&lt;/a&gt;</t>
  </si>
  <si>
    <t>&lt;a href="http://a836-acris.nyc.gov/DS/DocumentSearch/DocumentDetail?doc_id=2020090200335001" target="_blank"&gt;Verified by Public Record&lt;/a&gt;</t>
  </si>
  <si>
    <t>&lt;a href="http://a836-acris.nyc.gov/DS/DocumentSearch/DocumentDetail?doc_id=2015061000247001" target="_blank"&gt;Verified by Public Record&lt;/a&gt;</t>
  </si>
  <si>
    <t>Private Terrace
Deck
Common Roof Deck
Barbecue Area
Private Outdoor Space</t>
  </si>
  <si>
    <t>&lt;a href="http://a836-acris.nyc.gov/DS/DocumentSearch/DocumentDetail?doc_id=2014102300842001" target="_blank"&gt;Public Record Only&lt;/a&gt;</t>
  </si>
  <si>
    <t>&lt;a href="http://a836-acris.nyc.gov/DS/DocumentSearch/DocumentDetail?doc_id=2020022000121001" target="_blank"&gt;Verified by Public Record&lt;/a&gt;</t>
  </si>
  <si>
    <t>&lt;a href="http://a836-acris.nyc.gov/DS/DocumentSearch/DocumentDetail?doc_id=2020092200221004" target="_blank"&gt;Verified by Public Record&lt;/a&gt;</t>
  </si>
  <si>
    <t>&lt;a href="http://a836-acris.nyc.gov/DS/DocumentSearch/DocumentDetail?doc_id=2020061700958001" target="_blank"&gt;Verified by Public Record&lt;/a&gt;</t>
  </si>
  <si>
    <t>&lt;a href="http://a836-acris.nyc.gov/DS/DocumentSearch/DocumentDetail?doc_id=2019010301176002" target="_blank"&gt;Verified by Public Record&lt;/a&gt;</t>
  </si>
  <si>
    <t>&lt;a href="http://a836-acris.nyc.gov/DS/DocumentSearch/DocumentDetail?doc_id=2019070900219002" target="_blank"&gt;Verified by Public Record&lt;/a&gt;</t>
  </si>
  <si>
    <t>&lt;a href="http://a836-acris.nyc.gov/DS/DocumentSearch/DocumentDetail?doc_id=2019022800593001" target="_blank"&gt;Public Record Only&lt;/a&gt;</t>
  </si>
  <si>
    <t>&lt;a href="http://a836-acris.nyc.gov/DS/DocumentSearch/DocumentDetail?doc_id=2019022500722001" target="_blank"&gt;Public Record Only&lt;/a&gt;</t>
  </si>
  <si>
    <t>&lt;a href="http://a836-acris.nyc.gov/DS/DocumentSearch/DocumentDetail?doc_id=2018082900302002" target="_blank"&gt;Verified by Public Record&lt;/a&gt;</t>
  </si>
  <si>
    <t>&lt;a href="http://a836-acris.nyc.gov/DS/DocumentSearch/DocumentDetail?doc_id=2018103001086003" target="_blank"&gt;Verified by Public Record&lt;/a&gt;</t>
  </si>
  <si>
    <t>&lt;a href="http://a836-acris.nyc.gov/DS/DocumentSearch/DocumentDetail?doc_id=2016112500060001" target="_blank"&gt;Verified by Public Record&lt;/a&gt;</t>
  </si>
  <si>
    <t>&lt;a href="http://a836-acris.nyc.gov/DS/DocumentSearch/DocumentDetail?doc_id=2020061100223002" target="_blank"&gt;Verified by Public Record&lt;/a&gt;</t>
  </si>
  <si>
    <t>&lt;a href="http://a836-acris.nyc.gov/DS/DocumentSearch/DocumentDetail?doc_id=2021041000124001" target="_blank"&gt;Verified by Public Record&lt;/a&gt;</t>
  </si>
  <si>
    <t>&lt;a href="http://a836-acris.nyc.gov/DS/DocumentSearch/DocumentDetail?doc_id=2021022800057005" target="_blank"&gt;Verified by Public Record&lt;/a&gt;</t>
  </si>
  <si>
    <t>&lt;a href="http://a836-acris.nyc.gov/DS/DocumentSearch/DocumentDetail?doc_id=2015040901089002" target="_blank"&gt;Public Record Only&lt;/a&gt;</t>
  </si>
  <si>
    <t>&lt;a href="http://a836-acris.nyc.gov/DS/DocumentSearch/DocumentDetail?doc_id=2015050101134001" target="_blank"&gt;Public Record Only&lt;/a&gt;</t>
  </si>
  <si>
    <t>&lt;a href="http://a836-acris.nyc.gov/DS/DocumentSearch/DocumentDetail?doc_id=2019022700153002" target="_blank"&gt;Verified by Public Record&lt;/a&gt;</t>
  </si>
  <si>
    <t>&lt;a href="http://a836-acris.nyc.gov/DS/DocumentSearch/DocumentDetail?doc_id=2019031200841002" target="_blank"&gt;Verified by Public Record&lt;/a&gt;</t>
  </si>
  <si>
    <t>&lt;a href="http://a836-acris.nyc.gov/DS/DocumentSearch/DocumentDetail?doc_id=2019072200720002" target="_blank"&gt;Verified by Public Record&lt;/a&gt;</t>
  </si>
  <si>
    <t>&lt;a href="http://a836-acris.nyc.gov/DS/DocumentSearch/DocumentDetail?doc_id=2019052200900002" target="_blank"&gt;Verified by Public Record&lt;/a&gt;</t>
  </si>
  <si>
    <t>&lt;a href="http://a836-acris.nyc.gov/DS/DocumentSearch/DocumentDetail?doc_id=2019050900977002" target="_blank"&gt;Verified by Public Record&lt;/a&gt;</t>
  </si>
  <si>
    <t>&lt;a href="http://a836-acris.nyc.gov/DS/DocumentSearch/DocumentDetail?doc_id=2019053100397002" target="_blank"&gt;Verified by Public Record&lt;/a&gt;</t>
  </si>
  <si>
    <t>&lt;a href="http://a836-acris.nyc.gov/DS/DocumentSearch/DocumentDetail?doc_id=2019012901316002" target="_blank"&gt;Verified by Public Record&lt;/a&gt;</t>
  </si>
  <si>
    <t>&lt;a href="http://a836-acris.nyc.gov/DS/DocumentSearch/DocumentDetail?doc_id=2014091601515001" target="_blank"&gt;Public Record Only&lt;/a&gt;</t>
  </si>
  <si>
    <t>&lt;a href="http://a836-acris.nyc.gov/DS/DocumentSearch/DocumentDetail?doc_id=2020100600528001" target="_blank"&gt;Verified by Public Record&lt;/a&gt;</t>
  </si>
  <si>
    <t>&lt;a href="http://a836-acris.nyc.gov/DS/DocumentSearch/DocumentDetail?doc_id=2020051300573001" target="_blank"&gt;Verified by Public Record&lt;/a&gt;</t>
  </si>
  <si>
    <t>&lt;a href="http://a836-acris.nyc.gov/DS/DocumentSearch/DocumentDetail?doc_id=2020010900863002" target="_blank"&gt;Verified by Public Record&lt;/a&gt;</t>
  </si>
  <si>
    <t>&lt;a href="http://a836-acris.nyc.gov/DS/DocumentSearch/DocumentDetail?doc_id=2019110701089004" target="_blank"&gt;Verified by Public Record&lt;/a&gt;</t>
  </si>
  <si>
    <t>&lt;a href="http://a836-acris.nyc.gov/DS/DocumentSearch/DocumentDetail?doc_id=2019100301079002" target="_blank"&gt;Verified by Public Record&lt;/a&gt;</t>
  </si>
  <si>
    <t>&lt;a href="http://a836-acris.nyc.gov/DS/DocumentSearch/DocumentDetail?doc_id=2020060500481002" target="_blank"&gt;Verified by Public Record&lt;/a&gt;</t>
  </si>
  <si>
    <t>&lt;a href="http://a836-acris.nyc.gov/DS/DocumentSearch/DocumentDetail?doc_id=2020052800876002" target="_blank"&gt;Verified by Public Record&lt;/a&gt;</t>
  </si>
  <si>
    <t>&lt;a href="http://a836-acris.nyc.gov/DS/DocumentSearch/DocumentDetail?doc_id=2020092401123001" target="_blank"&gt;Verified by Public Record&lt;/a&gt;</t>
  </si>
  <si>
    <t>&lt;a href="http://a836-acris.nyc.gov/DS/DocumentSearch/DocumentDetail?doc_id=2021072801626002" target="_blank"&gt;Public Record Only&lt;/a&gt;</t>
  </si>
  <si>
    <t>&lt;a href="http://a836-acris.nyc.gov/DS/DocumentSearch/DocumentDetail?doc_id=2021073000551001" target="_blank"&gt;Public Record Only&lt;/a&gt;</t>
  </si>
  <si>
    <t>&lt;a href="http://a836-acris.nyc.gov/DS/DocumentSearch/DocumentDetail?doc_id=2019072500912001" target="_blank"&gt;Verified by Public Record&lt;/a&gt;</t>
  </si>
  <si>
    <t>Balcony
Barbecue Area
Common Garden
Common Outdoor Space</t>
  </si>
  <si>
    <t>Full-Time Doorman, Remote Doorman</t>
  </si>
  <si>
    <t>&lt;a href="http://a836-acris.nyc.gov/DS/DocumentSearch/DocumentDetail?doc_id=2019102500735001" target="_blank"&gt;Verified by Public Record&lt;/a&gt;</t>
  </si>
  <si>
    <t>&lt;a href="http://a836-acris.nyc.gov/DS/DocumentSearch/DocumentDetail?doc_id=2017072101137001" target="_blank"&gt;Verified by Public Record&lt;/a&gt;</t>
  </si>
  <si>
    <t>2231 Adam Clayton Powell Jr Blvd</t>
  </si>
  <si>
    <t>&lt;a href="http://a836-acris.nyc.gov/DS/DocumentSearch/DocumentDetail?doc_id=2017103101420001" target="_blank"&gt;Verified by Public Record&lt;/a&gt;</t>
  </si>
  <si>
    <t>Manhattanville</t>
  </si>
  <si>
    <t>&lt;a href="http://a836-acris.nyc.gov/DS/DocumentSearch/DocumentDetail?doc_id=2017081400771001" target="_blank"&gt;Public Record Only&lt;/a&gt;</t>
  </si>
  <si>
    <t>&lt;a href="http://a836-acris.nyc.gov/DS/DocumentSearch/DocumentDetail?doc_id=2021021100879001" target="_blank"&gt;Public Record Only&lt;/a&gt;</t>
  </si>
  <si>
    <t>&lt;a href="http://a836-acris.nyc.gov/DS/DocumentSearch/DocumentDetail?doc_id=2021021100773001" target="_blank"&gt;Public Record Only&lt;/a&gt;</t>
  </si>
  <si>
    <t>&lt;a href="http://a836-acris.nyc.gov/DS/DocumentSearch/DocumentDetail?doc_id=2021021100418001" target="_blank"&gt;Public Record Only&lt;/a&gt;</t>
  </si>
  <si>
    <t>&lt;a href="http://a836-acris.nyc.gov/DS/DocumentSearch/DocumentDetail?doc_id=2016051801122001" target="_blank"&gt;Public Record Only&lt;/a&gt;</t>
  </si>
  <si>
    <t>&lt;a href="http://a836-acris.nyc.gov/DS/DocumentSearch/DocumentDetail?doc_id=2017021500900001" target="_blank"&gt;Public Record Only&lt;/a&gt;</t>
  </si>
  <si>
    <t>&lt;a href="http://a836-acris.nyc.gov/DS/DocumentSearch/DocumentDetail?doc_id=2017071400677001" target="_blank"&gt;Public Record Only&lt;/a&gt;</t>
  </si>
  <si>
    <t>&lt;a href="http://a836-acris.nyc.gov/DS/DocumentSearch/DocumentDetail?doc_id=2019112601040001" target="_blank"&gt;Public Record Only&lt;/a&gt;</t>
  </si>
  <si>
    <t>&lt;a href="http://a836-acris.nyc.gov/DS/DocumentSearch/DocumentDetail?doc_id=2017071400318001" target="_blank"&gt;Verified by Public Record&lt;/a&gt;</t>
  </si>
  <si>
    <t>Balcony
Juliet Balcony
Barbecue Area
Common Garden
Common Outdoor Space</t>
  </si>
  <si>
    <t>&lt;a href="http://a836-acris.nyc.gov/DS/DocumentSearch/DocumentDetail?doc_id=2018080900091001" target="_blank"&gt;Verified by Public Record&lt;/a&gt;</t>
  </si>
  <si>
    <t>&lt;a href="http://a836-acris.nyc.gov/DS/DocumentSearch/DocumentDetail?doc_id=2017072401198001" target="_blank"&gt;Public Record Only&lt;/a&gt;</t>
  </si>
  <si>
    <t>&lt;a href="http://a836-acris.nyc.gov/DS/DocumentSearch/DocumentDetail?doc_id=2017070600655001" target="_blank"&gt;Public Record Only&lt;/a&gt;</t>
  </si>
  <si>
    <t>&lt;a href="http://a836-acris.nyc.gov/DS/DocumentSearch/DocumentDetail?doc_id=2017082200913003" target="_blank"&gt;Public Record Only&lt;/a&gt;</t>
  </si>
  <si>
    <t>&lt;a href="http://a836-acris.nyc.gov/DS/DocumentSearch/DocumentDetail?doc_id=2020082100382003" target="_blank"&gt;Public Record Only&lt;/a&gt;</t>
  </si>
  <si>
    <t>&lt;a href="http://a836-acris.nyc.gov/DS/DocumentSearch/DocumentDetail?doc_id=2017071600030003" target="_blank"&gt;Verified by Public Record&lt;/a&gt;</t>
  </si>
  <si>
    <t>&lt;a href="http://a836-acris.nyc.gov/DS/DocumentSearch/DocumentDetail?doc_id=2017062601027003" target="_blank"&gt;Verified by Public Record&lt;/a&gt;</t>
  </si>
  <si>
    <t>&lt;a href="http://a836-acris.nyc.gov/DS/DocumentSearch/DocumentDetail?doc_id=2017072100894001" target="_blank"&gt;Verified by Public Record&lt;/a&gt;</t>
  </si>
  <si>
    <t>&lt;a href="http://a836-acris.nyc.gov/DS/DocumentSearch/DocumentDetail?doc_id=2019052300572003" target="_blank"&gt;Verified by Public Record&lt;/a&gt;</t>
  </si>
  <si>
    <t>&lt;a href="http://a836-acris.nyc.gov/DS/DocumentSearch/DocumentDetail?doc_id=2017092901280001" target="_blank"&gt;Verified by Public Record&lt;/a&gt;</t>
  </si>
  <si>
    <t>&lt;a href="http://a836-acris.nyc.gov/DS/DocumentSearch/DocumentDetail?doc_id=2016040501100001" target="_blank"&gt;Public Record Only&lt;/a&gt;</t>
  </si>
  <si>
    <t>&lt;a href="http://a836-acris.nyc.gov/DS/DocumentSearch/DocumentDetail?doc_id=2021063000864005" target="_blank"&gt;Verified by Public Record&lt;/a&gt;</t>
  </si>
  <si>
    <t>&lt;a href="http://a836-acris.nyc.gov/DS/DocumentSearch/DocumentDetail?doc_id=2017072100244001" target="_blank"&gt;Verified by Public Record&lt;/a&gt;</t>
  </si>
  <si>
    <t>Balcony
Private Terrace
Barbecue Area
Common Garden
Common Outdoor Space</t>
  </si>
  <si>
    <t>&lt;a href="http://a836-acris.nyc.gov/DS/DocumentSearch/DocumentDetail?doc_id=2021012600541005" target="_blank"&gt;Public Record Only&lt;/a&gt;</t>
  </si>
  <si>
    <t>&lt;a href="http://a836-acris.nyc.gov/DS/DocumentSearch/DocumentDetail?doc_id=2017062800669002" target="_blank"&gt;Verified by Public Record&lt;/a&gt;</t>
  </si>
  <si>
    <t>&lt;a href="http://a836-acris.nyc.gov/DS/DocumentSearch/DocumentDetail?doc_id=2021073001099008" target="_blank"&gt;Verified by Public Record&lt;/a&gt;</t>
  </si>
  <si>
    <t>&lt;a href="http://a836-acris.nyc.gov/DS/DocumentSearch/DocumentDetail?doc_id=2020111900284002" target="_blank"&gt;Public Record Only&lt;/a&gt;</t>
  </si>
  <si>
    <t>&lt;a href="http://a836-acris.nyc.gov/DS/DocumentSearch/DocumentDetail?doc_id=2021022400132001" target="_blank"&gt;Public Record Only&lt;/a&gt;</t>
  </si>
  <si>
    <t>&lt;a href="http://a836-acris.nyc.gov/DS/DocumentSearch/DocumentDetail?doc_id=2020102000858001" target="_blank"&gt;Public Record Only&lt;/a&gt;</t>
  </si>
  <si>
    <t>&lt;a href="http://a836-acris.nyc.gov/DS/DocumentSearch/DocumentDetail?doc_id=2021042600672001" target="_blank"&gt;Verified by Public Record&lt;/a&gt;</t>
  </si>
  <si>
    <t>&lt;a href="http://a836-acris.nyc.gov/DS/DocumentSearch/DocumentDetail?doc_id=2021052700935001" target="_blank"&gt;Verified by Public Record&lt;/a&gt;</t>
  </si>
  <si>
    <t>&lt;a href="http://a836-acris.nyc.gov/DS/DocumentSearch/DocumentDetail?doc_id=2019032800149001" target="_blank"&gt;Public Record Only&lt;/a&gt;</t>
  </si>
  <si>
    <t>&lt;a href="http://a836-acris.nyc.gov/DS/DocumentSearch/DocumentDetail?doc_id=2019012300470002" target="_blank"&gt;Public Record Only&lt;/a&gt;</t>
  </si>
  <si>
    <t>&lt;a href="http://a836-acris.nyc.gov/DS/DocumentSearch/DocumentDetail?doc_id=2019051401044003" target="_blank"&gt;Public Record Only&lt;/a&gt;</t>
  </si>
  <si>
    <t>&lt;a href="http://a836-acris.nyc.gov/DS/DocumentSearch/DocumentDetail?doc_id=2019022800466001" target="_blank"&gt;Public Record Only&lt;/a&gt;</t>
  </si>
  <si>
    <t>&lt;a href="http://a836-acris.nyc.gov/DS/DocumentSearch/DocumentDetail?doc_id=2019010200184001" target="_blank"&gt;Public Record Only&lt;/a&gt;</t>
  </si>
  <si>
    <t>&lt;a href="http://a836-acris.nyc.gov/DS/DocumentSearch/DocumentDetail?doc_id=2018121700534001" target="_blank"&gt;Public Record Only&lt;/a&gt;</t>
  </si>
  <si>
    <t>&lt;a href="http://a836-acris.nyc.gov/DS/DocumentSearch/DocumentDetail?doc_id=2018121901017002" target="_blank"&gt;Public Record Only&lt;/a&gt;</t>
  </si>
  <si>
    <t>&lt;a href="http://a836-acris.nyc.gov/DS/DocumentSearch/DocumentDetail?doc_id=2020051200728001" target="_blank"&gt;Verified by Public Record&lt;/a&gt;</t>
  </si>
  <si>
    <t>&lt;a href="http://a836-acris.nyc.gov/DS/DocumentSearch/DocumentDetail?doc_id=2020051500985001" target="_blank"&gt;Verified by Public Record&lt;/a&gt;</t>
  </si>
  <si>
    <t>&lt;a href="http://a836-acris.nyc.gov/DS/DocumentSearch/DocumentDetail?doc_id=2019082600589008" target="_blank"&gt;Verified by Public Record&lt;/a&gt;</t>
  </si>
  <si>
    <t>&lt;a href="http://a836-acris.nyc.gov/DS/DocumentSearch/DocumentDetail?doc_id=2021071900171001" target="_blank"&gt;Verified by Public Record&lt;/a&gt;</t>
  </si>
  <si>
    <t>&lt;a href="http://a836-acris.nyc.gov/DS/DocumentSearch/DocumentDetail?doc_id=2021030801242001" target="_blank"&gt;Verified by Public Record&lt;/a&gt;</t>
  </si>
  <si>
    <t>&lt;a href="http://a836-acris.nyc.gov/DS/DocumentSearch/DocumentDetail?doc_id=2018091700292001" target="_blank"&gt;Verified by Public Record&lt;/a&gt;</t>
  </si>
  <si>
    <t>&lt;a href="http://a836-acris.nyc.gov/DS/DocumentSearch/DocumentDetail?doc_id=2019122000111007" target="_blank"&gt;Verified by Public Record&lt;/a&gt;</t>
  </si>
  <si>
    <t>&lt;a href="http://a836-acris.nyc.gov/DS/DocumentSearch/DocumentDetail?doc_id=2017051500227001" target="_blank"&gt;Public Record Only&lt;/a&gt;</t>
  </si>
  <si>
    <t>&lt;a href="http://a836-acris.nyc.gov/DS/DocumentSearch/DocumentDetail?doc_id=2018012500443001" target="_blank"&gt;Verified by Public Record&lt;/a&gt;</t>
  </si>
  <si>
    <t>&lt;a href="http://a836-acris.nyc.gov/DS/DocumentSearch/DocumentDetail?doc_id=2021042901198003" target="_blank"&gt;Verified by Public Record&lt;/a&gt;</t>
  </si>
  <si>
    <t>&lt;a href="http://a836-acris.nyc.gov/DS/DocumentSearch/DocumentDetail?doc_id=2021072800999002" target="_blank"&gt;Verified by Public Record&lt;/a&gt;</t>
  </si>
  <si>
    <t>&lt;a href="http://a836-acris.nyc.gov/DS/DocumentSearch/DocumentDetail?doc_id=2021031100705001" target="_blank"&gt;Verified by Public Record&lt;/a&gt;</t>
  </si>
  <si>
    <t>&lt;a href="http://a836-acris.nyc.gov/DS/DocumentSearch/DocumentDetail?doc_id=2019073000311001" target="_blank"&gt;Verified by Public Record&lt;/a&gt;</t>
  </si>
  <si>
    <t>&lt;a href="http://a836-acris.nyc.gov/DS/DocumentSearch/DocumentDetail?doc_id=2019052900970001" target="_blank"&gt;Verified by Public Record&lt;/a&gt;</t>
  </si>
  <si>
    <t>&lt;a href="http://a836-acris.nyc.gov/DS/DocumentSearch/DocumentDetail?doc_id=2019081500346002" target="_blank"&gt;Verified by Public Record&lt;/a&gt;</t>
  </si>
  <si>
    <t>&lt;a href="http://a836-acris.nyc.gov/DS/DocumentSearch/DocumentDetail?doc_id=2019021201217001" target="_blank"&gt;Verified by Public Record&lt;/a&gt;</t>
  </si>
  <si>
    <t>&lt;a href="http://a836-acris.nyc.gov/DS/DocumentSearch/DocumentDetail?doc_id=2020102601217001" target="_blank"&gt;Verified by Public Record&lt;/a&gt;</t>
  </si>
  <si>
    <t>&lt;a href="http://a836-acris.nyc.gov/DS/DocumentSearch/DocumentDetail?doc_id=2021012501263001" target="_blank"&gt;Verified by Public Record&lt;/a&gt;</t>
  </si>
  <si>
    <t>&lt;a href="http://a836-acris.nyc.gov/DS/DocumentSearch/DocumentDetail?doc_id=2021070200345002" target="_blank"&gt;Verified by Public Record&lt;/a&gt;</t>
  </si>
  <si>
    <t>&lt;a href="http://a836-acris.nyc.gov/DS/DocumentSearch/DocumentDetail?doc_id=2021010200088001" target="_blank"&gt;Verified by Public Record&lt;/a&gt;</t>
  </si>
  <si>
    <t>&lt;a href="http://a836-acris.nyc.gov/DS/DocumentSearch/DocumentDetail?doc_id=2021070600238001" target="_blank"&gt;Verified by Public Record&lt;/a&gt;</t>
  </si>
  <si>
    <t>&lt;a href="http://a836-acris.nyc.gov/DS/DocumentSearch/DocumentDetail?doc_id=2020092400733001" target="_blank"&gt;Verified by Public Record&lt;/a&gt;</t>
  </si>
  <si>
    <t>&lt;a href="http://a836-acris.nyc.gov/DS/DocumentSearch/DocumentDetail?doc_id=2021010200084001" target="_blank"&gt;Verified by Public Record&lt;/a&gt;</t>
  </si>
  <si>
    <t>&lt;a href="http://a836-acris.nyc.gov/DS/DocumentSearch/DocumentDetail?doc_id=2021022400162002" target="_blank"&gt;Verified by Public Record&lt;/a&gt;</t>
  </si>
  <si>
    <t>&lt;a href="http://a836-acris.nyc.gov/DS/DocumentSearch/DocumentDetail?doc_id=2017082000012001" target="_blank"&gt;Verified by Public Record&lt;/a&gt;</t>
  </si>
  <si>
    <t>&lt;a href="http://a836-acris.nyc.gov/DS/DocumentSearch/DocumentDetail?doc_id=2021060700479001" target="_blank"&gt;Verified by Public Record&lt;/a&gt;</t>
  </si>
  <si>
    <t>&lt;a href="http://a836-acris.nyc.gov/DS/DocumentSearch/DocumentDetail?doc_id=2020031801135002" target="_blank"&gt;Verified by Public Record&lt;/a&gt;</t>
  </si>
  <si>
    <t>&lt;a href="http://a836-acris.nyc.gov/DS/DocumentSearch/DocumentDetail?doc_id=2017050300248001" target="_blank"&gt;Verified by Public Record&lt;/a&gt;</t>
  </si>
  <si>
    <t>&lt;a href="http://a836-acris.nyc.gov/DS/DocumentSearch/DocumentDetail?doc_id=2018010300547001" target="_blank"&gt;Verified by Public Record&lt;/a&gt;</t>
  </si>
  <si>
    <t>&lt;a href="http://a836-acris.nyc.gov/DS/DocumentSearch/DocumentDetail?doc_id=2017052300813001" target="_blank"&gt;Verified by Public Record&lt;/a&gt;</t>
  </si>
  <si>
    <t>&lt;a href="http://a836-acris.nyc.gov/DS/DocumentSearch/DocumentDetail?doc_id=2018022101140002" target="_blank"&gt;Verified by Public Record&lt;/a&gt;</t>
  </si>
  <si>
    <t>&lt;a href="http://a836-acris.nyc.gov/DS/DocumentSearch/DocumentDetail?doc_id=2017061500972001" target="_blank"&gt;Verified by Public Record&lt;/a&gt;</t>
  </si>
  <si>
    <t>&lt;a href="http://a836-acris.nyc.gov/DS/DocumentSearch/DocumentDetail?doc_id=2017120400566001" target="_blank"&gt;Verified by Public Record&lt;/a&gt;</t>
  </si>
  <si>
    <t>&lt;a href="http://a836-acris.nyc.gov/DS/DocumentSearch/DocumentDetail?doc_id=2017100300235001" target="_blank"&gt;Verified by Public Record&lt;/a&gt;</t>
  </si>
  <si>
    <t>&lt;a href="http://a836-acris.nyc.gov/DS/DocumentSearch/DocumentDetail?doc_id=2017111600373003" target="_blank"&gt;Verified by Public Record&lt;/a&gt;</t>
  </si>
  <si>
    <t>&lt;a href="http://a836-acris.nyc.gov/DS/DocumentSearch/DocumentDetail?doc_id=2019032600688002" target="_blank"&gt;Public Record Only&lt;/a&gt;</t>
  </si>
  <si>
    <t>&lt;a href="http://a836-acris.nyc.gov/DS/DocumentSearch/DocumentDetail?doc_id=2020011400640001" target="_blank"&gt;Public Record Only&lt;/a&gt;</t>
  </si>
  <si>
    <t>&lt;a href="http://a836-acris.nyc.gov/DS/DocumentSearch/DocumentDetail?doc_id=2017060900538001" target="_blank"&gt;Verified by Public Record&lt;/a&gt;</t>
  </si>
  <si>
    <t>&lt;a href="http://a836-acris.nyc.gov/DS/DocumentSearch/DocumentDetail?doc_id=2018060100427001" target="_blank"&gt;Verified by Public Record&lt;/a&gt;</t>
  </si>
  <si>
    <t>&lt;a href="http://a836-acris.nyc.gov/DS/DocumentSearch/DocumentDetail?doc_id=2017060500572001" target="_blank"&gt;Verified by Public Record&lt;/a&gt;</t>
  </si>
  <si>
    <t>&lt;a href="http://a836-acris.nyc.gov/DS/DocumentSearch/DocumentDetail?doc_id=2017122100656004" target="_blank"&gt;Verified by Public Record&lt;/a&gt;</t>
  </si>
  <si>
    <t>&lt;a href="http://a836-acris.nyc.gov/DS/DocumentSearch/DocumentDetail?doc_id=2017033001161004" target="_blank"&gt;Verified by Public Record&lt;/a&gt;</t>
  </si>
  <si>
    <t>&lt;a href="http://a836-acris.nyc.gov/DS/DocumentSearch/DocumentDetail?doc_id=2018020200957001" target="_blank"&gt;Verified by Public Record&lt;/a&gt;</t>
  </si>
  <si>
    <t>&lt;a href="http://a836-acris.nyc.gov/DS/DocumentSearch/DocumentDetail?doc_id=2017061600180001" target="_blank"&gt;Verified by Public Record&lt;/a&gt;</t>
  </si>
  <si>
    <t>&lt;a href="http://a836-acris.nyc.gov/DS/DocumentSearch/DocumentDetail?doc_id=2017082100803001" target="_blank"&gt;Verified by Public Record&lt;/a&gt;</t>
  </si>
  <si>
    <t>&lt;a href="http://a836-acris.nyc.gov/DS/DocumentSearch/DocumentDetail?doc_id=2016052600407001" target="_blank"&gt;Verified by Public Record&lt;/a&gt;</t>
  </si>
  <si>
    <t>&lt;a href="http://a836-acris.nyc.gov/DS/DocumentSearch/DocumentDetail?doc_id=2017070500388001" target="_blank"&gt;Verified by Public Record&lt;/a&gt;</t>
  </si>
  <si>
    <t>&lt;a href="http://a836-acris.nyc.gov/DS/DocumentSearch/DocumentDetail?doc_id=2017071300922001" target="_blank"&gt;Verified by Public Record&lt;/a&gt;</t>
  </si>
  <si>
    <t>&lt;a href="http://a836-acris.nyc.gov/DS/DocumentSearch/DocumentDetail?doc_id=2018022500046001" target="_blank"&gt;Verified by Public Record&lt;/a&gt;</t>
  </si>
  <si>
    <t>&lt;a href="http://a836-acris.nyc.gov/DS/DocumentSearch/DocumentDetail?doc_id=2017051900752001" target="_blank"&gt;Verified by Public Record&lt;/a&gt;</t>
  </si>
  <si>
    <t>&lt;a href="http://a836-acris.nyc.gov/DS/DocumentSearch/DocumentDetail?doc_id=2017071100763002" target="_blank"&gt;Verified by Public Record&lt;/a&gt;</t>
  </si>
  <si>
    <t>&lt;a href="http://a836-acris.nyc.gov/DS/DocumentSearch/DocumentDetail?doc_id=2017061400857001" target="_blank"&gt;Verified by Public Record&lt;/a&gt;</t>
  </si>
  <si>
    <t>&lt;a href="http://a836-acris.nyc.gov/DS/DocumentSearch/DocumentDetail?doc_id=2017042500851001" target="_blank"&gt;Verified by Public Record&lt;/a&gt;</t>
  </si>
  <si>
    <t>&lt;a href="http://a836-acris.nyc.gov/DS/DocumentSearch/DocumentDetail?doc_id=2017042500943001" target="_blank"&gt;Verified by Public Record&lt;/a&gt;</t>
  </si>
  <si>
    <t>&lt;a href="http://a836-acris.nyc.gov/DS/DocumentSearch/DocumentDetail?doc_id=2017060800044001" target="_blank"&gt;Verified by Public Record&lt;/a&gt;</t>
  </si>
  <si>
    <t>&lt;a href="http://a836-acris.nyc.gov/DS/DocumentSearch/DocumentDetail?doc_id=2017042100952001" target="_blank"&gt;Verified by Public Record&lt;/a&gt;</t>
  </si>
  <si>
    <t>&lt;a href="http://a836-acris.nyc.gov/DS/DocumentSearch/DocumentDetail?doc_id=2017061500769001" target="_blank"&gt;Verified by Public Record&lt;/a&gt;</t>
  </si>
  <si>
    <t>&lt;a href="http://a836-acris.nyc.gov/DS/DocumentSearch/DocumentDetail?doc_id=2017050900629001" target="_blank"&gt;Verified by Public Record&lt;/a&gt;</t>
  </si>
  <si>
    <t>&lt;a href="http://a836-acris.nyc.gov/DS/DocumentSearch/DocumentDetail?doc_id=2017060601166001" target="_blank"&gt;Verified by Public Record&lt;/a&gt;</t>
  </si>
  <si>
    <t>&lt;a href="http://a836-acris.nyc.gov/DS/DocumentSearch/DocumentDetail?doc_id=2017042101165001" target="_blank"&gt;Verified by Public Record&lt;/a&gt;</t>
  </si>
  <si>
    <t>&lt;a href="http://a836-acris.nyc.gov/DS/DocumentSearch/DocumentDetail?doc_id=2017061400876001" target="_blank"&gt;Verified by Public Record&lt;/a&gt;</t>
  </si>
  <si>
    <t>&lt;a href="http://a836-acris.nyc.gov/DS/DocumentSearch/DocumentDetail?doc_id=2019051500075001" target="_blank"&gt;Verified by Public Record&lt;/a&gt;</t>
  </si>
  <si>
    <t>&lt;a href="http://a836-acris.nyc.gov/DS/DocumentSearch/DocumentDetail?doc_id=2019052200062001" target="_blank"&gt;Verified by Public Record&lt;/a&gt;</t>
  </si>
  <si>
    <t>&lt;a href="http://a836-acris.nyc.gov/DS/DocumentSearch/DocumentDetail?doc_id=2017042800954003" target="_blank"&gt;Verified by Public Record&lt;/a&gt;</t>
  </si>
  <si>
    <t>&lt;a href="http://a836-acris.nyc.gov/DS/DocumentSearch/DocumentDetail?doc_id=2018101000882001" target="_blank"&gt;Verified by Public Record&lt;/a&gt;</t>
  </si>
  <si>
    <t>&lt;a href="http://a836-acris.nyc.gov/DS/DocumentSearch/DocumentDetail?doc_id=2019101400018001" target="_blank"&gt;Verified by Public Record&lt;/a&gt;</t>
  </si>
  <si>
    <t>&lt;a href="http://a836-acris.nyc.gov/DS/DocumentSearch/DocumentDetail?doc_id=2021020400796001" target="_blank"&gt;Verified by Public Record&lt;/a&gt;</t>
  </si>
  <si>
    <t>&lt;a href="http://a836-acris.nyc.gov/DS/DocumentSearch/DocumentDetail?doc_id=2018091200954001" target="_blank"&gt;Verified by Public Record&lt;/a&gt;</t>
  </si>
  <si>
    <t>&lt;a href="http://a836-acris.nyc.gov/DS/DocumentSearch/DocumentDetail?doc_id=2021052700158001" target="_blank"&gt;Verified by Public Record&lt;/a&gt;</t>
  </si>
  <si>
    <t>&lt;a href="http://a836-acris.nyc.gov/DS/DocumentSearch/DocumentDetail?doc_id=2018100300359001" target="_blank"&gt;Verified by Public Record&lt;/a&gt;</t>
  </si>
  <si>
    <t>Private Terrace
Deck
Common Roof Deck
Common Outdoor Space
Private Outdoor Space</t>
  </si>
  <si>
    <t>&lt;a href="http://a836-acris.nyc.gov/DS/DocumentSearch/DocumentDetail?doc_id=2019050200645001" target="_blank"&gt;Verified by Public Record&lt;/a&gt;</t>
  </si>
  <si>
    <t>&lt;a href="http://a836-acris.nyc.gov/DS/DocumentSearch/DocumentDetail?doc_id=2019030600425001" target="_blank"&gt;Verified by Public Record&lt;/a&gt;</t>
  </si>
  <si>
    <t>&lt;a href="http://a836-acris.nyc.gov/DS/DocumentSearch/DocumentDetail?doc_id=2021063000854001" target="_blank"&gt;Verified by Public Record&lt;/a&gt;</t>
  </si>
  <si>
    <t>&lt;a href="http://a836-acris.nyc.gov/DS/DocumentSearch/DocumentDetail?doc_id=2021040100477002" target="_blank"&gt;Verified by Public Record&lt;/a&gt;</t>
  </si>
  <si>
    <t>&lt;a href="http://a836-acris.nyc.gov/DS/DocumentSearch/DocumentDetail?doc_id=2021031901126001" target="_blank"&gt;Verified by Public Record&lt;/a&gt;</t>
  </si>
  <si>
    <t>&lt;a href="http://a836-acris.nyc.gov/DS/DocumentSearch/DocumentDetail?doc_id=2018120601149001" target="_blank"&gt;Verified by Public Record&lt;/a&gt;</t>
  </si>
  <si>
    <t>&lt;a href="http://a836-acris.nyc.gov/DS/DocumentSearch/DocumentDetail?doc_id=2018121300528001" target="_blank"&gt;Verified by Public Record&lt;/a&gt;</t>
  </si>
  <si>
    <t>&lt;a href="http://a836-acris.nyc.gov/DS/DocumentSearch/DocumentDetail?doc_id=2018121800735001" target="_blank"&gt;Verified by Public Record&lt;/a&gt;</t>
  </si>
  <si>
    <t>&lt;a href="http://a836-acris.nyc.gov/DS/DocumentSearch/DocumentDetail?doc_id=2018121700833001" target="_blank"&gt;Verified by Public Record&lt;/a&gt;</t>
  </si>
  <si>
    <t>&lt;a href="http://a836-acris.nyc.gov/DS/DocumentSearch/DocumentDetail?doc_id=2018122800714001" target="_blank"&gt;Verified by Public Record&lt;/a&gt;</t>
  </si>
  <si>
    <t>&lt;a href="http://a836-acris.nyc.gov/DS/DocumentSearch/DocumentDetail?doc_id=2019010400849003" target="_blank"&gt;Verified by Public Record&lt;/a&gt;</t>
  </si>
  <si>
    <t>&lt;a href="http://a836-acris.nyc.gov/DS/DocumentSearch/DocumentDetail?doc_id=2019020801187001" target="_blank"&gt;Verified by Public Record&lt;/a&gt;</t>
  </si>
  <si>
    <t>&lt;a href="http://a836-acris.nyc.gov/DS/DocumentSearch/DocumentDetail?doc_id=2019040800520001" target="_blank"&gt;Verified by Public Record&lt;/a&gt;</t>
  </si>
  <si>
    <t>&lt;a href="http://a836-acris.nyc.gov/DS/DocumentSearch/DocumentDetail?doc_id=2019092500102001" target="_blank"&gt;Verified by Public Record&lt;/a&gt;</t>
  </si>
  <si>
    <t>&lt;a href="http://a836-acris.nyc.gov/DS/DocumentSearch/DocumentDetail?doc_id=2019110800105001" target="_blank"&gt;Verified by Public Record&lt;/a&gt;</t>
  </si>
  <si>
    <t>&lt;a href="http://a836-acris.nyc.gov/DS/DocumentSearch/DocumentDetail?doc_id=2019123000157001" target="_blank"&gt;Verified by Public Record&lt;/a&gt;</t>
  </si>
  <si>
    <t>&lt;a href="http://a836-acris.nyc.gov/DS/DocumentSearch/DocumentDetail?doc_id=2020041400659001" target="_blank"&gt;Verified by Public Record&lt;/a&gt;</t>
  </si>
  <si>
    <t>&lt;a href="http://a836-acris.nyc.gov/DS/DocumentSearch/DocumentDetail?doc_id=2021052701496001" target="_blank"&gt;Public Record Only&lt;/a&gt;</t>
  </si>
  <si>
    <t>&lt;a href="http://a836-acris.nyc.gov/DS/DocumentSearch/DocumentDetail?doc_id=2019030100453001" target="_blank"&gt;Verified by Public Record&lt;/a&gt;</t>
  </si>
  <si>
    <t>&lt;a href="http://a836-acris.nyc.gov/DS/DocumentSearch/DocumentDetail?doc_id=2019070201422001" target="_blank"&gt;Unverified&lt;/a&gt;</t>
  </si>
  <si>
    <t>&lt;a href="http://a836-acris.nyc.gov/DS/DocumentSearch/DocumentDetail?doc_id=2018101900727001" target="_blank"&gt;Verified by Public Record&lt;/a&gt;</t>
  </si>
  <si>
    <t>&lt;a href="http://a836-acris.nyc.gov/DS/DocumentSearch/DocumentDetail?doc_id=2018120500575001" target="_blank"&gt;Verified by Public Record&lt;/a&gt;</t>
  </si>
  <si>
    <t>&lt;a href="http://a836-acris.nyc.gov/DS/DocumentSearch/DocumentDetail?doc_id=2019022200671001" target="_blank"&gt;Verified by Public Record&lt;/a&gt;</t>
  </si>
  <si>
    <t>&lt;a href="http://a836-acris.nyc.gov/DS/DocumentSearch/DocumentDetail?doc_id=2019030101064001" target="_blank"&gt;Verified by Public Record&lt;/a&gt;</t>
  </si>
  <si>
    <t>&lt;a href="http://a836-acris.nyc.gov/DS/DocumentSearch/DocumentDetail?doc_id=2019031100482003" target="_blank"&gt;Verified by Public Record&lt;/a&gt;</t>
  </si>
  <si>
    <t>&lt;a href="http://a836-acris.nyc.gov/DS/DocumentSearch/DocumentDetail?doc_id=2019022600401001" target="_blank"&gt;Verified by Public Record&lt;/a&gt;</t>
  </si>
  <si>
    <t>&lt;a href="http://a836-acris.nyc.gov/DS/DocumentSearch/DocumentDetail?doc_id=2019040200685001" target="_blank"&gt;Verified by Public Record&lt;/a&gt;</t>
  </si>
  <si>
    <t>&lt;a href="http://a836-acris.nyc.gov/DS/DocumentSearch/DocumentDetail?doc_id=2019042600438001" target="_blank"&gt;Verified by Public Record&lt;/a&gt;</t>
  </si>
  <si>
    <t>&lt;a href="http://a836-acris.nyc.gov/DS/DocumentSearch/DocumentDetail?doc_id=2019051300304001" target="_blank"&gt;Verified by Public Record&lt;/a&gt;</t>
  </si>
  <si>
    <t>&lt;a href="http://a836-acris.nyc.gov/DS/DocumentSearch/DocumentDetail?doc_id=2019072500697001" target="_blank"&gt;Verified by Public Record&lt;/a&gt;</t>
  </si>
  <si>
    <t>&lt;a href="http://a836-acris.nyc.gov/DS/DocumentSearch/DocumentDetail?doc_id=2019072600216001" target="_blank"&gt;Verified by Public Record&lt;/a&gt;</t>
  </si>
  <si>
    <t>&lt;a href="http://a836-acris.nyc.gov/DS/DocumentSearch/DocumentDetail?doc_id=2019073100714001" target="_blank"&gt;Verified by Public Record&lt;/a&gt;</t>
  </si>
  <si>
    <t>&lt;a href="http://a836-acris.nyc.gov/DS/DocumentSearch/DocumentDetail?doc_id=2019081500439001" target="_blank"&gt;Verified by Public Record&lt;/a&gt;</t>
  </si>
  <si>
    <t>&lt;a href="http://a836-acris.nyc.gov/DS/DocumentSearch/DocumentDetail?doc_id=2019092600994001" target="_blank"&gt;Verified by Public Record&lt;/a&gt;</t>
  </si>
  <si>
    <t>&lt;a href="http://a836-acris.nyc.gov/DS/DocumentSearch/DocumentDetail?doc_id=2019112600691001" target="_blank"&gt;Verified by Public Record&lt;/a&gt;</t>
  </si>
  <si>
    <t>&lt;a href="http://a836-acris.nyc.gov/DS/DocumentSearch/DocumentDetail?doc_id=2019121601340001" target="_blank"&gt;Verified by Public Record&lt;/a&gt;</t>
  </si>
  <si>
    <t>&lt;a href="http://a836-acris.nyc.gov/DS/DocumentSearch/DocumentDetail?doc_id=2019121100598002" target="_blank"&gt;Verified by Public Record&lt;/a&gt;</t>
  </si>
  <si>
    <t>&lt;a href="http://a836-acris.nyc.gov/DS/DocumentSearch/DocumentDetail?doc_id=2019051400689001" target="_blank"&gt;Public Record Only&lt;/a&gt;</t>
  </si>
  <si>
    <t>&lt;a href="http://a836-acris.nyc.gov/DS/DocumentSearch/DocumentDetail?doc_id=2018102901052003" target="_blank"&gt;Verified by Public Record&lt;/a&gt;</t>
  </si>
  <si>
    <t>&lt;a href="http://a836-acris.nyc.gov/DS/DocumentSearch/DocumentDetail?doc_id=2018103001240001" target="_blank"&gt;Verified by Public Record&lt;/a&gt;</t>
  </si>
  <si>
    <t>&lt;a href="http://a836-acris.nyc.gov/DS/DocumentSearch/DocumentDetail?doc_id=2018110200910003" target="_blank"&gt;Verified by Public Record&lt;/a&gt;</t>
  </si>
  <si>
    <t>&lt;a href="http://a836-acris.nyc.gov/DS/DocumentSearch/DocumentDetail?doc_id=2018111500501004" target="_blank"&gt;Verified by Public Record&lt;/a&gt;</t>
  </si>
  <si>
    <t>&lt;a href="http://a836-acris.nyc.gov/DS/DocumentSearch/DocumentDetail?doc_id=2019051400450001" target="_blank"&gt;Verified by Public Record&lt;/a&gt;</t>
  </si>
  <si>
    <t>&lt;a href="http://a836-acris.nyc.gov/DS/DocumentSearch/DocumentDetail?doc_id=2019053000621001" target="_blank"&gt;Verified by Public Record&lt;/a&gt;</t>
  </si>
  <si>
    <t>&lt;a href="http://a836-acris.nyc.gov/DS/DocumentSearch/DocumentDetail?doc_id=2019070900463001" target="_blank"&gt;Verified by Public Record&lt;/a&gt;</t>
  </si>
  <si>
    <t>&lt;a href="http://a836-acris.nyc.gov/DS/DocumentSearch/DocumentDetail?doc_id=2019072300310001" target="_blank"&gt;Verified by Public Record&lt;/a&gt;</t>
  </si>
  <si>
    <t>&lt;a href="http://a836-acris.nyc.gov/DS/DocumentSearch/DocumentDetail?doc_id=2019091800703001" target="_blank"&gt;Verified by Public Record&lt;/a&gt;</t>
  </si>
  <si>
    <t>&lt;a href="http://a836-acris.nyc.gov/DS/DocumentSearch/DocumentDetail?doc_id=2020031700206001" target="_blank"&gt;Verified by Public Record&lt;/a&gt;</t>
  </si>
  <si>
    <t>&lt;a href="http://a836-acris.nyc.gov/DS/DocumentSearch/DocumentDetail?doc_id=2019052301148001" target="_blank"&gt;Public Record Only&lt;/a&gt;</t>
  </si>
  <si>
    <t>&lt;a href="http://a836-acris.nyc.gov/DS/DocumentSearch/DocumentDetail?doc_id=2019010700433002" target="_blank"&gt;Verified by Public Record&lt;/a&gt;</t>
  </si>
  <si>
    <t>&lt;a href="http://a836-acris.nyc.gov/DS/DocumentSearch/DocumentDetail?doc_id=2019030700673001" target="_blank"&gt;Verified by Public Record&lt;/a&gt;</t>
  </si>
  <si>
    <t>&lt;a href="http://a836-acris.nyc.gov/DS/DocumentSearch/DocumentDetail?doc_id=2019030100382003" target="_blank"&gt;Verified by Public Record&lt;/a&gt;</t>
  </si>
  <si>
    <t>&lt;a href="http://a836-acris.nyc.gov/DS/DocumentSearch/DocumentDetail?doc_id=2019092301164001" target="_blank"&gt;Verified by Public Record&lt;/a&gt;</t>
  </si>
  <si>
    <t>&lt;a href="http://a836-acris.nyc.gov/DS/DocumentSearch/DocumentDetail?doc_id=2019092400395001" target="_blank"&gt;Verified by Public Record&lt;/a&gt;</t>
  </si>
  <si>
    <t>&lt;a href="http://a836-acris.nyc.gov/DS/DocumentSearch/DocumentDetail?doc_id=2019100400234001" target="_blank"&gt;Verified by Public Record&lt;/a&gt;</t>
  </si>
  <si>
    <t>&lt;a href="http://a836-acris.nyc.gov/DS/DocumentSearch/DocumentDetail?doc_id=2019112000809001" target="_blank"&gt;Verified by Public Record&lt;/a&gt;</t>
  </si>
  <si>
    <t>&lt;a href="http://a836-acris.nyc.gov/DS/DocumentSearch/DocumentDetail?doc_id=2021052500381001" target="_blank"&gt;Verified by Public Record&lt;/a&gt;</t>
  </si>
  <si>
    <t>&lt;a href="http://a836-acris.nyc.gov/DS/DocumentSearch/DocumentDetail?doc_id=2021042700442001" target="_blank"&gt;Verified by Public Record&lt;/a&gt;</t>
  </si>
  <si>
    <t>&lt;a href="http://a836-acris.nyc.gov/DS/DocumentSearch/DocumentDetail?doc_id=2020051900758002" target="_blank"&gt;Verified by Public Record&lt;/a&gt;</t>
  </si>
  <si>
    <t>&lt;a href="http://a836-acris.nyc.gov/DS/DocumentSearch/DocumentDetail?doc_id=2016012600447001" target="_blank"&gt;Verified by Public Record&lt;/a&gt;</t>
  </si>
  <si>
    <t>&lt;a href="http://a836-acris.nyc.gov/DS/DocumentSearch/DocumentDetail?doc_id=2017071200110002" target="_blank"&gt;Verified by Public Record&lt;/a&gt;</t>
  </si>
  <si>
    <t>&lt;a href="http://a836-acris.nyc.gov/DS/DocumentSearch/DocumentDetail?doc_id=2016012200038001" target="_blank"&gt;Verified by Public Record&lt;/a&gt;</t>
  </si>
  <si>
    <t>&lt;a href="http://a836-acris.nyc.gov/DS/DocumentSearch/DocumentDetail?doc_id=2016011901018002" target="_blank"&gt;Verified by Public Record&lt;/a&gt;</t>
  </si>
  <si>
    <t>&lt;a href="http://a836-acris.nyc.gov/DS/DocumentSearch/DocumentDetail?doc_id=2016012601588003" target="_blank"&gt;Verified by Public Record&lt;/a&gt;</t>
  </si>
  <si>
    <t>&lt;a href="http://a836-acris.nyc.gov/DS/DocumentSearch/DocumentDetail?doc_id=2016011500088001" target="_blank"&gt;Verified by Public Record&lt;/a&gt;</t>
  </si>
  <si>
    <t>&lt;a href="http://a836-acris.nyc.gov/DS/DocumentSearch/DocumentDetail?doc_id=2016032200750001" target="_blank"&gt;Verified by Public Record&lt;/a&gt;</t>
  </si>
  <si>
    <t>&lt;a href="http://a836-acris.nyc.gov/DS/DocumentSearch/DocumentDetail?doc_id=2016012200575001" target="_blank"&gt;Verified by Public Record&lt;/a&gt;</t>
  </si>
  <si>
    <t>&lt;a href="http://a836-acris.nyc.gov/DS/DocumentSearch/DocumentDetail?doc_id=2016032400312001" target="_blank"&gt;Verified by Public Record&lt;/a&gt;</t>
  </si>
  <si>
    <t>&lt;a href="http://a836-acris.nyc.gov/DS/DocumentSearch/DocumentDetail?doc_id=2017111701100003" target="_blank"&gt;Verified by Public Record&lt;/a&gt;</t>
  </si>
  <si>
    <t>&lt;a href="http://a836-acris.nyc.gov/DS/DocumentSearch/DocumentDetail?doc_id=2016030700803001" target="_blank"&gt;Verified by Public Record&lt;/a&gt;</t>
  </si>
  <si>
    <t>&lt;a href="http://a836-acris.nyc.gov/DS/DocumentSearch/DocumentDetail?doc_id=2016012700356001" target="_blank"&gt;Verified by Public Record&lt;/a&gt;</t>
  </si>
  <si>
    <t>&lt;a href="http://a836-acris.nyc.gov/DS/DocumentSearch/DocumentDetail?doc_id=2016011500822001" target="_blank"&gt;Verified by Public Record&lt;/a&gt;</t>
  </si>
  <si>
    <t>&lt;a href="http://a836-acris.nyc.gov/DS/DocumentSearch/DocumentDetail?doc_id=2016031100434002" target="_blank"&gt;Verified by Public Record&lt;/a&gt;</t>
  </si>
  <si>
    <t>&lt;a href="http://a836-acris.nyc.gov/DS/DocumentSearch/DocumentDetail?doc_id=2016021602438001" target="_blank"&gt;Verified by Public Record&lt;/a&gt;</t>
  </si>
  <si>
    <t>&lt;a href="http://a836-acris.nyc.gov/DS/DocumentSearch/DocumentDetail?doc_id=2016030400783001" target="_blank"&gt;Verified by Public Record&lt;/a&gt;</t>
  </si>
  <si>
    <t>&lt;a href="http://a836-acris.nyc.gov/DS/DocumentSearch/DocumentDetail?doc_id=2016012901190002" target="_blank"&gt;Verified by Public Record&lt;/a&gt;</t>
  </si>
  <si>
    <t>&lt;a href="http://a836-acris.nyc.gov/DS/DocumentSearch/DocumentDetail?doc_id=2016021900297001" target="_blank"&gt;Verified by Public Record&lt;/a&gt;</t>
  </si>
  <si>
    <t>&lt;a href="http://a836-acris.nyc.gov/DS/DocumentSearch/DocumentDetail?doc_id=2016031100776001" target="_blank"&gt;Verified by Public Record&lt;/a&gt;</t>
  </si>
  <si>
    <t>&lt;a href="http://a836-acris.nyc.gov/DS/DocumentSearch/DocumentDetail?doc_id=2016032300126001" target="_blank"&gt;Verified by Public Record&lt;/a&gt;</t>
  </si>
  <si>
    <t>&lt;a href="http://a836-acris.nyc.gov/DS/DocumentSearch/DocumentDetail?doc_id=2016032800867001" target="_blank"&gt;Verified by Public Record&lt;/a&gt;</t>
  </si>
  <si>
    <t>&lt;a href="http://a836-acris.nyc.gov/DS/DocumentSearch/DocumentDetail?doc_id=2015121401259002" target="_blank"&gt;Verified by Public Record&lt;/a&gt;</t>
  </si>
  <si>
    <t>&lt;a href="http://a836-acris.nyc.gov/DS/DocumentSearch/DocumentDetail?doc_id=2016031401343002" target="_blank"&gt;Verified by Public Record&lt;/a&gt;</t>
  </si>
  <si>
    <t>&lt;a href="http://a836-acris.nyc.gov/DS/DocumentSearch/DocumentDetail?doc_id=2016032300328001" target="_blank"&gt;Verified by Public Record&lt;/a&gt;</t>
  </si>
  <si>
    <t>&lt;a href="http://a836-acris.nyc.gov/DS/DocumentSearch/DocumentDetail?doc_id=2015113000620002" target="_blank"&gt;Verified by Public Record&lt;/a&gt;</t>
  </si>
  <si>
    <t>&lt;a href="http://a836-acris.nyc.gov/DS/DocumentSearch/DocumentDetail?doc_id=2016031100800001" target="_blank"&gt;Verified by Public Record&lt;/a&gt;</t>
  </si>
  <si>
    <t>&lt;a href="http://a836-acris.nyc.gov/DS/DocumentSearch/DocumentDetail?doc_id=2015112500801008" target="_blank"&gt;Verified by Public Record&lt;/a&gt;</t>
  </si>
  <si>
    <t>&lt;a href="http://a836-acris.nyc.gov/DS/DocumentSearch/DocumentDetail?doc_id=2016010600645001" target="_blank"&gt;Verified by Public Record&lt;/a&gt;</t>
  </si>
  <si>
    <t>&lt;a href="http://a836-acris.nyc.gov/DS/DocumentSearch/DocumentDetail?doc_id=2019051500916002" target="_blank"&gt;Public Record Only&lt;/a&gt;</t>
  </si>
  <si>
    <t>&lt;a href="http://a836-acris.nyc.gov/DS/DocumentSearch/DocumentDetail?doc_id=2018102301262002" target="_blank"&gt;Verified by Public Record&lt;/a&gt;</t>
  </si>
  <si>
    <t>&lt;a href="http://a836-acris.nyc.gov/DS/DocumentSearch/DocumentDetail?doc_id=2018061800894002" target="_blank"&gt;Public Record Only&lt;/a&gt;</t>
  </si>
  <si>
    <t>&lt;a href="http://a836-acris.nyc.gov/DS/DocumentSearch/DocumentDetail?doc_id=2018041800265001" target="_blank"&gt;Public Record Only&lt;/a&gt;</t>
  </si>
  <si>
    <t>&lt;a href="http://a836-acris.nyc.gov/DS/DocumentSearch/DocumentDetail?doc_id=2015120101302001" target="_blank"&gt;Verified by Public Record&lt;/a&gt;</t>
  </si>
  <si>
    <t>&lt;a href="http://a836-acris.nyc.gov/DS/DocumentSearch/DocumentDetail?doc_id=2015120301073002" target="_blank"&gt;Verified by Public Record&lt;/a&gt;</t>
  </si>
  <si>
    <t>&lt;a href="http://a836-acris.nyc.gov/DS/DocumentSearch/DocumentDetail?doc_id=2016121501021001" target="_blank"&gt;Public Record Only&lt;/a&gt;</t>
  </si>
  <si>
    <t>&lt;a href="http://a836-acris.nyc.gov/DS/DocumentSearch/DocumentDetail?doc_id=2015121800402001" target="_blank"&gt;Verified by Public Record&lt;/a&gt;</t>
  </si>
  <si>
    <t>&lt;a href="http://a836-acris.nyc.gov/DS/DocumentSearch/DocumentDetail?doc_id=2015112400190001" target="_blank"&gt;Verified by Public Record&lt;/a&gt;</t>
  </si>
  <si>
    <t>&lt;a href="http://a836-acris.nyc.gov/DS/DocumentSearch/DocumentDetail?doc_id=2015113000838001" target="_blank"&gt;Verified by Public Record&lt;/a&gt;</t>
  </si>
  <si>
    <t>&lt;a href="http://a836-acris.nyc.gov/DS/DocumentSearch/DocumentDetail?doc_id=2015120100634001" target="_blank"&gt;Verified by Public Record&lt;/a&gt;</t>
  </si>
  <si>
    <t>&lt;a href="http://a836-acris.nyc.gov/DS/DocumentSearch/DocumentDetail?doc_id=2015121000256001" target="_blank"&gt;Verified by Public Record&lt;/a&gt;</t>
  </si>
  <si>
    <t>&lt;a href="http://a836-acris.nyc.gov/DS/DocumentSearch/DocumentDetail?doc_id=2015120300603001" target="_blank"&gt;Verified by Public Record&lt;/a&gt;</t>
  </si>
  <si>
    <t>&lt;a href="http://a836-acris.nyc.gov/DS/DocumentSearch/DocumentDetail?doc_id=2015120400848001" target="_blank"&gt;Verified by Public Record&lt;/a&gt;</t>
  </si>
  <si>
    <t>&lt;a href="http://a836-acris.nyc.gov/DS/DocumentSearch/DocumentDetail?doc_id=2015121400900001" target="_blank"&gt;Verified by Public Record&lt;/a&gt;</t>
  </si>
  <si>
    <t>&lt;a href="http://a836-acris.nyc.gov/DS/DocumentSearch/DocumentDetail?doc_id=2015120400154002" target="_blank"&gt;Verified by Public Record&lt;/a&gt;</t>
  </si>
  <si>
    <t>&lt;a href="http://a836-acris.nyc.gov/DS/DocumentSearch/DocumentDetail?doc_id=2016030900756003" target="_blank"&gt;Verified by Public Record&lt;/a&gt;</t>
  </si>
  <si>
    <t>&lt;a href="http://a836-acris.nyc.gov/DS/DocumentSearch/DocumentDetail?doc_id=2015112300421003" target="_blank"&gt;Verified by Public Record&lt;/a&gt;</t>
  </si>
  <si>
    <t>&lt;a href="http://a836-acris.nyc.gov/DS/DocumentSearch/DocumentDetail?doc_id=2020111301070001" target="_blank"&gt;Verified by Public Record&lt;/a&gt;</t>
  </si>
  <si>
    <t>&lt;a href="http://a836-acris.nyc.gov/DS/DocumentSearch/DocumentDetail?doc_id=2016041200658001" target="_blank"&gt;Verified by Public Record&lt;/a&gt;</t>
  </si>
  <si>
    <t>&lt;a href="http://a836-acris.nyc.gov/DS/DocumentSearch/DocumentDetail?doc_id=2015112300976002" target="_blank"&gt;Verified by Public Record&lt;/a&gt;</t>
  </si>
  <si>
    <t>&lt;a href="http://a836-acris.nyc.gov/DS/DocumentSearch/DocumentDetail?doc_id=2015123100545003" target="_blank"&gt;Verified by Public Record&lt;/a&gt;</t>
  </si>
  <si>
    <t>&lt;a href="http://a836-acris.nyc.gov/DS/DocumentSearch/DocumentDetail?doc_id=2015120300186001" target="_blank"&gt;Verified by Public Record&lt;/a&gt;</t>
  </si>
  <si>
    <t>&lt;a href="http://a836-acris.nyc.gov/DS/DocumentSearch/DocumentDetail?doc_id=2015121400322003" target="_blank"&gt;Verified by Public Record&lt;/a&gt;</t>
  </si>
  <si>
    <t>&lt;a href="http://a836-acris.nyc.gov/DS/DocumentSearch/DocumentDetail?doc_id=2015122200506001" target="_blank"&gt;Verified by Public Record&lt;/a&gt;</t>
  </si>
  <si>
    <t>&lt;a href="http://a836-acris.nyc.gov/DS/DocumentSearch/DocumentDetail?doc_id=2015120900506001" target="_blank"&gt;Verified by Public Record&lt;/a&gt;</t>
  </si>
  <si>
    <t>&lt;a href="http://a836-acris.nyc.gov/DS/DocumentSearch/DocumentDetail?doc_id=2015111801236001" target="_blank"&gt;Verified by Public Record&lt;/a&gt;</t>
  </si>
  <si>
    <t>&lt;a href="http://a836-acris.nyc.gov/DS/DocumentSearch/DocumentDetail?doc_id=2016030900856002" target="_blank"&gt;Verified by Public Record&lt;/a&gt;</t>
  </si>
  <si>
    <t>&lt;a href="http://a836-acris.nyc.gov/DS/DocumentSearch/DocumentDetail?doc_id=2015121500191001" target="_blank"&gt;Verified by Public Record&lt;/a&gt;</t>
  </si>
  <si>
    <t>&lt;a href="http://a836-acris.nyc.gov/DS/DocumentSearch/DocumentDetail?doc_id=2015120300494001" target="_blank"&gt;Verified by Public Record&lt;/a&gt;</t>
  </si>
  <si>
    <t>&lt;a href="http://a836-acris.nyc.gov/DS/DocumentSearch/DocumentDetail?doc_id=2015120400345010" target="_blank"&gt;Verified by Public Record&lt;/a&gt;</t>
  </si>
  <si>
    <t>&lt;a href="http://a836-acris.nyc.gov/DS/DocumentSearch/DocumentDetail?doc_id=2016030701307001" target="_blank"&gt;Verified by Public Record&lt;/a&gt;</t>
  </si>
  <si>
    <t>&lt;a href="http://a836-acris.nyc.gov/DS/DocumentSearch/DocumentDetail?doc_id=2016032100520001" target="_blank"&gt;Verified by Public Record&lt;/a&gt;</t>
  </si>
  <si>
    <t>&lt;a href="http://a836-acris.nyc.gov/DS/DocumentSearch/DocumentDetail?doc_id=2016030900763006" target="_blank"&gt;Verified by Public Record&lt;/a&gt;</t>
  </si>
  <si>
    <t>&lt;a href="http://a836-acris.nyc.gov/DS/DocumentSearch/DocumentDetail?doc_id=2016032401005003" target="_blank"&gt;Verified by Public Record&lt;/a&gt;</t>
  </si>
  <si>
    <t>&lt;a href="http://a836-acris.nyc.gov/DS/DocumentSearch/DocumentDetail?doc_id=2015120401107001" target="_blank"&gt;Verified by Public Record&lt;/a&gt;</t>
  </si>
  <si>
    <t>&lt;a href="http://a836-acris.nyc.gov/DS/DocumentSearch/DocumentDetail?doc_id=2015120200040003" target="_blank"&gt;Verified by Public Record&lt;/a&gt;</t>
  </si>
  <si>
    <t>&lt;a href="http://a836-acris.nyc.gov/DS/DocumentSearch/DocumentDetail?doc_id=2016020802466001" target="_blank"&gt;Verified by Public Record&lt;/a&gt;</t>
  </si>
  <si>
    <t>&lt;a href="http://a836-acris.nyc.gov/DS/DocumentSearch/DocumentDetail?doc_id=2015112800019001" target="_blank"&gt;Verified by Public Record&lt;/a&gt;</t>
  </si>
  <si>
    <t>&lt;a href="http://a836-acris.nyc.gov/DS/DocumentSearch/DocumentDetail?doc_id=2019112000676001" target="_blank"&gt;Verified by Public Record&lt;/a&gt;</t>
  </si>
  <si>
    <t>&lt;a href="http://a836-acris.nyc.gov/DS/DocumentSearch/DocumentDetail?doc_id=2016041300659001" target="_blank"&gt;Verified by Public Record&lt;/a&gt;</t>
  </si>
  <si>
    <t>&lt;a href="http://a836-acris.nyc.gov/DS/DocumentSearch/DocumentDetail?doc_id=2020021800579002" target="_blank"&gt;Verified by Public Record&lt;/a&gt;</t>
  </si>
  <si>
    <t>&lt;a href="http://a836-acris.nyc.gov/DS/DocumentSearch/DocumentDetail?doc_id=2020012101305001" target="_blank"&gt;Verified by Public Record&lt;/a&gt;</t>
  </si>
  <si>
    <t>&lt;a href="http://a836-acris.nyc.gov/DS/DocumentSearch/DocumentDetail?doc_id=2020012000343001" target="_blank"&gt;Verified by Public Record&lt;/a&gt;</t>
  </si>
  <si>
    <t>&lt;a href="http://a836-acris.nyc.gov/DS/DocumentSearch/DocumentDetail?doc_id=2020020500165004" target="_blank"&gt;Verified by Public Record&lt;/a&gt;</t>
  </si>
  <si>
    <t>&lt;a href="http://a836-acris.nyc.gov/DS/DocumentSearch/DocumentDetail?doc_id=2020120300957001" target="_blank"&gt;Verified by Public Record&lt;/a&gt;</t>
  </si>
  <si>
    <t>&lt;a href="http://a836-acris.nyc.gov/DS/DocumentSearch/DocumentDetail?doc_id=2020012200276004" target="_blank"&gt;Verified by Public Record&lt;/a&gt;</t>
  </si>
  <si>
    <t>&lt;a href="http://a836-acris.nyc.gov/DS/DocumentSearch/DocumentDetail?doc_id=2020022501266001" target="_blank"&gt;Verified by Public Record&lt;/a&gt;</t>
  </si>
  <si>
    <t>&lt;a href="http://a836-acris.nyc.gov/DS/DocumentSearch/DocumentDetail?doc_id=2020022400260001" target="_blank"&gt;Verified by Public Record&lt;/a&gt;</t>
  </si>
  <si>
    <t>&lt;a href="http://a836-acris.nyc.gov/DS/DocumentSearch/DocumentDetail?doc_id=2020020400135002" target="_blank"&gt;Verified by Public Record&lt;/a&gt;</t>
  </si>
  <si>
    <t>&lt;a href="http://a836-acris.nyc.gov/DS/DocumentSearch/DocumentDetail?doc_id=2020012300648001" target="_blank"&gt;Verified by Public Record&lt;/a&gt;</t>
  </si>
  <si>
    <t>&lt;a href="http://a836-acris.nyc.gov/DS/DocumentSearch/DocumentDetail?doc_id=2020021201124001" target="_blank"&gt;Verified by Public Record&lt;/a&gt;</t>
  </si>
  <si>
    <t>&lt;a href="http://a836-acris.nyc.gov/DS/DocumentSearch/DocumentDetail?doc_id=2020012800188002" target="_blank"&gt;Verified by Public Record&lt;/a&gt;</t>
  </si>
  <si>
    <t>&lt;a href="http://a836-acris.nyc.gov/DS/DocumentSearch/DocumentDetail?doc_id=2020021200151003" target="_blank"&gt;Verified by Public Record&lt;/a&gt;</t>
  </si>
  <si>
    <t>&lt;a href="http://a836-acris.nyc.gov/DS/DocumentSearch/DocumentDetail?doc_id=2020012900156001" target="_blank"&gt;Verified by Public Record&lt;/a&gt;</t>
  </si>
  <si>
    <t>&lt;a href="http://a836-acris.nyc.gov/DS/DocumentSearch/DocumentDetail?doc_id=2020032300727001" target="_blank"&gt;Verified by Public Record&lt;/a&gt;</t>
  </si>
  <si>
    <t>&lt;a href="http://a836-acris.nyc.gov/DS/DocumentSearch/DocumentDetail?doc_id=2020022700005001" target="_blank"&gt;Verified by Public Record&lt;/a&gt;</t>
  </si>
  <si>
    <t>&lt;a href="http://a836-acris.nyc.gov/DS/DocumentSearch/DocumentDetail?doc_id=2020022100193001" target="_blank"&gt;Verified by Public Record&lt;/a&gt;</t>
  </si>
  <si>
    <t>&lt;a href="http://a836-acris.nyc.gov/DS/DocumentSearch/DocumentDetail?doc_id=2016031500173003" target="_blank"&gt;Verified by Public Record&lt;/a&gt;</t>
  </si>
  <si>
    <t>&lt;a href="http://a836-acris.nyc.gov/DS/DocumentSearch/DocumentDetail?doc_id=2021050601521001" target="_blank"&gt;Verified by Public Record&lt;/a&gt;</t>
  </si>
  <si>
    <t>&lt;a href="http://a836-acris.nyc.gov/DS/DocumentSearch/DocumentDetail?doc_id=2018090400388001" target="_blank"&gt;Verified by Public Record&lt;/a&gt;</t>
  </si>
  <si>
    <t>&lt;a href="http://a836-acris.nyc.gov/DS/DocumentSearch/DocumentDetail?doc_id=2020120801098001" target="_blank"&gt;Public Record Only&lt;/a&gt;</t>
  </si>
  <si>
    <t>&lt;a href="http://a836-acris.nyc.gov/DS/DocumentSearch/DocumentDetail?doc_id=2016012700374001" target="_blank"&gt;Verified by Public Record&lt;/a&gt;</t>
  </si>
  <si>
    <t>&lt;a href="http://a836-acris.nyc.gov/DS/DocumentSearch/DocumentDetail?doc_id=2016040800578001" target="_blank"&gt;Verified by Public Record&lt;/a&gt;</t>
  </si>
  <si>
    <t>&lt;a href="http://a836-acris.nyc.gov/DS/DocumentSearch/DocumentDetail?doc_id=2016052000860001" target="_blank"&gt;Verified by Public Record&lt;/a&gt;</t>
  </si>
  <si>
    <t>&lt;a href="http://a836-acris.nyc.gov/DS/DocumentSearch/DocumentDetail?doc_id=2016062901387001" target="_blank"&gt;Verified by Public Record&lt;/a&gt;</t>
  </si>
  <si>
    <t>&lt;a href="http://a836-acris.nyc.gov/DS/DocumentSearch/DocumentDetail?doc_id=2016050301112001" target="_blank"&gt;Verified by Public Record&lt;/a&gt;</t>
  </si>
  <si>
    <t>&lt;a href="http://a836-acris.nyc.gov/DS/DocumentSearch/DocumentDetail?doc_id=2016011800366001" target="_blank"&gt;Verified by Public Record&lt;/a&gt;</t>
  </si>
  <si>
    <t>&lt;a href="http://a836-acris.nyc.gov/DS/DocumentSearch/DocumentDetail?doc_id=2016041700158003" target="_blank"&gt;Verified by Public Record&lt;/a&gt;</t>
  </si>
  <si>
    <t>&lt;a href="http://a836-acris.nyc.gov/DS/DocumentSearch/DocumentDetail?doc_id=2016031100944001" target="_blank"&gt;Verified by Public Record&lt;/a&gt;</t>
  </si>
  <si>
    <t>&lt;a href="http://a836-acris.nyc.gov/DS/DocumentSearch/DocumentDetail?doc_id=2016022900035001" target="_blank"&gt;Verified by Public Record&lt;/a&gt;</t>
  </si>
  <si>
    <t>&lt;a href="http://a836-acris.nyc.gov/DS/DocumentSearch/DocumentDetail?doc_id=2016041401441001" target="_blank"&gt;Verified by Public Record&lt;/a&gt;</t>
  </si>
  <si>
    <t>&lt;a href="http://a836-acris.nyc.gov/DS/DocumentSearch/DocumentDetail?doc_id=2016033101269001" target="_blank"&gt;Verified by Public Record&lt;/a&gt;</t>
  </si>
  <si>
    <t>&lt;a href="http://a836-acris.nyc.gov/DS/DocumentSearch/DocumentDetail?doc_id=2016041400978001" target="_blank"&gt;Verified by Public Record&lt;/a&gt;</t>
  </si>
  <si>
    <t>&lt;a href="http://a836-acris.nyc.gov/DS/DocumentSearch/DocumentDetail?doc_id=2016030800140001" target="_blank"&gt;Verified by Public Record&lt;/a&gt;</t>
  </si>
  <si>
    <t>&lt;a href="http://a836-acris.nyc.gov/DS/DocumentSearch/DocumentDetail?doc_id=2015122300030001" target="_blank"&gt;Verified by Public Record&lt;/a&gt;</t>
  </si>
  <si>
    <t>&lt;a href="http://a836-acris.nyc.gov/DS/DocumentSearch/DocumentDetail?doc_id=2016042001461001" target="_blank"&gt;Verified by Public Record&lt;/a&gt;</t>
  </si>
  <si>
    <t>&lt;a href="http://a836-acris.nyc.gov/DS/DocumentSearch/DocumentDetail?doc_id=2016032400584002" target="_blank"&gt;Verified by Public Record&lt;/a&gt;</t>
  </si>
  <si>
    <t>&lt;a href="http://a836-acris.nyc.gov/DS/DocumentSearch/DocumentDetail?doc_id=2021080300432005" target="_blank"&gt;Verified by Public Record&lt;/a&gt;</t>
  </si>
  <si>
    <t>&lt;a href="http://a836-acris.nyc.gov/DS/DocumentSearch/DocumentDetail?doc_id=2015123100680001" target="_blank"&gt;Verified by Public Record&lt;/a&gt;</t>
  </si>
  <si>
    <t>&lt;a href="http://a836-acris.nyc.gov/DS/DocumentSearch/DocumentDetail?doc_id=2016021001352001" target="_blank"&gt;Verified by Public Record&lt;/a&gt;</t>
  </si>
  <si>
    <t>&lt;a href="http://a836-acris.nyc.gov/DS/DocumentSearch/DocumentDetail?doc_id=2016072201045001" target="_blank"&gt;Verified by Public Record&lt;/a&gt;</t>
  </si>
  <si>
    <t>&lt;a href="http://a836-acris.nyc.gov/DS/DocumentSearch/DocumentDetail?doc_id=2017092100977002" target="_blank"&gt;Verified by Public Record&lt;/a&gt;</t>
  </si>
  <si>
    <t>&lt;a href="http://a836-acris.nyc.gov/DS/DocumentSearch/DocumentDetail?doc_id=2016012000488002" target="_blank"&gt;Verified by Public Record&lt;/a&gt;</t>
  </si>
  <si>
    <t>&lt;a href="http://a836-acris.nyc.gov/DS/DocumentSearch/DocumentDetail?doc_id=2016051300818001" target="_blank"&gt;Verified by Public Record&lt;/a&gt;</t>
  </si>
  <si>
    <t>&lt;a href="http://a836-acris.nyc.gov/DS/DocumentSearch/DocumentDetail?doc_id=2020020700355002" target="_blank"&gt;Verified by Public Record&lt;/a&gt;</t>
  </si>
  <si>
    <t>&lt;a href="http://a836-acris.nyc.gov/DS/DocumentSearch/DocumentDetail?doc_id=2020120900529002" target="_blank"&gt;Verified by Public Record&lt;/a&gt;</t>
  </si>
  <si>
    <t>&lt;a href="http://a836-acris.nyc.gov/DS/DocumentSearch/DocumentDetail?doc_id=2020012200440006" target="_blank"&gt;Verified by Public Record&lt;/a&gt;</t>
  </si>
  <si>
    <t>&lt;a href="http://a836-acris.nyc.gov/DS/DocumentSearch/DocumentDetail?doc_id=2016031200082001" target="_blank"&gt;Verified by Public Record&lt;/a&gt;</t>
  </si>
  <si>
    <t>&lt;a href="http://a836-acris.nyc.gov/DS/DocumentSearch/DocumentDetail?doc_id=2016120700131001" target="_blank"&gt;Verified by Public Record&lt;/a&gt;</t>
  </si>
  <si>
    <t>&lt;a href="http://a836-acris.nyc.gov/DS/DocumentSearch/DocumentDetail?doc_id=2016050600782001" target="_blank"&gt;Verified by Public Record&lt;/a&gt;</t>
  </si>
  <si>
    <t>&lt;a href="http://a836-acris.nyc.gov/DS/DocumentSearch/DocumentDetail?doc_id=2017112900647002" target="_blank"&gt;Verified by Public Record&lt;/a&gt;</t>
  </si>
  <si>
    <t>&lt;a href="http://a836-acris.nyc.gov/DS/DocumentSearch/DocumentDetail?doc_id=2016042601232001" target="_blank"&gt;Verified by Public Record&lt;/a&gt;</t>
  </si>
  <si>
    <t>&lt;a href="http://a836-acris.nyc.gov/DS/DocumentSearch/DocumentDetail?doc_id=2016041500753001" target="_blank"&gt;Verified by Public Record&lt;/a&gt;</t>
  </si>
  <si>
    <t>&lt;a href="http://a836-acris.nyc.gov/DS/DocumentSearch/DocumentDetail?doc_id=2017110900016001" target="_blank"&gt;Verified by Public Record&lt;/a&gt;</t>
  </si>
  <si>
    <t>&lt;a href="http://a836-acris.nyc.gov/DS/DocumentSearch/DocumentDetail?doc_id=2021040200646001" target="_blank"&gt;Verified by Public Record&lt;/a&gt;</t>
  </si>
  <si>
    <t>&lt;a href="http://a836-acris.nyc.gov/DS/DocumentSearch/DocumentDetail?doc_id=2017052500335004" target="_blank"&gt;Verified by Public Record&lt;/a&gt;</t>
  </si>
  <si>
    <t>&lt;a href="http://a836-acris.nyc.gov/DS/DocumentSearch/DocumentDetail?doc_id=2020020200070001" target="_blank"&gt;Verified by Public Record&lt;/a&gt;</t>
  </si>
  <si>
    <t>&lt;a href="http://a836-acris.nyc.gov/DS/DocumentSearch/DocumentDetail?doc_id=2017101001202001" target="_blank"&gt;Verified by Public Record&lt;/a&gt;</t>
  </si>
  <si>
    <t>&lt;a href="http://a836-acris.nyc.gov/DS/DocumentSearch/DocumentDetail?doc_id=2021063000654001" target="_blank"&gt;Public Record Only&lt;/a&gt;</t>
  </si>
  <si>
    <t>&lt;a href="http://a836-acris.nyc.gov/DS/DocumentSearch/DocumentDetail?doc_id=2021051700646001" target="_blank"&gt;Public Record Only&lt;/a&gt;</t>
  </si>
  <si>
    <t>&lt;a href="http://a836-acris.nyc.gov/DS/DocumentSearch/DocumentDetail?doc_id=2018050801055002" target="_blank"&gt;Verified by Public Record&lt;/a&gt;</t>
  </si>
  <si>
    <t>&lt;a href="http://a836-acris.nyc.gov/DS/DocumentSearch/DocumentDetail?doc_id=2018091900855001" target="_blank"&gt;Verified by Public Record&lt;/a&gt;</t>
  </si>
  <si>
    <t>&lt;a href="http://a836-acris.nyc.gov/DS/DocumentSearch/DocumentDetail?doc_id=2020021900704001" target="_blank"&gt;Verified by Public Record&lt;/a&gt;</t>
  </si>
  <si>
    <t>&lt;a href="http://a836-acris.nyc.gov/DS/DocumentSearch/DocumentDetail?doc_id=2020031700282002" target="_blank"&gt;Verified by Public Record&lt;/a&gt;</t>
  </si>
  <si>
    <t>&lt;a href="http://a836-acris.nyc.gov/DS/DocumentSearch/DocumentDetail?doc_id=2020030500350003" target="_blank"&gt;Verified by Public Record&lt;/a&gt;</t>
  </si>
  <si>
    <t>&lt;a href="http://a836-acris.nyc.gov/DS/DocumentSearch/DocumentDetail?doc_id=2020011501178001" target="_blank"&gt;Verified by Public Record&lt;/a&gt;</t>
  </si>
  <si>
    <t>&lt;a href="http://a836-acris.nyc.gov/DS/DocumentSearch/DocumentDetail?doc_id=2020020501373001" target="_blank"&gt;Verified by Public Record&lt;/a&gt;</t>
  </si>
  <si>
    <t>&lt;a href="http://a836-acris.nyc.gov/DS/DocumentSearch/DocumentDetail?doc_id=2020020401036001" target="_blank"&gt;Verified by Public Record&lt;/a&gt;</t>
  </si>
  <si>
    <t>&lt;a href="http://a836-acris.nyc.gov/DS/DocumentSearch/DocumentDetail?doc_id=2016041201116002" target="_blank"&gt;Verified by Public Record&lt;/a&gt;</t>
  </si>
  <si>
    <t>&lt;a href="http://a836-acris.nyc.gov/DS/DocumentSearch/DocumentDetail?doc_id=2020012900981001" target="_blank"&gt;Verified by Public Record&lt;/a&gt;</t>
  </si>
  <si>
    <t>&lt;a href="http://a836-acris.nyc.gov/DS/DocumentSearch/DocumentDetail?doc_id=2017021300048003" target="_blank"&gt;Verified by Public Record&lt;/a&gt;</t>
  </si>
  <si>
    <t>&lt;a href="http://a836-acris.nyc.gov/DS/DocumentSearch/DocumentDetail?doc_id=2020101401164001" target="_blank"&gt;Verified by Public Record&lt;/a&gt;</t>
  </si>
  <si>
    <t>&lt;a href="http://a836-acris.nyc.gov/DS/DocumentSearch/DocumentDetail?doc_id=2021060900730003" target="_blank"&gt;Verified by Public Record&lt;/a&gt;</t>
  </si>
  <si>
    <t>&lt;a href="http://a836-acris.nyc.gov/DS/DocumentSearch/DocumentDetail?doc_id=2020091700133001" target="_blank"&gt;Verified by Public Record&lt;/a&gt;</t>
  </si>
  <si>
    <t>&lt;a href="http://a836-acris.nyc.gov/DS/DocumentSearch/DocumentDetail?doc_id=2016041101055001" target="_blank"&gt;Verified by Public Record&lt;/a&gt;</t>
  </si>
  <si>
    <t>&lt;a href="http://a836-acris.nyc.gov/DS/DocumentSearch/DocumentDetail?doc_id=2016062004290002" target="_blank"&gt;Verified by Public Record&lt;/a&gt;</t>
  </si>
  <si>
    <t>&lt;a href="http://a836-acris.nyc.gov/DS/DocumentSearch/DocumentDetail?doc_id=2020012100703001" target="_blank"&gt;Verified by Public Record&lt;/a&gt;</t>
  </si>
  <si>
    <t>&lt;a href="http://a836-acris.nyc.gov/DS/DocumentSearch/DocumentDetail?doc_id=2020022500352001" target="_blank"&gt;Verified by Public Record&lt;/a&gt;</t>
  </si>
  <si>
    <t>&lt;a href="http://a836-acris.nyc.gov/DS/DocumentSearch/DocumentDetail?doc_id=2020081000467001" target="_blank"&gt;Verified by Public Record&lt;/a&gt;</t>
  </si>
  <si>
    <t>&lt;a href="http://a836-acris.nyc.gov/DS/DocumentSearch/DocumentDetail?doc_id=2020031100220002" target="_blank"&gt;Verified by Public Record&lt;/a&gt;</t>
  </si>
  <si>
    <t>&lt;a href="http://a836-acris.nyc.gov/DS/DocumentSearch/DocumentDetail?doc_id=2020020400628001" target="_blank"&gt;Verified by Public Record&lt;/a&gt;</t>
  </si>
  <si>
    <t>&lt;a href="http://a836-acris.nyc.gov/DS/DocumentSearch/DocumentDetail?doc_id=2020021301104001" target="_blank"&gt;Verified by Public Record&lt;/a&gt;</t>
  </si>
  <si>
    <t>&lt;a href="http://a836-acris.nyc.gov/DS/DocumentSearch/DocumentDetail?doc_id=2020020701149001" target="_blank"&gt;Verified by Public Record&lt;/a&gt;</t>
  </si>
  <si>
    <t>&lt;a href="http://a836-acris.nyc.gov/DS/DocumentSearch/DocumentDetail?doc_id=2018031501031001" target="_blank"&gt;Verified by Public Record&lt;/a&gt;</t>
  </si>
  <si>
    <t>&lt;a href="http://a836-acris.nyc.gov/DS/DocumentSearch/DocumentDetail?doc_id=2020022600617001" target="_blank"&gt;Verified by Public Record&lt;/a&gt;</t>
  </si>
  <si>
    <t>&lt;a href="http://a836-acris.nyc.gov/DS/DocumentSearch/DocumentDetail?doc_id=2016050900432001" target="_blank"&gt;Verified by Public Record&lt;/a&gt;</t>
  </si>
  <si>
    <t>&lt;a href="http://a836-acris.nyc.gov/DS/DocumentSearch/DocumentDetail?doc_id=2016082501176001" target="_blank"&gt;Verified by Public Record&lt;/a&gt;</t>
  </si>
  <si>
    <t>&lt;a href="http://a836-acris.nyc.gov/DS/DocumentSearch/DocumentDetail?doc_id=2016040701045002" target="_blank"&gt;Verified by Public Record&lt;/a&gt;</t>
  </si>
  <si>
    <t>&lt;a href="http://a836-acris.nyc.gov/DS/DocumentSearch/DocumentDetail?doc_id=2016040800508001" target="_blank"&gt;Verified by Public Record&lt;/a&gt;</t>
  </si>
  <si>
    <t>&lt;a href="http://a836-acris.nyc.gov/DS/DocumentSearch/DocumentDetail?doc_id=2016090100431001" target="_blank"&gt;Verified by Public Record&lt;/a&gt;</t>
  </si>
  <si>
    <t>&lt;a href="http://a836-acris.nyc.gov/DS/DocumentSearch/DocumentDetail?doc_id=2017051200734002" target="_blank"&gt;Verified by Public Record&lt;/a&gt;</t>
  </si>
  <si>
    <t>&lt;a href="http://a836-acris.nyc.gov/DS/DocumentSearch/DocumentDetail?doc_id=2017050800870002" target="_blank"&gt;Verified by Public Record&lt;/a&gt;</t>
  </si>
  <si>
    <t>&lt;a href="http://a836-acris.nyc.gov/DS/DocumentSearch/DocumentDetail?doc_id=2018031500548001" target="_blank"&gt;Verified by Public Record&lt;/a&gt;</t>
  </si>
  <si>
    <t>&lt;a href="http://a836-acris.nyc.gov/DS/DocumentSearch/DocumentDetail?doc_id=2019092900009001" target="_blank"&gt;Verified by Public Record&lt;/a&gt;</t>
  </si>
  <si>
    <t>&lt;a href="http://a836-acris.nyc.gov/DS/DocumentSearch/DocumentDetail?doc_id=2018122800605001" target="_blank"&gt;Public Record Only&lt;/a&gt;</t>
  </si>
  <si>
    <t>&lt;a href="http://a836-acris.nyc.gov/DS/DocumentSearch/DocumentDetail?doc_id=2019010200366001" target="_blank"&gt;Public Record Only&lt;/a&gt;</t>
  </si>
  <si>
    <t>&lt;a href="http://a836-acris.nyc.gov/DS/DocumentSearch/DocumentDetail?doc_id=2017022101363002" target="_blank"&gt;Public Record Only&lt;/a&gt;</t>
  </si>
  <si>
    <t>&lt;a href="http://a836-acris.nyc.gov/DS/DocumentSearch/DocumentDetail?doc_id=2017012400301001" target="_blank"&gt;Public Record Only&lt;/a&gt;</t>
  </si>
  <si>
    <t>&lt;a href="http://a836-acris.nyc.gov/DS/DocumentSearch/DocumentDetail?doc_id=2017022200331002" target="_blank"&gt;Public Record Only&lt;/a&gt;</t>
  </si>
  <si>
    <t>&lt;a href="http://a836-acris.nyc.gov/DS/DocumentSearch/DocumentDetail?doc_id=2017081101137001" target="_blank"&gt;Public Record Only&lt;/a&gt;</t>
  </si>
  <si>
    <t>&lt;a href="http://a836-acris.nyc.gov/DS/DocumentSearch/DocumentDetail?doc_id=2017032400167001" target="_blank"&gt;Public Record Only&lt;/a&gt;</t>
  </si>
  <si>
    <t>&lt;a href="http://a836-acris.nyc.gov/DS/DocumentSearch/DocumentDetail?doc_id=2017101100528001" target="_blank"&gt;Verified by Public Record&lt;/a&gt;</t>
  </si>
  <si>
    <t>&lt;a href="http://a836-acris.nyc.gov/DS/DocumentSearch/DocumentDetail?doc_id=2018120700839001" target="_blank"&gt;Public Record Only&lt;/a&gt;</t>
  </si>
  <si>
    <t>&lt;a href="http://a836-acris.nyc.gov/DS/DocumentSearch/DocumentDetail?doc_id=2017101101053001" target="_blank"&gt;Verified by Public Record&lt;/a&gt;</t>
  </si>
  <si>
    <t>&lt;a href="http://a836-acris.nyc.gov/DS/DocumentSearch/DocumentDetail?doc_id=2016101100873001" target="_blank"&gt;Verified by Public Record&lt;/a&gt;</t>
  </si>
  <si>
    <t>&lt;a href="http://a836-acris.nyc.gov/DS/DocumentSearch/DocumentDetail?doc_id=2016110401295001" target="_blank"&gt;Verified by Public Record&lt;/a&gt;</t>
  </si>
  <si>
    <t>&lt;a href="http://a836-acris.nyc.gov/DS/DocumentSearch/DocumentDetail?doc_id=2021072700209001" target="_blank"&gt;Verified by Public Record&lt;/a&gt;</t>
  </si>
  <si>
    <t>&lt;a href="http://a836-acris.nyc.gov/DS/DocumentSearch/DocumentDetail?doc_id=2017111000498001" target="_blank"&gt;Public Record Only&lt;/a&gt;</t>
  </si>
  <si>
    <t>&lt;a href="http://a836-acris.nyc.gov/DS/DocumentSearch/DocumentDetail?doc_id=2017102401758002" target="_blank"&gt;Verified by Public Record&lt;/a&gt;</t>
  </si>
  <si>
    <t>&lt;a href="http://a836-acris.nyc.gov/DS/DocumentSearch/DocumentDetail?doc_id=2018112900757001" target="_blank"&gt;Verified by Public Record&lt;/a&gt;</t>
  </si>
  <si>
    <t>&lt;a href="http://a836-acris.nyc.gov/DS/DocumentSearch/DocumentDetail?doc_id=2020040700838002" target="_blank"&gt;Public Record Only&lt;/a&gt;</t>
  </si>
  <si>
    <t>&lt;a href="http://a836-acris.nyc.gov/DS/DocumentSearch/DocumentDetail?doc_id=2017092801197001" target="_blank"&gt;Verified by Public Record&lt;/a&gt;</t>
  </si>
  <si>
    <t>&lt;a href="http://a836-acris.nyc.gov/DS/DocumentSearch/DocumentDetail?doc_id=2018122800122001" target="_blank"&gt;Verified by Public Record&lt;/a&gt;</t>
  </si>
  <si>
    <t>&lt;a href="http://a836-acris.nyc.gov/DS/DocumentSearch/DocumentDetail?doc_id=2019011401227003" target="_blank"&gt;Verified by Public Record&lt;/a&gt;</t>
  </si>
  <si>
    <t>&lt;a href="http://a836-acris.nyc.gov/DS/DocumentSearch/DocumentDetail?doc_id=2016092700573001" target="_blank"&gt;Verified by Public Record&lt;/a&gt;</t>
  </si>
  <si>
    <t>&lt;a href="http://a836-acris.nyc.gov/DS/DocumentSearch/DocumentDetail?doc_id=2016101300472001" target="_blank"&gt;Verified by Public Record&lt;/a&gt;</t>
  </si>
  <si>
    <t>&lt;a href="http://a836-acris.nyc.gov/DS/DocumentSearch/DocumentDetail?doc_id=2016111000973001" target="_blank"&gt;Verified by Public Record&lt;/a&gt;</t>
  </si>
  <si>
    <t>&lt;a href="http://a836-acris.nyc.gov/DS/DocumentSearch/DocumentDetail?doc_id=2017031800124001" target="_blank"&gt;Verified by Public Record&lt;/a&gt;</t>
  </si>
  <si>
    <t>&lt;a href="http://a836-acris.nyc.gov/DS/DocumentSearch/DocumentDetail?doc_id=2017080100002001" target="_blank"&gt;Verified by Public Record&lt;/a&gt;</t>
  </si>
  <si>
    <t>&lt;a href="http://a836-acris.nyc.gov/DS/DocumentSearch/DocumentDetail?doc_id=2017092601212001" target="_blank"&gt;Verified by Public Record&lt;/a&gt;</t>
  </si>
  <si>
    <t>&lt;a href="http://a836-acris.nyc.gov/DS/DocumentSearch/DocumentDetail?doc_id=2017092200925002" target="_blank"&gt;Verified by Public Record&lt;/a&gt;</t>
  </si>
  <si>
    <t>&lt;a href="http://a836-acris.nyc.gov/DS/DocumentSearch/DocumentDetail?doc_id=2020032600601002" target="_blank"&gt;Verified by Public Record&lt;/a&gt;</t>
  </si>
  <si>
    <t>&lt;a href="http://a836-acris.nyc.gov/DS/DocumentSearch/DocumentDetail?doc_id=2017110801432001" target="_blank"&gt;Verified by Public Record&lt;/a&gt;</t>
  </si>
  <si>
    <t>&lt;a href="http://a836-acris.nyc.gov/DS/DocumentSearch/DocumentDetail?doc_id=2018101500911001" target="_blank"&gt;Verified by Public Record&lt;/a&gt;</t>
  </si>
  <si>
    <t>&lt;a href="http://a836-acris.nyc.gov/DS/DocumentSearch/DocumentDetail?doc_id=2017050400398002" target="_blank"&gt;Verified by Public Record&lt;/a&gt;</t>
  </si>
  <si>
    <t>&lt;a href="http://a836-acris.nyc.gov/DS/DocumentSearch/DocumentDetail?doc_id=2017091100734001" target="_blank"&gt;Verified by Public Record&lt;/a&gt;</t>
  </si>
  <si>
    <t>&lt;a href="http://a836-acris.nyc.gov/DS/DocumentSearch/DocumentDetail?doc_id=2018021400625001" target="_blank"&gt;Verified by Public Record&lt;/a&gt;</t>
  </si>
  <si>
    <t>&lt;a href="http://a836-acris.nyc.gov/DS/DocumentSearch/DocumentDetail?doc_id=2017120501032001" target="_blank"&gt;Verified by Public Record&lt;/a&gt;</t>
  </si>
  <si>
    <t>&lt;a href="http://a836-acris.nyc.gov/DS/DocumentSearch/DocumentDetail?doc_id=2017100400092001" target="_blank"&gt;Verified by Public Record&lt;/a&gt;</t>
  </si>
  <si>
    <t>&lt;a href="http://a836-acris.nyc.gov/DS/DocumentSearch/DocumentDetail?doc_id=2018013101270002" target="_blank"&gt;Verified by Public Record&lt;/a&gt;</t>
  </si>
  <si>
    <t>&lt;a href="http://a836-acris.nyc.gov/DS/DocumentSearch/DocumentDetail?doc_id=2020020500209001" target="_blank"&gt;Verified by Public Record&lt;/a&gt;</t>
  </si>
  <si>
    <t>&lt;a href="http://a836-acris.nyc.gov/DS/DocumentSearch/DocumentDetail?doc_id=2018013000796001" target="_blank"&gt;Verified by Public Record&lt;/a&gt;</t>
  </si>
  <si>
    <t>&lt;a href="http://a836-acris.nyc.gov/DS/DocumentSearch/DocumentDetail?doc_id=2017030700576001" target="_blank"&gt;Public Record Only&lt;/a&gt;</t>
  </si>
  <si>
    <t>&lt;a href="http://a836-acris.nyc.gov/DS/DocumentSearch/DocumentDetail?doc_id=2017020301189001" target="_blank"&gt;Public Record Only&lt;/a&gt;</t>
  </si>
  <si>
    <t>&lt;a href="http://a836-acris.nyc.gov/DS/DocumentSearch/DocumentDetail?doc_id=2017032000361002" target="_blank"&gt;Public Record Only&lt;/a&gt;</t>
  </si>
  <si>
    <t>&lt;a href="http://a836-acris.nyc.gov/DS/DocumentSearch/DocumentDetail?doc_id=2017031300677003" target="_blank"&gt;Public Record Only&lt;/a&gt;</t>
  </si>
  <si>
    <t>&lt;a href="http://a836-acris.nyc.gov/DS/DocumentSearch/DocumentDetail?doc_id=2017101700913001" target="_blank"&gt;Public Record Only&lt;/a&gt;</t>
  </si>
  <si>
    <t>&lt;a href="http://a836-acris.nyc.gov/DS/DocumentSearch/DocumentDetail?doc_id=2017030300629001" target="_blank"&gt;Public Record Only&lt;/a&gt;</t>
  </si>
  <si>
    <t>&lt;a href="http://a836-acris.nyc.gov/DS/DocumentSearch/DocumentDetail?doc_id=2017022701298003" target="_blank"&gt;Public Record Only&lt;/a&gt;</t>
  </si>
  <si>
    <t>&lt;a href="http://a836-acris.nyc.gov/DS/DocumentSearch/DocumentDetail?doc_id=2017122201088001" target="_blank"&gt;Verified by Public Record&lt;/a&gt;</t>
  </si>
  <si>
    <t>&lt;a href="http://a836-acris.nyc.gov/DS/DocumentSearch/DocumentDetail?doc_id=2017091500516001" target="_blank"&gt;Verified by Public Record&lt;/a&gt;</t>
  </si>
  <si>
    <t>&lt;a href="http://a836-acris.nyc.gov/DS/DocumentSearch/DocumentDetail?doc_id=2018012900183001" target="_blank"&gt;Verified by Public Record&lt;/a&gt;</t>
  </si>
  <si>
    <t>&lt;a href="http://a836-acris.nyc.gov/DS/DocumentSearch/DocumentDetail?doc_id=2017090701267003" target="_blank"&gt;Verified by Public Record&lt;/a&gt;</t>
  </si>
  <si>
    <t>Roof Deck
Private Outdoor Space</t>
  </si>
  <si>
    <t>&lt;a href="http://a836-acris.nyc.gov/DS/DocumentSearch/DocumentDetail?doc_id=2019082600959001" target="_blank"&gt;Verified by Public Record&lt;/a&gt;</t>
  </si>
  <si>
    <t>&lt;a href="http://a836-acris.nyc.gov/DS/DocumentSearch/DocumentDetail?doc_id=2018101500782002" target="_blank"&gt;Verified by Public Record&lt;/a&gt;</t>
  </si>
  <si>
    <t>&lt;a href="http://a836-acris.nyc.gov/DS/DocumentSearch/DocumentDetail?doc_id=2017070600292001" target="_blank"&gt;Verified by Public Record&lt;/a&gt;</t>
  </si>
  <si>
    <t>&lt;a href="http://a836-acris.nyc.gov/DS/DocumentSearch/DocumentDetail?doc_id=2017100300791001" target="_blank"&gt;Verified by Public Record&lt;/a&gt;</t>
  </si>
  <si>
    <t>&lt;a href="http://a836-acris.nyc.gov/DS/DocumentSearch/DocumentDetail?doc_id=2017092400014001" target="_blank"&gt;Verified by Public Record&lt;/a&gt;</t>
  </si>
  <si>
    <t>&lt;a href="http://a836-acris.nyc.gov/DS/DocumentSearch/DocumentDetail?doc_id=2019021800220001" target="_blank"&gt;Verified by Public Record&lt;/a&gt;</t>
  </si>
  <si>
    <t>&lt;a href="http://a836-acris.nyc.gov/DS/DocumentSearch/DocumentDetail?doc_id=2017040501238001" target="_blank"&gt;Public Record Only&lt;/a&gt;</t>
  </si>
  <si>
    <t>&lt;a href="http://a836-acris.nyc.gov/DS/DocumentSearch/DocumentDetail?doc_id=2017071701258001" target="_blank"&gt;Verified by Public Record&lt;/a&gt;</t>
  </si>
  <si>
    <t>&lt;a href="http://a836-acris.nyc.gov/DS/DocumentSearch/DocumentDetail?doc_id=2020070100492001" target="_blank"&gt;Public Record Only&lt;/a&gt;</t>
  </si>
  <si>
    <t>&lt;a href="http://a836-acris.nyc.gov/DS/DocumentSearch/DocumentDetail?doc_id=2017012600822001" target="_blank"&gt;Verified by Public Record&lt;/a&gt;</t>
  </si>
  <si>
    <t>&lt;a href="http://a836-acris.nyc.gov/DS/DocumentSearch/DocumentDetail?doc_id=2017091600027001" target="_blank"&gt;Verified by Public Record&lt;/a&gt;</t>
  </si>
  <si>
    <t>&lt;a href="http://a836-acris.nyc.gov/DS/DocumentSearch/DocumentDetail?doc_id=2017091801425001" target="_blank"&gt;Verified by Public Record&lt;/a&gt;</t>
  </si>
  <si>
    <t>&lt;a href="http://a836-acris.nyc.gov/DS/DocumentSearch/DocumentDetail?doc_id=2018013100836002" target="_blank"&gt;Verified by Public Record&lt;/a&gt;</t>
  </si>
  <si>
    <t>&lt;a href="http://a836-acris.nyc.gov/DS/DocumentSearch/DocumentDetail?doc_id=2018011700850002" target="_blank"&gt;Verified by Public Record&lt;/a&gt;</t>
  </si>
  <si>
    <t>&lt;a href="http://a836-acris.nyc.gov/DS/DocumentSearch/DocumentDetail?doc_id=2017101600320001" target="_blank"&gt;Verified by Public Record&lt;/a&gt;</t>
  </si>
  <si>
    <t>&lt;a href="http://a836-acris.nyc.gov/DS/DocumentSearch/DocumentDetail?doc_id=2017102600454001" target="_blank"&gt;Verified by Public Record&lt;/a&gt;</t>
  </si>
  <si>
    <t>&lt;a href="http://a836-acris.nyc.gov/DS/DocumentSearch/DocumentDetail?doc_id=2018012600595001" target="_blank"&gt;Verified by Public Record&lt;/a&gt;</t>
  </si>
  <si>
    <t>&lt;a href="http://a836-acris.nyc.gov/DS/DocumentSearch/DocumentDetail?doc_id=2018082100434001" target="_blank"&gt;Verified by Public Record&lt;/a&gt;</t>
  </si>
  <si>
    <t>&lt;a href="http://a836-acris.nyc.gov/DS/DocumentSearch/DocumentDetail?doc_id=2017100500402001" target="_blank"&gt;Verified by Public Record&lt;/a&gt;</t>
  </si>
  <si>
    <t>&lt;a href="http://a836-acris.nyc.gov/DS/DocumentSearch/DocumentDetail?doc_id=2019011400818001" target="_blank"&gt;Public Record Only&lt;/a&gt;</t>
  </si>
  <si>
    <t>&lt;a href="http://a836-acris.nyc.gov/DS/DocumentSearch/DocumentDetail?doc_id=2019012500339003" target="_blank"&gt;Public Record Only&lt;/a&gt;</t>
  </si>
  <si>
    <t>&lt;a href="http://a836-acris.nyc.gov/DS/DocumentSearch/DocumentDetail?doc_id=2019022201111001" target="_blank"&gt;Public Record Only&lt;/a&gt;</t>
  </si>
  <si>
    <t>&lt;a href="http://a836-acris.nyc.gov/DS/DocumentSearch/DocumentDetail?doc_id=2019010800686001" target="_blank"&gt;Verified by Public Record&lt;/a&gt;</t>
  </si>
  <si>
    <t>&lt;a href="http://a836-acris.nyc.gov/DS/DocumentSearch/DocumentDetail?doc_id=2019050900874001" target="_blank"&gt;Verified by Public Record&lt;/a&gt;</t>
  </si>
  <si>
    <t>Private Terrace
Private Roof Deck
Deck
Roof Deck</t>
  </si>
  <si>
    <t>&lt;a href="http://a836-acris.nyc.gov/DS/DocumentSearch/DocumentDetail?doc_id=2018042500963001" target="_blank"&gt;Public Record Only&lt;/a&gt;</t>
  </si>
  <si>
    <t>&lt;a href="http://a836-acris.nyc.gov/DS/DocumentSearch/DocumentDetail?doc_id=2017092600799002" target="_blank"&gt;Public Record Only&lt;/a&gt;</t>
  </si>
  <si>
    <t>&lt;a href="http://a836-acris.nyc.gov/DS/DocumentSearch/DocumentDetail?doc_id=2020020600950001" target="_blank"&gt;Verified by Public Record&lt;/a&gt;</t>
  </si>
  <si>
    <t>&lt;a href="http://a836-acris.nyc.gov/DS/DocumentSearch/DocumentDetail?doc_id=2018021100002001" target="_blank"&gt;Verified by Public Record&lt;/a&gt;</t>
  </si>
  <si>
    <t>&lt;a href="http://a836-acris.nyc.gov/DS/DocumentSearch/DocumentDetail?doc_id=2016090801370001" target="_blank"&gt;Verified by Public Record&lt;/a&gt;</t>
  </si>
  <si>
    <t>&lt;a href="http://a836-acris.nyc.gov/DS/DocumentSearch/DocumentDetail?doc_id=2017062700329002" target="_blank"&gt;Verified by Public Record&lt;/a&gt;</t>
  </si>
  <si>
    <t>&lt;a href="http://a836-acris.nyc.gov/DS/DocumentSearch/DocumentDetail?doc_id=2017031600424008" target="_blank"&gt;Public Record Only&lt;/a&gt;</t>
  </si>
  <si>
    <t>&lt;a href="http://a836-acris.nyc.gov/DS/DocumentSearch/DocumentDetail?doc_id=2017080800352001" target="_blank"&gt;Public Record Only&lt;/a&gt;</t>
  </si>
  <si>
    <t>&lt;a href="http://a836-acris.nyc.gov/DS/DocumentSearch/DocumentDetail?doc_id=2017052500524001" target="_blank"&gt;Public Record Only&lt;/a&gt;</t>
  </si>
  <si>
    <t>&lt;a href="http://a836-acris.nyc.gov/DS/DocumentSearch/DocumentDetail?doc_id=2017081701111001" target="_blank"&gt;Public Record Only&lt;/a&gt;</t>
  </si>
  <si>
    <t>&lt;a href="http://a836-acris.nyc.gov/DS/DocumentSearch/DocumentDetail?doc_id=2018122600364001" target="_blank"&gt;Verified by Public Record&lt;/a&gt;</t>
  </si>
  <si>
    <t>&lt;a href="http://a836-acris.nyc.gov/DS/DocumentSearch/DocumentDetail?doc_id=2019060300489002" target="_blank"&gt;Verified by Public Record&lt;/a&gt;</t>
  </si>
  <si>
    <t>&lt;a href="http://a836-acris.nyc.gov/DS/DocumentSearch/DocumentDetail?doc_id=2019103001151001" target="_blank"&gt;Verified by Public Record&lt;/a&gt;</t>
  </si>
  <si>
    <t>&lt;a href="http://a836-acris.nyc.gov/DS/DocumentSearch/DocumentDetail?doc_id=2019013100362002" target="_blank"&gt;Verified by Public Record&lt;/a&gt;</t>
  </si>
  <si>
    <t>&lt;a href="http://a836-acris.nyc.gov/DS/DocumentSearch/DocumentDetail?doc_id=2020020300293001" target="_blank"&gt;Verified by Public Record&lt;/a&gt;</t>
  </si>
  <si>
    <t>&lt;a href="http://a836-acris.nyc.gov/DS/DocumentSearch/DocumentDetail?doc_id=2017042800614001" target="_blank"&gt;Verified by Public Record&lt;/a&gt;</t>
  </si>
  <si>
    <t>&lt;a href="http://a836-acris.nyc.gov/DS/DocumentSearch/DocumentDetail?doc_id=2017022400152002" target="_blank"&gt;Verified by Public Record&lt;/a&gt;</t>
  </si>
  <si>
    <t>&lt;a href="http://a836-acris.nyc.gov/DS/DocumentSearch/DocumentDetail?doc_id=2017030900986001" target="_blank"&gt;Verified by Public Record&lt;/a&gt;</t>
  </si>
  <si>
    <t>&lt;a href="http://a836-acris.nyc.gov/DS/DocumentSearch/DocumentDetail?doc_id=2019032800318002" target="_blank"&gt;Public Record Only&lt;/a&gt;</t>
  </si>
  <si>
    <t>&lt;a href="http://a836-acris.nyc.gov/DS/DocumentSearch/DocumentDetail?doc_id=2019050701061001" target="_blank"&gt;Verified by Public Record&lt;/a&gt;</t>
  </si>
  <si>
    <t>&lt;a href="http://a836-acris.nyc.gov/DS/DocumentSearch/DocumentDetail?doc_id=2019052100582001" target="_blank"&gt;Verified by Public Record&lt;/a&gt;</t>
  </si>
  <si>
    <t>&lt;a href="http://a836-acris.nyc.gov/DS/DocumentSearch/DocumentDetail?doc_id=2017030600494002" target="_blank"&gt;Verified by Public Record&lt;/a&gt;</t>
  </si>
  <si>
    <t>&lt;a href="http://a836-acris.nyc.gov/DS/DocumentSearch/DocumentDetail?doc_id=2017020800699001" target="_blank"&gt;Verified by Public Record&lt;/a&gt;</t>
  </si>
  <si>
    <t>&lt;a href="http://a836-acris.nyc.gov/DS/DocumentSearch/DocumentDetail?doc_id=2017030100787001" target="_blank"&gt;Verified by Public Record&lt;/a&gt;</t>
  </si>
  <si>
    <t>&lt;a href="http://a836-acris.nyc.gov/DS/DocumentSearch/DocumentDetail?doc_id=2021073001389001" target="_blank"&gt;Verified by Public Record&lt;/a&gt;</t>
  </si>
  <si>
    <t>&lt;a href="http://a836-acris.nyc.gov/DS/DocumentSearch/DocumentDetail?doc_id=2017021501199001" target="_blank"&gt;Verified by Public Record&lt;/a&gt;</t>
  </si>
  <si>
    <t>&lt;a href="http://a836-acris.nyc.gov/DS/DocumentSearch/DocumentDetail?doc_id=2017040401325001" target="_blank"&gt;Verified by Public Record&lt;/a&gt;</t>
  </si>
  <si>
    <t>&lt;a href="http://a836-acris.nyc.gov/DS/DocumentSearch/DocumentDetail?doc_id=2017042700545002" target="_blank"&gt;Verified by Public Record&lt;/a&gt;</t>
  </si>
  <si>
    <t>&lt;a href="http://a836-acris.nyc.gov/DS/DocumentSearch/DocumentDetail?doc_id=2017052501046001" target="_blank"&gt;Verified by Public Record&lt;/a&gt;</t>
  </si>
  <si>
    <t>&lt;a href="http://a836-acris.nyc.gov/DS/DocumentSearch/DocumentDetail?doc_id=2017053000984001" target="_blank"&gt;Verified by Public Record&lt;/a&gt;</t>
  </si>
  <si>
    <t>&lt;a href="http://a836-acris.nyc.gov/DS/DocumentSearch/DocumentDetail?doc_id=2017042200037001" target="_blank"&gt;Verified by Public Record&lt;/a&gt;</t>
  </si>
  <si>
    <t>&lt;a href="http://a836-acris.nyc.gov/DS/DocumentSearch/DocumentDetail?doc_id=2018032700233001" target="_blank"&gt;Verified by Public Record&lt;/a&gt;</t>
  </si>
  <si>
    <t>&lt;a href="http://a836-acris.nyc.gov/DS/DocumentSearch/DocumentDetail?doc_id=2020092900556003" target="_blank"&gt;Verified by Public Record&lt;/a&gt;</t>
  </si>
  <si>
    <t>&lt;a href="http://a836-acris.nyc.gov/DS/DocumentSearch/DocumentDetail?doc_id=2016092000862002" target="_blank"&gt;Verified by Public Record&lt;/a&gt;</t>
  </si>
  <si>
    <t>&lt;a href="http://a836-acris.nyc.gov/DS/DocumentSearch/DocumentDetail?doc_id=2016110800903001" target="_blank"&gt;Verified by Public Record&lt;/a&gt;</t>
  </si>
  <si>
    <t>&lt;a href="http://a836-acris.nyc.gov/DS/DocumentSearch/DocumentDetail?doc_id=2017022700162001" target="_blank"&gt;Verified by Public Record&lt;/a&gt;</t>
  </si>
  <si>
    <t>&lt;a href="http://a836-acris.nyc.gov/DS/DocumentSearch/DocumentDetail?doc_id=2018122200025001" target="_blank"&gt;Verified by Public Record&lt;/a&gt;</t>
  </si>
  <si>
    <t>&lt;a href="http://a836-acris.nyc.gov/DS/DocumentSearch/DocumentDetail?doc_id=2019050300458001" target="_blank"&gt;Verified by Public Record&lt;/a&gt;</t>
  </si>
  <si>
    <t>&lt;a href="http://a836-acris.nyc.gov/DS/DocumentSearch/DocumentDetail?doc_id=2019011800001001" target="_blank"&gt;Verified by Public Record&lt;/a&gt;</t>
  </si>
  <si>
    <t>&lt;a href="http://a836-acris.nyc.gov/DS/DocumentSearch/DocumentDetail?doc_id=2017112000178005" target="_blank"&gt;Verified by Public Record&lt;/a&gt;</t>
  </si>
  <si>
    <t>&lt;a href="http://a836-acris.nyc.gov/DS/DocumentSearch/DocumentDetail?doc_id=2018101200764001" target="_blank"&gt;Verified by Public Record&lt;/a&gt;</t>
  </si>
  <si>
    <t>&lt;a href="http://a836-acris.nyc.gov/DS/DocumentSearch/DocumentDetail?doc_id=2020033000362002" target="_blank"&gt;Verified by Public Record&lt;/a&gt;</t>
  </si>
  <si>
    <t>&lt;a href="http://a836-acris.nyc.gov/DS/DocumentSearch/DocumentDetail?doc_id=2020090800566001" target="_blank"&gt;Verified by Public Record&lt;/a&gt;</t>
  </si>
  <si>
    <t>&lt;a href="http://a836-acris.nyc.gov/DS/DocumentSearch/DocumentDetail?doc_id=2017051600260001" target="_blank"&gt;Verified by Public Record&lt;/a&gt;</t>
  </si>
  <si>
    <t>&lt;a href="http://a836-acris.nyc.gov/DS/DocumentSearch/DocumentDetail?doc_id=2018122000362001" target="_blank"&gt;Verified by Public Record&lt;/a&gt;</t>
  </si>
  <si>
    <t>&lt;a href="http://a836-acris.nyc.gov/DS/DocumentSearch/DocumentDetail?doc_id=2019010701047001" target="_blank"&gt;Verified by Public Record&lt;/a&gt;</t>
  </si>
  <si>
    <t>&lt;a href="http://a836-acris.nyc.gov/DS/DocumentSearch/DocumentDetail?doc_id=2019041601191001" target="_blank"&gt;Verified by Public Record&lt;/a&gt;</t>
  </si>
  <si>
    <t>&lt;a href="http://a836-acris.nyc.gov/DS/DocumentSearch/DocumentDetail?doc_id=2017121500567001" target="_blank"&gt;Verified by Public Record&lt;/a&gt;</t>
  </si>
  <si>
    <t>&lt;a href="http://a836-acris.nyc.gov/DS/DocumentSearch/DocumentDetail?doc_id=2017040500936001" target="_blank"&gt;Verified by Public Record&lt;/a&gt;</t>
  </si>
  <si>
    <t>&lt;a href="http://a836-acris.nyc.gov/DS/DocumentSearch/DocumentDetail?doc_id=2017032801522001" target="_blank"&gt;Verified by Public Record&lt;/a&gt;</t>
  </si>
  <si>
    <t>&lt;a href="http://a836-acris.nyc.gov/DS/DocumentSearch/DocumentDetail?doc_id=2017042601275002" target="_blank"&gt;Verified by Public Record&lt;/a&gt;</t>
  </si>
  <si>
    <t>&lt;a href="http://a836-acris.nyc.gov/DS/DocumentSearch/DocumentDetail?doc_id=2017042600963001" target="_blank"&gt;Verified by Public Record&lt;/a&gt;</t>
  </si>
  <si>
    <t>&lt;a href="http://a836-acris.nyc.gov/DS/DocumentSearch/DocumentDetail?doc_id=2017122600127001" target="_blank"&gt;Verified by Public Record&lt;/a&gt;</t>
  </si>
  <si>
    <t>&lt;a href="http://a836-acris.nyc.gov/DS/DocumentSearch/DocumentDetail?doc_id=2017051801288001" target="_blank"&gt;Verified by Public Record&lt;/a&gt;</t>
  </si>
  <si>
    <t>&lt;a href="http://a836-acris.nyc.gov/DS/DocumentSearch/DocumentDetail?doc_id=2021080200786002" target="_blank"&gt;Verified by Public Record&lt;/a&gt;</t>
  </si>
  <si>
    <t>&lt;a href="http://a836-acris.nyc.gov/DS/DocumentSearch/DocumentDetail?doc_id=2017040301339001" target="_blank"&gt;Verified by Public Record&lt;/a&gt;</t>
  </si>
  <si>
    <t>&lt;a href="http://a836-acris.nyc.gov/DS/DocumentSearch/DocumentDetail?doc_id=2017032801517001" target="_blank"&gt;Verified by Public Record&lt;/a&gt;</t>
  </si>
  <si>
    <t>&lt;a href="http://a836-acris.nyc.gov/DS/DocumentSearch/DocumentDetail?doc_id=2017080801098001" target="_blank"&gt;Verified by Public Record&lt;/a&gt;</t>
  </si>
  <si>
    <t>&lt;a href="http://a836-acris.nyc.gov/DS/DocumentSearch/DocumentDetail?doc_id=2020031200194001" target="_blank"&gt;Verified by Public Record&lt;/a&gt;</t>
  </si>
  <si>
    <t>Doorman, Remote Doorman, Concierge</t>
  </si>
  <si>
    <t>&lt;a href="http://a836-acris.nyc.gov/DS/DocumentSearch/DocumentDetail?doc_id=2021050400484001" target="_blank"&gt;Verified by Public Record&lt;/a&gt;</t>
  </si>
  <si>
    <t>&lt;a href="http://a836-acris.nyc.gov/DS/DocumentSearch/DocumentDetail?doc_id=2020031300687001" target="_blank"&gt;Verified by Public Record&lt;/a&gt;</t>
  </si>
  <si>
    <t>&lt;a href="http://a836-acris.nyc.gov/DS/DocumentSearch/DocumentDetail?doc_id=2017080101557001" target="_blank"&gt;Verified by Public Record&lt;/a&gt;</t>
  </si>
  <si>
    <t>&lt;a href="http://a836-acris.nyc.gov/DS/DocumentSearch/DocumentDetail?doc_id=2017032701489001" target="_blank"&gt;Verified by Public Record&lt;/a&gt;</t>
  </si>
  <si>
    <t>&lt;a href="http://a836-acris.nyc.gov/DS/DocumentSearch/DocumentDetail?doc_id=2020070600145002" target="_blank"&gt;Verified by Public Record&lt;/a&gt;</t>
  </si>
  <si>
    <t>&lt;a href="http://a836-acris.nyc.gov/DS/DocumentSearch/DocumentDetail?doc_id=2017013101310001" target="_blank"&gt;Verified by Public Record&lt;/a&gt;</t>
  </si>
  <si>
    <t>&lt;a href="http://a836-acris.nyc.gov/DS/DocumentSearch/DocumentDetail?doc_id=2017050500294001" target="_blank"&gt;Verified by Public Record&lt;/a&gt;</t>
  </si>
  <si>
    <t>&lt;a href="http://a836-acris.nyc.gov/DS/DocumentSearch/DocumentDetail?doc_id=2020031201329001" target="_blank"&gt;Verified by Public Record&lt;/a&gt;</t>
  </si>
  <si>
    <t>&lt;a href="http://a836-acris.nyc.gov/DS/DocumentSearch/DocumentDetail?doc_id=2020022601136001" target="_blank"&gt;Verified by Public Record&lt;/a&gt;</t>
  </si>
  <si>
    <t>&lt;a href="http://a836-acris.nyc.gov/DS/DocumentSearch/DocumentDetail?doc_id=2019031600045001" target="_blank"&gt;Verified by Public Record&lt;/a&gt;</t>
  </si>
  <si>
    <t>&lt;a href="http://a836-acris.nyc.gov/DS/DocumentSearch/DocumentDetail?doc_id=2017062701353001" target="_blank"&gt;Verified by Public Record&lt;/a&gt;</t>
  </si>
  <si>
    <t>&lt;a href="http://a836-acris.nyc.gov/DS/DocumentSearch/DocumentDetail?doc_id=2021040801165001" target="_blank"&gt;Verified by Public Record&lt;/a&gt;</t>
  </si>
  <si>
    <t>&lt;a href="http://a836-acris.nyc.gov/DS/DocumentSearch/DocumentDetail?doc_id=2019052200746001" target="_blank"&gt;Verified by Public Record&lt;/a&gt;</t>
  </si>
  <si>
    <t>&lt;a href="http://a836-acris.nyc.gov/DS/DocumentSearch/DocumentDetail?doc_id=2019052100733001" target="_blank"&gt;Verified by Public Record&lt;/a&gt;</t>
  </si>
  <si>
    <t>&lt;a href="http://a836-acris.nyc.gov/DS/DocumentSearch/DocumentDetail?doc_id=2019071100358002" target="_blank"&gt;Verified by Public Record&lt;/a&gt;</t>
  </si>
  <si>
    <t>&lt;a href="http://a836-acris.nyc.gov/DS/DocumentSearch/DocumentDetail?doc_id=2019110800227002" target="_blank"&gt;Verified by Public Record&lt;/a&gt;</t>
  </si>
  <si>
    <t>&lt;a href="http://a836-acris.nyc.gov/DS/DocumentSearch/DocumentDetail?doc_id=2019040401131001" target="_blank"&gt;Verified by Public Record&lt;/a&gt;</t>
  </si>
  <si>
    <t>&lt;a href="http://a836-acris.nyc.gov/DS/DocumentSearch/DocumentDetail?doc_id=2019112200131001" target="_blank"&gt;Verified by Public Record&lt;/a&gt;</t>
  </si>
  <si>
    <t>&lt;a href="http://a836-acris.nyc.gov/DS/DocumentSearch/DocumentDetail?doc_id=2018100400306032" target="_blank"&gt;Verified by Public Record&lt;/a&gt;</t>
  </si>
  <si>
    <t>&lt;a href="http://a836-acris.nyc.gov/DS/DocumentSearch/DocumentDetail?doc_id=2018100400306027" target="_blank"&gt;Verified by Public Record&lt;/a&gt;</t>
  </si>
  <si>
    <t>&lt;a href="http://a836-acris.nyc.gov/DS/DocumentSearch/DocumentDetail?doc_id=2018122600895001" target="_blank"&gt;Verified by Public Record&lt;/a&gt;</t>
  </si>
  <si>
    <t>&lt;a href="http://a836-acris.nyc.gov/DS/DocumentSearch/DocumentDetail?doc_id=2018122100747001" target="_blank"&gt;Verified by Public Record&lt;/a&gt;</t>
  </si>
  <si>
    <t>&lt;a href="http://a836-acris.nyc.gov/DS/DocumentSearch/DocumentDetail?doc_id=2018122801004001" target="_blank"&gt;Verified by Public Record&lt;/a&gt;</t>
  </si>
  <si>
    <t>&lt;a href="http://a836-acris.nyc.gov/DS/DocumentSearch/DocumentDetail?doc_id=2019061301237001" target="_blank"&gt;Verified by Public Record&lt;/a&gt;</t>
  </si>
  <si>
    <t>&lt;a href="http://a836-acris.nyc.gov/DS/DocumentSearch/DocumentDetail?doc_id=2019022500798002" target="_blank"&gt;Verified by Public Record&lt;/a&gt;</t>
  </si>
  <si>
    <t>&lt;a href="http://a836-acris.nyc.gov/DS/DocumentSearch/DocumentDetail?doc_id=2019081901111001" target="_blank"&gt;Verified by Public Record&lt;/a&gt;</t>
  </si>
  <si>
    <t>&lt;a href="http://a836-acris.nyc.gov/DS/DocumentSearch/DocumentDetail?doc_id=2018100400306007" target="_blank"&gt;Verified by Public Record&lt;/a&gt;</t>
  </si>
  <si>
    <t>&lt;a href="http://a836-acris.nyc.gov/DS/DocumentSearch/DocumentDetail?doc_id=2018100400306022" target="_blank"&gt;Verified by Public Record&lt;/a&gt;</t>
  </si>
  <si>
    <t>&lt;a href="http://a836-acris.nyc.gov/DS/DocumentSearch/DocumentDetail?doc_id=2018100400306017" target="_blank"&gt;Verified by Public Record&lt;/a&gt;</t>
  </si>
  <si>
    <t>&lt;a href="http://a836-acris.nyc.gov/DS/DocumentSearch/DocumentDetail?doc_id=2019011700200001" target="_blank"&gt;Verified by Public Record&lt;/a&gt;</t>
  </si>
  <si>
    <t>&lt;a href="http://a836-acris.nyc.gov/DS/DocumentSearch/DocumentDetail?doc_id=2019011000284001" target="_blank"&gt;Verified by Public Record&lt;/a&gt;</t>
  </si>
  <si>
    <t>&lt;a href="http://a836-acris.nyc.gov/DS/DocumentSearch/DocumentDetail?doc_id=2019010300644001" target="_blank"&gt;Verified by Public Record&lt;/a&gt;</t>
  </si>
  <si>
    <t>&lt;a href="http://a836-acris.nyc.gov/DS/DocumentSearch/DocumentDetail?doc_id=2020122301341001" target="_blank"&gt;Verified by Public Record&lt;/a&gt;</t>
  </si>
  <si>
    <t>&lt;a href="http://a836-acris.nyc.gov/DS/DocumentSearch/DocumentDetail?doc_id=2019033000004001" target="_blank"&gt;Verified by Public Record&lt;/a&gt;</t>
  </si>
  <si>
    <t>&lt;a href="http://a836-acris.nyc.gov/DS/DocumentSearch/DocumentDetail?doc_id=2021030600151002" target="_blank"&gt;Verified by Public Record&lt;/a&gt;</t>
  </si>
  <si>
    <t>&lt;a href="http://a836-acris.nyc.gov/DS/DocumentSearch/DocumentDetail?doc_id=2021021200270001" target="_blank"&gt;Verified by Public Record&lt;/a&gt;</t>
  </si>
  <si>
    <t>&lt;a href="http://a836-acris.nyc.gov/DS/DocumentSearch/DocumentDetail?doc_id=2021072901137001" target="_blank"&gt;Verified by Public Record&lt;/a&gt;</t>
  </si>
  <si>
    <t>&lt;a href="http://a836-acris.nyc.gov/DS/DocumentSearch/DocumentDetail?doc_id=2020120800597002" target="_blank"&gt;Verified by Public Record&lt;/a&gt;</t>
  </si>
  <si>
    <t>&lt;a href="http://a836-acris.nyc.gov/DS/DocumentSearch/DocumentDetail?doc_id=2021020100753002" target="_blank"&gt;Verified by Public Record&lt;/a&gt;</t>
  </si>
  <si>
    <t>&lt;a href="http://a836-acris.nyc.gov/DS/DocumentSearch/DocumentDetail?doc_id=2021012800992003" target="_blank"&gt;Verified by Public Record&lt;/a&gt;</t>
  </si>
  <si>
    <t>&lt;a href="http://a836-acris.nyc.gov/DS/DocumentSearch/DocumentDetail?doc_id=2021012701248002" target="_blank"&gt;Verified by Public Record&lt;/a&gt;</t>
  </si>
  <si>
    <t>&lt;a href="http://a836-acris.nyc.gov/DS/DocumentSearch/DocumentDetail?doc_id=2020122800506002" target="_blank"&gt;Verified by Public Record&lt;/a&gt;</t>
  </si>
  <si>
    <t>&lt;a href="http://a836-acris.nyc.gov/DS/DocumentSearch/DocumentDetail?doc_id=2020123001247002" target="_blank"&gt;Verified by Public Record&lt;/a&gt;</t>
  </si>
  <si>
    <t>&lt;a href="http://a836-acris.nyc.gov/DS/DocumentSearch/DocumentDetail?doc_id=2021060700873001" target="_blank"&gt;Verified by Public Record&lt;/a&gt;</t>
  </si>
  <si>
    <t>&lt;a href="http://a836-acris.nyc.gov/DS/DocumentSearch/DocumentDetail?doc_id=2021022600761003" target="_blank"&gt;Verified by Public Record&lt;/a&gt;</t>
  </si>
  <si>
    <t>&lt;a href="http://a836-acris.nyc.gov/DS/DocumentSearch/DocumentDetail?doc_id=2021080400227001" target="_blank"&gt;Verified by Public Record&lt;/a&gt;</t>
  </si>
  <si>
    <t>&lt;a href="http://a836-acris.nyc.gov/DS/DocumentSearch/DocumentDetail?doc_id=2021072701776001" target="_blank"&gt;Verified by Public Record&lt;/a&gt;</t>
  </si>
  <si>
    <t>&lt;a href="http://a836-acris.nyc.gov/DS/DocumentSearch/DocumentDetail?doc_id=2017072800417002" target="_blank"&gt;Verified by Public Record&lt;/a&gt;</t>
  </si>
  <si>
    <t>&lt;a href="http://a836-acris.nyc.gov/DS/DocumentSearch/DocumentDetail?doc_id=2021060700019002" target="_blank"&gt;Verified by Public Record&lt;/a&gt;</t>
  </si>
  <si>
    <t>&lt;a href="http://a836-acris.nyc.gov/DS/DocumentSearch/DocumentDetail?doc_id=2017012500697001" target="_blank"&gt;Verified by Public Record&lt;/a&gt;</t>
  </si>
  <si>
    <t>&lt;a href="http://a836-acris.nyc.gov/DS/DocumentSearch/DocumentDetail?doc_id=2021051901030002" target="_blank"&gt;Verified by Public Record&lt;/a&gt;</t>
  </si>
  <si>
    <t>&lt;a href="http://a836-acris.nyc.gov/DS/DocumentSearch/DocumentDetail?doc_id=2020122301278001" target="_blank"&gt;Verified by Public Record&lt;/a&gt;</t>
  </si>
  <si>
    <t>&lt;a href="http://a836-acris.nyc.gov/DS/DocumentSearch/DocumentDetail?doc_id=2020123100058006" target="_blank"&gt;Verified by Public Record&lt;/a&gt;</t>
  </si>
  <si>
    <t>&lt;a href="http://a836-acris.nyc.gov/DS/DocumentSearch/DocumentDetail?doc_id=2020121100402001" target="_blank"&gt;Verified by Public Record&lt;/a&gt;</t>
  </si>
  <si>
    <t>&lt;a href="http://a836-acris.nyc.gov/DS/DocumentSearch/DocumentDetail?doc_id=2021021100204002" target="_blank"&gt;Verified by Public Record&lt;/a&gt;</t>
  </si>
  <si>
    <t>&lt;a href="http://a836-acris.nyc.gov/DS/DocumentSearch/DocumentDetail?doc_id=2021012300030001" target="_blank"&gt;Verified by Public Record&lt;/a&gt;</t>
  </si>
  <si>
    <t>&lt;a href="http://a836-acris.nyc.gov/DS/DocumentSearch/DocumentDetail?doc_id=2021012100245001" target="_blank"&gt;Verified by Public Record&lt;/a&gt;</t>
  </si>
  <si>
    <t>&lt;a href="http://a836-acris.nyc.gov/DS/DocumentSearch/DocumentDetail?doc_id=2020032700234001" target="_blank"&gt;Verified by Public Record&lt;/a&gt;</t>
  </si>
  <si>
    <t>&lt;a href="http://a836-acris.nyc.gov/DS/DocumentSearch/DocumentDetail?doc_id=2021021801350004" target="_blank"&gt;Verified by Public Record&lt;/a&gt;</t>
  </si>
  <si>
    <t>&lt;a href="http://a836-acris.nyc.gov/DS/DocumentSearch/DocumentDetail?doc_id=2019091000830001" target="_blank"&gt;Verified by Public Record&lt;/a&gt;</t>
  </si>
  <si>
    <t>&lt;a href="http://a836-acris.nyc.gov/DS/DocumentSearch/DocumentDetail?doc_id=2019052800680001" target="_blank"&gt;Verified by Public Record&lt;/a&gt;</t>
  </si>
  <si>
    <t>&lt;a href="http://a836-acris.nyc.gov/DS/DocumentSearch/DocumentDetail?doc_id=2019071100959001" target="_blank"&gt;Verified by Public Record&lt;/a&gt;</t>
  </si>
  <si>
    <t>&lt;a href="http://a836-acris.nyc.gov/DS/DocumentSearch/DocumentDetail?doc_id=2021031100022002" target="_blank"&gt;Public Record Only&lt;/a&gt;</t>
  </si>
  <si>
    <t>&lt;a href="http://a836-acris.nyc.gov/DS/DocumentSearch/DocumentDetail?doc_id=2019070101101003" target="_blank"&gt;Verified by Public Record&lt;/a&gt;</t>
  </si>
  <si>
    <t>&lt;a href="http://a836-acris.nyc.gov/DS/DocumentSearch/DocumentDetail?doc_id=2017080700264001" target="_blank"&gt;Verified by Public Record&lt;/a&gt;</t>
  </si>
  <si>
    <t>&lt;a href="http://a836-acris.nyc.gov/DS/DocumentSearch/DocumentDetail?doc_id=2017081401339001" target="_blank"&gt;Verified by Public Record&lt;/a&gt;</t>
  </si>
  <si>
    <t>&lt;a href="http://a836-acris.nyc.gov/DS/DocumentSearch/DocumentDetail?doc_id=2017040500394001" target="_blank"&gt;Verified by Public Record&lt;/a&gt;</t>
  </si>
  <si>
    <t>&lt;a href="http://a836-acris.nyc.gov/DS/DocumentSearch/DocumentDetail?doc_id=2019082901136001" target="_blank"&gt;Verified by Public Record&lt;/a&gt;</t>
  </si>
  <si>
    <t>&lt;a href="http://a836-acris.nyc.gov/DS/DocumentSearch/DocumentDetail?doc_id=2019031200854001" target="_blank"&gt;Verified by Public Record&lt;/a&gt;</t>
  </si>
  <si>
    <t>&lt;a href="http://a836-acris.nyc.gov/DS/DocumentSearch/DocumentDetail?doc_id=2019071100589001" target="_blank"&gt;Verified by Public Record&lt;/a&gt;</t>
  </si>
  <si>
    <t>&lt;a href="http://a836-acris.nyc.gov/DS/DocumentSearch/DocumentDetail?doc_id=2019040300485002" target="_blank"&gt;Verified by Public Record&lt;/a&gt;</t>
  </si>
  <si>
    <t>&lt;a href="http://a836-acris.nyc.gov/DS/DocumentSearch/DocumentDetail?doc_id=2020102900476003" target="_blank"&gt;Public Record Only&lt;/a&gt;</t>
  </si>
  <si>
    <t>&lt;a href="http://a836-acris.nyc.gov/DS/DocumentSearch/DocumentDetail?doc_id=2020022600726001" target="_blank"&gt;Verified by Public Record&lt;/a&gt;</t>
  </si>
  <si>
    <t>Patio
Common Roof Deck
Barbecue Area
Common Garden</t>
  </si>
  <si>
    <t>&lt;a href="http://a836-acris.nyc.gov/DS/DocumentSearch/DocumentDetail?doc_id=2021030900568001" target="_blank"&gt;Verified by Public Record&lt;/a&gt;</t>
  </si>
  <si>
    <t>&lt;a href="http://a836-acris.nyc.gov/DS/DocumentSearch/DocumentDetail?doc_id=2021031101278002" target="_blank"&gt;Verified by Public Record&lt;/a&gt;</t>
  </si>
  <si>
    <t>&lt;a href="http://a836-acris.nyc.gov/DS/DocumentSearch/DocumentDetail?doc_id=2021030801084001" target="_blank"&gt;Verified by Public Record&lt;/a&gt;</t>
  </si>
  <si>
    <t>&lt;a href="http://a836-acris.nyc.gov/DS/DocumentSearch/DocumentDetail?doc_id=2021030801371001" target="_blank"&gt;Verified by Public Record&lt;/a&gt;</t>
  </si>
  <si>
    <t>&lt;a href="http://a836-acris.nyc.gov/DS/DocumentSearch/DocumentDetail?doc_id=2021051701476001" target="_blank"&gt;Public Record Only&lt;/a&gt;</t>
  </si>
  <si>
    <t>&lt;a href="http://a836-acris.nyc.gov/DS/DocumentSearch/DocumentDetail?doc_id=2021011100475002" target="_blank"&gt;Verified by Public Record&lt;/a&gt;</t>
  </si>
  <si>
    <t>&lt;a href="http://a836-acris.nyc.gov/DS/DocumentSearch/DocumentDetail?doc_id=2021061800211003" target="_blank"&gt;Verified by Public Record&lt;/a&gt;</t>
  </si>
  <si>
    <t>&lt;a href="http://a836-acris.nyc.gov/DS/DocumentSearch/DocumentDetail?doc_id=2019062400775001" target="_blank"&gt;Verified by Public Record&lt;/a&gt;</t>
  </si>
  <si>
    <t>&lt;a href="http://a836-acris.nyc.gov/DS/DocumentSearch/DocumentDetail?doc_id=2019060400436001" target="_blank"&gt;Verified by Public Record&lt;/a&gt;</t>
  </si>
  <si>
    <t>&lt;a href="http://a836-acris.nyc.gov/DS/DocumentSearch/DocumentDetail?doc_id=2019062700437001" target="_blank"&gt;Verified by Public Record&lt;/a&gt;</t>
  </si>
  <si>
    <t>&lt;a href="http://a836-acris.nyc.gov/DS/DocumentSearch/DocumentDetail?doc_id=2019101100935001" target="_blank"&gt;Public Record Only&lt;/a&gt;</t>
  </si>
  <si>
    <t>&lt;a href="http://a836-acris.nyc.gov/DS/DocumentSearch/DocumentDetail?doc_id=2019031900396004" target="_blank"&gt;Public Record Only&lt;/a&gt;</t>
  </si>
  <si>
    <t>&lt;a href="http://a836-acris.nyc.gov/DS/DocumentSearch/DocumentDetail?doc_id=2019092000984001" target="_blank"&gt;Verified by Public Record&lt;/a&gt;</t>
  </si>
  <si>
    <t>&lt;a href="http://a836-acris.nyc.gov/DS/DocumentSearch/DocumentDetail?doc_id=2017022201196002" target="_blank"&gt;Verified by Public Record&lt;/a&gt;</t>
  </si>
  <si>
    <t>&lt;a href="http://a836-acris.nyc.gov/DS/DocumentSearch/DocumentDetail?doc_id=2017021500711001" target="_blank"&gt;Verified by Public Record&lt;/a&gt;</t>
  </si>
  <si>
    <t>&lt;a href="http://a836-acris.nyc.gov/DS/DocumentSearch/DocumentDetail?doc_id=2017020300253002" target="_blank"&gt;Verified by Public Record&lt;/a&gt;</t>
  </si>
  <si>
    <t>&lt;a href="http://a836-acris.nyc.gov/DS/DocumentSearch/DocumentDetail?doc_id=2017071301257001" target="_blank"&gt;Verified by Public Record&lt;/a&gt;</t>
  </si>
  <si>
    <t>&lt;a href="http://a836-acris.nyc.gov/DS/DocumentSearch/DocumentDetail?doc_id=2017041800586003" target="_blank"&gt;Verified by Public Record&lt;/a&gt;</t>
  </si>
  <si>
    <t>&lt;a href="http://a836-acris.nyc.gov/DS/DocumentSearch/DocumentDetail?doc_id=2017030300097002" target="_blank"&gt;Verified by Public Record&lt;/a&gt;</t>
  </si>
  <si>
    <t>&lt;a href="http://a836-acris.nyc.gov/DS/DocumentSearch/DocumentDetail?doc_id=2017042100446001" target="_blank"&gt;Verified by Public Record&lt;/a&gt;</t>
  </si>
  <si>
    <t>&lt;a href="http://a836-acris.nyc.gov/DS/DocumentSearch/DocumentDetail?doc_id=2017032900065008" target="_blank"&gt;Verified by Public Record&lt;/a&gt;</t>
  </si>
  <si>
    <t>&lt;a href="http://a836-acris.nyc.gov/DS/DocumentSearch/DocumentDetail?doc_id=2017040601161002" target="_blank"&gt;Verified by Public Record&lt;/a&gt;</t>
  </si>
  <si>
    <t>&lt;a href="http://a836-acris.nyc.gov/DS/DocumentSearch/DocumentDetail?doc_id=2017092800829001" target="_blank"&gt;Verified by Public Record&lt;/a&gt;</t>
  </si>
  <si>
    <t>&lt;a href="http://a836-acris.nyc.gov/DS/DocumentSearch/DocumentDetail?doc_id=2017040401005001" target="_blank"&gt;Verified by Public Record&lt;/a&gt;</t>
  </si>
  <si>
    <t>&lt;a href="http://a836-acris.nyc.gov/DS/DocumentSearch/DocumentDetail?doc_id=2017083100883001" target="_blank"&gt;Verified by Public Record&lt;/a&gt;</t>
  </si>
  <si>
    <t>&lt;a href="http://a836-acris.nyc.gov/DS/DocumentSearch/DocumentDetail?doc_id=2017050301025001" target="_blank"&gt;Verified by Public Record&lt;/a&gt;</t>
  </si>
  <si>
    <t>&lt;a href="http://a836-acris.nyc.gov/DS/DocumentSearch/DocumentDetail?doc_id=2017051500324003" target="_blank"&gt;Verified by Public Record&lt;/a&gt;</t>
  </si>
  <si>
    <t>&lt;a href="http://a836-acris.nyc.gov/DS/DocumentSearch/DocumentDetail?doc_id=2017041200514002" target="_blank"&gt;Verified by Public Record&lt;/a&gt;</t>
  </si>
  <si>
    <t>&lt;a href="http://a836-acris.nyc.gov/DS/DocumentSearch/DocumentDetail?doc_id=2020121100296001" target="_blank"&gt;Verified by Public Record&lt;/a&gt;</t>
  </si>
  <si>
    <t>&lt;a href="http://a836-acris.nyc.gov/DS/DocumentSearch/DocumentDetail?doc_id=2021010500136002" target="_blank"&gt;Verified by Public Record&lt;/a&gt;</t>
  </si>
  <si>
    <t>&lt;a href="http://a836-acris.nyc.gov/DS/DocumentSearch/DocumentDetail?doc_id=2021012101035002" target="_blank"&gt;Verified by Public Record&lt;/a&gt;</t>
  </si>
  <si>
    <t>&lt;a href="http://a836-acris.nyc.gov/DS/DocumentSearch/DocumentDetail?doc_id=2021031800639001" target="_blank"&gt;Verified by Public Record&lt;/a&gt;</t>
  </si>
  <si>
    <t>&lt;a href="http://a836-acris.nyc.gov/DS/DocumentSearch/DocumentDetail?doc_id=2021070601154001" target="_blank"&gt;Verified by Public Record&lt;/a&gt;</t>
  </si>
  <si>
    <t>&lt;a href="http://a836-acris.nyc.gov/DS/DocumentSearch/DocumentDetail?doc_id=2021030100554001" target="_blank"&gt;Verified by Public Record&lt;/a&gt;</t>
  </si>
  <si>
    <t>&lt;a href="http://a836-acris.nyc.gov/DS/DocumentSearch/DocumentDetail?doc_id=2021012800650004" target="_blank"&gt;Verified by Public Record&lt;/a&gt;</t>
  </si>
  <si>
    <t>&lt;a href="http://a836-acris.nyc.gov/DS/DocumentSearch/DocumentDetail?doc_id=2020121601230007" target="_blank"&gt;Verified by Public Record&lt;/a&gt;</t>
  </si>
  <si>
    <t>&lt;a href="http://a836-acris.nyc.gov/DS/DocumentSearch/DocumentDetail?doc_id=2021012700151001" target="_blank"&gt;Verified by Public Record&lt;/a&gt;</t>
  </si>
  <si>
    <t>&lt;a href="http://a836-acris.nyc.gov/DS/DocumentSearch/DocumentDetail?doc_id=2021012000505006" target="_blank"&gt;Verified by Public Record&lt;/a&gt;</t>
  </si>
  <si>
    <t>&lt;a href="http://a836-acris.nyc.gov/DS/DocumentSearch/DocumentDetail?doc_id=2019080200787001" target="_blank"&gt;Verified by Public Record&lt;/a&gt;</t>
  </si>
  <si>
    <t>&lt;a href="http://a836-acris.nyc.gov/DS/DocumentSearch/DocumentDetail?doc_id=2017022300905002" target="_blank"&gt;Verified by Public Record&lt;/a&gt;</t>
  </si>
  <si>
    <t>&lt;a href="http://a836-acris.nyc.gov/DS/DocumentSearch/DocumentDetail?doc_id=2017040400634003" target="_blank"&gt;Verified by Public Record&lt;/a&gt;</t>
  </si>
  <si>
    <t>&lt;a href="http://a836-acris.nyc.gov/DS/DocumentSearch/DocumentDetail?doc_id=2017030600962001" target="_blank"&gt;Verified by Public Record&lt;/a&gt;</t>
  </si>
  <si>
    <t>&lt;a href="http://a836-acris.nyc.gov/DS/DocumentSearch/DocumentDetail?doc_id=2017030300820001" target="_blank"&gt;Verified by Public Record&lt;/a&gt;</t>
  </si>
  <si>
    <t>&lt;a href="http://a836-acris.nyc.gov/DS/DocumentSearch/DocumentDetail?doc_id=2017032000263001" target="_blank"&gt;Verified by Public Record&lt;/a&gt;</t>
  </si>
  <si>
    <t>&lt;a href="http://a836-acris.nyc.gov/DS/DocumentSearch/DocumentDetail?doc_id=2017032700948001" target="_blank"&gt;Verified by Public Record&lt;/a&gt;</t>
  </si>
  <si>
    <t>&lt;a href="http://a836-acris.nyc.gov/DS/DocumentSearch/DocumentDetail?doc_id=2017040400459003" target="_blank"&gt;Verified by Public Record&lt;/a&gt;</t>
  </si>
  <si>
    <t>&lt;a href="http://a836-acris.nyc.gov/DS/DocumentSearch/DocumentDetail?doc_id=2017042400273001" target="_blank"&gt;Verified by Public Record&lt;/a&gt;</t>
  </si>
  <si>
    <t>&lt;a href="http://a836-acris.nyc.gov/DS/DocumentSearch/DocumentDetail?doc_id=2021052001432001" target="_blank"&gt;Verified by Public Record&lt;/a&gt;</t>
  </si>
  <si>
    <t>&lt;a href="http://a836-acris.nyc.gov/DS/DocumentSearch/DocumentDetail?doc_id=2017070500756001" target="_blank"&gt;Verified by Public Record&lt;/a&gt;</t>
  </si>
  <si>
    <t>&lt;a href="http://a836-acris.nyc.gov/DS/DocumentSearch/DocumentDetail?doc_id=2017040200010003" target="_blank"&gt;Verified by Public Record&lt;/a&gt;</t>
  </si>
  <si>
    <t>&lt;a href="http://a836-acris.nyc.gov/DS/DocumentSearch/DocumentDetail?doc_id=2021072200504001" target="_blank"&gt;Verified by Public Record&lt;/a&gt;</t>
  </si>
  <si>
    <t>&lt;a href="http://a836-acris.nyc.gov/DS/DocumentSearch/DocumentDetail?doc_id=2019040100593001" target="_blank"&gt;Verified by Public Record&lt;/a&gt;</t>
  </si>
  <si>
    <t>&lt;a href="http://a836-acris.nyc.gov/DS/DocumentSearch/DocumentDetail?doc_id=2019030700934001" target="_blank"&gt;Verified by Public Record&lt;/a&gt;</t>
  </si>
  <si>
    <t>&lt;a href="http://a836-acris.nyc.gov/DS/DocumentSearch/DocumentDetail?doc_id=2019062300068001" target="_blank"&gt;Verified by Public Record&lt;/a&gt;</t>
  </si>
  <si>
    <t>&lt;a href="http://a836-acris.nyc.gov/DS/DocumentSearch/DocumentDetail?doc_id=2021030200902001" target="_blank"&gt;Verified by Public Record&lt;/a&gt;</t>
  </si>
  <si>
    <t>&lt;a href="http://a836-acris.nyc.gov/DS/DocumentSearch/DocumentDetail?doc_id=2021043000755001" target="_blank"&gt;Verified by Public Record&lt;/a&gt;</t>
  </si>
  <si>
    <t>&lt;a href="http://a836-acris.nyc.gov/DS/DocumentSearch/DocumentDetail?doc_id=2021070201541001" target="_blank"&gt;Verified by Public Record&lt;/a&gt;</t>
  </si>
  <si>
    <t>&lt;a href="http://a836-acris.nyc.gov/DS/DocumentSearch/DocumentDetail?doc_id=2017110300223001" target="_blank"&gt;Verified by Public Record&lt;/a&gt;</t>
  </si>
  <si>
    <t>&lt;a href="http://a836-acris.nyc.gov/DS/DocumentSearch/DocumentDetail?doc_id=2021071000117001" target="_blank"&gt;Verified by Public Record&lt;/a&gt;</t>
  </si>
  <si>
    <t>&lt;a href="http://a836-acris.nyc.gov/DS/DocumentSearch/DocumentDetail?doc_id=2019082000179001" target="_blank"&gt;Verified by Public Record&lt;/a&gt;</t>
  </si>
  <si>
    <t>&lt;a href="http://a836-acris.nyc.gov/DS/DocumentSearch/DocumentDetail?doc_id=2020041500333002" target="_blank"&gt;Verified by Public Record&lt;/a&gt;</t>
  </si>
  <si>
    <t>&lt;a href="http://a836-acris.nyc.gov/DS/DocumentSearch/DocumentDetail?doc_id=2017092500135001" target="_blank"&gt;Verified by Public Record&lt;/a&gt;</t>
  </si>
  <si>
    <t>&lt;a href="http://a836-acris.nyc.gov/DS/DocumentSearch/DocumentDetail?doc_id=2017021600936001" target="_blank"&gt;Verified by Public Record&lt;/a&gt;</t>
  </si>
  <si>
    <t>&lt;a href="http://a836-acris.nyc.gov/DS/DocumentSearch/DocumentDetail?doc_id=2017020800851001" target="_blank"&gt;Verified by Public Record&lt;/a&gt;</t>
  </si>
  <si>
    <t>&lt;a href="http://a836-acris.nyc.gov/DS/DocumentSearch/DocumentDetail?doc_id=2017062101213001" target="_blank"&gt;Verified by Public Record&lt;/a&gt;</t>
  </si>
  <si>
    <t>&lt;a href="http://a836-acris.nyc.gov/DS/DocumentSearch/DocumentDetail?doc_id=2017053000153001" target="_blank"&gt;Verified by Public Record&lt;/a&gt;</t>
  </si>
  <si>
    <t>&lt;a href="http://a836-acris.nyc.gov/DS/DocumentSearch/DocumentDetail?doc_id=2017060200700001" target="_blank"&gt;Verified by Public Record&lt;/a&gt;</t>
  </si>
  <si>
    <t>&lt;a href="http://a836-acris.nyc.gov/DS/DocumentSearch/DocumentDetail?doc_id=2021030100626002" target="_blank"&gt;Public Record Only&lt;/a&gt;</t>
  </si>
  <si>
    <t>&lt;a href="http://a836-acris.nyc.gov/DS/DocumentSearch/DocumentDetail?doc_id=2019042900979001" target="_blank"&gt;Verified by Public Record&lt;/a&gt;</t>
  </si>
  <si>
    <t>&lt;a href="http://a836-acris.nyc.gov/DS/DocumentSearch/DocumentDetail?doc_id=2019061400072001" target="_blank"&gt;Verified by Public Record&lt;/a&gt;</t>
  </si>
  <si>
    <t>&lt;a href="http://a836-acris.nyc.gov/DS/DocumentSearch/DocumentDetail?doc_id=2019090600557001" target="_blank"&gt;Verified by Public Record&lt;/a&gt;</t>
  </si>
  <si>
    <t>&lt;a href="http://a836-acris.nyc.gov/DS/DocumentSearch/DocumentDetail?doc_id=2019100300713002" target="_blank"&gt;Verified by Public Record&lt;/a&gt;</t>
  </si>
  <si>
    <t>&lt;a href="http://a836-acris.nyc.gov/DS/DocumentSearch/DocumentDetail?doc_id=2019051300845001" target="_blank"&gt;Verified by Public Record&lt;/a&gt;</t>
  </si>
  <si>
    <t>&lt;a href="http://a836-acris.nyc.gov/DS/DocumentSearch/DocumentDetail?doc_id=2019121700377001" target="_blank"&gt;Verified by Public Record&lt;/a&gt;</t>
  </si>
  <si>
    <t>&lt;a href="http://a836-acris.nyc.gov/DS/DocumentSearch/DocumentDetail?doc_id=2019112100400003" target="_blank"&gt;Verified by Public Record&lt;/a&gt;</t>
  </si>
  <si>
    <t>&lt;a href="http://a836-acris.nyc.gov/DS/DocumentSearch/DocumentDetail?doc_id=2020111100777002" target="_blank"&gt;Public Record Only&lt;/a&gt;</t>
  </si>
  <si>
    <t>&lt;a href="http://a836-acris.nyc.gov/DS/DocumentSearch/DocumentDetail?doc_id=2020122901379001" target="_blank"&gt;Public Record Only&lt;/a&gt;</t>
  </si>
  <si>
    <t>&lt;a href="http://a836-acris.nyc.gov/DS/DocumentSearch/DocumentDetail?doc_id=2021020800037001" target="_blank"&gt;Public Record Only&lt;/a&gt;</t>
  </si>
  <si>
    <t>&lt;a href="http://a836-acris.nyc.gov/DS/DocumentSearch/DocumentDetail?doc_id=2019100701195002" target="_blank"&gt;Verified by Public Record&lt;/a&gt;</t>
  </si>
  <si>
    <t>&lt;a href="http://a836-acris.nyc.gov/DS/DocumentSearch/DocumentDetail?doc_id=2019062700211002" target="_blank"&gt;Verified by Public Record&lt;/a&gt;</t>
  </si>
  <si>
    <t>Private Terrace
Common Roof Deck
Barbecue Area
Common Garden</t>
  </si>
  <si>
    <t>&lt;a href="http://a836-acris.nyc.gov/DS/DocumentSearch/DocumentDetail?doc_id=2019100900543001" target="_blank"&gt;Verified by Public Record&lt;/a&gt;</t>
  </si>
  <si>
    <t>&lt;a href="http://a836-acris.nyc.gov/DS/DocumentSearch/DocumentDetail?doc_id=2019083000021002" target="_blank"&gt;Verified by Public Record&lt;/a&gt;</t>
  </si>
  <si>
    <t>Patio
Common Roof Deck
Barbecue Area
Playground
Common Garden</t>
  </si>
  <si>
    <t>&lt;a href="http://a836-acris.nyc.gov/DS/DocumentSearch/DocumentDetail?doc_id=2021061101314002" target="_blank"&gt;Verified by Public Record&lt;/a&gt;</t>
  </si>
  <si>
    <t>&lt;a href="http://a836-acris.nyc.gov/DS/DocumentSearch/DocumentDetail?doc_id=2021060400941002" target="_blank"&gt;Verified by Public Record&lt;/a&gt;</t>
  </si>
  <si>
    <t>&lt;a href="http://a836-acris.nyc.gov/DS/DocumentSearch/DocumentDetail?doc_id=2021031101286003" target="_blank"&gt;Verified by Public Record&lt;/a&gt;</t>
  </si>
  <si>
    <t>&lt;a href="http://a836-acris.nyc.gov/DS/DocumentSearch/DocumentDetail?doc_id=2021041500509002" target="_blank"&gt;Verified by Public Record&lt;/a&gt;</t>
  </si>
  <si>
    <t>&lt;a href="http://a836-acris.nyc.gov/DS/DocumentSearch/DocumentDetail?doc_id=2021020400645001" target="_blank"&gt;Verified by Public Record&lt;/a&gt;</t>
  </si>
  <si>
    <t>&lt;a href="http://a836-acris.nyc.gov/DS/DocumentSearch/DocumentDetail?doc_id=2021021700751003" target="_blank"&gt;Verified by Public Record&lt;/a&gt;</t>
  </si>
  <si>
    <t>&lt;a href="http://a836-acris.nyc.gov/DS/DocumentSearch/DocumentDetail?doc_id=2021010700712001" target="_blank"&gt;Verified by Public Record&lt;/a&gt;</t>
  </si>
  <si>
    <t>&lt;a href="http://a836-acris.nyc.gov/DS/DocumentSearch/DocumentDetail?doc_id=2017021700364001" target="_blank"&gt;Verified by Public Record&lt;/a&gt;</t>
  </si>
  <si>
    <t>&lt;a href="http://a836-acris.nyc.gov/DS/DocumentSearch/DocumentDetail?doc_id=2017043000069001" target="_blank"&gt;Verified by Public Record&lt;/a&gt;</t>
  </si>
  <si>
    <t>&lt;a href="http://a836-acris.nyc.gov/DS/DocumentSearch/DocumentDetail?doc_id=2017061400389001" target="_blank"&gt;Verified by Public Record&lt;/a&gt;</t>
  </si>
  <si>
    <t>&lt;a href="http://a836-acris.nyc.gov/DS/DocumentSearch/DocumentDetail?doc_id=2019110600376002" target="_blank"&gt;Verified by Public Record&lt;/a&gt;</t>
  </si>
  <si>
    <t>&lt;a href="http://a836-acris.nyc.gov/DS/DocumentSearch/DocumentDetail?doc_id=2019062601050002" target="_blank"&gt;Public Record Only&lt;/a&gt;</t>
  </si>
  <si>
    <t>&lt;a href="http://a836-acris.nyc.gov/DS/DocumentSearch/DocumentDetail?doc_id=2019051500982003" target="_blank"&gt;Verified by Public Record&lt;/a&gt;</t>
  </si>
  <si>
    <t>&lt;a href="http://a836-acris.nyc.gov/DS/DocumentSearch/DocumentDetail?doc_id=2015061800385001" target="_blank"&gt;Verified by Public Record&lt;/a&gt;</t>
  </si>
  <si>
    <t>Balcony
Juliet Balcony
Private Terrace
Common Outdoor Space</t>
  </si>
  <si>
    <t>&lt;a href="http://a836-acris.nyc.gov/DS/DocumentSearch/DocumentDetail?doc_id=2015062300887001" target="_blank"&gt;Verified by Public Record&lt;/a&gt;</t>
  </si>
  <si>
    <t>Balcony
Juliet Balcony
Common Outdoor Space
Private Outdoor Space</t>
  </si>
  <si>
    <t>&lt;a href="http://a836-acris.nyc.gov/DS/DocumentSearch/DocumentDetail?doc_id=2015081001201001" target="_blank"&gt;Verified by Public Record&lt;/a&gt;</t>
  </si>
  <si>
    <t>&lt;a href="http://a836-acris.nyc.gov/DS/DocumentSearch/DocumentDetail?doc_id=2015062500236001" target="_blank"&gt;Verified by Public Record&lt;/a&gt;</t>
  </si>
  <si>
    <t>&lt;a href="http://a836-acris.nyc.gov/DS/DocumentSearch/DocumentDetail?doc_id=2019101500787001" target="_blank"&gt;Verified by Public Record&lt;/a&gt;</t>
  </si>
  <si>
    <t>&lt;a href="http://a836-acris.nyc.gov/DS/DocumentSearch/DocumentDetail?doc_id=2021062301280002" target="_blank"&gt;Verified by Public Record&lt;/a&gt;</t>
  </si>
  <si>
    <t>&lt;a href="http://a836-acris.nyc.gov/DS/DocumentSearch/DocumentDetail?doc_id=2021060900719001" target="_blank"&gt;Verified by Public Record&lt;/a&gt;</t>
  </si>
  <si>
    <t>&lt;a href="http://a836-acris.nyc.gov/DS/DocumentSearch/DocumentDetail?doc_id=2021061600796001" target="_blank"&gt;Verified by Public Record&lt;/a&gt;</t>
  </si>
  <si>
    <t>&lt;a href="http://a836-acris.nyc.gov/DS/DocumentSearch/DocumentDetail?doc_id=2021012500208001" target="_blank"&gt;Verified by Public Record&lt;/a&gt;</t>
  </si>
  <si>
    <t>&lt;a href="http://a836-acris.nyc.gov/DS/DocumentSearch/DocumentDetail?doc_id=2021020801347009" target="_blank"&gt;Verified by Public Record&lt;/a&gt;</t>
  </si>
  <si>
    <t>&lt;a href="http://a836-acris.nyc.gov/DS/DocumentSearch/DocumentDetail?doc_id=2019121100655001" target="_blank"&gt;Verified by Public Record&lt;/a&gt;</t>
  </si>
  <si>
    <t>&lt;a href="http://a836-acris.nyc.gov/DS/DocumentSearch/DocumentDetail?doc_id=2019070301098002" target="_blank"&gt;Verified by Public Record&lt;/a&gt;</t>
  </si>
  <si>
    <t>&lt;a href="http://a836-acris.nyc.gov/DS/DocumentSearch/DocumentDetail?doc_id=2019101501201001" target="_blank"&gt;Verified by Public Record&lt;/a&gt;</t>
  </si>
  <si>
    <t>&lt;a href="http://a836-acris.nyc.gov/DS/DocumentSearch/DocumentDetail?doc_id=2017051100186002" target="_blank"&gt;Verified by Public Record&lt;/a&gt;</t>
  </si>
  <si>
    <t>&lt;a href="http://a836-acris.nyc.gov/DS/DocumentSearch/DocumentDetail?doc_id=2021061700222001" target="_blank"&gt;Verified by Public Record&lt;/a&gt;</t>
  </si>
  <si>
    <t>&lt;a href="http://a836-acris.nyc.gov/DS/DocumentSearch/DocumentDetail?doc_id=2019081500954001" target="_blank"&gt;Verified by Public Record&lt;/a&gt;</t>
  </si>
  <si>
    <t>&lt;a href="http://a836-acris.nyc.gov/DS/DocumentSearch/DocumentDetail?doc_id=2021062200254004" target="_blank"&gt;Verified by Public Record&lt;/a&gt;</t>
  </si>
  <si>
    <t>&lt;a href="http://a836-acris.nyc.gov/DS/DocumentSearch/DocumentDetail?doc_id=2021061500896001" target="_blank"&gt;Verified by Public Record&lt;/a&gt;</t>
  </si>
  <si>
    <t>&lt;a href="http://a836-acris.nyc.gov/DS/DocumentSearch/DocumentDetail?doc_id=2019052800704002" target="_blank"&gt;Verified by Public Record&lt;/a&gt;</t>
  </si>
  <si>
    <t>&lt;a href="http://a836-acris.nyc.gov/DS/DocumentSearch/DocumentDetail?doc_id=2021011800354004" target="_blank"&gt;Verified by Public Record&lt;/a&gt;</t>
  </si>
  <si>
    <t>&lt;a href="http://a836-acris.nyc.gov/DS/DocumentSearch/DocumentDetail?doc_id=2021072801638001" target="_blank"&gt;Verified by Public Record&lt;/a&gt;</t>
  </si>
  <si>
    <t>&lt;a href="http://a836-acris.nyc.gov/DS/DocumentSearch/DocumentDetail?doc_id=2021061801605001" target="_blank"&gt;Verified by Public Record&lt;/a&gt;</t>
  </si>
  <si>
    <t>&lt;a href="http://a836-acris.nyc.gov/DS/DocumentSearch/DocumentDetail?doc_id=2021080601259009" target="_blank"&gt;Verified by Public Record&lt;/a&gt;</t>
  </si>
  <si>
    <t>&lt;a href="http://a836-acris.nyc.gov/DS/DocumentSearch/DocumentDetail?doc_id=2019100900676001" target="_blank"&gt;Verified by Public Record&lt;/a&gt;</t>
  </si>
  <si>
    <t>&lt;a href="http://a836-acris.nyc.gov/DS/DocumentSearch/DocumentDetail?doc_id=2019100901223001" target="_blank"&gt;Verified by Public Record&lt;/a&gt;</t>
  </si>
  <si>
    <t>&lt;a href="http://a836-acris.nyc.gov/DS/DocumentSearch/DocumentDetail?doc_id=2019092500881001" target="_blank"&gt;Verified by Public Record&lt;/a&gt;</t>
  </si>
  <si>
    <t>&lt;a href="http://a836-acris.nyc.gov/DS/DocumentSearch/DocumentDetail?doc_id=2019053100408001" target="_blank"&gt;Verified by Public Record&lt;/a&gt;</t>
  </si>
  <si>
    <t>&lt;a href="http://a836-acris.nyc.gov/DS/DocumentSearch/DocumentDetail?doc_id=2019062700476001" target="_blank"&gt;Verified by Public Record&lt;/a&gt;</t>
  </si>
  <si>
    <t>&lt;a href="http://a836-acris.nyc.gov/DS/DocumentSearch/DocumentDetail?doc_id=2020103001059001" target="_blank"&gt;Public Record Only&lt;/a&gt;</t>
  </si>
  <si>
    <t>&lt;a href="http://a836-acris.nyc.gov/DS/DocumentSearch/DocumentDetail?doc_id=2021071900477007" target="_blank"&gt;Verified by Public Record&lt;/a&gt;</t>
  </si>
  <si>
    <t>&lt;a href="http://a836-acris.nyc.gov/DS/DocumentSearch/DocumentDetail?doc_id=2019072900808001" target="_blank"&gt;Verified by Public Record&lt;/a&gt;</t>
  </si>
  <si>
    <t>&lt;a href="http://a836-acris.nyc.gov/DS/DocumentSearch/DocumentDetail?doc_id=2019052000276003" target="_blank"&gt;Verified by Public Record&lt;/a&gt;</t>
  </si>
  <si>
    <t>&lt;a href="http://a836-acris.nyc.gov/DS/DocumentSearch/DocumentDetail?doc_id=2020021401123001" target="_blank"&gt;Verified by Public Record&lt;/a&gt;</t>
  </si>
  <si>
    <t>&lt;a href="http://a836-acris.nyc.gov/DS/DocumentSearch/DocumentDetail?doc_id=2019051500406001" target="_blank"&gt;Verified by Public Record&lt;/a&gt;</t>
  </si>
  <si>
    <t>&lt;a href="http://a836-acris.nyc.gov/DS/DocumentSearch/DocumentDetail?doc_id=2017030800652001" target="_blank"&gt;Verified by Public Record&lt;/a&gt;</t>
  </si>
  <si>
    <t>&lt;a href="http://a836-acris.nyc.gov/DS/DocumentSearch/DocumentDetail?doc_id=2019062600639002" target="_blank"&gt;Public Record Only&lt;/a&gt;</t>
  </si>
  <si>
    <t>&lt;a href="http://a836-acris.nyc.gov/DS/DocumentSearch/DocumentDetail?doc_id=2019081400206001" target="_blank"&gt;Verified by Public Record&lt;/a&gt;</t>
  </si>
  <si>
    <t>&lt;a href="http://a836-acris.nyc.gov/DS/DocumentSearch/DocumentDetail?doc_id=2019081600408001" target="_blank"&gt;Verified by Public Record&lt;/a&gt;</t>
  </si>
  <si>
    <t>&lt;a href="http://a836-acris.nyc.gov/DS/DocumentSearch/DocumentDetail?doc_id=2019062600801002" target="_blank"&gt;Verified by Public Record&lt;/a&gt;</t>
  </si>
  <si>
    <t>&lt;a href="http://a836-acris.nyc.gov/DS/DocumentSearch/DocumentDetail?doc_id=2019062600907002" target="_blank"&gt;Verified by Public Record&lt;/a&gt;</t>
  </si>
  <si>
    <t>&lt;a href="http://a836-acris.nyc.gov/DS/DocumentSearch/DocumentDetail?doc_id=2019112500445001" target="_blank"&gt;Verified by Public Record&lt;/a&gt;</t>
  </si>
  <si>
    <t>&lt;a href="http://a836-acris.nyc.gov/DS/DocumentSearch/DocumentDetail?doc_id=2019082000958001" target="_blank"&gt;Verified by Public Record&lt;/a&gt;</t>
  </si>
  <si>
    <t>&lt;a href="http://a836-acris.nyc.gov/DS/DocumentSearch/DocumentDetail?doc_id=2019080200561002" target="_blank"&gt;Verified by Public Record&lt;/a&gt;</t>
  </si>
  <si>
    <t>&lt;a href="http://a836-acris.nyc.gov/DS/DocumentSearch/DocumentDetail?doc_id=2019080900251002" target="_blank"&gt;Verified by Public Record&lt;/a&gt;</t>
  </si>
  <si>
    <t>&lt;a href="http://a836-acris.nyc.gov/DS/DocumentSearch/DocumentDetail?doc_id=2019091200845001" target="_blank"&gt;Verified by Public Record&lt;/a&gt;</t>
  </si>
  <si>
    <t>&lt;a href="http://a836-acris.nyc.gov/DS/DocumentSearch/DocumentDetail?doc_id=2021072400066001" target="_blank"&gt;Verified by Public Record&lt;/a&gt;</t>
  </si>
  <si>
    <t>&lt;a href="http://a836-acris.nyc.gov/DS/DocumentSearch/DocumentDetail?doc_id=2019100700107001" target="_blank"&gt;Verified by Public Record&lt;/a&gt;</t>
  </si>
  <si>
    <t>&lt;a href="http://a836-acris.nyc.gov/DS/DocumentSearch/DocumentDetail?doc_id=2019062100407001" target="_blank"&gt;Public Record Only&lt;/a&gt;</t>
  </si>
  <si>
    <t>&lt;a href="http://a836-acris.nyc.gov/DS/DocumentSearch/DocumentDetail?doc_id=2020020501066002" target="_blank"&gt;Public Record Only&lt;/a&gt;</t>
  </si>
  <si>
    <t>&lt;a href="http://a836-acris.nyc.gov/DS/DocumentSearch/DocumentDetail?doc_id=2019082100163001" target="_blank"&gt;Verified by Public Record&lt;/a&gt;</t>
  </si>
  <si>
    <t>&lt;a href="http://a836-acris.nyc.gov/DS/DocumentSearch/DocumentDetail?doc_id=2019062800306001" target="_blank"&gt;Verified by Public Record&lt;/a&gt;</t>
  </si>
  <si>
    <t>&lt;a href="http://a836-acris.nyc.gov/DS/DocumentSearch/DocumentDetail?doc_id=2019091301006002" target="_blank"&gt;Verified by Public Record&lt;/a&gt;</t>
  </si>
  <si>
    <t>&lt;a href="http://a836-acris.nyc.gov/DS/DocumentSearch/DocumentDetail?doc_id=2019070201009001" target="_blank"&gt;Verified by Public Record&lt;/a&gt;</t>
  </si>
  <si>
    <t>&lt;a href="http://a836-acris.nyc.gov/DS/DocumentSearch/DocumentDetail?doc_id=2019093000342001" target="_blank"&gt;Verified by Public Record&lt;/a&gt;</t>
  </si>
  <si>
    <t>&lt;a href="http://a836-acris.nyc.gov/DS/DocumentSearch/DocumentDetail?doc_id=2019052900356002" target="_blank"&gt;Verified by Public Record&lt;/a&gt;</t>
  </si>
  <si>
    <t>&lt;a href="http://a836-acris.nyc.gov/DS/DocumentSearch/DocumentDetail?doc_id=2019080800545002" target="_blank"&gt;Verified by Public Record&lt;/a&gt;</t>
  </si>
  <si>
    <t>&lt;a href="http://a836-acris.nyc.gov/DS/DocumentSearch/DocumentDetail?doc_id=2015071500202001" target="_blank"&gt;Verified by Public Record&lt;/a&gt;</t>
  </si>
  <si>
    <t>Balcony
Juliet Balcony
Private Terrace
Common Outdoor Space
Private Outdoor Space</t>
  </si>
  <si>
    <t>&lt;a href="http://a836-acris.nyc.gov/DS/DocumentSearch/DocumentDetail?doc_id=2019070800880001" target="_blank"&gt;Verified by Public Record&lt;/a&gt;</t>
  </si>
  <si>
    <t>&lt;a href="http://a836-acris.nyc.gov/DS/DocumentSearch/DocumentDetail?doc_id=2019101000977001" target="_blank"&gt;Verified by Public Record&lt;/a&gt;</t>
  </si>
  <si>
    <t>&lt;a href="http://a836-acris.nyc.gov/DS/DocumentSearch/DocumentDetail?doc_id=2019072600544001" target="_blank"&gt;Verified by Public Record&lt;/a&gt;</t>
  </si>
  <si>
    <t>&lt;a href="http://a836-acris.nyc.gov/DS/DocumentSearch/DocumentDetail?doc_id=2019060500506001" target="_blank"&gt;Public Record Only&lt;/a&gt;</t>
  </si>
  <si>
    <t>&lt;a href="http://a836-acris.nyc.gov/DS/DocumentSearch/DocumentDetail?doc_id=2019040100640001" target="_blank"&gt;Verified by Public Record&lt;/a&gt;</t>
  </si>
  <si>
    <t>&lt;a href="http://a836-acris.nyc.gov/DS/DocumentSearch/DocumentDetail?doc_id=2021040700985007" target="_blank"&gt;Verified by Public Record&lt;/a&gt;</t>
  </si>
  <si>
    <t>&lt;a href="http://a836-acris.nyc.gov/DS/DocumentSearch/DocumentDetail?doc_id=2021041301048001" target="_blank"&gt;Verified by Public Record&lt;/a&gt;</t>
  </si>
  <si>
    <t>&lt;a href="http://a836-acris.nyc.gov/DS/DocumentSearch/DocumentDetail?doc_id=2020062400661003" target="_blank"&gt;Verified by Public Record&lt;/a&gt;</t>
  </si>
  <si>
    <t>&lt;a href="http://a836-acris.nyc.gov/DS/DocumentSearch/DocumentDetail?doc_id=2021042601117006" target="_blank"&gt;Verified by Public Record&lt;/a&gt;</t>
  </si>
  <si>
    <t>&lt;a href="http://a836-acris.nyc.gov/DS/DocumentSearch/DocumentDetail?doc_id=2021073001113002" target="_blank"&gt;Verified by Public Record&lt;/a&gt;</t>
  </si>
  <si>
    <t>&lt;a href="http://a836-acris.nyc.gov/DS/DocumentSearch/DocumentDetail?doc_id=2021012800307001" target="_blank"&gt;Verified by Public Record&lt;/a&gt;</t>
  </si>
  <si>
    <t>&lt;a href="http://a836-acris.nyc.gov/DS/DocumentSearch/DocumentDetail?doc_id=2021021000999003" target="_blank"&gt;Verified by Public Record&lt;/a&gt;</t>
  </si>
  <si>
    <t>&lt;a href="http://a836-acris.nyc.gov/DS/DocumentSearch/DocumentDetail?doc_id=2021021200135002" target="_blank"&gt;Verified by Public Record&lt;/a&gt;</t>
  </si>
  <si>
    <t>&lt;a href="http://a836-acris.nyc.gov/DS/DocumentSearch/DocumentDetail?doc_id=2021030900791002" target="_blank"&gt;Verified by Public Record&lt;/a&gt;</t>
  </si>
  <si>
    <t>&lt;a href="http://a836-acris.nyc.gov/DS/DocumentSearch/DocumentDetail?doc_id=2021030200817004" target="_blank"&gt;Verified by Public Record&lt;/a&gt;</t>
  </si>
  <si>
    <t>&lt;a href="http://a836-acris.nyc.gov/DS/DocumentSearch/DocumentDetail?doc_id=2021080300801001" target="_blank"&gt;Verified by Public Record&lt;/a&gt;</t>
  </si>
  <si>
    <t>&lt;a href="http://a836-acris.nyc.gov/DS/DocumentSearch/DocumentDetail?doc_id=2021041700127002" target="_blank"&gt;Verified by Public Record&lt;/a&gt;</t>
  </si>
  <si>
    <t>&lt;a href="http://a836-acris.nyc.gov/DS/DocumentSearch/DocumentDetail?doc_id=2021050301615003" target="_blank"&gt;Verified by Public Record&lt;/a&gt;</t>
  </si>
  <si>
    <t>&lt;a href="http://a836-acris.nyc.gov/DS/DocumentSearch/DocumentDetail?doc_id=2020072400016002" target="_blank"&gt;Verified by Public Record&lt;/a&gt;</t>
  </si>
  <si>
    <t>&lt;a href="http://a836-acris.nyc.gov/DS/DocumentSearch/DocumentDetail?doc_id=2021032500724002" target="_blank"&gt;Verified by Public Record&lt;/a&gt;</t>
  </si>
  <si>
    <t>&lt;a href="http://a836-acris.nyc.gov/DS/DocumentSearch/DocumentDetail?doc_id=2019100900692001" target="_blank"&gt;Verified by Public Record&lt;/a&gt;</t>
  </si>
  <si>
    <t>&lt;a href="http://a836-acris.nyc.gov/DS/DocumentSearch/DocumentDetail?doc_id=2019080900660002" target="_blank"&gt;Verified by Public Record&lt;/a&gt;</t>
  </si>
  <si>
    <t>&lt;a href="http://a836-acris.nyc.gov/DS/DocumentSearch/DocumentDetail?doc_id=2019040300934001" target="_blank"&gt;Verified by Public Record&lt;/a&gt;</t>
  </si>
  <si>
    <t>&lt;a href="http://a836-acris.nyc.gov/DS/DocumentSearch/DocumentDetail?doc_id=2021041300458003" target="_blank"&gt;Verified by Public Record&lt;/a&gt;</t>
  </si>
  <si>
    <t>&lt;a href="http://a836-acris.nyc.gov/DS/DocumentSearch/DocumentDetail?doc_id=2021080900947001" target="_blank"&gt;Verified by Public Record&lt;/a&gt;</t>
  </si>
  <si>
    <t>&lt;a href="http://a836-acris.nyc.gov/DS/DocumentSearch/DocumentDetail?doc_id=2021080201387001" target="_blank"&gt;Verified by Public Record&lt;/a&gt;</t>
  </si>
  <si>
    <t>&lt;a href="http://a836-acris.nyc.gov/DS/DocumentSearch/DocumentDetail?doc_id=2021051100845001" target="_blank"&gt;Verified by Public Record&lt;/a&gt;</t>
  </si>
  <si>
    <t>&lt;a href="http://a836-acris.nyc.gov/DS/DocumentSearch/DocumentDetail?doc_id=2021081000671001" target="_blank"&gt;Verified by Public Record&lt;/a&gt;</t>
  </si>
  <si>
    <t>&lt;a href="http://a836-acris.nyc.gov/DS/DocumentSearch/DocumentDetail?doc_id=2020101400792001" target="_blank"&gt;Verified by Public Record&lt;/a&gt;</t>
  </si>
  <si>
    <t>&lt;a href="http://a836-acris.nyc.gov/DS/DocumentSearch/DocumentDetail?doc_id=2020091800885001" target="_blank"&gt;Verified by Public Record&lt;/a&gt;</t>
  </si>
  <si>
    <t>&lt;a href="http://a836-acris.nyc.gov/DS/DocumentSearch/DocumentDetail?doc_id=2019051400326001" target="_blank"&gt;Verified by Public Record&lt;/a&gt;</t>
  </si>
  <si>
    <t>&lt;a href="http://a836-acris.nyc.gov/DS/DocumentSearch/DocumentDetail?doc_id=2019092000450001" target="_blank"&gt;Verified by Public Record&lt;/a&gt;</t>
  </si>
  <si>
    <t>&lt;a href="http://a836-acris.nyc.gov/DS/DocumentSearch/DocumentDetail?doc_id=2019062600966002" target="_blank"&gt;Verified by Public Record&lt;/a&gt;</t>
  </si>
  <si>
    <t>&lt;a href="http://a836-acris.nyc.gov/DS/DocumentSearch/DocumentDetail?doc_id=2019071800550002" target="_blank"&gt;Verified by Public Record&lt;/a&gt;</t>
  </si>
  <si>
    <t>&lt;a href="http://a836-acris.nyc.gov/DS/DocumentSearch/DocumentDetail?doc_id=2019072500829001" target="_blank"&gt;Verified by Public Record&lt;/a&gt;</t>
  </si>
  <si>
    <t>&lt;a href="http://a836-acris.nyc.gov/DS/DocumentSearch/DocumentDetail?doc_id=2019052900860001" target="_blank"&gt;Verified by Public Record&lt;/a&gt;</t>
  </si>
  <si>
    <t>Private Patio
Common Roof Deck
Barbecue Area
Common Garden</t>
  </si>
  <si>
    <t>&lt;a href="http://a836-acris.nyc.gov/DS/DocumentSearch/DocumentDetail?doc_id=2019060601075002" target="_blank"&gt;Verified by Public Record&lt;/a&gt;</t>
  </si>
  <si>
    <t>&lt;a href="http://a836-acris.nyc.gov/DS/DocumentSearch/DocumentDetail?doc_id=2019062601291002" target="_blank"&gt;Verified by Public Record&lt;/a&gt;</t>
  </si>
  <si>
    <t>&lt;a href="http://a836-acris.nyc.gov/DS/DocumentSearch/DocumentDetail?doc_id=2018112700985001" target="_blank"&gt;Verified by Public Record&lt;/a&gt;</t>
  </si>
  <si>
    <t>&lt;a href="http://a836-acris.nyc.gov/DS/DocumentSearch/DocumentDetail?doc_id=2019010200731001" target="_blank"&gt;Verified by Public Record&lt;/a&gt;</t>
  </si>
  <si>
    <t>&lt;a href="http://a836-acris.nyc.gov/DS/DocumentSearch/DocumentDetail?doc_id=2021050600936002" target="_blank"&gt;Verified by Public Record&lt;/a&gt;</t>
  </si>
  <si>
    <t>&lt;a href="http://a836-acris.nyc.gov/DS/DocumentSearch/DocumentDetail?doc_id=2018083000233003" target="_blank"&gt;Verified by Public Record&lt;/a&gt;</t>
  </si>
  <si>
    <t>&lt;a href="http://a836-acris.nyc.gov/DS/DocumentSearch/DocumentDetail?doc_id=2018100400306012" target="_blank"&gt;Verified by Public Record&lt;/a&gt;</t>
  </si>
  <si>
    <t>&lt;a href="http://a836-acris.nyc.gov/DS/DocumentSearch/DocumentDetail?doc_id=2019022000735001" target="_blank"&gt;Verified by Public Record&lt;/a&gt;</t>
  </si>
  <si>
    <t>&lt;a href="http://a836-acris.nyc.gov/DS/DocumentSearch/DocumentDetail?doc_id=2019031101130001" target="_blank"&gt;Verified by Public Record&lt;/a&gt;</t>
  </si>
  <si>
    <t>&lt;a href="http://a836-acris.nyc.gov/DS/DocumentSearch/DocumentDetail?doc_id=2015062200428001" target="_blank"&gt;Verified by Public Record&lt;/a&gt;</t>
  </si>
  <si>
    <t>&lt;a href="http://a836-acris.nyc.gov/DS/DocumentSearch/DocumentDetail?doc_id=2018012200725001" target="_blank"&gt;Verified by Public Record&lt;/a&gt;</t>
  </si>
  <si>
    <t>&lt;a href="http://a836-acris.nyc.gov/DS/DocumentSearch/DocumentDetail?doc_id=2018020800563002" target="_blank"&gt;Verified by Public Record&lt;/a&gt;</t>
  </si>
  <si>
    <t>&lt;a href="http://a836-acris.nyc.gov/DS/DocumentSearch/DocumentDetail?doc_id=2018012301187002" target="_blank"&gt;Verified by Public Record&lt;/a&gt;</t>
  </si>
  <si>
    <t>&lt;a href="http://a836-acris.nyc.gov/DS/DocumentSearch/DocumentDetail?doc_id=2018082101132001" target="_blank"&gt;Verified by Public Record&lt;/a&gt;</t>
  </si>
  <si>
    <t>&lt;a href="http://a836-acris.nyc.gov/DS/DocumentSearch/DocumentDetail?doc_id=2018012501185006" target="_blank"&gt;Verified by Public Record&lt;/a&gt;</t>
  </si>
  <si>
    <t>&lt;a href="http://a836-acris.nyc.gov/DS/DocumentSearch/DocumentDetail?doc_id=2018011800365001" target="_blank"&gt;Verified by Public Record&lt;/a&gt;</t>
  </si>
  <si>
    <t>&lt;a href="http://a836-acris.nyc.gov/DS/DocumentSearch/DocumentDetail?doc_id=2021042300953001" target="_blank"&gt;Verified by Public Record&lt;/a&gt;</t>
  </si>
  <si>
    <t>&lt;a href="http://a836-acris.nyc.gov/DS/DocumentSearch/DocumentDetail?doc_id=2018011700507001" target="_blank"&gt;Verified by Public Record&lt;/a&gt;</t>
  </si>
  <si>
    <t>Private Roof Deck
Deck
Roof Deck
Common Roof Deck
Common Outdoor Space
Private Outdoor Space</t>
  </si>
  <si>
    <t>&lt;a href="http://a836-acris.nyc.gov/DS/DocumentSearch/DocumentDetail?doc_id=2018010500211005" target="_blank"&gt;Verified by Public Record&lt;/a&gt;</t>
  </si>
  <si>
    <t>&lt;a href="http://a836-acris.nyc.gov/DS/DocumentSearch/DocumentDetail?doc_id=2020100100293001" target="_blank"&gt;Verified by Public Record&lt;/a&gt;</t>
  </si>
  <si>
    <t>&lt;a href="http://a836-acris.nyc.gov/DS/DocumentSearch/DocumentDetail?doc_id=2020110500485001" target="_blank"&gt;Verified by Public Record&lt;/a&gt;</t>
  </si>
  <si>
    <t>&lt;a href="http://a836-acris.nyc.gov/DS/DocumentSearch/DocumentDetail?doc_id=2021051901252001" target="_blank"&gt;Verified by Public Record&lt;/a&gt;</t>
  </si>
  <si>
    <t>&lt;a href="http://a836-acris.nyc.gov/DS/DocumentSearch/DocumentDetail?doc_id=2021020501088001" target="_blank"&gt;Verified by Public Record&lt;/a&gt;</t>
  </si>
  <si>
    <t>&lt;a href="http://a836-acris.nyc.gov/DS/DocumentSearch/DocumentDetail?doc_id=2021063001113001" target="_blank"&gt;Verified by Public Record&lt;/a&gt;</t>
  </si>
  <si>
    <t>&lt;a href="http://a836-acris.nyc.gov/DS/DocumentSearch/DocumentDetail?doc_id=2021080300843001" target="_blank"&gt;Verified by Public Record&lt;/a&gt;</t>
  </si>
  <si>
    <t>&lt;a href="http://a836-acris.nyc.gov/DS/DocumentSearch/DocumentDetail?doc_id=2021062501197001" target="_blank"&gt;Verified by Public Record&lt;/a&gt;</t>
  </si>
  <si>
    <t>&lt;a href="http://a836-acris.nyc.gov/DS/DocumentSearch/DocumentDetail?doc_id=2019061000160003" target="_blank"&gt;Verified by Public Record&lt;/a&gt;</t>
  </si>
  <si>
    <t>&lt;a href="http://a836-acris.nyc.gov/DS/DocumentSearch/DocumentDetail?doc_id=2019062401222001" target="_blank"&gt;Verified by Public Record&lt;/a&gt;</t>
  </si>
  <si>
    <t>&lt;a href="http://a836-acris.nyc.gov/DS/DocumentSearch/DocumentDetail?doc_id=2019121200803003" target="_blank"&gt;Verified by Public Record&lt;/a&gt;</t>
  </si>
  <si>
    <t>&lt;a href="http://a836-acris.nyc.gov/DS/DocumentSearch/DocumentDetail?doc_id=2019071101101001" target="_blank"&gt;Verified by Public Record&lt;/a&gt;</t>
  </si>
  <si>
    <t>&lt;a href="http://a836-acris.nyc.gov/DS/DocumentSearch/DocumentDetail?doc_id=2019032600550001" target="_blank"&gt;Verified by Public Record&lt;/a&gt;</t>
  </si>
  <si>
    <t>&lt;a href="http://a836-acris.nyc.gov/DS/DocumentSearch/DocumentDetail?doc_id=2019061800375001" target="_blank"&gt;Verified by Public Record&lt;/a&gt;</t>
  </si>
  <si>
    <t>&lt;a href="http://a836-acris.nyc.gov/DS/DocumentSearch/DocumentDetail?doc_id=2019051601022002" target="_blank"&gt;Verified by Public Record&lt;/a&gt;</t>
  </si>
  <si>
    <t>&lt;a href="http://a836-acris.nyc.gov/DS/DocumentSearch/DocumentDetail?doc_id=2021061101134001" target="_blank"&gt;Verified by Public Record&lt;/a&gt;</t>
  </si>
  <si>
    <t>&lt;a href="http://a836-acris.nyc.gov/DS/DocumentSearch/DocumentDetail?doc_id=2019081400254001" target="_blank"&gt;Verified by Public Record&lt;/a&gt;</t>
  </si>
  <si>
    <t>&lt;a href="http://a836-acris.nyc.gov/DS/DocumentSearch/DocumentDetail?doc_id=2019103100745001" target="_blank"&gt;Verified by Public Record&lt;/a&gt;</t>
  </si>
  <si>
    <t>&lt;a href="http://a836-acris.nyc.gov/DS/DocumentSearch/DocumentDetail?doc_id=2019112600976001" target="_blank"&gt;Verified by Public Record&lt;/a&gt;</t>
  </si>
  <si>
    <t>&lt;a href="http://a836-acris.nyc.gov/DS/DocumentSearch/DocumentDetail?doc_id=2019041100869002" target="_blank"&gt;Verified by Public Record&lt;/a&gt;</t>
  </si>
  <si>
    <t>&lt;a href="http://a836-acris.nyc.gov/DS/DocumentSearch/DocumentDetail?doc_id=2019032800691001" target="_blank"&gt;Verified by Public Record&lt;/a&gt;</t>
  </si>
  <si>
    <t>&lt;a href="http://a836-acris.nyc.gov/DS/DocumentSearch/DocumentDetail?doc_id=2019053000504001" target="_blank"&gt;Verified by Public Record&lt;/a&gt;</t>
  </si>
  <si>
    <t>&lt;a href="http://a836-acris.nyc.gov/DS/DocumentSearch/DocumentDetail?doc_id=2019032100336002" target="_blank"&gt;Verified by Public Record&lt;/a&gt;</t>
  </si>
  <si>
    <t>&lt;a href="http://a836-acris.nyc.gov/DS/DocumentSearch/DocumentDetail?doc_id=2019112001276001" target="_blank"&gt;Verified by Public Record&lt;/a&gt;</t>
  </si>
  <si>
    <t>&lt;a href="http://a836-acris.nyc.gov/DS/DocumentSearch/DocumentDetail?doc_id=2019062501307001" target="_blank"&gt;Verified by Public Record&lt;/a&gt;</t>
  </si>
  <si>
    <t>&lt;a href="http://a836-acris.nyc.gov/DS/DocumentSearch/DocumentDetail?doc_id=2019053100623001" target="_blank"&gt;Verified by Public Record&lt;/a&gt;</t>
  </si>
  <si>
    <t>&lt;a href="http://a836-acris.nyc.gov/DS/DocumentSearch/DocumentDetail?doc_id=2019083000512002" target="_blank"&gt;Verified by Public Record&lt;/a&gt;</t>
  </si>
  <si>
    <t>&lt;a href="http://a836-acris.nyc.gov/DS/DocumentSearch/DocumentDetail?doc_id=2021030300822001" target="_blank"&gt;Verified by Public Record&lt;/a&gt;</t>
  </si>
  <si>
    <t>&lt;a href="http://a836-acris.nyc.gov/DS/DocumentSearch/DocumentDetail?doc_id=2020030300199001" target="_blank"&gt;Verified by Public Record&lt;/a&gt;</t>
  </si>
  <si>
    <t>&lt;a href="http://a836-acris.nyc.gov/DS/DocumentSearch/DocumentDetail?doc_id=2019060400301001" target="_blank"&gt;Verified by Public Record&lt;/a&gt;</t>
  </si>
  <si>
    <t>&lt;a href="http://a836-acris.nyc.gov/DS/DocumentSearch/DocumentDetail?doc_id=2019070900533001" target="_blank"&gt;Verified by Public Record&lt;/a&gt;</t>
  </si>
  <si>
    <t>&lt;a href="http://a836-acris.nyc.gov/DS/DocumentSearch/DocumentDetail?doc_id=2019121300220001" target="_blank"&gt;Verified by Public Record&lt;/a&gt;</t>
  </si>
  <si>
    <t>&lt;a href="http://a836-acris.nyc.gov/DS/DocumentSearch/DocumentDetail?doc_id=2020072900283003" target="_blank"&gt;Verified by Public Record&lt;/a&gt;</t>
  </si>
  <si>
    <t>&lt;a href="http://a836-acris.nyc.gov/DS/DocumentSearch/DocumentDetail?doc_id=2019092400826001" target="_blank"&gt;Verified by Public Record&lt;/a&gt;</t>
  </si>
  <si>
    <t>&lt;a href="http://a836-acris.nyc.gov/DS/DocumentSearch/DocumentDetail?doc_id=2019041700103001" target="_blank"&gt;Verified by Public Record&lt;/a&gt;</t>
  </si>
  <si>
    <t>&lt;a href="http://a836-acris.nyc.gov/DS/DocumentSearch/DocumentDetail?doc_id=2019043000259001" target="_blank"&gt;Verified by Public Record&lt;/a&gt;</t>
  </si>
  <si>
    <t>&lt;a href="http://a836-acris.nyc.gov/DS/DocumentSearch/DocumentDetail?doc_id=2019041100358002" target="_blank"&gt;Verified by Public Record&lt;/a&gt;</t>
  </si>
  <si>
    <t>&lt;a href="http://a836-acris.nyc.gov/DS/DocumentSearch/DocumentDetail?doc_id=2021070601678001" target="_blank"&gt;Verified by Public Record&lt;/a&gt;</t>
  </si>
  <si>
    <t>&lt;a href="http://a836-acris.nyc.gov/DS/DocumentSearch/DocumentDetail?doc_id=2021071301508001" target="_blank"&gt;Verified by Public Record&lt;/a&gt;</t>
  </si>
  <si>
    <t>&lt;a href="http://a836-acris.nyc.gov/DS/DocumentSearch/DocumentDetail?doc_id=2019042300626001" target="_blank"&gt;Verified by Public Record&lt;/a&gt;</t>
  </si>
  <si>
    <t>&lt;a href="http://a836-acris.nyc.gov/DS/DocumentSearch/DocumentDetail?doc_id=2019081400631001" target="_blank"&gt;Verified by Public Record&lt;/a&gt;</t>
  </si>
  <si>
    <t>&lt;a href="http://a836-acris.nyc.gov/DS/DocumentSearch/DocumentDetail?doc_id=2019050600921002" target="_blank"&gt;Verified by Public Record&lt;/a&gt;</t>
  </si>
  <si>
    <t>&lt;a href="http://a836-acris.nyc.gov/DS/DocumentSearch/DocumentDetail?doc_id=2019041000326002" target="_blank"&gt;Verified by Public Record&lt;/a&gt;</t>
  </si>
  <si>
    <t>&lt;a href="http://a836-acris.nyc.gov/DS/DocumentSearch/DocumentDetail?doc_id=2021060800391003" target="_blank"&gt;Verified by Public Record&lt;/a&gt;</t>
  </si>
  <si>
    <t>&lt;a href="http://a836-acris.nyc.gov/DS/DocumentSearch/DocumentDetail?doc_id=2019120700014002" target="_blank"&gt;Verified by Public Record&lt;/a&gt;</t>
  </si>
  <si>
    <t>&lt;a href="http://a836-acris.nyc.gov/DS/DocumentSearch/DocumentDetail?doc_id=2020100601042001" target="_blank"&gt;Verified by Public Record&lt;/a&gt;</t>
  </si>
  <si>
    <t>&lt;a href="http://a836-acris.nyc.gov/DS/DocumentSearch/DocumentDetail?doc_id=2019100900717001" target="_blank"&gt;Verified by Public Record&lt;/a&gt;</t>
  </si>
  <si>
    <t>&lt;a href="http://a836-acris.nyc.gov/DS/DocumentSearch/DocumentDetail?doc_id=2021050600748001" target="_blank"&gt;Verified by Public Record&lt;/a&gt;</t>
  </si>
  <si>
    <t>&lt;a href="http://a836-acris.nyc.gov/DS/DocumentSearch/DocumentDetail?doc_id=2019061700401001" target="_blank"&gt;Verified by Public Record&lt;/a&gt;</t>
  </si>
  <si>
    <t>&lt;a href="http://a836-acris.nyc.gov/DS/DocumentSearch/DocumentDetail?doc_id=2019050600779001" target="_blank"&gt;Verified by Public Record&lt;/a&gt;</t>
  </si>
  <si>
    <t>&lt;a href="http://a836-acris.nyc.gov/DS/DocumentSearch/DocumentDetail?doc_id=2019091901024001" target="_blank"&gt;Verified by Public Record&lt;/a&gt;</t>
  </si>
  <si>
    <t>&lt;a href="http://a836-acris.nyc.gov/DS/DocumentSearch/DocumentDetail?doc_id=2019032500104001" target="_blank"&gt;Verified by Public Record&lt;/a&gt;</t>
  </si>
  <si>
    <t>&lt;a href="http://a836-acris.nyc.gov/DS/DocumentSearch/DocumentDetail?doc_id=2019070300472002" target="_blank"&gt;Verified by Public Record&lt;/a&gt;</t>
  </si>
  <si>
    <t>&lt;a href="http://a836-acris.nyc.gov/DS/DocumentSearch/DocumentDetail?doc_id=2019111100552001" target="_blank"&gt;Verified by Public Record&lt;/a&gt;</t>
  </si>
  <si>
    <t>&lt;a href="http://a836-acris.nyc.gov/DS/DocumentSearch/DocumentDetail?doc_id=2019122301371001" target="_blank"&gt;Verified by Public Record&lt;/a&gt;</t>
  </si>
  <si>
    <t>&lt;a href="http://a836-acris.nyc.gov/DS/DocumentSearch/DocumentDetail?doc_id=2019081600515002" target="_blank"&gt;Verified by Public Record&lt;/a&gt;</t>
  </si>
  <si>
    <t>&lt;a href="http://a836-acris.nyc.gov/DS/DocumentSearch/DocumentDetail?doc_id=2019060600501002" target="_blank"&gt;Verified by Public Record&lt;/a&gt;</t>
  </si>
  <si>
    <t>&lt;a href="http://a836-acris.nyc.gov/DS/DocumentSearch/DocumentDetail?doc_id=2019101600439002" target="_blank"&gt;Verified by Public Record&lt;/a&gt;</t>
  </si>
  <si>
    <t>&lt;a href="http://a836-acris.nyc.gov/DS/DocumentSearch/DocumentDetail?doc_id=2019042900296001" target="_blank"&gt;Verified by Public Record&lt;/a&gt;</t>
  </si>
  <si>
    <t>&lt;a href="http://a836-acris.nyc.gov/DS/DocumentSearch/DocumentDetail?doc_id=2019032800659001" target="_blank"&gt;Verified by Public Record&lt;/a&gt;</t>
  </si>
  <si>
    <t>&lt;a href="http://a836-acris.nyc.gov/DS/DocumentSearch/DocumentDetail?doc_id=2019082800879002" target="_blank"&gt;Verified by Public Record&lt;/a&gt;</t>
  </si>
  <si>
    <t>&lt;a href="http://a836-acris.nyc.gov/DS/DocumentSearch/DocumentDetail?doc_id=2020020701258001" target="_blank"&gt;Verified by Public Record&lt;/a&gt;</t>
  </si>
  <si>
    <t>&lt;a href="http://a836-acris.nyc.gov/DS/DocumentSearch/DocumentDetail?doc_id=2019062700093001" target="_blank"&gt;Verified by Public Record&lt;/a&gt;</t>
  </si>
  <si>
    <t>&lt;a href="http://a836-acris.nyc.gov/DS/DocumentSearch/DocumentDetail?doc_id=2019021300170001" target="_blank"&gt;Verified by Public Record&lt;/a&gt;</t>
  </si>
  <si>
    <t>&lt;a href="http://a836-acris.nyc.gov/DS/DocumentSearch/DocumentDetail?doc_id=2019091600319001" target="_blank"&gt;Verified by Public Record&lt;/a&gt;</t>
  </si>
  <si>
    <t>&lt;a href="http://a836-acris.nyc.gov/DS/DocumentSearch/DocumentDetail?doc_id=2019090900281003" target="_blank"&gt;Verified by Public Record&lt;/a&gt;</t>
  </si>
  <si>
    <t>&lt;a href="http://a836-acris.nyc.gov/DS/DocumentSearch/DocumentDetail?doc_id=2019052800820002" target="_blank"&gt;Verified by Public Record&lt;/a&gt;</t>
  </si>
  <si>
    <t>&lt;a href="http://a836-acris.nyc.gov/DS/DocumentSearch/DocumentDetail?doc_id=2019040901072002" target="_blank"&gt;Verified by Public Record&lt;/a&gt;</t>
  </si>
  <si>
    <t>&lt;a href="http://a836-acris.nyc.gov/DS/DocumentSearch/DocumentDetail?doc_id=2019071001173001" target="_blank"&gt;Verified by Public Record&lt;/a&gt;</t>
  </si>
  <si>
    <t>&lt;a href="http://a836-acris.nyc.gov/DS/DocumentSearch/DocumentDetail?doc_id=2019071500343002" target="_blank"&gt;Verified by Public Record&lt;/a&gt;</t>
  </si>
  <si>
    <t>&lt;a href="http://a836-acris.nyc.gov/DS/DocumentSearch/DocumentDetail?doc_id=2019070200632001" target="_blank"&gt;Verified by Public Record&lt;/a&gt;</t>
  </si>
  <si>
    <t>&lt;a href="http://a836-acris.nyc.gov/DS/DocumentSearch/DocumentDetail?doc_id=2019081600953003" target="_blank"&gt;Verified by Public Record&lt;/a&gt;</t>
  </si>
  <si>
    <t>&lt;a href="http://a836-acris.nyc.gov/DS/DocumentSearch/DocumentDetail?doc_id=2019120900837001" target="_blank"&gt;Verified by Public Record&lt;/a&gt;</t>
  </si>
  <si>
    <t>&lt;a href="http://a836-acris.nyc.gov/DS/DocumentSearch/DocumentDetail?doc_id=2019120600448002" target="_blank"&gt;Verified by Public Record&lt;/a&gt;</t>
  </si>
  <si>
    <t>&lt;a href="http://a836-acris.nyc.gov/DS/DocumentSearch/DocumentDetail?doc_id=2019071801223002" target="_blank"&gt;Verified by Public Record&lt;/a&gt;</t>
  </si>
  <si>
    <t>&lt;a href="http://a836-acris.nyc.gov/DS/DocumentSearch/DocumentDetail?doc_id=2019070500744001" target="_blank"&gt;Verified by Public Record&lt;/a&gt;</t>
  </si>
  <si>
    <t>&lt;a href="http://a836-acris.nyc.gov/DS/DocumentSearch/DocumentDetail?doc_id=2019031200217001" target="_blank"&gt;Verified by Public Record&lt;/a&gt;</t>
  </si>
  <si>
    <t>&lt;a href="http://a836-acris.nyc.gov/DS/DocumentSearch/DocumentDetail?doc_id=2021062000094001" target="_blank"&gt;Verified by Public Record&lt;/a&gt;</t>
  </si>
  <si>
    <t>&lt;a href="http://a836-acris.nyc.gov/DS/DocumentSearch/DocumentDetail?doc_id=2019120700089002" target="_blank"&gt;Verified by Public Record&lt;/a&gt;</t>
  </si>
  <si>
    <t>&lt;a href="http://a836-acris.nyc.gov/DS/DocumentSearch/DocumentDetail?doc_id=2019070500159001" target="_blank"&gt;Verified by Public Record&lt;/a&gt;</t>
  </si>
  <si>
    <t>&lt;a href="http://a836-acris.nyc.gov/DS/DocumentSearch/DocumentDetail?doc_id=2020050700434001" target="_blank"&gt;Verified by Public Record&lt;/a&gt;</t>
  </si>
  <si>
    <t>&lt;a href="http://a836-acris.nyc.gov/DS/DocumentSearch/DocumentDetail?doc_id=2021061100460001" target="_blank"&gt;Verified by Public Record&lt;/a&gt;</t>
  </si>
  <si>
    <t>&lt;a href="http://a836-acris.nyc.gov/DS/DocumentSearch/DocumentDetail?doc_id=2021072700608001" target="_blank"&gt;Verified by Public Record&lt;/a&gt;</t>
  </si>
  <si>
    <t>&lt;a href="http://a836-acris.nyc.gov/DS/DocumentSearch/DocumentDetail?doc_id=2021033100210001" target="_blank"&gt;Verified by Public Record&lt;/a&gt;</t>
  </si>
  <si>
    <t>&lt;a href="http://a836-acris.nyc.gov/DS/DocumentSearch/DocumentDetail?doc_id=2019102201207001" target="_blank"&gt;Verified by Public Record&lt;/a&gt;</t>
  </si>
  <si>
    <t>&lt;a href="http://a836-acris.nyc.gov/DS/DocumentSearch/DocumentDetail?doc_id=2021030100526002" target="_blank"&gt;Verified by Public Record&lt;/a&gt;</t>
  </si>
  <si>
    <t>&lt;a href="http://a836-acris.nyc.gov/DS/DocumentSearch/DocumentDetail?doc_id=2019102300539001" target="_blank"&gt;Verified by Public Record&lt;/a&gt;</t>
  </si>
  <si>
    <t>&lt;a href="http://a836-acris.nyc.gov/DS/DocumentSearch/DocumentDetail?doc_id=2019091200680002" target="_blank"&gt;Verified by Public Record&lt;/a&gt;</t>
  </si>
  <si>
    <t>&lt;a href="http://a836-acris.nyc.gov/DS/DocumentSearch/DocumentDetail?doc_id=2019080600645001" target="_blank"&gt;Verified by Public Record&lt;/a&gt;</t>
  </si>
  <si>
    <t>&lt;a href="http://a836-acris.nyc.gov/DS/DocumentSearch/DocumentDetail?doc_id=2021072300450002" target="_blank"&gt;Verified by Public Record&lt;/a&gt;</t>
  </si>
  <si>
    <t>&lt;a href="http://a836-acris.nyc.gov/DS/DocumentSearch/DocumentDetail?doc_id=2021020801502001" target="_blank"&gt;Verified by Public Record&lt;/a&gt;</t>
  </si>
  <si>
    <t>&lt;a href="http://a836-acris.nyc.gov/DS/DocumentSearch/DocumentDetail?doc_id=2021010500472002" target="_blank"&gt;Verified by Public Record&lt;/a&gt;</t>
  </si>
  <si>
    <t>&lt;a href="http://a836-acris.nyc.gov/DS/DocumentSearch/DocumentDetail?doc_id=2019082200987002" target="_blank"&gt;Verified by Public Record&lt;/a&gt;</t>
  </si>
  <si>
    <t>&lt;a href="http://a836-acris.nyc.gov/DS/DocumentSearch/DocumentDetail?doc_id=2019042600545001" target="_blank"&gt;Verified by Public Record&lt;/a&gt;</t>
  </si>
  <si>
    <t>&lt;a href="http://a836-acris.nyc.gov/DS/DocumentSearch/DocumentDetail?doc_id=2019042300723002" target="_blank"&gt;Verified by Public Record&lt;/a&gt;</t>
  </si>
  <si>
    <t>&lt;a href="http://a836-acris.nyc.gov/DS/DocumentSearch/DocumentDetail?doc_id=2019091000309002" target="_blank"&gt;Verified by Public Record&lt;/a&gt;</t>
  </si>
  <si>
    <t>&lt;a href="http://a836-acris.nyc.gov/DS/DocumentSearch/DocumentDetail?doc_id=2019091200919002" target="_blank"&gt;Verified by Public Record&lt;/a&gt;</t>
  </si>
  <si>
    <t>&lt;a href="http://a836-acris.nyc.gov/DS/DocumentSearch/DocumentDetail?doc_id=2019091901109001" target="_blank"&gt;Verified by Public Record&lt;/a&gt;</t>
  </si>
  <si>
    <t>&lt;a href="http://a836-acris.nyc.gov/DS/DocumentSearch/DocumentDetail?doc_id=2020051200831001" target="_blank"&gt;Verified by Public Record&lt;/a&gt;</t>
  </si>
  <si>
    <t>&lt;a href="http://a836-acris.nyc.gov/DS/DocumentSearch/DocumentDetail?doc_id=2021052001007002" target="_blank"&gt;Verified by Public Record&lt;/a&gt;</t>
  </si>
  <si>
    <t>&lt;a href="http://a836-acris.nyc.gov/DS/DocumentSearch/DocumentDetail?doc_id=2019062700589001" target="_blank"&gt;Verified by Public Record&lt;/a&gt;</t>
  </si>
  <si>
    <t>&lt;a href="http://a836-acris.nyc.gov/DS/DocumentSearch/DocumentDetail?doc_id=2019120300416001" target="_blank"&gt;Verified by Public Record&lt;/a&gt;</t>
  </si>
  <si>
    <t>&lt;a href="http://a836-acris.nyc.gov/DS/DocumentSearch/DocumentDetail?doc_id=2019071100566001" target="_blank"&gt;Verified by Public Record&lt;/a&gt;</t>
  </si>
  <si>
    <t>&lt;a href="http://a836-acris.nyc.gov/DS/DocumentSearch/DocumentDetail?doc_id=2019070101091002" target="_blank"&gt;Verified by Public Record&lt;/a&gt;</t>
  </si>
  <si>
    <t>&lt;a href="http://a836-acris.nyc.gov/DS/DocumentSearch/DocumentDetail?doc_id=2019071600337002" target="_blank"&gt;Verified by Public Record&lt;/a&gt;</t>
  </si>
  <si>
    <t>&lt;a href="http://a836-acris.nyc.gov/DS/DocumentSearch/DocumentDetail?doc_id=2021021500350004" target="_blank"&gt;Verified by Public Record&lt;/a&gt;</t>
  </si>
  <si>
    <t>&lt;a href="http://a836-acris.nyc.gov/DS/DocumentSearch/DocumentDetail?doc_id=2019060501219002" target="_blank"&gt;Verified by Public Record&lt;/a&gt;</t>
  </si>
  <si>
    <t>&lt;a href="http://a836-acris.nyc.gov/DS/DocumentSearch/DocumentDetail?doc_id=2019050600936003" target="_blank"&gt;Verified by Public Record&lt;/a&gt;</t>
  </si>
  <si>
    <t>&lt;a href="http://a836-acris.nyc.gov/DS/DocumentSearch/DocumentDetail?doc_id=2020112500461001" target="_blank"&gt;Verified by Public Record&lt;/a&gt;</t>
  </si>
  <si>
    <t>&lt;a href="http://a836-acris.nyc.gov/DS/DocumentSearch/DocumentDetail?doc_id=2020021100315002" target="_blank"&gt;Verified by Public Record&lt;/a&gt;</t>
  </si>
  <si>
    <t>&lt;a href="http://a836-acris.nyc.gov/DS/DocumentSearch/DocumentDetail?doc_id=2019090501045003" target="_blank"&gt;Verified by Public Record&lt;/a&gt;</t>
  </si>
  <si>
    <t>&lt;a href="http://a836-acris.nyc.gov/DS/DocumentSearch/DocumentDetail?doc_id=2019082100639001" target="_blank"&gt;Verified by Public Record&lt;/a&gt;</t>
  </si>
  <si>
    <t>&lt;a href="http://a836-acris.nyc.gov/DS/DocumentSearch/DocumentDetail?doc_id=2020031001335001" target="_blank"&gt;Verified by Public Record&lt;/a&gt;</t>
  </si>
  <si>
    <t>&lt;a href="http://a836-acris.nyc.gov/DS/DocumentSearch/DocumentDetail?doc_id=2019072300453001" target="_blank"&gt;Verified by Public Record&lt;/a&gt;</t>
  </si>
  <si>
    <t>&lt;a href="http://a836-acris.nyc.gov/DS/DocumentSearch/DocumentDetail?doc_id=2020021301225001" target="_blank"&gt;Verified by Public Record&lt;/a&gt;</t>
  </si>
  <si>
    <t>&lt;a href="http://a836-acris.nyc.gov/DS/DocumentSearch/DocumentDetail?doc_id=2020021101117001" target="_blank"&gt;Verified by Public Record&lt;/a&gt;</t>
  </si>
  <si>
    <t>&lt;a href="http://a836-acris.nyc.gov/DS/DocumentSearch/DocumentDetail?doc_id=2019073000731001" target="_blank"&gt;Verified by Public Record&lt;/a&gt;</t>
  </si>
  <si>
    <t>&lt;a href="http://a836-acris.nyc.gov/DS/DocumentSearch/DocumentDetail?doc_id=2019083000109001" target="_blank"&gt;Verified by Public Record&lt;/a&gt;</t>
  </si>
  <si>
    <t>&lt;a href="http://a836-acris.nyc.gov/DS/DocumentSearch/DocumentDetail?doc_id=2020081100305002" target="_blank"&gt;Verified by Public Record&lt;/a&gt;</t>
  </si>
  <si>
    <t>&lt;a href="http://a836-acris.nyc.gov/DS/DocumentSearch/DocumentDetail?doc_id=2020100300080001" target="_blank"&gt;Verified by Public Record&lt;/a&gt;</t>
  </si>
  <si>
    <t>&lt;a href="http://a836-acris.nyc.gov/DS/DocumentSearch/DocumentDetail?doc_id=2019081900260002" target="_blank"&gt;Verified by Public Record&lt;/a&gt;</t>
  </si>
  <si>
    <t>&lt;a href="http://a836-acris.nyc.gov/DS/DocumentSearch/DocumentDetail?doc_id=2020052100150001" target="_blank"&gt;Verified by Public Record&lt;/a&gt;</t>
  </si>
  <si>
    <t>&lt;a href="http://a836-acris.nyc.gov/DS/DocumentSearch/DocumentDetail?doc_id=2021042001306001" target="_blank"&gt;Verified by Public Record&lt;/a&gt;</t>
  </si>
  <si>
    <t>Patio
Deck
Common Roof Deck
Barbecue Area
Playground
Common Garden</t>
  </si>
  <si>
    <t>&lt;a href="http://a836-acris.nyc.gov/DS/DocumentSearch/DocumentDetail?doc_id=2021061101481001" target="_blank"&gt;Verified by Public Record&lt;/a&gt;</t>
  </si>
  <si>
    <t>&lt;a href="http://a836-acris.nyc.gov/DS/DocumentSearch/DocumentDetail?doc_id=2019081200434002" target="_blank"&gt;Verified by Public Record&lt;/a&gt;</t>
  </si>
  <si>
    <t>&lt;a href="http://a836-acris.nyc.gov/DS/DocumentSearch/DocumentDetail?doc_id=2020010200705002" target="_blank"&gt;Verified by Public Record&lt;/a&gt;</t>
  </si>
  <si>
    <t>&lt;a href="http://a836-acris.nyc.gov/DS/DocumentSearch/DocumentDetail?doc_id=2019060601026001" target="_blank"&gt;Verified by Public Record&lt;/a&gt;</t>
  </si>
  <si>
    <t>&lt;a href="http://a836-acris.nyc.gov/DS/DocumentSearch/DocumentDetail?doc_id=2020122100847001" target="_blank"&gt;Verified by Public Record&lt;/a&gt;</t>
  </si>
  <si>
    <t>&lt;a href="http://a836-acris.nyc.gov/DS/DocumentSearch/DocumentDetail?doc_id=2019050900352001" target="_blank"&gt;Verified by Public Record&lt;/a&gt;</t>
  </si>
  <si>
    <t>&lt;a href="http://a836-acris.nyc.gov/DS/DocumentSearch/DocumentDetail?doc_id=2019060600408002" target="_blank"&gt;Verified by Public Record&lt;/a&gt;</t>
  </si>
  <si>
    <t>&lt;a href="http://a836-acris.nyc.gov/DS/DocumentSearch/DocumentDetail?doc_id=2019051400996002" target="_blank"&gt;Verified by Public Record&lt;/a&gt;</t>
  </si>
  <si>
    <t>&lt;a href="http://a836-acris.nyc.gov/DS/DocumentSearch/DocumentDetail?doc_id=2019123000576001" target="_blank"&gt;Verified by Public Record&lt;/a&gt;</t>
  </si>
  <si>
    <t>&lt;a href="http://a836-acris.nyc.gov/DS/DocumentSearch/DocumentDetail?doc_id=2019062600012002" target="_blank"&gt;Verified by Public Record&lt;/a&gt;</t>
  </si>
  <si>
    <t>&lt;a href="http://a836-acris.nyc.gov/DS/DocumentSearch/DocumentDetail?doc_id=2019050600634001" target="_blank"&gt;Verified by Public Record&lt;/a&gt;</t>
  </si>
  <si>
    <t>&lt;a href="http://a836-acris.nyc.gov/DS/DocumentSearch/DocumentDetail?doc_id=2019041900496002" target="_blank"&gt;Verified by Public Record&lt;/a&gt;</t>
  </si>
  <si>
    <t>Balcony
Deck
Common Roof Deck</t>
  </si>
  <si>
    <t>&lt;a href="http://a836-acris.nyc.gov/DS/DocumentSearch/DocumentDetail?doc_id=2019122400216001" target="_blank"&gt;Verified by Public Record&lt;/a&gt;</t>
  </si>
  <si>
    <t>&lt;a href="http://a836-acris.nyc.gov/DS/DocumentSearch/DocumentDetail?doc_id=2019081500228001" target="_blank"&gt;Verified by Public Record&lt;/a&gt;</t>
  </si>
  <si>
    <t>&lt;a href="http://a836-acris.nyc.gov/DS/DocumentSearch/DocumentDetail?doc_id=2019061200706001" target="_blank"&gt;Verified by Public Record&lt;/a&gt;</t>
  </si>
  <si>
    <t>&lt;a href="http://a836-acris.nyc.gov/DS/DocumentSearch/DocumentDetail?doc_id=2019102900341002" target="_blank"&gt;Verified by Public Record&lt;/a&gt;</t>
  </si>
  <si>
    <t>&lt;a href="http://a836-acris.nyc.gov/DS/DocumentSearch/DocumentDetail?doc_id=2019070201308001" target="_blank"&gt;Verified by Public Record&lt;/a&gt;</t>
  </si>
  <si>
    <t>&lt;a href="http://a836-acris.nyc.gov/DS/DocumentSearch/DocumentDetail?doc_id=2019070100231003" target="_blank"&gt;Verified by Public Record&lt;/a&gt;</t>
  </si>
  <si>
    <t>&lt;a href="http://a836-acris.nyc.gov/DS/DocumentSearch/DocumentDetail?doc_id=2018110600308001" target="_blank"&gt;Verified by Public Record&lt;/a&gt;</t>
  </si>
  <si>
    <t>&lt;a href="http://a836-acris.nyc.gov/DS/DocumentSearch/DocumentDetail?doc_id=2021011500862002" target="_blank"&gt;Verified by Public Record&lt;/a&gt;</t>
  </si>
  <si>
    <t>&lt;a href="http://a836-acris.nyc.gov/DS/DocumentSearch/DocumentDetail?doc_id=2018092700362001" target="_blank"&gt;Public Record Only&lt;/a&gt;</t>
  </si>
  <si>
    <t>&lt;a href="http://a836-acris.nyc.gov/DS/DocumentSearch/DocumentDetail?doc_id=2018101600624001" target="_blank"&gt;Public Record Only&lt;/a&gt;</t>
  </si>
  <si>
    <t>&lt;a href="http://a836-acris.nyc.gov/DS/DocumentSearch/DocumentDetail?doc_id=2018101900038004" target="_blank"&gt;Public Record Only&lt;/a&gt;</t>
  </si>
  <si>
    <t>&lt;a href="http://a836-acris.nyc.gov/DS/DocumentSearch/DocumentDetail?doc_id=2018091201015002" target="_blank"&gt;Public Record Only&lt;/a&gt;</t>
  </si>
  <si>
    <t>&lt;a href="http://a836-acris.nyc.gov/DS/DocumentSearch/DocumentDetail?doc_id=2018110100171001" target="_blank"&gt;Public Record Only&lt;/a&gt;</t>
  </si>
  <si>
    <t>&lt;a href="http://a836-acris.nyc.gov/DS/DocumentSearch/DocumentDetail?doc_id=2019103100018005" target="_blank"&gt;Verified by Public Record&lt;/a&gt;</t>
  </si>
  <si>
    <t>&lt;a href="http://a836-acris.nyc.gov/DS/DocumentSearch/DocumentDetail?doc_id=2018092101146003" target="_blank"&gt;Public Record Only&lt;/a&gt;</t>
  </si>
  <si>
    <t>&lt;a href="http://a836-acris.nyc.gov/DS/DocumentSearch/DocumentDetail?doc_id=2018102900654003" target="_blank"&gt;Public Record Only&lt;/a&gt;</t>
  </si>
  <si>
    <t>&lt;a href="http://a836-acris.nyc.gov/DS/DocumentSearch/DocumentDetail?doc_id=2018110200491009" target="_blank"&gt;Public Record Only&lt;/a&gt;</t>
  </si>
  <si>
    <t>&lt;a href="http://a836-acris.nyc.gov/DS/DocumentSearch/DocumentDetail?doc_id=2018110700233004" target="_blank"&gt;Public Record Only&lt;/a&gt;</t>
  </si>
  <si>
    <t>&lt;a href="http://a836-acris.nyc.gov/DS/DocumentSearch/DocumentDetail?doc_id=2018111400195001" target="_blank"&gt;Public Record Only&lt;/a&gt;</t>
  </si>
  <si>
    <t>&lt;a href="http://a836-acris.nyc.gov/DS/DocumentSearch/DocumentDetail?doc_id=2018111600938001" target="_blank"&gt;Public Record Only&lt;/a&gt;</t>
  </si>
  <si>
    <t>&lt;a href="http://a836-acris.nyc.gov/DS/DocumentSearch/DocumentDetail?doc_id=2018111600204007" target="_blank"&gt;Public Record Only&lt;/a&gt;</t>
  </si>
  <si>
    <t>&lt;a href="http://a836-acris.nyc.gov/DS/DocumentSearch/DocumentDetail?doc_id=2018112700282001" target="_blank"&gt;Public Record Only&lt;/a&gt;</t>
  </si>
  <si>
    <t>&lt;a href="http://a836-acris.nyc.gov/DS/DocumentSearch/DocumentDetail?doc_id=2018120600274002" target="_blank"&gt;Public Record Only&lt;/a&gt;</t>
  </si>
  <si>
    <t>&lt;a href="http://a836-acris.nyc.gov/DS/DocumentSearch/DocumentDetail?doc_id=2018121300158001" target="_blank"&gt;Public Record Only&lt;/a&gt;</t>
  </si>
  <si>
    <t>&lt;a href="http://a836-acris.nyc.gov/DS/DocumentSearch/DocumentDetail?doc_id=2018121300702005" target="_blank"&gt;Public Record Only&lt;/a&gt;</t>
  </si>
  <si>
    <t>&lt;a href="http://a836-acris.nyc.gov/DS/DocumentSearch/DocumentDetail?doc_id=2018111500928001" target="_blank"&gt;Public Record Only&lt;/a&gt;</t>
  </si>
  <si>
    <t>&lt;a href="http://a836-acris.nyc.gov/DS/DocumentSearch/DocumentDetail?doc_id=2018121400783001" target="_blank"&gt;Public Record Only&lt;/a&gt;</t>
  </si>
  <si>
    <t>&lt;a href="http://a836-acris.nyc.gov/DS/DocumentSearch/DocumentDetail?doc_id=2018121400033001" target="_blank"&gt;Public Record Only&lt;/a&gt;</t>
  </si>
  <si>
    <t>&lt;a href="http://a836-acris.nyc.gov/DS/DocumentSearch/DocumentDetail?doc_id=2018121700415001" target="_blank"&gt;Public Record Only&lt;/a&gt;</t>
  </si>
  <si>
    <t>&lt;a href="http://a836-acris.nyc.gov/DS/DocumentSearch/DocumentDetail?doc_id=2018121800047001" target="_blank"&gt;Public Record Only&lt;/a&gt;</t>
  </si>
  <si>
    <t>&lt;a href="http://a836-acris.nyc.gov/DS/DocumentSearch/DocumentDetail?doc_id=2018121801343001" target="_blank"&gt;Public Record Only&lt;/a&gt;</t>
  </si>
  <si>
    <t>&lt;a href="http://a836-acris.nyc.gov/DS/DocumentSearch/DocumentDetail?doc_id=2018121801429001" target="_blank"&gt;Public Record Only&lt;/a&gt;</t>
  </si>
  <si>
    <t>&lt;a href="http://a836-acris.nyc.gov/DS/DocumentSearch/DocumentDetail?doc_id=2018121900014001" target="_blank"&gt;Public Record Only&lt;/a&gt;</t>
  </si>
  <si>
    <t>&lt;a href="http://a836-acris.nyc.gov/DS/DocumentSearch/DocumentDetail?doc_id=2018121800211001" target="_blank"&gt;Public Record Only&lt;/a&gt;</t>
  </si>
  <si>
    <t>&lt;a href="http://a836-acris.nyc.gov/DS/DocumentSearch/DocumentDetail?doc_id=2018121900015001" target="_blank"&gt;Public Record Only&lt;/a&gt;</t>
  </si>
  <si>
    <t>&lt;a href="http://a836-acris.nyc.gov/DS/DocumentSearch/DocumentDetail?doc_id=2018121900548001" target="_blank"&gt;Public Record Only&lt;/a&gt;</t>
  </si>
  <si>
    <t>&lt;a href="http://a836-acris.nyc.gov/DS/DocumentSearch/DocumentDetail?doc_id=2018122700075001" target="_blank"&gt;Public Record Only&lt;/a&gt;</t>
  </si>
  <si>
    <t>&lt;a href="http://a836-acris.nyc.gov/DS/DocumentSearch/DocumentDetail?doc_id=2018122100016001" target="_blank"&gt;Public Record Only&lt;/a&gt;</t>
  </si>
  <si>
    <t>&lt;a href="http://a836-acris.nyc.gov/DS/DocumentSearch/DocumentDetail?doc_id=2018122701226001" target="_blank"&gt;Public Record Only&lt;/a&gt;</t>
  </si>
  <si>
    <t>&lt;a href="http://a836-acris.nyc.gov/DS/DocumentSearch/DocumentDetail?doc_id=2018123100009001" target="_blank"&gt;Public Record Only&lt;/a&gt;</t>
  </si>
  <si>
    <t>&lt;a href="http://a836-acris.nyc.gov/DS/DocumentSearch/DocumentDetail?doc_id=2018122100393001" target="_blank"&gt;Public Record Only&lt;/a&gt;</t>
  </si>
  <si>
    <t>&lt;a href="http://a836-acris.nyc.gov/DS/DocumentSearch/DocumentDetail?doc_id=2018122100012001" target="_blank"&gt;Public Record Only&lt;/a&gt;</t>
  </si>
  <si>
    <t>&lt;a href="http://a836-acris.nyc.gov/DS/DocumentSearch/DocumentDetail?doc_id=2018123100542001" target="_blank"&gt;Public Record Only&lt;/a&gt;</t>
  </si>
  <si>
    <t>&lt;a href="http://a836-acris.nyc.gov/DS/DocumentSearch/DocumentDetail?doc_id=2019010200972004" target="_blank"&gt;Public Record Only&lt;/a&gt;</t>
  </si>
  <si>
    <t>&lt;a href="http://a836-acris.nyc.gov/DS/DocumentSearch/DocumentDetail?doc_id=2018122801011002" target="_blank"&gt;Public Record Only&lt;/a&gt;</t>
  </si>
  <si>
    <t>&lt;a href="http://a836-acris.nyc.gov/DS/DocumentSearch/DocumentDetail?doc_id=2019011700732001" target="_blank"&gt;Public Record Only&lt;/a&gt;</t>
  </si>
  <si>
    <t>&lt;a href="http://a836-acris.nyc.gov/DS/DocumentSearch/DocumentDetail?doc_id=2019012200993002" target="_blank"&gt;Public Record Only&lt;/a&gt;</t>
  </si>
  <si>
    <t>&lt;a href="http://a836-acris.nyc.gov/DS/DocumentSearch/DocumentDetail?doc_id=2019012400058001" target="_blank"&gt;Public Record Only&lt;/a&gt;</t>
  </si>
  <si>
    <t>&lt;a href="http://a836-acris.nyc.gov/DS/DocumentSearch/DocumentDetail?doc_id=2019011500750001" target="_blank"&gt;Public Record Only&lt;/a&gt;</t>
  </si>
  <si>
    <t>&lt;a href="http://a836-acris.nyc.gov/DS/DocumentSearch/DocumentDetail?doc_id=2019013000709001" target="_blank"&gt;Public Record Only&lt;/a&gt;</t>
  </si>
  <si>
    <t>&lt;a href="http://a836-acris.nyc.gov/DS/DocumentSearch/DocumentDetail?doc_id=2019012900018001" target="_blank"&gt;Public Record Only&lt;/a&gt;</t>
  </si>
  <si>
    <t>&lt;a href="http://a836-acris.nyc.gov/DS/DocumentSearch/DocumentDetail?doc_id=2019013000647003" target="_blank"&gt;Public Record Only&lt;/a&gt;</t>
  </si>
  <si>
    <t>&lt;a href="http://a836-acris.nyc.gov/DS/DocumentSearch/DocumentDetail?doc_id=2019021101159001" target="_blank"&gt;Public Record Only&lt;/a&gt;</t>
  </si>
  <si>
    <t>&lt;a href="http://a836-acris.nyc.gov/DS/DocumentSearch/DocumentDetail?doc_id=2019020800708007" target="_blank"&gt;Public Record Only&lt;/a&gt;</t>
  </si>
  <si>
    <t>&lt;a href="http://a836-acris.nyc.gov/DS/DocumentSearch/DocumentDetail?doc_id=2019020601182006" target="_blank"&gt;Public Record Only&lt;/a&gt;</t>
  </si>
  <si>
    <t>&lt;a href="http://a836-acris.nyc.gov/DS/DocumentSearch/DocumentDetail?doc_id=2019052200865001" target="_blank"&gt;Verified by Public Record&lt;/a&gt;</t>
  </si>
  <si>
    <t>&lt;a href="http://a836-acris.nyc.gov/DS/DocumentSearch/DocumentDetail?doc_id=2016062801201001" target="_blank"&gt;Verified by Public Record&lt;/a&gt;</t>
  </si>
  <si>
    <t>&lt;a href="http://a836-acris.nyc.gov/DS/DocumentSearch/DocumentDetail?doc_id=2016120200245001" target="_blank"&gt;Verified by Public Record&lt;/a&gt;</t>
  </si>
  <si>
    <t>&lt;a href="http://a836-acris.nyc.gov/DS/DocumentSearch/DocumentDetail?doc_id=2019030700238001" target="_blank"&gt;Public Record Only&lt;/a&gt;</t>
  </si>
  <si>
    <t>&lt;a href="http://a836-acris.nyc.gov/DS/DocumentSearch/DocumentDetail?doc_id=2019020600263001" target="_blank"&gt;Public Record Only&lt;/a&gt;</t>
  </si>
  <si>
    <t>&lt;a href="http://a836-acris.nyc.gov/DS/DocumentSearch/DocumentDetail?doc_id=2019031300666001" target="_blank"&gt;Public Record Only&lt;/a&gt;</t>
  </si>
  <si>
    <t>&lt;a href="http://a836-acris.nyc.gov/DS/DocumentSearch/DocumentDetail?doc_id=2019031400058001" target="_blank"&gt;Public Record Only&lt;/a&gt;</t>
  </si>
  <si>
    <t>&lt;a href="http://a836-acris.nyc.gov/DS/DocumentSearch/DocumentDetail?doc_id=2019031200901002" target="_blank"&gt;Public Record Only&lt;/a&gt;</t>
  </si>
  <si>
    <t>&lt;a href="http://a836-acris.nyc.gov/DS/DocumentSearch/DocumentDetail?doc_id=2019012400629002" target="_blank"&gt;Verified by Public Record&lt;/a&gt;</t>
  </si>
  <si>
    <t>&lt;a href="http://a836-acris.nyc.gov/DS/DocumentSearch/DocumentDetail?doc_id=2019032000717007" target="_blank"&gt;Public Record Only&lt;/a&gt;</t>
  </si>
  <si>
    <t>&lt;a href="http://a836-acris.nyc.gov/DS/DocumentSearch/DocumentDetail?doc_id=2019031801143001" target="_blank"&gt;Public Record Only&lt;/a&gt;</t>
  </si>
  <si>
    <t>&lt;a href="http://a836-acris.nyc.gov/DS/DocumentSearch/DocumentDetail?doc_id=2019032200725002" target="_blank"&gt;Public Record Only&lt;/a&gt;</t>
  </si>
  <si>
    <t>&lt;a href="http://a836-acris.nyc.gov/DS/DocumentSearch/DocumentDetail?doc_id=2019040301110001" target="_blank"&gt;Public Record Only&lt;/a&gt;</t>
  </si>
  <si>
    <t>&lt;a href="http://a836-acris.nyc.gov/DS/DocumentSearch/DocumentDetail?doc_id=2019040400296001" target="_blank"&gt;Public Record Only&lt;/a&gt;</t>
  </si>
  <si>
    <t>&lt;a href="http://a836-acris.nyc.gov/DS/DocumentSearch/DocumentDetail?doc_id=2020052100305001" target="_blank"&gt;Verified by Public Record&lt;/a&gt;</t>
  </si>
  <si>
    <t>&lt;a href="http://a836-acris.nyc.gov/DS/DocumentSearch/DocumentDetail?doc_id=2019041500768002" target="_blank"&gt;Public Record Only&lt;/a&gt;</t>
  </si>
  <si>
    <t>&lt;a href="http://a836-acris.nyc.gov/DS/DocumentSearch/DocumentDetail?doc_id=2019041200451001" target="_blank"&gt;Public Record Only&lt;/a&gt;</t>
  </si>
  <si>
    <t>&lt;a href="http://a836-acris.nyc.gov/DS/DocumentSearch/DocumentDetail?doc_id=2019041200565001" target="_blank"&gt;Public Record Only&lt;/a&gt;</t>
  </si>
  <si>
    <t>&lt;a href="http://a836-acris.nyc.gov/DS/DocumentSearch/DocumentDetail?doc_id=2019041600498001" target="_blank"&gt;Public Record Only&lt;/a&gt;</t>
  </si>
  <si>
    <t>&lt;a href="http://a836-acris.nyc.gov/DS/DocumentSearch/DocumentDetail?doc_id=2019041000327003" target="_blank"&gt;Public Record Only&lt;/a&gt;</t>
  </si>
  <si>
    <t>&lt;a href="http://a836-acris.nyc.gov/DS/DocumentSearch/DocumentDetail?doc_id=2019042401167002" target="_blank"&gt;Public Record Only&lt;/a&gt;</t>
  </si>
  <si>
    <t>&lt;a href="http://a836-acris.nyc.gov/DS/DocumentSearch/DocumentDetail?doc_id=2019042300974002" target="_blank"&gt;Public Record Only&lt;/a&gt;</t>
  </si>
  <si>
    <t>&lt;a href="http://a836-acris.nyc.gov/DS/DocumentSearch/DocumentDetail?doc_id=2018072500176002" target="_blank"&gt;Verified by Public Record&lt;/a&gt;</t>
  </si>
  <si>
    <t>&lt;a href="http://a836-acris.nyc.gov/DS/DocumentSearch/DocumentDetail?doc_id=2019061101138001" target="_blank"&gt;Verified by Public Record&lt;/a&gt;</t>
  </si>
  <si>
    <t>&lt;a href="http://a836-acris.nyc.gov/DS/DocumentSearch/DocumentDetail?doc_id=2019051600578001" target="_blank"&gt;Public Record Only&lt;/a&gt;</t>
  </si>
  <si>
    <t>&lt;a href="http://a836-acris.nyc.gov/DS/DocumentSearch/DocumentDetail?doc_id=2019051300131003" target="_blank"&gt;Public Record Only&lt;/a&gt;</t>
  </si>
  <si>
    <t>&lt;a href="http://a836-acris.nyc.gov/DS/DocumentSearch/DocumentDetail?doc_id=2019042600916001" target="_blank"&gt;Public Record Only&lt;/a&gt;</t>
  </si>
  <si>
    <t>&lt;a href="http://a836-acris.nyc.gov/DS/DocumentSearch/DocumentDetail?doc_id=2019051300841001" target="_blank"&gt;Public Record Only&lt;/a&gt;</t>
  </si>
  <si>
    <t>&lt;a href="http://a836-acris.nyc.gov/DS/DocumentSearch/DocumentDetail?doc_id=2019051000136001" target="_blank"&gt;Public Record Only&lt;/a&gt;</t>
  </si>
  <si>
    <t>&lt;a href="http://a836-acris.nyc.gov/DS/DocumentSearch/DocumentDetail?doc_id=2019060300851001" target="_blank"&gt;Public Record Only&lt;/a&gt;</t>
  </si>
  <si>
    <t>&lt;a href="http://a836-acris.nyc.gov/DS/DocumentSearch/DocumentDetail?doc_id=2019050900235003" target="_blank"&gt;Public Record Only&lt;/a&gt;</t>
  </si>
  <si>
    <t>&lt;a href="http://a836-acris.nyc.gov/DS/DocumentSearch/DocumentDetail?doc_id=2019051500881001" target="_blank"&gt;Public Record Only&lt;/a&gt;</t>
  </si>
  <si>
    <t>&lt;a href="http://a836-acris.nyc.gov/DS/DocumentSearch/DocumentDetail?doc_id=2019051300932001" target="_blank"&gt;Public Record Only&lt;/a&gt;</t>
  </si>
  <si>
    <t>&lt;a href="http://a836-acris.nyc.gov/DS/DocumentSearch/DocumentDetail?doc_id=2019053000947008" target="_blank"&gt;Public Record Only&lt;/a&gt;</t>
  </si>
  <si>
    <t>&lt;a href="http://a836-acris.nyc.gov/DS/DocumentSearch/DocumentDetail?doc_id=2019052800915001" target="_blank"&gt;Public Record Only&lt;/a&gt;</t>
  </si>
  <si>
    <t>&lt;a href="http://a836-acris.nyc.gov/DS/DocumentSearch/DocumentDetail?doc_id=2019061100793007" target="_blank"&gt;Public Record Only&lt;/a&gt;</t>
  </si>
  <si>
    <t>&lt;a href="http://a836-acris.nyc.gov/DS/DocumentSearch/DocumentDetail?doc_id=2019030800656009" target="_blank"&gt;Public Record Only&lt;/a&gt;</t>
  </si>
  <si>
    <t>&lt;a href="http://a836-acris.nyc.gov/DS/DocumentSearch/DocumentDetail?doc_id=2019060200056001" target="_blank"&gt;Public Record Only&lt;/a&gt;</t>
  </si>
  <si>
    <t>&lt;a href="http://a836-acris.nyc.gov/DS/DocumentSearch/DocumentDetail?doc_id=2019060401000001" target="_blank"&gt;Public Record Only&lt;/a&gt;</t>
  </si>
  <si>
    <t>&lt;a href="http://a836-acris.nyc.gov/DS/DocumentSearch/DocumentDetail?doc_id=2019051500703008" target="_blank"&gt;Public Record Only&lt;/a&gt;</t>
  </si>
  <si>
    <t>&lt;a href="http://a836-acris.nyc.gov/DS/DocumentSearch/DocumentDetail?doc_id=2019052100296004" target="_blank"&gt;Public Record Only&lt;/a&gt;</t>
  </si>
  <si>
    <t>&lt;a href="http://a836-acris.nyc.gov/DS/DocumentSearch/DocumentDetail?doc_id=2019053000882002" target="_blank"&gt;Public Record Only&lt;/a&gt;</t>
  </si>
  <si>
    <t>&lt;a href="http://a836-acris.nyc.gov/DS/DocumentSearch/DocumentDetail?doc_id=2019042900234001" target="_blank"&gt;Public Record Only&lt;/a&gt;</t>
  </si>
  <si>
    <t>&lt;a href="http://a836-acris.nyc.gov/DS/DocumentSearch/DocumentDetail?doc_id=2019050701181001" target="_blank"&gt;Public Record Only&lt;/a&gt;</t>
  </si>
  <si>
    <t>&lt;a href="http://a836-acris.nyc.gov/DS/DocumentSearch/DocumentDetail?doc_id=2019052000826001" target="_blank"&gt;Public Record Only&lt;/a&gt;</t>
  </si>
  <si>
    <t>&lt;a href="http://a836-acris.nyc.gov/DS/DocumentSearch/DocumentDetail?doc_id=2019052901037002" target="_blank"&gt;Public Record Only&lt;/a&gt;</t>
  </si>
  <si>
    <t>&lt;a href="http://a836-acris.nyc.gov/DS/DocumentSearch/DocumentDetail?doc_id=2019052900231002" target="_blank"&gt;Public Record Only&lt;/a&gt;</t>
  </si>
  <si>
    <t>&lt;a href="http://a836-acris.nyc.gov/DS/DocumentSearch/DocumentDetail?doc_id=2019042200156001" target="_blank"&gt;Public Record Only&lt;/a&gt;</t>
  </si>
  <si>
    <t>&lt;a href="http://a836-acris.nyc.gov/DS/DocumentSearch/DocumentDetail?doc_id=2019060700598001" target="_blank"&gt;Public Record Only&lt;/a&gt;</t>
  </si>
  <si>
    <t>&lt;a href="http://a836-acris.nyc.gov/DS/DocumentSearch/DocumentDetail?doc_id=2019052200789002" target="_blank"&gt;Public Record Only&lt;/a&gt;</t>
  </si>
  <si>
    <t>&lt;a href="http://a836-acris.nyc.gov/DS/DocumentSearch/DocumentDetail?doc_id=2019060500447001" target="_blank"&gt;Public Record Only&lt;/a&gt;</t>
  </si>
  <si>
    <t>&lt;a href="http://a836-acris.nyc.gov/DS/DocumentSearch/DocumentDetail?doc_id=2019052000109001" target="_blank"&gt;Public Record Only&lt;/a&gt;</t>
  </si>
  <si>
    <t>&lt;a href="http://a836-acris.nyc.gov/DS/DocumentSearch/DocumentDetail?doc_id=2019052101122001" target="_blank"&gt;Public Record Only&lt;/a&gt;</t>
  </si>
  <si>
    <t>&lt;a href="http://a836-acris.nyc.gov/DS/DocumentSearch/DocumentDetail?doc_id=2019060300711002" target="_blank"&gt;Public Record Only&lt;/a&gt;</t>
  </si>
  <si>
    <t>&lt;a href="http://a836-acris.nyc.gov/DS/DocumentSearch/DocumentDetail?doc_id=2019053100939001" target="_blank"&gt;Public Record Only&lt;/a&gt;</t>
  </si>
  <si>
    <t>&lt;a href="http://a836-acris.nyc.gov/DS/DocumentSearch/DocumentDetail?doc_id=2019060300827001" target="_blank"&gt;Public Record Only&lt;/a&gt;</t>
  </si>
  <si>
    <t>&lt;a href="http://a836-acris.nyc.gov/DS/DocumentSearch/DocumentDetail?doc_id=2019050200606001" target="_blank"&gt;Public Record Only&lt;/a&gt;</t>
  </si>
  <si>
    <t>&lt;a href="http://a836-acris.nyc.gov/DS/DocumentSearch/DocumentDetail?doc_id=2019052800100001" target="_blank"&gt;Public Record Only&lt;/a&gt;</t>
  </si>
  <si>
    <t>&lt;a href="http://a836-acris.nyc.gov/DS/DocumentSearch/DocumentDetail?doc_id=2019050100555002" target="_blank"&gt;Public Record Only&lt;/a&gt;</t>
  </si>
  <si>
    <t>&lt;a href="http://a836-acris.nyc.gov/DS/DocumentSearch/DocumentDetail?doc_id=2019052300398001" target="_blank"&gt;Public Record Only&lt;/a&gt;</t>
  </si>
  <si>
    <t>&lt;a href="http://a836-acris.nyc.gov/DS/DocumentSearch/DocumentDetail?doc_id=2019051400972001" target="_blank"&gt;Public Record Only&lt;/a&gt;</t>
  </si>
  <si>
    <t>&lt;a href="http://a836-acris.nyc.gov/DS/DocumentSearch/DocumentDetail?doc_id=2019060400510003" target="_blank"&gt;Public Record Only&lt;/a&gt;</t>
  </si>
  <si>
    <t>&lt;a href="http://a836-acris.nyc.gov/DS/DocumentSearch/DocumentDetail?doc_id=2019053100179001" target="_blank"&gt;Public Record Only&lt;/a&gt;</t>
  </si>
  <si>
    <t>&lt;a href="http://a836-acris.nyc.gov/DS/DocumentSearch/DocumentDetail?doc_id=2019050300480002" target="_blank"&gt;Public Record Only&lt;/a&gt;</t>
  </si>
  <si>
    <t>&lt;a href="http://a836-acris.nyc.gov/DS/DocumentSearch/DocumentDetail?doc_id=2019052800312001" target="_blank"&gt;Public Record Only&lt;/a&gt;</t>
  </si>
  <si>
    <t>&lt;a href="http://a836-acris.nyc.gov/DS/DocumentSearch/DocumentDetail?doc_id=2019062600606001" target="_blank"&gt;Verified by Public Record&lt;/a&gt;</t>
  </si>
  <si>
    <t>&lt;a href="http://a836-acris.nyc.gov/DS/DocumentSearch/DocumentDetail?doc_id=2019070900243001" target="_blank"&gt;Verified by Public Record&lt;/a&gt;</t>
  </si>
  <si>
    <t>&lt;a href="http://a836-acris.nyc.gov/DS/DocumentSearch/DocumentDetail?doc_id=2019070200194001" target="_blank"&gt;Verified by Public Record&lt;/a&gt;</t>
  </si>
  <si>
    <t>&lt;a href="http://a836-acris.nyc.gov/DS/DocumentSearch/DocumentDetail?doc_id=2017120700868001" target="_blank"&gt;Verified by Public Record&lt;/a&gt;</t>
  </si>
  <si>
    <t>&lt;a href="http://a836-acris.nyc.gov/DS/DocumentSearch/DocumentDetail?doc_id=2017061900538001" target="_blank"&gt;Public Record Only&lt;/a&gt;</t>
  </si>
  <si>
    <t>&lt;a href="http://a836-acris.nyc.gov/DS/DocumentSearch/DocumentDetail?doc_id=2017022300054001" target="_blank"&gt;Public Record Only&lt;/a&gt;</t>
  </si>
  <si>
    <t>&lt;a href="http://a836-acris.nyc.gov/DS/DocumentSearch/DocumentDetail?doc_id=2017052501343003" target="_blank"&gt;Public Record Only&lt;/a&gt;</t>
  </si>
  <si>
    <t>&lt;a href="http://a836-acris.nyc.gov/DS/DocumentSearch/DocumentDetail?doc_id=2017021501105001" target="_blank"&gt;Public Record Only&lt;/a&gt;</t>
  </si>
  <si>
    <t>&lt;a href="http://a836-acris.nyc.gov/DS/DocumentSearch/DocumentDetail?doc_id=2017030701075001" target="_blank"&gt;Public Record Only&lt;/a&gt;</t>
  </si>
  <si>
    <t>&lt;a href="http://a836-acris.nyc.gov/DS/DocumentSearch/DocumentDetail?doc_id=2017020601189001" target="_blank"&gt;Public Record Only&lt;/a&gt;</t>
  </si>
  <si>
    <t>&lt;a href="http://a836-acris.nyc.gov/DS/DocumentSearch/DocumentDetail?doc_id=2017022100433001" target="_blank"&gt;Public Record Only&lt;/a&gt;</t>
  </si>
  <si>
    <t>&lt;a href="http://a836-acris.nyc.gov/DS/DocumentSearch/DocumentDetail?doc_id=2017021300623001" target="_blank"&gt;Public Record Only&lt;/a&gt;</t>
  </si>
  <si>
    <t>&lt;a href="http://a836-acris.nyc.gov/DS/DocumentSearch/DocumentDetail?doc_id=2017051500029001" target="_blank"&gt;Public Record Only&lt;/a&gt;</t>
  </si>
  <si>
    <t>&lt;a href="http://a836-acris.nyc.gov/DS/DocumentSearch/DocumentDetail?doc_id=2017012601129001" target="_blank"&gt;Public Record Only&lt;/a&gt;</t>
  </si>
  <si>
    <t>&lt;a href="http://a836-acris.nyc.gov/DS/DocumentSearch/DocumentDetail?doc_id=2017050100533001" target="_blank"&gt;Public Record Only&lt;/a&gt;</t>
  </si>
  <si>
    <t>&lt;a href="http://a836-acris.nyc.gov/DS/DocumentSearch/DocumentDetail?doc_id=2017042600399001" target="_blank"&gt;Public Record Only&lt;/a&gt;</t>
  </si>
  <si>
    <t>&lt;a href="http://a836-acris.nyc.gov/DS/DocumentSearch/DocumentDetail?doc_id=2017042800854001" target="_blank"&gt;Public Record Only&lt;/a&gt;</t>
  </si>
  <si>
    <t>&lt;a href="http://a836-acris.nyc.gov/DS/DocumentSearch/DocumentDetail?doc_id=2017082400862001" target="_blank"&gt;Public Record Only&lt;/a&gt;</t>
  </si>
  <si>
    <t>&lt;a href="http://a836-acris.nyc.gov/DS/DocumentSearch/DocumentDetail?doc_id=2017022300309001" target="_blank"&gt;Public Record Only&lt;/a&gt;</t>
  </si>
  <si>
    <t>&lt;a href="http://a836-acris.nyc.gov/DS/DocumentSearch/DocumentDetail?doc_id=2017102601432001" target="_blank"&gt;Public Record Only&lt;/a&gt;</t>
  </si>
  <si>
    <t>&lt;a href="http://a836-acris.nyc.gov/DS/DocumentSearch/DocumentDetail?doc_id=2017052501267002" target="_blank"&gt;Public Record Only&lt;/a&gt;</t>
  </si>
  <si>
    <t>&lt;a href="http://a836-acris.nyc.gov/DS/DocumentSearch/DocumentDetail?doc_id=2017032300674002" target="_blank"&gt;Public Record Only&lt;/a&gt;</t>
  </si>
  <si>
    <t>&lt;a href="http://a836-acris.nyc.gov/DS/DocumentSearch/DocumentDetail?doc_id=2017062200186001" target="_blank"&gt;Public Record Only&lt;/a&gt;</t>
  </si>
  <si>
    <t>&lt;a href="http://a836-acris.nyc.gov/DS/DocumentSearch/DocumentDetail?doc_id=2017072700914002" target="_blank"&gt;Public Record Only&lt;/a&gt;</t>
  </si>
  <si>
    <t>&lt;a href="http://a836-acris.nyc.gov/DS/DocumentSearch/DocumentDetail?doc_id=2017031600904001" target="_blank"&gt;Public Record Only&lt;/a&gt;</t>
  </si>
  <si>
    <t>&lt;a href="http://a836-acris.nyc.gov/DS/DocumentSearch/DocumentDetail?doc_id=2017031700961001" target="_blank"&gt;Public Record Only&lt;/a&gt;</t>
  </si>
  <si>
    <t>&lt;a href="http://a836-acris.nyc.gov/DS/DocumentSearch/DocumentDetail?doc_id=2017032101029001" target="_blank"&gt;Public Record Only&lt;/a&gt;</t>
  </si>
  <si>
    <t>&lt;a href="http://a836-acris.nyc.gov/DS/DocumentSearch/DocumentDetail?doc_id=2017083000889001" target="_blank"&gt;Public Record Only&lt;/a&gt;</t>
  </si>
  <si>
    <t>&lt;a href="http://a836-acris.nyc.gov/DS/DocumentSearch/DocumentDetail?doc_id=2017032101027001" target="_blank"&gt;Public Record Only&lt;/a&gt;</t>
  </si>
  <si>
    <t>&lt;a href="http://a836-acris.nyc.gov/DS/DocumentSearch/DocumentDetail?doc_id=2017041300241001" target="_blank"&gt;Public Record Only&lt;/a&gt;</t>
  </si>
  <si>
    <t>&lt;a href="http://a836-acris.nyc.gov/DS/DocumentSearch/DocumentDetail?doc_id=2017040400256001" target="_blank"&gt;Public Record Only&lt;/a&gt;</t>
  </si>
  <si>
    <t>&lt;a href="http://a836-acris.nyc.gov/DS/DocumentSearch/DocumentDetail?doc_id=2017060701217001" target="_blank"&gt;Public Record Only&lt;/a&gt;</t>
  </si>
  <si>
    <t>&lt;a href="http://a836-acris.nyc.gov/DS/DocumentSearch/DocumentDetail?doc_id=2017042400496001" target="_blank"&gt;Public Record Only&lt;/a&gt;</t>
  </si>
  <si>
    <t>&lt;a href="http://a836-acris.nyc.gov/DS/DocumentSearch/DocumentDetail?doc_id=2018042501012001" target="_blank"&gt;Public Record Only&lt;/a&gt;</t>
  </si>
  <si>
    <t>&lt;a href="http://a836-acris.nyc.gov/DS/DocumentSearch/DocumentDetail?doc_id=2016020100975001" target="_blank"&gt;Public Record Only&lt;/a&gt;</t>
  </si>
  <si>
    <t>&lt;a href="http://a836-acris.nyc.gov/DS/DocumentSearch/DocumentDetail?doc_id=2017092201110003" target="_blank"&gt;Public Record Only&lt;/a&gt;</t>
  </si>
  <si>
    <t>&lt;a href="http://a836-acris.nyc.gov/DS/DocumentSearch/DocumentDetail?doc_id=2017062600199001" target="_blank"&gt;Public Record Only&lt;/a&gt;</t>
  </si>
  <si>
    <t>&lt;a href="http://a836-acris.nyc.gov/DS/DocumentSearch/DocumentDetail?doc_id=2018040600304001" target="_blank"&gt;Public Record Only&lt;/a&gt;</t>
  </si>
  <si>
    <t>&lt;a href="http://a836-acris.nyc.gov/DS/DocumentSearch/DocumentDetail?doc_id=2017110700351003" target="_blank"&gt;Public Record Only&lt;/a&gt;</t>
  </si>
  <si>
    <t>&lt;a href="http://a836-acris.nyc.gov/DS/DocumentSearch/DocumentDetail?doc_id=2016120701011001" target="_blank"&gt;Public Record Only&lt;/a&gt;</t>
  </si>
  <si>
    <t>&lt;a href="http://a836-acris.nyc.gov/DS/DocumentSearch/DocumentDetail?doc_id=2015022000359001" target="_blank"&gt;Public Record Only&lt;/a&gt;</t>
  </si>
  <si>
    <t>&lt;a href="http://a836-acris.nyc.gov/DS/DocumentSearch/DocumentDetail?doc_id=2016101300558001" target="_blank"&gt;Public Record Only&lt;/a&gt;</t>
  </si>
  <si>
    <t>&lt;a href="http://a836-acris.nyc.gov/DS/DocumentSearch/DocumentDetail?doc_id=2017111300783001" target="_blank"&gt;Public Record Only&lt;/a&gt;</t>
  </si>
  <si>
    <t>&lt;a href="http://a836-acris.nyc.gov/DS/DocumentSearch/DocumentDetail?doc_id=2017051800988001" target="_blank"&gt;Public Record Only&lt;/a&gt;</t>
  </si>
  <si>
    <t>&lt;a href="http://a836-acris.nyc.gov/DS/DocumentSearch/DocumentDetail?doc_id=2015080501379002" target="_blank"&gt;Public Record Only&lt;/a&gt;</t>
  </si>
  <si>
    <t>&lt;a href="http://a836-acris.nyc.gov/DS/DocumentSearch/DocumentDetail?doc_id=2015090300986003" target="_blank"&gt;Public Record Only&lt;/a&gt;</t>
  </si>
  <si>
    <t>&lt;a href="http://a836-acris.nyc.gov/DS/DocumentSearch/DocumentDetail?doc_id=2016053100280001" target="_blank"&gt;Public Record Only&lt;/a&gt;</t>
  </si>
  <si>
    <t>&lt;a href="http://a836-acris.nyc.gov/DS/DocumentSearch/DocumentDetail?doc_id=2016053100123003" target="_blank"&gt;Public Record Only&lt;/a&gt;</t>
  </si>
  <si>
    <t>&lt;a href="http://a836-acris.nyc.gov/DS/DocumentSearch/DocumentDetail?doc_id=2016050200647001" target="_blank"&gt;Public Record Only&lt;/a&gt;</t>
  </si>
  <si>
    <t>&lt;a href="http://a836-acris.nyc.gov/DS/DocumentSearch/DocumentDetail?doc_id=2016053100794001" target="_blank"&gt;Public Record Only&lt;/a&gt;</t>
  </si>
  <si>
    <t>&lt;a href="http://a836-acris.nyc.gov/DS/DocumentSearch/DocumentDetail?doc_id=2016060301380001" target="_blank"&gt;Public Record Only&lt;/a&gt;</t>
  </si>
  <si>
    <t>&lt;a href="http://a836-acris.nyc.gov/DS/DocumentSearch/DocumentDetail?doc_id=2016080101278001" target="_blank"&gt;Public Record Only&lt;/a&gt;</t>
  </si>
  <si>
    <t>&lt;a href="http://a836-acris.nyc.gov/DS/DocumentSearch/DocumentDetail?doc_id=2016050601065001" target="_blank"&gt;Public Record Only&lt;/a&gt;</t>
  </si>
  <si>
    <t>&lt;a href="http://a836-acris.nyc.gov/DS/DocumentSearch/DocumentDetail?doc_id=2016061401018001" target="_blank"&gt;Public Record Only&lt;/a&gt;</t>
  </si>
  <si>
    <t>&lt;a href="http://a836-acris.nyc.gov/DS/DocumentSearch/DocumentDetail?doc_id=2017063000265001" target="_blank"&gt;Public Record Only&lt;/a&gt;</t>
  </si>
  <si>
    <t>&lt;a href="http://a836-acris.nyc.gov/DS/DocumentSearch/DocumentDetail?doc_id=2016021602203001" target="_blank"&gt;Public Record Only&lt;/a&gt;</t>
  </si>
  <si>
    <t>&lt;a href="http://a836-acris.nyc.gov/DS/DocumentSearch/DocumentDetail?doc_id=2016021101091001" target="_blank"&gt;Public Record Only&lt;/a&gt;</t>
  </si>
  <si>
    <t>&lt;a href="http://a836-acris.nyc.gov/DS/DocumentSearch/DocumentDetail?doc_id=2017072701228001" target="_blank"&gt;Public Record Only&lt;/a&gt;</t>
  </si>
  <si>
    <t>&lt;a href="http://a836-acris.nyc.gov/DS/DocumentSearch/DocumentDetail?doc_id=2017031700827001" target="_blank"&gt;Public Record Only&lt;/a&gt;</t>
  </si>
  <si>
    <t>&lt;a href="http://a836-acris.nyc.gov/DS/DocumentSearch/DocumentDetail?doc_id=2018022201204001" target="_blank"&gt;Public Record Only&lt;/a&gt;</t>
  </si>
  <si>
    <t>&lt;a href="http://a836-acris.nyc.gov/DS/DocumentSearch/DocumentDetail?doc_id=2018022200562001" target="_blank"&gt;Public Record Only&lt;/a&gt;</t>
  </si>
  <si>
    <t>&lt;a href="http://a836-acris.nyc.gov/DS/DocumentSearch/DocumentDetail?doc_id=2015122300812001" target="_blank"&gt;Public Record Only&lt;/a&gt;</t>
  </si>
  <si>
    <t>&lt;a href="http://a836-acris.nyc.gov/DS/DocumentSearch/DocumentDetail?doc_id=2017091400644001" target="_blank"&gt;Public Record Only&lt;/a&gt;</t>
  </si>
  <si>
    <t>&lt;a href="http://a836-acris.nyc.gov/DS/DocumentSearch/DocumentDetail?doc_id=2017032201367001" target="_blank"&gt;Public Record Only&lt;/a&gt;</t>
  </si>
  <si>
    <t>&lt;a href="http://a836-acris.nyc.gov/DS/DocumentSearch/DocumentDetail?doc_id=2017072800472001" target="_blank"&gt;Public Record Only&lt;/a&gt;</t>
  </si>
  <si>
    <t>&lt;a href="http://a836-acris.nyc.gov/DS/DocumentSearch/DocumentDetail?doc_id=2017090800407001" target="_blank"&gt;Public Record Only&lt;/a&gt;</t>
  </si>
  <si>
    <t>&lt;a href="http://a836-acris.nyc.gov/DS/DocumentSearch/DocumentDetail?doc_id=2018053100359001" target="_blank"&gt;Public Record Only&lt;/a&gt;</t>
  </si>
  <si>
    <t>&lt;a href="http://a836-acris.nyc.gov/DS/DocumentSearch/DocumentDetail?doc_id=2017050100446001" target="_blank"&gt;Public Record Only&lt;/a&gt;</t>
  </si>
  <si>
    <t>&lt;a href="http://a836-acris.nyc.gov/DS/DocumentSearch/DocumentDetail?doc_id=2017041400688001" target="_blank"&gt;Public Record Only&lt;/a&gt;</t>
  </si>
  <si>
    <t>&lt;a href="http://a836-acris.nyc.gov/DS/DocumentSearch/DocumentDetail?doc_id=2017091401180001" target="_blank"&gt;Public Record Only&lt;/a&gt;</t>
  </si>
  <si>
    <t>&lt;a href="http://a836-acris.nyc.gov/DS/DocumentSearch/DocumentDetail?doc_id=2017101000509001" target="_blank"&gt;Public Record Only&lt;/a&gt;</t>
  </si>
  <si>
    <t>&lt;a href="http://a836-acris.nyc.gov/DS/DocumentSearch/DocumentDetail?doc_id=2017032801448001" target="_blank"&gt;Public Record Only&lt;/a&gt;</t>
  </si>
  <si>
    <t>&lt;a href="http://a836-acris.nyc.gov/DS/DocumentSearch/DocumentDetail?doc_id=2018020700680001" target="_blank"&gt;Public Record Only&lt;/a&gt;</t>
  </si>
  <si>
    <t>&lt;a href="http://a836-acris.nyc.gov/DS/DocumentSearch/DocumentDetail?doc_id=2018031900204001" target="_blank"&gt;Public Record Only&lt;/a&gt;</t>
  </si>
  <si>
    <t>&lt;a href="http://a836-acris.nyc.gov/DS/DocumentSearch/DocumentDetail?doc_id=2018050700245001" target="_blank"&gt;Public Record Only&lt;/a&gt;</t>
  </si>
  <si>
    <t>&lt;a href="http://a836-acris.nyc.gov/DS/DocumentSearch/DocumentDetail?doc_id=2018031600179002" target="_blank"&gt;Public Record Only&lt;/a&gt;</t>
  </si>
  <si>
    <t>&lt;a href="http://a836-acris.nyc.gov/DS/DocumentSearch/DocumentDetail?doc_id=2018040400537001" target="_blank"&gt;Public Record Only&lt;/a&gt;</t>
  </si>
  <si>
    <t>&lt;a href="http://a836-acris.nyc.gov/DS/DocumentSearch/DocumentDetail?doc_id=2018052900788001" target="_blank"&gt;Public Record Only&lt;/a&gt;</t>
  </si>
  <si>
    <t>&lt;a href="http://a836-acris.nyc.gov/DS/DocumentSearch/DocumentDetail?doc_id=2018061200224007" target="_blank"&gt;Public Record Only&lt;/a&gt;</t>
  </si>
  <si>
    <t>&lt;a href="http://a836-acris.nyc.gov/DS/DocumentSearch/DocumentDetail?doc_id=2018051800676001" target="_blank"&gt;Public Record Only&lt;/a&gt;</t>
  </si>
  <si>
    <t>&lt;a href="http://a836-acris.nyc.gov/DS/DocumentSearch/DocumentDetail?doc_id=2018040200304001" target="_blank"&gt;Public Record Only&lt;/a&gt;</t>
  </si>
  <si>
    <t>&lt;a href="http://a836-acris.nyc.gov/DS/DocumentSearch/DocumentDetail?doc_id=2018032100261001" target="_blank"&gt;Public Record Only&lt;/a&gt;</t>
  </si>
  <si>
    <t>&lt;a href="http://a836-acris.nyc.gov/DS/DocumentSearch/DocumentDetail?doc_id=2018030500554001" target="_blank"&gt;Public Record Only&lt;/a&gt;</t>
  </si>
  <si>
    <t>&lt;a href="http://a836-acris.nyc.gov/DS/DocumentSearch/DocumentDetail?doc_id=2018052300796001" target="_blank"&gt;Public Record Only&lt;/a&gt;</t>
  </si>
  <si>
    <t>&lt;a href="http://a836-acris.nyc.gov/DS/DocumentSearch/DocumentDetail?doc_id=2016042701266001" target="_blank"&gt;Public Record Only&lt;/a&gt;</t>
  </si>
  <si>
    <t>&lt;a href="http://a836-acris.nyc.gov/DS/DocumentSearch/DocumentDetail?doc_id=2016050200080001" target="_blank"&gt;Public Record Only&lt;/a&gt;</t>
  </si>
  <si>
    <t>&lt;a href="http://a836-acris.nyc.gov/DS/DocumentSearch/DocumentDetail?doc_id=2016050400058001" target="_blank"&gt;Public Record Only&lt;/a&gt;</t>
  </si>
  <si>
    <t>&lt;a href="http://a836-acris.nyc.gov/DS/DocumentSearch/DocumentDetail?doc_id=2016050100023003" target="_blank"&gt;Public Record Only&lt;/a&gt;</t>
  </si>
  <si>
    <t>&lt;a href="http://a836-acris.nyc.gov/DS/DocumentSearch/DocumentDetail?doc_id=2017013100220003" target="_blank"&gt;Public Record Only&lt;/a&gt;</t>
  </si>
  <si>
    <t>&lt;a href="http://a836-acris.nyc.gov/DS/DocumentSearch/DocumentDetail?doc_id=2017010300558001" target="_blank"&gt;Public Record Only&lt;/a&gt;</t>
  </si>
  <si>
    <t>&lt;a href="http://a836-acris.nyc.gov/DS/DocumentSearch/DocumentDetail?doc_id=2017013001306001" target="_blank"&gt;Public Record Only&lt;/a&gt;</t>
  </si>
  <si>
    <t>&lt;a href="http://a836-acris.nyc.gov/DS/DocumentSearch/DocumentDetail?doc_id=2017071101085001" target="_blank"&gt;Public Record Only&lt;/a&gt;</t>
  </si>
  <si>
    <t>&lt;a href="http://a836-acris.nyc.gov/DS/DocumentSearch/DocumentDetail?doc_id=2017081401276001" target="_blank"&gt;Public Record Only&lt;/a&gt;</t>
  </si>
  <si>
    <t>&lt;a href="http://a836-acris.nyc.gov/DS/DocumentSearch/DocumentDetail?doc_id=2017060800611002" target="_blank"&gt;Public Record Only&lt;/a&gt;</t>
  </si>
  <si>
    <t>&lt;a href="http://a836-acris.nyc.gov/DS/DocumentSearch/DocumentDetail?doc_id=2017062000830001" target="_blank"&gt;Public Record Only&lt;/a&gt;</t>
  </si>
  <si>
    <t>&lt;a href="http://a836-acris.nyc.gov/DS/DocumentSearch/DocumentDetail?doc_id=2017062601408001" target="_blank"&gt;Public Record Only&lt;/a&gt;</t>
  </si>
  <si>
    <t>&lt;a href="http://a836-acris.nyc.gov/DS/DocumentSearch/DocumentDetail?doc_id=2017071100990002" target="_blank"&gt;Public Record Only&lt;/a&gt;</t>
  </si>
  <si>
    <t>&lt;a href="http://a836-acris.nyc.gov/DS/DocumentSearch/DocumentDetail?doc_id=2017060100930001" target="_blank"&gt;Public Record Only&lt;/a&gt;</t>
  </si>
  <si>
    <t>&lt;a href="http://a836-acris.nyc.gov/DS/DocumentSearch/DocumentDetail?doc_id=2018061500313001" target="_blank"&gt;Public Record Only&lt;/a&gt;</t>
  </si>
  <si>
    <t>&lt;a href="http://a836-acris.nyc.gov/DS/DocumentSearch/DocumentDetail?doc_id=2016080400892001" target="_blank"&gt;Public Record Only&lt;/a&gt;</t>
  </si>
  <si>
    <t>&lt;a href="http://a836-acris.nyc.gov/DS/DocumentSearch/DocumentDetail?doc_id=2017040700195001" target="_blank"&gt;Public Record Only&lt;/a&gt;</t>
  </si>
  <si>
    <t>&lt;a href="http://a836-acris.nyc.gov/DS/DocumentSearch/DocumentDetail?doc_id=2016092701421001" target="_blank"&gt;Public Record Only&lt;/a&gt;</t>
  </si>
  <si>
    <t>&lt;a href="http://a836-acris.nyc.gov/DS/DocumentSearch/DocumentDetail?doc_id=2016071801228001" target="_blank"&gt;Public Record Only&lt;/a&gt;</t>
  </si>
  <si>
    <t>&lt;a href="http://a836-acris.nyc.gov/DS/DocumentSearch/DocumentDetail?doc_id=2017042600172001" target="_blank"&gt;Public Record Only&lt;/a&gt;</t>
  </si>
  <si>
    <t>&lt;a href="http://a836-acris.nyc.gov/DS/DocumentSearch/DocumentDetail?doc_id=2017051900916001" target="_blank"&gt;Public Record Only&lt;/a&gt;</t>
  </si>
  <si>
    <t>&lt;a href="http://a836-acris.nyc.gov/DS/DocumentSearch/DocumentDetail?doc_id=2016011900554001" target="_blank"&gt;Public Record Only&lt;/a&gt;</t>
  </si>
  <si>
    <t>&lt;a href="http://a836-acris.nyc.gov/DS/DocumentSearch/DocumentDetail?doc_id=2015021901168001" target="_blank"&gt;Verified by Public Record&lt;/a&gt;</t>
  </si>
  <si>
    <t>&lt;a href="http://a836-acris.nyc.gov/DS/DocumentSearch/DocumentDetail?doc_id=2017041200515001" target="_blank"&gt;Public Record Only&lt;/a&gt;</t>
  </si>
  <si>
    <t>&lt;a href="http://a836-acris.nyc.gov/DS/DocumentSearch/DocumentDetail?doc_id=2016010400332001" target="_blank"&gt;Verified by Public Record&lt;/a&gt;</t>
  </si>
  <si>
    <t>&lt;a href="http://a836-acris.nyc.gov/DS/DocumentSearch/DocumentDetail?doc_id=2015111900914003" target="_blank"&gt;Public Record Only&lt;/a&gt;</t>
  </si>
  <si>
    <t>&lt;a href="http://a836-acris.nyc.gov/DS/DocumentSearch/DocumentDetail?doc_id=2015010600195001" target="_blank"&gt;Verified by Public Record&lt;/a&gt;</t>
  </si>
  <si>
    <t>&lt;a href="http://a836-acris.nyc.gov/DS/DocumentSearch/DocumentDetail?doc_id=2016100500245001" target="_blank"&gt;Public Record Only&lt;/a&gt;</t>
  </si>
  <si>
    <t>&lt;a href="http://a836-acris.nyc.gov/DS/DocumentSearch/DocumentDetail?doc_id=2016092300008002" target="_blank"&gt;Public Record Only&lt;/a&gt;</t>
  </si>
  <si>
    <t>&lt;a href="http://a836-acris.nyc.gov/DS/DocumentSearch/DocumentDetail?doc_id=2016101900494001" target="_blank"&gt;Public Record Only&lt;/a&gt;</t>
  </si>
  <si>
    <t>&lt;a href="http://a836-acris.nyc.gov/DS/DocumentSearch/DocumentDetail?doc_id=2017043000100001" target="_blank"&gt;Public Record Only&lt;/a&gt;</t>
  </si>
  <si>
    <t>&lt;a href="http://a836-acris.nyc.gov/DS/DocumentSearch/DocumentDetail?doc_id=2006071000144001" target="_blank"&gt;Public Record Only&lt;/a&gt;</t>
  </si>
  <si>
    <t>&lt;a href="http://a836-acris.nyc.gov/DS/DocumentSearch/DocumentDetail?doc_id=2018062500118001" target="_blank"&gt;Public Record Only&lt;/a&gt;</t>
  </si>
  <si>
    <t>&lt;a href="http://a836-acris.nyc.gov/DS/DocumentSearch/DocumentDetail?doc_id=2017050300356005" target="_blank"&gt;Public Record Only&lt;/a&gt;</t>
  </si>
  <si>
    <t>&lt;a href="http://a836-acris.nyc.gov/DS/DocumentSearch/DocumentDetail?doc_id=2017010601415001" target="_blank"&gt;Public Record Only&lt;/a&gt;</t>
  </si>
  <si>
    <t>&lt;a href="http://a836-acris.nyc.gov/DS/DocumentSearch/DocumentDetail?doc_id=2018062501204001" target="_blank"&gt;Public Record Only&lt;/a&gt;</t>
  </si>
  <si>
    <t>&lt;a href="http://a836-acris.nyc.gov/DS/DocumentSearch/DocumentDetail?doc_id=2018062501130001" target="_blank"&gt;Public Record Only&lt;/a&gt;</t>
  </si>
  <si>
    <t>&lt;a href="http://a836-acris.nyc.gov/DS/DocumentSearch/DocumentDetail?doc_id=2018062501193001" target="_blank"&gt;Public Record Only&lt;/a&gt;</t>
  </si>
  <si>
    <t>&lt;a href="http://a836-acris.nyc.gov/DS/DocumentSearch/DocumentDetail?doc_id=2018062500971001" target="_blank"&gt;Public Record Only&lt;/a&gt;</t>
  </si>
  <si>
    <t>&lt;a href="http://a836-acris.nyc.gov/DS/DocumentSearch/DocumentDetail?doc_id=2018062500069001" target="_blank"&gt;Public Record Only&lt;/a&gt;</t>
  </si>
  <si>
    <t>&lt;a href="http://a836-acris.nyc.gov/DS/DocumentSearch/DocumentDetail?doc_id=2018062501229001" target="_blank"&gt;Public Record Only&lt;/a&gt;</t>
  </si>
  <si>
    <t>&lt;a href="http://a836-acris.nyc.gov/DS/DocumentSearch/DocumentDetail?doc_id=2018062500925001" target="_blank"&gt;Public Record Only&lt;/a&gt;</t>
  </si>
  <si>
    <t>&lt;a href="http://a836-acris.nyc.gov/DS/DocumentSearch/DocumentDetail?doc_id=2018062500952001" target="_blank"&gt;Public Record Only&lt;/a&gt;</t>
  </si>
  <si>
    <t>&lt;a href="http://a836-acris.nyc.gov/DS/DocumentSearch/DocumentDetail?doc_id=2018062500795001" target="_blank"&gt;Public Record Only&lt;/a&gt;</t>
  </si>
  <si>
    <t>&lt;a href="http://a836-acris.nyc.gov/DS/DocumentSearch/DocumentDetail?doc_id=2018062500820001" target="_blank"&gt;Public Record Only&lt;/a&gt;</t>
  </si>
  <si>
    <t>&lt;a href="http://a836-acris.nyc.gov/DS/DocumentSearch/DocumentDetail?doc_id=2018062500693001" target="_blank"&gt;Public Record Only&lt;/a&gt;</t>
  </si>
  <si>
    <t>&lt;a href="http://a836-acris.nyc.gov/DS/DocumentSearch/DocumentDetail?doc_id=2016030901302002" target="_blank"&gt;Public Record Only&lt;/a&gt;</t>
  </si>
  <si>
    <t>&lt;a href="http://a836-acris.nyc.gov/DS/DocumentSearch/DocumentDetail?doc_id=2018062500744001" target="_blank"&gt;Public Record Only&lt;/a&gt;</t>
  </si>
  <si>
    <t>&lt;a href="http://a836-acris.nyc.gov/DS/DocumentSearch/DocumentDetail?doc_id=2016110201178002" target="_blank"&gt;Public Record Only&lt;/a&gt;</t>
  </si>
  <si>
    <t>&lt;a href="http://a836-acris.nyc.gov/DS/DocumentSearch/DocumentDetail?doc_id=2016032401218001" target="_blank"&gt;Public Record Only&lt;/a&gt;</t>
  </si>
  <si>
    <t>&lt;a href="http://a836-acris.nyc.gov/DS/DocumentSearch/DocumentDetail?doc_id=2016083000157007" target="_blank"&gt;Public Record Only&lt;/a&gt;</t>
  </si>
  <si>
    <t>&lt;a href="http://a836-acris.nyc.gov/DS/DocumentSearch/DocumentDetail?doc_id=2016050901360001" target="_blank"&gt;Public Record Only&lt;/a&gt;</t>
  </si>
  <si>
    <t>&lt;a href="http://a836-acris.nyc.gov/DS/DocumentSearch/DocumentDetail?doc_id=2018062500622001" target="_blank"&gt;Public Record Only&lt;/a&gt;</t>
  </si>
  <si>
    <t>&lt;a href="http://a836-acris.nyc.gov/DS/DocumentSearch/DocumentDetail?doc_id=2018062500586001" target="_blank"&gt;Public Record Only&lt;/a&gt;</t>
  </si>
  <si>
    <t>&lt;a href="http://a836-acris.nyc.gov/DS/DocumentSearch/DocumentDetail?doc_id=2018062500061001" target="_blank"&gt;Public Record Only&lt;/a&gt;</t>
  </si>
  <si>
    <t>&lt;a href="http://a836-acris.nyc.gov/DS/DocumentSearch/DocumentDetail?doc_id=2018062500277001" target="_blank"&gt;Public Record Only&lt;/a&gt;</t>
  </si>
  <si>
    <t>&lt;a href="http://a836-acris.nyc.gov/DS/DocumentSearch/DocumentDetail?doc_id=2018062500253001" target="_blank"&gt;Public Record Only&lt;/a&gt;</t>
  </si>
  <si>
    <t>&lt;a href="http://a836-acris.nyc.gov/DS/DocumentSearch/DocumentDetail?doc_id=2018062500533001" target="_blank"&gt;Public Record Only&lt;/a&gt;</t>
  </si>
  <si>
    <t>&lt;a href="http://a836-acris.nyc.gov/DS/DocumentSearch/DocumentDetail?doc_id=2018062500232001" target="_blank"&gt;Public Record Only&lt;/a&gt;</t>
  </si>
  <si>
    <t>&lt;a href="http://a836-acris.nyc.gov/DS/DocumentSearch/DocumentDetail?doc_id=2018062500101001" target="_blank"&gt;Public Record Only&lt;/a&gt;</t>
  </si>
  <si>
    <t>&lt;a href="http://a836-acris.nyc.gov/DS/DocumentSearch/DocumentDetail?doc_id=2017091100405001" target="_blank"&gt;Public Record Only&lt;/a&gt;</t>
  </si>
  <si>
    <t>&lt;a href="http://a836-acris.nyc.gov/DS/DocumentSearch/DocumentDetail?doc_id=2017082200954001" target="_blank"&gt;Public Record Only&lt;/a&gt;</t>
  </si>
  <si>
    <t>&lt;a href="http://a836-acris.nyc.gov/DS/DocumentSearch/DocumentDetail?doc_id=2017090501077001" target="_blank"&gt;Public Record Only&lt;/a&gt;</t>
  </si>
  <si>
    <t>&lt;a href="http://a836-acris.nyc.gov/DS/DocumentSearch/DocumentDetail?doc_id=2017091100025001" target="_blank"&gt;Public Record Only&lt;/a&gt;</t>
  </si>
  <si>
    <t>&lt;a href="http://a836-acris.nyc.gov/DS/DocumentSearch/DocumentDetail?doc_id=2018010200797001" target="_blank"&gt;Public Record Only&lt;/a&gt;</t>
  </si>
  <si>
    <t>&lt;a href="http://a836-acris.nyc.gov/DS/DocumentSearch/DocumentDetail?doc_id=2015080300323001" target="_blank"&gt;Public Record Only&lt;/a&gt;</t>
  </si>
  <si>
    <t>&lt;a href="http://a836-acris.nyc.gov/DS/DocumentSearch/DocumentDetail?doc_id=2015080300469003" target="_blank"&gt;Public Record Only&lt;/a&gt;</t>
  </si>
  <si>
    <t>&lt;a href="http://a836-acris.nyc.gov/DS/DocumentSearch/DocumentDetail?doc_id=2015080700132001" target="_blank"&gt;Public Record Only&lt;/a&gt;</t>
  </si>
  <si>
    <t>&lt;a href="http://a836-acris.nyc.gov/DS/DocumentSearch/DocumentDetail?doc_id=2015071300956007" target="_blank"&gt;Public Record Only&lt;/a&gt;</t>
  </si>
  <si>
    <t>&lt;a href="http://a836-acris.nyc.gov/DS/DocumentSearch/DocumentDetail?doc_id=2017062201169001" target="_blank"&gt;Public Record Only&lt;/a&gt;</t>
  </si>
  <si>
    <t>&lt;a href="http://a836-acris.nyc.gov/DS/DocumentSearch/DocumentDetail?doc_id=2017082901240004" target="_blank"&gt;Public Record Only&lt;/a&gt;</t>
  </si>
  <si>
    <t>&lt;a href="http://a836-acris.nyc.gov/DS/DocumentSearch/DocumentDetail?doc_id=2015110900212003" target="_blank"&gt;Public Record Only&lt;/a&gt;</t>
  </si>
  <si>
    <t>&lt;a href="http://a836-acris.nyc.gov/DS/DocumentSearch/DocumentDetail?doc_id=2016101600071001" target="_blank"&gt;Public Record Only&lt;/a&gt;</t>
  </si>
  <si>
    <t>&lt;a href="http://a836-acris.nyc.gov/DS/DocumentSearch/DocumentDetail?doc_id=2016070800860001" target="_blank"&gt;Public Record Only&lt;/a&gt;</t>
  </si>
  <si>
    <t>&lt;a href="http://a836-acris.nyc.gov/DS/DocumentSearch/DocumentDetail?doc_id=2016051701120001" target="_blank"&gt;Public Record Only&lt;/a&gt;</t>
  </si>
  <si>
    <t>&lt;a href="http://a836-acris.nyc.gov/DS/DocumentSearch/DocumentDetail?doc_id=2016092200568001" target="_blank"&gt;Public Record Only&lt;/a&gt;</t>
  </si>
  <si>
    <t>&lt;a href="http://a836-acris.nyc.gov/DS/DocumentSearch/DocumentDetail?doc_id=2016072101456001" target="_blank"&gt;Public Record Only&lt;/a&gt;</t>
  </si>
  <si>
    <t>&lt;a href="http://a836-acris.nyc.gov/DS/DocumentSearch/DocumentDetail?doc_id=2016071101198001" target="_blank"&gt;Public Record Only&lt;/a&gt;</t>
  </si>
  <si>
    <t>&lt;a href="http://a836-acris.nyc.gov/DS/DocumentSearch/DocumentDetail?doc_id=2016032100969001" target="_blank"&gt;Public Record Only&lt;/a&gt;</t>
  </si>
  <si>
    <t>&lt;a href="http://a836-acris.nyc.gov/DS/DocumentSearch/DocumentDetail?doc_id=2016042900793001" target="_blank"&gt;Public Record Only&lt;/a&gt;</t>
  </si>
  <si>
    <t>&lt;a href="http://a836-acris.nyc.gov/DS/DocumentSearch/DocumentDetail?doc_id=2016051800460001" target="_blank"&gt;Public Record Only&lt;/a&gt;</t>
  </si>
  <si>
    <t>&lt;a href="http://a836-acris.nyc.gov/DS/DocumentSearch/DocumentDetail?doc_id=2016050300617001" target="_blank"&gt;Public Record Only&lt;/a&gt;</t>
  </si>
  <si>
    <t>&lt;a href="http://a836-acris.nyc.gov/DS/DocumentSearch/DocumentDetail?doc_id=2016040400724002" target="_blank"&gt;Public Record Only&lt;/a&gt;</t>
  </si>
  <si>
    <t>&lt;a href="http://a836-acris.nyc.gov/DS/DocumentSearch/DocumentDetail?doc_id=2016020801994001" target="_blank"&gt;Public Record Only&lt;/a&gt;</t>
  </si>
  <si>
    <t>&lt;a href="http://a836-acris.nyc.gov/DS/DocumentSearch/DocumentDetail?doc_id=2016052601248001" target="_blank"&gt;Public Record Only&lt;/a&gt;</t>
  </si>
  <si>
    <t>&lt;a href="http://a836-acris.nyc.gov/DS/DocumentSearch/DocumentDetail?doc_id=2016040700307001" target="_blank"&gt;Public Record Only&lt;/a&gt;</t>
  </si>
  <si>
    <t>&lt;a href="http://a836-acris.nyc.gov/DS/DocumentSearch/DocumentDetail?doc_id=2016053100388001" target="_blank"&gt;Public Record Only&lt;/a&gt;</t>
  </si>
  <si>
    <t>&lt;a href="http://a836-acris.nyc.gov/DS/DocumentSearch/DocumentDetail?doc_id=2017060100728001" target="_blank"&gt;Public Record Only&lt;/a&gt;</t>
  </si>
  <si>
    <t>&lt;a href="http://a836-acris.nyc.gov/DS/DocumentSearch/DocumentDetail?doc_id=2015112400783001" target="_blank"&gt;Public Record Only&lt;/a&gt;</t>
  </si>
  <si>
    <t>&lt;a href="http://a836-acris.nyc.gov/DS/DocumentSearch/DocumentDetail?doc_id=2016040100492001" target="_blank"&gt;Public Record Only&lt;/a&gt;</t>
  </si>
  <si>
    <t>&lt;a href="http://a836-acris.nyc.gov/DS/DocumentSearch/DocumentDetail?doc_id=2016053100529003" target="_blank"&gt;Public Record Only&lt;/a&gt;</t>
  </si>
  <si>
    <t>&lt;a href="http://a836-acris.nyc.gov/DS/DocumentSearch/DocumentDetail?doc_id=2015122901156001" target="_blank"&gt;Public Record Only&lt;/a&gt;</t>
  </si>
  <si>
    <t>&lt;a href="http://a836-acris.nyc.gov/DS/DocumentSearch/DocumentDetail?doc_id=2016062002631001" target="_blank"&gt;Public Record Only&lt;/a&gt;</t>
  </si>
  <si>
    <t>&lt;a href="http://a836-acris.nyc.gov/DS/DocumentSearch/DocumentDetail?doc_id=2016041901309001" target="_blank"&gt;Public Record Only&lt;/a&gt;</t>
  </si>
  <si>
    <t>&lt;a href="http://a836-acris.nyc.gov/DS/DocumentSearch/DocumentDetail?doc_id=2016072100633001" target="_blank"&gt;Public Record Only&lt;/a&gt;</t>
  </si>
  <si>
    <t>&lt;a href="http://a836-acris.nyc.gov/DS/DocumentSearch/DocumentDetail?doc_id=2016060700850002" target="_blank"&gt;Public Record Only&lt;/a&gt;</t>
  </si>
  <si>
    <t>&lt;a href="http://a836-acris.nyc.gov/DS/DocumentSearch/DocumentDetail?doc_id=2016040800014001" target="_blank"&gt;Public Record Only&lt;/a&gt;</t>
  </si>
  <si>
    <t>&lt;a href="http://a836-acris.nyc.gov/DS/DocumentSearch/DocumentDetail?doc_id=2016050500405001" target="_blank"&gt;Public Record Only&lt;/a&gt;</t>
  </si>
  <si>
    <t>&lt;a href="http://a836-acris.nyc.gov/DS/DocumentSearch/DocumentDetail?doc_id=2016011800049002" target="_blank"&gt;Public Record Only&lt;/a&gt;</t>
  </si>
  <si>
    <t>&lt;a href="http://a836-acris.nyc.gov/DS/DocumentSearch/DocumentDetail?doc_id=2016012900135001" target="_blank"&gt;Public Record Only&lt;/a&gt;</t>
  </si>
  <si>
    <t>&lt;a href="http://a836-acris.nyc.gov/DS/DocumentSearch/DocumentDetail?doc_id=2016042501054001" target="_blank"&gt;Public Record Only&lt;/a&gt;</t>
  </si>
  <si>
    <t>&lt;a href="http://a836-acris.nyc.gov/DS/DocumentSearch/DocumentDetail?doc_id=2016022400307002" target="_blank"&gt;Public Record Only&lt;/a&gt;</t>
  </si>
  <si>
    <t>&lt;a href="http://a836-acris.nyc.gov/DS/DocumentSearch/DocumentDetail?doc_id=2016021201666003" target="_blank"&gt;Public Record Only&lt;/a&gt;</t>
  </si>
  <si>
    <t>&lt;a href="http://a836-acris.nyc.gov/DS/DocumentSearch/DocumentDetail?doc_id=2016030401458001" target="_blank"&gt;Public Record Only&lt;/a&gt;</t>
  </si>
  <si>
    <t>&lt;a href="http://a836-acris.nyc.gov/DS/DocumentSearch/DocumentDetail?doc_id=2016041401489001" target="_blank"&gt;Public Record Only&lt;/a&gt;</t>
  </si>
  <si>
    <t>&lt;a href="http://a836-acris.nyc.gov/DS/DocumentSearch/DocumentDetail?doc_id=2016032800539001" target="_blank"&gt;Public Record Only&lt;/a&gt;</t>
  </si>
  <si>
    <t>&lt;a href="http://a836-acris.nyc.gov/DS/DocumentSearch/DocumentDetail?doc_id=2016041301539001" target="_blank"&gt;Public Record Only&lt;/a&gt;</t>
  </si>
  <si>
    <t>&lt;a href="http://a836-acris.nyc.gov/DS/DocumentSearch/DocumentDetail?doc_id=2016031500579001" target="_blank"&gt;Public Record Only&lt;/a&gt;</t>
  </si>
  <si>
    <t>&lt;a href="http://a836-acris.nyc.gov/DS/DocumentSearch/DocumentDetail?doc_id=2016013100047002" target="_blank"&gt;Public Record Only&lt;/a&gt;</t>
  </si>
  <si>
    <t>&lt;a href="http://a836-acris.nyc.gov/DS/DocumentSearch/DocumentDetail?doc_id=2016032300566001" target="_blank"&gt;Public Record Only&lt;/a&gt;</t>
  </si>
  <si>
    <t>&lt;a href="http://a836-acris.nyc.gov/DS/DocumentSearch/DocumentDetail?doc_id=2016070601452002" target="_blank"&gt;Public Record Only&lt;/a&gt;</t>
  </si>
  <si>
    <t>&lt;a href="http://a836-acris.nyc.gov/DS/DocumentSearch/DocumentDetail?doc_id=2016040800911003" target="_blank"&gt;Public Record Only&lt;/a&gt;</t>
  </si>
  <si>
    <t>&lt;a href="http://a836-acris.nyc.gov/DS/DocumentSearch/DocumentDetail?doc_id=2015122400024001" target="_blank"&gt;Public Record Only&lt;/a&gt;</t>
  </si>
  <si>
    <t>&lt;a href="http://a836-acris.nyc.gov/DS/DocumentSearch/DocumentDetail?doc_id=2015121400442001" target="_blank"&gt;Public Record Only&lt;/a&gt;</t>
  </si>
  <si>
    <t>&lt;a href="http://a836-acris.nyc.gov/DS/DocumentSearch/DocumentDetail?doc_id=2016092001237003" target="_blank"&gt;Public Record Only&lt;/a&gt;</t>
  </si>
  <si>
    <t>&lt;a href="http://a836-acris.nyc.gov/DS/DocumentSearch/DocumentDetail?doc_id=2016020300010003" target="_blank"&gt;Public Record Only&lt;/a&gt;</t>
  </si>
  <si>
    <t>&lt;a href="http://a836-acris.nyc.gov/DS/DocumentSearch/DocumentDetail?doc_id=2016011900275002" target="_blank"&gt;Public Record Only&lt;/a&gt;</t>
  </si>
  <si>
    <t>&lt;a href="http://a836-acris.nyc.gov/DS/DocumentSearch/DocumentDetail?doc_id=2016022500132001" target="_blank"&gt;Public Record Only&lt;/a&gt;</t>
  </si>
  <si>
    <t>&lt;a href="http://a836-acris.nyc.gov/DS/DocumentSearch/DocumentDetail?doc_id=2016081800759001" target="_blank"&gt;Public Record Only&lt;/a&gt;</t>
  </si>
  <si>
    <t>&lt;a href="http://a836-acris.nyc.gov/DS/DocumentSearch/DocumentDetail?doc_id=2016040400890001" target="_blank"&gt;Public Record Only&lt;/a&gt;</t>
  </si>
  <si>
    <t>&lt;a href="http://a836-acris.nyc.gov/DS/DocumentSearch/DocumentDetail?doc_id=2016020100196001" target="_blank"&gt;Public Record Only&lt;/a&gt;</t>
  </si>
  <si>
    <t>&lt;a href="http://a836-acris.nyc.gov/DS/DocumentSearch/DocumentDetail?doc_id=2016011200267002" target="_blank"&gt;Public Record Only&lt;/a&gt;</t>
  </si>
  <si>
    <t>&lt;a href="http://a836-acris.nyc.gov/DS/DocumentSearch/DocumentDetail?doc_id=2016011100673002" target="_blank"&gt;Public Record Only&lt;/a&gt;</t>
  </si>
  <si>
    <t>&lt;a href="http://a836-acris.nyc.gov/DS/DocumentSearch/DocumentDetail?doc_id=2016030700993001" target="_blank"&gt;Public Record Only&lt;/a&gt;</t>
  </si>
  <si>
    <t>&lt;a href="http://a836-acris.nyc.gov/DS/DocumentSearch/DocumentDetail?doc_id=2016030800359001" target="_blank"&gt;Public Record Only&lt;/a&gt;</t>
  </si>
  <si>
    <t>&lt;a href="http://a836-acris.nyc.gov/DS/DocumentSearch/DocumentDetail?doc_id=2015122300463001" target="_blank"&gt;Public Record Only&lt;/a&gt;</t>
  </si>
  <si>
    <t>&lt;a href="http://a836-acris.nyc.gov/DS/DocumentSearch/DocumentDetail?doc_id=2016012600449001" target="_blank"&gt;Public Record Only&lt;/a&gt;</t>
  </si>
  <si>
    <t>&lt;a href="http://a836-acris.nyc.gov/DS/DocumentSearch/DocumentDetail?doc_id=2016012200262001" target="_blank"&gt;Public Record Only&lt;/a&gt;</t>
  </si>
  <si>
    <t>&lt;a href="http://a836-acris.nyc.gov/DS/DocumentSearch/DocumentDetail?doc_id=2016032101180001" target="_blank"&gt;Public Record Only&lt;/a&gt;</t>
  </si>
  <si>
    <t>&lt;a href="http://a836-acris.nyc.gov/DS/DocumentSearch/DocumentDetail?doc_id=2016032401267001" target="_blank"&gt;Public Record Only&lt;/a&gt;</t>
  </si>
  <si>
    <t>&lt;a href="http://a836-acris.nyc.gov/DS/DocumentSearch/DocumentDetail?doc_id=2015112501381001" target="_blank"&gt;Public Record Only&lt;/a&gt;</t>
  </si>
  <si>
    <t>&lt;a href="http://a836-acris.nyc.gov/DS/DocumentSearch/DocumentDetail?doc_id=2016011900154001" target="_blank"&gt;Public Record Only&lt;/a&gt;</t>
  </si>
  <si>
    <t>&lt;a href="http://a836-acris.nyc.gov/DS/DocumentSearch/DocumentDetail?doc_id=2016030400639001" target="_blank"&gt;Public Record Only&lt;/a&gt;</t>
  </si>
  <si>
    <t>&lt;a href="http://a836-acris.nyc.gov/DS/DocumentSearch/DocumentDetail?doc_id=2016072100189001" target="_blank"&gt;Public Record Only&lt;/a&gt;</t>
  </si>
  <si>
    <t>&lt;a href="http://a836-acris.nyc.gov/DS/DocumentSearch/DocumentDetail?doc_id=2016050201139001" target="_blank"&gt;Public Record Only&lt;/a&gt;</t>
  </si>
  <si>
    <t>&lt;a href="http://a836-acris.nyc.gov/DS/DocumentSearch/DocumentDetail?doc_id=2016021601633001" target="_blank"&gt;Public Record Only&lt;/a&gt;</t>
  </si>
  <si>
    <t>&lt;a href="http://a836-acris.nyc.gov/DS/DocumentSearch/DocumentDetail?doc_id=2016091300818001" target="_blank"&gt;Public Record Only&lt;/a&gt;</t>
  </si>
  <si>
    <t>&lt;a href="http://a836-acris.nyc.gov/DS/DocumentSearch/DocumentDetail?doc_id=2016072900824001" target="_blank"&gt;Public Record Only&lt;/a&gt;</t>
  </si>
  <si>
    <t>&lt;a href="http://a836-acris.nyc.gov/DS/DocumentSearch/DocumentDetail?doc_id=2016022900257001" target="_blank"&gt;Public Record Only&lt;/a&gt;</t>
  </si>
  <si>
    <t>&lt;a href="http://a836-acris.nyc.gov/DS/DocumentSearch/DocumentDetail?doc_id=2016032300716001" target="_blank"&gt;Public Record Only&lt;/a&gt;</t>
  </si>
  <si>
    <t>&lt;a href="http://a836-acris.nyc.gov/DS/DocumentSearch/DocumentDetail?doc_id=2016032200390001" target="_blank"&gt;Public Record Only&lt;/a&gt;</t>
  </si>
  <si>
    <t>&lt;a href="http://a836-acris.nyc.gov/DS/DocumentSearch/DocumentDetail?doc_id=2016060800560001" target="_blank"&gt;Public Record Only&lt;/a&gt;</t>
  </si>
  <si>
    <t>&lt;a href="http://a836-acris.nyc.gov/DS/DocumentSearch/DocumentDetail?doc_id=2016032800474003" target="_blank"&gt;Public Record Only&lt;/a&gt;</t>
  </si>
  <si>
    <t>&lt;a href="http://a836-acris.nyc.gov/DS/DocumentSearch/DocumentDetail?doc_id=2016081000466001" target="_blank"&gt;Public Record Only&lt;/a&gt;</t>
  </si>
  <si>
    <t>&lt;a href="http://a836-acris.nyc.gov/DS/DocumentSearch/DocumentDetail?doc_id=2015121100294001" target="_blank"&gt;Public Record Only&lt;/a&gt;</t>
  </si>
  <si>
    <t>&lt;a href="http://a836-acris.nyc.gov/DS/DocumentSearch/DocumentDetail?doc_id=2016041300655001" target="_blank"&gt;Public Record Only&lt;/a&gt;</t>
  </si>
  <si>
    <t>&lt;a href="http://a836-acris.nyc.gov/DS/DocumentSearch/DocumentDetail?doc_id=2016033000670001" target="_blank"&gt;Public Record Only&lt;/a&gt;</t>
  </si>
  <si>
    <t>&lt;a href="http://a836-acris.nyc.gov/DS/DocumentSearch/DocumentDetail?doc_id=2015111900927001" target="_blank"&gt;Public Record Only&lt;/a&gt;</t>
  </si>
  <si>
    <t>&lt;a href="http://a836-acris.nyc.gov/DS/DocumentSearch/DocumentDetail?doc_id=2016012100127001" target="_blank"&gt;Public Record Only&lt;/a&gt;</t>
  </si>
  <si>
    <t>&lt;a href="http://a836-acris.nyc.gov/DS/DocumentSearch/DocumentDetail?doc_id=2016012200075003" target="_blank"&gt;Public Record Only&lt;/a&gt;</t>
  </si>
  <si>
    <t>&lt;a href="http://a836-acris.nyc.gov/DS/DocumentSearch/DocumentDetail?doc_id=2016082201211001" target="_blank"&gt;Public Record Only&lt;/a&gt;</t>
  </si>
  <si>
    <t>&lt;a href="http://a836-acris.nyc.gov/DS/DocumentSearch/DocumentDetail?doc_id=2016113000998001" target="_blank"&gt;Public Record Only&lt;/a&gt;</t>
  </si>
  <si>
    <t>&lt;a href="http://a836-acris.nyc.gov/DS/DocumentSearch/DocumentDetail?doc_id=2016070600940001" target="_blank"&gt;Public Record Only&lt;/a&gt;</t>
  </si>
  <si>
    <t>&lt;a href="http://a836-acris.nyc.gov/DS/DocumentSearch/DocumentDetail?doc_id=2016071900190001" target="_blank"&gt;Public Record Only&lt;/a&gt;</t>
  </si>
  <si>
    <t>&lt;a href="http://a836-acris.nyc.gov/DS/DocumentSearch/DocumentDetail?doc_id=2016021900956001" target="_blank"&gt;Public Record Only&lt;/a&gt;</t>
  </si>
  <si>
    <t>&lt;a href="http://a836-acris.nyc.gov/DS/DocumentSearch/DocumentDetail?doc_id=2015122100015001" target="_blank"&gt;Public Record Only&lt;/a&gt;</t>
  </si>
  <si>
    <t>&lt;a href="http://a836-acris.nyc.gov/DS/DocumentSearch/DocumentDetail?doc_id=2015121000187001" target="_blank"&gt;Public Record Only&lt;/a&gt;</t>
  </si>
  <si>
    <t>&lt;a href="http://a836-acris.nyc.gov/DS/DocumentSearch/DocumentDetail?doc_id=2016031000980001" target="_blank"&gt;Public Record Only&lt;/a&gt;</t>
  </si>
  <si>
    <t>&lt;a href="http://a836-acris.nyc.gov/DS/DocumentSearch/DocumentDetail?doc_id=2016031600327001" target="_blank"&gt;Public Record Only&lt;/a&gt;</t>
  </si>
  <si>
    <t>&lt;a href="http://a836-acris.nyc.gov/DS/DocumentSearch/DocumentDetail?doc_id=2016012200718001" target="_blank"&gt;Public Record Only&lt;/a&gt;</t>
  </si>
  <si>
    <t>&lt;a href="http://a836-acris.nyc.gov/DS/DocumentSearch/DocumentDetail?doc_id=2015122200069001" target="_blank"&gt;Public Record Only&lt;/a&gt;</t>
  </si>
  <si>
    <t>&lt;a href="http://a836-acris.nyc.gov/DS/DocumentSearch/DocumentDetail?doc_id=2015121801300001" target="_blank"&gt;Public Record Only&lt;/a&gt;</t>
  </si>
  <si>
    <t>&lt;a href="http://a836-acris.nyc.gov/DS/DocumentSearch/DocumentDetail?doc_id=2016022301419001" target="_blank"&gt;Public Record Only&lt;/a&gt;</t>
  </si>
  <si>
    <t>&lt;a href="http://a836-acris.nyc.gov/DS/DocumentSearch/DocumentDetail?doc_id=2015112300620001" target="_blank"&gt;Public Record Only&lt;/a&gt;</t>
  </si>
  <si>
    <t>&lt;a href="http://a836-acris.nyc.gov/DS/DocumentSearch/DocumentDetail?doc_id=2015121401142001" target="_blank"&gt;Public Record Only&lt;/a&gt;</t>
  </si>
  <si>
    <t>&lt;a href="http://a836-acris.nyc.gov/DS/DocumentSearch/DocumentDetail?doc_id=2016071200651001" target="_blank"&gt;Public Record Only&lt;/a&gt;</t>
  </si>
  <si>
    <t>&lt;a href="http://a836-acris.nyc.gov/DS/DocumentSearch/DocumentDetail?doc_id=2016051000597001" target="_blank"&gt;Public Record Only&lt;/a&gt;</t>
  </si>
  <si>
    <t>&lt;a href="http://a836-acris.nyc.gov/DS/DocumentSearch/DocumentDetail?doc_id=2016052601198001" target="_blank"&gt;Public Record Only&lt;/a&gt;</t>
  </si>
  <si>
    <t>&lt;a href="http://a836-acris.nyc.gov/DS/DocumentSearch/DocumentDetail?doc_id=2016022700098003" target="_blank"&gt;Public Record Only&lt;/a&gt;</t>
  </si>
  <si>
    <t>&lt;a href="http://a836-acris.nyc.gov/DS/DocumentSearch/DocumentDetail?doc_id=2016011400974001" target="_blank"&gt;Public Record Only&lt;/a&gt;</t>
  </si>
  <si>
    <t>&lt;a href="http://a836-acris.nyc.gov/DS/DocumentSearch/DocumentDetail?doc_id=2017031600413002" target="_blank"&gt;Public Record Only&lt;/a&gt;</t>
  </si>
  <si>
    <t>&lt;a href="http://a836-acris.nyc.gov/DS/DocumentSearch/DocumentDetail?doc_id=2015120700651002" target="_blank"&gt;Public Record Only&lt;/a&gt;</t>
  </si>
  <si>
    <t>&lt;a href="http://a836-acris.nyc.gov/DS/DocumentSearch/DocumentDetail?doc_id=2015120400181002" target="_blank"&gt;Public Record Only&lt;/a&gt;</t>
  </si>
  <si>
    <t>&lt;a href="http://a836-acris.nyc.gov/DS/DocumentSearch/DocumentDetail?doc_id=2016042800706002" target="_blank"&gt;Public Record Only&lt;/a&gt;</t>
  </si>
  <si>
    <t>&lt;a href="http://a836-acris.nyc.gov/DS/DocumentSearch/DocumentDetail?doc_id=2015121500200003" target="_blank"&gt;Public Record Only&lt;/a&gt;</t>
  </si>
  <si>
    <t>&lt;a href="http://a836-acris.nyc.gov/DS/DocumentSearch/DocumentDetail?doc_id=2016051000545001" target="_blank"&gt;Public Record Only&lt;/a&gt;</t>
  </si>
  <si>
    <t>&lt;a href="http://a836-acris.nyc.gov/DS/DocumentSearch/DocumentDetail?doc_id=2016041500476001" target="_blank"&gt;Public Record Only&lt;/a&gt;</t>
  </si>
  <si>
    <t>&lt;a href="http://a836-acris.nyc.gov/DS/DocumentSearch/DocumentDetail?doc_id=2016020500044003" target="_blank"&gt;Public Record Only&lt;/a&gt;</t>
  </si>
  <si>
    <t>&lt;a href="http://a836-acris.nyc.gov/DS/DocumentSearch/DocumentDetail?doc_id=2016030101267002" target="_blank"&gt;Public Record Only&lt;/a&gt;</t>
  </si>
  <si>
    <t>&lt;a href="http://a836-acris.nyc.gov/DS/DocumentSearch/DocumentDetail?doc_id=2015120801546002" target="_blank"&gt;Public Record Only&lt;/a&gt;</t>
  </si>
  <si>
    <t>&lt;a href="http://a836-acris.nyc.gov/DS/DocumentSearch/DocumentDetail?doc_id=2015122100566001" target="_blank"&gt;Public Record Only&lt;/a&gt;</t>
  </si>
  <si>
    <t>&lt;a href="http://a836-acris.nyc.gov/DS/DocumentSearch/DocumentDetail?doc_id=2016011201287001" target="_blank"&gt;Public Record Only&lt;/a&gt;</t>
  </si>
  <si>
    <t>&lt;a href="http://a836-acris.nyc.gov/DS/DocumentSearch/DocumentDetail?doc_id=2016020801799003" target="_blank"&gt;Public Record Only&lt;/a&gt;</t>
  </si>
  <si>
    <t>&lt;a href="http://a836-acris.nyc.gov/DS/DocumentSearch/DocumentDetail?doc_id=2015120800693001" target="_blank"&gt;Public Record Only&lt;/a&gt;</t>
  </si>
  <si>
    <t>&lt;a href="http://a836-acris.nyc.gov/DS/DocumentSearch/DocumentDetail?doc_id=2016031500285001" target="_blank"&gt;Public Record Only&lt;/a&gt;</t>
  </si>
  <si>
    <t>&lt;a href="http://a836-acris.nyc.gov/DS/DocumentSearch/DocumentDetail?doc_id=2016041301354003" target="_blank"&gt;Public Record Only&lt;/a&gt;</t>
  </si>
  <si>
    <t>&lt;a href="http://a836-acris.nyc.gov/DS/DocumentSearch/DocumentDetail?doc_id=2015120200231001" target="_blank"&gt;Public Record Only&lt;/a&gt;</t>
  </si>
  <si>
    <t>&lt;a href="http://a836-acris.nyc.gov/DS/DocumentSearch/DocumentDetail?doc_id=2015113000444001" target="_blank"&gt;Public Record Only&lt;/a&gt;</t>
  </si>
  <si>
    <t>&lt;a href="http://a836-acris.nyc.gov/DS/DocumentSearch/DocumentDetail?doc_id=2016012000474001" target="_blank"&gt;Public Record Only&lt;/a&gt;</t>
  </si>
  <si>
    <t>&lt;a href="http://a836-acris.nyc.gov/DS/DocumentSearch/DocumentDetail?doc_id=2015121800811001" target="_blank"&gt;Public Record Only&lt;/a&gt;</t>
  </si>
  <si>
    <t>&lt;a href="http://a836-acris.nyc.gov/DS/DocumentSearch/DocumentDetail?doc_id=2016012200303001" target="_blank"&gt;Public Record Only&lt;/a&gt;</t>
  </si>
  <si>
    <t>&lt;a href="http://a836-acris.nyc.gov/DS/DocumentSearch/DocumentDetail?doc_id=2016020801736001" target="_blank"&gt;Public Record Only&lt;/a&gt;</t>
  </si>
  <si>
    <t>&lt;a href="http://a836-acris.nyc.gov/DS/DocumentSearch/DocumentDetail?doc_id=2018052301072002" target="_blank"&gt;Public Record Only&lt;/a&gt;</t>
  </si>
  <si>
    <t>&lt;a href="http://a836-acris.nyc.gov/DS/DocumentSearch/DocumentDetail?doc_id=2015122800533001" target="_blank"&gt;Public Record Only&lt;/a&gt;</t>
  </si>
  <si>
    <t>&lt;a href="http://a836-acris.nyc.gov/DS/DocumentSearch/DocumentDetail?doc_id=2015121400530001" target="_blank"&gt;Public Record Only&lt;/a&gt;</t>
  </si>
  <si>
    <t>&lt;a href="http://a836-acris.nyc.gov/DS/DocumentSearch/DocumentDetail?doc_id=2016101700460001" target="_blank"&gt;Public Record Only&lt;/a&gt;</t>
  </si>
  <si>
    <t>&lt;a href="http://a836-acris.nyc.gov/DS/DocumentSearch/DocumentDetail?doc_id=2015121800057003" target="_blank"&gt;Public Record Only&lt;/a&gt;</t>
  </si>
  <si>
    <t>&lt;a href="http://a836-acris.nyc.gov/DS/DocumentSearch/DocumentDetail?doc_id=2016040500168002" target="_blank"&gt;Public Record Only&lt;/a&gt;</t>
  </si>
  <si>
    <t>&lt;a href="http://a836-acris.nyc.gov/DS/DocumentSearch/DocumentDetail?doc_id=2015120800384001" target="_blank"&gt;Public Record Only&lt;/a&gt;</t>
  </si>
  <si>
    <t>&lt;a href="http://a836-acris.nyc.gov/DS/DocumentSearch/DocumentDetail?doc_id=2015121700245003" target="_blank"&gt;Public Record Only&lt;/a&gt;</t>
  </si>
  <si>
    <t>&lt;a href="http://a836-acris.nyc.gov/DS/DocumentSearch/DocumentDetail?doc_id=2016042700661002" target="_blank"&gt;Public Record Only&lt;/a&gt;</t>
  </si>
  <si>
    <t>&lt;a href="http://a836-acris.nyc.gov/DS/DocumentSearch/DocumentDetail?doc_id=2016021100155001" target="_blank"&gt;Public Record Only&lt;/a&gt;</t>
  </si>
  <si>
    <t>&lt;a href="http://a836-acris.nyc.gov/DS/DocumentSearch/DocumentDetail?doc_id=2015121100451001" target="_blank"&gt;Public Record Only&lt;/a&gt;</t>
  </si>
  <si>
    <t>&lt;a href="http://a836-acris.nyc.gov/DS/DocumentSearch/DocumentDetail?doc_id=2016030100187003" target="_blank"&gt;Public Record Only&lt;/a&gt;</t>
  </si>
  <si>
    <t>&lt;a href="http://a836-acris.nyc.gov/DS/DocumentSearch/DocumentDetail?doc_id=2015122100249001" target="_blank"&gt;Public Record Only&lt;/a&gt;</t>
  </si>
  <si>
    <t>&lt;a href="http://a836-acris.nyc.gov/DS/DocumentSearch/DocumentDetail?doc_id=2016042500923001" target="_blank"&gt;Public Record Only&lt;/a&gt;</t>
  </si>
  <si>
    <t>&lt;a href="http://a836-acris.nyc.gov/DS/DocumentSearch/DocumentDetail?doc_id=2016021401344001" target="_blank"&gt;Public Record Only&lt;/a&gt;</t>
  </si>
  <si>
    <t>&lt;a href="http://a836-acris.nyc.gov/DS/DocumentSearch/DocumentDetail?doc_id=2017010601494001" target="_blank"&gt;Public Record Only&lt;/a&gt;</t>
  </si>
  <si>
    <t>&lt;a href="http://a836-acris.nyc.gov/DS/DocumentSearch/DocumentDetail?doc_id=2016061601262001" target="_blank"&gt;Public Record Only&lt;/a&gt;</t>
  </si>
  <si>
    <t>&lt;a href="http://a836-acris.nyc.gov/DS/DocumentSearch/DocumentDetail?doc_id=2016030701458001" target="_blank"&gt;Public Record Only&lt;/a&gt;</t>
  </si>
  <si>
    <t>&lt;a href="http://a836-acris.nyc.gov/DS/DocumentSearch/DocumentDetail?doc_id=2015113000477001" target="_blank"&gt;Public Record Only&lt;/a&gt;</t>
  </si>
  <si>
    <t>&lt;a href="http://a836-acris.nyc.gov/DS/DocumentSearch/DocumentDetail?doc_id=2015122901114001" target="_blank"&gt;Public Record Only&lt;/a&gt;</t>
  </si>
  <si>
    <t>&lt;a href="http://a836-acris.nyc.gov/DS/DocumentSearch/DocumentDetail?doc_id=2015120200985001" target="_blank"&gt;Public Record Only&lt;/a&gt;</t>
  </si>
  <si>
    <t>&lt;a href="http://a836-acris.nyc.gov/DS/DocumentSearch/DocumentDetail?doc_id=2016030100382001" target="_blank"&gt;Public Record Only&lt;/a&gt;</t>
  </si>
  <si>
    <t>&lt;a href="http://a836-acris.nyc.gov/DS/DocumentSearch/DocumentDetail?doc_id=2016040800447004" target="_blank"&gt;Public Record Only&lt;/a&gt;</t>
  </si>
  <si>
    <t>&lt;a href="http://a836-acris.nyc.gov/DS/DocumentSearch/DocumentDetail?doc_id=2016012101113003" target="_blank"&gt;Public Record Only&lt;/a&gt;</t>
  </si>
  <si>
    <t>&lt;a href="http://a836-acris.nyc.gov/DS/DocumentSearch/DocumentDetail?doc_id=2016012700355001" target="_blank"&gt;Public Record Only&lt;/a&gt;</t>
  </si>
  <si>
    <t>&lt;a href="http://a836-acris.nyc.gov/DS/DocumentSearch/DocumentDetail?doc_id=2015120700818001" target="_blank"&gt;Public Record Only&lt;/a&gt;</t>
  </si>
  <si>
    <t>&lt;a href="http://a836-acris.nyc.gov/DS/DocumentSearch/DocumentDetail?doc_id=2016011100306001" target="_blank"&gt;Public Record Only&lt;/a&gt;</t>
  </si>
  <si>
    <t>&lt;a href="http://a836-acris.nyc.gov/DS/DocumentSearch/DocumentDetail?doc_id=2016012100654001" target="_blank"&gt;Public Record Only&lt;/a&gt;</t>
  </si>
  <si>
    <t>&lt;a href="http://a836-acris.nyc.gov/DS/DocumentSearch/DocumentDetail?doc_id=2015121500803001" target="_blank"&gt;Public Record Only&lt;/a&gt;</t>
  </si>
  <si>
    <t>&lt;a href="http://a836-acris.nyc.gov/DS/DocumentSearch/DocumentDetail?doc_id=2015121400549001" target="_blank"&gt;Public Record Only&lt;/a&gt;</t>
  </si>
  <si>
    <t>&lt;a href="http://a836-acris.nyc.gov/DS/DocumentSearch/DocumentDetail?doc_id=2015121800807001" target="_blank"&gt;Public Record Only&lt;/a&gt;</t>
  </si>
  <si>
    <t>&lt;a href="http://a836-acris.nyc.gov/DS/DocumentSearch/DocumentDetail?doc_id=2016012200358001" target="_blank"&gt;Public Record Only&lt;/a&gt;</t>
  </si>
  <si>
    <t>&lt;a href="http://a836-acris.nyc.gov/DS/DocumentSearch/DocumentDetail?doc_id=2015123001413003" target="_blank"&gt;Public Record Only&lt;/a&gt;</t>
  </si>
  <si>
    <t>&lt;a href="http://a836-acris.nyc.gov/DS/DocumentSearch/DocumentDetail?doc_id=2016012901124001" target="_blank"&gt;Public Record Only&lt;/a&gt;</t>
  </si>
  <si>
    <t>&lt;a href="http://a836-acris.nyc.gov/DS/DocumentSearch/DocumentDetail?doc_id=2015120200903001" target="_blank"&gt;Public Record Only&lt;/a&gt;</t>
  </si>
  <si>
    <t>&lt;a href="http://a836-acris.nyc.gov/DS/DocumentSearch/DocumentDetail?doc_id=2015120700482001" target="_blank"&gt;Public Record Only&lt;/a&gt;</t>
  </si>
  <si>
    <t>&lt;a href="http://a836-acris.nyc.gov/DS/DocumentSearch/DocumentDetail?doc_id=2015121600436004" target="_blank"&gt;Public Record Only&lt;/a&gt;</t>
  </si>
  <si>
    <t>&lt;a href="http://a836-acris.nyc.gov/DS/DocumentSearch/DocumentDetail?doc_id=2015122600052001" target="_blank"&gt;Public Record Only&lt;/a&gt;</t>
  </si>
  <si>
    <t>&lt;a href="http://a836-acris.nyc.gov/DS/DocumentSearch/DocumentDetail?doc_id=2016030101231001" target="_blank"&gt;Public Record Only&lt;/a&gt;</t>
  </si>
  <si>
    <t>&lt;a href="http://a836-acris.nyc.gov/DS/DocumentSearch/DocumentDetail?doc_id=2015120800685001" target="_blank"&gt;Public Record Only&lt;/a&gt;</t>
  </si>
  <si>
    <t>&lt;a href="http://a836-acris.nyc.gov/DS/DocumentSearch/DocumentDetail?doc_id=2015122800367003" target="_blank"&gt;Public Record Only&lt;/a&gt;</t>
  </si>
  <si>
    <t>&lt;a href="http://a836-acris.nyc.gov/DS/DocumentSearch/DocumentDetail?doc_id=2016122801248001" target="_blank"&gt;Public Record Only&lt;/a&gt;</t>
  </si>
  <si>
    <t>&lt;a href="http://a836-acris.nyc.gov/DS/DocumentSearch/DocumentDetail?doc_id=2016061500477001" target="_blank"&gt;Public Record Only&lt;/a&gt;</t>
  </si>
  <si>
    <t>&lt;a href="http://a836-acris.nyc.gov/DS/DocumentSearch/DocumentDetail?doc_id=2015112400655001" target="_blank"&gt;Public Record Only&lt;/a&gt;</t>
  </si>
  <si>
    <t>&lt;a href="http://a836-acris.nyc.gov/DS/DocumentSearch/DocumentDetail?doc_id=2016012600035002" target="_blank"&gt;Public Record Only&lt;/a&gt;</t>
  </si>
  <si>
    <t>&lt;a href="http://a836-acris.nyc.gov/DS/DocumentSearch/DocumentDetail?doc_id=2015120201332001" target="_blank"&gt;Public Record Only&lt;/a&gt;</t>
  </si>
  <si>
    <t>&lt;a href="http://a836-acris.nyc.gov/DS/DocumentSearch/DocumentDetail?doc_id=2016012500935001" target="_blank"&gt;Public Record Only&lt;/a&gt;</t>
  </si>
  <si>
    <t>&lt;a href="http://a836-acris.nyc.gov/DS/DocumentSearch/DocumentDetail?doc_id=2016031000801001" target="_blank"&gt;Public Record Only&lt;/a&gt;</t>
  </si>
  <si>
    <t>&lt;a href="http://a836-acris.nyc.gov/DS/DocumentSearch/DocumentDetail?doc_id=2015120401055003" target="_blank"&gt;Public Record Only&lt;/a&gt;</t>
  </si>
  <si>
    <t>&lt;a href="http://a836-acris.nyc.gov/DS/DocumentSearch/DocumentDetail?doc_id=2016021601452005" target="_blank"&gt;Public Record Only&lt;/a&gt;</t>
  </si>
  <si>
    <t>&lt;a href="http://a836-acris.nyc.gov/DS/DocumentSearch/DocumentDetail?doc_id=2015120900158001" target="_blank"&gt;Public Record Only&lt;/a&gt;</t>
  </si>
  <si>
    <t>&lt;a href="http://a836-acris.nyc.gov/DS/DocumentSearch/DocumentDetail?doc_id=2016021401742001" target="_blank"&gt;Public Record Only&lt;/a&gt;</t>
  </si>
  <si>
    <t>&lt;a href="http://a836-acris.nyc.gov/DS/DocumentSearch/DocumentDetail?doc_id=2016101201198001" target="_blank"&gt;Public Record Only&lt;/a&gt;</t>
  </si>
  <si>
    <t>&lt;a href="http://a836-acris.nyc.gov/DS/DocumentSearch/DocumentDetail?doc_id=2016051200339001" target="_blank"&gt;Public Record Only&lt;/a&gt;</t>
  </si>
  <si>
    <t>&lt;a href="http://a836-acris.nyc.gov/DS/DocumentSearch/DocumentDetail?doc_id=2016012900307001" target="_blank"&gt;Public Record Only&lt;/a&gt;</t>
  </si>
  <si>
    <t>&lt;a href="http://a836-acris.nyc.gov/DS/DocumentSearch/DocumentDetail?doc_id=2016081801430002" target="_blank"&gt;Public Record Only&lt;/a&gt;</t>
  </si>
  <si>
    <t>&lt;a href="http://a836-acris.nyc.gov/DS/DocumentSearch/DocumentDetail?doc_id=2016010701106001" target="_blank"&gt;Public Record Only&lt;/a&gt;</t>
  </si>
  <si>
    <t>&lt;a href="http://a836-acris.nyc.gov/DS/DocumentSearch/DocumentDetail?doc_id=2016080900412001" target="_blank"&gt;Public Record Only&lt;/a&gt;</t>
  </si>
  <si>
    <t>&lt;a href="http://a836-acris.nyc.gov/DS/DocumentSearch/DocumentDetail?doc_id=2016012000636001" target="_blank"&gt;Public Record Only&lt;/a&gt;</t>
  </si>
  <si>
    <t>&lt;a href="http://a836-acris.nyc.gov/DS/DocumentSearch/DocumentDetail?doc_id=2016041801274001" target="_blank"&gt;Public Record Only&lt;/a&gt;</t>
  </si>
  <si>
    <t>&lt;a href="http://a836-acris.nyc.gov/DS/DocumentSearch/DocumentDetail?doc_id=2015120901116001" target="_blank"&gt;Public Record Only&lt;/a&gt;</t>
  </si>
  <si>
    <t>&lt;a href="http://a836-acris.nyc.gov/DS/DocumentSearch/DocumentDetail?doc_id=2015121400067001" target="_blank"&gt;Public Record Only&lt;/a&gt;</t>
  </si>
  <si>
    <t>&lt;a href="http://a836-acris.nyc.gov/DS/DocumentSearch/DocumentDetail?doc_id=2016020101004001" target="_blank"&gt;Public Record Only&lt;/a&gt;</t>
  </si>
  <si>
    <t>&lt;a href="http://a836-acris.nyc.gov/DS/DocumentSearch/DocumentDetail?doc_id=2015123000769003" target="_blank"&gt;Public Record Only&lt;/a&gt;</t>
  </si>
  <si>
    <t>&lt;a href="http://a836-acris.nyc.gov/DS/DocumentSearch/DocumentDetail?doc_id=2015123001322001" target="_blank"&gt;Public Record Only&lt;/a&gt;</t>
  </si>
  <si>
    <t>&lt;a href="http://a836-acris.nyc.gov/DS/DocumentSearch/DocumentDetail?doc_id=2016021201346001" target="_blank"&gt;Public Record Only&lt;/a&gt;</t>
  </si>
  <si>
    <t>&lt;a href="http://a836-acris.nyc.gov/DS/DocumentSearch/DocumentDetail?doc_id=2015120400395001" target="_blank"&gt;Public Record Only&lt;/a&gt;</t>
  </si>
  <si>
    <t>&lt;a href="http://a836-acris.nyc.gov/DS/DocumentSearch/DocumentDetail?doc_id=2016012500671001" target="_blank"&gt;Public Record Only&lt;/a&gt;</t>
  </si>
  <si>
    <t>&lt;a href="http://a836-acris.nyc.gov/DS/DocumentSearch/DocumentDetail?doc_id=2016012600193001" target="_blank"&gt;Public Record Only&lt;/a&gt;</t>
  </si>
  <si>
    <t>&lt;a href="http://a836-acris.nyc.gov/DS/DocumentSearch/DocumentDetail?doc_id=2015112200006001" target="_blank"&gt;Public Record Only&lt;/a&gt;</t>
  </si>
  <si>
    <t>&lt;a href="http://a836-acris.nyc.gov/DS/DocumentSearch/DocumentDetail?doc_id=2016021100552002" target="_blank"&gt;Public Record Only&lt;/a&gt;</t>
  </si>
  <si>
    <t>&lt;a href="http://a836-acris.nyc.gov/DS/DocumentSearch/DocumentDetail?doc_id=2016020200517002" target="_blank"&gt;Public Record Only&lt;/a&gt;</t>
  </si>
  <si>
    <t>&lt;a href="http://a836-acris.nyc.gov/DS/DocumentSearch/DocumentDetail?doc_id=2016090900250003" target="_blank"&gt;Public Record Only&lt;/a&gt;</t>
  </si>
  <si>
    <t>&lt;a href="http://a836-acris.nyc.gov/DS/DocumentSearch/DocumentDetail?doc_id=2017052501626001" target="_blank"&gt;Public Record Only&lt;/a&gt;</t>
  </si>
  <si>
    <t>&lt;a href="http://a836-acris.nyc.gov/DS/DocumentSearch/DocumentDetail?doc_id=2017040600804001" target="_blank"&gt;Public Record Only&lt;/a&gt;</t>
  </si>
  <si>
    <t>&lt;a href="http://a836-acris.nyc.gov/DS/DocumentSearch/DocumentDetail?doc_id=2018041100595002" target="_blank"&gt;Verified by Public Record&lt;/a&gt;</t>
  </si>
  <si>
    <t>&lt;a href="http://a836-acris.nyc.gov/DS/DocumentSearch/DocumentDetail?doc_id=2016100200042001" target="_blank"&gt;Public Record Only&lt;/a&gt;</t>
  </si>
  <si>
    <t>&lt;a href="http://a836-acris.nyc.gov/DS/DocumentSearch/DocumentDetail?doc_id=2016111401060001" target="_blank"&gt;Public Record Only&lt;/a&gt;</t>
  </si>
  <si>
    <t>&lt;a href="http://a836-acris.nyc.gov/DS/DocumentSearch/DocumentDetail?doc_id=2018053100404001" target="_blank"&gt;Public Record Only&lt;/a&gt;</t>
  </si>
  <si>
    <t>&lt;a href="http://a836-acris.nyc.gov/DS/DocumentSearch/DocumentDetail?doc_id=2017071400059001" target="_blank"&gt;Public Record Only&lt;/a&gt;</t>
  </si>
  <si>
    <t>&lt;a href="http://a836-acris.nyc.gov/DS/DocumentSearch/DocumentDetail?doc_id=2017072100892002" target="_blank"&gt;Public Record Only&lt;/a&gt;</t>
  </si>
  <si>
    <t>&lt;a href="http://a836-acris.nyc.gov/DS/DocumentSearch/DocumentDetail?doc_id=2017080300257001" target="_blank"&gt;Public Record Only&lt;/a&gt;</t>
  </si>
  <si>
    <t>&lt;a href="http://a836-acris.nyc.gov/DS/DocumentSearch/DocumentDetail?doc_id=2017072600585001" target="_blank"&gt;Public Record Only&lt;/a&gt;</t>
  </si>
  <si>
    <t>&lt;a href="http://a836-acris.nyc.gov/DS/DocumentSearch/DocumentDetail?doc_id=2017072700295001" target="_blank"&gt;Public Record Only&lt;/a&gt;</t>
  </si>
  <si>
    <t>&lt;a href="http://a836-acris.nyc.gov/DS/DocumentSearch/DocumentDetail?doc_id=2017081500581003" target="_blank"&gt;Public Record Only&lt;/a&gt;</t>
  </si>
  <si>
    <t>&lt;a href="http://a836-acris.nyc.gov/DS/DocumentSearch/DocumentDetail?doc_id=2018031000013001" target="_blank"&gt;Public Record Only&lt;/a&gt;</t>
  </si>
  <si>
    <t>&lt;a href="http://a836-acris.nyc.gov/DS/DocumentSearch/DocumentDetail?doc_id=2017070501139001" target="_blank"&gt;Public Record Only&lt;/a&gt;</t>
  </si>
  <si>
    <t>&lt;a href="http://a836-acris.nyc.gov/DS/DocumentSearch/DocumentDetail?doc_id=2017072600866003" target="_blank"&gt;Public Record Only&lt;/a&gt;</t>
  </si>
  <si>
    <t>&lt;a href="http://a836-acris.nyc.gov/DS/DocumentSearch/DocumentDetail?doc_id=2017072400468001" target="_blank"&gt;Public Record Only&lt;/a&gt;</t>
  </si>
  <si>
    <t>&lt;a href="http://a836-acris.nyc.gov/DS/DocumentSearch/DocumentDetail?doc_id=2017072700607001" target="_blank"&gt;Public Record Only&lt;/a&gt;</t>
  </si>
  <si>
    <t>&lt;a href="http://a836-acris.nyc.gov/DS/DocumentSearch/DocumentDetail?doc_id=2017050801147003" target="_blank"&gt;Public Record Only&lt;/a&gt;</t>
  </si>
  <si>
    <t>&lt;a href="http://a836-acris.nyc.gov/DS/DocumentSearch/DocumentDetail?doc_id=2016110800340001" target="_blank"&gt;Public Record Only&lt;/a&gt;</t>
  </si>
  <si>
    <t>&lt;a href="http://a836-acris.nyc.gov/DS/DocumentSearch/DocumentDetail?doc_id=2016101900356001" target="_blank"&gt;Public Record Only&lt;/a&gt;</t>
  </si>
  <si>
    <t>&lt;a href="http://a836-acris.nyc.gov/DS/DocumentSearch/DocumentDetail?doc_id=2017072100883001" target="_blank"&gt;Public Record Only&lt;/a&gt;</t>
  </si>
  <si>
    <t>&lt;a href="http://a836-acris.nyc.gov/DS/DocumentSearch/DocumentDetail?doc_id=2019071901013002" target="_blank"&gt;Verified by Public Record&lt;/a&gt;</t>
  </si>
  <si>
    <t>&lt;a href="http://a836-acris.nyc.gov/DS/DocumentSearch/DocumentDetail?doc_id=2018071300322001" target="_blank"&gt;Public Record Only&lt;/a&gt;</t>
  </si>
  <si>
    <t>&lt;a href="http://a836-acris.nyc.gov/DS/DocumentSearch/DocumentDetail?doc_id=2018062500147001" target="_blank"&gt;Public Record Only&lt;/a&gt;</t>
  </si>
  <si>
    <t>&lt;a href="http://a836-acris.nyc.gov/DS/DocumentSearch/DocumentDetail?doc_id=2018062500194001" target="_blank"&gt;Public Record Only&lt;/a&gt;</t>
  </si>
  <si>
    <t>&lt;a href="http://a836-acris.nyc.gov/DS/DocumentSearch/DocumentDetail?doc_id=2019080800873001" target="_blank"&gt;Public Record Only&lt;/a&gt;</t>
  </si>
  <si>
    <t>&lt;a href="http://a836-acris.nyc.gov/DS/DocumentSearch/DocumentDetail?doc_id=2019080601231001" target="_blank"&gt;Public Record Only&lt;/a&gt;</t>
  </si>
  <si>
    <t>&lt;a href="http://a836-acris.nyc.gov/DS/DocumentSearch/DocumentDetail?doc_id=2019080700123001" target="_blank"&gt;Public Record Only&lt;/a&gt;</t>
  </si>
  <si>
    <t>&lt;a href="http://a836-acris.nyc.gov/DS/DocumentSearch/DocumentDetail?doc_id=2019081300130001" target="_blank"&gt;Public Record Only&lt;/a&gt;</t>
  </si>
  <si>
    <t>&lt;a href="http://a836-acris.nyc.gov/DS/DocumentSearch/DocumentDetail?doc_id=2019081400119001" target="_blank"&gt;Public Record Only&lt;/a&gt;</t>
  </si>
  <si>
    <t>&lt;a href="http://a836-acris.nyc.gov/DS/DocumentSearch/DocumentDetail?doc_id=2019081400111001" target="_blank"&gt;Public Record Only&lt;/a&gt;</t>
  </si>
  <si>
    <t>&lt;a href="http://a836-acris.nyc.gov/DS/DocumentSearch/DocumentDetail?doc_id=2019080900829001" target="_blank"&gt;Public Record Only&lt;/a&gt;</t>
  </si>
  <si>
    <t>&lt;a href="http://a836-acris.nyc.gov/DS/DocumentSearch/DocumentDetail?doc_id=2019070301045001" target="_blank"&gt;Public Record Only&lt;/a&gt;</t>
  </si>
  <si>
    <t>&lt;a href="http://a836-acris.nyc.gov/DS/DocumentSearch/DocumentDetail?doc_id=2019071100741003" target="_blank"&gt;Public Record Only&lt;/a&gt;</t>
  </si>
  <si>
    <t>&lt;a href="http://a836-acris.nyc.gov/DS/DocumentSearch/DocumentDetail?doc_id=2019070200208004" target="_blank"&gt;Public Record Only&lt;/a&gt;</t>
  </si>
  <si>
    <t>&lt;a href="http://a836-acris.nyc.gov/DS/DocumentSearch/DocumentDetail?doc_id=2019070901311007" target="_blank"&gt;Public Record Only&lt;/a&gt;</t>
  </si>
  <si>
    <t>&lt;a href="http://a836-acris.nyc.gov/DS/DocumentSearch/DocumentDetail?doc_id=2019062501009001" target="_blank"&gt;Public Record Only&lt;/a&gt;</t>
  </si>
  <si>
    <t>&lt;a href="http://a836-acris.nyc.gov/DS/DocumentSearch/DocumentDetail?doc_id=2019061100305001" target="_blank"&gt;Public Record Only&lt;/a&gt;</t>
  </si>
  <si>
    <t>&lt;a href="http://a836-acris.nyc.gov/DS/DocumentSearch/DocumentDetail?doc_id=2019062800294001" target="_blank"&gt;Public Record Only&lt;/a&gt;</t>
  </si>
  <si>
    <t>&lt;a href="http://a836-acris.nyc.gov/DS/DocumentSearch/DocumentDetail?doc_id=2019061901018003" target="_blank"&gt;Public Record Only&lt;/a&gt;</t>
  </si>
  <si>
    <t>&lt;a href="http://a836-acris.nyc.gov/DS/DocumentSearch/DocumentDetail?doc_id=2019070200842009" target="_blank"&gt;Public Record Only&lt;/a&gt;</t>
  </si>
  <si>
    <t>&lt;a href="http://a836-acris.nyc.gov/DS/DocumentSearch/DocumentDetail?doc_id=2019070300828004" target="_blank"&gt;Public Record Only&lt;/a&gt;</t>
  </si>
  <si>
    <t>&lt;a href="http://a836-acris.nyc.gov/DS/DocumentSearch/DocumentDetail?doc_id=2019070200876001" target="_blank"&gt;Public Record Only&lt;/a&gt;</t>
  </si>
  <si>
    <t>&lt;a href="http://a836-acris.nyc.gov/DS/DocumentSearch/DocumentDetail?doc_id=2019070100686001" target="_blank"&gt;Public Record Only&lt;/a&gt;</t>
  </si>
  <si>
    <t>&lt;a href="http://a836-acris.nyc.gov/DS/DocumentSearch/DocumentDetail?doc_id=2019070500152001" target="_blank"&gt;Public Record Only&lt;/a&gt;</t>
  </si>
  <si>
    <t>&lt;a href="http://a836-acris.nyc.gov/DS/DocumentSearch/DocumentDetail?doc_id=2019062701176001" target="_blank"&gt;Public Record Only&lt;/a&gt;</t>
  </si>
  <si>
    <t>&lt;a href="http://a836-acris.nyc.gov/DS/DocumentSearch/DocumentDetail?doc_id=2019070300527002" target="_blank"&gt;Public Record Only&lt;/a&gt;</t>
  </si>
  <si>
    <t>&lt;a href="http://a836-acris.nyc.gov/DS/DocumentSearch/DocumentDetail?doc_id=2019071400018001" target="_blank"&gt;Public Record Only&lt;/a&gt;</t>
  </si>
  <si>
    <t>&lt;a href="http://a836-acris.nyc.gov/DS/DocumentSearch/DocumentDetail?doc_id=2019071100935001" target="_blank"&gt;Public Record Only&lt;/a&gt;</t>
  </si>
  <si>
    <t>&lt;a href="http://a836-acris.nyc.gov/DS/DocumentSearch/DocumentDetail?doc_id=2019071201125002" target="_blank"&gt;Public Record Only&lt;/a&gt;</t>
  </si>
  <si>
    <t>&lt;a href="http://a836-acris.nyc.gov/DS/DocumentSearch/DocumentDetail?doc_id=2019061200887001" target="_blank"&gt;Public Record Only&lt;/a&gt;</t>
  </si>
  <si>
    <t>&lt;a href="http://a836-acris.nyc.gov/DS/DocumentSearch/DocumentDetail?doc_id=2019070200251001" target="_blank"&gt;Public Record Only&lt;/a&gt;</t>
  </si>
  <si>
    <t>&lt;a href="http://a836-acris.nyc.gov/DS/DocumentSearch/DocumentDetail?doc_id=2019061800440002" target="_blank"&gt;Public Record Only&lt;/a&gt;</t>
  </si>
  <si>
    <t>&lt;a href="http://a836-acris.nyc.gov/DS/DocumentSearch/DocumentDetail?doc_id=2019071200308001" target="_blank"&gt;Public Record Only&lt;/a&gt;</t>
  </si>
  <si>
    <t>&lt;a href="http://a836-acris.nyc.gov/DS/DocumentSearch/DocumentDetail?doc_id=2019061400995002" target="_blank"&gt;Public Record Only&lt;/a&gt;</t>
  </si>
  <si>
    <t>&lt;a href="http://a836-acris.nyc.gov/DS/DocumentSearch/DocumentDetail?doc_id=2019070100407001" target="_blank"&gt;Public Record Only&lt;/a&gt;</t>
  </si>
  <si>
    <t>&lt;a href="http://a836-acris.nyc.gov/DS/DocumentSearch/DocumentDetail?doc_id=2019062700630001" target="_blank"&gt;Public Record Only&lt;/a&gt;</t>
  </si>
  <si>
    <t>&lt;a href="http://a836-acris.nyc.gov/DS/DocumentSearch/DocumentDetail?doc_id=2019062601054001" target="_blank"&gt;Public Record Only&lt;/a&gt;</t>
  </si>
  <si>
    <t>&lt;a href="http://a836-acris.nyc.gov/DS/DocumentSearch/DocumentDetail?doc_id=2019070500718001" target="_blank"&gt;Public Record Only&lt;/a&gt;</t>
  </si>
  <si>
    <t>&lt;a href="http://a836-acris.nyc.gov/DS/DocumentSearch/DocumentDetail?doc_id=2019062500180001" target="_blank"&gt;Public Record Only&lt;/a&gt;</t>
  </si>
  <si>
    <t>&lt;a href="http://a836-acris.nyc.gov/DS/DocumentSearch/DocumentDetail?doc_id=2019061100367002" target="_blank"&gt;Public Record Only&lt;/a&gt;</t>
  </si>
  <si>
    <t>&lt;a href="http://a836-acris.nyc.gov/DS/DocumentSearch/DocumentDetail?doc_id=2019072500653001" target="_blank"&gt;Public Record Only&lt;/a&gt;</t>
  </si>
  <si>
    <t>&lt;a href="http://a836-acris.nyc.gov/DS/DocumentSearch/DocumentDetail?doc_id=2019071600367003" target="_blank"&gt;Public Record Only&lt;/a&gt;</t>
  </si>
  <si>
    <t>&lt;a href="http://a836-acris.nyc.gov/DS/DocumentSearch/DocumentDetail?doc_id=2019071501059001" target="_blank"&gt;Public Record Only&lt;/a&gt;</t>
  </si>
  <si>
    <t>&lt;a href="http://a836-acris.nyc.gov/DS/DocumentSearch/DocumentDetail?doc_id=2019062801015001" target="_blank"&gt;Public Record Only&lt;/a&gt;</t>
  </si>
  <si>
    <t>&lt;a href="http://a836-acris.nyc.gov/DS/DocumentSearch/DocumentDetail?doc_id=2019070101084001" target="_blank"&gt;Public Record Only&lt;/a&gt;</t>
  </si>
  <si>
    <t>&lt;a href="http://a836-acris.nyc.gov/DS/DocumentSearch/DocumentDetail?doc_id=2019062100266001" target="_blank"&gt;Public Record Only&lt;/a&gt;</t>
  </si>
  <si>
    <t>&lt;a href="http://a836-acris.nyc.gov/DS/DocumentSearch/DocumentDetail?doc_id=2019072200968002" target="_blank"&gt;Public Record Only&lt;/a&gt;</t>
  </si>
  <si>
    <t>&lt;a href="http://a836-acris.nyc.gov/DS/DocumentSearch/DocumentDetail?doc_id=2019070900912002" target="_blank"&gt;Public Record Only&lt;/a&gt;</t>
  </si>
  <si>
    <t>&lt;a href="http://a836-acris.nyc.gov/DS/DocumentSearch/DocumentDetail?doc_id=2019081501394001" target="_blank"&gt;Public Record Only&lt;/a&gt;</t>
  </si>
  <si>
    <t>&lt;a href="http://a836-acris.nyc.gov/DS/DocumentSearch/DocumentDetail?doc_id=2019081300154001" target="_blank"&gt;Public Record Only&lt;/a&gt;</t>
  </si>
  <si>
    <t>&lt;a href="http://a836-acris.nyc.gov/DS/DocumentSearch/DocumentDetail?doc_id=2019081300137001" target="_blank"&gt;Public Record Only&lt;/a&gt;</t>
  </si>
  <si>
    <t>&lt;a href="http://a836-acris.nyc.gov/DS/DocumentSearch/DocumentDetail?doc_id=2019081900707001" target="_blank"&gt;Public Record Only&lt;/a&gt;</t>
  </si>
  <si>
    <t>&lt;a href="http://a836-acris.nyc.gov/DS/DocumentSearch/DocumentDetail?doc_id=2019081400778001" target="_blank"&gt;Public Record Only&lt;/a&gt;</t>
  </si>
  <si>
    <t>&lt;a href="http://a836-acris.nyc.gov/DS/DocumentSearch/DocumentDetail?doc_id=2019081500303001" target="_blank"&gt;Public Record Only&lt;/a&gt;</t>
  </si>
  <si>
    <t>&lt;a href="http://a836-acris.nyc.gov/DS/DocumentSearch/DocumentDetail?doc_id=2019082901010001" target="_blank"&gt;Public Record Only&lt;/a&gt;</t>
  </si>
  <si>
    <t>&lt;a href="http://a836-acris.nyc.gov/DS/DocumentSearch/DocumentDetail?doc_id=2019082901433002" target="_blank"&gt;Public Record Only&lt;/a&gt;</t>
  </si>
  <si>
    <t>&lt;a href="http://a836-acris.nyc.gov/DS/DocumentSearch/DocumentDetail?doc_id=2019081300595001" target="_blank"&gt;Public Record Only&lt;/a&gt;</t>
  </si>
  <si>
    <t>&lt;a href="http://a836-acris.nyc.gov/DS/DocumentSearch/DocumentDetail?doc_id=2018062500659001" target="_blank"&gt;Public Record Only&lt;/a&gt;</t>
  </si>
  <si>
    <t>&lt;a href="http://a836-acris.nyc.gov/DS/DocumentSearch/DocumentDetail?doc_id=2019082000424001" target="_blank"&gt;Public Record Only&lt;/a&gt;</t>
  </si>
  <si>
    <t>&lt;a href="http://a836-acris.nyc.gov/DS/DocumentSearch/DocumentDetail?doc_id=2019080500309002" target="_blank"&gt;Public Record Only&lt;/a&gt;</t>
  </si>
  <si>
    <t>&lt;a href="http://a836-acris.nyc.gov/DS/DocumentSearch/DocumentDetail?doc_id=2019072601070001" target="_blank"&gt;Public Record Only&lt;/a&gt;</t>
  </si>
  <si>
    <t>&lt;a href="http://a836-acris.nyc.gov/DS/DocumentSearch/DocumentDetail?doc_id=2019080100142001" target="_blank"&gt;Public Record Only&lt;/a&gt;</t>
  </si>
  <si>
    <t>&lt;a href="http://a836-acris.nyc.gov/DS/DocumentSearch/DocumentDetail?doc_id=2019081300913001" target="_blank"&gt;Public Record Only&lt;/a&gt;</t>
  </si>
  <si>
    <t>&lt;a href="http://a836-acris.nyc.gov/DS/DocumentSearch/DocumentDetail?doc_id=2019081900596001" target="_blank"&gt;Public Record Only&lt;/a&gt;</t>
  </si>
  <si>
    <t>&lt;a href="http://a836-acris.nyc.gov/DS/DocumentSearch/DocumentDetail?doc_id=2019080900794001" target="_blank"&gt;Public Record Only&lt;/a&gt;</t>
  </si>
  <si>
    <t>&lt;a href="http://a836-acris.nyc.gov/DS/DocumentSearch/DocumentDetail?doc_id=2019090600010001" target="_blank"&gt;Public Record Only&lt;/a&gt;</t>
  </si>
  <si>
    <t>&lt;a href="http://a836-acris.nyc.gov/DS/DocumentSearch/DocumentDetail?doc_id=2019091801040006" target="_blank"&gt;Verified by Public Record&lt;/a&gt;</t>
  </si>
  <si>
    <t>&lt;a href="http://a836-acris.nyc.gov/DS/DocumentSearch/DocumentDetail?doc_id=2019091000236001" target="_blank"&gt;Public Record Only&lt;/a&gt;</t>
  </si>
  <si>
    <t>&lt;a href="http://a836-acris.nyc.gov/DS/DocumentSearch/DocumentDetail?doc_id=2019091100380002" target="_blank"&gt;Public Record Only&lt;/a&gt;</t>
  </si>
  <si>
    <t>&lt;a href="http://a836-acris.nyc.gov/DS/DocumentSearch/DocumentDetail?doc_id=2019082200270006" target="_blank"&gt;Public Record Only&lt;/a&gt;</t>
  </si>
  <si>
    <t>&lt;a href="http://a836-acris.nyc.gov/DS/DocumentSearch/DocumentDetail?doc_id=2019100100196001" target="_blank"&gt;Verified by Public Record&lt;/a&gt;</t>
  </si>
  <si>
    <t>&lt;a href="http://a836-acris.nyc.gov/DS/DocumentSearch/DocumentDetail?doc_id=2019091800736003" target="_blank"&gt;Public Record Only&lt;/a&gt;</t>
  </si>
  <si>
    <t>&lt;a href="http://a836-acris.nyc.gov/DS/DocumentSearch/DocumentDetail?doc_id=2018071700279001" target="_blank"&gt;Public Record Only&lt;/a&gt;</t>
  </si>
  <si>
    <t>&lt;a href="http://a836-acris.nyc.gov/DS/DocumentSearch/DocumentDetail?doc_id=2019100401432001" target="_blank"&gt;Verified by Public Record&lt;/a&gt;</t>
  </si>
  <si>
    <t>&lt;a href="http://a836-acris.nyc.gov/DS/DocumentSearch/DocumentDetail?doc_id=2018070901319002" target="_blank"&gt;Public Record Only&lt;/a&gt;</t>
  </si>
  <si>
    <t>&lt;a href="http://a836-acris.nyc.gov/DS/DocumentSearch/DocumentDetail?doc_id=2019100201223001" target="_blank"&gt;Public Record Only&lt;/a&gt;</t>
  </si>
  <si>
    <t>&lt;a href="http://a836-acris.nyc.gov/DS/DocumentSearch/DocumentDetail?doc_id=2019100701079001" target="_blank"&gt;Public Record Only&lt;/a&gt;</t>
  </si>
  <si>
    <t>&lt;a href="http://a836-acris.nyc.gov/DS/DocumentSearch/DocumentDetail?doc_id=2019100901241001" target="_blank"&gt;Public Record Only&lt;/a&gt;</t>
  </si>
  <si>
    <t>&lt;a href="http://a836-acris.nyc.gov/DS/DocumentSearch/DocumentDetail?doc_id=2019100900166001" target="_blank"&gt;Public Record Only&lt;/a&gt;</t>
  </si>
  <si>
    <t>&lt;a href="http://a836-acris.nyc.gov/DS/DocumentSearch/DocumentDetail?doc_id=2019100701241001" target="_blank"&gt;Public Record Only&lt;/a&gt;</t>
  </si>
  <si>
    <t>&lt;a href="http://a836-acris.nyc.gov/DS/DocumentSearch/DocumentDetail?doc_id=2019101000308001" target="_blank"&gt;Public Record Only&lt;/a&gt;</t>
  </si>
  <si>
    <t>&lt;a href="http://a836-acris.nyc.gov/DS/DocumentSearch/DocumentDetail?doc_id=2019092500876002" target="_blank"&gt;Public Record Only&lt;/a&gt;</t>
  </si>
  <si>
    <t>&lt;a href="http://a836-acris.nyc.gov/DS/DocumentSearch/DocumentDetail?doc_id=2018072000653001" target="_blank"&gt;Public Record Only&lt;/a&gt;</t>
  </si>
  <si>
    <t>&lt;a href="http://a836-acris.nyc.gov/DS/DocumentSearch/DocumentDetail?doc_id=2019101501589001" target="_blank"&gt;Public Record Only&lt;/a&gt;</t>
  </si>
  <si>
    <t>&lt;a href="http://a836-acris.nyc.gov/DS/DocumentSearch/DocumentDetail?doc_id=2019100100329004" target="_blank"&gt;Public Record Only&lt;/a&gt;</t>
  </si>
  <si>
    <t>&lt;a href="http://a836-acris.nyc.gov/DS/DocumentSearch/DocumentDetail?doc_id=2019100700374001" target="_blank"&gt;Public Record Only&lt;/a&gt;</t>
  </si>
  <si>
    <t>&lt;a href="http://a836-acris.nyc.gov/DS/DocumentSearch/DocumentDetail?doc_id=2019092501198002" target="_blank"&gt;Public Record Only&lt;/a&gt;</t>
  </si>
  <si>
    <t>&lt;a href="http://a836-acris.nyc.gov/DS/DocumentSearch/DocumentDetail?doc_id=2019101101122001" target="_blank"&gt;Verified by Public Record&lt;/a&gt;</t>
  </si>
  <si>
    <t>&lt;a href="http://a836-acris.nyc.gov/DS/DocumentSearch/DocumentDetail?doc_id=2019101700170001" target="_blank"&gt;Public Record Only&lt;/a&gt;</t>
  </si>
  <si>
    <t>&lt;a href="http://a836-acris.nyc.gov/DS/DocumentSearch/DocumentDetail?doc_id=2019101600008001" target="_blank"&gt;Public Record Only&lt;/a&gt;</t>
  </si>
  <si>
    <t>&lt;a href="http://a836-acris.nyc.gov/DS/DocumentSearch/DocumentDetail?doc_id=2019101000859001" target="_blank"&gt;Public Record Only&lt;/a&gt;</t>
  </si>
  <si>
    <t>&lt;a href="http://a836-acris.nyc.gov/DS/DocumentSearch/DocumentDetail?doc_id=2019101700685001" target="_blank"&gt;Public Record Only&lt;/a&gt;</t>
  </si>
  <si>
    <t>&lt;a href="http://a836-acris.nyc.gov/DS/DocumentSearch/DocumentDetail?doc_id=2019101500850001" target="_blank"&gt;Public Record Only&lt;/a&gt;</t>
  </si>
  <si>
    <t>&lt;a href="http://a836-acris.nyc.gov/DS/DocumentSearch/DocumentDetail?doc_id=2019101700572001" target="_blank"&gt;Public Record Only&lt;/a&gt;</t>
  </si>
  <si>
    <t>&lt;a href="http://a836-acris.nyc.gov/DS/DocumentSearch/DocumentDetail?doc_id=2019102501084001" target="_blank"&gt;Verified by Public Record&lt;/a&gt;</t>
  </si>
  <si>
    <t>&lt;a href="http://a836-acris.nyc.gov/DS/DocumentSearch/DocumentDetail?doc_id=2019110600305006" target="_blank"&gt;Verified by Public Record&lt;/a&gt;</t>
  </si>
  <si>
    <t>&lt;a href="http://a836-acris.nyc.gov/DS/DocumentSearch/DocumentDetail?doc_id=2019102400583001" target="_blank"&gt;Public Record Only&lt;/a&gt;</t>
  </si>
  <si>
    <t>&lt;a href="http://a836-acris.nyc.gov/DS/DocumentSearch/DocumentDetail?doc_id=2019102400392001" target="_blank"&gt;Public Record Only&lt;/a&gt;</t>
  </si>
  <si>
    <t>&lt;a href="http://a836-acris.nyc.gov/DS/DocumentSearch/DocumentDetail?doc_id=2019101400274006" target="_blank"&gt;Public Record Only&lt;/a&gt;</t>
  </si>
  <si>
    <t>&lt;a href="http://a836-acris.nyc.gov/DS/DocumentSearch/DocumentDetail?doc_id=2019071700166006" target="_blank"&gt;Verified by Public Record&lt;/a&gt;</t>
  </si>
  <si>
    <t>&lt;a href="http://a836-acris.nyc.gov/DS/DocumentSearch/DocumentDetail?doc_id=2017121100053002" target="_blank"&gt;Public Record Only&lt;/a&gt;</t>
  </si>
  <si>
    <t>&lt;a href="http://a836-acris.nyc.gov/DS/DocumentSearch/DocumentDetail?doc_id=2019020600316006" target="_blank"&gt;Public Record Only&lt;/a&gt;</t>
  </si>
  <si>
    <t>&lt;a href="http://a836-acris.nyc.gov/DS/DocumentSearch/DocumentDetail?doc_id=2017090300017001" target="_blank"&gt;Public Record Only&lt;/a&gt;</t>
  </si>
  <si>
    <t>&lt;a href="http://a836-acris.nyc.gov/DS/DocumentSearch/DocumentDetail?doc_id=2017010400757001" target="_blank"&gt;Public Record Only&lt;/a&gt;</t>
  </si>
  <si>
    <t>&lt;a href="http://a836-acris.nyc.gov/DS/DocumentSearch/DocumentDetail?doc_id=2017030701106001" target="_blank"&gt;Public Record Only&lt;/a&gt;</t>
  </si>
  <si>
    <t>&lt;a href="http://a836-acris.nyc.gov/DS/DocumentSearch/DocumentDetail?doc_id=2017010400715001" target="_blank"&gt;Public Record Only&lt;/a&gt;</t>
  </si>
  <si>
    <t>&lt;a href="http://a836-acris.nyc.gov/DS/DocumentSearch/DocumentDetail?doc_id=2017010400781001" target="_blank"&gt;Public Record Only&lt;/a&gt;</t>
  </si>
  <si>
    <t>&lt;a href="http://a836-acris.nyc.gov/DS/DocumentSearch/DocumentDetail?doc_id=2017040200050001" target="_blank"&gt;Public Record Only&lt;/a&gt;</t>
  </si>
  <si>
    <t>&lt;a href="http://a836-acris.nyc.gov/DS/DocumentSearch/DocumentDetail?doc_id=2017080800905002" target="_blank"&gt;Public Record Only&lt;/a&gt;</t>
  </si>
  <si>
    <t>&lt;a href="http://a836-acris.nyc.gov/DS/DocumentSearch/DocumentDetail?doc_id=2017070500426001" target="_blank"&gt;Public Record Only&lt;/a&gt;</t>
  </si>
  <si>
    <t>&lt;a href="http://a836-acris.nyc.gov/DS/DocumentSearch/DocumentDetail?doc_id=2018110600064001" target="_blank"&gt;Public Record Only&lt;/a&gt;</t>
  </si>
  <si>
    <t>&lt;a href="http://a836-acris.nyc.gov/DS/DocumentSearch/DocumentDetail?doc_id=2017042701063001" target="_blank"&gt;Public Record Only&lt;/a&gt;</t>
  </si>
  <si>
    <t>&lt;a href="http://a836-acris.nyc.gov/DS/DocumentSearch/DocumentDetail?doc_id=2017082200188001" target="_blank"&gt;Public Record Only&lt;/a&gt;</t>
  </si>
  <si>
    <t>&lt;a href="http://a836-acris.nyc.gov/DS/DocumentSearch/DocumentDetail?doc_id=2017080100924001" target="_blank"&gt;Public Record Only&lt;/a&gt;</t>
  </si>
  <si>
    <t>&lt;a href="http://a836-acris.nyc.gov/DS/DocumentSearch/DocumentDetail?doc_id=2017071300252001" target="_blank"&gt;Public Record Only&lt;/a&gt;</t>
  </si>
  <si>
    <t>&lt;a href="http://a836-acris.nyc.gov/DS/DocumentSearch/DocumentDetail?doc_id=2019122000326001" target="_blank"&gt;Verified by Public Record&lt;/a&gt;</t>
  </si>
  <si>
    <t>&lt;a href="http://a836-acris.nyc.gov/DS/DocumentSearch/DocumentDetail?doc_id=2019111200453001" target="_blank"&gt;Verified by Public Record&lt;/a&gt;</t>
  </si>
  <si>
    <t>&lt;a href="http://a836-acris.nyc.gov/DS/DocumentSearch/DocumentDetail?doc_id=2019110500408001" target="_blank"&gt;Public Record Only&lt;/a&gt;</t>
  </si>
  <si>
    <t>&lt;a href="http://a836-acris.nyc.gov/DS/DocumentSearch/DocumentDetail?doc_id=2019110800425001" target="_blank"&gt;Public Record Only&lt;/a&gt;</t>
  </si>
  <si>
    <t>&lt;a href="http://a836-acris.nyc.gov/DS/DocumentSearch/DocumentDetail?doc_id=2019112100962001" target="_blank"&gt;Public Record Only&lt;/a&gt;</t>
  </si>
  <si>
    <t>&lt;a href="http://a836-acris.nyc.gov/DS/DocumentSearch/DocumentDetail?doc_id=2019112200661001" target="_blank"&gt;Public Record Only&lt;/a&gt;</t>
  </si>
  <si>
    <t>&lt;a href="http://a836-acris.nyc.gov/DS/DocumentSearch/DocumentDetail?doc_id=2018072400832001" target="_blank"&gt;Public Record Only&lt;/a&gt;</t>
  </si>
  <si>
    <t>&lt;a href="http://a836-acris.nyc.gov/DS/DocumentSearch/DocumentDetail?doc_id=2019112001307002" target="_blank"&gt;Public Record Only&lt;/a&gt;</t>
  </si>
  <si>
    <t>&lt;a href="http://a836-acris.nyc.gov/DS/DocumentSearch/DocumentDetail?doc_id=2019100300413001" target="_blank"&gt;Public Record Only&lt;/a&gt;</t>
  </si>
  <si>
    <t>&lt;a href="http://a836-acris.nyc.gov/DS/DocumentSearch/DocumentDetail?doc_id=2019071201232004" target="_blank"&gt;Public Record Only&lt;/a&gt;</t>
  </si>
  <si>
    <t>&lt;a href="http://a836-acris.nyc.gov/DS/DocumentSearch/DocumentDetail?doc_id=2019100200348001" target="_blank"&gt;Public Record Only&lt;/a&gt;</t>
  </si>
  <si>
    <t>&lt;a href="http://a836-acris.nyc.gov/DS/DocumentSearch/DocumentDetail?doc_id=2019092700944003" target="_blank"&gt;Public Record Only&lt;/a&gt;</t>
  </si>
  <si>
    <t>&lt;a href="http://a836-acris.nyc.gov/DS/DocumentSearch/DocumentDetail?doc_id=2019102300750001" target="_blank"&gt;Public Record Only&lt;/a&gt;</t>
  </si>
  <si>
    <t>&lt;a href="http://a836-acris.nyc.gov/DS/DocumentSearch/DocumentDetail?doc_id=2019121300811001" target="_blank"&gt;Verified by Public Record&lt;/a&gt;</t>
  </si>
  <si>
    <t>&lt;a href="http://a836-acris.nyc.gov/DS/DocumentSearch/DocumentDetail?doc_id=2019121200615003" target="_blank"&gt;Verified by Public Record&lt;/a&gt;</t>
  </si>
  <si>
    <t>&lt;a href="http://a836-acris.nyc.gov/DS/DocumentSearch/DocumentDetail?doc_id=2019121200615001" target="_blank"&gt;Verified by Public Record&lt;/a&gt;</t>
  </si>
  <si>
    <t>&lt;a href="http://a836-acris.nyc.gov/DS/DocumentSearch/DocumentDetail?doc_id=2020010800510001" target="_blank"&gt;Verified by Public Record&lt;/a&gt;</t>
  </si>
  <si>
    <t>&lt;a href="http://a836-acris.nyc.gov/DS/DocumentSearch/DocumentDetail?doc_id=2018072500466001" target="_blank"&gt;Public Record Only&lt;/a&gt;</t>
  </si>
  <si>
    <t>&lt;a href="http://a836-acris.nyc.gov/DS/DocumentSearch/DocumentDetail?doc_id=2019111901358001" target="_blank"&gt;Public Record Only&lt;/a&gt;</t>
  </si>
  <si>
    <t>&lt;a href="http://a836-acris.nyc.gov/DS/DocumentSearch/DocumentDetail?doc_id=2019121100814001" target="_blank"&gt;Public Record Only&lt;/a&gt;</t>
  </si>
  <si>
    <t>&lt;a href="http://a836-acris.nyc.gov/DS/DocumentSearch/DocumentDetail?doc_id=2020111700731002" target="_blank"&gt;Verified by Public Record&lt;/a&gt;</t>
  </si>
  <si>
    <t>&lt;a href="http://a836-acris.nyc.gov/DS/DocumentSearch/DocumentDetail?doc_id=2019121900356001" target="_blank"&gt;Public Record Only&lt;/a&gt;</t>
  </si>
  <si>
    <t>&lt;a href="http://a836-acris.nyc.gov/DS/DocumentSearch/DocumentDetail?doc_id=2019121900317001" target="_blank"&gt;Public Record Only&lt;/a&gt;</t>
  </si>
  <si>
    <t>&lt;a href="http://a836-acris.nyc.gov/DS/DocumentSearch/DocumentDetail?doc_id=2019121800555001" target="_blank"&gt;Public Record Only&lt;/a&gt;</t>
  </si>
  <si>
    <t>&lt;a href="http://a836-acris.nyc.gov/DS/DocumentSearch/DocumentDetail?doc_id=2019121901131001" target="_blank"&gt;Public Record Only&lt;/a&gt;</t>
  </si>
  <si>
    <t>&lt;a href="http://a836-acris.nyc.gov/DS/DocumentSearch/DocumentDetail?doc_id=2019122300277001" target="_blank"&gt;Verified by Public Record&lt;/a&gt;</t>
  </si>
  <si>
    <t>&lt;a href="http://a836-acris.nyc.gov/DS/DocumentSearch/DocumentDetail?doc_id=2018072501260001" target="_blank"&gt;Public Record Only&lt;/a&gt;</t>
  </si>
  <si>
    <t>&lt;a href="http://a836-acris.nyc.gov/DS/DocumentSearch/DocumentDetail?doc_id=2018072400621006" target="_blank"&gt;Public Record Only&lt;/a&gt;</t>
  </si>
  <si>
    <t>&lt;a href="http://a836-acris.nyc.gov/DS/DocumentSearch/DocumentDetail?doc_id=2019122600351001" target="_blank"&gt;Public Record Only&lt;/a&gt;</t>
  </si>
  <si>
    <t>&lt;a href="http://a836-acris.nyc.gov/DS/DocumentSearch/DocumentDetail?doc_id=2019122400179001" target="_blank"&gt;Public Record Only&lt;/a&gt;</t>
  </si>
  <si>
    <t>&lt;a href="http://a836-acris.nyc.gov/DS/DocumentSearch/DocumentDetail?doc_id=2019122600379001" target="_blank"&gt;Public Record Only&lt;/a&gt;</t>
  </si>
  <si>
    <t>&lt;a href="http://a836-acris.nyc.gov/DS/DocumentSearch/DocumentDetail?doc_id=2019122000467008" target="_blank"&gt;Verified by Public Record&lt;/a&gt;</t>
  </si>
  <si>
    <t>&lt;a href="http://a836-acris.nyc.gov/DS/DocumentSearch/DocumentDetail?doc_id=2019123100325001" target="_blank"&gt;Public Record Only&lt;/a&gt;</t>
  </si>
  <si>
    <t>&lt;a href="http://a836-acris.nyc.gov/DS/DocumentSearch/DocumentDetail?doc_id=2020010300355001" target="_blank"&gt;Public Record Only&lt;/a&gt;</t>
  </si>
  <si>
    <t>&lt;a href="http://a836-acris.nyc.gov/DS/DocumentSearch/DocumentDetail?doc_id=2020010300470001" target="_blank"&gt;Public Record Only&lt;/a&gt;</t>
  </si>
  <si>
    <t>&lt;a href="http://a836-acris.nyc.gov/DS/DocumentSearch/DocumentDetail?doc_id=2019112100923001" target="_blank"&gt;Public Record Only&lt;/a&gt;</t>
  </si>
  <si>
    <t>&lt;a href="http://a836-acris.nyc.gov/DS/DocumentSearch/DocumentDetail?doc_id=2019112100751001" target="_blank"&gt;Public Record Only&lt;/a&gt;</t>
  </si>
  <si>
    <t>&lt;a href="http://a836-acris.nyc.gov/DS/DocumentSearch/DocumentDetail?doc_id=2019112100836001" target="_blank"&gt;Public Record Only&lt;/a&gt;</t>
  </si>
  <si>
    <t>&lt;a href="http://a836-acris.nyc.gov/DS/DocumentSearch/DocumentDetail?doc_id=2019112100865001" target="_blank"&gt;Public Record Only&lt;/a&gt;</t>
  </si>
  <si>
    <t>&lt;a href="http://a836-acris.nyc.gov/DS/DocumentSearch/DocumentDetail?doc_id=2019112100881001" target="_blank"&gt;Public Record Only&lt;/a&gt;</t>
  </si>
  <si>
    <t>&lt;a href="http://a836-acris.nyc.gov/DS/DocumentSearch/DocumentDetail?doc_id=2019111200753004" target="_blank"&gt;Public Record Only&lt;/a&gt;</t>
  </si>
  <si>
    <t>&lt;a href="http://a836-acris.nyc.gov/DS/DocumentSearch/DocumentDetail?doc_id=2019110100888001" target="_blank"&gt;Public Record Only&lt;/a&gt;</t>
  </si>
  <si>
    <t>&lt;a href="http://a836-acris.nyc.gov/DS/DocumentSearch/DocumentDetail?doc_id=2019103100515002" target="_blank"&gt;Public Record Only&lt;/a&gt;</t>
  </si>
  <si>
    <t>&lt;a href="http://a836-acris.nyc.gov/DS/DocumentSearch/DocumentDetail?doc_id=2019111801094001" target="_blank"&gt;Public Record Only&lt;/a&gt;</t>
  </si>
  <si>
    <t>&lt;a href="http://a836-acris.nyc.gov/DS/DocumentSearch/DocumentDetail?doc_id=2019103000704001" target="_blank"&gt;Public Record Only&lt;/a&gt;</t>
  </si>
  <si>
    <t>&lt;a href="http://a836-acris.nyc.gov/DS/DocumentSearch/DocumentDetail?doc_id=2019102901181001" target="_blank"&gt;Public Record Only&lt;/a&gt;</t>
  </si>
  <si>
    <t>&lt;a href="http://a836-acris.nyc.gov/DS/DocumentSearch/DocumentDetail?doc_id=2019112500398001" target="_blank"&gt;Public Record Only&lt;/a&gt;</t>
  </si>
  <si>
    <t>&lt;a href="http://a836-acris.nyc.gov/DS/DocumentSearch/DocumentDetail?doc_id=2019112000660002" target="_blank"&gt;Public Record Only&lt;/a&gt;</t>
  </si>
  <si>
    <t>&lt;a href="http://a836-acris.nyc.gov/DS/DocumentSearch/DocumentDetail?doc_id=2019110100189001" target="_blank"&gt;Public Record Only&lt;/a&gt;</t>
  </si>
  <si>
    <t>&lt;a href="http://a836-acris.nyc.gov/DS/DocumentSearch/DocumentDetail?doc_id=2019110401078001" target="_blank"&gt;Public Record Only&lt;/a&gt;</t>
  </si>
  <si>
    <t>&lt;a href="http://a836-acris.nyc.gov/DS/DocumentSearch/DocumentDetail?doc_id=2019112600845001" target="_blank"&gt;Public Record Only&lt;/a&gt;</t>
  </si>
  <si>
    <t>&lt;a href="http://a836-acris.nyc.gov/DS/DocumentSearch/DocumentDetail?doc_id=2019112700634002" target="_blank"&gt;Public Record Only&lt;/a&gt;</t>
  </si>
  <si>
    <t>&lt;a href="http://a836-acris.nyc.gov/DS/DocumentSearch/DocumentDetail?doc_id=2019120200599001" target="_blank"&gt;Public Record Only&lt;/a&gt;</t>
  </si>
  <si>
    <t>&lt;a href="http://a836-acris.nyc.gov/DS/DocumentSearch/DocumentDetail?doc_id=2019112700243001" target="_blank"&gt;Public Record Only&lt;/a&gt;</t>
  </si>
  <si>
    <t>&lt;a href="http://a836-acris.nyc.gov/DS/DocumentSearch/DocumentDetail?doc_id=2019112700696001" target="_blank"&gt;Public Record Only&lt;/a&gt;</t>
  </si>
  <si>
    <t>&lt;a href="http://a836-acris.nyc.gov/DS/DocumentSearch/DocumentDetail?doc_id=2019120200516002" target="_blank"&gt;Public Record Only&lt;/a&gt;</t>
  </si>
  <si>
    <t>&lt;a href="http://a836-acris.nyc.gov/DS/DocumentSearch/DocumentDetail?doc_id=2019120300702002" target="_blank"&gt;Public Record Only&lt;/a&gt;</t>
  </si>
  <si>
    <t>&lt;a href="http://a836-acris.nyc.gov/DS/DocumentSearch/DocumentDetail?doc_id=2020011401220001" target="_blank"&gt;Public Record Only&lt;/a&gt;</t>
  </si>
  <si>
    <t>&lt;a href="http://a836-acris.nyc.gov/DS/DocumentSearch/DocumentDetail?doc_id=2020010801040003" target="_blank"&gt;Public Record Only&lt;/a&gt;</t>
  </si>
  <si>
    <t>&lt;a href="http://a836-acris.nyc.gov/DS/DocumentSearch/DocumentDetail?doc_id=2020011600108003" target="_blank"&gt;Public Record Only&lt;/a&gt;</t>
  </si>
  <si>
    <t>&lt;a href="http://a836-acris.nyc.gov/DS/DocumentSearch/DocumentDetail?doc_id=2019122301073001" target="_blank"&gt;Public Record Only&lt;/a&gt;</t>
  </si>
  <si>
    <t>&lt;a href="http://a836-acris.nyc.gov/DS/DocumentSearch/DocumentDetail?doc_id=2020011600320001" target="_blank"&gt;Public Record Only&lt;/a&gt;</t>
  </si>
  <si>
    <t>&lt;a href="http://a836-acris.nyc.gov/DS/DocumentSearch/DocumentDetail?doc_id=2020011600287001" target="_blank"&gt;Public Record Only&lt;/a&gt;</t>
  </si>
  <si>
    <t>&lt;a href="http://a836-acris.nyc.gov/DS/DocumentSearch/DocumentDetail?doc_id=2020012200174001" target="_blank"&gt;Public Record Only&lt;/a&gt;</t>
  </si>
  <si>
    <t>&lt;a href="http://a836-acris.nyc.gov/DS/DocumentSearch/DocumentDetail?doc_id=2020010800241001" target="_blank"&gt;Public Record Only&lt;/a&gt;</t>
  </si>
  <si>
    <t>&lt;a href="http://a836-acris.nyc.gov/DS/DocumentSearch/DocumentDetail?doc_id=2020010800926001" target="_blank"&gt;Public Record Only&lt;/a&gt;</t>
  </si>
  <si>
    <t>&lt;a href="http://a836-acris.nyc.gov/DS/DocumentSearch/DocumentDetail?doc_id=2020012901147001" target="_blank"&gt;Public Record Only&lt;/a&gt;</t>
  </si>
  <si>
    <t>&lt;a href="http://a836-acris.nyc.gov/DS/DocumentSearch/DocumentDetail?doc_id=2020012200206001" target="_blank"&gt;Public Record Only&lt;/a&gt;</t>
  </si>
  <si>
    <t>&lt;a href="http://a836-acris.nyc.gov/DS/DocumentSearch/DocumentDetail?doc_id=2020012400535004" target="_blank"&gt;Public Record Only&lt;/a&gt;</t>
  </si>
  <si>
    <t>&lt;a href="http://a836-acris.nyc.gov/DS/DocumentSearch/DocumentDetail?doc_id=2018073100108001" target="_blank"&gt;Public Record Only&lt;/a&gt;</t>
  </si>
  <si>
    <t>&lt;a href="http://a836-acris.nyc.gov/DS/DocumentSearch/DocumentDetail?doc_id=2020013100826001" target="_blank"&gt;Public Record Only&lt;/a&gt;</t>
  </si>
  <si>
    <t>&lt;a href="http://a836-acris.nyc.gov/DS/DocumentSearch/DocumentDetail?doc_id=2019122300567001" target="_blank"&gt;Verified by Public Record&lt;/a&gt;</t>
  </si>
  <si>
    <t>&lt;a href="http://a836-acris.nyc.gov/DS/DocumentSearch/DocumentDetail?doc_id=2020012300806001" target="_blank"&gt;Public Record Only&lt;/a&gt;</t>
  </si>
  <si>
    <t>&lt;a href="http://a836-acris.nyc.gov/DS/DocumentSearch/DocumentDetail?doc_id=2020020500611001" target="_blank"&gt;Public Record Only&lt;/a&gt;</t>
  </si>
  <si>
    <t>&lt;a href="http://a836-acris.nyc.gov/DS/DocumentSearch/DocumentDetail?doc_id=2020020700779004" target="_blank"&gt;Public Record Only&lt;/a&gt;</t>
  </si>
  <si>
    <t>&lt;a href="http://a836-acris.nyc.gov/DS/DocumentSearch/DocumentDetail?doc_id=2020021101264001" target="_blank"&gt;Verified by Public Record&lt;/a&gt;</t>
  </si>
  <si>
    <t>&lt;a href="http://a836-acris.nyc.gov/DS/DocumentSearch/DocumentDetail?doc_id=2020021001307001" target="_blank"&gt;Verified by Public Record&lt;/a&gt;</t>
  </si>
  <si>
    <t>&lt;a href="http://a836-acris.nyc.gov/DS/DocumentSearch/DocumentDetail?doc_id=2020020600413002" target="_blank"&gt;Public Record Only&lt;/a&gt;</t>
  </si>
  <si>
    <t>&lt;a href="http://a836-acris.nyc.gov/DS/DocumentSearch/DocumentDetail?doc_id=2020021700248001" target="_blank"&gt;Verified by Public Record&lt;/a&gt;</t>
  </si>
  <si>
    <t>&lt;a href="http://a836-acris.nyc.gov/DS/DocumentSearch/DocumentDetail?doc_id=2020021900753001" target="_blank"&gt;Public Record Only&lt;/a&gt;</t>
  </si>
  <si>
    <t>&lt;a href="http://a836-acris.nyc.gov/DS/DocumentSearch/DocumentDetail?doc_id=2020021900985002" target="_blank"&gt;Verified by Public Record&lt;/a&gt;</t>
  </si>
  <si>
    <t>&lt;a href="http://a836-acris.nyc.gov/DS/DocumentSearch/DocumentDetail?doc_id=2018073100934001" target="_blank"&gt;Public Record Only&lt;/a&gt;</t>
  </si>
  <si>
    <t>&lt;a href="http://a836-acris.nyc.gov/DS/DocumentSearch/DocumentDetail?doc_id=2020022600713001" target="_blank"&gt;Verified by Public Record&lt;/a&gt;</t>
  </si>
  <si>
    <t>&lt;a href="http://a836-acris.nyc.gov/DS/DocumentSearch/DocumentDetail?doc_id=2020022500610003" target="_blank"&gt;Verified by Public Record&lt;/a&gt;</t>
  </si>
  <si>
    <t>&lt;a href="http://a836-acris.nyc.gov/DS/DocumentSearch/DocumentDetail?doc_id=2020022600603001" target="_blank"&gt;Public Record Only&lt;/a&gt;</t>
  </si>
  <si>
    <t>&lt;a href="http://a836-acris.nyc.gov/DS/DocumentSearch/DocumentDetail?doc_id=2020022800236001" target="_blank"&gt;Verified by Public Record&lt;/a&gt;</t>
  </si>
  <si>
    <t>&lt;a href="http://a836-acris.nyc.gov/DS/DocumentSearch/DocumentDetail?doc_id=2020030300128001" target="_blank"&gt;Verified by Public Record&lt;/a&gt;</t>
  </si>
  <si>
    <t>&lt;a href="http://a836-acris.nyc.gov/DS/DocumentSearch/DocumentDetail?doc_id=2020030200969001" target="_blank"&gt;Verified by Public Record&lt;/a&gt;</t>
  </si>
  <si>
    <t>&lt;a href="http://a836-acris.nyc.gov/DS/DocumentSearch/DocumentDetail?doc_id=2020030200630001" target="_blank"&gt;Public Record Only&lt;/a&gt;</t>
  </si>
  <si>
    <t>&lt;a href="http://a836-acris.nyc.gov/DS/DocumentSearch/DocumentDetail?doc_id=2018080201104002" target="_blank"&gt;Public Record Only&lt;/a&gt;</t>
  </si>
  <si>
    <t>&lt;a href="http://a836-acris.nyc.gov/DS/DocumentSearch/DocumentDetail?doc_id=2020030900926001" target="_blank"&gt;Verified by Public Record&lt;/a&gt;</t>
  </si>
  <si>
    <t>&lt;a href="http://a836-acris.nyc.gov/DS/DocumentSearch/DocumentDetail?doc_id=2020030600953003" target="_blank"&gt;Verified by Public Record&lt;/a&gt;</t>
  </si>
  <si>
    <t>&lt;a href="http://a836-acris.nyc.gov/DS/DocumentSearch/DocumentDetail?doc_id=2020031100979001" target="_blank"&gt;Public Record Only&lt;/a&gt;</t>
  </si>
  <si>
    <t>&lt;a href="http://a836-acris.nyc.gov/DS/DocumentSearch/DocumentDetail?doc_id=2020030900832002" target="_blank"&gt;Public Record Only&lt;/a&gt;</t>
  </si>
  <si>
    <t>&lt;a href="http://a836-acris.nyc.gov/DS/DocumentSearch/DocumentDetail?doc_id=2020022000666002" target="_blank"&gt;Verified by Public Record&lt;/a&gt;</t>
  </si>
  <si>
    <t>&lt;a href="http://a836-acris.nyc.gov/DS/DocumentSearch/DocumentDetail?doc_id=2020031300247001" target="_blank"&gt;Verified by Public Record&lt;/a&gt;</t>
  </si>
  <si>
    <t>&lt;a href="http://a836-acris.nyc.gov/DS/DocumentSearch/DocumentDetail?doc_id=2020031900370001" target="_blank"&gt;Verified by Public Record&lt;/a&gt;</t>
  </si>
  <si>
    <t>&lt;a href="http://a836-acris.nyc.gov/DS/DocumentSearch/DocumentDetail?doc_id=2020031600879001" target="_blank"&gt;Verified by Public Record&lt;/a&gt;</t>
  </si>
  <si>
    <t>&lt;a href="http://a836-acris.nyc.gov/DS/DocumentSearch/DocumentDetail?doc_id=2020031900512002" target="_blank"&gt;Verified by Public Record&lt;/a&gt;</t>
  </si>
  <si>
    <t>&lt;a href="http://a836-acris.nyc.gov/DS/DocumentSearch/DocumentDetail?doc_id=2020031600792001" target="_blank"&gt;Verified by Public Record&lt;/a&gt;</t>
  </si>
  <si>
    <t>&lt;a href="http://a836-acris.nyc.gov/DS/DocumentSearch/DocumentDetail?doc_id=2020052600551001" target="_blank"&gt;Verified by Public Record&lt;/a&gt;</t>
  </si>
  <si>
    <t>&lt;a href="http://a836-acris.nyc.gov/DS/DocumentSearch/DocumentDetail?doc_id=2020041600449002" target="_blank"&gt;Verified by Public Record&lt;/a&gt;</t>
  </si>
  <si>
    <t>&lt;a href="http://a836-acris.nyc.gov/DS/DocumentSearch/DocumentDetail?doc_id=2020031900857002" target="_blank"&gt;Verified by Public Record&lt;/a&gt;</t>
  </si>
  <si>
    <t>&lt;a href="http://a836-acris.nyc.gov/DS/DocumentSearch/DocumentDetail?doc_id=2020031900844001" target="_blank"&gt;Verified by Public Record&lt;/a&gt;</t>
  </si>
  <si>
    <t>&lt;a href="http://a836-acris.nyc.gov/DS/DocumentSearch/DocumentDetail?doc_id=2020031800312002" target="_blank"&gt;Public Record Only&lt;/a&gt;</t>
  </si>
  <si>
    <t>&lt;a href="http://a836-acris.nyc.gov/DS/DocumentSearch/DocumentDetail?doc_id=2020031900656001" target="_blank"&gt;Public Record Only&lt;/a&gt;</t>
  </si>
  <si>
    <t>&lt;a href="http://a836-acris.nyc.gov/DS/DocumentSearch/DocumentDetail?doc_id=2020040200283001" target="_blank"&gt;Verified by Public Record&lt;/a&gt;</t>
  </si>
  <si>
    <t>&lt;a href="http://a836-acris.nyc.gov/DS/DocumentSearch/DocumentDetail?doc_id=2020022800070001" target="_blank"&gt;Verified by Public Record&lt;/a&gt;</t>
  </si>
  <si>
    <t>&lt;a href="http://a836-acris.nyc.gov/DS/DocumentSearch/DocumentDetail?doc_id=2020022800070003" target="_blank"&gt;Verified by Public Record&lt;/a&gt;</t>
  </si>
  <si>
    <t>&lt;a href="http://a836-acris.nyc.gov/DS/DocumentSearch/DocumentDetail?doc_id=2020041300261001" target="_blank"&gt;Verified by Public Record&lt;/a&gt;</t>
  </si>
  <si>
    <t>&lt;a href="http://a836-acris.nyc.gov/DS/DocumentSearch/DocumentDetail?doc_id=2018080600906001" target="_blank"&gt;Public Record Only&lt;/a&gt;</t>
  </si>
  <si>
    <t>&lt;a href="http://a836-acris.nyc.gov/DS/DocumentSearch/DocumentDetail?doc_id=2018080600917001" target="_blank"&gt;Public Record Only&lt;/a&gt;</t>
  </si>
  <si>
    <t>&lt;a href="http://a836-acris.nyc.gov/DS/DocumentSearch/DocumentDetail?doc_id=2020041600041001" target="_blank"&gt;Verified by Public Record&lt;/a&gt;</t>
  </si>
  <si>
    <t>&lt;a href="http://a836-acris.nyc.gov/DS/DocumentSearch/DocumentDetail?doc_id=2020041700751001" target="_blank"&gt;Public Record Only&lt;/a&gt;</t>
  </si>
  <si>
    <t>&lt;a href="http://a836-acris.nyc.gov/DS/DocumentSearch/DocumentDetail?doc_id=2020011301400003" target="_blank"&gt;Public Record Only&lt;/a&gt;</t>
  </si>
  <si>
    <t>&lt;a href="http://a836-acris.nyc.gov/DS/DocumentSearch/DocumentDetail?doc_id=2020042100465001" target="_blank"&gt;Verified by Public Record&lt;/a&gt;</t>
  </si>
  <si>
    <t>&lt;a href="http://a836-acris.nyc.gov/DS/DocumentSearch/DocumentDetail?doc_id=2020042100393003" target="_blank"&gt;Public Record Only&lt;/a&gt;</t>
  </si>
  <si>
    <t>&lt;a href="http://a836-acris.nyc.gov/DS/DocumentSearch/DocumentDetail?doc_id=2020042200232001" target="_blank"&gt;Verified by Public Record&lt;/a&gt;</t>
  </si>
  <si>
    <t>&lt;a href="http://a836-acris.nyc.gov/DS/DocumentSearch/DocumentDetail?doc_id=2020043000411001" target="_blank"&gt;Public Record Only&lt;/a&gt;</t>
  </si>
  <si>
    <t>&lt;a href="http://a836-acris.nyc.gov/DS/DocumentSearch/DocumentDetail?doc_id=2020043000922001" target="_blank"&gt;Public Record Only&lt;/a&gt;</t>
  </si>
  <si>
    <t>&lt;a href="http://a836-acris.nyc.gov/DS/DocumentSearch/DocumentDetail?doc_id=2020042900196001" target="_blank"&gt;Public Record Only&lt;/a&gt;</t>
  </si>
  <si>
    <t>&lt;a href="http://a836-acris.nyc.gov/DS/DocumentSearch/DocumentDetail?doc_id=2020051100671001" target="_blank"&gt;Public Record Only&lt;/a&gt;</t>
  </si>
  <si>
    <t>&lt;a href="http://a836-acris.nyc.gov/DS/DocumentSearch/DocumentDetail?doc_id=2020051100408002" target="_blank"&gt;Public Record Only&lt;/a&gt;</t>
  </si>
  <si>
    <t>&lt;a href="http://a836-acris.nyc.gov/DS/DocumentSearch/DocumentDetail?doc_id=2020041600280001" target="_blank"&gt;Public Record Only&lt;/a&gt;</t>
  </si>
  <si>
    <t>&lt;a href="http://a836-acris.nyc.gov/DS/DocumentSearch/DocumentDetail?doc_id=2020052000685001" target="_blank"&gt;Public Record Only&lt;/a&gt;</t>
  </si>
  <si>
    <t>&lt;a href="http://a836-acris.nyc.gov/DS/DocumentSearch/DocumentDetail?doc_id=2020052200295001" target="_blank"&gt;Public Record Only&lt;/a&gt;</t>
  </si>
  <si>
    <t>&lt;a href="http://a836-acris.nyc.gov/DS/DocumentSearch/DocumentDetail?doc_id=2020050800178001" target="_blank"&gt;Public Record Only&lt;/a&gt;</t>
  </si>
  <si>
    <t>&lt;a href="http://a836-acris.nyc.gov/DS/DocumentSearch/DocumentDetail?doc_id=2020060200997001" target="_blank"&gt;Verified by Public Record&lt;/a&gt;</t>
  </si>
  <si>
    <t>&lt;a href="http://a836-acris.nyc.gov/DS/DocumentSearch/DocumentDetail?doc_id=2020060900410002" target="_blank"&gt;Verified by Public Record&lt;/a&gt;</t>
  </si>
  <si>
    <t>&lt;a href="http://a836-acris.nyc.gov/DS/DocumentSearch/DocumentDetail?doc_id=2020042300215001" target="_blank"&gt;Public Record Only&lt;/a&gt;</t>
  </si>
  <si>
    <t>&lt;a href="http://a836-acris.nyc.gov/DS/DocumentSearch/DocumentDetail?doc_id=2020060900745003" target="_blank"&gt;Verified by Public Record&lt;/a&gt;</t>
  </si>
  <si>
    <t>&lt;a href="http://a836-acris.nyc.gov/DS/DocumentSearch/DocumentDetail?doc_id=2020060300432001" target="_blank"&gt;Public Record Only&lt;/a&gt;</t>
  </si>
  <si>
    <t>&lt;a href="http://a836-acris.nyc.gov/DS/DocumentSearch/DocumentDetail?doc_id=2020061500926003" target="_blank"&gt;Verified by Public Record&lt;/a&gt;</t>
  </si>
  <si>
    <t>&lt;a href="http://a836-acris.nyc.gov/DS/DocumentSearch/DocumentDetail?doc_id=2020060800577003" target="_blank"&gt;Public Record Only&lt;/a&gt;</t>
  </si>
  <si>
    <t>&lt;a href="http://a836-acris.nyc.gov/DS/DocumentSearch/DocumentDetail?doc_id=2020061001044001" target="_blank"&gt;Public Record Only&lt;/a&gt;</t>
  </si>
  <si>
    <t>&lt;a href="http://a836-acris.nyc.gov/DS/DocumentSearch/DocumentDetail?doc_id=2018081001039001" target="_blank"&gt;Public Record Only&lt;/a&gt;</t>
  </si>
  <si>
    <t>&lt;a href="http://a836-acris.nyc.gov/DS/DocumentSearch/DocumentDetail?doc_id=2020061200363001" target="_blank"&gt;Public Record Only&lt;/a&gt;</t>
  </si>
  <si>
    <t>&lt;a href="http://a836-acris.nyc.gov/DS/DocumentSearch/DocumentDetail?doc_id=2020061600901001" target="_blank"&gt;Public Record Only&lt;/a&gt;</t>
  </si>
  <si>
    <t>&lt;a href="http://a836-acris.nyc.gov/DS/DocumentSearch/DocumentDetail?doc_id=2018080601427002" target="_blank"&gt;Public Record Only&lt;/a&gt;</t>
  </si>
  <si>
    <t>&lt;a href="http://a836-acris.nyc.gov/DS/DocumentSearch/DocumentDetail?doc_id=2018081400752001" target="_blank"&gt;Public Record Only&lt;/a&gt;</t>
  </si>
  <si>
    <t>&lt;a href="http://a836-acris.nyc.gov/DS/DocumentSearch/DocumentDetail?doc_id=2020062300088001" target="_blank"&gt;Public Record Only&lt;/a&gt;</t>
  </si>
  <si>
    <t>&lt;a href="http://a836-acris.nyc.gov/DS/DocumentSearch/DocumentDetail?doc_id=2020070200105001" target="_blank"&gt;Public Record Only&lt;/a&gt;</t>
  </si>
  <si>
    <t>&lt;a href="http://a836-acris.nyc.gov/DS/DocumentSearch/DocumentDetail?doc_id=2020070600605001" target="_blank"&gt;Public Record Only&lt;/a&gt;</t>
  </si>
  <si>
    <t>&lt;a href="http://a836-acris.nyc.gov/DS/DocumentSearch/DocumentDetail?doc_id=2020070601031002" target="_blank"&gt;Public Record Only&lt;/a&gt;</t>
  </si>
  <si>
    <t>&lt;a href="http://a836-acris.nyc.gov/DS/DocumentSearch/DocumentDetail?doc_id=2020072100476002" target="_blank"&gt;Verified by Public Record&lt;/a&gt;</t>
  </si>
  <si>
    <t>&lt;a href="http://a836-acris.nyc.gov/DS/DocumentSearch/DocumentDetail?doc_id=2018081301147001" target="_blank"&gt;Public Record Only&lt;/a&gt;</t>
  </si>
  <si>
    <t>&lt;a href="http://a836-acris.nyc.gov/DS/DocumentSearch/DocumentDetail?doc_id=2020050100645001" target="_blank"&gt;Public Record Only&lt;/a&gt;</t>
  </si>
  <si>
    <t>&lt;a href="http://a836-acris.nyc.gov/DS/DocumentSearch/DocumentDetail?doc_id=2020070701133001" target="_blank"&gt;Public Record Only&lt;/a&gt;</t>
  </si>
  <si>
    <t>&lt;a href="http://a836-acris.nyc.gov/DS/DocumentSearch/DocumentDetail?doc_id=2020072300394001" target="_blank"&gt;Verified by Public Record&lt;/a&gt;</t>
  </si>
  <si>
    <t>&lt;a href="http://a836-acris.nyc.gov/DS/DocumentSearch/DocumentDetail?doc_id=2020072300466001" target="_blank"&gt;Public Record Only&lt;/a&gt;</t>
  </si>
  <si>
    <t>&lt;a href="http://a836-acris.nyc.gov/DS/DocumentSearch/DocumentDetail?doc_id=2020072300596005" target="_blank"&gt;Public Record Only&lt;/a&gt;</t>
  </si>
  <si>
    <t>&lt;a href="http://a836-acris.nyc.gov/DS/DocumentSearch/DocumentDetail?doc_id=2020072400664001" target="_blank"&gt;Public Record Only&lt;/a&gt;</t>
  </si>
  <si>
    <t>&lt;a href="http://a836-acris.nyc.gov/DS/DocumentSearch/DocumentDetail?doc_id=2020072400859001" target="_blank"&gt;Public Record Only&lt;/a&gt;</t>
  </si>
  <si>
    <t>&lt;a href="http://a836-acris.nyc.gov/DS/DocumentSearch/DocumentDetail?doc_id=2020072400904001" target="_blank"&gt;Public Record Only&lt;/a&gt;</t>
  </si>
  <si>
    <t>&lt;a href="http://a836-acris.nyc.gov/DS/DocumentSearch/DocumentDetail?doc_id=2020072700947003" target="_blank"&gt;Public Record Only&lt;/a&gt;</t>
  </si>
  <si>
    <t>&lt;a href="http://a836-acris.nyc.gov/DS/DocumentSearch/DocumentDetail?doc_id=2020072700650001" target="_blank"&gt;Public Record Only&lt;/a&gt;</t>
  </si>
  <si>
    <t>&lt;a href="http://a836-acris.nyc.gov/DS/DocumentSearch/DocumentDetail?doc_id=2020072800945002" target="_blank"&gt;Public Record Only&lt;/a&gt;</t>
  </si>
  <si>
    <t>&lt;a href="http://a836-acris.nyc.gov/DS/DocumentSearch/DocumentDetail?doc_id=2020073000441001" target="_blank"&gt;Public Record Only&lt;/a&gt;</t>
  </si>
  <si>
    <t>&lt;a href="http://a836-acris.nyc.gov/DS/DocumentSearch/DocumentDetail?doc_id=2020073100568001" target="_blank"&gt;Public Record Only&lt;/a&gt;</t>
  </si>
  <si>
    <t>&lt;a href="http://a836-acris.nyc.gov/DS/DocumentSearch/DocumentDetail?doc_id=2020073100722001" target="_blank"&gt;Public Record Only&lt;/a&gt;</t>
  </si>
  <si>
    <t>&lt;a href="http://a836-acris.nyc.gov/DS/DocumentSearch/DocumentDetail?doc_id=2020071400393001" target="_blank"&gt;Public Record Only&lt;/a&gt;</t>
  </si>
  <si>
    <t>&lt;a href="http://a836-acris.nyc.gov/DS/DocumentSearch/DocumentDetail?doc_id=2020081000864001" target="_blank"&gt;Public Record Only&lt;/a&gt;</t>
  </si>
  <si>
    <t>&lt;a href="http://a836-acris.nyc.gov/DS/DocumentSearch/DocumentDetail?doc_id=2020081300546001" target="_blank"&gt;Public Record Only&lt;/a&gt;</t>
  </si>
  <si>
    <t>&lt;a href="http://a836-acris.nyc.gov/DS/DocumentSearch/DocumentDetail?doc_id=2020081201027001" target="_blank"&gt;Public Record Only&lt;/a&gt;</t>
  </si>
  <si>
    <t>&lt;a href="http://a836-acris.nyc.gov/DS/DocumentSearch/DocumentDetail?doc_id=2020081000700001" target="_blank"&gt;Public Record Only&lt;/a&gt;</t>
  </si>
  <si>
    <t>&lt;a href="http://a836-acris.nyc.gov/DS/DocumentSearch/DocumentDetail?doc_id=2020081700776001" target="_blank"&gt;Public Record Only&lt;/a&gt;</t>
  </si>
  <si>
    <t>&lt;a href="http://a836-acris.nyc.gov/DS/DocumentSearch/DocumentDetail?doc_id=2020081700850001" target="_blank"&gt;Public Record Only&lt;/a&gt;</t>
  </si>
  <si>
    <t>&lt;a href="http://a836-acris.nyc.gov/DS/DocumentSearch/DocumentDetail?doc_id=2020081700999002" target="_blank"&gt;Public Record Only&lt;/a&gt;</t>
  </si>
  <si>
    <t>&lt;a href="http://a836-acris.nyc.gov/DS/DocumentSearch/DocumentDetail?doc_id=2020081900760001" target="_blank"&gt;Public Record Only&lt;/a&gt;</t>
  </si>
  <si>
    <t>&lt;a href="http://a836-acris.nyc.gov/DS/DocumentSearch/DocumentDetail?doc_id=2020082000927001" target="_blank"&gt;Public Record Only&lt;/a&gt;</t>
  </si>
  <si>
    <t>&lt;a href="http://a836-acris.nyc.gov/DS/DocumentSearch/DocumentDetail?doc_id=2018081700418001" target="_blank"&gt;Public Record Only&lt;/a&gt;</t>
  </si>
  <si>
    <t>&lt;a href="http://a836-acris.nyc.gov/DS/DocumentSearch/DocumentDetail?doc_id=2018081501200006" target="_blank"&gt;Public Record Only&lt;/a&gt;</t>
  </si>
  <si>
    <t>&lt;a href="http://a836-acris.nyc.gov/DS/DocumentSearch/DocumentDetail?doc_id=2020081900858001" target="_blank"&gt;Public Record Only&lt;/a&gt;</t>
  </si>
  <si>
    <t>&lt;a href="http://a836-acris.nyc.gov/DS/DocumentSearch/DocumentDetail?doc_id=2020082500818001" target="_blank"&gt;Public Record Only&lt;/a&gt;</t>
  </si>
  <si>
    <t>&lt;a href="http://a836-acris.nyc.gov/DS/DocumentSearch/DocumentDetail?doc_id=2020081300512001" target="_blank"&gt;Public Record Only&lt;/a&gt;</t>
  </si>
  <si>
    <t>&lt;a href="http://a836-acris.nyc.gov/DS/DocumentSearch/DocumentDetail?doc_id=2020082700771001" target="_blank"&gt;Public Record Only&lt;/a&gt;</t>
  </si>
  <si>
    <t>&lt;a href="http://a836-acris.nyc.gov/DS/DocumentSearch/DocumentDetail?doc_id=2018082100845001" target="_blank"&gt;Public Record Only&lt;/a&gt;</t>
  </si>
  <si>
    <t>&lt;a href="http://a836-acris.nyc.gov/DS/DocumentSearch/DocumentDetail?doc_id=2020090800326002" target="_blank"&gt;Public Record Only&lt;/a&gt;</t>
  </si>
  <si>
    <t>&lt;a href="http://a836-acris.nyc.gov/DS/DocumentSearch/DocumentDetail?doc_id=2020091001045001" target="_blank"&gt;Public Record Only&lt;/a&gt;</t>
  </si>
  <si>
    <t>&lt;a href="http://a836-acris.nyc.gov/DS/DocumentSearch/DocumentDetail?doc_id=2020090900745001" target="_blank"&gt;Public Record Only&lt;/a&gt;</t>
  </si>
  <si>
    <t>&lt;a href="http://a836-acris.nyc.gov/DS/DocumentSearch/DocumentDetail?doc_id=2020090400292001" target="_blank"&gt;Public Record Only&lt;/a&gt;</t>
  </si>
  <si>
    <t>&lt;a href="http://a836-acris.nyc.gov/DS/DocumentSearch/DocumentDetail?doc_id=2020092200738001" target="_blank"&gt;Public Record Only&lt;/a&gt;</t>
  </si>
  <si>
    <t>&lt;a href="http://a836-acris.nyc.gov/DS/DocumentSearch/DocumentDetail?doc_id=2020091700093001" target="_blank"&gt;Public Record Only&lt;/a&gt;</t>
  </si>
  <si>
    <t>&lt;a href="http://a836-acris.nyc.gov/DS/DocumentSearch/DocumentDetail?doc_id=2020092101034001" target="_blank"&gt;Public Record Only&lt;/a&gt;</t>
  </si>
  <si>
    <t>&lt;a href="http://a836-acris.nyc.gov/DS/DocumentSearch/DocumentDetail?doc_id=2020092500156001" target="_blank"&gt;Public Record Only&lt;/a&gt;</t>
  </si>
  <si>
    <t>&lt;a href="http://a836-acris.nyc.gov/DS/DocumentSearch/DocumentDetail?doc_id=2018082800868001" target="_blank"&gt;Public Record Only&lt;/a&gt;</t>
  </si>
  <si>
    <t>&lt;a href="http://a836-acris.nyc.gov/DS/DocumentSearch/DocumentDetail?doc_id=2018062801149002" target="_blank"&gt;Public Record Only&lt;/a&gt;</t>
  </si>
  <si>
    <t>&lt;a href="http://a836-acris.nyc.gov/DS/DocumentSearch/DocumentDetail?doc_id=2018061100631001" target="_blank"&gt;Public Record Only&lt;/a&gt;</t>
  </si>
  <si>
    <t>&lt;a href="http://a836-acris.nyc.gov/DS/DocumentSearch/DocumentDetail?doc_id=2020110500014002" target="_blank"&gt;Public Record Only&lt;/a&gt;</t>
  </si>
  <si>
    <t>&lt;a href="http://a836-acris.nyc.gov/DS/DocumentSearch/DocumentDetail?doc_id=2020090100640001" target="_blank"&gt;Public Record Only&lt;/a&gt;</t>
  </si>
  <si>
    <t>&lt;a href="http://a836-acris.nyc.gov/DS/DocumentSearch/DocumentDetail?doc_id=2020102101074001" target="_blank"&gt;Public Record Only&lt;/a&gt;</t>
  </si>
  <si>
    <t>&lt;a href="http://a836-acris.nyc.gov/DS/DocumentSearch/DocumentDetail?doc_id=2020102100745001" target="_blank"&gt;Public Record Only&lt;/a&gt;</t>
  </si>
  <si>
    <t>&lt;a href="http://a836-acris.nyc.gov/DS/DocumentSearch/DocumentDetail?doc_id=2020102700439001" target="_blank"&gt;Public Record Only&lt;/a&gt;</t>
  </si>
  <si>
    <t>&lt;a href="http://a836-acris.nyc.gov/DS/DocumentSearch/DocumentDetail?doc_id=2020102300729002" target="_blank"&gt;Public Record Only&lt;/a&gt;</t>
  </si>
  <si>
    <t>&lt;a href="http://a836-acris.nyc.gov/DS/DocumentSearch/DocumentDetail?doc_id=2020102400054001" target="_blank"&gt;Public Record Only&lt;/a&gt;</t>
  </si>
  <si>
    <t>&lt;a href="http://a836-acris.nyc.gov/DS/DocumentSearch/DocumentDetail?doc_id=2020092300146001" target="_blank"&gt;Public Record Only&lt;/a&gt;</t>
  </si>
  <si>
    <t>&lt;a href="http://a836-acris.nyc.gov/DS/DocumentSearch/DocumentDetail?doc_id=2020100600043010" target="_blank"&gt;Public Record Only&lt;/a&gt;</t>
  </si>
  <si>
    <t>&lt;a href="http://a836-acris.nyc.gov/DS/DocumentSearch/DocumentDetail?doc_id=2020101200477001" target="_blank"&gt;Public Record Only&lt;/a&gt;</t>
  </si>
  <si>
    <t>&lt;a href="http://a836-acris.nyc.gov/DS/DocumentSearch/DocumentDetail?doc_id=2020101200195001" target="_blank"&gt;Public Record Only&lt;/a&gt;</t>
  </si>
  <si>
    <t>&lt;a href="http://a836-acris.nyc.gov/DS/DocumentSearch/DocumentDetail?doc_id=2020102600426003" target="_blank"&gt;Public Record Only&lt;/a&gt;</t>
  </si>
  <si>
    <t>&lt;a href="http://a836-acris.nyc.gov/DS/DocumentSearch/DocumentDetail?doc_id=2020101901059001" target="_blank"&gt;Public Record Only&lt;/a&gt;</t>
  </si>
  <si>
    <t>&lt;a href="http://a836-acris.nyc.gov/DS/DocumentSearch/DocumentDetail?doc_id=2020100800243002" target="_blank"&gt;Public Record Only&lt;/a&gt;</t>
  </si>
  <si>
    <t>&lt;a href="http://a836-acris.nyc.gov/DS/DocumentSearch/DocumentDetail?doc_id=2020111000582002" target="_blank"&gt;Public Record Only&lt;/a&gt;</t>
  </si>
  <si>
    <t>&lt;a href="http://a836-acris.nyc.gov/DS/DocumentSearch/DocumentDetail?doc_id=2020103000711005" target="_blank"&gt;Public Record Only&lt;/a&gt;</t>
  </si>
  <si>
    <t>&lt;a href="http://a836-acris.nyc.gov/DS/DocumentSearch/DocumentDetail?doc_id=2020103000711004" target="_blank"&gt;Public Record Only&lt;/a&gt;</t>
  </si>
  <si>
    <t>&lt;a href="http://a836-acris.nyc.gov/DS/DocumentSearch/DocumentDetail?doc_id=2020110500629001" target="_blank"&gt;Public Record Only&lt;/a&gt;</t>
  </si>
  <si>
    <t>&lt;a href="http://a836-acris.nyc.gov/DS/DocumentSearch/DocumentDetail?doc_id=2020111200835001" target="_blank"&gt;Public Record Only&lt;/a&gt;</t>
  </si>
  <si>
    <t>&lt;a href="http://a836-acris.nyc.gov/DS/DocumentSearch/DocumentDetail?doc_id=2020111701241001" target="_blank"&gt;Public Record Only&lt;/a&gt;</t>
  </si>
  <si>
    <t>&lt;a href="http://a836-acris.nyc.gov/DS/DocumentSearch/DocumentDetail?doc_id=2020112700248001" target="_blank"&gt;Public Record Only&lt;/a&gt;</t>
  </si>
  <si>
    <t>&lt;a href="http://a836-acris.nyc.gov/DS/DocumentSearch/DocumentDetail?doc_id=2018082901233001" target="_blank"&gt;Public Record Only&lt;/a&gt;</t>
  </si>
  <si>
    <t>&lt;a href="http://a836-acris.nyc.gov/DS/DocumentSearch/DocumentDetail?doc_id=2020121600948003" target="_blank"&gt;Public Record Only&lt;/a&gt;</t>
  </si>
  <si>
    <t>&lt;a href="http://a836-acris.nyc.gov/DS/DocumentSearch/DocumentDetail?doc_id=2020121700866001" target="_blank"&gt;Public Record Only&lt;/a&gt;</t>
  </si>
  <si>
    <t>&lt;a href="http://a836-acris.nyc.gov/DS/DocumentSearch/DocumentDetail?doc_id=2020122200581001" target="_blank"&gt;Public Record Only&lt;/a&gt;</t>
  </si>
  <si>
    <t>&lt;a href="http://a836-acris.nyc.gov/DS/DocumentSearch/DocumentDetail?doc_id=2020122301307003" target="_blank"&gt;Public Record Only&lt;/a&gt;</t>
  </si>
  <si>
    <t>&lt;a href="http://a836-acris.nyc.gov/DS/DocumentSearch/DocumentDetail?doc_id=2020122801405001" target="_blank"&gt;Public Record Only&lt;/a&gt;</t>
  </si>
  <si>
    <t>&lt;a href="http://a836-acris.nyc.gov/DS/DocumentSearch/DocumentDetail?doc_id=2020111900858001" target="_blank"&gt;Public Record Only&lt;/a&gt;</t>
  </si>
  <si>
    <t>&lt;a href="http://a836-acris.nyc.gov/DS/DocumentSearch/DocumentDetail?doc_id=2020123000899009" target="_blank"&gt;Public Record Only&lt;/a&gt;</t>
  </si>
  <si>
    <t>&lt;a href="http://a836-acris.nyc.gov/DS/DocumentSearch/DocumentDetail?doc_id=2020122900891001" target="_blank"&gt;Public Record Only&lt;/a&gt;</t>
  </si>
  <si>
    <t>&lt;a href="http://a836-acris.nyc.gov/DS/DocumentSearch/DocumentDetail?doc_id=2020110400753001" target="_blank"&gt;Public Record Only&lt;/a&gt;</t>
  </si>
  <si>
    <t>&lt;a href="http://a836-acris.nyc.gov/DS/DocumentSearch/DocumentDetail?doc_id=2021010100014001" target="_blank"&gt;Public Record Only&lt;/a&gt;</t>
  </si>
  <si>
    <t>&lt;a href="http://a836-acris.nyc.gov/DS/DocumentSearch/DocumentDetail?doc_id=2021011200603001" target="_blank"&gt;Public Record Only&lt;/a&gt;</t>
  </si>
  <si>
    <t>&lt;a href="http://a836-acris.nyc.gov/DS/DocumentSearch/DocumentDetail?doc_id=2021011800446003" target="_blank"&gt;Public Record Only&lt;/a&gt;</t>
  </si>
  <si>
    <t>&lt;a href="http://a836-acris.nyc.gov/DS/DocumentSearch/DocumentDetail?doc_id=2021012300095001" target="_blank"&gt;Public Record Only&lt;/a&gt;</t>
  </si>
  <si>
    <t>&lt;a href="http://a836-acris.nyc.gov/DS/DocumentSearch/DocumentDetail?doc_id=2021011201477001" target="_blank"&gt;Public Record Only&lt;/a&gt;</t>
  </si>
  <si>
    <t>&lt;a href="http://a836-acris.nyc.gov/DS/DocumentSearch/DocumentDetail?doc_id=2021012100495002" target="_blank"&gt;Public Record Only&lt;/a&gt;</t>
  </si>
  <si>
    <t>&lt;a href="http://a836-acris.nyc.gov/DS/DocumentSearch/DocumentDetail?doc_id=2020123100300001" target="_blank"&gt;Public Record Only&lt;/a&gt;</t>
  </si>
  <si>
    <t>&lt;a href="http://a836-acris.nyc.gov/DS/DocumentSearch/DocumentDetail?doc_id=2021013000018001" target="_blank"&gt;Public Record Only&lt;/a&gt;</t>
  </si>
  <si>
    <t>&lt;a href="http://a836-acris.nyc.gov/DS/DocumentSearch/DocumentDetail?doc_id=2021021000710012" target="_blank"&gt;Public Record Only&lt;/a&gt;</t>
  </si>
  <si>
    <t>&lt;a href="http://a836-acris.nyc.gov/DS/DocumentSearch/DocumentDetail?doc_id=2021021701147001" target="_blank"&gt;Public Record Only&lt;/a&gt;</t>
  </si>
  <si>
    <t>&lt;a href="http://a836-acris.nyc.gov/DS/DocumentSearch/DocumentDetail?doc_id=2021021700250001" target="_blank"&gt;Public Record Only&lt;/a&gt;</t>
  </si>
  <si>
    <t>&lt;a href="http://a836-acris.nyc.gov/DS/DocumentSearch/DocumentDetail?doc_id=2021030200501003" target="_blank"&gt;Public Record Only&lt;/a&gt;</t>
  </si>
  <si>
    <t>&lt;a href="http://a836-acris.nyc.gov/DS/DocumentSearch/DocumentDetail?doc_id=2021030301242001" target="_blank"&gt;Public Record Only&lt;/a&gt;</t>
  </si>
  <si>
    <t>&lt;a href="http://a836-acris.nyc.gov/DS/DocumentSearch/DocumentDetail?doc_id=2021030500973001" target="_blank"&gt;Public Record Only&lt;/a&gt;</t>
  </si>
  <si>
    <t>&lt;a href="http://a836-acris.nyc.gov/DS/DocumentSearch/DocumentDetail?doc_id=2018090700596001" target="_blank"&gt;Public Record Only&lt;/a&gt;</t>
  </si>
  <si>
    <t>&lt;a href="http://a836-acris.nyc.gov/DS/DocumentSearch/DocumentDetail?doc_id=2021032301120001" target="_blank"&gt;Public Record Only&lt;/a&gt;</t>
  </si>
  <si>
    <t>&lt;a href="http://a836-acris.nyc.gov/DS/DocumentSearch/DocumentDetail?doc_id=2021032301080001" target="_blank"&gt;Public Record Only&lt;/a&gt;</t>
  </si>
  <si>
    <t>&lt;a href="http://a836-acris.nyc.gov/DS/DocumentSearch/DocumentDetail?doc_id=2021032401171002" target="_blank"&gt;Verified by Public Record&lt;/a&gt;</t>
  </si>
  <si>
    <t>&lt;a href="http://a836-acris.nyc.gov/DS/DocumentSearch/DocumentDetail?doc_id=2021032900179003" target="_blank"&gt;Public Record Only&lt;/a&gt;</t>
  </si>
  <si>
    <t>&lt;a href="http://a836-acris.nyc.gov/DS/DocumentSearch/DocumentDetail?doc_id=2021041501069003" target="_blank"&gt;Verified by Public Record&lt;/a&gt;</t>
  </si>
  <si>
    <t>&lt;a href="http://a836-acris.nyc.gov/DS/DocumentSearch/DocumentDetail?doc_id=2021040200114001" target="_blank"&gt;Public Record Only&lt;/a&gt;</t>
  </si>
  <si>
    <t>&lt;a href="http://a836-acris.nyc.gov/DS/DocumentSearch/DocumentDetail?doc_id=2021040200987001" target="_blank"&gt;Public Record Only&lt;/a&gt;</t>
  </si>
  <si>
    <t>&lt;a href="http://a836-acris.nyc.gov/DS/DocumentSearch/DocumentDetail?doc_id=2018090600893001" target="_blank"&gt;Public Record Only&lt;/a&gt;</t>
  </si>
  <si>
    <t>&lt;a href="http://a836-acris.nyc.gov/DS/DocumentSearch/DocumentDetail?doc_id=2018091100310001" target="_blank"&gt;Public Record Only&lt;/a&gt;</t>
  </si>
  <si>
    <t>&lt;a href="http://a836-acris.nyc.gov/DS/DocumentSearch/DocumentDetail?doc_id=2021040900218002" target="_blank"&gt;Public Record Only&lt;/a&gt;</t>
  </si>
  <si>
    <t>&lt;a href="http://a836-acris.nyc.gov/DS/DocumentSearch/DocumentDetail?doc_id=2021040801512010" target="_blank"&gt;Public Record Only&lt;/a&gt;</t>
  </si>
  <si>
    <t>&lt;a href="http://a836-acris.nyc.gov/DS/DocumentSearch/DocumentDetail?doc_id=2021040800393001" target="_blank"&gt;Public Record Only&lt;/a&gt;</t>
  </si>
  <si>
    <t>&lt;a href="http://a836-acris.nyc.gov/DS/DocumentSearch/DocumentDetail?doc_id=2018090400314001" target="_blank"&gt;Public Record Only&lt;/a&gt;</t>
  </si>
  <si>
    <t>&lt;a href="http://a836-acris.nyc.gov/DS/DocumentSearch/DocumentDetail?doc_id=2021041201250001" target="_blank"&gt;Public Record Only&lt;/a&gt;</t>
  </si>
  <si>
    <t>&lt;a href="http://a836-acris.nyc.gov/DS/DocumentSearch/DocumentDetail?doc_id=2018101601198001" target="_blank"&gt;Public Record Only&lt;/a&gt;</t>
  </si>
  <si>
    <t>&lt;a href="http://a836-acris.nyc.gov/DS/DocumentSearch/DocumentDetail?doc_id=2018091300071001" target="_blank"&gt;Public Record Only&lt;/a&gt;</t>
  </si>
  <si>
    <t>&lt;a href="http://a836-acris.nyc.gov/DS/DocumentSearch/DocumentDetail?doc_id=2021042801612002" target="_blank"&gt;Public Record Only&lt;/a&gt;</t>
  </si>
  <si>
    <t>&lt;a href="http://a836-acris.nyc.gov/DS/DocumentSearch/DocumentDetail?doc_id=2021043000899003" target="_blank"&gt;Public Record Only&lt;/a&gt;</t>
  </si>
  <si>
    <t>&lt;a href="http://a836-acris.nyc.gov/DS/DocumentSearch/DocumentDetail?doc_id=2021050300849001" target="_blank"&gt;Public Record Only&lt;/a&gt;</t>
  </si>
  <si>
    <t>&lt;a href="http://a836-acris.nyc.gov/DS/DocumentSearch/DocumentDetail?doc_id=2021050301386001" target="_blank"&gt;Public Record Only&lt;/a&gt;</t>
  </si>
  <si>
    <t>&lt;a href="http://a836-acris.nyc.gov/DS/DocumentSearch/DocumentDetail?doc_id=2021050301195001" target="_blank"&gt;Public Record Only&lt;/a&gt;</t>
  </si>
  <si>
    <t>&lt;a href="http://a836-acris.nyc.gov/DS/DocumentSearch/DocumentDetail?doc_id=2015021100384001" target="_blank"&gt;Verified by Public Record&lt;/a&gt;</t>
  </si>
  <si>
    <t>&lt;a href="http://a836-acris.nyc.gov/DS/DocumentSearch/DocumentDetail?doc_id=2020042100100002" target="_blank"&gt;Public Record Only&lt;/a&gt;</t>
  </si>
  <si>
    <t>&lt;a href="http://a836-acris.nyc.gov/DS/DocumentSearch/DocumentDetail?doc_id=2021051201296001" target="_blank"&gt;Public Record Only&lt;/a&gt;</t>
  </si>
  <si>
    <t>&lt;a href="http://a836-acris.nyc.gov/DS/DocumentSearch/DocumentDetail?doc_id=2020121600744001" target="_blank"&gt;Public Record Only&lt;/a&gt;</t>
  </si>
  <si>
    <t>&lt;a href="http://a836-acris.nyc.gov/DS/DocumentSearch/DocumentDetail?doc_id=2021051801332001" target="_blank"&gt;Public Record Only&lt;/a&gt;</t>
  </si>
  <si>
    <t>&lt;a href="http://a836-acris.nyc.gov/DS/DocumentSearch/DocumentDetail?doc_id=2021051900370007" target="_blank"&gt;Public Record Only&lt;/a&gt;</t>
  </si>
  <si>
    <t>&lt;a href="http://a836-acris.nyc.gov/DS/DocumentSearch/DocumentDetail?doc_id=2021051701149001" target="_blank"&gt;Public Record Only&lt;/a&gt;</t>
  </si>
  <si>
    <t>&lt;a href="http://a836-acris.nyc.gov/DS/DocumentSearch/DocumentDetail?doc_id=2021052000982001" target="_blank"&gt;Public Record Only&lt;/a&gt;</t>
  </si>
  <si>
    <t>&lt;a href="http://a836-acris.nyc.gov/DS/DocumentSearch/DocumentDetail?doc_id=2021051600074001" target="_blank"&gt;Public Record Only&lt;/a&gt;</t>
  </si>
  <si>
    <t>&lt;a href="http://a836-acris.nyc.gov/DS/DocumentSearch/DocumentDetail?doc_id=2018091700535001" target="_blank"&gt;Public Record Only&lt;/a&gt;</t>
  </si>
  <si>
    <t>&lt;a href="http://a836-acris.nyc.gov/DS/DocumentSearch/DocumentDetail?doc_id=2018043000397002" target="_blank"&gt;Public Record Only&lt;/a&gt;</t>
  </si>
  <si>
    <t>&lt;a href="http://a836-acris.nyc.gov/DS/DocumentSearch/DocumentDetail?doc_id=2021052500016001" target="_blank"&gt;Public Record Only&lt;/a&gt;</t>
  </si>
  <si>
    <t>&lt;a href="http://a836-acris.nyc.gov/DS/DocumentSearch/DocumentDetail?doc_id=2021052600825001" target="_blank"&gt;Public Record Only&lt;/a&gt;</t>
  </si>
  <si>
    <t>&lt;a href="http://a836-acris.nyc.gov/DS/DocumentSearch/DocumentDetail?doc_id=2021052400242003" target="_blank"&gt;Public Record Only&lt;/a&gt;</t>
  </si>
  <si>
    <t>&lt;a href="http://a836-acris.nyc.gov/DS/DocumentSearch/DocumentDetail?doc_id=2021060100850001" target="_blank"&gt;Public Record Only&lt;/a&gt;</t>
  </si>
  <si>
    <t>&lt;a href="http://a836-acris.nyc.gov/DS/DocumentSearch/DocumentDetail?doc_id=2018091000882001" target="_blank"&gt;Public Record Only&lt;/a&gt;</t>
  </si>
  <si>
    <t>&lt;a href="http://a836-acris.nyc.gov/DS/DocumentSearch/DocumentDetail?doc_id=2021060201326001" target="_blank"&gt;Public Record Only&lt;/a&gt;</t>
  </si>
  <si>
    <t>&lt;a href="http://a836-acris.nyc.gov/DS/DocumentSearch/DocumentDetail?doc_id=2021052800301001" target="_blank"&gt;Public Record Only&lt;/a&gt;</t>
  </si>
  <si>
    <t>&lt;a href="http://a836-acris.nyc.gov/DS/DocumentSearch/DocumentDetail?doc_id=2021060901551001" target="_blank"&gt;Public Record Only&lt;/a&gt;</t>
  </si>
  <si>
    <t>&lt;a href="http://a836-acris.nyc.gov/DS/DocumentSearch/DocumentDetail?doc_id=2021060900459001" target="_blank"&gt;Public Record Only&lt;/a&gt;</t>
  </si>
  <si>
    <t>&lt;a href="http://a836-acris.nyc.gov/DS/DocumentSearch/DocumentDetail?doc_id=2020123101029003" target="_blank"&gt;Public Record Only&lt;/a&gt;</t>
  </si>
  <si>
    <t>&lt;a href="http://a836-acris.nyc.gov/DS/DocumentSearch/DocumentDetail?doc_id=2021052701355001" target="_blank"&gt;Public Record Only&lt;/a&gt;</t>
  </si>
  <si>
    <t>&lt;a href="http://a836-acris.nyc.gov/DS/DocumentSearch/DocumentDetail?doc_id=2021062101339001" target="_blank"&gt;Public Record Only&lt;/a&gt;</t>
  </si>
  <si>
    <t>&lt;a href="http://a836-acris.nyc.gov/DS/DocumentSearch/DocumentDetail?doc_id=2018091200349001" target="_blank"&gt;Public Record Only&lt;/a&gt;</t>
  </si>
  <si>
    <t>&lt;a href="http://a836-acris.nyc.gov/DS/DocumentSearch/DocumentDetail?doc_id=2018091900769004" target="_blank"&gt;Public Record Only&lt;/a&gt;</t>
  </si>
  <si>
    <t>&lt;a href="http://a836-acris.nyc.gov/DS/DocumentSearch/DocumentDetail?doc_id=2021051400981001" target="_blank"&gt;Public Record Only&lt;/a&gt;</t>
  </si>
  <si>
    <t>&lt;a href="http://a836-acris.nyc.gov/DS/DocumentSearch/DocumentDetail?doc_id=2021060700408001" target="_blank"&gt;Public Record Only&lt;/a&gt;</t>
  </si>
  <si>
    <t>&lt;a href="http://a836-acris.nyc.gov/DS/DocumentSearch/DocumentDetail?doc_id=2021052701533001" target="_blank"&gt;Public Record Only&lt;/a&gt;</t>
  </si>
  <si>
    <t>&lt;a href="http://a836-acris.nyc.gov/DS/DocumentSearch/DocumentDetail?doc_id=2021031200520002" target="_blank"&gt;Public Record Only&lt;/a&gt;</t>
  </si>
  <si>
    <t>&lt;a href="http://a836-acris.nyc.gov/DS/DocumentSearch/DocumentDetail?doc_id=2021031000186001" target="_blank"&gt;Public Record Only&lt;/a&gt;</t>
  </si>
  <si>
    <t>&lt;a href="http://a836-acris.nyc.gov/DS/DocumentSearch/DocumentDetail?doc_id=2021062301490002" target="_blank"&gt;Public Record Only&lt;/a&gt;</t>
  </si>
  <si>
    <t>&lt;a href="http://a836-acris.nyc.gov/DS/DocumentSearch/DocumentDetail?doc_id=2021070601227004" target="_blank"&gt;Public Record Only&lt;/a&gt;</t>
  </si>
  <si>
    <t>&lt;a href="http://a836-acris.nyc.gov/DS/DocumentSearch/DocumentDetail?doc_id=2021070700629001" target="_blank"&gt;Public Record Only&lt;/a&gt;</t>
  </si>
  <si>
    <t>&lt;a href="http://a836-acris.nyc.gov/DS/DocumentSearch/DocumentDetail?doc_id=2021070101063001" target="_blank"&gt;Public Record Only&lt;/a&gt;</t>
  </si>
  <si>
    <t>&lt;a href="http://a836-acris.nyc.gov/DS/DocumentSearch/DocumentDetail?doc_id=2021071300191001" target="_blank"&gt;Public Record Only&lt;/a&gt;</t>
  </si>
  <si>
    <t>&lt;a href="http://a836-acris.nyc.gov/DS/DocumentSearch/DocumentDetail?doc_id=2021070701122002" target="_blank"&gt;Public Record Only&lt;/a&gt;</t>
  </si>
  <si>
    <t>&lt;a href="http://a836-acris.nyc.gov/DS/DocumentSearch/DocumentDetail?doc_id=2021071501758001" target="_blank"&gt;Public Record Only&lt;/a&gt;</t>
  </si>
  <si>
    <t>&lt;a href="http://a836-acris.nyc.gov/DS/DocumentSearch/DocumentDetail?doc_id=2021071900663001" target="_blank"&gt;Public Record Only&lt;/a&gt;</t>
  </si>
  <si>
    <t>&lt;a href="http://a836-acris.nyc.gov/DS/DocumentSearch/DocumentDetail?doc_id=2018092100301001" target="_blank"&gt;Public Record Only&lt;/a&gt;</t>
  </si>
  <si>
    <t>&lt;a href="http://a836-acris.nyc.gov/DS/DocumentSearch/DocumentDetail?doc_id=2018092400671003" target="_blank"&gt;Public Record Only&lt;/a&gt;</t>
  </si>
  <si>
    <t>&lt;a href="http://a836-acris.nyc.gov/DS/DocumentSearch/DocumentDetail?doc_id=2018092600735002" target="_blank"&gt;Public Record Only&lt;/a&gt;</t>
  </si>
  <si>
    <t>&lt;a href="http://a836-acris.nyc.gov/DS/DocumentSearch/DocumentDetail?doc_id=2018092800699001" target="_blank"&gt;Public Record Only&lt;/a&gt;</t>
  </si>
  <si>
    <t>&lt;a href="http://a836-acris.nyc.gov/DS/DocumentSearch/DocumentDetail?doc_id=2018092800240001" target="_blank"&gt;Public Record Only&lt;/a&gt;</t>
  </si>
  <si>
    <t>&lt;a href="http://a836-acris.nyc.gov/DS/DocumentSearch/DocumentDetail?doc_id=2018100200522001" target="_blank"&gt;Public Record Only&lt;/a&gt;</t>
  </si>
  <si>
    <t>&lt;a href="http://a836-acris.nyc.gov/DS/DocumentSearch/DocumentDetail?doc_id=2018100400617001" target="_blank"&gt;Public Record Only&lt;/a&gt;</t>
  </si>
  <si>
    <t>&lt;a href="http://a836-acris.nyc.gov/DS/DocumentSearch/DocumentDetail?doc_id=2018091700681001" target="_blank"&gt;Public Record Only&lt;/a&gt;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</si>
</sst>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$&quot;#,##0"/>
    <numFmt numFmtId="177" formatCode="yyyy\-mm\-dd"/>
  </numFmts>
  <fonts count="4" x14ac:knownFonts="1">
    <font>
      <sz val="10"/>
      <color rgb="FF000000"/>
      <name val="Arial"/>
    </font>
    <font>
      <sz val="10"/>
      <name val="Arial"/>
      <family val="2"/>
    </font>
    <font>
      <u/>
      <sz val="10"/>
      <color rgb="FF0000FF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176" fontId="1" fillId="0" borderId="0" xfId="0" applyNumberFormat="1" applyFont="1" applyAlignment="1"/>
    <xf numFmtId="3" fontId="1" fillId="0" borderId="0" xfId="0" applyNumberFormat="1" applyFont="1" applyAlignment="1"/>
    <xf numFmtId="177" fontId="1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7099"/>
  <sheetViews>
    <sheetView tabSelected="1" workbookViewId="0">
      <selection activeCell="F6" sqref="F6"/>
    </sheetView>
  </sheetViews>
  <sheetFormatPr defaultColWidth="14.42578125" defaultRowHeight="15.75" customHeight="1" x14ac:dyDescent="0.2"/>
  <sheetData>
    <row r="1" spans="1:39" x14ac:dyDescent="0.2">
      <c r="A1" s="1" t="s">
        <v>0</v>
      </c>
    </row>
    <row r="2" spans="1:39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</row>
    <row r="3" spans="1:39" x14ac:dyDescent="0.2">
      <c r="A3" s="2" t="str">
        <f>HYPERLINK("https://www.compass.com/listing/90-lexington-avenue-unit-5f-manhattan-ny-10016/121637726066861633/","90 Lexington Ave, Unit 5F")</f>
        <v>90 Lexington Ave, Unit 5F</v>
      </c>
      <c r="B3" s="2" t="str">
        <f>HYPERLINK("https://www.compass.com/building/88-90-lexington-avenue-manhattan-ny/281941431524842901/","88 &amp; 90 Lexington Avenue")</f>
        <v>88 &amp; 90 Lexington Avenue</v>
      </c>
      <c r="C3" s="1" t="s">
        <v>40</v>
      </c>
      <c r="D3" s="1" t="s">
        <v>41</v>
      </c>
      <c r="E3" s="3">
        <v>1699000</v>
      </c>
      <c r="F3" s="1">
        <v>1577.5301764159699</v>
      </c>
      <c r="G3" s="1">
        <v>3</v>
      </c>
      <c r="H3" s="1">
        <v>1</v>
      </c>
      <c r="I3" s="1">
        <v>2</v>
      </c>
      <c r="J3" s="1">
        <v>1.5</v>
      </c>
      <c r="K3" s="1">
        <v>1</v>
      </c>
      <c r="L3" s="1">
        <v>1</v>
      </c>
      <c r="M3" s="4">
        <v>1077</v>
      </c>
      <c r="N3" s="1">
        <v>1177.03</v>
      </c>
      <c r="O3" s="1">
        <v>3056.8199999999902</v>
      </c>
      <c r="P3" s="1">
        <v>1879.75</v>
      </c>
      <c r="S3" s="1" t="s">
        <v>42</v>
      </c>
      <c r="T3" s="1" t="s">
        <v>43</v>
      </c>
      <c r="V3" s="5">
        <v>44335</v>
      </c>
      <c r="AB3" s="1" t="s">
        <v>44</v>
      </c>
      <c r="AF3" s="1">
        <v>10016</v>
      </c>
      <c r="AI3" s="1" t="s">
        <v>45</v>
      </c>
      <c r="AJ3" s="1">
        <v>1957</v>
      </c>
      <c r="AK3" s="1" t="s">
        <v>46</v>
      </c>
      <c r="AL3" s="1">
        <v>49</v>
      </c>
    </row>
    <row r="4" spans="1:39" x14ac:dyDescent="0.2">
      <c r="A4" s="2" t="str">
        <f>HYPERLINK("https://www.compass.com/listing/50-clinton-street-unit-3c-manhattan-ny-10002/701500787253247145/","50 Clinton St, Unit 3C")</f>
        <v>50 Clinton St, Unit 3C</v>
      </c>
      <c r="B4" s="2" t="str">
        <f>HYPERLINK("https://www.compass.com/building/50-clinton-manhattan-ny/281887574832709909/","50 Clinton")</f>
        <v>50 Clinton</v>
      </c>
      <c r="C4" s="1" t="s">
        <v>47</v>
      </c>
      <c r="D4" s="1" t="s">
        <v>41</v>
      </c>
      <c r="E4" s="3">
        <v>2050000</v>
      </c>
      <c r="F4" s="1">
        <v>1817.3758865248201</v>
      </c>
      <c r="G4" s="1">
        <v>4</v>
      </c>
      <c r="H4" s="1">
        <v>2</v>
      </c>
      <c r="I4" s="1">
        <v>2</v>
      </c>
      <c r="J4" s="1">
        <v>2</v>
      </c>
      <c r="K4" s="1">
        <v>2</v>
      </c>
      <c r="M4" s="4">
        <v>1128</v>
      </c>
      <c r="N4" s="1">
        <v>1475</v>
      </c>
      <c r="O4" s="1">
        <v>2805</v>
      </c>
      <c r="P4" s="1">
        <v>1330</v>
      </c>
      <c r="S4" s="1" t="s">
        <v>42</v>
      </c>
      <c r="T4" s="1" t="s">
        <v>43</v>
      </c>
      <c r="V4" s="5">
        <v>44354</v>
      </c>
      <c r="W4" s="5">
        <v>44247</v>
      </c>
      <c r="X4" s="1">
        <v>2050000</v>
      </c>
      <c r="AB4" s="1" t="s">
        <v>44</v>
      </c>
      <c r="AF4" s="1">
        <v>10002</v>
      </c>
      <c r="AI4" s="1" t="s">
        <v>48</v>
      </c>
      <c r="AJ4" s="1">
        <v>2016</v>
      </c>
      <c r="AK4" s="1" t="s">
        <v>49</v>
      </c>
      <c r="AL4" s="1">
        <v>37</v>
      </c>
    </row>
    <row r="5" spans="1:39" x14ac:dyDescent="0.2">
      <c r="A5" s="2" t="str">
        <f>HYPERLINK("https://www.compass.com/listing/100-barclay-street-unit-15k-manhattan-ny-10007/849933354718706905/","100 Barclay St, Unit 15K")</f>
        <v>100 Barclay St, Unit 15K</v>
      </c>
      <c r="B5" s="2" t="str">
        <f>HYPERLINK("https://www.compass.com/building/100-barclay-manhattan-ny/281896670466155525/","100 Barclay")</f>
        <v>100 Barclay</v>
      </c>
      <c r="C5" s="1" t="s">
        <v>50</v>
      </c>
      <c r="D5" s="1" t="s">
        <v>41</v>
      </c>
      <c r="E5" s="3">
        <v>2800000</v>
      </c>
      <c r="F5" s="1">
        <v>1865.4230512991301</v>
      </c>
      <c r="G5" s="1">
        <v>5.5</v>
      </c>
      <c r="H5" s="1">
        <v>2</v>
      </c>
      <c r="I5" s="1">
        <v>3</v>
      </c>
      <c r="J5" s="1">
        <v>2.5</v>
      </c>
      <c r="K5" s="1">
        <v>2</v>
      </c>
      <c r="L5" s="1">
        <v>1</v>
      </c>
      <c r="M5" s="4">
        <v>1501</v>
      </c>
      <c r="N5" s="1">
        <v>2164.02</v>
      </c>
      <c r="O5" s="1">
        <v>4214.54</v>
      </c>
      <c r="P5" s="1">
        <v>2050.5</v>
      </c>
      <c r="S5" s="1" t="s">
        <v>42</v>
      </c>
      <c r="T5" s="1" t="s">
        <v>51</v>
      </c>
      <c r="U5" s="1">
        <v>2</v>
      </c>
      <c r="V5" s="5">
        <v>44425</v>
      </c>
      <c r="W5" s="5">
        <v>44425</v>
      </c>
      <c r="X5" s="1">
        <v>2800000</v>
      </c>
      <c r="AB5" s="1" t="s">
        <v>44</v>
      </c>
      <c r="AF5" s="1">
        <v>10007</v>
      </c>
      <c r="AI5" s="1" t="s">
        <v>52</v>
      </c>
      <c r="AJ5" s="1">
        <v>1930</v>
      </c>
      <c r="AK5" s="1" t="s">
        <v>49</v>
      </c>
      <c r="AL5" s="1">
        <v>156</v>
      </c>
    </row>
    <row r="6" spans="1:39" x14ac:dyDescent="0.2">
      <c r="A6" s="2" t="str">
        <f>HYPERLINK("https://www.compass.com/listing/570-broome-street-unit-16b-manhattan-ny-10013/850656586862051121/","570 Broome St, Unit 16B")</f>
        <v>570 Broome St, Unit 16B</v>
      </c>
      <c r="B6" s="2" t="str">
        <f>HYPERLINK("https://www.compass.com/building/570-broome-manhattan-ny/292818583757562981/","570 Broome")</f>
        <v>570 Broome</v>
      </c>
      <c r="C6" s="1" t="s">
        <v>53</v>
      </c>
      <c r="D6" s="1" t="s">
        <v>41</v>
      </c>
      <c r="E6" s="3">
        <v>2950000</v>
      </c>
      <c r="F6" s="1">
        <v>2493.6601859678699</v>
      </c>
      <c r="G6" s="1">
        <v>4</v>
      </c>
      <c r="H6" s="1">
        <v>2</v>
      </c>
      <c r="I6" s="1">
        <v>3</v>
      </c>
      <c r="J6" s="1">
        <v>2.5</v>
      </c>
      <c r="K6" s="1">
        <v>2</v>
      </c>
      <c r="L6" s="1">
        <v>1</v>
      </c>
      <c r="M6" s="4">
        <v>1183</v>
      </c>
      <c r="N6" s="1">
        <v>1379</v>
      </c>
      <c r="O6" s="1">
        <v>3750</v>
      </c>
      <c r="P6" s="1">
        <v>2371</v>
      </c>
      <c r="S6" s="1" t="s">
        <v>42</v>
      </c>
      <c r="T6" s="1" t="s">
        <v>51</v>
      </c>
      <c r="U6" s="1">
        <v>1</v>
      </c>
      <c r="V6" s="5">
        <v>44426</v>
      </c>
      <c r="W6" s="5">
        <v>44426</v>
      </c>
      <c r="X6" s="1">
        <v>2950000</v>
      </c>
      <c r="AB6" s="1" t="s">
        <v>44</v>
      </c>
      <c r="AF6" s="1">
        <v>10013</v>
      </c>
      <c r="AI6" s="1" t="s">
        <v>54</v>
      </c>
      <c r="AJ6" s="1">
        <v>2019</v>
      </c>
      <c r="AK6" s="1" t="s">
        <v>55</v>
      </c>
      <c r="AL6" s="1">
        <v>54</v>
      </c>
    </row>
    <row r="7" spans="1:39" x14ac:dyDescent="0.2">
      <c r="A7" s="2" t="str">
        <f>HYPERLINK("https://www.compass.com/listing/45-east-22nd-street-unit-16a-manhattan-ny-10010/842541443861320985/","45 E 22nd St, Unit 16A")</f>
        <v>45 E 22nd St, Unit 16A</v>
      </c>
      <c r="B7" s="2" t="str">
        <f>HYPERLINK("https://www.compass.com/building/madison-square-park-tower-manhattan-ny/281903584482705973/","Madison Square Park Tower")</f>
        <v>Madison Square Park Tower</v>
      </c>
      <c r="C7" s="1" t="s">
        <v>56</v>
      </c>
      <c r="D7" s="1" t="s">
        <v>41</v>
      </c>
      <c r="E7" s="3">
        <v>4195000</v>
      </c>
      <c r="F7" s="1">
        <v>2173.57512953367</v>
      </c>
      <c r="G7" s="1">
        <v>4</v>
      </c>
      <c r="H7" s="1">
        <v>2</v>
      </c>
      <c r="I7" s="1">
        <v>3</v>
      </c>
      <c r="J7" s="1">
        <v>2.5</v>
      </c>
      <c r="K7" s="1">
        <v>2</v>
      </c>
      <c r="L7" s="1">
        <v>1</v>
      </c>
      <c r="M7" s="4">
        <v>1930</v>
      </c>
      <c r="N7" s="1">
        <v>2368</v>
      </c>
      <c r="O7" s="1">
        <v>6508</v>
      </c>
      <c r="P7" s="1">
        <v>4140</v>
      </c>
      <c r="S7" s="1" t="s">
        <v>42</v>
      </c>
      <c r="T7" s="1" t="s">
        <v>51</v>
      </c>
      <c r="U7" s="1">
        <v>12</v>
      </c>
      <c r="V7" s="5">
        <v>44416</v>
      </c>
      <c r="W7" s="5">
        <v>44414</v>
      </c>
      <c r="X7" s="1">
        <v>4195000</v>
      </c>
      <c r="AB7" s="1" t="s">
        <v>44</v>
      </c>
      <c r="AF7" s="1">
        <v>10010</v>
      </c>
      <c r="AI7" s="1" t="s">
        <v>48</v>
      </c>
      <c r="AJ7" s="1">
        <v>2016</v>
      </c>
      <c r="AK7" s="1" t="s">
        <v>49</v>
      </c>
      <c r="AL7" s="1">
        <v>83</v>
      </c>
    </row>
    <row r="8" spans="1:39" x14ac:dyDescent="0.2">
      <c r="A8" s="2" t="str">
        <f>HYPERLINK("https://www.compass.com/listing/221-west-77th-street-unit-11w-manhattan-ny-10024/844750977849473665/","221 W 77th St, Unit 11W")</f>
        <v>221 W 77th St, Unit 11W</v>
      </c>
      <c r="B8" s="2" t="str">
        <f>HYPERLINK("https://www.compass.com/building/221-west-77th-street-manhattan-ny/292869344491294229/","221 West 77th Street")</f>
        <v>221 West 77th Street</v>
      </c>
      <c r="C8" s="1" t="s">
        <v>57</v>
      </c>
      <c r="D8" s="1" t="s">
        <v>41</v>
      </c>
      <c r="E8" s="3">
        <v>6995000</v>
      </c>
      <c r="F8" s="1">
        <v>2565.0898423175599</v>
      </c>
      <c r="G8" s="1">
        <v>7</v>
      </c>
      <c r="H8" s="1">
        <v>4</v>
      </c>
      <c r="I8" s="1">
        <v>5</v>
      </c>
      <c r="J8" s="1">
        <v>4.5</v>
      </c>
      <c r="K8" s="1">
        <v>4</v>
      </c>
      <c r="L8" s="1">
        <v>1</v>
      </c>
      <c r="M8" s="4">
        <v>2727</v>
      </c>
      <c r="N8" s="1">
        <v>3232.32</v>
      </c>
      <c r="O8" s="1">
        <v>6781.82</v>
      </c>
      <c r="P8" s="1">
        <v>3549.5</v>
      </c>
      <c r="S8" s="1" t="s">
        <v>42</v>
      </c>
      <c r="T8" s="1" t="s">
        <v>51</v>
      </c>
      <c r="U8" s="1">
        <v>9</v>
      </c>
      <c r="V8" s="5">
        <v>44417</v>
      </c>
      <c r="W8" s="5">
        <v>44417</v>
      </c>
      <c r="X8" s="1">
        <v>6995000</v>
      </c>
      <c r="AB8" s="1" t="s">
        <v>44</v>
      </c>
      <c r="AF8" s="1">
        <v>10024</v>
      </c>
      <c r="AI8" s="1" t="s">
        <v>58</v>
      </c>
      <c r="AJ8" s="1">
        <v>2017</v>
      </c>
      <c r="AK8" s="1" t="s">
        <v>55</v>
      </c>
      <c r="AL8" s="1">
        <v>26</v>
      </c>
    </row>
    <row r="9" spans="1:39" x14ac:dyDescent="0.2">
      <c r="A9" s="2" t="str">
        <f>HYPERLINK("https://www.compass.com/listing/325-lexington-avenue-unit-15e-manhattan-ny-10016/849823716174056641/","325 Lexington Ave, Unit 15E")</f>
        <v>325 Lexington Ave, Unit 15E</v>
      </c>
      <c r="B9" s="2" t="str">
        <f>HYPERLINK("https://www.compass.com/building/325-lex-condominium-manhattan-ny/281939882467713365/","325 Lex Condominium")</f>
        <v>325 Lex Condominium</v>
      </c>
      <c r="C9" s="1" t="s">
        <v>59</v>
      </c>
      <c r="D9" s="1" t="s">
        <v>41</v>
      </c>
      <c r="E9" s="3">
        <v>1150000</v>
      </c>
      <c r="F9" s="1">
        <v>1782.9457364340999</v>
      </c>
      <c r="G9" s="1">
        <v>3</v>
      </c>
      <c r="H9" s="1">
        <v>1</v>
      </c>
      <c r="I9" s="1">
        <v>1</v>
      </c>
      <c r="J9" s="1">
        <v>1</v>
      </c>
      <c r="K9" s="1">
        <v>1</v>
      </c>
      <c r="M9" s="1">
        <v>645</v>
      </c>
      <c r="N9" s="1">
        <v>1006</v>
      </c>
      <c r="O9" s="1">
        <v>1656</v>
      </c>
      <c r="P9" s="1">
        <v>650</v>
      </c>
      <c r="S9" s="1" t="s">
        <v>42</v>
      </c>
      <c r="T9" s="1" t="s">
        <v>51</v>
      </c>
      <c r="U9" s="1">
        <v>2</v>
      </c>
      <c r="V9" s="5">
        <v>44424</v>
      </c>
      <c r="W9" s="5">
        <v>44424</v>
      </c>
      <c r="X9" s="1">
        <v>1150000</v>
      </c>
      <c r="AB9" s="1" t="s">
        <v>44</v>
      </c>
      <c r="AF9" s="1">
        <v>10016</v>
      </c>
      <c r="AI9" s="1" t="s">
        <v>60</v>
      </c>
      <c r="AJ9" s="1">
        <v>2014</v>
      </c>
      <c r="AK9" s="1" t="s">
        <v>55</v>
      </c>
      <c r="AL9" s="1">
        <v>125</v>
      </c>
    </row>
    <row r="10" spans="1:39" x14ac:dyDescent="0.2">
      <c r="A10" s="2" t="str">
        <f>HYPERLINK("https://www.compass.com/listing/565-broome-street-unit-s25a-manhattan-ny-10013/837486877245622705/","565 Broome St, Unit S25A")</f>
        <v>565 Broome St, Unit S25A</v>
      </c>
      <c r="B10" s="2" t="str">
        <f>HYPERLINK("https://www.compass.com/building/565-broome-soho-manhattan-ny/292813251698267109/","565 Broome Soho")</f>
        <v>565 Broome Soho</v>
      </c>
      <c r="C10" s="1" t="s">
        <v>53</v>
      </c>
      <c r="D10" s="1" t="s">
        <v>41</v>
      </c>
      <c r="E10" s="3">
        <v>7750000</v>
      </c>
      <c r="F10" s="1">
        <v>3453.6541889483001</v>
      </c>
      <c r="G10" s="1">
        <v>6</v>
      </c>
      <c r="H10" s="1">
        <v>3</v>
      </c>
      <c r="I10" s="1">
        <v>4</v>
      </c>
      <c r="J10" s="1">
        <v>3.5</v>
      </c>
      <c r="K10" s="1">
        <v>3</v>
      </c>
      <c r="L10" s="1">
        <v>1</v>
      </c>
      <c r="M10" s="4">
        <v>2244</v>
      </c>
      <c r="N10" s="1">
        <v>3082</v>
      </c>
      <c r="O10" s="1">
        <v>6760</v>
      </c>
      <c r="P10" s="1">
        <v>3678</v>
      </c>
      <c r="S10" s="1" t="s">
        <v>42</v>
      </c>
      <c r="T10" s="1" t="s">
        <v>51</v>
      </c>
      <c r="U10" s="1">
        <v>19</v>
      </c>
      <c r="V10" s="5">
        <v>44420</v>
      </c>
      <c r="W10" s="5">
        <v>44407</v>
      </c>
      <c r="X10" s="1">
        <v>7750000</v>
      </c>
      <c r="AB10" s="1" t="s">
        <v>44</v>
      </c>
      <c r="AF10" s="1">
        <v>10013</v>
      </c>
      <c r="AI10" s="1" t="s">
        <v>48</v>
      </c>
      <c r="AJ10" s="1">
        <v>2019</v>
      </c>
      <c r="AK10" s="1" t="s">
        <v>46</v>
      </c>
      <c r="AL10" s="1">
        <v>115</v>
      </c>
    </row>
    <row r="11" spans="1:39" x14ac:dyDescent="0.2">
      <c r="A11" s="2" t="str">
        <f>HYPERLINK("https://www.compass.com/listing/100-barclay-street-unit-14m-manhattan-ny-10007/811701814728411441/","100 Barclay St, Unit 14M")</f>
        <v>100 Barclay St, Unit 14M</v>
      </c>
      <c r="B11" s="2" t="str">
        <f t="shared" ref="B11:B13" si="0">HYPERLINK("https://www.compass.com/building/100-barclay-manhattan-ny/281896670466155525/","100 Barclay")</f>
        <v>100 Barclay</v>
      </c>
      <c r="C11" s="1" t="s">
        <v>50</v>
      </c>
      <c r="D11" s="1" t="s">
        <v>41</v>
      </c>
      <c r="E11" s="3">
        <v>3250000</v>
      </c>
      <c r="F11" s="1">
        <v>2553.0243519245801</v>
      </c>
      <c r="G11" s="1">
        <v>4</v>
      </c>
      <c r="H11" s="1">
        <v>2</v>
      </c>
      <c r="I11" s="1">
        <v>3</v>
      </c>
      <c r="J11" s="1">
        <v>2.5</v>
      </c>
      <c r="K11" s="1">
        <v>2</v>
      </c>
      <c r="L11" s="1">
        <v>1</v>
      </c>
      <c r="M11" s="4">
        <v>1273</v>
      </c>
      <c r="N11" s="1">
        <v>1960</v>
      </c>
      <c r="O11" s="1">
        <v>4112.87</v>
      </c>
      <c r="P11" s="1">
        <v>2152.8333333333298</v>
      </c>
      <c r="S11" s="1" t="s">
        <v>42</v>
      </c>
      <c r="T11" s="1" t="s">
        <v>51</v>
      </c>
      <c r="U11" s="1">
        <v>54</v>
      </c>
      <c r="V11" s="5">
        <v>44399</v>
      </c>
      <c r="W11" s="5">
        <v>44373</v>
      </c>
      <c r="X11" s="1">
        <v>3250000</v>
      </c>
      <c r="AB11" s="1" t="s">
        <v>44</v>
      </c>
      <c r="AF11" s="1">
        <v>10007</v>
      </c>
      <c r="AI11" s="1" t="s">
        <v>61</v>
      </c>
      <c r="AJ11" s="1">
        <v>1930</v>
      </c>
      <c r="AK11" s="1" t="s">
        <v>49</v>
      </c>
      <c r="AL11" s="1">
        <v>156</v>
      </c>
    </row>
    <row r="12" spans="1:39" x14ac:dyDescent="0.2">
      <c r="A12" s="2" t="str">
        <f>HYPERLINK("https://www.compass.com/listing/100-barclay-street-unit-15g-manhattan-ny-10007/786864896606746089/","100 Barclay St, Unit 15G")</f>
        <v>100 Barclay St, Unit 15G</v>
      </c>
      <c r="B12" s="2" t="str">
        <f t="shared" si="0"/>
        <v>100 Barclay</v>
      </c>
      <c r="C12" s="1" t="s">
        <v>50</v>
      </c>
      <c r="D12" s="1" t="s">
        <v>41</v>
      </c>
      <c r="E12" s="3">
        <v>3550000</v>
      </c>
      <c r="F12" s="1">
        <v>1498.5225833685099</v>
      </c>
      <c r="G12" s="1">
        <v>5</v>
      </c>
      <c r="H12" s="1">
        <v>3</v>
      </c>
      <c r="I12" s="1">
        <v>4</v>
      </c>
      <c r="J12" s="1">
        <v>3.5</v>
      </c>
      <c r="K12" s="1">
        <v>3</v>
      </c>
      <c r="L12" s="1">
        <v>1</v>
      </c>
      <c r="M12" s="4">
        <v>2369</v>
      </c>
      <c r="N12" s="1">
        <v>3415.42</v>
      </c>
      <c r="O12" s="1">
        <v>7337.6</v>
      </c>
      <c r="P12" s="1">
        <v>3922.1666666666601</v>
      </c>
      <c r="S12" s="1" t="s">
        <v>42</v>
      </c>
      <c r="T12" s="1" t="s">
        <v>51</v>
      </c>
      <c r="U12" s="1">
        <v>89</v>
      </c>
      <c r="V12" s="5">
        <v>44369</v>
      </c>
      <c r="W12" s="5">
        <v>44338</v>
      </c>
      <c r="X12" s="1">
        <v>3750000</v>
      </c>
      <c r="AB12" s="1" t="s">
        <v>44</v>
      </c>
      <c r="AF12" s="1">
        <v>10007</v>
      </c>
      <c r="AI12" s="1" t="s">
        <v>48</v>
      </c>
      <c r="AJ12" s="1">
        <v>1930</v>
      </c>
      <c r="AK12" s="1" t="s">
        <v>49</v>
      </c>
      <c r="AL12" s="1">
        <v>156</v>
      </c>
    </row>
    <row r="13" spans="1:39" x14ac:dyDescent="0.2">
      <c r="A13" s="2" t="str">
        <f>HYPERLINK("https://www.compass.com/listing/100-barclay-street-unit-17l-manhattan-ny-10007/786061644060062721/","100 Barclay St, Unit 17L")</f>
        <v>100 Barclay St, Unit 17L</v>
      </c>
      <c r="B13" s="2" t="str">
        <f t="shared" si="0"/>
        <v>100 Barclay</v>
      </c>
      <c r="C13" s="1" t="s">
        <v>50</v>
      </c>
      <c r="D13" s="1" t="s">
        <v>41</v>
      </c>
      <c r="E13" s="3">
        <v>4100000</v>
      </c>
      <c r="F13" s="1">
        <v>1986.4341085271301</v>
      </c>
      <c r="G13" s="1">
        <v>5</v>
      </c>
      <c r="H13" s="1">
        <v>3</v>
      </c>
      <c r="I13" s="1">
        <v>3</v>
      </c>
      <c r="J13" s="1">
        <v>3</v>
      </c>
      <c r="K13" s="1">
        <v>3</v>
      </c>
      <c r="M13" s="4">
        <v>2064</v>
      </c>
      <c r="N13" s="1">
        <v>3050</v>
      </c>
      <c r="O13" s="1">
        <v>5950</v>
      </c>
      <c r="P13" s="1">
        <v>2900</v>
      </c>
      <c r="S13" s="1" t="s">
        <v>42</v>
      </c>
      <c r="T13" s="1" t="s">
        <v>51</v>
      </c>
      <c r="U13" s="1">
        <v>90</v>
      </c>
      <c r="V13" s="5">
        <v>44336</v>
      </c>
      <c r="W13" s="5">
        <v>44336</v>
      </c>
      <c r="X13" s="1">
        <v>4100000</v>
      </c>
      <c r="AB13" s="1" t="s">
        <v>44</v>
      </c>
      <c r="AF13" s="1">
        <v>10007</v>
      </c>
      <c r="AI13" s="1" t="s">
        <v>48</v>
      </c>
      <c r="AJ13" s="1">
        <v>1930</v>
      </c>
      <c r="AK13" s="1" t="s">
        <v>49</v>
      </c>
      <c r="AL13" s="1">
        <v>156</v>
      </c>
    </row>
    <row r="14" spans="1:39" x14ac:dyDescent="0.2">
      <c r="A14" s="2" t="str">
        <f>HYPERLINK("https://www.compass.com/listing/560-west-24th-street-unit-ph1-manhattan-ny-10011/804338634304153073/","560 W 24th St, Unit PH1")</f>
        <v>560 W 24th St, Unit PH1</v>
      </c>
      <c r="B14" s="2" t="str">
        <f>HYPERLINK("https://www.compass.com/building/five-sixty-manhattan-ny/282058548421098597/","Five Sixty")</f>
        <v>Five Sixty</v>
      </c>
      <c r="C14" s="1" t="s">
        <v>62</v>
      </c>
      <c r="D14" s="1" t="s">
        <v>41</v>
      </c>
      <c r="E14" s="3">
        <v>14000000</v>
      </c>
      <c r="F14" s="1">
        <v>3046.1270670147901</v>
      </c>
      <c r="G14" s="1">
        <v>8</v>
      </c>
      <c r="H14" s="1">
        <v>4</v>
      </c>
      <c r="I14" s="1">
        <v>5</v>
      </c>
      <c r="J14" s="1">
        <v>4.5</v>
      </c>
      <c r="K14" s="1">
        <v>4</v>
      </c>
      <c r="L14" s="1">
        <v>1</v>
      </c>
      <c r="M14" s="4">
        <v>4596</v>
      </c>
      <c r="N14" s="1">
        <v>9926.2800000000007</v>
      </c>
      <c r="O14" s="1">
        <v>19781.41</v>
      </c>
      <c r="P14" s="1">
        <v>9855.1666666666606</v>
      </c>
      <c r="S14" s="1" t="s">
        <v>42</v>
      </c>
      <c r="T14" s="1" t="s">
        <v>51</v>
      </c>
      <c r="U14" s="1">
        <v>65</v>
      </c>
      <c r="V14" s="5">
        <v>44362</v>
      </c>
      <c r="W14" s="5">
        <v>44362</v>
      </c>
      <c r="X14" s="1">
        <v>14000000</v>
      </c>
      <c r="AB14" s="1" t="s">
        <v>44</v>
      </c>
      <c r="AF14" s="1">
        <v>10011</v>
      </c>
      <c r="AI14" s="1" t="s">
        <v>63</v>
      </c>
      <c r="AJ14" s="1">
        <v>2015</v>
      </c>
      <c r="AK14" s="1" t="s">
        <v>55</v>
      </c>
      <c r="AL14" s="1">
        <v>8</v>
      </c>
    </row>
    <row r="15" spans="1:39" x14ac:dyDescent="0.2">
      <c r="A15" s="2" t="str">
        <f>HYPERLINK("https://www.compass.com/listing/230-east-20th-street-unit-13-manhattan-ny-10003/819603069408553025/","230 E 20th St, Unit 13")</f>
        <v>230 E 20th St, Unit 13</v>
      </c>
      <c r="B15" s="2" t="str">
        <f>HYPERLINK("https://www.compass.com/building/the-modern-at-gramercy-square-manhattan-ny/282059330264532517/","The Modern at Gramercy Square")</f>
        <v>The Modern at Gramercy Square</v>
      </c>
      <c r="C15" s="1" t="s">
        <v>64</v>
      </c>
      <c r="D15" s="1" t="s">
        <v>41</v>
      </c>
      <c r="E15" s="3">
        <v>1450000</v>
      </c>
      <c r="F15" s="1">
        <v>2059.6590909090901</v>
      </c>
      <c r="G15" s="1">
        <v>2</v>
      </c>
      <c r="H15" s="1">
        <v>1</v>
      </c>
      <c r="I15" s="1">
        <v>1</v>
      </c>
      <c r="J15" s="1">
        <v>1</v>
      </c>
      <c r="K15" s="1">
        <v>1</v>
      </c>
      <c r="M15" s="1">
        <v>704</v>
      </c>
      <c r="N15" s="1">
        <v>834.23</v>
      </c>
      <c r="O15" s="1">
        <v>2341.71</v>
      </c>
      <c r="P15" s="1">
        <v>1507.5</v>
      </c>
      <c r="S15" s="1" t="s">
        <v>42</v>
      </c>
      <c r="T15" s="1" t="s">
        <v>51</v>
      </c>
      <c r="U15" s="1">
        <v>41</v>
      </c>
      <c r="V15" s="5">
        <v>44407</v>
      </c>
      <c r="W15" s="5">
        <v>44386</v>
      </c>
      <c r="X15" s="1">
        <v>1450000</v>
      </c>
      <c r="AB15" s="1" t="s">
        <v>44</v>
      </c>
      <c r="AF15" s="1">
        <v>10003</v>
      </c>
      <c r="AI15" s="1" t="s">
        <v>65</v>
      </c>
      <c r="AJ15" s="1">
        <v>2016</v>
      </c>
      <c r="AK15" s="1" t="s">
        <v>49</v>
      </c>
      <c r="AL15" s="1">
        <v>37</v>
      </c>
    </row>
    <row r="16" spans="1:39" x14ac:dyDescent="0.2">
      <c r="A16" s="2" t="str">
        <f>HYPERLINK("https://www.compass.com/listing/121-east-22nd-street-unit-n1005-manhattan-ny-10010/583252428684818321/","121 E 22nd St, Unit N1005")</f>
        <v>121 E 22nd St, Unit N1005</v>
      </c>
      <c r="B16" s="2" t="str">
        <f>HYPERLINK("https://www.compass.com/building/121-e-22nd-manhattan-ny/292795784653461493/","121 E 22nd")</f>
        <v>121 E 22nd</v>
      </c>
      <c r="C16" s="1" t="s">
        <v>64</v>
      </c>
      <c r="D16" s="1" t="s">
        <v>41</v>
      </c>
      <c r="E16" s="3">
        <v>1824999</v>
      </c>
      <c r="F16" s="1">
        <v>2315.9885786802001</v>
      </c>
      <c r="G16" s="1">
        <v>3</v>
      </c>
      <c r="H16" s="1">
        <v>1</v>
      </c>
      <c r="I16" s="1">
        <v>1</v>
      </c>
      <c r="J16" s="1">
        <v>1</v>
      </c>
      <c r="K16" s="1">
        <v>1</v>
      </c>
      <c r="M16" s="1">
        <v>788</v>
      </c>
      <c r="N16" s="1">
        <v>871</v>
      </c>
      <c r="O16" s="1">
        <v>2652</v>
      </c>
      <c r="P16" s="1">
        <v>1781</v>
      </c>
      <c r="S16" s="1" t="s">
        <v>42</v>
      </c>
      <c r="T16" s="1" t="s">
        <v>51</v>
      </c>
      <c r="U16" s="1">
        <v>280</v>
      </c>
      <c r="V16" s="5">
        <v>44378</v>
      </c>
      <c r="W16" s="5">
        <v>44145</v>
      </c>
      <c r="X16" s="1">
        <v>1824999</v>
      </c>
      <c r="AB16" s="1" t="s">
        <v>44</v>
      </c>
      <c r="AF16" s="1">
        <v>10010</v>
      </c>
      <c r="AI16" s="1" t="s">
        <v>66</v>
      </c>
      <c r="AJ16" s="1">
        <v>2016</v>
      </c>
      <c r="AK16" s="1" t="s">
        <v>49</v>
      </c>
      <c r="AL16" s="1">
        <v>140</v>
      </c>
    </row>
    <row r="17" spans="1:38" x14ac:dyDescent="0.2">
      <c r="A17" s="2" t="str">
        <f>HYPERLINK("https://www.compass.com/listing/601-washington-street-unit-phw-manhattan-ny-10014/734075265087421769/","601 Washington St, Unit PHW")</f>
        <v>601 Washington St, Unit PHW</v>
      </c>
      <c r="B17" s="2" t="str">
        <f>HYPERLINK("https://www.compass.com/building/601-washington-st-manhattan-ny-10014/281934908392260869/","601 Washington St")</f>
        <v>601 Washington St</v>
      </c>
      <c r="C17" s="1" t="s">
        <v>67</v>
      </c>
      <c r="D17" s="1" t="s">
        <v>41</v>
      </c>
      <c r="E17" s="3">
        <v>32274000</v>
      </c>
      <c r="F17" s="1">
        <v>4500</v>
      </c>
      <c r="G17" s="1">
        <v>15</v>
      </c>
      <c r="H17" s="1">
        <v>6</v>
      </c>
      <c r="I17" s="1">
        <v>8</v>
      </c>
      <c r="J17" s="1">
        <v>6</v>
      </c>
      <c r="K17" s="1">
        <v>6</v>
      </c>
      <c r="L17" s="1">
        <v>2</v>
      </c>
      <c r="M17" s="4">
        <v>7172</v>
      </c>
      <c r="N17" s="1">
        <v>8333</v>
      </c>
      <c r="O17" s="1">
        <v>13806</v>
      </c>
      <c r="P17" s="1">
        <v>5473</v>
      </c>
      <c r="S17" s="1" t="s">
        <v>42</v>
      </c>
      <c r="T17" s="1" t="s">
        <v>51</v>
      </c>
      <c r="U17" s="1">
        <v>162</v>
      </c>
      <c r="V17" s="5">
        <v>44426</v>
      </c>
      <c r="W17" s="5">
        <v>44265</v>
      </c>
      <c r="X17" s="1">
        <v>32274000</v>
      </c>
      <c r="AB17" s="1" t="s">
        <v>44</v>
      </c>
      <c r="AF17" s="1">
        <v>10014</v>
      </c>
      <c r="AI17" s="1" t="s">
        <v>68</v>
      </c>
      <c r="AJ17" s="1">
        <v>2015</v>
      </c>
      <c r="AK17" s="1" t="s">
        <v>55</v>
      </c>
      <c r="AL17" s="1">
        <v>8</v>
      </c>
    </row>
    <row r="18" spans="1:38" x14ac:dyDescent="0.2">
      <c r="A18" s="2" t="str">
        <f>HYPERLINK("https://www.compass.com/listing/175-west-10th-street-unit-ph-manhattan-ny-10014/741829879573734049/","175 W 10th St, Unit PH")</f>
        <v>175 W 10th St, Unit PH</v>
      </c>
      <c r="B18" s="2" t="str">
        <f>HYPERLINK("https://www.compass.com/building/175-w-10th-st-manhattan-ny-10014/281930509993423093/","175 W 10th St")</f>
        <v>175 W 10th St</v>
      </c>
      <c r="C18" s="1" t="s">
        <v>67</v>
      </c>
      <c r="D18" s="1" t="s">
        <v>41</v>
      </c>
      <c r="E18" s="3">
        <v>12250000</v>
      </c>
      <c r="F18" s="1">
        <v>4020.3478831637599</v>
      </c>
      <c r="G18" s="1">
        <v>6</v>
      </c>
      <c r="H18" s="1">
        <v>3</v>
      </c>
      <c r="I18" s="1">
        <v>3</v>
      </c>
      <c r="J18" s="1">
        <v>3</v>
      </c>
      <c r="K18" s="1">
        <v>3</v>
      </c>
      <c r="M18" s="4">
        <v>3047</v>
      </c>
      <c r="N18" s="1">
        <v>4796</v>
      </c>
      <c r="O18" s="1">
        <v>10327</v>
      </c>
      <c r="P18" s="1">
        <v>5531</v>
      </c>
      <c r="S18" s="1" t="s">
        <v>42</v>
      </c>
      <c r="T18" s="1" t="s">
        <v>51</v>
      </c>
      <c r="U18" s="1">
        <v>151</v>
      </c>
      <c r="V18" s="5">
        <v>44330</v>
      </c>
      <c r="W18" s="5">
        <v>44275</v>
      </c>
      <c r="X18" s="1">
        <v>12250000</v>
      </c>
      <c r="AB18" s="1" t="s">
        <v>44</v>
      </c>
      <c r="AF18" s="1">
        <v>10014</v>
      </c>
      <c r="AI18" s="1" t="s">
        <v>69</v>
      </c>
      <c r="AJ18" s="1">
        <v>2016</v>
      </c>
      <c r="AK18" s="1" t="s">
        <v>70</v>
      </c>
      <c r="AL18" s="1">
        <v>5</v>
      </c>
    </row>
    <row r="19" spans="1:38" x14ac:dyDescent="0.2">
      <c r="A19" s="2" t="str">
        <f>HYPERLINK("https://www.compass.com/listing/347-bowery-unit-5-6-manhattan-ny-10003/695462762156571977/","347 Bowery, Unit 5/6")</f>
        <v>347 Bowery, Unit 5/6</v>
      </c>
      <c r="B19" s="2" t="str">
        <f>HYPERLINK("https://www.compass.com/building/347-bowery-manhattan-ny/281893184445880405/","347 Bowery")</f>
        <v>347 Bowery</v>
      </c>
      <c r="C19" s="1" t="s">
        <v>71</v>
      </c>
      <c r="D19" s="1" t="s">
        <v>41</v>
      </c>
      <c r="E19" s="3">
        <v>6000000</v>
      </c>
      <c r="F19" s="1">
        <v>2075.4064337599398</v>
      </c>
      <c r="G19" s="1">
        <v>6</v>
      </c>
      <c r="H19" s="1">
        <v>3</v>
      </c>
      <c r="I19" s="1">
        <v>4</v>
      </c>
      <c r="J19" s="1">
        <v>3.5</v>
      </c>
      <c r="K19" s="1">
        <v>3</v>
      </c>
      <c r="L19" s="1">
        <v>1</v>
      </c>
      <c r="M19" s="4">
        <v>2891</v>
      </c>
      <c r="N19" s="1">
        <v>4735.3900000000003</v>
      </c>
      <c r="O19" s="1">
        <v>8594.81</v>
      </c>
      <c r="P19" s="1">
        <v>3859.4166666666601</v>
      </c>
      <c r="S19" s="1" t="s">
        <v>42</v>
      </c>
      <c r="T19" s="1" t="s">
        <v>51</v>
      </c>
      <c r="U19" s="1">
        <v>215</v>
      </c>
      <c r="V19" s="5">
        <v>44397</v>
      </c>
      <c r="W19" s="5">
        <v>44211</v>
      </c>
      <c r="X19" s="1">
        <v>6000000</v>
      </c>
      <c r="AB19" s="1" t="s">
        <v>44</v>
      </c>
      <c r="AF19" s="1">
        <v>10003</v>
      </c>
      <c r="AI19" s="1" t="s">
        <v>72</v>
      </c>
      <c r="AJ19" s="1">
        <v>2017</v>
      </c>
      <c r="AK19" s="1" t="s">
        <v>73</v>
      </c>
      <c r="AL19" s="1">
        <v>6</v>
      </c>
    </row>
    <row r="20" spans="1:38" x14ac:dyDescent="0.2">
      <c r="A20" s="2" t="str">
        <f>HYPERLINK("https://www.compass.com/listing/221-west-77th-street-unit-10w-manhattan-ny-10024/805012190411182617/","221 W 77th St, Unit 10W")</f>
        <v>221 W 77th St, Unit 10W</v>
      </c>
      <c r="B20" s="2" t="str">
        <f>HYPERLINK("https://www.compass.com/building/221-west-77th-street-manhattan-ny/292869344491294229/","221 West 77th Street")</f>
        <v>221 West 77th Street</v>
      </c>
      <c r="C20" s="1" t="s">
        <v>57</v>
      </c>
      <c r="D20" s="1" t="s">
        <v>41</v>
      </c>
      <c r="E20" s="3">
        <v>7995000</v>
      </c>
      <c r="F20" s="1">
        <v>2931.79317931793</v>
      </c>
      <c r="G20" s="1">
        <v>6</v>
      </c>
      <c r="H20" s="1">
        <v>4</v>
      </c>
      <c r="I20" s="1">
        <v>5</v>
      </c>
      <c r="J20" s="1">
        <v>4.5</v>
      </c>
      <c r="K20" s="1">
        <v>4</v>
      </c>
      <c r="L20" s="1">
        <v>1</v>
      </c>
      <c r="M20" s="4">
        <v>2727</v>
      </c>
      <c r="N20" s="1">
        <v>3360</v>
      </c>
      <c r="O20" s="1">
        <v>8109.82</v>
      </c>
      <c r="P20" s="1">
        <v>4749.8333333333303</v>
      </c>
      <c r="S20" s="1" t="s">
        <v>42</v>
      </c>
      <c r="T20" s="1" t="s">
        <v>51</v>
      </c>
      <c r="U20" s="1">
        <v>64</v>
      </c>
      <c r="V20" s="5">
        <v>44366</v>
      </c>
      <c r="W20" s="5">
        <v>44363</v>
      </c>
      <c r="X20" s="1">
        <v>7995000</v>
      </c>
      <c r="AB20" s="1" t="s">
        <v>44</v>
      </c>
      <c r="AF20" s="1">
        <v>10024</v>
      </c>
      <c r="AI20" s="1" t="s">
        <v>48</v>
      </c>
      <c r="AJ20" s="1">
        <v>2017</v>
      </c>
      <c r="AK20" s="1" t="s">
        <v>55</v>
      </c>
      <c r="AL20" s="1">
        <v>26</v>
      </c>
    </row>
    <row r="21" spans="1:38" x14ac:dyDescent="0.2">
      <c r="A21" s="2" t="str">
        <f>HYPERLINK("https://www.compass.com/listing/42-allen-street-unit-phnorth-manhattan-ny-10002/848056974355326937/","42 Allen St, Unit PHNORTH")</f>
        <v>42 Allen St, Unit PHNORTH</v>
      </c>
      <c r="B21" s="2" t="str">
        <f>HYPERLINK("https://www.compass.com/building/42-allen-manhattan-ny/307432515178187973/","42 Allen")</f>
        <v>42 Allen</v>
      </c>
      <c r="C21" s="1" t="s">
        <v>47</v>
      </c>
      <c r="D21" s="1" t="s">
        <v>41</v>
      </c>
      <c r="E21" s="3">
        <v>1500000</v>
      </c>
      <c r="G21" s="1">
        <v>3</v>
      </c>
      <c r="H21" s="1">
        <v>1</v>
      </c>
      <c r="I21" s="1">
        <v>1</v>
      </c>
      <c r="J21" s="1">
        <v>1</v>
      </c>
      <c r="K21" s="1">
        <v>1</v>
      </c>
      <c r="N21" s="1">
        <v>396</v>
      </c>
      <c r="O21" s="1">
        <v>1396</v>
      </c>
      <c r="P21" s="1">
        <v>1000</v>
      </c>
      <c r="S21" s="1" t="s">
        <v>42</v>
      </c>
      <c r="T21" s="1" t="s">
        <v>51</v>
      </c>
      <c r="U21" s="1">
        <v>5</v>
      </c>
      <c r="V21" s="5">
        <v>44422</v>
      </c>
      <c r="W21" s="5">
        <v>44422</v>
      </c>
      <c r="X21" s="1">
        <v>1500000</v>
      </c>
      <c r="AB21" s="1" t="s">
        <v>44</v>
      </c>
      <c r="AF21" s="1">
        <v>10002</v>
      </c>
      <c r="AI21" s="1" t="s">
        <v>74</v>
      </c>
      <c r="AJ21" s="1">
        <v>2019</v>
      </c>
      <c r="AK21" s="1" t="s">
        <v>75</v>
      </c>
      <c r="AL21" s="1">
        <v>8</v>
      </c>
    </row>
    <row r="22" spans="1:38" x14ac:dyDescent="0.2">
      <c r="A22" s="2" t="str">
        <f>HYPERLINK("https://www.compass.com/listing/221-west-77th-street-unit-15-manhattan-ny-10024/781833873921481993/","221 W 77th St, Unit 15")</f>
        <v>221 W 77th St, Unit 15</v>
      </c>
      <c r="B22" s="2" t="str">
        <f>HYPERLINK("https://www.compass.com/building/221-west-77th-street-manhattan-ny/292869344491294229/","221 West 77th Street")</f>
        <v>221 West 77th Street</v>
      </c>
      <c r="C22" s="1" t="s">
        <v>57</v>
      </c>
      <c r="D22" s="1" t="s">
        <v>41</v>
      </c>
      <c r="E22" s="3">
        <v>10950000</v>
      </c>
      <c r="F22" s="1">
        <v>3224.3816254416902</v>
      </c>
      <c r="G22" s="1">
        <v>7</v>
      </c>
      <c r="H22" s="1">
        <v>4</v>
      </c>
      <c r="I22" s="1">
        <v>5</v>
      </c>
      <c r="J22" s="1">
        <v>4.5</v>
      </c>
      <c r="K22" s="1">
        <v>4</v>
      </c>
      <c r="L22" s="1">
        <v>1</v>
      </c>
      <c r="M22" s="4">
        <v>3396</v>
      </c>
      <c r="N22" s="1">
        <v>3941.61</v>
      </c>
      <c r="O22" s="1">
        <v>9376.52</v>
      </c>
      <c r="P22" s="1">
        <v>5434.9166666666597</v>
      </c>
      <c r="S22" s="1" t="s">
        <v>42</v>
      </c>
      <c r="T22" s="1" t="s">
        <v>51</v>
      </c>
      <c r="U22" s="1">
        <v>96</v>
      </c>
      <c r="V22" s="5">
        <v>44419</v>
      </c>
      <c r="W22" s="5">
        <v>44331</v>
      </c>
      <c r="X22" s="1">
        <v>10950000</v>
      </c>
      <c r="AB22" s="1" t="s">
        <v>44</v>
      </c>
      <c r="AF22" s="1">
        <v>10024</v>
      </c>
      <c r="AI22" s="1" t="s">
        <v>61</v>
      </c>
      <c r="AJ22" s="1">
        <v>2017</v>
      </c>
      <c r="AK22" s="1" t="s">
        <v>55</v>
      </c>
      <c r="AL22" s="1">
        <v>26</v>
      </c>
    </row>
    <row r="23" spans="1:38" x14ac:dyDescent="0.2">
      <c r="A23" s="2" t="str">
        <f>HYPERLINK("https://www.compass.com/listing/1-west-end-avenue-unit-31b-manhattan-ny-10069/839812961789221641/","1 W End Ave, Unit 31B")</f>
        <v>1 W End Ave, Unit 31B</v>
      </c>
      <c r="B23" s="2" t="str">
        <f>HYPERLINK("https://www.compass.com/building/1-w-end-ave-manhattan-ny-10069/455676159137755317/","1 W End Ave")</f>
        <v>1 W End Ave</v>
      </c>
      <c r="C23" s="1" t="s">
        <v>57</v>
      </c>
      <c r="D23" s="1" t="s">
        <v>41</v>
      </c>
      <c r="E23" s="3">
        <v>6875000</v>
      </c>
      <c r="F23" s="1">
        <v>2442.27353463587</v>
      </c>
      <c r="G23" s="1">
        <v>7</v>
      </c>
      <c r="H23" s="1">
        <v>4</v>
      </c>
      <c r="I23" s="1">
        <v>5</v>
      </c>
      <c r="J23" s="1">
        <v>4.5</v>
      </c>
      <c r="K23" s="1">
        <v>4</v>
      </c>
      <c r="L23" s="1">
        <v>1</v>
      </c>
      <c r="M23" s="4">
        <v>2815</v>
      </c>
      <c r="N23" s="1">
        <v>3359.16</v>
      </c>
      <c r="O23" s="1">
        <v>3550.16</v>
      </c>
      <c r="P23" s="1">
        <v>191</v>
      </c>
      <c r="S23" s="1" t="s">
        <v>42</v>
      </c>
      <c r="T23" s="1" t="s">
        <v>51</v>
      </c>
      <c r="U23" s="1">
        <v>16</v>
      </c>
      <c r="V23" s="5">
        <v>44420</v>
      </c>
      <c r="W23" s="5">
        <v>44411</v>
      </c>
      <c r="X23" s="1">
        <v>6875000</v>
      </c>
      <c r="AB23" s="1" t="s">
        <v>44</v>
      </c>
      <c r="AF23" s="1">
        <v>10069</v>
      </c>
      <c r="AI23" s="1" t="s">
        <v>76</v>
      </c>
      <c r="AJ23" s="1">
        <v>2017</v>
      </c>
      <c r="AK23" s="1" t="s">
        <v>55</v>
      </c>
      <c r="AL23" s="1">
        <v>246</v>
      </c>
    </row>
    <row r="24" spans="1:38" x14ac:dyDescent="0.2">
      <c r="A24" s="2" t="str">
        <f>HYPERLINK("https://www.compass.com/listing/15-hudson-yards-unit-24f-manhattan-ny-10001/784789839344535505/","15 Hudson Yards, Unit 24F")</f>
        <v>15 Hudson Yards, Unit 24F</v>
      </c>
      <c r="B24" s="2" t="str">
        <f>HYPERLINK("https://www.compass.com/building/fifteen-hudson-yards-manhattan-ny/282058587512011909/","Fifteen Hudson Yards")</f>
        <v>Fifteen Hudson Yards</v>
      </c>
      <c r="C24" s="1" t="s">
        <v>77</v>
      </c>
      <c r="D24" s="1" t="s">
        <v>41</v>
      </c>
      <c r="E24" s="3">
        <v>2300000</v>
      </c>
      <c r="F24" s="1">
        <v>2203.0651340996101</v>
      </c>
      <c r="G24" s="1">
        <v>3</v>
      </c>
      <c r="H24" s="1">
        <v>1</v>
      </c>
      <c r="I24" s="1">
        <v>1</v>
      </c>
      <c r="J24" s="1">
        <v>1</v>
      </c>
      <c r="K24" s="1">
        <v>1</v>
      </c>
      <c r="M24" s="4">
        <v>1044</v>
      </c>
      <c r="N24" s="1">
        <v>2359</v>
      </c>
      <c r="O24" s="1">
        <v>2388.06</v>
      </c>
      <c r="P24" s="1">
        <v>29.0833333333333</v>
      </c>
      <c r="S24" s="1" t="s">
        <v>42</v>
      </c>
      <c r="T24" s="1" t="s">
        <v>51</v>
      </c>
      <c r="U24" s="1">
        <v>78</v>
      </c>
      <c r="V24" s="5">
        <v>44409</v>
      </c>
      <c r="W24" s="5">
        <v>44348</v>
      </c>
      <c r="X24" s="1">
        <v>2300000</v>
      </c>
      <c r="AB24" s="1" t="s">
        <v>44</v>
      </c>
      <c r="AF24" s="1">
        <v>10001</v>
      </c>
      <c r="AI24" s="1" t="s">
        <v>78</v>
      </c>
      <c r="AJ24" s="1">
        <v>2018</v>
      </c>
      <c r="AK24" s="1" t="s">
        <v>49</v>
      </c>
      <c r="AL24" s="1">
        <v>285</v>
      </c>
    </row>
    <row r="25" spans="1:38" x14ac:dyDescent="0.2">
      <c r="A25" s="2" t="str">
        <f>HYPERLINK("https://www.compass.com/listing/565-broome-street-unit-n6f-manhattan-ny-10013/798816949268951913/","565 Broome St, Unit N6F")</f>
        <v>565 Broome St, Unit N6F</v>
      </c>
      <c r="B25" s="2" t="str">
        <f>HYPERLINK("https://www.compass.com/building/565-broome-soho-manhattan-ny/292813251698267109/","565 Broome Soho")</f>
        <v>565 Broome Soho</v>
      </c>
      <c r="C25" s="1" t="s">
        <v>53</v>
      </c>
      <c r="D25" s="1" t="s">
        <v>41</v>
      </c>
      <c r="E25" s="3">
        <v>1850000</v>
      </c>
      <c r="F25" s="1">
        <v>2587.4125874125798</v>
      </c>
      <c r="G25" s="1">
        <v>2</v>
      </c>
      <c r="H25" s="1">
        <v>1</v>
      </c>
      <c r="I25" s="1">
        <v>1</v>
      </c>
      <c r="J25" s="1">
        <v>1</v>
      </c>
      <c r="K25" s="1">
        <v>1</v>
      </c>
      <c r="M25" s="1">
        <v>715</v>
      </c>
      <c r="N25" s="1">
        <v>1148</v>
      </c>
      <c r="O25" s="1">
        <v>2230</v>
      </c>
      <c r="P25" s="1">
        <v>1082</v>
      </c>
      <c r="S25" s="1" t="s">
        <v>42</v>
      </c>
      <c r="T25" s="1" t="s">
        <v>51</v>
      </c>
      <c r="U25" s="1">
        <v>73</v>
      </c>
      <c r="V25" s="5">
        <v>44400</v>
      </c>
      <c r="W25" s="5">
        <v>44354</v>
      </c>
      <c r="X25" s="1">
        <v>1790000</v>
      </c>
      <c r="AB25" s="1" t="s">
        <v>44</v>
      </c>
      <c r="AF25" s="1">
        <v>10013</v>
      </c>
      <c r="AI25" s="1" t="s">
        <v>48</v>
      </c>
      <c r="AJ25" s="1">
        <v>2019</v>
      </c>
      <c r="AK25" s="1" t="s">
        <v>49</v>
      </c>
      <c r="AL25" s="1">
        <v>115</v>
      </c>
    </row>
    <row r="26" spans="1:38" x14ac:dyDescent="0.2">
      <c r="A26" s="2" t="str">
        <f>HYPERLINK("https://www.compass.com/listing/152-elizabeth-street-unit-2e-manhattan-ny-10013/29514234530487505/","152 Elizabeth St, Unit 2E")</f>
        <v>152 Elizabeth St, Unit 2E</v>
      </c>
      <c r="B26" s="2" t="str">
        <f>HYPERLINK("https://www.compass.com/building/152-elizabeth-st-manhattan-ny-10013/455668986164976365/","152 Elizabeth St")</f>
        <v>152 Elizabeth St</v>
      </c>
      <c r="C26" s="1" t="s">
        <v>79</v>
      </c>
      <c r="D26" s="1" t="s">
        <v>41</v>
      </c>
      <c r="E26" s="3">
        <v>5000000</v>
      </c>
      <c r="F26" s="1">
        <v>2481.3895781637698</v>
      </c>
      <c r="G26" s="1">
        <v>3</v>
      </c>
      <c r="H26" s="1">
        <v>2</v>
      </c>
      <c r="I26" s="1">
        <v>3</v>
      </c>
      <c r="J26" s="1">
        <v>2.5</v>
      </c>
      <c r="K26" s="1">
        <v>2</v>
      </c>
      <c r="L26" s="1">
        <v>1</v>
      </c>
      <c r="M26" s="4">
        <v>2015</v>
      </c>
      <c r="N26" s="1">
        <v>4550</v>
      </c>
      <c r="O26" s="1">
        <v>6502</v>
      </c>
      <c r="P26" s="1">
        <v>1952</v>
      </c>
      <c r="S26" s="1" t="s">
        <v>42</v>
      </c>
      <c r="T26" s="1" t="s">
        <v>51</v>
      </c>
      <c r="U26" s="1">
        <v>2173</v>
      </c>
      <c r="V26" s="5">
        <v>44426</v>
      </c>
      <c r="W26" s="5">
        <v>42160</v>
      </c>
      <c r="X26" s="1">
        <v>5750000</v>
      </c>
      <c r="AB26" s="1" t="s">
        <v>44</v>
      </c>
      <c r="AF26" s="1">
        <v>10013</v>
      </c>
      <c r="AK26" s="1" t="s">
        <v>46</v>
      </c>
      <c r="AL26" s="1">
        <v>7</v>
      </c>
    </row>
    <row r="27" spans="1:38" x14ac:dyDescent="0.2">
      <c r="A27" s="2" t="str">
        <f>HYPERLINK("https://www.compass.com/listing/570-broome-street-unit-8b-manhattan-ny-10013/576021465600796601/","570 Broome St, Unit 8B")</f>
        <v>570 Broome St, Unit 8B</v>
      </c>
      <c r="B27" s="2" t="str">
        <f t="shared" ref="B27:B28" si="1">HYPERLINK("https://www.compass.com/building/570-broome-manhattan-ny/292818583757562981/","570 Broome")</f>
        <v>570 Broome</v>
      </c>
      <c r="C27" s="1" t="s">
        <v>53</v>
      </c>
      <c r="D27" s="1" t="s">
        <v>41</v>
      </c>
      <c r="E27" s="3">
        <v>3425000</v>
      </c>
      <c r="F27" s="1">
        <v>2225.4710851201999</v>
      </c>
      <c r="G27" s="1">
        <v>6</v>
      </c>
      <c r="H27" s="1">
        <v>3</v>
      </c>
      <c r="I27" s="1">
        <v>3</v>
      </c>
      <c r="J27" s="1">
        <v>3</v>
      </c>
      <c r="K27" s="1">
        <v>3</v>
      </c>
      <c r="M27" s="4">
        <v>1539</v>
      </c>
      <c r="N27" s="1">
        <v>1797</v>
      </c>
      <c r="O27" s="1">
        <v>4866</v>
      </c>
      <c r="P27" s="1">
        <v>3069</v>
      </c>
      <c r="S27" s="1" t="s">
        <v>42</v>
      </c>
      <c r="T27" s="1" t="s">
        <v>51</v>
      </c>
      <c r="U27" s="1">
        <v>380</v>
      </c>
      <c r="V27" s="5">
        <v>44299</v>
      </c>
      <c r="W27" s="5">
        <v>44047</v>
      </c>
      <c r="X27" s="1">
        <v>3425000</v>
      </c>
      <c r="AB27" s="1" t="s">
        <v>44</v>
      </c>
      <c r="AF27" s="1">
        <v>10013</v>
      </c>
      <c r="AI27" s="1" t="s">
        <v>80</v>
      </c>
      <c r="AJ27" s="1">
        <v>2019</v>
      </c>
      <c r="AK27" s="1" t="s">
        <v>55</v>
      </c>
      <c r="AL27" s="1">
        <v>54</v>
      </c>
    </row>
    <row r="28" spans="1:38" x14ac:dyDescent="0.2">
      <c r="A28" s="2" t="str">
        <f>HYPERLINK("https://www.compass.com/listing/570-broome-street-unit-14a-manhattan-ny-10013/454869612146931289/","570 Broome St, Unit 14A")</f>
        <v>570 Broome St, Unit 14A</v>
      </c>
      <c r="B28" s="2" t="str">
        <f t="shared" si="1"/>
        <v>570 Broome</v>
      </c>
      <c r="C28" s="1" t="s">
        <v>53</v>
      </c>
      <c r="D28" s="1" t="s">
        <v>41</v>
      </c>
      <c r="E28" s="3">
        <v>3625000</v>
      </c>
      <c r="F28" s="1">
        <v>2465.9863945578199</v>
      </c>
      <c r="G28" s="1">
        <v>4</v>
      </c>
      <c r="H28" s="1">
        <v>2</v>
      </c>
      <c r="I28" s="1">
        <v>3</v>
      </c>
      <c r="J28" s="1">
        <v>2.5</v>
      </c>
      <c r="K28" s="1">
        <v>2</v>
      </c>
      <c r="L28" s="1">
        <v>1</v>
      </c>
      <c r="M28" s="4">
        <v>1470</v>
      </c>
      <c r="N28" s="1">
        <v>1717</v>
      </c>
      <c r="O28" s="1">
        <v>4637</v>
      </c>
      <c r="P28" s="1">
        <v>2920</v>
      </c>
      <c r="S28" s="1" t="s">
        <v>42</v>
      </c>
      <c r="T28" s="1" t="s">
        <v>51</v>
      </c>
      <c r="U28" s="1">
        <v>453</v>
      </c>
      <c r="V28" s="5">
        <v>44299</v>
      </c>
      <c r="W28" s="5">
        <v>43879</v>
      </c>
      <c r="X28" s="1">
        <v>3625000</v>
      </c>
      <c r="AB28" s="1" t="s">
        <v>44</v>
      </c>
      <c r="AF28" s="1">
        <v>10013</v>
      </c>
      <c r="AI28" s="1" t="s">
        <v>80</v>
      </c>
      <c r="AJ28" s="1">
        <v>2019</v>
      </c>
      <c r="AK28" s="1" t="s">
        <v>55</v>
      </c>
      <c r="AL28" s="1">
        <v>54</v>
      </c>
    </row>
    <row r="29" spans="1:38" x14ac:dyDescent="0.2">
      <c r="A29" s="2" t="str">
        <f>HYPERLINK("https://www.compass.com/listing/90-lexington-avenue-unit-5a-manhattan-ny-10016/764426653745038561/","90 Lexington Ave, Unit 5A")</f>
        <v>90 Lexington Ave, Unit 5A</v>
      </c>
      <c r="B29" s="2" t="str">
        <f>HYPERLINK("https://www.compass.com/building/88-90-lexington-avenue-manhattan-ny/281941431524842901/","88 &amp; 90 Lexington Avenue")</f>
        <v>88 &amp; 90 Lexington Avenue</v>
      </c>
      <c r="C29" s="1" t="s">
        <v>40</v>
      </c>
      <c r="D29" s="1" t="s">
        <v>41</v>
      </c>
      <c r="E29" s="3">
        <v>1825000</v>
      </c>
      <c r="F29" s="1">
        <v>1540.0843881856499</v>
      </c>
      <c r="G29" s="1">
        <v>3</v>
      </c>
      <c r="H29" s="1">
        <v>1</v>
      </c>
      <c r="I29" s="1">
        <v>2</v>
      </c>
      <c r="J29" s="1">
        <v>1.5</v>
      </c>
      <c r="K29" s="1">
        <v>1</v>
      </c>
      <c r="L29" s="1">
        <v>1</v>
      </c>
      <c r="M29" s="4">
        <v>1185</v>
      </c>
      <c r="N29" s="1">
        <v>1350</v>
      </c>
      <c r="O29" s="1">
        <v>3421</v>
      </c>
      <c r="P29" s="1">
        <v>2071</v>
      </c>
      <c r="S29" s="1" t="s">
        <v>42</v>
      </c>
      <c r="T29" s="1" t="s">
        <v>51</v>
      </c>
      <c r="U29" s="1">
        <v>120</v>
      </c>
      <c r="V29" s="5">
        <v>44425</v>
      </c>
      <c r="W29" s="5">
        <v>44307</v>
      </c>
      <c r="X29" s="1">
        <v>1925000</v>
      </c>
      <c r="AB29" s="1" t="s">
        <v>44</v>
      </c>
      <c r="AF29" s="1">
        <v>10016</v>
      </c>
      <c r="AI29" s="1" t="s">
        <v>81</v>
      </c>
      <c r="AJ29" s="1">
        <v>1957</v>
      </c>
      <c r="AK29" s="1" t="s">
        <v>49</v>
      </c>
      <c r="AL29" s="1">
        <v>49</v>
      </c>
    </row>
    <row r="30" spans="1:38" x14ac:dyDescent="0.2">
      <c r="A30" s="2" t="str">
        <f>HYPERLINK("https://www.compass.com/listing/300-east-64th-street-unit-18d-manhattan-ny-10065/520192726741506233/","300 E 64th St, Unit 18D")</f>
        <v>300 E 64th St, Unit 18D</v>
      </c>
      <c r="B30" s="2" t="str">
        <f t="shared" ref="B30:B31" si="2">HYPERLINK("https://www.compass.com/building/300-e-64th-st-manhattan-ny-10065/282038617012979925/","300 E 64th St")</f>
        <v>300 E 64th St</v>
      </c>
      <c r="C30" s="1" t="s">
        <v>82</v>
      </c>
      <c r="D30" s="1" t="s">
        <v>41</v>
      </c>
      <c r="E30" s="3">
        <v>1250000</v>
      </c>
      <c r="F30" s="1">
        <v>1584.2839036755299</v>
      </c>
      <c r="G30" s="1">
        <v>3</v>
      </c>
      <c r="H30" s="1">
        <v>1</v>
      </c>
      <c r="I30" s="1">
        <v>1</v>
      </c>
      <c r="J30" s="1">
        <v>1</v>
      </c>
      <c r="K30" s="1">
        <v>1</v>
      </c>
      <c r="M30" s="1">
        <v>789</v>
      </c>
      <c r="N30" s="1">
        <v>985.36</v>
      </c>
      <c r="O30" s="1">
        <v>2480.2800000000002</v>
      </c>
      <c r="P30" s="1">
        <v>1494.9166666666599</v>
      </c>
      <c r="S30" s="1" t="s">
        <v>42</v>
      </c>
      <c r="T30" s="1" t="s">
        <v>51</v>
      </c>
      <c r="U30" s="1">
        <v>384</v>
      </c>
      <c r="V30" s="5">
        <v>44411</v>
      </c>
      <c r="W30" s="5">
        <v>44000</v>
      </c>
      <c r="X30" s="1">
        <v>1500000</v>
      </c>
      <c r="AB30" s="1" t="s">
        <v>44</v>
      </c>
      <c r="AF30" s="1">
        <v>10065</v>
      </c>
      <c r="AI30" s="1" t="s">
        <v>83</v>
      </c>
      <c r="AJ30" s="1">
        <v>1996</v>
      </c>
      <c r="AK30" s="1" t="s">
        <v>49</v>
      </c>
      <c r="AL30" s="1">
        <v>103</v>
      </c>
    </row>
    <row r="31" spans="1:38" x14ac:dyDescent="0.2">
      <c r="A31" s="2" t="str">
        <f>HYPERLINK("https://www.compass.com/listing/300-east-64th-street-unit-25b-manhattan-ny-10065/428276908749896777/","300 E 64th St, Unit 25B")</f>
        <v>300 E 64th St, Unit 25B</v>
      </c>
      <c r="B31" s="2" t="str">
        <f t="shared" si="2"/>
        <v>300 E 64th St</v>
      </c>
      <c r="C31" s="1" t="s">
        <v>82</v>
      </c>
      <c r="D31" s="1" t="s">
        <v>41</v>
      </c>
      <c r="E31" s="3">
        <v>2650000</v>
      </c>
      <c r="F31" s="1">
        <v>1851.8518518518499</v>
      </c>
      <c r="G31" s="1">
        <v>5</v>
      </c>
      <c r="H31" s="1">
        <v>3</v>
      </c>
      <c r="I31" s="1">
        <v>3</v>
      </c>
      <c r="J31" s="1">
        <v>3</v>
      </c>
      <c r="K31" s="1">
        <v>3</v>
      </c>
      <c r="M31" s="4">
        <v>1431</v>
      </c>
      <c r="N31" s="1">
        <v>1803</v>
      </c>
      <c r="O31" s="1">
        <v>4365</v>
      </c>
      <c r="P31" s="1">
        <v>2562</v>
      </c>
      <c r="S31" s="1" t="s">
        <v>42</v>
      </c>
      <c r="T31" s="1" t="s">
        <v>51</v>
      </c>
      <c r="U31" s="1">
        <v>422</v>
      </c>
      <c r="V31" s="5">
        <v>44412</v>
      </c>
      <c r="W31" s="5">
        <v>43911</v>
      </c>
      <c r="X31" s="1">
        <v>2800000</v>
      </c>
      <c r="AB31" s="1" t="s">
        <v>44</v>
      </c>
      <c r="AF31" s="1">
        <v>10065</v>
      </c>
      <c r="AI31" s="1" t="s">
        <v>83</v>
      </c>
      <c r="AJ31" s="1">
        <v>1996</v>
      </c>
      <c r="AK31" s="1" t="s">
        <v>49</v>
      </c>
      <c r="AL31" s="1">
        <v>103</v>
      </c>
    </row>
    <row r="32" spans="1:38" x14ac:dyDescent="0.2">
      <c r="A32" s="2" t="str">
        <f>HYPERLINK("https://www.compass.com/listing/70-west-139th-street-unit-8i-manhattan-ny-10037/815201428295519177/","70 W 139th St, Unit 8I")</f>
        <v>70 W 139th St, Unit 8I</v>
      </c>
      <c r="B32" s="2" t="str">
        <f>HYPERLINK("https://www.compass.com/building/70-w-139th-st-manhattan-ny-10037/292920118235647477/","70 W 139th St")</f>
        <v>70 W 139th St</v>
      </c>
      <c r="C32" s="1" t="s">
        <v>84</v>
      </c>
      <c r="D32" s="1" t="s">
        <v>41</v>
      </c>
      <c r="E32" s="3">
        <v>698000</v>
      </c>
      <c r="G32" s="1">
        <v>3</v>
      </c>
      <c r="H32" s="1">
        <v>1</v>
      </c>
      <c r="I32" s="1">
        <v>1</v>
      </c>
      <c r="J32" s="1">
        <v>1</v>
      </c>
      <c r="K32" s="1">
        <v>1</v>
      </c>
      <c r="N32" s="1">
        <v>487.97</v>
      </c>
      <c r="O32" s="1">
        <v>512.97</v>
      </c>
      <c r="P32" s="1">
        <v>25</v>
      </c>
      <c r="S32" s="1" t="s">
        <v>42</v>
      </c>
      <c r="T32" s="1" t="s">
        <v>51</v>
      </c>
      <c r="U32" s="1">
        <v>39</v>
      </c>
      <c r="V32" s="5">
        <v>44387</v>
      </c>
      <c r="W32" s="5">
        <v>44387</v>
      </c>
      <c r="X32" s="1">
        <v>698000</v>
      </c>
      <c r="AB32" s="1" t="s">
        <v>44</v>
      </c>
      <c r="AF32" s="1">
        <v>10037</v>
      </c>
      <c r="AI32" s="1" t="s">
        <v>48</v>
      </c>
      <c r="AJ32" s="1">
        <v>2018</v>
      </c>
      <c r="AK32" s="1" t="s">
        <v>75</v>
      </c>
      <c r="AL32" s="1">
        <v>64</v>
      </c>
    </row>
    <row r="33" spans="1:38" x14ac:dyDescent="0.2">
      <c r="A33" s="2" t="str">
        <f>HYPERLINK("https://www.compass.com/listing/285-west-110th-street-unit-8c-manhattan-ny-10026/426723530538422665/","285 W 110th St, Unit 8C")</f>
        <v>285 W 110th St, Unit 8C</v>
      </c>
      <c r="B33" s="2" t="str">
        <f t="shared" ref="B33:B34" si="3">HYPERLINK("https://www.compass.com/building/circa-central-park-manhattan-ny/282059072692321269/","Circa Central Park")</f>
        <v>Circa Central Park</v>
      </c>
      <c r="C33" s="1" t="s">
        <v>85</v>
      </c>
      <c r="D33" s="1" t="s">
        <v>41</v>
      </c>
      <c r="E33" s="3">
        <v>5995000</v>
      </c>
      <c r="F33" s="1">
        <v>2819.8494825964199</v>
      </c>
      <c r="G33" s="1">
        <v>6.5</v>
      </c>
      <c r="H33" s="1">
        <v>4</v>
      </c>
      <c r="I33" s="1">
        <v>3</v>
      </c>
      <c r="J33" s="1">
        <v>3</v>
      </c>
      <c r="K33" s="1">
        <v>3</v>
      </c>
      <c r="M33" s="4">
        <v>2126</v>
      </c>
      <c r="N33" s="1">
        <v>3037</v>
      </c>
      <c r="O33" s="1">
        <v>3437.35</v>
      </c>
      <c r="P33" s="1">
        <v>400.33333333333297</v>
      </c>
      <c r="S33" s="1" t="s">
        <v>42</v>
      </c>
      <c r="T33" s="1" t="s">
        <v>51</v>
      </c>
      <c r="U33" s="1">
        <v>487</v>
      </c>
      <c r="V33" s="5">
        <v>44425</v>
      </c>
      <c r="W33" s="5">
        <v>43846</v>
      </c>
      <c r="X33" s="1">
        <v>5995000</v>
      </c>
      <c r="AB33" s="1" t="s">
        <v>44</v>
      </c>
      <c r="AD33" s="1" t="s">
        <v>86</v>
      </c>
      <c r="AE33" s="1" t="s">
        <v>87</v>
      </c>
      <c r="AF33" s="1">
        <v>10026</v>
      </c>
      <c r="AI33" s="1" t="s">
        <v>88</v>
      </c>
      <c r="AJ33" s="1">
        <v>2017</v>
      </c>
      <c r="AK33" s="1" t="s">
        <v>49</v>
      </c>
      <c r="AL33" s="1">
        <v>38</v>
      </c>
    </row>
    <row r="34" spans="1:38" x14ac:dyDescent="0.2">
      <c r="A34" s="2" t="str">
        <f>HYPERLINK("https://www.compass.com/listing/285-west-110th-street-unit-4g-manhattan-ny-10026/426724310502741137/","285 W 110th St, Unit 4G")</f>
        <v>285 W 110th St, Unit 4G</v>
      </c>
      <c r="B34" s="2" t="str">
        <f t="shared" si="3"/>
        <v>Circa Central Park</v>
      </c>
      <c r="C34" s="1" t="s">
        <v>85</v>
      </c>
      <c r="D34" s="1" t="s">
        <v>41</v>
      </c>
      <c r="E34" s="3">
        <v>3495000</v>
      </c>
      <c r="F34" s="1">
        <v>1654.04637955513</v>
      </c>
      <c r="G34" s="1">
        <v>6</v>
      </c>
      <c r="H34" s="1">
        <v>4</v>
      </c>
      <c r="I34" s="1">
        <v>4</v>
      </c>
      <c r="J34" s="1">
        <v>3.5</v>
      </c>
      <c r="K34" s="1">
        <v>3</v>
      </c>
      <c r="L34" s="1">
        <v>1</v>
      </c>
      <c r="M34" s="4">
        <v>2113</v>
      </c>
      <c r="N34" s="1">
        <v>2135</v>
      </c>
      <c r="O34" s="1">
        <v>2395.92</v>
      </c>
      <c r="P34" s="1">
        <v>260.916666666666</v>
      </c>
      <c r="S34" s="1" t="s">
        <v>42</v>
      </c>
      <c r="T34" s="1" t="s">
        <v>51</v>
      </c>
      <c r="U34" s="1">
        <v>487</v>
      </c>
      <c r="V34" s="5">
        <v>44425</v>
      </c>
      <c r="W34" s="5">
        <v>43846</v>
      </c>
      <c r="X34" s="1">
        <v>3795000</v>
      </c>
      <c r="AB34" s="1" t="s">
        <v>44</v>
      </c>
      <c r="AD34" s="1" t="s">
        <v>86</v>
      </c>
      <c r="AE34" s="1" t="s">
        <v>87</v>
      </c>
      <c r="AF34" s="1">
        <v>10026</v>
      </c>
      <c r="AI34" s="1" t="s">
        <v>89</v>
      </c>
      <c r="AJ34" s="1">
        <v>2017</v>
      </c>
      <c r="AK34" s="1" t="s">
        <v>49</v>
      </c>
      <c r="AL34" s="1">
        <v>38</v>
      </c>
    </row>
    <row r="35" spans="1:38" x14ac:dyDescent="0.2">
      <c r="A35" s="2" t="str">
        <f>HYPERLINK("https://www.compass.com/listing/416-west-52nd-street-unit-523-manhattan-ny-10019/789256443969054785/","416 W 52nd St, Unit 523")</f>
        <v>416 W 52nd St, Unit 523</v>
      </c>
      <c r="B35" s="2" t="str">
        <f>HYPERLINK("https://www.compass.com/building/nine52-manhattan-ny/281945622951555813/","Nine52")</f>
        <v>Nine52</v>
      </c>
      <c r="C35" s="1" t="s">
        <v>90</v>
      </c>
      <c r="D35" s="1" t="s">
        <v>41</v>
      </c>
      <c r="E35" s="3">
        <v>1550000</v>
      </c>
      <c r="F35" s="1">
        <v>1437.8478664192901</v>
      </c>
      <c r="G35" s="1">
        <v>4</v>
      </c>
      <c r="H35" s="1">
        <v>2</v>
      </c>
      <c r="I35" s="1">
        <v>2</v>
      </c>
      <c r="J35" s="1">
        <v>2</v>
      </c>
      <c r="K35" s="1">
        <v>2</v>
      </c>
      <c r="M35" s="4">
        <v>1078</v>
      </c>
      <c r="N35" s="1">
        <v>899.07</v>
      </c>
      <c r="O35" s="1">
        <v>2022.63</v>
      </c>
      <c r="P35" s="1">
        <v>1123.5833333333301</v>
      </c>
      <c r="S35" s="1" t="s">
        <v>42</v>
      </c>
      <c r="T35" s="1" t="s">
        <v>51</v>
      </c>
      <c r="U35" s="1">
        <v>78</v>
      </c>
      <c r="V35" s="5">
        <v>44421</v>
      </c>
      <c r="W35" s="5">
        <v>44348</v>
      </c>
      <c r="X35" s="1">
        <v>1550000</v>
      </c>
      <c r="AB35" s="1" t="s">
        <v>44</v>
      </c>
      <c r="AF35" s="1">
        <v>10019</v>
      </c>
      <c r="AI35" s="1" t="s">
        <v>48</v>
      </c>
      <c r="AJ35" s="1">
        <v>1940</v>
      </c>
      <c r="AK35" s="1" t="s">
        <v>55</v>
      </c>
      <c r="AL35" s="1">
        <v>155</v>
      </c>
    </row>
    <row r="36" spans="1:38" x14ac:dyDescent="0.2">
      <c r="A36" s="2" t="str">
        <f>HYPERLINK("https://www.compass.com/listing/325-lexington-avenue-unit-14d-manhattan-ny-10016/789742678457173945/","325 Lexington Ave, Unit 14D")</f>
        <v>325 Lexington Ave, Unit 14D</v>
      </c>
      <c r="B36" s="2" t="str">
        <f>HYPERLINK("https://www.compass.com/building/325-lex-condominium-manhattan-ny/281939882467713365/","325 Lex Condominium")</f>
        <v>325 Lex Condominium</v>
      </c>
      <c r="C36" s="1" t="s">
        <v>59</v>
      </c>
      <c r="D36" s="1" t="s">
        <v>41</v>
      </c>
      <c r="E36" s="3">
        <v>1435000</v>
      </c>
      <c r="F36" s="1">
        <v>1903.18302387267</v>
      </c>
      <c r="G36" s="1">
        <v>3</v>
      </c>
      <c r="H36" s="1">
        <v>1</v>
      </c>
      <c r="I36" s="1">
        <v>1</v>
      </c>
      <c r="J36" s="1">
        <v>1</v>
      </c>
      <c r="K36" s="1">
        <v>1</v>
      </c>
      <c r="M36" s="1">
        <v>754</v>
      </c>
      <c r="N36" s="1">
        <v>1195.02</v>
      </c>
      <c r="O36" s="1">
        <v>1927.03</v>
      </c>
      <c r="P36" s="1">
        <v>732</v>
      </c>
      <c r="S36" s="1" t="s">
        <v>42</v>
      </c>
      <c r="T36" s="1" t="s">
        <v>51</v>
      </c>
      <c r="U36" s="1">
        <v>85</v>
      </c>
      <c r="V36" s="5">
        <v>44426</v>
      </c>
      <c r="W36" s="5">
        <v>44341</v>
      </c>
      <c r="X36" s="1">
        <v>1495000</v>
      </c>
      <c r="AB36" s="1" t="s">
        <v>44</v>
      </c>
      <c r="AD36" s="1" t="s">
        <v>91</v>
      </c>
      <c r="AE36" s="1" t="s">
        <v>87</v>
      </c>
      <c r="AF36" s="1">
        <v>10016</v>
      </c>
      <c r="AI36" s="1" t="s">
        <v>92</v>
      </c>
      <c r="AJ36" s="1">
        <v>2014</v>
      </c>
      <c r="AK36" s="1" t="s">
        <v>55</v>
      </c>
      <c r="AL36" s="1">
        <v>125</v>
      </c>
    </row>
    <row r="37" spans="1:38" x14ac:dyDescent="0.2">
      <c r="A37" s="2" t="str">
        <f>HYPERLINK("https://www.compass.com/listing/456-west-167th-street-unit-1c-manhattan-ny-10032/631029447082205713/","456 W 167th St, Unit 1C")</f>
        <v>456 W 167th St, Unit 1C</v>
      </c>
      <c r="B37" s="2" t="str">
        <f>HYPERLINK("https://www.compass.com/building/edgecombe-parc-manhattan-ny/282005897969005013/","Edgecombe Parc")</f>
        <v>Edgecombe Parc</v>
      </c>
      <c r="C37" s="1" t="s">
        <v>93</v>
      </c>
      <c r="D37" s="1" t="s">
        <v>41</v>
      </c>
      <c r="E37" s="3">
        <v>545000</v>
      </c>
      <c r="F37" s="1">
        <v>792.15116279069696</v>
      </c>
      <c r="G37" s="1">
        <v>3</v>
      </c>
      <c r="H37" s="1">
        <v>1</v>
      </c>
      <c r="I37" s="1">
        <v>1</v>
      </c>
      <c r="J37" s="1">
        <v>1</v>
      </c>
      <c r="K37" s="1">
        <v>1</v>
      </c>
      <c r="M37" s="1">
        <v>688</v>
      </c>
      <c r="N37" s="1">
        <v>521</v>
      </c>
      <c r="O37" s="1">
        <v>1149</v>
      </c>
      <c r="P37" s="1">
        <v>628</v>
      </c>
      <c r="S37" s="1" t="s">
        <v>42</v>
      </c>
      <c r="T37" s="1" t="s">
        <v>51</v>
      </c>
      <c r="U37" s="1">
        <v>112</v>
      </c>
      <c r="V37" s="5">
        <v>44414</v>
      </c>
      <c r="W37" s="5">
        <v>44315</v>
      </c>
      <c r="X37" s="1">
        <v>565000</v>
      </c>
      <c r="AB37" s="1" t="s">
        <v>44</v>
      </c>
      <c r="AF37" s="1">
        <v>10032</v>
      </c>
      <c r="AI37" s="1" t="s">
        <v>94</v>
      </c>
      <c r="AJ37" s="1">
        <v>2014</v>
      </c>
      <c r="AK37" s="1" t="s">
        <v>70</v>
      </c>
      <c r="AL37" s="1">
        <v>49</v>
      </c>
    </row>
    <row r="38" spans="1:38" x14ac:dyDescent="0.2">
      <c r="A38" s="2" t="str">
        <f>HYPERLINK("https://www.compass.com/listing/48-east-132nd-street-unit-4d-manhattan-ny-10037/774411862342452089/","48 E 132nd St, Unit 4D")</f>
        <v>48 E 132nd St, Unit 4D</v>
      </c>
      <c r="B38" s="2" t="str">
        <f>HYPERLINK("https://www.compass.com/building/48-e-132nd-st-manhattan-ny-10037/282028625274876293/","48 E 132nd St")</f>
        <v>48 E 132nd St</v>
      </c>
      <c r="C38" s="1" t="s">
        <v>84</v>
      </c>
      <c r="D38" s="1" t="s">
        <v>41</v>
      </c>
      <c r="E38" s="3">
        <v>405000</v>
      </c>
      <c r="G38" s="1">
        <v>3</v>
      </c>
      <c r="H38" s="1">
        <v>1</v>
      </c>
      <c r="I38" s="1">
        <v>1</v>
      </c>
      <c r="J38" s="1">
        <v>1</v>
      </c>
      <c r="K38" s="1">
        <v>1</v>
      </c>
      <c r="N38" s="1">
        <v>416</v>
      </c>
      <c r="O38" s="1">
        <v>1010</v>
      </c>
      <c r="P38" s="1">
        <v>594</v>
      </c>
      <c r="S38" s="1" t="s">
        <v>42</v>
      </c>
      <c r="T38" s="1" t="s">
        <v>51</v>
      </c>
      <c r="U38" s="1">
        <v>106</v>
      </c>
      <c r="V38" s="5">
        <v>44427</v>
      </c>
      <c r="W38" s="5">
        <v>44321</v>
      </c>
      <c r="X38" s="1">
        <v>455000</v>
      </c>
      <c r="AB38" s="1" t="s">
        <v>44</v>
      </c>
      <c r="AF38" s="1">
        <v>10037</v>
      </c>
      <c r="AI38" s="1" t="s">
        <v>95</v>
      </c>
      <c r="AJ38" s="1">
        <v>2016</v>
      </c>
      <c r="AK38" s="1" t="s">
        <v>75</v>
      </c>
      <c r="AL38" s="1">
        <v>19</v>
      </c>
    </row>
    <row r="39" spans="1:38" x14ac:dyDescent="0.2">
      <c r="A39" s="2" t="str">
        <f>HYPERLINK("https://www.compass.com/listing/50-west-street-unit-43b-manhattan-ny-10006/829621446317754801/","50 West St, Unit 43B")</f>
        <v>50 West St, Unit 43B</v>
      </c>
      <c r="B39" s="2" t="str">
        <f>HYPERLINK("https://www.compass.com/building/50-west-st-manhattan-ny-10006/281896342152815429/","50 West St")</f>
        <v>50 West St</v>
      </c>
      <c r="C39" s="1" t="s">
        <v>96</v>
      </c>
      <c r="D39" s="1" t="s">
        <v>41</v>
      </c>
      <c r="E39" s="3">
        <v>3795000</v>
      </c>
      <c r="F39" s="1">
        <v>2508.2617316589499</v>
      </c>
      <c r="G39" s="1">
        <v>4</v>
      </c>
      <c r="H39" s="1">
        <v>2</v>
      </c>
      <c r="I39" s="1">
        <v>3</v>
      </c>
      <c r="J39" s="1">
        <v>2.5</v>
      </c>
      <c r="K39" s="1">
        <v>2</v>
      </c>
      <c r="L39" s="1">
        <v>1</v>
      </c>
      <c r="M39" s="4">
        <v>1513</v>
      </c>
      <c r="N39" s="1">
        <v>1922</v>
      </c>
      <c r="O39" s="1">
        <v>4156</v>
      </c>
      <c r="P39" s="1">
        <v>2234</v>
      </c>
      <c r="S39" s="1" t="s">
        <v>42</v>
      </c>
      <c r="T39" s="1" t="s">
        <v>51</v>
      </c>
      <c r="U39" s="1">
        <v>30</v>
      </c>
      <c r="V39" s="5">
        <v>44422</v>
      </c>
      <c r="W39" s="5">
        <v>44396</v>
      </c>
      <c r="X39" s="1">
        <v>3945000</v>
      </c>
      <c r="AB39" s="1" t="s">
        <v>44</v>
      </c>
      <c r="AF39" s="1">
        <v>10006</v>
      </c>
      <c r="AI39" s="1" t="s">
        <v>97</v>
      </c>
      <c r="AJ39" s="1">
        <v>2016</v>
      </c>
      <c r="AK39" s="1" t="s">
        <v>49</v>
      </c>
      <c r="AL39" s="1">
        <v>186</v>
      </c>
    </row>
    <row r="40" spans="1:38" x14ac:dyDescent="0.2">
      <c r="A40" s="2" t="str">
        <f>HYPERLINK("https://www.compass.com/listing/70-west-139th-street-unit-4i-manhattan-ny-10037/745690780949528785/","70 W 139th St, Unit 4I")</f>
        <v>70 W 139th St, Unit 4I</v>
      </c>
      <c r="B40" s="2" t="str">
        <f>HYPERLINK("https://www.compass.com/building/70-w-139th-st-manhattan-ny-10037/292920118235647477/","70 W 139th St")</f>
        <v>70 W 139th St</v>
      </c>
      <c r="C40" s="1" t="s">
        <v>84</v>
      </c>
      <c r="D40" s="1" t="s">
        <v>41</v>
      </c>
      <c r="E40" s="3">
        <v>599000</v>
      </c>
      <c r="F40" s="1">
        <v>895.36621823617304</v>
      </c>
      <c r="G40" s="1">
        <v>3.5</v>
      </c>
      <c r="H40" s="1">
        <v>1</v>
      </c>
      <c r="I40" s="1">
        <v>1</v>
      </c>
      <c r="J40" s="1">
        <v>1</v>
      </c>
      <c r="K40" s="1">
        <v>1</v>
      </c>
      <c r="M40" s="1">
        <v>669</v>
      </c>
      <c r="N40" s="1">
        <v>19</v>
      </c>
      <c r="O40" s="1">
        <v>398</v>
      </c>
      <c r="P40" s="1">
        <v>379</v>
      </c>
      <c r="S40" s="1" t="s">
        <v>42</v>
      </c>
      <c r="T40" s="1" t="s">
        <v>51</v>
      </c>
      <c r="U40" s="1">
        <v>146</v>
      </c>
      <c r="V40" s="5">
        <v>44281</v>
      </c>
      <c r="W40" s="5">
        <v>44281</v>
      </c>
      <c r="X40" s="1">
        <v>599000</v>
      </c>
      <c r="AB40" s="1" t="s">
        <v>44</v>
      </c>
      <c r="AF40" s="1">
        <v>10037</v>
      </c>
      <c r="AI40" s="1" t="s">
        <v>48</v>
      </c>
      <c r="AJ40" s="1">
        <v>2018</v>
      </c>
      <c r="AK40" s="1" t="s">
        <v>75</v>
      </c>
      <c r="AL40" s="1">
        <v>64</v>
      </c>
    </row>
    <row r="41" spans="1:38" x14ac:dyDescent="0.2">
      <c r="A41" s="2" t="str">
        <f>HYPERLINK("https://www.compass.com/listing/179-suffolk-street-unit-cf-manhattan-ny-10002/807245576124106145/","179 Suffolk St, Unit CF")</f>
        <v>179 Suffolk St, Unit CF</v>
      </c>
      <c r="B41" s="1" t="s">
        <v>98</v>
      </c>
      <c r="C41" s="1" t="s">
        <v>47</v>
      </c>
      <c r="D41" s="1" t="s">
        <v>41</v>
      </c>
      <c r="E41" s="3">
        <v>2950000</v>
      </c>
      <c r="F41" s="1">
        <v>794.50579046592998</v>
      </c>
      <c r="G41" s="1">
        <v>6</v>
      </c>
      <c r="H41" s="1" t="s">
        <v>99</v>
      </c>
      <c r="I41" s="1">
        <v>3</v>
      </c>
      <c r="J41" s="1">
        <v>2</v>
      </c>
      <c r="K41" s="1">
        <v>1</v>
      </c>
      <c r="L41" s="1">
        <v>2</v>
      </c>
      <c r="M41" s="4">
        <v>3713</v>
      </c>
      <c r="N41" s="1">
        <v>1847.83</v>
      </c>
      <c r="O41" s="1">
        <v>8426.83</v>
      </c>
      <c r="P41" s="1">
        <v>6579</v>
      </c>
      <c r="S41" s="1" t="s">
        <v>100</v>
      </c>
      <c r="T41" s="1" t="s">
        <v>51</v>
      </c>
      <c r="U41" s="1">
        <v>49</v>
      </c>
      <c r="V41" s="5">
        <v>44426</v>
      </c>
      <c r="W41" s="5">
        <v>44378</v>
      </c>
      <c r="X41" s="1">
        <v>3350000</v>
      </c>
      <c r="AB41" s="1" t="s">
        <v>44</v>
      </c>
      <c r="AF41" s="1">
        <v>10002</v>
      </c>
      <c r="AJ41" s="1">
        <v>2011</v>
      </c>
    </row>
    <row r="42" spans="1:38" x14ac:dyDescent="0.2">
      <c r="A42" s="2" t="str">
        <f>HYPERLINK("https://www.compass.com/listing/5-beekman-street-unit-25a-manhattan-ny-10038/754319172858099913/","5 Beekman St, Unit 25A")</f>
        <v>5 Beekman St, Unit 25A</v>
      </c>
      <c r="B42" s="2" t="str">
        <f>HYPERLINK("https://www.compass.com/building/the-beekman-residences-manhattan-ny/282030567363458613/","The Beekman Residences")</f>
        <v>The Beekman Residences</v>
      </c>
      <c r="C42" s="1" t="s">
        <v>96</v>
      </c>
      <c r="D42" s="1" t="s">
        <v>41</v>
      </c>
      <c r="E42" s="3">
        <v>3095000</v>
      </c>
      <c r="F42" s="1">
        <v>1904.61538461538</v>
      </c>
      <c r="G42" s="1">
        <v>4</v>
      </c>
      <c r="H42" s="1">
        <v>2</v>
      </c>
      <c r="I42" s="1">
        <v>3</v>
      </c>
      <c r="J42" s="1">
        <v>2.5</v>
      </c>
      <c r="K42" s="1">
        <v>2</v>
      </c>
      <c r="L42" s="1">
        <v>1</v>
      </c>
      <c r="M42" s="4">
        <v>1625</v>
      </c>
      <c r="N42" s="1">
        <v>3040</v>
      </c>
      <c r="O42" s="1">
        <v>6252</v>
      </c>
      <c r="P42" s="1">
        <v>3212</v>
      </c>
      <c r="S42" s="1" t="s">
        <v>42</v>
      </c>
      <c r="T42" s="1" t="s">
        <v>51</v>
      </c>
      <c r="U42" s="1">
        <v>134</v>
      </c>
      <c r="V42" s="5">
        <v>44421</v>
      </c>
      <c r="W42" s="5">
        <v>44293</v>
      </c>
      <c r="X42" s="1">
        <v>3095000</v>
      </c>
      <c r="AB42" s="1" t="s">
        <v>44</v>
      </c>
      <c r="AF42" s="1">
        <v>10038</v>
      </c>
      <c r="AI42" s="1" t="s">
        <v>101</v>
      </c>
      <c r="AJ42" s="1">
        <v>2015</v>
      </c>
      <c r="AK42" s="1" t="s">
        <v>49</v>
      </c>
      <c r="AL42" s="1">
        <v>67</v>
      </c>
    </row>
    <row r="43" spans="1:38" x14ac:dyDescent="0.2">
      <c r="A43" s="2" t="str">
        <f>HYPERLINK("https://www.compass.com/listing/252-south-street-unit-28d-manhattan-ny-10002/795037546250007697/","252 South St, Unit 28D")</f>
        <v>252 South St, Unit 28D</v>
      </c>
      <c r="B43" s="2" t="str">
        <f>HYPERLINK("https://www.compass.com/building/one-manhattan-square-manhattan-ny/294844950218926165/","One Manhattan Square")</f>
        <v>One Manhattan Square</v>
      </c>
      <c r="C43" s="1" t="s">
        <v>47</v>
      </c>
      <c r="D43" s="1" t="s">
        <v>41</v>
      </c>
      <c r="E43" s="3">
        <v>2495000</v>
      </c>
      <c r="F43" s="1">
        <v>2221.7275155832499</v>
      </c>
      <c r="G43" s="1">
        <v>5</v>
      </c>
      <c r="H43" s="1">
        <v>2</v>
      </c>
      <c r="I43" s="1">
        <v>2</v>
      </c>
      <c r="J43" s="1">
        <v>2</v>
      </c>
      <c r="K43" s="1">
        <v>2</v>
      </c>
      <c r="M43" s="4">
        <v>1123</v>
      </c>
      <c r="N43" s="1">
        <v>1317</v>
      </c>
      <c r="O43" s="1">
        <v>1337.23</v>
      </c>
      <c r="P43" s="1">
        <v>20.25</v>
      </c>
      <c r="S43" s="1" t="s">
        <v>42</v>
      </c>
      <c r="T43" s="1" t="s">
        <v>51</v>
      </c>
      <c r="U43" s="1">
        <v>76</v>
      </c>
      <c r="V43" s="5">
        <v>44350</v>
      </c>
      <c r="W43" s="5">
        <v>44350</v>
      </c>
      <c r="X43" s="1">
        <v>2495000</v>
      </c>
      <c r="AB43" s="1" t="s">
        <v>44</v>
      </c>
      <c r="AF43" s="1">
        <v>10002</v>
      </c>
      <c r="AI43" s="1" t="s">
        <v>102</v>
      </c>
      <c r="AJ43" s="1">
        <v>2019</v>
      </c>
      <c r="AK43" s="1" t="s">
        <v>49</v>
      </c>
      <c r="AL43" s="1">
        <v>787</v>
      </c>
    </row>
    <row r="44" spans="1:38" x14ac:dyDescent="0.2">
      <c r="A44" s="2" t="str">
        <f>HYPERLINK("https://www.compass.com/listing/100-barclay-street-unit-26c-manhattan-ny-10007/847204635285883481/","100 Barclay St, Unit 26C")</f>
        <v>100 Barclay St, Unit 26C</v>
      </c>
      <c r="B44" s="2" t="str">
        <f t="shared" ref="B44:B45" si="4">HYPERLINK("https://www.compass.com/building/100-barclay-manhattan-ny/281896670466155525/","100 Barclay")</f>
        <v>100 Barclay</v>
      </c>
      <c r="C44" s="1" t="s">
        <v>50</v>
      </c>
      <c r="D44" s="1" t="s">
        <v>41</v>
      </c>
      <c r="E44" s="3">
        <v>6350000</v>
      </c>
      <c r="F44" s="1">
        <v>2341.44542772861</v>
      </c>
      <c r="G44" s="1">
        <v>7</v>
      </c>
      <c r="H44" s="1">
        <v>3</v>
      </c>
      <c r="I44" s="1">
        <v>4</v>
      </c>
      <c r="J44" s="1">
        <v>4</v>
      </c>
      <c r="K44" s="1">
        <v>4</v>
      </c>
      <c r="M44" s="4">
        <v>2712</v>
      </c>
      <c r="N44" s="1">
        <v>3910</v>
      </c>
      <c r="O44" s="1">
        <v>8403</v>
      </c>
      <c r="P44" s="1">
        <v>4493</v>
      </c>
      <c r="Q44" s="1" t="s">
        <v>42</v>
      </c>
      <c r="S44" s="1" t="s">
        <v>42</v>
      </c>
      <c r="T44" s="1" t="s">
        <v>51</v>
      </c>
      <c r="U44" s="1">
        <v>7</v>
      </c>
      <c r="V44" s="5">
        <v>44424</v>
      </c>
      <c r="W44" s="5">
        <v>44420</v>
      </c>
      <c r="X44" s="1">
        <v>6350000</v>
      </c>
      <c r="AB44" s="1" t="s">
        <v>44</v>
      </c>
      <c r="AF44" s="1">
        <v>10007</v>
      </c>
      <c r="AI44" s="1" t="s">
        <v>52</v>
      </c>
      <c r="AJ44" s="1">
        <v>1930</v>
      </c>
      <c r="AK44" s="1" t="s">
        <v>46</v>
      </c>
      <c r="AL44" s="1">
        <v>156</v>
      </c>
    </row>
    <row r="45" spans="1:38" x14ac:dyDescent="0.2">
      <c r="A45" s="2" t="str">
        <f>HYPERLINK("https://www.compass.com/listing/100-barclay-street-unit-16d-manhattan-ny-10007/847204283316106561/","100 Barclay St, Unit 16D")</f>
        <v>100 Barclay St, Unit 16D</v>
      </c>
      <c r="B45" s="2" t="str">
        <f t="shared" si="4"/>
        <v>100 Barclay</v>
      </c>
      <c r="C45" s="1" t="s">
        <v>50</v>
      </c>
      <c r="D45" s="1" t="s">
        <v>41</v>
      </c>
      <c r="E45" s="3">
        <v>5995000</v>
      </c>
      <c r="F45" s="1">
        <v>2035.6536502546601</v>
      </c>
      <c r="G45" s="1">
        <v>8</v>
      </c>
      <c r="H45" s="1">
        <v>4</v>
      </c>
      <c r="I45" s="1">
        <v>5</v>
      </c>
      <c r="J45" s="1">
        <v>5</v>
      </c>
      <c r="K45" s="1">
        <v>5</v>
      </c>
      <c r="M45" s="4">
        <v>2945</v>
      </c>
      <c r="N45" s="1">
        <v>4300</v>
      </c>
      <c r="O45" s="1">
        <v>9234</v>
      </c>
      <c r="P45" s="1">
        <v>4934</v>
      </c>
      <c r="Q45" s="1" t="s">
        <v>42</v>
      </c>
      <c r="S45" s="1" t="s">
        <v>42</v>
      </c>
      <c r="T45" s="1" t="s">
        <v>51</v>
      </c>
      <c r="U45" s="1">
        <v>7</v>
      </c>
      <c r="V45" s="5">
        <v>44424</v>
      </c>
      <c r="W45" s="5">
        <v>44420</v>
      </c>
      <c r="X45" s="1">
        <v>5995000</v>
      </c>
      <c r="AB45" s="1" t="s">
        <v>44</v>
      </c>
      <c r="AF45" s="1">
        <v>10007</v>
      </c>
      <c r="AI45" s="1" t="s">
        <v>103</v>
      </c>
      <c r="AJ45" s="1">
        <v>1930</v>
      </c>
      <c r="AK45" s="1" t="s">
        <v>46</v>
      </c>
      <c r="AL45" s="1">
        <v>156</v>
      </c>
    </row>
    <row r="46" spans="1:38" x14ac:dyDescent="0.2">
      <c r="A46" s="2" t="str">
        <f>HYPERLINK("https://www.compass.com/listing/7-harrison-street-unit-2n-manhattan-ny-10013/851749068603095857/","7 Harrison St, Unit 2N")</f>
        <v>7 Harrison St, Unit 2N</v>
      </c>
      <c r="B46" s="2" t="str">
        <f>HYPERLINK("https://www.compass.com/building/7-harrison-st-manhattan-ny-10013/281921095324439429/","7 Harrison St")</f>
        <v>7 Harrison St</v>
      </c>
      <c r="C46" s="1" t="s">
        <v>50</v>
      </c>
      <c r="D46" s="1" t="s">
        <v>41</v>
      </c>
      <c r="E46" s="3">
        <v>6500000</v>
      </c>
      <c r="F46" s="1">
        <v>2947.8458049886599</v>
      </c>
      <c r="G46" s="1">
        <v>4</v>
      </c>
      <c r="H46" s="1">
        <v>3</v>
      </c>
      <c r="J46" s="1">
        <v>3</v>
      </c>
      <c r="M46" s="4">
        <v>2205</v>
      </c>
      <c r="N46" s="1">
        <v>3656</v>
      </c>
      <c r="O46" s="1">
        <v>6991</v>
      </c>
      <c r="P46" s="1">
        <v>3335</v>
      </c>
      <c r="S46" s="1" t="s">
        <v>42</v>
      </c>
      <c r="T46" s="1" t="s">
        <v>51</v>
      </c>
      <c r="V46" s="5">
        <v>44427</v>
      </c>
      <c r="W46" s="5">
        <v>44426</v>
      </c>
      <c r="X46" s="1">
        <v>6500000</v>
      </c>
      <c r="AB46" s="1" t="s">
        <v>44</v>
      </c>
      <c r="AD46" s="1" t="s">
        <v>104</v>
      </c>
      <c r="AE46" s="1" t="s">
        <v>87</v>
      </c>
      <c r="AF46" s="1">
        <v>10013</v>
      </c>
      <c r="AJ46" s="1">
        <v>1900</v>
      </c>
      <c r="AK46" s="1" t="s">
        <v>55</v>
      </c>
      <c r="AL46" s="1">
        <v>12</v>
      </c>
    </row>
    <row r="47" spans="1:38" x14ac:dyDescent="0.2">
      <c r="A47" s="2" t="str">
        <f>HYPERLINK("https://www.compass.com/listing/70-charlton-street-unit-17e-manhattan-ny-10014/849283686632438697/","70 Charlton St, Unit 17E")</f>
        <v>70 Charlton St, Unit 17E</v>
      </c>
      <c r="B47" s="2" t="str">
        <f>HYPERLINK("https://www.compass.com/building/70-charlton-street-manhattan-ny/292835639240484293/","70 Charlton Street")</f>
        <v>70 Charlton Street</v>
      </c>
      <c r="C47" s="1" t="s">
        <v>53</v>
      </c>
      <c r="D47" s="1" t="s">
        <v>41</v>
      </c>
      <c r="E47" s="3">
        <v>4400000</v>
      </c>
      <c r="F47" s="1">
        <v>1953.8188277086999</v>
      </c>
      <c r="G47" s="1">
        <v>6</v>
      </c>
      <c r="H47" s="1">
        <v>4</v>
      </c>
      <c r="I47" s="1">
        <v>5</v>
      </c>
      <c r="J47" s="1">
        <v>4.5</v>
      </c>
      <c r="K47" s="1">
        <v>4</v>
      </c>
      <c r="L47" s="1">
        <v>1</v>
      </c>
      <c r="M47" s="4">
        <v>2252</v>
      </c>
      <c r="N47" s="1">
        <v>5371</v>
      </c>
      <c r="O47" s="1">
        <v>5371</v>
      </c>
      <c r="Q47" s="1" t="s">
        <v>105</v>
      </c>
      <c r="S47" s="1" t="s">
        <v>105</v>
      </c>
      <c r="T47" s="1" t="s">
        <v>51</v>
      </c>
      <c r="U47" s="1">
        <v>3</v>
      </c>
      <c r="V47" s="5">
        <v>44424</v>
      </c>
      <c r="W47" s="5">
        <v>44424</v>
      </c>
      <c r="X47" s="1">
        <v>4400000</v>
      </c>
      <c r="AB47" s="1" t="s">
        <v>44</v>
      </c>
      <c r="AF47" s="1">
        <v>10014</v>
      </c>
      <c r="AI47" s="1" t="s">
        <v>80</v>
      </c>
      <c r="AJ47" s="1">
        <v>2016</v>
      </c>
      <c r="AK47" s="1" t="s">
        <v>46</v>
      </c>
      <c r="AL47" s="1">
        <v>92</v>
      </c>
    </row>
    <row r="48" spans="1:38" x14ac:dyDescent="0.2">
      <c r="A48" s="2" t="str">
        <f>HYPERLINK("https://www.compass.com/listing/121-east-22nd-street-unit-n907-manhattan-ny-10010/839057059188740697/","121 E 22nd St, Unit N907")</f>
        <v>121 E 22nd St, Unit N907</v>
      </c>
      <c r="B48" s="2" t="str">
        <f>HYPERLINK("https://www.compass.com/building/121-e-22nd-manhattan-ny/292795784653461493/","121 E 22nd")</f>
        <v>121 E 22nd</v>
      </c>
      <c r="C48" s="1" t="s">
        <v>64</v>
      </c>
      <c r="D48" s="1" t="s">
        <v>41</v>
      </c>
      <c r="E48" s="3">
        <v>3710000</v>
      </c>
      <c r="F48" s="1">
        <v>2173.4036321030999</v>
      </c>
      <c r="G48" s="1">
        <v>4</v>
      </c>
      <c r="H48" s="1">
        <v>2</v>
      </c>
      <c r="I48" s="1">
        <v>3</v>
      </c>
      <c r="J48" s="1">
        <v>2.5</v>
      </c>
      <c r="K48" s="1">
        <v>2</v>
      </c>
      <c r="L48" s="1">
        <v>1</v>
      </c>
      <c r="M48" s="4">
        <v>1707</v>
      </c>
      <c r="N48" s="1">
        <v>1764</v>
      </c>
      <c r="O48" s="1">
        <v>5063</v>
      </c>
      <c r="P48" s="1">
        <v>3299</v>
      </c>
      <c r="Q48" s="1" t="s">
        <v>42</v>
      </c>
      <c r="S48" s="1" t="s">
        <v>42</v>
      </c>
      <c r="T48" s="1" t="s">
        <v>51</v>
      </c>
      <c r="U48" s="1">
        <v>17</v>
      </c>
      <c r="V48" s="5">
        <v>44419</v>
      </c>
      <c r="W48" s="5">
        <v>44410</v>
      </c>
      <c r="X48" s="1">
        <v>3710000</v>
      </c>
      <c r="AB48" s="1" t="s">
        <v>44</v>
      </c>
      <c r="AF48" s="1">
        <v>10010</v>
      </c>
      <c r="AI48" s="1" t="s">
        <v>106</v>
      </c>
      <c r="AJ48" s="1">
        <v>2016</v>
      </c>
      <c r="AK48" s="1" t="s">
        <v>46</v>
      </c>
      <c r="AL48" s="1">
        <v>140</v>
      </c>
    </row>
    <row r="49" spans="1:38" x14ac:dyDescent="0.2">
      <c r="A49" s="2" t="str">
        <f>HYPERLINK("https://www.compass.com/listing/111-murray-street-unit-36w-manhattan-ny-10007/839779979627911713/","111 Murray St, Unit 36W")</f>
        <v>111 Murray St, Unit 36W</v>
      </c>
      <c r="B49" s="2" t="str">
        <f>HYPERLINK("https://www.compass.com/building/111-murray-st-manhattan-ny-10007/281896511862746053/","111 Murray St")</f>
        <v>111 Murray St</v>
      </c>
      <c r="C49" s="1" t="s">
        <v>50</v>
      </c>
      <c r="D49" s="1" t="s">
        <v>41</v>
      </c>
      <c r="E49" s="3">
        <v>6995000</v>
      </c>
      <c r="F49" s="1">
        <v>3067.9824561403502</v>
      </c>
      <c r="G49" s="1">
        <v>5</v>
      </c>
      <c r="H49" s="1">
        <v>3</v>
      </c>
      <c r="I49" s="1">
        <v>4</v>
      </c>
      <c r="J49" s="1">
        <v>3.5</v>
      </c>
      <c r="K49" s="1">
        <v>3</v>
      </c>
      <c r="L49" s="1">
        <v>1</v>
      </c>
      <c r="M49" s="4">
        <v>2280</v>
      </c>
      <c r="N49" s="1">
        <v>2973</v>
      </c>
      <c r="O49" s="1">
        <v>7087</v>
      </c>
      <c r="P49" s="1">
        <v>4114</v>
      </c>
      <c r="Q49" s="1" t="s">
        <v>42</v>
      </c>
      <c r="S49" s="1" t="s">
        <v>42</v>
      </c>
      <c r="T49" s="1" t="s">
        <v>51</v>
      </c>
      <c r="U49" s="1">
        <v>17</v>
      </c>
      <c r="V49" s="5">
        <v>44425</v>
      </c>
      <c r="W49" s="5">
        <v>44410</v>
      </c>
      <c r="X49" s="1">
        <v>6995000</v>
      </c>
      <c r="AB49" s="1" t="s">
        <v>44</v>
      </c>
      <c r="AF49" s="1">
        <v>10007</v>
      </c>
      <c r="AI49" s="1" t="s">
        <v>107</v>
      </c>
      <c r="AJ49" s="1">
        <v>2018</v>
      </c>
      <c r="AK49" s="1" t="s">
        <v>49</v>
      </c>
      <c r="AL49" s="1">
        <v>157</v>
      </c>
    </row>
    <row r="50" spans="1:38" x14ac:dyDescent="0.2">
      <c r="A50" s="2" t="str">
        <f>HYPERLINK("https://www.compass.com/listing/20-east-end-avenue-unit-4c-manhattan-ny-10028/848759993754562593/","20 E End Ave, Unit 4C")</f>
        <v>20 E End Ave, Unit 4C</v>
      </c>
      <c r="B50" s="2" t="str">
        <f>HYPERLINK("https://www.compass.com/building/20-e-end-ave-manhattan-ny-10028/281985490498985157/","20 E End Ave")</f>
        <v>20 E End Ave</v>
      </c>
      <c r="C50" s="1" t="s">
        <v>82</v>
      </c>
      <c r="D50" s="1" t="s">
        <v>41</v>
      </c>
      <c r="E50" s="3">
        <v>4750000</v>
      </c>
      <c r="F50" s="1">
        <v>2483.0109775222099</v>
      </c>
      <c r="G50" s="1">
        <v>5</v>
      </c>
      <c r="H50" s="1">
        <v>2</v>
      </c>
      <c r="I50" s="1">
        <v>3</v>
      </c>
      <c r="J50" s="1">
        <v>2.5</v>
      </c>
      <c r="K50" s="1">
        <v>2</v>
      </c>
      <c r="L50" s="1">
        <v>1</v>
      </c>
      <c r="M50" s="4">
        <v>1913</v>
      </c>
      <c r="N50" s="1">
        <v>2748</v>
      </c>
      <c r="O50" s="1">
        <v>6187</v>
      </c>
      <c r="P50" s="1">
        <v>3439</v>
      </c>
      <c r="Q50" s="1" t="s">
        <v>42</v>
      </c>
      <c r="S50" s="1" t="s">
        <v>42</v>
      </c>
      <c r="T50" s="1" t="s">
        <v>51</v>
      </c>
      <c r="U50" s="1">
        <v>4</v>
      </c>
      <c r="V50" s="5">
        <v>44424</v>
      </c>
      <c r="W50" s="5">
        <v>44423</v>
      </c>
      <c r="X50" s="1">
        <v>4750000</v>
      </c>
      <c r="AB50" s="1" t="s">
        <v>44</v>
      </c>
      <c r="AF50" s="1">
        <v>10028</v>
      </c>
      <c r="AJ50" s="1">
        <v>2017</v>
      </c>
      <c r="AK50" s="1" t="s">
        <v>46</v>
      </c>
      <c r="AL50" s="1">
        <v>41</v>
      </c>
    </row>
    <row r="51" spans="1:38" x14ac:dyDescent="0.2">
      <c r="A51" s="2" t="str">
        <f>HYPERLINK("https://www.compass.com/listing/15-west-61st-street-unit-5f-manhattan-ny-10023/845592276317508289/","15 W 61st St, Unit 5F")</f>
        <v>15 W 61st St, Unit 5F</v>
      </c>
      <c r="B51" s="2" t="str">
        <f>HYPERLINK("https://www.compass.com/building/the-park-loggia-manhattan-ny/292861833130357557/","The Park Loggia")</f>
        <v>The Park Loggia</v>
      </c>
      <c r="C51" s="1" t="s">
        <v>57</v>
      </c>
      <c r="D51" s="1" t="s">
        <v>41</v>
      </c>
      <c r="E51" s="3">
        <v>1620000</v>
      </c>
      <c r="F51" s="1">
        <v>2334.2939481267999</v>
      </c>
      <c r="G51" s="1">
        <v>3</v>
      </c>
      <c r="H51" s="1">
        <v>1</v>
      </c>
      <c r="I51" s="1">
        <v>1</v>
      </c>
      <c r="J51" s="1">
        <v>1</v>
      </c>
      <c r="K51" s="1">
        <v>1</v>
      </c>
      <c r="M51" s="1">
        <v>694</v>
      </c>
      <c r="N51" s="1">
        <v>705</v>
      </c>
      <c r="O51" s="1">
        <v>1414</v>
      </c>
      <c r="P51" s="1">
        <v>709</v>
      </c>
      <c r="Q51" s="1" t="s">
        <v>42</v>
      </c>
      <c r="S51" s="1" t="s">
        <v>42</v>
      </c>
      <c r="T51" s="1" t="s">
        <v>51</v>
      </c>
      <c r="U51" s="1">
        <v>9</v>
      </c>
      <c r="V51" s="5">
        <v>44419</v>
      </c>
      <c r="W51" s="5">
        <v>44418</v>
      </c>
      <c r="X51" s="1">
        <v>1620000</v>
      </c>
      <c r="AB51" s="1" t="s">
        <v>44</v>
      </c>
      <c r="AF51" s="1">
        <v>10023</v>
      </c>
      <c r="AI51" s="1" t="s">
        <v>65</v>
      </c>
      <c r="AJ51" s="1">
        <v>2019</v>
      </c>
      <c r="AK51" s="1" t="s">
        <v>108</v>
      </c>
      <c r="AL51" s="1">
        <v>172</v>
      </c>
    </row>
    <row r="52" spans="1:38" x14ac:dyDescent="0.2">
      <c r="A52" s="2" t="str">
        <f>HYPERLINK("https://www.compass.com/listing/121-east-22nd-street-unit-n1101-manhattan-ny-10010/836131399453731001/","121 E 22nd St, Unit N1101")</f>
        <v>121 E 22nd St, Unit N1101</v>
      </c>
      <c r="B52" s="2" t="str">
        <f>HYPERLINK("https://www.compass.com/building/121-e-22nd-manhattan-ny/292795784653461493/","121 E 22nd")</f>
        <v>121 E 22nd</v>
      </c>
      <c r="C52" s="1" t="s">
        <v>64</v>
      </c>
      <c r="D52" s="1" t="s">
        <v>41</v>
      </c>
      <c r="E52" s="3">
        <v>2805000</v>
      </c>
      <c r="F52" s="1">
        <v>2073.1707317073101</v>
      </c>
      <c r="G52" s="1">
        <v>3.5</v>
      </c>
      <c r="H52" s="1">
        <v>2</v>
      </c>
      <c r="I52" s="1">
        <v>3</v>
      </c>
      <c r="J52" s="1">
        <v>2.5</v>
      </c>
      <c r="K52" s="1">
        <v>2</v>
      </c>
      <c r="L52" s="1">
        <v>1</v>
      </c>
      <c r="M52" s="4">
        <v>1353</v>
      </c>
      <c r="N52" s="1">
        <v>1501</v>
      </c>
      <c r="O52" s="1">
        <v>4324</v>
      </c>
      <c r="P52" s="1">
        <v>2823</v>
      </c>
      <c r="Q52" s="1" t="s">
        <v>42</v>
      </c>
      <c r="S52" s="1" t="s">
        <v>42</v>
      </c>
      <c r="T52" s="1" t="s">
        <v>51</v>
      </c>
      <c r="U52" s="1">
        <v>21</v>
      </c>
      <c r="V52" s="5">
        <v>44412</v>
      </c>
      <c r="W52" s="5">
        <v>44405</v>
      </c>
      <c r="X52" s="1">
        <v>3005000</v>
      </c>
      <c r="AB52" s="1" t="s">
        <v>44</v>
      </c>
      <c r="AF52" s="1">
        <v>10010</v>
      </c>
      <c r="AI52" s="1" t="s">
        <v>109</v>
      </c>
      <c r="AJ52" s="1">
        <v>2016</v>
      </c>
      <c r="AK52" s="1" t="s">
        <v>46</v>
      </c>
      <c r="AL52" s="1">
        <v>140</v>
      </c>
    </row>
    <row r="53" spans="1:38" x14ac:dyDescent="0.2">
      <c r="A53" s="2" t="str">
        <f>HYPERLINK("https://www.compass.com/listing/15-west-61st-street-unit-4d-manhattan-ny-10023/845575166975477281/","15 W 61st St, Unit 4D")</f>
        <v>15 W 61st St, Unit 4D</v>
      </c>
      <c r="B53" s="2" t="str">
        <f>HYPERLINK("https://www.compass.com/building/the-park-loggia-manhattan-ny/292861833130357557/","The Park Loggia")</f>
        <v>The Park Loggia</v>
      </c>
      <c r="C53" s="1" t="s">
        <v>57</v>
      </c>
      <c r="D53" s="1" t="s">
        <v>41</v>
      </c>
      <c r="E53" s="3">
        <v>1200000</v>
      </c>
      <c r="F53" s="1">
        <v>1826.48401826484</v>
      </c>
      <c r="G53" s="1">
        <v>2</v>
      </c>
      <c r="H53" s="1" t="s">
        <v>99</v>
      </c>
      <c r="I53" s="1">
        <v>1</v>
      </c>
      <c r="J53" s="1">
        <v>1</v>
      </c>
      <c r="K53" s="1">
        <v>1</v>
      </c>
      <c r="M53" s="1">
        <v>657</v>
      </c>
      <c r="N53" s="1">
        <v>667</v>
      </c>
      <c r="O53" s="1">
        <v>1338</v>
      </c>
      <c r="P53" s="1">
        <v>671</v>
      </c>
      <c r="Q53" s="1" t="s">
        <v>42</v>
      </c>
      <c r="S53" s="1" t="s">
        <v>42</v>
      </c>
      <c r="T53" s="1" t="s">
        <v>51</v>
      </c>
      <c r="U53" s="1">
        <v>9</v>
      </c>
      <c r="V53" s="5">
        <v>44419</v>
      </c>
      <c r="W53" s="5">
        <v>44418</v>
      </c>
      <c r="X53" s="1">
        <v>1200000</v>
      </c>
      <c r="AB53" s="1" t="s">
        <v>44</v>
      </c>
      <c r="AF53" s="1">
        <v>10023</v>
      </c>
      <c r="AI53" s="1" t="s">
        <v>65</v>
      </c>
      <c r="AJ53" s="1">
        <v>2019</v>
      </c>
      <c r="AK53" s="1" t="s">
        <v>108</v>
      </c>
      <c r="AL53" s="1">
        <v>172</v>
      </c>
    </row>
    <row r="54" spans="1:38" x14ac:dyDescent="0.2">
      <c r="A54" s="2" t="str">
        <f>HYPERLINK("https://www.compass.com/listing/355-east-19th-street-unit-3-manhattan-ny-10003/840577752455897225/","355 E 19th St, Unit 3")</f>
        <v>355 E 19th St, Unit 3</v>
      </c>
      <c r="B54" s="2" t="str">
        <f>HYPERLINK("https://www.compass.com/building/355-e-19th-st-manhattan-ny-10003/281893275755879157/","355 E 19th St")</f>
        <v>355 E 19th St</v>
      </c>
      <c r="C54" s="1" t="s">
        <v>64</v>
      </c>
      <c r="D54" s="1" t="s">
        <v>41</v>
      </c>
      <c r="E54" s="3">
        <v>2750000</v>
      </c>
      <c r="F54" s="1">
        <v>1368.84021901443</v>
      </c>
      <c r="G54" s="1">
        <v>6</v>
      </c>
      <c r="H54" s="1">
        <v>3</v>
      </c>
      <c r="I54" s="1">
        <v>3</v>
      </c>
      <c r="J54" s="1">
        <v>2.5</v>
      </c>
      <c r="K54" s="1">
        <v>2</v>
      </c>
      <c r="L54" s="1">
        <v>1</v>
      </c>
      <c r="M54" s="4">
        <v>2009</v>
      </c>
      <c r="N54" s="1">
        <v>640</v>
      </c>
      <c r="O54" s="1">
        <v>3090</v>
      </c>
      <c r="P54" s="1">
        <v>2450</v>
      </c>
      <c r="Q54" s="1" t="s">
        <v>42</v>
      </c>
      <c r="S54" s="1" t="s">
        <v>42</v>
      </c>
      <c r="T54" s="1" t="s">
        <v>51</v>
      </c>
      <c r="U54" s="1">
        <v>15</v>
      </c>
      <c r="V54" s="5">
        <v>44425</v>
      </c>
      <c r="W54" s="5">
        <v>44412</v>
      </c>
      <c r="X54" s="1">
        <v>2750000</v>
      </c>
      <c r="AB54" s="1" t="s">
        <v>44</v>
      </c>
      <c r="AF54" s="1">
        <v>10003</v>
      </c>
      <c r="AI54" s="1" t="s">
        <v>110</v>
      </c>
      <c r="AJ54" s="1">
        <v>2015</v>
      </c>
      <c r="AL54" s="1">
        <v>7</v>
      </c>
    </row>
    <row r="55" spans="1:38" x14ac:dyDescent="0.2">
      <c r="A55" s="2" t="str">
        <f>HYPERLINK("https://www.compass.com/listing/121-east-22nd-street-unit-n908-manhattan-ny-10010/831042214967423401/","121 E 22nd St, Unit N908")</f>
        <v>121 E 22nd St, Unit N908</v>
      </c>
      <c r="B55" s="2" t="str">
        <f>HYPERLINK("https://www.compass.com/building/121-e-22nd-manhattan-ny/292795784653461493/","121 E 22nd")</f>
        <v>121 E 22nd</v>
      </c>
      <c r="C55" s="1" t="s">
        <v>64</v>
      </c>
      <c r="D55" s="1" t="s">
        <v>41</v>
      </c>
      <c r="E55" s="3">
        <v>3055000</v>
      </c>
      <c r="F55" s="1">
        <v>2179.0299572039899</v>
      </c>
      <c r="G55" s="1">
        <v>3</v>
      </c>
      <c r="H55" s="1">
        <v>2</v>
      </c>
      <c r="I55" s="1">
        <v>2</v>
      </c>
      <c r="J55" s="1">
        <v>2</v>
      </c>
      <c r="K55" s="1">
        <v>2</v>
      </c>
      <c r="M55" s="4">
        <v>1402</v>
      </c>
      <c r="N55" s="1">
        <v>1548</v>
      </c>
      <c r="O55" s="1">
        <v>4457</v>
      </c>
      <c r="P55" s="1">
        <v>2909</v>
      </c>
      <c r="Q55" s="1" t="s">
        <v>42</v>
      </c>
      <c r="S55" s="1" t="s">
        <v>42</v>
      </c>
      <c r="T55" s="1" t="s">
        <v>51</v>
      </c>
      <c r="U55" s="1">
        <v>28</v>
      </c>
      <c r="V55" s="5">
        <v>44412</v>
      </c>
      <c r="W55" s="5">
        <v>44398</v>
      </c>
      <c r="X55" s="1">
        <v>3055000</v>
      </c>
      <c r="AB55" s="1" t="s">
        <v>44</v>
      </c>
      <c r="AF55" s="1">
        <v>10010</v>
      </c>
      <c r="AI55" s="1" t="s">
        <v>109</v>
      </c>
      <c r="AJ55" s="1">
        <v>2016</v>
      </c>
      <c r="AK55" s="1" t="s">
        <v>46</v>
      </c>
      <c r="AL55" s="1">
        <v>140</v>
      </c>
    </row>
    <row r="56" spans="1:38" x14ac:dyDescent="0.2">
      <c r="A56" s="2" t="str">
        <f>HYPERLINK("https://www.compass.com/listing/221-west-77th-street-unit-7e-manhattan-ny-10024/836464544204172889/","221 W 77th St, Unit 7E")</f>
        <v>221 W 77th St, Unit 7E</v>
      </c>
      <c r="B56" s="2" t="str">
        <f>HYPERLINK("https://www.compass.com/building/221-west-77th-street-manhattan-ny/292869344491294229/","221 West 77th Street")</f>
        <v>221 West 77th Street</v>
      </c>
      <c r="C56" s="1" t="s">
        <v>57</v>
      </c>
      <c r="D56" s="1" t="s">
        <v>41</v>
      </c>
      <c r="E56" s="3">
        <v>3750000</v>
      </c>
      <c r="F56" s="1">
        <v>2161.3832853025901</v>
      </c>
      <c r="G56" s="1">
        <v>4</v>
      </c>
      <c r="H56" s="1">
        <v>2</v>
      </c>
      <c r="I56" s="1">
        <v>3</v>
      </c>
      <c r="J56" s="1">
        <v>2.5</v>
      </c>
      <c r="K56" s="1">
        <v>2</v>
      </c>
      <c r="L56" s="1">
        <v>1</v>
      </c>
      <c r="M56" s="4">
        <v>1735</v>
      </c>
      <c r="N56" s="1">
        <v>1998</v>
      </c>
      <c r="O56" s="1">
        <v>7493</v>
      </c>
      <c r="P56" s="1">
        <v>5495</v>
      </c>
      <c r="Q56" s="1" t="s">
        <v>42</v>
      </c>
      <c r="S56" s="1" t="s">
        <v>42</v>
      </c>
      <c r="T56" s="1" t="s">
        <v>51</v>
      </c>
      <c r="U56" s="1">
        <v>22</v>
      </c>
      <c r="V56" s="5">
        <v>44412</v>
      </c>
      <c r="W56" s="5">
        <v>44405</v>
      </c>
      <c r="X56" s="1">
        <v>3750000</v>
      </c>
      <c r="AB56" s="1" t="s">
        <v>44</v>
      </c>
      <c r="AF56" s="1">
        <v>10024</v>
      </c>
      <c r="AI56" s="1" t="s">
        <v>111</v>
      </c>
      <c r="AJ56" s="1">
        <v>2017</v>
      </c>
      <c r="AK56" s="1" t="s">
        <v>55</v>
      </c>
      <c r="AL56" s="1">
        <v>26</v>
      </c>
    </row>
    <row r="57" spans="1:38" x14ac:dyDescent="0.2">
      <c r="A57" s="2" t="str">
        <f>HYPERLINK("https://www.compass.com/listing/121-east-22nd-street-unit-s501-manhattan-ny-10010/829738639306773201/","121 E 22nd St, Unit S501")</f>
        <v>121 E 22nd St, Unit S501</v>
      </c>
      <c r="B57" s="2" t="str">
        <f>HYPERLINK("https://www.compass.com/building/121-e-22nd-manhattan-ny/292795784653461493/","121 E 22nd")</f>
        <v>121 E 22nd</v>
      </c>
      <c r="C57" s="1" t="s">
        <v>64</v>
      </c>
      <c r="D57" s="1" t="s">
        <v>41</v>
      </c>
      <c r="E57" s="3">
        <v>3435000</v>
      </c>
      <c r="F57" s="1">
        <v>2100.9174311926599</v>
      </c>
      <c r="G57" s="1">
        <v>4</v>
      </c>
      <c r="H57" s="1">
        <v>2</v>
      </c>
      <c r="I57" s="1">
        <v>3</v>
      </c>
      <c r="J57" s="1">
        <v>2.5</v>
      </c>
      <c r="K57" s="1">
        <v>2</v>
      </c>
      <c r="L57" s="1">
        <v>1</v>
      </c>
      <c r="M57" s="4">
        <v>1635</v>
      </c>
      <c r="N57" s="1">
        <v>1685</v>
      </c>
      <c r="O57" s="1">
        <v>4837</v>
      </c>
      <c r="P57" s="1">
        <v>3152</v>
      </c>
      <c r="Q57" s="1" t="s">
        <v>42</v>
      </c>
      <c r="S57" s="1" t="s">
        <v>42</v>
      </c>
      <c r="T57" s="1" t="s">
        <v>51</v>
      </c>
      <c r="U57" s="1">
        <v>30</v>
      </c>
      <c r="V57" s="5">
        <v>44411</v>
      </c>
      <c r="W57" s="5">
        <v>44397</v>
      </c>
      <c r="X57" s="1">
        <v>3435000</v>
      </c>
      <c r="AB57" s="1" t="s">
        <v>44</v>
      </c>
      <c r="AF57" s="1">
        <v>10010</v>
      </c>
      <c r="AI57" s="1" t="s">
        <v>109</v>
      </c>
      <c r="AJ57" s="1">
        <v>2016</v>
      </c>
      <c r="AK57" s="1" t="s">
        <v>46</v>
      </c>
      <c r="AL57" s="1">
        <v>140</v>
      </c>
    </row>
    <row r="58" spans="1:38" x14ac:dyDescent="0.2">
      <c r="A58" s="2" t="str">
        <f>HYPERLINK("https://www.compass.com/listing/565-broome-street-unit-s12e-manhattan-ny-10013/839935540382929801/","565 Broome St, Unit S12E")</f>
        <v>565 Broome St, Unit S12E</v>
      </c>
      <c r="B58" s="2" t="str">
        <f t="shared" ref="B58:B59" si="5">HYPERLINK("https://www.compass.com/building/565-broome-soho-manhattan-ny/292813251698267109/","565 Broome Soho")</f>
        <v>565 Broome Soho</v>
      </c>
      <c r="C58" s="1" t="s">
        <v>53</v>
      </c>
      <c r="D58" s="1" t="s">
        <v>41</v>
      </c>
      <c r="E58" s="3">
        <v>5900000</v>
      </c>
      <c r="F58" s="1">
        <v>2562.9887054735</v>
      </c>
      <c r="G58" s="1">
        <v>4.5</v>
      </c>
      <c r="H58" s="1">
        <v>3</v>
      </c>
      <c r="I58" s="1">
        <v>4</v>
      </c>
      <c r="J58" s="1">
        <v>3.5</v>
      </c>
      <c r="K58" s="1">
        <v>3</v>
      </c>
      <c r="L58" s="1">
        <v>1</v>
      </c>
      <c r="M58" s="4">
        <v>2302</v>
      </c>
      <c r="N58" s="1">
        <v>3445</v>
      </c>
      <c r="O58" s="1">
        <v>6498</v>
      </c>
      <c r="P58" s="1">
        <v>3053</v>
      </c>
      <c r="Q58" s="1" t="s">
        <v>42</v>
      </c>
      <c r="S58" s="1" t="s">
        <v>42</v>
      </c>
      <c r="T58" s="1" t="s">
        <v>51</v>
      </c>
      <c r="U58" s="1">
        <v>17</v>
      </c>
      <c r="V58" s="5">
        <v>44412</v>
      </c>
      <c r="W58" s="5">
        <v>44410</v>
      </c>
      <c r="X58" s="1">
        <v>5900000</v>
      </c>
      <c r="AB58" s="1" t="s">
        <v>44</v>
      </c>
      <c r="AF58" s="1">
        <v>10013</v>
      </c>
      <c r="AI58" s="1" t="s">
        <v>48</v>
      </c>
      <c r="AJ58" s="1">
        <v>2019</v>
      </c>
      <c r="AK58" s="1" t="s">
        <v>46</v>
      </c>
      <c r="AL58" s="1">
        <v>115</v>
      </c>
    </row>
    <row r="59" spans="1:38" x14ac:dyDescent="0.2">
      <c r="A59" s="2" t="str">
        <f>HYPERLINK("https://www.compass.com/listing/565-broome-street-unit-s18b-manhattan-ny-10013/840542484172783705/","565 Broome St, Unit S18B")</f>
        <v>565 Broome St, Unit S18B</v>
      </c>
      <c r="B59" s="2" t="str">
        <f t="shared" si="5"/>
        <v>565 Broome Soho</v>
      </c>
      <c r="C59" s="1" t="s">
        <v>53</v>
      </c>
      <c r="D59" s="1" t="s">
        <v>41</v>
      </c>
      <c r="E59" s="3">
        <v>6350000</v>
      </c>
      <c r="F59" s="1">
        <v>2646.9362234264199</v>
      </c>
      <c r="G59" s="1">
        <v>4.5</v>
      </c>
      <c r="H59" s="1">
        <v>3</v>
      </c>
      <c r="I59" s="1">
        <v>4</v>
      </c>
      <c r="J59" s="1">
        <v>3.5</v>
      </c>
      <c r="K59" s="1">
        <v>3</v>
      </c>
      <c r="L59" s="1">
        <v>1</v>
      </c>
      <c r="M59" s="4">
        <v>2399</v>
      </c>
      <c r="N59" s="1">
        <v>3659</v>
      </c>
      <c r="O59" s="1">
        <v>6902</v>
      </c>
      <c r="P59" s="1">
        <v>3243</v>
      </c>
      <c r="Q59" s="1" t="s">
        <v>42</v>
      </c>
      <c r="S59" s="1" t="s">
        <v>42</v>
      </c>
      <c r="T59" s="1" t="s">
        <v>51</v>
      </c>
      <c r="U59" s="1">
        <v>17</v>
      </c>
      <c r="V59" s="5">
        <v>44412</v>
      </c>
      <c r="W59" s="5">
        <v>44410</v>
      </c>
      <c r="X59" s="1">
        <v>6350000</v>
      </c>
      <c r="AB59" s="1" t="s">
        <v>44</v>
      </c>
      <c r="AF59" s="1">
        <v>10013</v>
      </c>
      <c r="AI59" s="1" t="s">
        <v>48</v>
      </c>
      <c r="AJ59" s="1">
        <v>2019</v>
      </c>
      <c r="AK59" s="1" t="s">
        <v>46</v>
      </c>
      <c r="AL59" s="1">
        <v>115</v>
      </c>
    </row>
    <row r="60" spans="1:38" x14ac:dyDescent="0.2">
      <c r="A60" s="2" t="str">
        <f>HYPERLINK("https://www.compass.com/listing/514-west-24th-street-unit-8-manhattan-ny-10011/820412812208926689/","514 W 24th St, Unit 8")</f>
        <v>514 W 24th St, Unit 8</v>
      </c>
      <c r="B60" s="2" t="str">
        <f>HYPERLINK("https://www.compass.com/building/the-fitzroy-manhattan-ny/281911423242627685/","The Fitzroy")</f>
        <v>The Fitzroy</v>
      </c>
      <c r="C60" s="1" t="s">
        <v>62</v>
      </c>
      <c r="D60" s="1" t="s">
        <v>41</v>
      </c>
      <c r="E60" s="3">
        <v>16000000</v>
      </c>
      <c r="F60" s="1">
        <v>3546.0992907801401</v>
      </c>
      <c r="G60" s="1">
        <v>8</v>
      </c>
      <c r="H60" s="1">
        <v>4</v>
      </c>
      <c r="I60" s="1">
        <v>6</v>
      </c>
      <c r="J60" s="1">
        <v>5.5</v>
      </c>
      <c r="K60" s="1">
        <v>5</v>
      </c>
      <c r="L60" s="1">
        <v>1</v>
      </c>
      <c r="M60" s="4">
        <v>4512</v>
      </c>
      <c r="N60" s="1">
        <v>6234</v>
      </c>
      <c r="O60" s="1">
        <v>14609</v>
      </c>
      <c r="P60" s="1">
        <v>8375</v>
      </c>
      <c r="Q60" s="1" t="s">
        <v>42</v>
      </c>
      <c r="S60" s="1" t="s">
        <v>42</v>
      </c>
      <c r="T60" s="1" t="s">
        <v>51</v>
      </c>
      <c r="U60" s="1">
        <v>24</v>
      </c>
      <c r="V60" s="5">
        <v>44405</v>
      </c>
      <c r="W60" s="5">
        <v>44383</v>
      </c>
      <c r="X60" s="1">
        <v>14000000</v>
      </c>
      <c r="AB60" s="1" t="s">
        <v>44</v>
      </c>
      <c r="AF60" s="1">
        <v>10011</v>
      </c>
      <c r="AI60" s="1" t="s">
        <v>112</v>
      </c>
      <c r="AJ60" s="1">
        <v>2017</v>
      </c>
      <c r="AK60" s="1" t="s">
        <v>46</v>
      </c>
      <c r="AL60" s="1">
        <v>14</v>
      </c>
    </row>
    <row r="61" spans="1:38" x14ac:dyDescent="0.2">
      <c r="A61" s="2" t="str">
        <f>HYPERLINK("https://www.compass.com/listing/695-1st-avenue-unit-29g-manhattan-ny-10016/850312867717860457/","695 1st Ave, Unit 29G")</f>
        <v>695 1st Ave, Unit 29G</v>
      </c>
      <c r="B61" s="2" t="str">
        <f>HYPERLINK("https://www.compass.com/building/one-united-nations-park-manhattan-ny/282058773630059653/","One United Nations Park")</f>
        <v>One United Nations Park</v>
      </c>
      <c r="C61" s="1" t="s">
        <v>59</v>
      </c>
      <c r="D61" s="1" t="s">
        <v>41</v>
      </c>
      <c r="E61" s="3">
        <v>2370000</v>
      </c>
      <c r="F61" s="1">
        <v>1461.1590628853201</v>
      </c>
      <c r="G61" s="1">
        <v>4</v>
      </c>
      <c r="H61" s="1">
        <v>2</v>
      </c>
      <c r="I61" s="1">
        <v>3</v>
      </c>
      <c r="J61" s="1">
        <v>2.5</v>
      </c>
      <c r="K61" s="1">
        <v>2</v>
      </c>
      <c r="L61" s="1">
        <v>1</v>
      </c>
      <c r="M61" s="4">
        <v>1622</v>
      </c>
      <c r="N61" s="1">
        <v>2174</v>
      </c>
      <c r="O61" s="1">
        <v>4756</v>
      </c>
      <c r="P61" s="1">
        <v>2582</v>
      </c>
      <c r="Q61" s="1" t="s">
        <v>42</v>
      </c>
      <c r="S61" s="1" t="s">
        <v>42</v>
      </c>
      <c r="T61" s="1" t="s">
        <v>51</v>
      </c>
      <c r="U61" s="1">
        <v>3</v>
      </c>
      <c r="V61" s="5">
        <v>44427</v>
      </c>
      <c r="W61" s="5">
        <v>44424</v>
      </c>
      <c r="X61" s="1">
        <v>2370000</v>
      </c>
      <c r="AB61" s="1" t="s">
        <v>44</v>
      </c>
      <c r="AF61" s="1">
        <v>10016</v>
      </c>
      <c r="AJ61" s="1">
        <v>2019</v>
      </c>
      <c r="AK61" s="1" t="s">
        <v>46</v>
      </c>
      <c r="AL61" s="1">
        <v>148</v>
      </c>
    </row>
    <row r="62" spans="1:38" x14ac:dyDescent="0.2">
      <c r="A62" s="2" t="str">
        <f>HYPERLINK("https://www.compass.com/listing/49-chambers-street-unit-14a-manhattan-ny-10007/834906502367856161/","49 Chambers St, Unit 14A")</f>
        <v>49 Chambers St, Unit 14A</v>
      </c>
      <c r="B62" s="2" t="str">
        <f t="shared" ref="B62:B63" si="6">HYPERLINK("https://www.compass.com/building/49-chambers-manhattan-ny/282058733280852725/","49 Chambers")</f>
        <v>49 Chambers</v>
      </c>
      <c r="C62" s="1" t="s">
        <v>113</v>
      </c>
      <c r="D62" s="1" t="s">
        <v>41</v>
      </c>
      <c r="E62" s="3">
        <v>3200000</v>
      </c>
      <c r="F62" s="1">
        <v>1754.3859649122801</v>
      </c>
      <c r="G62" s="1">
        <v>6</v>
      </c>
      <c r="H62" s="1">
        <v>2</v>
      </c>
      <c r="I62" s="1">
        <v>2</v>
      </c>
      <c r="J62" s="1">
        <v>2</v>
      </c>
      <c r="K62" s="1">
        <v>2</v>
      </c>
      <c r="M62" s="4">
        <v>1824</v>
      </c>
      <c r="N62" s="1">
        <v>1524</v>
      </c>
      <c r="O62" s="1">
        <v>4809</v>
      </c>
      <c r="P62" s="1">
        <v>3285</v>
      </c>
      <c r="Q62" s="1" t="s">
        <v>42</v>
      </c>
      <c r="S62" s="1" t="s">
        <v>42</v>
      </c>
      <c r="T62" s="1" t="s">
        <v>51</v>
      </c>
      <c r="U62" s="1">
        <v>24</v>
      </c>
      <c r="V62" s="5">
        <v>44422</v>
      </c>
      <c r="W62" s="5">
        <v>44403</v>
      </c>
      <c r="X62" s="1">
        <v>1</v>
      </c>
      <c r="AB62" s="1" t="s">
        <v>44</v>
      </c>
      <c r="AF62" s="1">
        <v>10007</v>
      </c>
      <c r="AI62" s="1" t="s">
        <v>114</v>
      </c>
      <c r="AJ62" s="1">
        <v>1910</v>
      </c>
      <c r="AK62" s="1" t="s">
        <v>49</v>
      </c>
      <c r="AL62" s="1">
        <v>99</v>
      </c>
    </row>
    <row r="63" spans="1:38" x14ac:dyDescent="0.2">
      <c r="A63" s="2" t="str">
        <f>HYPERLINK("https://www.compass.com/listing/49-chambers-street-unit-16g-manhattan-ny-10007/834906566573219209/","49 Chambers St, Unit 16G")</f>
        <v>49 Chambers St, Unit 16G</v>
      </c>
      <c r="B63" s="2" t="str">
        <f t="shared" si="6"/>
        <v>49 Chambers</v>
      </c>
      <c r="C63" s="1" t="s">
        <v>113</v>
      </c>
      <c r="D63" s="1" t="s">
        <v>41</v>
      </c>
      <c r="E63" s="3">
        <v>1995000</v>
      </c>
      <c r="F63" s="1">
        <v>1736.2924281984299</v>
      </c>
      <c r="G63" s="1">
        <v>3.5</v>
      </c>
      <c r="H63" s="1">
        <v>1</v>
      </c>
      <c r="I63" s="1">
        <v>2</v>
      </c>
      <c r="J63" s="1">
        <v>1.5</v>
      </c>
      <c r="K63" s="1">
        <v>1</v>
      </c>
      <c r="L63" s="1">
        <v>1</v>
      </c>
      <c r="M63" s="4">
        <v>1149</v>
      </c>
      <c r="N63" s="1">
        <v>926</v>
      </c>
      <c r="O63" s="1">
        <v>2858</v>
      </c>
      <c r="P63" s="1">
        <v>1932</v>
      </c>
      <c r="Q63" s="1" t="s">
        <v>42</v>
      </c>
      <c r="S63" s="1" t="s">
        <v>42</v>
      </c>
      <c r="T63" s="1" t="s">
        <v>51</v>
      </c>
      <c r="U63" s="1">
        <v>24</v>
      </c>
      <c r="V63" s="5">
        <v>44422</v>
      </c>
      <c r="W63" s="5">
        <v>44403</v>
      </c>
      <c r="X63" s="1">
        <v>1</v>
      </c>
      <c r="AB63" s="1" t="s">
        <v>44</v>
      </c>
      <c r="AF63" s="1">
        <v>10007</v>
      </c>
      <c r="AI63" s="1" t="s">
        <v>114</v>
      </c>
      <c r="AJ63" s="1">
        <v>1910</v>
      </c>
      <c r="AK63" s="1" t="s">
        <v>49</v>
      </c>
      <c r="AL63" s="1">
        <v>99</v>
      </c>
    </row>
    <row r="64" spans="1:38" x14ac:dyDescent="0.2">
      <c r="A64" s="2" t="str">
        <f>HYPERLINK("https://www.compass.com/listing/108-leonard-street-unit-4g-manhattan-ny-10013/832087107165478297/","108 Leonard St, Unit 4G")</f>
        <v>108 Leonard St, Unit 4G</v>
      </c>
      <c r="B64" s="2" t="str">
        <f t="shared" ref="B64:B68" si="7">HYPERLINK("https://www.compass.com/building/108-leonard-st-manhattan-ny-10013/307456049610778277/","108 Leonard St")</f>
        <v>108 Leonard St</v>
      </c>
      <c r="C64" s="1" t="s">
        <v>113</v>
      </c>
      <c r="D64" s="1" t="s">
        <v>41</v>
      </c>
      <c r="E64" s="3">
        <v>4570000</v>
      </c>
      <c r="F64" s="1">
        <v>2267.99007444168</v>
      </c>
      <c r="G64" s="1">
        <v>6</v>
      </c>
      <c r="H64" s="1">
        <v>3</v>
      </c>
      <c r="I64" s="1">
        <v>4</v>
      </c>
      <c r="J64" s="1">
        <v>3.5</v>
      </c>
      <c r="K64" s="1">
        <v>3</v>
      </c>
      <c r="L64" s="1">
        <v>1</v>
      </c>
      <c r="M64" s="4">
        <v>2015</v>
      </c>
      <c r="N64" s="1">
        <v>2389</v>
      </c>
      <c r="O64" s="1">
        <v>5621</v>
      </c>
      <c r="P64" s="1">
        <v>3232</v>
      </c>
      <c r="Q64" s="1" t="s">
        <v>42</v>
      </c>
      <c r="S64" s="1" t="s">
        <v>42</v>
      </c>
      <c r="T64" s="1" t="s">
        <v>51</v>
      </c>
      <c r="U64" s="1">
        <v>28</v>
      </c>
      <c r="V64" s="5">
        <v>44406</v>
      </c>
      <c r="W64" s="5">
        <v>44399</v>
      </c>
      <c r="X64" s="1">
        <v>4570000</v>
      </c>
      <c r="AB64" s="1" t="s">
        <v>44</v>
      </c>
      <c r="AF64" s="1">
        <v>10013</v>
      </c>
      <c r="AI64" s="1" t="s">
        <v>78</v>
      </c>
      <c r="AJ64" s="1">
        <v>1899</v>
      </c>
      <c r="AK64" s="1" t="s">
        <v>115</v>
      </c>
      <c r="AL64" s="1">
        <v>167</v>
      </c>
    </row>
    <row r="65" spans="1:38" x14ac:dyDescent="0.2">
      <c r="A65" s="2" t="str">
        <f>HYPERLINK("https://www.compass.com/listing/108-leonard-street-unit-7b-manhattan-ny-10013/832087067764041297/","108 Leonard St, Unit 7B")</f>
        <v>108 Leonard St, Unit 7B</v>
      </c>
      <c r="B65" s="2" t="str">
        <f t="shared" si="7"/>
        <v>108 Leonard St</v>
      </c>
      <c r="C65" s="1" t="s">
        <v>113</v>
      </c>
      <c r="D65" s="1" t="s">
        <v>41</v>
      </c>
      <c r="E65" s="3">
        <v>3275000</v>
      </c>
      <c r="F65" s="1">
        <v>2269.5772695772598</v>
      </c>
      <c r="G65" s="1">
        <v>4</v>
      </c>
      <c r="H65" s="1">
        <v>2</v>
      </c>
      <c r="I65" s="1">
        <v>3</v>
      </c>
      <c r="J65" s="1">
        <v>2.5</v>
      </c>
      <c r="K65" s="1">
        <v>2</v>
      </c>
      <c r="L65" s="1">
        <v>1</v>
      </c>
      <c r="M65" s="4">
        <v>1443</v>
      </c>
      <c r="N65" s="1">
        <v>1711</v>
      </c>
      <c r="O65" s="1">
        <v>4026</v>
      </c>
      <c r="P65" s="1">
        <v>2315</v>
      </c>
      <c r="Q65" s="1" t="s">
        <v>42</v>
      </c>
      <c r="S65" s="1" t="s">
        <v>42</v>
      </c>
      <c r="T65" s="1" t="s">
        <v>51</v>
      </c>
      <c r="U65" s="1">
        <v>28</v>
      </c>
      <c r="V65" s="5">
        <v>44406</v>
      </c>
      <c r="W65" s="5">
        <v>44399</v>
      </c>
      <c r="X65" s="1">
        <v>3275000</v>
      </c>
      <c r="AB65" s="1" t="s">
        <v>44</v>
      </c>
      <c r="AF65" s="1">
        <v>10013</v>
      </c>
      <c r="AI65" s="1" t="s">
        <v>78</v>
      </c>
      <c r="AJ65" s="1">
        <v>1899</v>
      </c>
      <c r="AK65" s="1" t="s">
        <v>115</v>
      </c>
      <c r="AL65" s="1">
        <v>167</v>
      </c>
    </row>
    <row r="66" spans="1:38" x14ac:dyDescent="0.2">
      <c r="A66" s="2" t="str">
        <f>HYPERLINK("https://www.compass.com/listing/108-leonard-street-unit-7c-manhattan-ny-10013/832079724049598041/","108 Leonard St, Unit 7C")</f>
        <v>108 Leonard St, Unit 7C</v>
      </c>
      <c r="B66" s="2" t="str">
        <f t="shared" si="7"/>
        <v>108 Leonard St</v>
      </c>
      <c r="C66" s="1" t="s">
        <v>113</v>
      </c>
      <c r="D66" s="1" t="s">
        <v>41</v>
      </c>
      <c r="E66" s="3">
        <v>4430000</v>
      </c>
      <c r="F66" s="1">
        <v>2297.7178423236501</v>
      </c>
      <c r="G66" s="1">
        <v>7.5</v>
      </c>
      <c r="H66" s="1">
        <v>3</v>
      </c>
      <c r="I66" s="1">
        <v>4</v>
      </c>
      <c r="J66" s="1">
        <v>3.5</v>
      </c>
      <c r="K66" s="1">
        <v>3</v>
      </c>
      <c r="L66" s="1">
        <v>1</v>
      </c>
      <c r="M66" s="4">
        <v>1928</v>
      </c>
      <c r="N66" s="1">
        <v>2285</v>
      </c>
      <c r="O66" s="1">
        <v>5378</v>
      </c>
      <c r="P66" s="1">
        <v>3093</v>
      </c>
      <c r="Q66" s="1" t="s">
        <v>42</v>
      </c>
      <c r="S66" s="1" t="s">
        <v>42</v>
      </c>
      <c r="T66" s="1" t="s">
        <v>51</v>
      </c>
      <c r="U66" s="1">
        <v>28</v>
      </c>
      <c r="V66" s="5">
        <v>44406</v>
      </c>
      <c r="W66" s="5">
        <v>44399</v>
      </c>
      <c r="X66" s="1">
        <v>4430000</v>
      </c>
      <c r="AB66" s="1" t="s">
        <v>44</v>
      </c>
      <c r="AF66" s="1">
        <v>10013</v>
      </c>
      <c r="AI66" s="1" t="s">
        <v>78</v>
      </c>
      <c r="AJ66" s="1">
        <v>1899</v>
      </c>
      <c r="AK66" s="1" t="s">
        <v>115</v>
      </c>
      <c r="AL66" s="1">
        <v>167</v>
      </c>
    </row>
    <row r="67" spans="1:38" x14ac:dyDescent="0.2">
      <c r="A67" s="2" t="str">
        <f>HYPERLINK("https://www.compass.com/listing/108-leonard-street-unit-7m-manhattan-ny-10013/832087620498133713/","108 Leonard St, Unit 7M")</f>
        <v>108 Leonard St, Unit 7M</v>
      </c>
      <c r="B67" s="2" t="str">
        <f t="shared" si="7"/>
        <v>108 Leonard St</v>
      </c>
      <c r="C67" s="1" t="s">
        <v>113</v>
      </c>
      <c r="D67" s="1" t="s">
        <v>41</v>
      </c>
      <c r="E67" s="3">
        <v>3400000</v>
      </c>
      <c r="F67" s="1">
        <v>1995.30516431924</v>
      </c>
      <c r="G67" s="1">
        <v>4</v>
      </c>
      <c r="H67" s="1">
        <v>2</v>
      </c>
      <c r="I67" s="1">
        <v>3</v>
      </c>
      <c r="J67" s="1">
        <v>2.5</v>
      </c>
      <c r="K67" s="1">
        <v>2</v>
      </c>
      <c r="L67" s="1">
        <v>1</v>
      </c>
      <c r="M67" s="4">
        <v>1704</v>
      </c>
      <c r="N67" s="1">
        <v>2020</v>
      </c>
      <c r="O67" s="1">
        <v>4754</v>
      </c>
      <c r="P67" s="1">
        <v>2734</v>
      </c>
      <c r="Q67" s="1" t="s">
        <v>42</v>
      </c>
      <c r="S67" s="1" t="s">
        <v>42</v>
      </c>
      <c r="T67" s="1" t="s">
        <v>51</v>
      </c>
      <c r="U67" s="1">
        <v>28</v>
      </c>
      <c r="V67" s="5">
        <v>44406</v>
      </c>
      <c r="W67" s="5">
        <v>44399</v>
      </c>
      <c r="X67" s="1">
        <v>3400000</v>
      </c>
      <c r="AB67" s="1" t="s">
        <v>44</v>
      </c>
      <c r="AF67" s="1">
        <v>10013</v>
      </c>
      <c r="AI67" s="1" t="s">
        <v>78</v>
      </c>
      <c r="AJ67" s="1">
        <v>1899</v>
      </c>
      <c r="AK67" s="1" t="s">
        <v>115</v>
      </c>
      <c r="AL67" s="1">
        <v>167</v>
      </c>
    </row>
    <row r="68" spans="1:38" x14ac:dyDescent="0.2">
      <c r="A68" s="2" t="str">
        <f>HYPERLINK("https://www.compass.com/listing/108-leonard-street-unit-4n-manhattan-ny-10013/832087470274335585/","108 Leonard St, Unit 4N")</f>
        <v>108 Leonard St, Unit 4N</v>
      </c>
      <c r="B68" s="2" t="str">
        <f t="shared" si="7"/>
        <v>108 Leonard St</v>
      </c>
      <c r="C68" s="1" t="s">
        <v>113</v>
      </c>
      <c r="D68" s="1" t="s">
        <v>41</v>
      </c>
      <c r="E68" s="3">
        <v>5765000</v>
      </c>
      <c r="F68" s="1">
        <v>2318.0538801769198</v>
      </c>
      <c r="G68" s="1">
        <v>7</v>
      </c>
      <c r="H68" s="1">
        <v>4</v>
      </c>
      <c r="I68" s="1">
        <v>4</v>
      </c>
      <c r="J68" s="1">
        <v>4</v>
      </c>
      <c r="K68" s="1">
        <v>4</v>
      </c>
      <c r="M68" s="4">
        <v>2487</v>
      </c>
      <c r="N68" s="1">
        <v>2948</v>
      </c>
      <c r="O68" s="1">
        <v>6938</v>
      </c>
      <c r="P68" s="1">
        <v>3990</v>
      </c>
      <c r="Q68" s="1" t="s">
        <v>42</v>
      </c>
      <c r="S68" s="1" t="s">
        <v>42</v>
      </c>
      <c r="T68" s="1" t="s">
        <v>51</v>
      </c>
      <c r="U68" s="1">
        <v>28</v>
      </c>
      <c r="V68" s="5">
        <v>44406</v>
      </c>
      <c r="W68" s="5">
        <v>44399</v>
      </c>
      <c r="X68" s="1">
        <v>5765000</v>
      </c>
      <c r="AB68" s="1" t="s">
        <v>44</v>
      </c>
      <c r="AF68" s="1">
        <v>10013</v>
      </c>
      <c r="AI68" s="1" t="s">
        <v>78</v>
      </c>
      <c r="AJ68" s="1">
        <v>1899</v>
      </c>
      <c r="AK68" s="1" t="s">
        <v>115</v>
      </c>
      <c r="AL68" s="1">
        <v>167</v>
      </c>
    </row>
    <row r="69" spans="1:38" x14ac:dyDescent="0.2">
      <c r="A69" s="2" t="str">
        <f>HYPERLINK("https://www.compass.com/listing/138-east-50th-street-unit-16d-manhattan-ny-10022/440514546717895377/","138 E 50th St, Unit 16D")</f>
        <v>138 E 50th St, Unit 16D</v>
      </c>
      <c r="B69" s="2" t="str">
        <f>HYPERLINK("https://www.compass.com/building/the-centrale-manhattan-ny/281941497232811621/","The Centrale")</f>
        <v>The Centrale</v>
      </c>
      <c r="C69" s="1" t="s">
        <v>116</v>
      </c>
      <c r="D69" s="1" t="s">
        <v>41</v>
      </c>
      <c r="E69" s="3">
        <v>2785000</v>
      </c>
      <c r="F69" s="1">
        <v>2307.37365368682</v>
      </c>
      <c r="G69" s="1">
        <v>4</v>
      </c>
      <c r="H69" s="1">
        <v>2</v>
      </c>
      <c r="I69" s="1">
        <v>2</v>
      </c>
      <c r="J69" s="1">
        <v>2</v>
      </c>
      <c r="K69" s="1">
        <v>2</v>
      </c>
      <c r="M69" s="4">
        <v>1207</v>
      </c>
      <c r="N69" s="1">
        <v>1206</v>
      </c>
      <c r="O69" s="1">
        <v>3002</v>
      </c>
      <c r="P69" s="1">
        <v>1796</v>
      </c>
      <c r="Q69" s="1" t="s">
        <v>42</v>
      </c>
      <c r="S69" s="1" t="s">
        <v>42</v>
      </c>
      <c r="T69" s="1" t="s">
        <v>51</v>
      </c>
      <c r="U69" s="1">
        <v>3</v>
      </c>
      <c r="V69" s="5">
        <v>44425</v>
      </c>
      <c r="W69" s="5">
        <v>44424</v>
      </c>
      <c r="X69" s="1">
        <v>2785000</v>
      </c>
      <c r="AB69" s="1" t="s">
        <v>44</v>
      </c>
      <c r="AF69" s="1">
        <v>10022</v>
      </c>
      <c r="AI69" s="1" t="s">
        <v>48</v>
      </c>
      <c r="AJ69" s="1">
        <v>2019</v>
      </c>
      <c r="AK69" s="1" t="s">
        <v>55</v>
      </c>
      <c r="AL69" s="1">
        <v>124</v>
      </c>
    </row>
    <row r="70" spans="1:38" x14ac:dyDescent="0.2">
      <c r="A70" s="2" t="str">
        <f>HYPERLINK("https://www.compass.com/listing/108-leonard-street-unit-15a-manhattan-ny-10013/832728678029814369/","108 Leonard St, Unit 15A")</f>
        <v>108 Leonard St, Unit 15A</v>
      </c>
      <c r="B70" s="2" t="str">
        <f>HYPERLINK("https://www.compass.com/building/108-leonard-st-manhattan-ny-10013/307456049610778277/","108 Leonard St")</f>
        <v>108 Leonard St</v>
      </c>
      <c r="C70" s="1" t="s">
        <v>113</v>
      </c>
      <c r="D70" s="1" t="s">
        <v>41</v>
      </c>
      <c r="E70" s="3">
        <v>10450000</v>
      </c>
      <c r="F70" s="1">
        <v>3591.0652920962102</v>
      </c>
      <c r="G70" s="1">
        <v>6.5</v>
      </c>
      <c r="H70" s="1">
        <v>3</v>
      </c>
      <c r="I70" s="1">
        <v>4</v>
      </c>
      <c r="J70" s="1">
        <v>3.5</v>
      </c>
      <c r="K70" s="1">
        <v>3</v>
      </c>
      <c r="L70" s="1">
        <v>1</v>
      </c>
      <c r="M70" s="4">
        <v>2910</v>
      </c>
      <c r="N70" s="1">
        <v>3765</v>
      </c>
      <c r="O70" s="1">
        <v>8860</v>
      </c>
      <c r="P70" s="1">
        <v>5095</v>
      </c>
      <c r="Q70" s="1" t="s">
        <v>42</v>
      </c>
      <c r="S70" s="1" t="s">
        <v>42</v>
      </c>
      <c r="T70" s="1" t="s">
        <v>51</v>
      </c>
      <c r="U70" s="1">
        <v>27</v>
      </c>
      <c r="V70" s="5">
        <v>44406</v>
      </c>
      <c r="W70" s="5">
        <v>44400</v>
      </c>
      <c r="X70" s="1">
        <v>10450000</v>
      </c>
      <c r="AB70" s="1" t="s">
        <v>44</v>
      </c>
      <c r="AF70" s="1">
        <v>10013</v>
      </c>
      <c r="AI70" s="1" t="s">
        <v>117</v>
      </c>
      <c r="AJ70" s="1">
        <v>1899</v>
      </c>
      <c r="AK70" s="1" t="s">
        <v>115</v>
      </c>
      <c r="AL70" s="1">
        <v>167</v>
      </c>
    </row>
    <row r="71" spans="1:38" x14ac:dyDescent="0.2">
      <c r="A71" s="2" t="str">
        <f>HYPERLINK("https://www.compass.com/listing/277-5th-avenue-unit-36a-manhattan-ny-10016/842063144424225249/","277 5th Ave, Unit 36A")</f>
        <v>277 5th Ave, Unit 36A</v>
      </c>
      <c r="B71" s="2" t="str">
        <f>HYPERLINK("https://www.compass.com/building/277-fifth-avenue-manhattan-ny/281939285475645317/","277 FIFTH AVENUE")</f>
        <v>277 FIFTH AVENUE</v>
      </c>
      <c r="C71" s="1" t="s">
        <v>40</v>
      </c>
      <c r="D71" s="1" t="s">
        <v>41</v>
      </c>
      <c r="E71" s="3">
        <v>5760000</v>
      </c>
      <c r="G71" s="1">
        <v>5</v>
      </c>
      <c r="H71" s="1">
        <v>3</v>
      </c>
      <c r="I71" s="1">
        <v>3</v>
      </c>
      <c r="J71" s="1">
        <v>3</v>
      </c>
      <c r="K71" s="1">
        <v>3</v>
      </c>
      <c r="N71" s="1">
        <v>2568</v>
      </c>
      <c r="O71" s="1">
        <v>4920</v>
      </c>
      <c r="P71" s="1">
        <v>2352</v>
      </c>
      <c r="Q71" s="1" t="s">
        <v>42</v>
      </c>
      <c r="S71" s="1" t="s">
        <v>42</v>
      </c>
      <c r="T71" s="1" t="s">
        <v>51</v>
      </c>
      <c r="U71" s="1">
        <v>14</v>
      </c>
      <c r="V71" s="5">
        <v>44414</v>
      </c>
      <c r="W71" s="5">
        <v>44413</v>
      </c>
      <c r="X71" s="1">
        <v>5760000</v>
      </c>
      <c r="AB71" s="1" t="s">
        <v>44</v>
      </c>
      <c r="AF71" s="1">
        <v>10016</v>
      </c>
      <c r="AI71" s="1" t="s">
        <v>118</v>
      </c>
      <c r="AJ71" s="1">
        <v>2019</v>
      </c>
      <c r="AK71" s="1" t="s">
        <v>49</v>
      </c>
      <c r="AL71" s="1">
        <v>130</v>
      </c>
    </row>
    <row r="72" spans="1:38" x14ac:dyDescent="0.2">
      <c r="A72" s="2" t="str">
        <f>HYPERLINK("https://www.compass.com/listing/108-leonard-street-unit-8h-manhattan-ny-10013/832087094170933857/","108 Leonard St, Unit 8H")</f>
        <v>108 Leonard St, Unit 8H</v>
      </c>
      <c r="B72" s="2" t="str">
        <f t="shared" ref="B72:B77" si="8">HYPERLINK("https://www.compass.com/building/108-leonard-st-manhattan-ny-10013/307456049610778277/","108 Leonard St")</f>
        <v>108 Leonard St</v>
      </c>
      <c r="C72" s="1" t="s">
        <v>113</v>
      </c>
      <c r="D72" s="1" t="s">
        <v>41</v>
      </c>
      <c r="E72" s="3">
        <v>3425000</v>
      </c>
      <c r="F72" s="1">
        <v>2160.8832807570898</v>
      </c>
      <c r="G72" s="1">
        <v>4.5</v>
      </c>
      <c r="H72" s="1">
        <v>2</v>
      </c>
      <c r="I72" s="1">
        <v>3</v>
      </c>
      <c r="J72" s="1">
        <v>2.5</v>
      </c>
      <c r="K72" s="1">
        <v>2</v>
      </c>
      <c r="L72" s="1">
        <v>1</v>
      </c>
      <c r="M72" s="4">
        <v>1585</v>
      </c>
      <c r="N72" s="1">
        <v>1879</v>
      </c>
      <c r="O72" s="1">
        <v>4422</v>
      </c>
      <c r="P72" s="1">
        <v>2543</v>
      </c>
      <c r="Q72" s="1" t="s">
        <v>42</v>
      </c>
      <c r="S72" s="1" t="s">
        <v>42</v>
      </c>
      <c r="T72" s="1" t="s">
        <v>51</v>
      </c>
      <c r="U72" s="1">
        <v>28</v>
      </c>
      <c r="V72" s="5">
        <v>44406</v>
      </c>
      <c r="W72" s="5">
        <v>44399</v>
      </c>
      <c r="X72" s="1">
        <v>3425000</v>
      </c>
      <c r="AB72" s="1" t="s">
        <v>44</v>
      </c>
      <c r="AF72" s="1">
        <v>10013</v>
      </c>
      <c r="AI72" s="1" t="s">
        <v>78</v>
      </c>
      <c r="AJ72" s="1">
        <v>1899</v>
      </c>
      <c r="AK72" s="1" t="s">
        <v>115</v>
      </c>
      <c r="AL72" s="1">
        <v>167</v>
      </c>
    </row>
    <row r="73" spans="1:38" x14ac:dyDescent="0.2">
      <c r="A73" s="2" t="str">
        <f>HYPERLINK("https://www.compass.com/listing/108-leonard-street-unit-7j-manhattan-ny-10013/832087593075695201/","108 Leonard St, Unit 7J")</f>
        <v>108 Leonard St, Unit 7J</v>
      </c>
      <c r="B73" s="2" t="str">
        <f t="shared" si="8"/>
        <v>108 Leonard St</v>
      </c>
      <c r="C73" s="1" t="s">
        <v>113</v>
      </c>
      <c r="D73" s="1" t="s">
        <v>41</v>
      </c>
      <c r="E73" s="3">
        <v>1758750</v>
      </c>
      <c r="F73" s="1">
        <v>1956.34037819799</v>
      </c>
      <c r="G73" s="1">
        <v>3.5</v>
      </c>
      <c r="H73" s="1">
        <v>1</v>
      </c>
      <c r="I73" s="1">
        <v>2</v>
      </c>
      <c r="J73" s="1">
        <v>1.5</v>
      </c>
      <c r="K73" s="1">
        <v>1</v>
      </c>
      <c r="L73" s="1">
        <v>1</v>
      </c>
      <c r="M73" s="1">
        <v>899</v>
      </c>
      <c r="N73" s="1">
        <v>1066</v>
      </c>
      <c r="O73" s="1">
        <v>2508</v>
      </c>
      <c r="P73" s="1">
        <v>1442</v>
      </c>
      <c r="Q73" s="1" t="s">
        <v>42</v>
      </c>
      <c r="S73" s="1" t="s">
        <v>42</v>
      </c>
      <c r="T73" s="1" t="s">
        <v>51</v>
      </c>
      <c r="U73" s="1">
        <v>28</v>
      </c>
      <c r="V73" s="5">
        <v>44406</v>
      </c>
      <c r="W73" s="5">
        <v>44399</v>
      </c>
      <c r="X73" s="1">
        <v>1758750</v>
      </c>
      <c r="AB73" s="1" t="s">
        <v>44</v>
      </c>
      <c r="AF73" s="1">
        <v>10013</v>
      </c>
      <c r="AI73" s="1" t="s">
        <v>78</v>
      </c>
      <c r="AJ73" s="1">
        <v>1899</v>
      </c>
      <c r="AK73" s="1" t="s">
        <v>115</v>
      </c>
      <c r="AL73" s="1">
        <v>167</v>
      </c>
    </row>
    <row r="74" spans="1:38" x14ac:dyDescent="0.2">
      <c r="A74" s="2" t="str">
        <f>HYPERLINK("https://www.compass.com/listing/108-leonard-street-unit-8r-manhattan-ny-10013/832087060742776209/","108 Leonard St, Unit 8R")</f>
        <v>108 Leonard St, Unit 8R</v>
      </c>
      <c r="B74" s="2" t="str">
        <f t="shared" si="8"/>
        <v>108 Leonard St</v>
      </c>
      <c r="C74" s="1" t="s">
        <v>113</v>
      </c>
      <c r="D74" s="1" t="s">
        <v>41</v>
      </c>
      <c r="E74" s="3">
        <v>1695000</v>
      </c>
      <c r="F74" s="1">
        <v>1964.0787949015</v>
      </c>
      <c r="G74" s="1">
        <v>3</v>
      </c>
      <c r="H74" s="1">
        <v>1</v>
      </c>
      <c r="I74" s="1">
        <v>2</v>
      </c>
      <c r="J74" s="1">
        <v>1.5</v>
      </c>
      <c r="K74" s="1">
        <v>1</v>
      </c>
      <c r="L74" s="1">
        <v>1</v>
      </c>
      <c r="M74" s="1">
        <v>863</v>
      </c>
      <c r="N74" s="1">
        <v>1023</v>
      </c>
      <c r="O74" s="1">
        <v>2407</v>
      </c>
      <c r="P74" s="1">
        <v>1384</v>
      </c>
      <c r="Q74" s="1" t="s">
        <v>42</v>
      </c>
      <c r="S74" s="1" t="s">
        <v>42</v>
      </c>
      <c r="T74" s="1" t="s">
        <v>51</v>
      </c>
      <c r="U74" s="1">
        <v>28</v>
      </c>
      <c r="V74" s="5">
        <v>44406</v>
      </c>
      <c r="W74" s="5">
        <v>44399</v>
      </c>
      <c r="X74" s="1">
        <v>1695000</v>
      </c>
      <c r="AB74" s="1" t="s">
        <v>44</v>
      </c>
      <c r="AF74" s="1">
        <v>10013</v>
      </c>
      <c r="AI74" s="1" t="s">
        <v>78</v>
      </c>
      <c r="AJ74" s="1">
        <v>1899</v>
      </c>
      <c r="AK74" s="1" t="s">
        <v>115</v>
      </c>
      <c r="AL74" s="1">
        <v>167</v>
      </c>
    </row>
    <row r="75" spans="1:38" x14ac:dyDescent="0.2">
      <c r="A75" s="2" t="str">
        <f>HYPERLINK("https://www.compass.com/listing/108-leonard-street-unit-6f-manhattan-ny-10013/832087102040038713/","108 Leonard St, Unit 6F")</f>
        <v>108 Leonard St, Unit 6F</v>
      </c>
      <c r="B75" s="2" t="str">
        <f t="shared" si="8"/>
        <v>108 Leonard St</v>
      </c>
      <c r="C75" s="1" t="s">
        <v>113</v>
      </c>
      <c r="D75" s="1" t="s">
        <v>41</v>
      </c>
      <c r="E75" s="3">
        <v>3545000</v>
      </c>
      <c r="F75" s="1">
        <v>2323.0668414154602</v>
      </c>
      <c r="G75" s="1">
        <v>5.5</v>
      </c>
      <c r="H75" s="1">
        <v>2</v>
      </c>
      <c r="I75" s="1">
        <v>3</v>
      </c>
      <c r="J75" s="1">
        <v>2.5</v>
      </c>
      <c r="K75" s="1">
        <v>2</v>
      </c>
      <c r="L75" s="1">
        <v>1</v>
      </c>
      <c r="M75" s="4">
        <v>1526</v>
      </c>
      <c r="N75" s="1">
        <v>1809</v>
      </c>
      <c r="O75" s="1">
        <v>4257</v>
      </c>
      <c r="P75" s="1">
        <v>2448</v>
      </c>
      <c r="Q75" s="1" t="s">
        <v>42</v>
      </c>
      <c r="S75" s="1" t="s">
        <v>42</v>
      </c>
      <c r="T75" s="1" t="s">
        <v>51</v>
      </c>
      <c r="U75" s="1">
        <v>28</v>
      </c>
      <c r="V75" s="5">
        <v>44406</v>
      </c>
      <c r="W75" s="5">
        <v>44399</v>
      </c>
      <c r="X75" s="1">
        <v>3545000</v>
      </c>
      <c r="AB75" s="1" t="s">
        <v>44</v>
      </c>
      <c r="AF75" s="1">
        <v>10013</v>
      </c>
      <c r="AI75" s="1" t="s">
        <v>78</v>
      </c>
      <c r="AJ75" s="1">
        <v>1899</v>
      </c>
      <c r="AK75" s="1" t="s">
        <v>115</v>
      </c>
      <c r="AL75" s="1">
        <v>167</v>
      </c>
    </row>
    <row r="76" spans="1:38" x14ac:dyDescent="0.2">
      <c r="A76" s="2" t="str">
        <f>HYPERLINK("https://www.compass.com/listing/108-leonard-street-unit-8d-manhattan-ny-10013/832068329928372417/","108 Leonard St, Unit 8D")</f>
        <v>108 Leonard St, Unit 8D</v>
      </c>
      <c r="B76" s="2" t="str">
        <f t="shared" si="8"/>
        <v>108 Leonard St</v>
      </c>
      <c r="C76" s="1" t="s">
        <v>113</v>
      </c>
      <c r="D76" s="1" t="s">
        <v>41</v>
      </c>
      <c r="E76" s="3">
        <v>1758750</v>
      </c>
      <c r="F76" s="1">
        <v>1980.5743243243201</v>
      </c>
      <c r="G76" s="1">
        <v>3</v>
      </c>
      <c r="H76" s="1">
        <v>1</v>
      </c>
      <c r="I76" s="1">
        <v>2</v>
      </c>
      <c r="J76" s="1">
        <v>1.5</v>
      </c>
      <c r="K76" s="1">
        <v>1</v>
      </c>
      <c r="L76" s="1">
        <v>1</v>
      </c>
      <c r="M76" s="1">
        <v>888</v>
      </c>
      <c r="N76" s="1">
        <v>1053</v>
      </c>
      <c r="O76" s="1">
        <v>2478</v>
      </c>
      <c r="P76" s="1">
        <v>1425</v>
      </c>
      <c r="Q76" s="1" t="s">
        <v>42</v>
      </c>
      <c r="S76" s="1" t="s">
        <v>42</v>
      </c>
      <c r="T76" s="1" t="s">
        <v>51</v>
      </c>
      <c r="U76" s="1">
        <v>28</v>
      </c>
      <c r="V76" s="5">
        <v>44400</v>
      </c>
      <c r="W76" s="5">
        <v>44399</v>
      </c>
      <c r="X76" s="1">
        <v>1758750</v>
      </c>
      <c r="AB76" s="1" t="s">
        <v>44</v>
      </c>
      <c r="AF76" s="1">
        <v>10013</v>
      </c>
      <c r="AI76" s="1" t="s">
        <v>78</v>
      </c>
      <c r="AJ76" s="1">
        <v>1899</v>
      </c>
      <c r="AK76" s="1" t="s">
        <v>115</v>
      </c>
      <c r="AL76" s="1">
        <v>167</v>
      </c>
    </row>
    <row r="77" spans="1:38" x14ac:dyDescent="0.2">
      <c r="A77" s="2" t="str">
        <f>HYPERLINK("https://www.compass.com/listing/108-leonard-street-unit-4p-manhattan-ny-10013/832087092502279825/","108 Leonard St, Unit 4P")</f>
        <v>108 Leonard St, Unit 4P</v>
      </c>
      <c r="B77" s="2" t="str">
        <f t="shared" si="8"/>
        <v>108 Leonard St</v>
      </c>
      <c r="C77" s="1" t="s">
        <v>113</v>
      </c>
      <c r="D77" s="1" t="s">
        <v>41</v>
      </c>
      <c r="E77" s="3">
        <v>4310000</v>
      </c>
      <c r="F77" s="1">
        <v>2275.60718057022</v>
      </c>
      <c r="G77" s="1">
        <v>6.5</v>
      </c>
      <c r="H77" s="1">
        <v>3</v>
      </c>
      <c r="I77" s="1">
        <v>4</v>
      </c>
      <c r="J77" s="1">
        <v>3.5</v>
      </c>
      <c r="K77" s="1">
        <v>3</v>
      </c>
      <c r="L77" s="1">
        <v>1</v>
      </c>
      <c r="M77" s="4">
        <v>1894</v>
      </c>
      <c r="N77" s="1">
        <v>2245</v>
      </c>
      <c r="O77" s="1">
        <v>5283</v>
      </c>
      <c r="P77" s="1">
        <v>3038</v>
      </c>
      <c r="Q77" s="1" t="s">
        <v>42</v>
      </c>
      <c r="S77" s="1" t="s">
        <v>42</v>
      </c>
      <c r="T77" s="1" t="s">
        <v>51</v>
      </c>
      <c r="U77" s="1">
        <v>28</v>
      </c>
      <c r="V77" s="5">
        <v>44406</v>
      </c>
      <c r="W77" s="5">
        <v>44399</v>
      </c>
      <c r="X77" s="1">
        <v>4310000</v>
      </c>
      <c r="AB77" s="1" t="s">
        <v>44</v>
      </c>
      <c r="AF77" s="1">
        <v>10013</v>
      </c>
      <c r="AI77" s="1" t="s">
        <v>78</v>
      </c>
      <c r="AJ77" s="1">
        <v>1899</v>
      </c>
      <c r="AK77" s="1" t="s">
        <v>115</v>
      </c>
      <c r="AL77" s="1">
        <v>167</v>
      </c>
    </row>
    <row r="78" spans="1:38" x14ac:dyDescent="0.2">
      <c r="A78" s="2" t="str">
        <f>HYPERLINK("https://www.compass.com/listing/498-west-end-avenue-unit-6a-manhattan-ny-10024/826313434716165657/","498 W End Ave, Unit 6A")</f>
        <v>498 W End Ave, Unit 6A</v>
      </c>
      <c r="B78" s="2" t="str">
        <f>HYPERLINK("https://www.compass.com/building/498-w-end-ave-manhattan-ny-10024/281925430842268789/","498 W End Ave")</f>
        <v>498 W End Ave</v>
      </c>
      <c r="C78" s="1" t="s">
        <v>57</v>
      </c>
      <c r="D78" s="1" t="s">
        <v>41</v>
      </c>
      <c r="E78" s="3">
        <v>8495000</v>
      </c>
      <c r="F78" s="1">
        <v>2538.0938153570301</v>
      </c>
      <c r="G78" s="1">
        <v>7</v>
      </c>
      <c r="H78" s="1">
        <v>4</v>
      </c>
      <c r="I78" s="1">
        <v>5</v>
      </c>
      <c r="J78" s="1">
        <v>4.5</v>
      </c>
      <c r="K78" s="1">
        <v>4</v>
      </c>
      <c r="L78" s="1">
        <v>1</v>
      </c>
      <c r="M78" s="4">
        <v>3347</v>
      </c>
      <c r="N78" s="1">
        <v>3073</v>
      </c>
      <c r="O78" s="1">
        <v>5990</v>
      </c>
      <c r="P78" s="1">
        <v>2917</v>
      </c>
      <c r="Q78" s="1" t="s">
        <v>42</v>
      </c>
      <c r="S78" s="1" t="s">
        <v>42</v>
      </c>
      <c r="T78" s="1" t="s">
        <v>51</v>
      </c>
      <c r="U78" s="1">
        <v>36</v>
      </c>
      <c r="V78" s="5">
        <v>44426</v>
      </c>
      <c r="W78" s="5">
        <v>44391</v>
      </c>
      <c r="X78" s="1">
        <v>8495000</v>
      </c>
      <c r="AB78" s="1" t="s">
        <v>44</v>
      </c>
      <c r="AD78" s="1" t="s">
        <v>119</v>
      </c>
      <c r="AE78" s="1" t="s">
        <v>87</v>
      </c>
      <c r="AF78" s="1">
        <v>10024</v>
      </c>
      <c r="AJ78" s="1">
        <v>1912</v>
      </c>
      <c r="AK78" s="1" t="s">
        <v>46</v>
      </c>
      <c r="AL78" s="1">
        <v>19</v>
      </c>
    </row>
    <row r="79" spans="1:38" x14ac:dyDescent="0.2">
      <c r="A79" s="2" t="str">
        <f>HYPERLINK("https://www.compass.com/listing/108-leonard-street-unit-11a-manhattan-ny-10013/832087130459974609/","108 Leonard St, Unit 11A")</f>
        <v>108 Leonard St, Unit 11A</v>
      </c>
      <c r="B79" s="2" t="str">
        <f>HYPERLINK("https://www.compass.com/building/108-leonard-st-manhattan-ny-10013/307456049610778277/","108 Leonard St")</f>
        <v>108 Leonard St</v>
      </c>
      <c r="C79" s="1" t="s">
        <v>113</v>
      </c>
      <c r="D79" s="1" t="s">
        <v>41</v>
      </c>
      <c r="E79" s="3">
        <v>4375000</v>
      </c>
      <c r="F79" s="1">
        <v>2474.5475113122102</v>
      </c>
      <c r="G79" s="1">
        <v>5.5</v>
      </c>
      <c r="H79" s="1">
        <v>2</v>
      </c>
      <c r="I79" s="1">
        <v>3</v>
      </c>
      <c r="J79" s="1">
        <v>2.5</v>
      </c>
      <c r="K79" s="1">
        <v>2</v>
      </c>
      <c r="L79" s="1">
        <v>1</v>
      </c>
      <c r="M79" s="4">
        <v>1768</v>
      </c>
      <c r="N79" s="1">
        <v>2096</v>
      </c>
      <c r="O79" s="1">
        <v>4932</v>
      </c>
      <c r="P79" s="1">
        <v>2836</v>
      </c>
      <c r="Q79" s="1" t="s">
        <v>42</v>
      </c>
      <c r="S79" s="1" t="s">
        <v>42</v>
      </c>
      <c r="T79" s="1" t="s">
        <v>51</v>
      </c>
      <c r="U79" s="1">
        <v>28</v>
      </c>
      <c r="V79" s="5">
        <v>44406</v>
      </c>
      <c r="W79" s="5">
        <v>44399</v>
      </c>
      <c r="X79" s="1">
        <v>4375000</v>
      </c>
      <c r="AB79" s="1" t="s">
        <v>44</v>
      </c>
      <c r="AF79" s="1">
        <v>10013</v>
      </c>
      <c r="AI79" s="1" t="s">
        <v>78</v>
      </c>
      <c r="AJ79" s="1">
        <v>1899</v>
      </c>
      <c r="AK79" s="1" t="s">
        <v>115</v>
      </c>
      <c r="AL79" s="1">
        <v>167</v>
      </c>
    </row>
    <row r="80" spans="1:38" x14ac:dyDescent="0.2">
      <c r="A80" s="2" t="str">
        <f>HYPERLINK("https://www.compass.com/listing/172-madison-avenue-unit-18b-manhattan-ny-10016/847195473281714057/","172 Madison Ave, Unit 18B")</f>
        <v>172 Madison Ave, Unit 18B</v>
      </c>
      <c r="B80" s="2" t="str">
        <f>HYPERLINK("https://www.compass.com/building/172-madison-ave-manhattan-ny-10016/281937956250376981/","172 Madison Ave")</f>
        <v>172 Madison Ave</v>
      </c>
      <c r="C80" s="1" t="s">
        <v>120</v>
      </c>
      <c r="D80" s="1" t="s">
        <v>41</v>
      </c>
      <c r="E80" s="3">
        <v>2500000</v>
      </c>
      <c r="F80" s="1">
        <v>1680.1075268817201</v>
      </c>
      <c r="G80" s="1">
        <v>4</v>
      </c>
      <c r="H80" s="1">
        <v>2</v>
      </c>
      <c r="I80" s="1">
        <v>3</v>
      </c>
      <c r="J80" s="1">
        <v>3</v>
      </c>
      <c r="K80" s="1">
        <v>3</v>
      </c>
      <c r="M80" s="4">
        <v>1488</v>
      </c>
      <c r="N80" s="1">
        <v>2223</v>
      </c>
      <c r="O80" s="1">
        <v>4483</v>
      </c>
      <c r="P80" s="1">
        <v>2260</v>
      </c>
      <c r="Q80" s="1" t="s">
        <v>42</v>
      </c>
      <c r="S80" s="1" t="s">
        <v>42</v>
      </c>
      <c r="T80" s="1" t="s">
        <v>51</v>
      </c>
      <c r="U80" s="1">
        <v>7</v>
      </c>
      <c r="V80" s="5">
        <v>44421</v>
      </c>
      <c r="W80" s="5">
        <v>44420</v>
      </c>
      <c r="X80" s="1">
        <v>2500000</v>
      </c>
      <c r="AB80" s="1" t="s">
        <v>44</v>
      </c>
      <c r="AF80" s="1">
        <v>10016</v>
      </c>
      <c r="AJ80" s="1">
        <v>2016</v>
      </c>
      <c r="AK80" s="1" t="s">
        <v>121</v>
      </c>
      <c r="AL80" s="1">
        <v>72</v>
      </c>
    </row>
    <row r="81" spans="1:38" x14ac:dyDescent="0.2">
      <c r="A81" s="2" t="str">
        <f>HYPERLINK("https://www.compass.com/listing/277-5th-avenue-unit-46b-manhattan-ny-10016/841398384560910705/","277 5th Ave, Unit 46B")</f>
        <v>277 5th Ave, Unit 46B</v>
      </c>
      <c r="B81" s="2" t="str">
        <f>HYPERLINK("https://www.compass.com/building/277-fifth-avenue-manhattan-ny/281939285475645317/","277 FIFTH AVENUE")</f>
        <v>277 FIFTH AVENUE</v>
      </c>
      <c r="C81" s="1" t="s">
        <v>40</v>
      </c>
      <c r="D81" s="1" t="s">
        <v>41</v>
      </c>
      <c r="E81" s="3">
        <v>11500000</v>
      </c>
      <c r="F81" s="1">
        <v>4929.2756108015401</v>
      </c>
      <c r="G81" s="1">
        <v>5</v>
      </c>
      <c r="H81" s="1">
        <v>3</v>
      </c>
      <c r="I81" s="1">
        <v>4</v>
      </c>
      <c r="J81" s="1">
        <v>3.5</v>
      </c>
      <c r="K81" s="1">
        <v>3</v>
      </c>
      <c r="L81" s="1">
        <v>1</v>
      </c>
      <c r="M81" s="4">
        <v>2333</v>
      </c>
      <c r="N81" s="1">
        <v>3433</v>
      </c>
      <c r="O81" s="1">
        <v>6576</v>
      </c>
      <c r="P81" s="1">
        <v>3143</v>
      </c>
      <c r="Q81" s="1" t="s">
        <v>42</v>
      </c>
      <c r="S81" s="1" t="s">
        <v>42</v>
      </c>
      <c r="T81" s="1" t="s">
        <v>51</v>
      </c>
      <c r="U81" s="1">
        <v>15</v>
      </c>
      <c r="V81" s="5">
        <v>44427</v>
      </c>
      <c r="W81" s="5">
        <v>44412</v>
      </c>
      <c r="X81" s="1">
        <v>11500000</v>
      </c>
      <c r="AB81" s="1" t="s">
        <v>44</v>
      </c>
      <c r="AF81" s="1">
        <v>10016</v>
      </c>
      <c r="AI81" s="1" t="s">
        <v>122</v>
      </c>
      <c r="AJ81" s="1">
        <v>2019</v>
      </c>
      <c r="AK81" s="1" t="s">
        <v>49</v>
      </c>
      <c r="AL81" s="1">
        <v>130</v>
      </c>
    </row>
    <row r="82" spans="1:38" x14ac:dyDescent="0.2">
      <c r="A82" s="2" t="str">
        <f>HYPERLINK("https://www.compass.com/listing/100-barclay-street-unit-12d-manhattan-ny-10007/222813662845396481/","100 Barclay St, Unit 12D")</f>
        <v>100 Barclay St, Unit 12D</v>
      </c>
      <c r="B82" s="2" t="str">
        <f>HYPERLINK("https://www.compass.com/building/100-barclay-manhattan-ny/281896670466155525/","100 Barclay")</f>
        <v>100 Barclay</v>
      </c>
      <c r="C82" s="1" t="s">
        <v>50</v>
      </c>
      <c r="D82" s="1" t="s">
        <v>41</v>
      </c>
      <c r="E82" s="3">
        <v>2815000</v>
      </c>
      <c r="F82" s="1">
        <v>2059.2538405267001</v>
      </c>
      <c r="G82" s="1">
        <v>4</v>
      </c>
      <c r="H82" s="1">
        <v>2</v>
      </c>
      <c r="I82" s="1">
        <v>2</v>
      </c>
      <c r="J82" s="1">
        <v>2</v>
      </c>
      <c r="K82" s="1">
        <v>2</v>
      </c>
      <c r="M82" s="4">
        <v>1367</v>
      </c>
      <c r="N82" s="1">
        <v>2320</v>
      </c>
      <c r="O82" s="1">
        <v>4486</v>
      </c>
      <c r="P82" s="1">
        <v>2166</v>
      </c>
      <c r="Q82" s="1" t="s">
        <v>42</v>
      </c>
      <c r="S82" s="1" t="s">
        <v>42</v>
      </c>
      <c r="T82" s="1" t="s">
        <v>51</v>
      </c>
      <c r="U82" s="1">
        <v>93</v>
      </c>
      <c r="V82" s="5">
        <v>44361</v>
      </c>
      <c r="W82" s="5">
        <v>44334</v>
      </c>
      <c r="AB82" s="1" t="s">
        <v>44</v>
      </c>
      <c r="AF82" s="1">
        <v>10007</v>
      </c>
      <c r="AI82" s="1" t="s">
        <v>52</v>
      </c>
      <c r="AJ82" s="1">
        <v>1930</v>
      </c>
      <c r="AK82" s="1" t="s">
        <v>49</v>
      </c>
      <c r="AL82" s="1">
        <v>156</v>
      </c>
    </row>
    <row r="83" spans="1:38" x14ac:dyDescent="0.2">
      <c r="A83" s="2" t="str">
        <f>HYPERLINK("https://www.compass.com/listing/30-warren-street-unit-5a-manhattan-ny-10007/567837299218831009/","30 Warren St, Unit 5A")</f>
        <v>30 Warren St, Unit 5A</v>
      </c>
      <c r="B83" s="2" t="str">
        <f>HYPERLINK("https://www.compass.com/building/30-warren-manhattan-ny/292789104075095813/","30 WARREN")</f>
        <v>30 WARREN</v>
      </c>
      <c r="C83" s="1" t="s">
        <v>50</v>
      </c>
      <c r="D83" s="1" t="s">
        <v>41</v>
      </c>
      <c r="E83" s="3">
        <v>3350000</v>
      </c>
      <c r="F83" s="1">
        <v>2030.30303030303</v>
      </c>
      <c r="G83" s="1">
        <v>4</v>
      </c>
      <c r="H83" s="1">
        <v>2</v>
      </c>
      <c r="I83" s="1">
        <v>2</v>
      </c>
      <c r="J83" s="1">
        <v>2</v>
      </c>
      <c r="K83" s="1">
        <v>2</v>
      </c>
      <c r="M83" s="4">
        <v>1650</v>
      </c>
      <c r="N83" s="1">
        <v>2144.56</v>
      </c>
      <c r="O83" s="1">
        <v>5377.07</v>
      </c>
      <c r="P83" s="1">
        <v>3232.5</v>
      </c>
      <c r="Q83" s="1" t="s">
        <v>42</v>
      </c>
      <c r="S83" s="1" t="s">
        <v>42</v>
      </c>
      <c r="T83" s="1" t="s">
        <v>51</v>
      </c>
      <c r="U83" s="1">
        <v>114</v>
      </c>
      <c r="V83" s="5">
        <v>44427</v>
      </c>
      <c r="W83" s="5">
        <v>44313</v>
      </c>
      <c r="X83" s="1">
        <v>3350000</v>
      </c>
      <c r="AB83" s="1" t="s">
        <v>44</v>
      </c>
      <c r="AD83" s="1" t="s">
        <v>123</v>
      </c>
      <c r="AE83" s="1" t="s">
        <v>124</v>
      </c>
      <c r="AF83" s="1">
        <v>10007</v>
      </c>
      <c r="AJ83" s="1">
        <v>2017</v>
      </c>
      <c r="AK83" s="1" t="s">
        <v>125</v>
      </c>
      <c r="AL83" s="1">
        <v>23</v>
      </c>
    </row>
    <row r="84" spans="1:38" x14ac:dyDescent="0.2">
      <c r="A84" s="2" t="str">
        <f>HYPERLINK("https://www.compass.com/listing/45-east-22nd-street-unit-29b-manhattan-ny-10010/778695141446593441/","45 E 22nd St, Unit 29B")</f>
        <v>45 E 22nd St, Unit 29B</v>
      </c>
      <c r="B84" s="2" t="str">
        <f>HYPERLINK("https://www.compass.com/building/madison-square-park-tower-manhattan-ny/281903584482705973/","Madison Square Park Tower")</f>
        <v>Madison Square Park Tower</v>
      </c>
      <c r="C84" s="1" t="s">
        <v>56</v>
      </c>
      <c r="D84" s="1" t="s">
        <v>41</v>
      </c>
      <c r="E84" s="3">
        <v>4600000</v>
      </c>
      <c r="F84" s="1">
        <v>3072.8122912491599</v>
      </c>
      <c r="G84" s="1">
        <v>4</v>
      </c>
      <c r="H84" s="1">
        <v>2</v>
      </c>
      <c r="I84" s="1">
        <v>2</v>
      </c>
      <c r="J84" s="1">
        <v>2</v>
      </c>
      <c r="K84" s="1">
        <v>2</v>
      </c>
      <c r="M84" s="4">
        <v>1497</v>
      </c>
      <c r="N84" s="1">
        <v>1930</v>
      </c>
      <c r="O84" s="1">
        <v>5535</v>
      </c>
      <c r="P84" s="1">
        <v>3605</v>
      </c>
      <c r="Q84" s="1" t="s">
        <v>42</v>
      </c>
      <c r="S84" s="1" t="s">
        <v>42</v>
      </c>
      <c r="T84" s="1" t="s">
        <v>51</v>
      </c>
      <c r="U84" s="1">
        <v>98</v>
      </c>
      <c r="V84" s="5">
        <v>44427</v>
      </c>
      <c r="W84" s="5">
        <v>44329</v>
      </c>
      <c r="X84" s="1">
        <v>4600000</v>
      </c>
      <c r="AB84" s="1" t="s">
        <v>44</v>
      </c>
      <c r="AF84" s="1">
        <v>10010</v>
      </c>
      <c r="AI84" s="1" t="s">
        <v>48</v>
      </c>
      <c r="AJ84" s="1">
        <v>2016</v>
      </c>
      <c r="AK84" s="1" t="s">
        <v>49</v>
      </c>
      <c r="AL84" s="1">
        <v>83</v>
      </c>
    </row>
    <row r="85" spans="1:38" x14ac:dyDescent="0.2">
      <c r="A85" s="2" t="str">
        <f>HYPERLINK("https://www.compass.com/listing/16-west-40th-street-unit-24d-manhattan-ny-10018/845238369347681521/","16 W 40th St, Unit 24D")</f>
        <v>16 W 40th St, Unit 24D</v>
      </c>
      <c r="B85" s="2" t="str">
        <f>HYPERLINK("https://www.compass.com/building/the-bryant-manhattan-ny/281942863485395813/","The Bryant")</f>
        <v>The Bryant</v>
      </c>
      <c r="C85" s="1" t="s">
        <v>126</v>
      </c>
      <c r="D85" s="1" t="s">
        <v>41</v>
      </c>
      <c r="E85" s="3">
        <v>2650000</v>
      </c>
      <c r="F85" s="1">
        <v>2483.5988753514498</v>
      </c>
      <c r="G85" s="1">
        <v>3</v>
      </c>
      <c r="H85" s="1">
        <v>1</v>
      </c>
      <c r="I85" s="1">
        <v>1</v>
      </c>
      <c r="J85" s="1">
        <v>1</v>
      </c>
      <c r="K85" s="1">
        <v>1</v>
      </c>
      <c r="M85" s="4">
        <v>1067</v>
      </c>
      <c r="N85" s="1">
        <v>2060</v>
      </c>
      <c r="O85" s="1">
        <v>3856</v>
      </c>
      <c r="P85" s="1">
        <v>1796</v>
      </c>
      <c r="Q85" s="1" t="s">
        <v>42</v>
      </c>
      <c r="S85" s="1" t="s">
        <v>42</v>
      </c>
      <c r="T85" s="1" t="s">
        <v>51</v>
      </c>
      <c r="U85" s="1">
        <v>8</v>
      </c>
      <c r="V85" s="5">
        <v>44426</v>
      </c>
      <c r="W85" s="5">
        <v>44419</v>
      </c>
      <c r="X85" s="1">
        <v>2650000</v>
      </c>
      <c r="AB85" s="1" t="s">
        <v>44</v>
      </c>
      <c r="AD85" s="1" t="s">
        <v>127</v>
      </c>
      <c r="AE85" s="1" t="s">
        <v>87</v>
      </c>
      <c r="AF85" s="1">
        <v>10018</v>
      </c>
      <c r="AI85" s="1" t="s">
        <v>128</v>
      </c>
      <c r="AJ85" s="1">
        <v>2017</v>
      </c>
      <c r="AK85" s="1" t="s">
        <v>46</v>
      </c>
      <c r="AL85" s="1">
        <v>57</v>
      </c>
    </row>
    <row r="86" spans="1:38" x14ac:dyDescent="0.2">
      <c r="A86" s="2" t="str">
        <f>HYPERLINK("https://www.compass.com/listing/30-warren-street-unit-3a-manhattan-ny-10007/451455871617243905/","30 Warren St, Unit 3A")</f>
        <v>30 Warren St, Unit 3A</v>
      </c>
      <c r="B86" s="2" t="str">
        <f>HYPERLINK("https://www.compass.com/building/30-warren-manhattan-ny/292789104075095813/","30 WARREN")</f>
        <v>30 WARREN</v>
      </c>
      <c r="C86" s="1" t="s">
        <v>50</v>
      </c>
      <c r="D86" s="1" t="s">
        <v>41</v>
      </c>
      <c r="E86" s="3">
        <v>2995000</v>
      </c>
      <c r="F86" s="1">
        <v>1815.15151515151</v>
      </c>
      <c r="G86" s="1">
        <v>4</v>
      </c>
      <c r="H86" s="1">
        <v>2</v>
      </c>
      <c r="I86" s="1">
        <v>2</v>
      </c>
      <c r="J86" s="1">
        <v>2</v>
      </c>
      <c r="K86" s="1">
        <v>2</v>
      </c>
      <c r="M86" s="4">
        <v>1650</v>
      </c>
      <c r="N86" s="1">
        <v>2123</v>
      </c>
      <c r="O86" s="1">
        <v>5323.67</v>
      </c>
      <c r="P86" s="1">
        <v>3200.6666666666601</v>
      </c>
      <c r="Q86" s="1" t="s">
        <v>42</v>
      </c>
      <c r="S86" s="1" t="s">
        <v>42</v>
      </c>
      <c r="T86" s="1" t="s">
        <v>51</v>
      </c>
      <c r="U86" s="1">
        <v>459</v>
      </c>
      <c r="V86" s="5">
        <v>44426</v>
      </c>
      <c r="W86" s="5">
        <v>43874</v>
      </c>
      <c r="X86" s="1">
        <v>2995000</v>
      </c>
      <c r="AB86" s="1" t="s">
        <v>44</v>
      </c>
      <c r="AD86" s="1" t="s">
        <v>123</v>
      </c>
      <c r="AE86" s="1" t="s">
        <v>124</v>
      </c>
      <c r="AF86" s="1">
        <v>10007</v>
      </c>
      <c r="AJ86" s="1">
        <v>2017</v>
      </c>
      <c r="AK86" s="1" t="s">
        <v>125</v>
      </c>
      <c r="AL86" s="1">
        <v>23</v>
      </c>
    </row>
    <row r="87" spans="1:38" x14ac:dyDescent="0.2">
      <c r="A87" s="2" t="str">
        <f>HYPERLINK("https://www.compass.com/listing/261-west-25th-street-unit-5e-manhattan-ny-10001/831204867165434177/","261 W 25th St, Unit 5E")</f>
        <v>261 W 25th St, Unit 5E</v>
      </c>
      <c r="B87" s="2" t="str">
        <f>HYPERLINK("https://www.compass.com/building/the-seymour-manhattan-ny/281883155990840165/","The Seymour")</f>
        <v>The Seymour</v>
      </c>
      <c r="C87" s="1" t="s">
        <v>62</v>
      </c>
      <c r="D87" s="1" t="s">
        <v>41</v>
      </c>
      <c r="E87" s="3">
        <v>1475000</v>
      </c>
      <c r="F87" s="1">
        <v>1883.78033205619</v>
      </c>
      <c r="G87" s="1">
        <v>3</v>
      </c>
      <c r="H87" s="1">
        <v>1</v>
      </c>
      <c r="I87" s="1">
        <v>1</v>
      </c>
      <c r="J87" s="1">
        <v>1</v>
      </c>
      <c r="K87" s="1">
        <v>1</v>
      </c>
      <c r="M87" s="1">
        <v>783</v>
      </c>
      <c r="N87" s="1">
        <v>1208</v>
      </c>
      <c r="O87" s="1">
        <v>2632</v>
      </c>
      <c r="P87" s="1">
        <v>1424</v>
      </c>
      <c r="Q87" s="1" t="s">
        <v>129</v>
      </c>
      <c r="S87" s="1" t="s">
        <v>42</v>
      </c>
      <c r="T87" s="1" t="s">
        <v>51</v>
      </c>
      <c r="U87" s="1">
        <v>28</v>
      </c>
      <c r="V87" s="5">
        <v>44422</v>
      </c>
      <c r="W87" s="5">
        <v>44399</v>
      </c>
      <c r="X87" s="1">
        <v>1475000</v>
      </c>
      <c r="AB87" s="1" t="s">
        <v>44</v>
      </c>
      <c r="AF87" s="1">
        <v>10001</v>
      </c>
      <c r="AI87" s="1" t="s">
        <v>130</v>
      </c>
      <c r="AJ87" s="1">
        <v>2015</v>
      </c>
      <c r="AK87" s="1" t="s">
        <v>49</v>
      </c>
      <c r="AL87" s="1">
        <v>49</v>
      </c>
    </row>
    <row r="88" spans="1:38" x14ac:dyDescent="0.2">
      <c r="A88" s="2" t="str">
        <f>HYPERLINK("https://www.compass.com/listing/30-warren-street-unit-8a-manhattan-ny-10007/759521441693514729/","30 Warren St, Unit 8A")</f>
        <v>30 Warren St, Unit 8A</v>
      </c>
      <c r="B88" s="2" t="str">
        <f>HYPERLINK("https://www.compass.com/building/30-warren-manhattan-ny/292789104075095813/","30 WARREN")</f>
        <v>30 WARREN</v>
      </c>
      <c r="C88" s="1" t="s">
        <v>50</v>
      </c>
      <c r="D88" s="1" t="s">
        <v>41</v>
      </c>
      <c r="E88" s="3">
        <v>5100000</v>
      </c>
      <c r="F88" s="1">
        <v>2514.7928994082799</v>
      </c>
      <c r="G88" s="1">
        <v>4.5</v>
      </c>
      <c r="H88" s="1">
        <v>2</v>
      </c>
      <c r="I88" s="1">
        <v>3</v>
      </c>
      <c r="J88" s="1">
        <v>2.5</v>
      </c>
      <c r="K88" s="1">
        <v>2</v>
      </c>
      <c r="L88" s="1">
        <v>1</v>
      </c>
      <c r="M88" s="4">
        <v>2028</v>
      </c>
      <c r="N88" s="1">
        <v>2824.64</v>
      </c>
      <c r="O88" s="1">
        <v>7082.25</v>
      </c>
      <c r="P88" s="1">
        <v>4257.5833333333303</v>
      </c>
      <c r="Q88" s="1" t="s">
        <v>42</v>
      </c>
      <c r="S88" s="1" t="s">
        <v>42</v>
      </c>
      <c r="T88" s="1" t="s">
        <v>51</v>
      </c>
      <c r="U88" s="1">
        <v>128</v>
      </c>
      <c r="V88" s="5">
        <v>44426</v>
      </c>
      <c r="W88" s="5">
        <v>44299</v>
      </c>
      <c r="X88" s="1">
        <v>5100000</v>
      </c>
      <c r="AB88" s="1" t="s">
        <v>44</v>
      </c>
      <c r="AD88" s="1" t="s">
        <v>123</v>
      </c>
      <c r="AE88" s="1" t="s">
        <v>124</v>
      </c>
      <c r="AF88" s="1">
        <v>10007</v>
      </c>
      <c r="AI88" s="1" t="s">
        <v>131</v>
      </c>
      <c r="AJ88" s="1">
        <v>2017</v>
      </c>
      <c r="AK88" s="1" t="s">
        <v>125</v>
      </c>
      <c r="AL88" s="1">
        <v>23</v>
      </c>
    </row>
    <row r="89" spans="1:38" x14ac:dyDescent="0.2">
      <c r="A89" s="2" t="str">
        <f>HYPERLINK("https://www.compass.com/listing/45-east-22nd-street-unit-33b-manhattan-ny-10010/472466681283935553/","45 E 22nd St, Unit 33B")</f>
        <v>45 E 22nd St, Unit 33B</v>
      </c>
      <c r="B89" s="2" t="str">
        <f t="shared" ref="B89:B90" si="9">HYPERLINK("https://www.compass.com/building/madison-square-park-tower-manhattan-ny/281903584482705973/","Madison Square Park Tower")</f>
        <v>Madison Square Park Tower</v>
      </c>
      <c r="C89" s="1" t="s">
        <v>56</v>
      </c>
      <c r="D89" s="1" t="s">
        <v>41</v>
      </c>
      <c r="E89" s="3">
        <v>4400000</v>
      </c>
      <c r="F89" s="1">
        <v>2894.7368421052602</v>
      </c>
      <c r="G89" s="1">
        <v>4</v>
      </c>
      <c r="H89" s="1">
        <v>2</v>
      </c>
      <c r="I89" s="1">
        <v>2</v>
      </c>
      <c r="J89" s="1">
        <v>2</v>
      </c>
      <c r="K89" s="1">
        <v>2</v>
      </c>
      <c r="M89" s="4">
        <v>1520</v>
      </c>
      <c r="N89" s="1">
        <v>1913</v>
      </c>
      <c r="O89" s="1">
        <v>5683</v>
      </c>
      <c r="P89" s="1">
        <v>3770</v>
      </c>
      <c r="Q89" s="1" t="s">
        <v>42</v>
      </c>
      <c r="S89" s="1" t="s">
        <v>42</v>
      </c>
      <c r="T89" s="1" t="s">
        <v>51</v>
      </c>
      <c r="U89" s="1">
        <v>430</v>
      </c>
      <c r="V89" s="5">
        <v>44387</v>
      </c>
      <c r="W89" s="5">
        <v>43903</v>
      </c>
      <c r="X89" s="1">
        <v>5195000</v>
      </c>
      <c r="AB89" s="1" t="s">
        <v>44</v>
      </c>
      <c r="AF89" s="1">
        <v>10010</v>
      </c>
      <c r="AI89" s="1" t="s">
        <v>48</v>
      </c>
      <c r="AJ89" s="1">
        <v>2016</v>
      </c>
      <c r="AK89" s="1" t="s">
        <v>46</v>
      </c>
      <c r="AL89" s="1">
        <v>83</v>
      </c>
    </row>
    <row r="90" spans="1:38" x14ac:dyDescent="0.2">
      <c r="A90" s="2" t="str">
        <f>HYPERLINK("https://www.compass.com/listing/45-east-22nd-street-unit-31a-manhattan-ny-10010/569309879842847113/","45 E 22nd St, Unit 31A")</f>
        <v>45 E 22nd St, Unit 31A</v>
      </c>
      <c r="B90" s="2" t="str">
        <f t="shared" si="9"/>
        <v>Madison Square Park Tower</v>
      </c>
      <c r="C90" s="1" t="s">
        <v>56</v>
      </c>
      <c r="D90" s="1" t="s">
        <v>41</v>
      </c>
      <c r="E90" s="3">
        <v>6250000</v>
      </c>
      <c r="F90" s="1">
        <v>3125</v>
      </c>
      <c r="G90" s="1">
        <v>4</v>
      </c>
      <c r="H90" s="1">
        <v>2</v>
      </c>
      <c r="I90" s="1">
        <v>2</v>
      </c>
      <c r="J90" s="1">
        <v>2</v>
      </c>
      <c r="K90" s="1">
        <v>2</v>
      </c>
      <c r="M90" s="4">
        <v>2000</v>
      </c>
      <c r="N90" s="1">
        <v>2557</v>
      </c>
      <c r="O90" s="1">
        <v>7377</v>
      </c>
      <c r="P90" s="1">
        <v>4820</v>
      </c>
      <c r="Q90" s="1" t="s">
        <v>42</v>
      </c>
      <c r="S90" s="1" t="s">
        <v>42</v>
      </c>
      <c r="T90" s="1" t="s">
        <v>51</v>
      </c>
      <c r="U90" s="1">
        <v>120</v>
      </c>
      <c r="V90" s="5">
        <v>44427</v>
      </c>
      <c r="W90" s="5">
        <v>44307</v>
      </c>
      <c r="X90" s="1">
        <v>6250000</v>
      </c>
      <c r="AB90" s="1" t="s">
        <v>44</v>
      </c>
      <c r="AF90" s="1">
        <v>10010</v>
      </c>
      <c r="AI90" s="1" t="s">
        <v>132</v>
      </c>
      <c r="AJ90" s="1">
        <v>2016</v>
      </c>
      <c r="AK90" s="1" t="s">
        <v>46</v>
      </c>
      <c r="AL90" s="1">
        <v>83</v>
      </c>
    </row>
    <row r="91" spans="1:38" x14ac:dyDescent="0.2">
      <c r="A91" s="2" t="str">
        <f>HYPERLINK("https://www.compass.com/listing/100-barclay-street-unit-24b-manhattan-ny-10007/23228791795027825/","100 Barclay St, Unit 24B")</f>
        <v>100 Barclay St, Unit 24B</v>
      </c>
      <c r="B91" s="2" t="str">
        <f t="shared" ref="B91:B92" si="10">HYPERLINK("https://www.compass.com/building/100-barclay-manhattan-ny/281896670466155525/","100 Barclay")</f>
        <v>100 Barclay</v>
      </c>
      <c r="C91" s="1" t="s">
        <v>50</v>
      </c>
      <c r="D91" s="1" t="s">
        <v>41</v>
      </c>
      <c r="E91" s="3">
        <v>6450000</v>
      </c>
      <c r="F91" s="1">
        <v>2247.3867595818801</v>
      </c>
      <c r="G91" s="1">
        <v>6</v>
      </c>
      <c r="H91" s="1">
        <v>4</v>
      </c>
      <c r="I91" s="1">
        <v>4</v>
      </c>
      <c r="J91" s="1">
        <v>4</v>
      </c>
      <c r="K91" s="1">
        <v>4</v>
      </c>
      <c r="M91" s="4">
        <v>2870</v>
      </c>
      <c r="N91" s="1">
        <v>4138</v>
      </c>
      <c r="O91" s="1">
        <v>8884.39</v>
      </c>
      <c r="P91" s="1">
        <v>4746.4166666666597</v>
      </c>
      <c r="Q91" s="1" t="s">
        <v>42</v>
      </c>
      <c r="S91" s="1" t="s">
        <v>42</v>
      </c>
      <c r="T91" s="1" t="s">
        <v>51</v>
      </c>
      <c r="U91" s="1">
        <v>605</v>
      </c>
      <c r="V91" s="5">
        <v>44424</v>
      </c>
      <c r="W91" s="5">
        <v>43728</v>
      </c>
      <c r="AB91" s="1" t="s">
        <v>44</v>
      </c>
      <c r="AF91" s="1">
        <v>10007</v>
      </c>
      <c r="AI91" s="1" t="s">
        <v>52</v>
      </c>
      <c r="AJ91" s="1">
        <v>1930</v>
      </c>
      <c r="AK91" s="1" t="s">
        <v>46</v>
      </c>
      <c r="AL91" s="1">
        <v>156</v>
      </c>
    </row>
    <row r="92" spans="1:38" x14ac:dyDescent="0.2">
      <c r="A92" s="2" t="str">
        <f>HYPERLINK("https://www.compass.com/listing/100-barclay-street-unit-23a-manhattan-ny-10007/325345810644515889/","100 Barclay St, Unit 23A")</f>
        <v>100 Barclay St, Unit 23A</v>
      </c>
      <c r="B92" s="2" t="str">
        <f t="shared" si="10"/>
        <v>100 Barclay</v>
      </c>
      <c r="C92" s="1" t="s">
        <v>50</v>
      </c>
      <c r="D92" s="1" t="s">
        <v>41</v>
      </c>
      <c r="E92" s="3">
        <v>6475000</v>
      </c>
      <c r="F92" s="1">
        <v>2176.4705882352901</v>
      </c>
      <c r="G92" s="1">
        <v>7</v>
      </c>
      <c r="H92" s="1">
        <v>3</v>
      </c>
      <c r="I92" s="1">
        <v>4</v>
      </c>
      <c r="J92" s="1">
        <v>4</v>
      </c>
      <c r="K92" s="1">
        <v>4</v>
      </c>
      <c r="M92" s="4">
        <v>2975</v>
      </c>
      <c r="N92" s="1">
        <v>4289</v>
      </c>
      <c r="O92" s="1">
        <v>9208.48</v>
      </c>
      <c r="P92" s="1">
        <v>4919.5</v>
      </c>
      <c r="Q92" s="1" t="s">
        <v>42</v>
      </c>
      <c r="S92" s="1" t="s">
        <v>42</v>
      </c>
      <c r="T92" s="1" t="s">
        <v>51</v>
      </c>
      <c r="U92" s="1">
        <v>637</v>
      </c>
      <c r="V92" s="5">
        <v>44424</v>
      </c>
      <c r="W92" s="5">
        <v>43696</v>
      </c>
      <c r="X92" s="1">
        <v>6475000</v>
      </c>
      <c r="AB92" s="1" t="s">
        <v>44</v>
      </c>
      <c r="AF92" s="1">
        <v>10007</v>
      </c>
      <c r="AI92" s="1" t="s">
        <v>133</v>
      </c>
      <c r="AJ92" s="1">
        <v>1930</v>
      </c>
      <c r="AK92" s="1" t="s">
        <v>46</v>
      </c>
      <c r="AL92" s="1">
        <v>156</v>
      </c>
    </row>
    <row r="93" spans="1:38" x14ac:dyDescent="0.2">
      <c r="A93" s="2" t="str">
        <f>HYPERLINK("https://www.compass.com/listing/155-west-18th-street-unit-ph4-manhattan-ny-10011/734757060066363705/","155 W 18th St, Unit PH4")</f>
        <v>155 W 18th St, Unit PH4</v>
      </c>
      <c r="B93" s="2" t="str">
        <f>HYPERLINK("https://www.compass.com/building/the-flynn-manhattan-ny/281905793161251925/","The Flynn")</f>
        <v>The Flynn</v>
      </c>
      <c r="C93" s="1" t="s">
        <v>62</v>
      </c>
      <c r="D93" s="1" t="s">
        <v>41</v>
      </c>
      <c r="E93" s="3">
        <v>8250000</v>
      </c>
      <c r="F93" s="1">
        <v>2659.5744680850999</v>
      </c>
      <c r="G93" s="1">
        <v>7</v>
      </c>
      <c r="H93" s="1">
        <v>4</v>
      </c>
      <c r="I93" s="1">
        <v>5</v>
      </c>
      <c r="J93" s="1">
        <v>4.5</v>
      </c>
      <c r="K93" s="1">
        <v>4</v>
      </c>
      <c r="L93" s="1">
        <v>1</v>
      </c>
      <c r="M93" s="4">
        <v>3102</v>
      </c>
      <c r="N93" s="1">
        <v>4300</v>
      </c>
      <c r="O93" s="1">
        <v>10384</v>
      </c>
      <c r="P93" s="1">
        <v>6084</v>
      </c>
      <c r="Q93" s="1" t="s">
        <v>42</v>
      </c>
      <c r="S93" s="1" t="s">
        <v>42</v>
      </c>
      <c r="T93" s="1" t="s">
        <v>51</v>
      </c>
      <c r="U93" s="1">
        <v>161</v>
      </c>
      <c r="V93" s="5">
        <v>44424</v>
      </c>
      <c r="W93" s="5">
        <v>44266</v>
      </c>
      <c r="X93" s="1">
        <v>8250000</v>
      </c>
      <c r="AB93" s="1" t="s">
        <v>44</v>
      </c>
      <c r="AF93" s="1">
        <v>10011</v>
      </c>
      <c r="AI93" s="1" t="s">
        <v>134</v>
      </c>
      <c r="AJ93" s="1">
        <v>2016</v>
      </c>
      <c r="AK93" s="1" t="s">
        <v>46</v>
      </c>
      <c r="AL93" s="1">
        <v>30</v>
      </c>
    </row>
    <row r="94" spans="1:38" x14ac:dyDescent="0.2">
      <c r="A94" s="2" t="str">
        <f>HYPERLINK("https://www.compass.com/listing/560-west-24th-street-unit-4-manhattan-ny-10011/779837644775298489/","560 W 24th St, Unit 4")</f>
        <v>560 W 24th St, Unit 4</v>
      </c>
      <c r="B94" s="2" t="str">
        <f>HYPERLINK("https://www.compass.com/building/five-sixty-manhattan-ny/282058548421098597/","Five Sixty")</f>
        <v>Five Sixty</v>
      </c>
      <c r="C94" s="1" t="s">
        <v>62</v>
      </c>
      <c r="D94" s="1" t="s">
        <v>41</v>
      </c>
      <c r="E94" s="3">
        <v>6800000</v>
      </c>
      <c r="F94" s="1">
        <v>2113.7705937208498</v>
      </c>
      <c r="G94" s="1">
        <v>10</v>
      </c>
      <c r="H94" s="1">
        <v>4</v>
      </c>
      <c r="I94" s="1">
        <v>5</v>
      </c>
      <c r="J94" s="1">
        <v>4.5</v>
      </c>
      <c r="K94" s="1">
        <v>4</v>
      </c>
      <c r="L94" s="1">
        <v>1</v>
      </c>
      <c r="M94" s="4">
        <v>3217</v>
      </c>
      <c r="N94" s="1">
        <v>5799</v>
      </c>
      <c r="O94" s="1">
        <v>11103</v>
      </c>
      <c r="P94" s="1">
        <v>5304</v>
      </c>
      <c r="Q94" s="1" t="s">
        <v>42</v>
      </c>
      <c r="S94" s="1" t="s">
        <v>42</v>
      </c>
      <c r="T94" s="1" t="s">
        <v>51</v>
      </c>
      <c r="U94" s="1">
        <v>100</v>
      </c>
      <c r="V94" s="5">
        <v>44425</v>
      </c>
      <c r="W94" s="5">
        <v>44327</v>
      </c>
      <c r="X94" s="1">
        <v>6800000</v>
      </c>
      <c r="AB94" s="1" t="s">
        <v>44</v>
      </c>
      <c r="AF94" s="1">
        <v>10011</v>
      </c>
      <c r="AI94" s="1" t="s">
        <v>135</v>
      </c>
      <c r="AJ94" s="1">
        <v>2015</v>
      </c>
      <c r="AK94" s="1" t="s">
        <v>108</v>
      </c>
      <c r="AL94" s="1">
        <v>8</v>
      </c>
    </row>
    <row r="95" spans="1:38" x14ac:dyDescent="0.2">
      <c r="A95" s="2" t="str">
        <f>HYPERLINK("https://www.compass.com/listing/45-east-22nd-street-unit-44a-manhattan-ny-10010/801631145884240409/","45 E 22nd St, Unit 44A")</f>
        <v>45 E 22nd St, Unit 44A</v>
      </c>
      <c r="B95" s="2" t="str">
        <f>HYPERLINK("https://www.compass.com/building/madison-square-park-tower-manhattan-ny/281903584482705973/","Madison Square Park Tower")</f>
        <v>Madison Square Park Tower</v>
      </c>
      <c r="C95" s="1" t="s">
        <v>56</v>
      </c>
      <c r="D95" s="1" t="s">
        <v>41</v>
      </c>
      <c r="E95" s="3">
        <v>7450000</v>
      </c>
      <c r="F95" s="1">
        <v>3039.5756833945302</v>
      </c>
      <c r="G95" s="1">
        <v>7</v>
      </c>
      <c r="H95" s="1">
        <v>3</v>
      </c>
      <c r="I95" s="1">
        <v>3</v>
      </c>
      <c r="J95" s="1">
        <v>3</v>
      </c>
      <c r="K95" s="1">
        <v>3</v>
      </c>
      <c r="M95" s="4">
        <v>2451</v>
      </c>
      <c r="N95" s="1">
        <v>3212</v>
      </c>
      <c r="O95" s="1">
        <v>9532</v>
      </c>
      <c r="P95" s="1">
        <v>6320</v>
      </c>
      <c r="Q95" s="1" t="s">
        <v>42</v>
      </c>
      <c r="S95" s="1" t="s">
        <v>42</v>
      </c>
      <c r="T95" s="1" t="s">
        <v>51</v>
      </c>
      <c r="U95" s="1">
        <v>278</v>
      </c>
      <c r="V95" s="5">
        <v>44425</v>
      </c>
      <c r="W95" s="5">
        <v>44148</v>
      </c>
      <c r="X95" s="1">
        <v>7999000</v>
      </c>
      <c r="AB95" s="1" t="s">
        <v>44</v>
      </c>
      <c r="AF95" s="1">
        <v>10010</v>
      </c>
      <c r="AI95" s="1" t="s">
        <v>48</v>
      </c>
      <c r="AJ95" s="1">
        <v>2016</v>
      </c>
      <c r="AK95" s="1" t="s">
        <v>46</v>
      </c>
      <c r="AL95" s="1">
        <v>83</v>
      </c>
    </row>
    <row r="96" spans="1:38" x14ac:dyDescent="0.2">
      <c r="A96" s="2" t="str">
        <f>HYPERLINK("https://www.compass.com/listing/241-west-107th-street-unit-2-manhattan-ny-10025/748830291606838457/","241 W 107th St, Unit 2")</f>
        <v>241 W 107th St, Unit 2</v>
      </c>
      <c r="B96" s="2" t="str">
        <f>HYPERLINK("https://www.compass.com/building/241-w-107th-st-manhattan-ny-10025/281969820646330101/","241 W 107th St")</f>
        <v>241 W 107th St</v>
      </c>
      <c r="C96" s="1" t="s">
        <v>57</v>
      </c>
      <c r="D96" s="1" t="s">
        <v>41</v>
      </c>
      <c r="E96" s="3">
        <v>1895000</v>
      </c>
      <c r="F96" s="1">
        <v>1222.58064516129</v>
      </c>
      <c r="G96" s="1">
        <v>6</v>
      </c>
      <c r="H96" s="1">
        <v>3</v>
      </c>
      <c r="I96" s="1">
        <v>2</v>
      </c>
      <c r="J96" s="1">
        <v>2</v>
      </c>
      <c r="K96" s="1">
        <v>2</v>
      </c>
      <c r="M96" s="4">
        <v>1550</v>
      </c>
      <c r="N96" s="1">
        <v>1425</v>
      </c>
      <c r="O96" s="1">
        <v>2175</v>
      </c>
      <c r="P96" s="1">
        <v>750</v>
      </c>
      <c r="Q96" s="1" t="s">
        <v>42</v>
      </c>
      <c r="S96" s="1" t="s">
        <v>42</v>
      </c>
      <c r="T96" s="1" t="s">
        <v>51</v>
      </c>
      <c r="U96" s="1">
        <v>118</v>
      </c>
      <c r="V96" s="5">
        <v>44421</v>
      </c>
      <c r="W96" s="5">
        <v>44283</v>
      </c>
      <c r="X96" s="1">
        <v>2000000</v>
      </c>
      <c r="Z96" s="5">
        <v>44336</v>
      </c>
      <c r="AB96" s="1" t="s">
        <v>44</v>
      </c>
      <c r="AF96" s="1">
        <v>10025</v>
      </c>
      <c r="AI96" s="1" t="s">
        <v>111</v>
      </c>
      <c r="AJ96" s="1">
        <v>2014</v>
      </c>
      <c r="AK96" s="1" t="s">
        <v>136</v>
      </c>
      <c r="AL96" s="1">
        <v>6</v>
      </c>
    </row>
    <row r="97" spans="1:38" x14ac:dyDescent="0.2">
      <c r="A97" s="2" t="str">
        <f>HYPERLINK("https://www.compass.com/listing/30-warren-street-unit-ph3-manhattan-ny-10007/756576766159939457/","30 Warren St, Unit PH3")</f>
        <v>30 Warren St, Unit PH3</v>
      </c>
      <c r="B97" s="2" t="str">
        <f>HYPERLINK("https://www.compass.com/building/30-warren-manhattan-ny/292789104075095813/","30 WARREN")</f>
        <v>30 WARREN</v>
      </c>
      <c r="C97" s="1" t="s">
        <v>50</v>
      </c>
      <c r="D97" s="1" t="s">
        <v>41</v>
      </c>
      <c r="E97" s="3">
        <v>7360000</v>
      </c>
      <c r="F97" s="1">
        <v>2775.2639517345401</v>
      </c>
      <c r="G97" s="1">
        <v>5</v>
      </c>
      <c r="H97" s="1">
        <v>3</v>
      </c>
      <c r="I97" s="1">
        <v>3</v>
      </c>
      <c r="J97" s="1">
        <v>3</v>
      </c>
      <c r="K97" s="1">
        <v>3</v>
      </c>
      <c r="M97" s="4">
        <v>2652</v>
      </c>
      <c r="N97" s="1">
        <v>3767.84</v>
      </c>
      <c r="O97" s="1">
        <v>9447.16</v>
      </c>
      <c r="P97" s="1">
        <v>5679.3333333333303</v>
      </c>
      <c r="Q97" s="1" t="s">
        <v>42</v>
      </c>
      <c r="S97" s="1" t="s">
        <v>42</v>
      </c>
      <c r="T97" s="1" t="s">
        <v>51</v>
      </c>
      <c r="U97" s="1">
        <v>132</v>
      </c>
      <c r="V97" s="5">
        <v>44426</v>
      </c>
      <c r="W97" s="5">
        <v>44295</v>
      </c>
      <c r="X97" s="1">
        <v>7360000</v>
      </c>
      <c r="AB97" s="1" t="s">
        <v>44</v>
      </c>
      <c r="AD97" s="1" t="s">
        <v>123</v>
      </c>
      <c r="AE97" s="1" t="s">
        <v>124</v>
      </c>
      <c r="AF97" s="1">
        <v>10007</v>
      </c>
      <c r="AI97" s="1" t="s">
        <v>137</v>
      </c>
      <c r="AJ97" s="1">
        <v>2017</v>
      </c>
      <c r="AK97" s="1" t="s">
        <v>125</v>
      </c>
      <c r="AL97" s="1">
        <v>23</v>
      </c>
    </row>
    <row r="98" spans="1:38" x14ac:dyDescent="0.2">
      <c r="A98" s="2" t="str">
        <f>HYPERLINK("https://www.compass.com/listing/49-chambers-street-unit-17c-manhattan-ny-10007/699325946022216833/","49 Chambers St, Unit 17C")</f>
        <v>49 Chambers St, Unit 17C</v>
      </c>
      <c r="B98" s="2" t="str">
        <f>HYPERLINK("https://www.compass.com/building/49-chambers-manhattan-ny/282058733280852725/","49 Chambers")</f>
        <v>49 Chambers</v>
      </c>
      <c r="C98" s="1" t="s">
        <v>113</v>
      </c>
      <c r="D98" s="1" t="s">
        <v>41</v>
      </c>
      <c r="E98" s="3">
        <v>2250000</v>
      </c>
      <c r="F98" s="1">
        <v>1777.2511848341201</v>
      </c>
      <c r="G98" s="1">
        <v>4.5</v>
      </c>
      <c r="H98" s="1">
        <v>1</v>
      </c>
      <c r="I98" s="1">
        <v>2</v>
      </c>
      <c r="J98" s="1">
        <v>1.5</v>
      </c>
      <c r="K98" s="1">
        <v>1</v>
      </c>
      <c r="L98" s="1">
        <v>1</v>
      </c>
      <c r="M98" s="4">
        <v>1266</v>
      </c>
      <c r="N98" s="1">
        <v>1059</v>
      </c>
      <c r="O98" s="1">
        <v>3341</v>
      </c>
      <c r="P98" s="1">
        <v>2282</v>
      </c>
      <c r="Q98" s="1" t="s">
        <v>42</v>
      </c>
      <c r="S98" s="1" t="s">
        <v>42</v>
      </c>
      <c r="T98" s="1" t="s">
        <v>51</v>
      </c>
      <c r="U98" s="1">
        <v>223</v>
      </c>
      <c r="V98" s="5">
        <v>44427</v>
      </c>
      <c r="W98" s="5">
        <v>44204</v>
      </c>
      <c r="X98" s="1">
        <v>2475000</v>
      </c>
      <c r="AB98" s="1" t="s">
        <v>44</v>
      </c>
      <c r="AF98" s="1">
        <v>10007</v>
      </c>
      <c r="AI98" s="1" t="s">
        <v>114</v>
      </c>
      <c r="AJ98" s="1">
        <v>1910</v>
      </c>
      <c r="AK98" s="1" t="s">
        <v>49</v>
      </c>
      <c r="AL98" s="1">
        <v>99</v>
      </c>
    </row>
    <row r="99" spans="1:38" x14ac:dyDescent="0.2">
      <c r="A99" s="2" t="str">
        <f>HYPERLINK("https://www.compass.com/listing/30-warren-street-unit-9a-manhattan-ny-10007/263584096427459569/","30 Warren St, Unit 9A")</f>
        <v>30 Warren St, Unit 9A</v>
      </c>
      <c r="B99" s="2" t="str">
        <f>HYPERLINK("https://www.compass.com/building/30-warren-manhattan-ny/292789104075095813/","30 WARREN")</f>
        <v>30 WARREN</v>
      </c>
      <c r="C99" s="1" t="s">
        <v>50</v>
      </c>
      <c r="D99" s="1" t="s">
        <v>41</v>
      </c>
      <c r="E99" s="3">
        <v>5650000</v>
      </c>
      <c r="F99" s="1">
        <v>2405.2788420604502</v>
      </c>
      <c r="G99" s="1">
        <v>5</v>
      </c>
      <c r="H99" s="1">
        <v>3</v>
      </c>
      <c r="I99" s="1">
        <v>3</v>
      </c>
      <c r="J99" s="1">
        <v>3</v>
      </c>
      <c r="K99" s="1">
        <v>3</v>
      </c>
      <c r="M99" s="4">
        <v>2349</v>
      </c>
      <c r="N99" s="1">
        <v>3141.73</v>
      </c>
      <c r="O99" s="1">
        <v>7877.28</v>
      </c>
      <c r="P99" s="1">
        <v>4735.5833333333303</v>
      </c>
      <c r="Q99" s="1" t="s">
        <v>42</v>
      </c>
      <c r="S99" s="1" t="s">
        <v>42</v>
      </c>
      <c r="T99" s="1" t="s">
        <v>51</v>
      </c>
      <c r="U99" s="1">
        <v>718</v>
      </c>
      <c r="V99" s="5">
        <v>44426</v>
      </c>
      <c r="W99" s="5">
        <v>43615</v>
      </c>
      <c r="X99" s="1">
        <v>5650000</v>
      </c>
      <c r="AB99" s="1" t="s">
        <v>44</v>
      </c>
      <c r="AD99" s="1" t="s">
        <v>123</v>
      </c>
      <c r="AE99" s="1" t="s">
        <v>124</v>
      </c>
      <c r="AF99" s="1">
        <v>10007</v>
      </c>
      <c r="AI99" s="1" t="s">
        <v>138</v>
      </c>
      <c r="AJ99" s="1">
        <v>2017</v>
      </c>
      <c r="AK99" s="1" t="s">
        <v>125</v>
      </c>
      <c r="AL99" s="1">
        <v>23</v>
      </c>
    </row>
    <row r="100" spans="1:38" x14ac:dyDescent="0.2">
      <c r="A100" s="2" t="str">
        <f>HYPERLINK("https://www.compass.com/listing/217-west-57th-street-unit-127-128-manhattan-ny-10019/846579330049151377/","217 W 57th St, Unit 127/128")</f>
        <v>217 W 57th St, Unit 127/128</v>
      </c>
      <c r="B100" s="2" t="str">
        <f>HYPERLINK("https://www.compass.com/building/central-park-tower-manhattan-ny/292845475244082085/","Central Park Tower")</f>
        <v>Central Park Tower</v>
      </c>
      <c r="C100" s="1" t="s">
        <v>139</v>
      </c>
      <c r="D100" s="1" t="s">
        <v>41</v>
      </c>
      <c r="E100" s="3">
        <v>150000000</v>
      </c>
      <c r="F100" s="1">
        <v>13003.901170351101</v>
      </c>
      <c r="G100" s="1">
        <v>14.5</v>
      </c>
      <c r="H100" s="1">
        <v>8</v>
      </c>
      <c r="I100" s="1">
        <v>10</v>
      </c>
      <c r="J100" s="1">
        <v>9.5</v>
      </c>
      <c r="K100" s="1">
        <v>9</v>
      </c>
      <c r="L100" s="1">
        <v>1</v>
      </c>
      <c r="M100" s="4">
        <v>11535</v>
      </c>
      <c r="N100" s="1">
        <v>17750</v>
      </c>
      <c r="O100" s="1">
        <v>49075</v>
      </c>
      <c r="P100" s="1">
        <v>31325</v>
      </c>
      <c r="Q100" s="1" t="s">
        <v>42</v>
      </c>
      <c r="S100" s="1" t="s">
        <v>42</v>
      </c>
      <c r="T100" s="1" t="s">
        <v>51</v>
      </c>
      <c r="U100" s="1">
        <v>8</v>
      </c>
      <c r="V100" s="5">
        <v>44421</v>
      </c>
      <c r="W100" s="5">
        <v>44419</v>
      </c>
      <c r="X100" s="1">
        <v>150000000</v>
      </c>
      <c r="AB100" s="1" t="s">
        <v>44</v>
      </c>
      <c r="AF100" s="1">
        <v>10019</v>
      </c>
      <c r="AI100" s="1" t="s">
        <v>140</v>
      </c>
      <c r="AJ100" s="1">
        <v>2020</v>
      </c>
      <c r="AK100" s="1" t="s">
        <v>108</v>
      </c>
      <c r="AL100" s="1">
        <v>179</v>
      </c>
    </row>
    <row r="101" spans="1:38" x14ac:dyDescent="0.2">
      <c r="A101" s="2" t="str">
        <f>HYPERLINK("https://www.compass.com/listing/225-east-81st-street-unit-ph-manhattan-ny-10028/829372129547500521/","225 E 81st St, Unit PH")</f>
        <v>225 E 81st St, Unit PH</v>
      </c>
      <c r="B101" s="2" t="str">
        <f>HYPERLINK("https://www.compass.com/building/the-justin-manhattan-ny/282057109682552965/","The Justin")</f>
        <v>The Justin</v>
      </c>
      <c r="C101" s="1" t="s">
        <v>82</v>
      </c>
      <c r="D101" s="1" t="s">
        <v>41</v>
      </c>
      <c r="E101" s="3">
        <v>5000000</v>
      </c>
      <c r="F101" s="1">
        <v>2831.2570781426898</v>
      </c>
      <c r="G101" s="1">
        <v>6</v>
      </c>
      <c r="H101" s="1">
        <v>3</v>
      </c>
      <c r="I101" s="1">
        <v>3</v>
      </c>
      <c r="J101" s="1">
        <v>2.5</v>
      </c>
      <c r="K101" s="1">
        <v>2</v>
      </c>
      <c r="L101" s="1">
        <v>1</v>
      </c>
      <c r="M101" s="4">
        <v>1766</v>
      </c>
      <c r="N101" s="1">
        <v>3164</v>
      </c>
      <c r="O101" s="1">
        <v>4504</v>
      </c>
      <c r="P101" s="1">
        <v>1340</v>
      </c>
      <c r="Q101" s="1" t="s">
        <v>42</v>
      </c>
      <c r="S101" s="1" t="s">
        <v>42</v>
      </c>
      <c r="T101" s="1" t="s">
        <v>51</v>
      </c>
      <c r="U101" s="1">
        <v>27</v>
      </c>
      <c r="V101" s="5">
        <v>44426</v>
      </c>
      <c r="W101" s="5">
        <v>44400</v>
      </c>
      <c r="X101" s="1">
        <v>5500000</v>
      </c>
      <c r="AB101" s="1" t="s">
        <v>44</v>
      </c>
      <c r="AD101" s="1" t="s">
        <v>141</v>
      </c>
      <c r="AE101" s="1" t="s">
        <v>87</v>
      </c>
      <c r="AF101" s="1">
        <v>10028</v>
      </c>
      <c r="AI101" s="1" t="s">
        <v>142</v>
      </c>
      <c r="AJ101" s="1">
        <v>1920</v>
      </c>
      <c r="AK101" s="1" t="s">
        <v>143</v>
      </c>
      <c r="AL101" s="1">
        <v>5</v>
      </c>
    </row>
    <row r="102" spans="1:38" x14ac:dyDescent="0.2">
      <c r="A102" s="2" t="str">
        <f>HYPERLINK("https://www.compass.com/listing/45-east-22nd-street-unit-60-manhattan-ny-10010/385930589232043937/","45 E 22nd St, Unit 60")</f>
        <v>45 E 22nd St, Unit 60</v>
      </c>
      <c r="B102" s="2" t="str">
        <f>HYPERLINK("https://www.compass.com/building/madison-square-park-tower-manhattan-ny/281903584482705973/","Madison Square Park Tower")</f>
        <v>Madison Square Park Tower</v>
      </c>
      <c r="C102" s="1" t="s">
        <v>56</v>
      </c>
      <c r="D102" s="1" t="s">
        <v>41</v>
      </c>
      <c r="E102" s="3">
        <v>14750000</v>
      </c>
      <c r="F102" s="1">
        <v>3162.5214408233201</v>
      </c>
      <c r="G102" s="1">
        <v>10</v>
      </c>
      <c r="H102" s="1">
        <v>4</v>
      </c>
      <c r="I102" s="1">
        <v>5</v>
      </c>
      <c r="J102" s="1">
        <v>4.5</v>
      </c>
      <c r="K102" s="1">
        <v>4</v>
      </c>
      <c r="L102" s="1">
        <v>1</v>
      </c>
      <c r="M102" s="4">
        <v>4664</v>
      </c>
      <c r="N102" s="1">
        <v>6786</v>
      </c>
      <c r="O102" s="1">
        <v>20270</v>
      </c>
      <c r="P102" s="1">
        <v>13484</v>
      </c>
      <c r="Q102" s="1" t="s">
        <v>42</v>
      </c>
      <c r="S102" s="1" t="s">
        <v>42</v>
      </c>
      <c r="T102" s="1" t="s">
        <v>51</v>
      </c>
      <c r="U102" s="1">
        <v>244</v>
      </c>
      <c r="V102" s="5">
        <v>44427</v>
      </c>
      <c r="W102" s="5">
        <v>44183</v>
      </c>
      <c r="AB102" s="1" t="s">
        <v>44</v>
      </c>
      <c r="AF102" s="1">
        <v>10010</v>
      </c>
      <c r="AI102" s="1" t="s">
        <v>48</v>
      </c>
      <c r="AJ102" s="1">
        <v>2016</v>
      </c>
      <c r="AK102" s="1" t="s">
        <v>49</v>
      </c>
      <c r="AL102" s="1">
        <v>83</v>
      </c>
    </row>
    <row r="103" spans="1:38" x14ac:dyDescent="0.2">
      <c r="A103" s="2" t="str">
        <f>HYPERLINK("https://www.compass.com/listing/30-warren-street-unit-ph2-manhattan-ny-10007/705921519455514585/","30 Warren St, Unit PH2")</f>
        <v>30 Warren St, Unit PH2</v>
      </c>
      <c r="B103" s="2" t="str">
        <f>HYPERLINK("https://www.compass.com/building/30-warren-manhattan-ny/292789104075095813/","30 WARREN")</f>
        <v>30 WARREN</v>
      </c>
      <c r="C103" s="1" t="s">
        <v>50</v>
      </c>
      <c r="D103" s="1" t="s">
        <v>41</v>
      </c>
      <c r="E103" s="3">
        <v>6495000</v>
      </c>
      <c r="F103" s="1">
        <v>2449.0950226244299</v>
      </c>
      <c r="G103" s="1">
        <v>5</v>
      </c>
      <c r="H103" s="1">
        <v>3</v>
      </c>
      <c r="I103" s="1">
        <v>3</v>
      </c>
      <c r="J103" s="1">
        <v>3</v>
      </c>
      <c r="K103" s="1">
        <v>3</v>
      </c>
      <c r="M103" s="4">
        <v>2652</v>
      </c>
      <c r="N103" s="1">
        <v>3577.54</v>
      </c>
      <c r="O103" s="1">
        <v>8970.0299999999897</v>
      </c>
      <c r="P103" s="1">
        <v>5392.5</v>
      </c>
      <c r="Q103" s="1" t="s">
        <v>42</v>
      </c>
      <c r="S103" s="1" t="s">
        <v>42</v>
      </c>
      <c r="T103" s="1" t="s">
        <v>51</v>
      </c>
      <c r="U103" s="1">
        <v>202</v>
      </c>
      <c r="V103" s="5">
        <v>44426</v>
      </c>
      <c r="W103" s="5">
        <v>44225</v>
      </c>
      <c r="X103" s="1">
        <v>6495000</v>
      </c>
      <c r="AB103" s="1" t="s">
        <v>44</v>
      </c>
      <c r="AD103" s="1" t="s">
        <v>123</v>
      </c>
      <c r="AE103" s="1" t="s">
        <v>124</v>
      </c>
      <c r="AF103" s="1">
        <v>10007</v>
      </c>
      <c r="AI103" s="1" t="s">
        <v>135</v>
      </c>
      <c r="AJ103" s="1">
        <v>2017</v>
      </c>
      <c r="AK103" s="1" t="s">
        <v>125</v>
      </c>
      <c r="AL103" s="1">
        <v>23</v>
      </c>
    </row>
    <row r="104" spans="1:38" x14ac:dyDescent="0.2">
      <c r="A104" s="2" t="str">
        <f>HYPERLINK("https://www.compass.com/listing/55-west-17th-street-unit-402-manhattan-ny-10011/764307580433130113/","55 W 17th St, Unit 402")</f>
        <v>55 W 17th St, Unit 402</v>
      </c>
      <c r="B104" s="2" t="str">
        <f>HYPERLINK("https://www.compass.com/building/55-w-17th-st-manhattan-ny-10011/281911689161499829/","55 W 17th St")</f>
        <v>55 W 17th St</v>
      </c>
      <c r="C104" s="1" t="s">
        <v>56</v>
      </c>
      <c r="D104" s="1" t="s">
        <v>41</v>
      </c>
      <c r="E104" s="3">
        <v>1799000</v>
      </c>
      <c r="F104" s="1">
        <v>2067.8160919540201</v>
      </c>
      <c r="G104" s="1">
        <v>3</v>
      </c>
      <c r="H104" s="1">
        <v>1</v>
      </c>
      <c r="I104" s="1">
        <v>1</v>
      </c>
      <c r="J104" s="1">
        <v>1</v>
      </c>
      <c r="K104" s="1">
        <v>1</v>
      </c>
      <c r="M104" s="1">
        <v>870</v>
      </c>
      <c r="N104" s="1">
        <v>1138</v>
      </c>
      <c r="O104" s="1">
        <v>2683</v>
      </c>
      <c r="P104" s="1">
        <v>1545</v>
      </c>
      <c r="Q104" s="1" t="s">
        <v>129</v>
      </c>
      <c r="S104" s="1" t="s">
        <v>42</v>
      </c>
      <c r="T104" s="1" t="s">
        <v>51</v>
      </c>
      <c r="U104" s="1">
        <v>120</v>
      </c>
      <c r="V104" s="5">
        <v>44307</v>
      </c>
      <c r="W104" s="5">
        <v>44306</v>
      </c>
      <c r="X104" s="1">
        <v>1799000</v>
      </c>
      <c r="AB104" s="1" t="s">
        <v>44</v>
      </c>
      <c r="AF104" s="1">
        <v>10011</v>
      </c>
      <c r="AI104" s="1" t="s">
        <v>102</v>
      </c>
      <c r="AJ104" s="1">
        <v>2018</v>
      </c>
      <c r="AK104" s="1" t="s">
        <v>55</v>
      </c>
      <c r="AL104" s="1">
        <v>52</v>
      </c>
    </row>
    <row r="105" spans="1:38" x14ac:dyDescent="0.2">
      <c r="A105" s="2" t="str">
        <f>HYPERLINK("https://www.compass.com/listing/225-west-17th-street-unit-ph1-manhattan-ny-10011/703534675039679201/","225 W 17th St, Unit PH1")</f>
        <v>225 W 17th St, Unit PH1</v>
      </c>
      <c r="B105" s="2" t="str">
        <f>HYPERLINK("https://www.compass.com/building/225-west-17th-street-manhattan-ny/292802090781141541/","225 West 17th Street")</f>
        <v>225 West 17th Street</v>
      </c>
      <c r="C105" s="1" t="s">
        <v>62</v>
      </c>
      <c r="D105" s="1" t="s">
        <v>41</v>
      </c>
      <c r="E105" s="3">
        <v>6950000</v>
      </c>
      <c r="F105" s="1">
        <v>2580.7649461566998</v>
      </c>
      <c r="G105" s="1">
        <v>5</v>
      </c>
      <c r="H105" s="1">
        <v>3</v>
      </c>
      <c r="I105" s="1">
        <v>4</v>
      </c>
      <c r="J105" s="1">
        <v>3.5</v>
      </c>
      <c r="K105" s="1">
        <v>3</v>
      </c>
      <c r="L105" s="1">
        <v>1</v>
      </c>
      <c r="M105" s="4">
        <v>2693</v>
      </c>
      <c r="N105" s="1">
        <v>2422</v>
      </c>
      <c r="O105" s="1">
        <v>7099</v>
      </c>
      <c r="P105" s="1">
        <v>4677</v>
      </c>
      <c r="Q105" s="1" t="s">
        <v>42</v>
      </c>
      <c r="S105" s="1" t="s">
        <v>42</v>
      </c>
      <c r="T105" s="1" t="s">
        <v>51</v>
      </c>
      <c r="U105" s="1">
        <v>204</v>
      </c>
      <c r="V105" s="5">
        <v>44426</v>
      </c>
      <c r="W105" s="5">
        <v>44222</v>
      </c>
      <c r="X105" s="1">
        <v>7500000</v>
      </c>
      <c r="AB105" s="1" t="s">
        <v>44</v>
      </c>
      <c r="AD105" s="1" t="s">
        <v>144</v>
      </c>
      <c r="AE105" s="1" t="s">
        <v>87</v>
      </c>
      <c r="AF105" s="1">
        <v>10011</v>
      </c>
      <c r="AI105" s="1" t="s">
        <v>145</v>
      </c>
      <c r="AJ105" s="1">
        <v>2018</v>
      </c>
      <c r="AK105" s="1" t="s">
        <v>146</v>
      </c>
      <c r="AL105" s="1">
        <v>14</v>
      </c>
    </row>
    <row r="106" spans="1:38" x14ac:dyDescent="0.2">
      <c r="A106" s="2" t="str">
        <f>HYPERLINK("https://www.compass.com/listing/45-east-22nd-street-unit-29a-manhattan-ny-10010/801631405100567553/","45 E 22nd St, Unit 29A")</f>
        <v>45 E 22nd St, Unit 29A</v>
      </c>
      <c r="B106" s="2" t="str">
        <f>HYPERLINK("https://www.compass.com/building/madison-square-park-tower-manhattan-ny/281903584482705973/","Madison Square Park Tower")</f>
        <v>Madison Square Park Tower</v>
      </c>
      <c r="C106" s="1" t="s">
        <v>56</v>
      </c>
      <c r="D106" s="1" t="s">
        <v>41</v>
      </c>
      <c r="E106" s="3">
        <v>5500000</v>
      </c>
      <c r="F106" s="1">
        <v>2794.71544715447</v>
      </c>
      <c r="G106" s="1">
        <v>4</v>
      </c>
      <c r="H106" s="1">
        <v>2</v>
      </c>
      <c r="I106" s="1">
        <v>2</v>
      </c>
      <c r="J106" s="1">
        <v>2</v>
      </c>
      <c r="K106" s="1">
        <v>2</v>
      </c>
      <c r="M106" s="4">
        <v>1968</v>
      </c>
      <c r="N106" s="1">
        <v>2433</v>
      </c>
      <c r="O106" s="1">
        <v>7173</v>
      </c>
      <c r="P106" s="1">
        <v>4740</v>
      </c>
      <c r="Q106" s="1" t="s">
        <v>42</v>
      </c>
      <c r="S106" s="1" t="s">
        <v>42</v>
      </c>
      <c r="T106" s="1" t="s">
        <v>51</v>
      </c>
      <c r="U106" s="1">
        <v>276</v>
      </c>
      <c r="V106" s="5">
        <v>44420</v>
      </c>
      <c r="W106" s="5">
        <v>44151</v>
      </c>
      <c r="X106" s="1">
        <v>5500000</v>
      </c>
      <c r="AB106" s="1" t="s">
        <v>44</v>
      </c>
      <c r="AF106" s="1">
        <v>10010</v>
      </c>
      <c r="AI106" s="1" t="s">
        <v>48</v>
      </c>
      <c r="AJ106" s="1">
        <v>2016</v>
      </c>
      <c r="AK106" s="1" t="s">
        <v>46</v>
      </c>
      <c r="AL106" s="1">
        <v>83</v>
      </c>
    </row>
    <row r="107" spans="1:38" x14ac:dyDescent="0.2">
      <c r="A107" s="2" t="str">
        <f>HYPERLINK("https://www.compass.com/listing/111-murray-street-unit-17b-manhattan-ny-10007/718959783347963689/","111 Murray St, Unit 17B")</f>
        <v>111 Murray St, Unit 17B</v>
      </c>
      <c r="B107" s="2" t="str">
        <f>HYPERLINK("https://www.compass.com/building/111-murray-st-manhattan-ny-10007/281896511862746053/","111 Murray St")</f>
        <v>111 Murray St</v>
      </c>
      <c r="C107" s="1" t="s">
        <v>50</v>
      </c>
      <c r="D107" s="1" t="s">
        <v>41</v>
      </c>
      <c r="E107" s="3">
        <v>3950000</v>
      </c>
      <c r="F107" s="1">
        <v>2511.1252383979599</v>
      </c>
      <c r="G107" s="1">
        <v>4</v>
      </c>
      <c r="H107" s="1">
        <v>2</v>
      </c>
      <c r="I107" s="1">
        <v>2</v>
      </c>
      <c r="J107" s="1">
        <v>2</v>
      </c>
      <c r="K107" s="1">
        <v>2</v>
      </c>
      <c r="M107" s="4">
        <v>1573</v>
      </c>
      <c r="N107" s="1">
        <v>1923</v>
      </c>
      <c r="O107" s="1">
        <v>5099</v>
      </c>
      <c r="P107" s="1">
        <v>3176</v>
      </c>
      <c r="Q107" s="1" t="s">
        <v>42</v>
      </c>
      <c r="S107" s="1" t="s">
        <v>42</v>
      </c>
      <c r="T107" s="1" t="s">
        <v>51</v>
      </c>
      <c r="U107" s="1">
        <v>188</v>
      </c>
      <c r="V107" s="5">
        <v>44427</v>
      </c>
      <c r="W107" s="5">
        <v>44239</v>
      </c>
      <c r="X107" s="1">
        <v>3950000</v>
      </c>
      <c r="AB107" s="1" t="s">
        <v>44</v>
      </c>
      <c r="AF107" s="1">
        <v>10007</v>
      </c>
      <c r="AI107" s="1" t="s">
        <v>80</v>
      </c>
      <c r="AJ107" s="1">
        <v>2018</v>
      </c>
      <c r="AK107" s="1" t="s">
        <v>49</v>
      </c>
      <c r="AL107" s="1">
        <v>157</v>
      </c>
    </row>
    <row r="108" spans="1:38" x14ac:dyDescent="0.2">
      <c r="A108" s="2" t="str">
        <f>HYPERLINK("https://www.compass.com/listing/45-east-22nd-street-unit-15a-manhattan-ny-10010/731316835025322689/","45 E 22nd St, Unit 15A")</f>
        <v>45 E 22nd St, Unit 15A</v>
      </c>
      <c r="B108" s="2" t="str">
        <f>HYPERLINK("https://www.compass.com/building/madison-square-park-tower-manhattan-ny/281903584482705973/","Madison Square Park Tower")</f>
        <v>Madison Square Park Tower</v>
      </c>
      <c r="C108" s="1" t="s">
        <v>56</v>
      </c>
      <c r="D108" s="1" t="s">
        <v>41</v>
      </c>
      <c r="E108" s="3">
        <v>3400000</v>
      </c>
      <c r="F108" s="1">
        <v>1990.6323185011699</v>
      </c>
      <c r="G108" s="1">
        <v>4</v>
      </c>
      <c r="H108" s="1">
        <v>2</v>
      </c>
      <c r="I108" s="1">
        <v>2</v>
      </c>
      <c r="J108" s="1">
        <v>2</v>
      </c>
      <c r="K108" s="1">
        <v>2</v>
      </c>
      <c r="M108" s="4">
        <v>1708</v>
      </c>
      <c r="N108" s="1">
        <v>1819</v>
      </c>
      <c r="O108" s="1">
        <v>5605</v>
      </c>
      <c r="P108" s="1">
        <v>3786</v>
      </c>
      <c r="Q108" s="1" t="s">
        <v>42</v>
      </c>
      <c r="S108" s="1" t="s">
        <v>42</v>
      </c>
      <c r="T108" s="1" t="s">
        <v>51</v>
      </c>
      <c r="U108" s="1">
        <v>171</v>
      </c>
      <c r="V108" s="5">
        <v>44426</v>
      </c>
      <c r="W108" s="5">
        <v>44256</v>
      </c>
      <c r="X108" s="1">
        <v>3400000</v>
      </c>
      <c r="AB108" s="1" t="s">
        <v>44</v>
      </c>
      <c r="AF108" s="1">
        <v>10010</v>
      </c>
      <c r="AI108" s="1" t="s">
        <v>48</v>
      </c>
      <c r="AJ108" s="1">
        <v>2016</v>
      </c>
      <c r="AK108" s="1" t="s">
        <v>46</v>
      </c>
      <c r="AL108" s="1">
        <v>83</v>
      </c>
    </row>
    <row r="109" spans="1:38" x14ac:dyDescent="0.2">
      <c r="A109" s="2" t="str">
        <f>HYPERLINK("https://www.compass.com/listing/121-east-22nd-street-unit-n1102-manhattan-ny-10010/765295407023968033/","121 E 22nd St, Unit N1102")</f>
        <v>121 E 22nd St, Unit N1102</v>
      </c>
      <c r="B109" s="2" t="str">
        <f>HYPERLINK("https://www.compass.com/building/121-e-22nd-manhattan-ny/292795784653461493/","121 E 22nd")</f>
        <v>121 E 22nd</v>
      </c>
      <c r="C109" s="1" t="s">
        <v>64</v>
      </c>
      <c r="D109" s="1" t="s">
        <v>41</v>
      </c>
      <c r="E109" s="3">
        <v>3470000</v>
      </c>
      <c r="F109" s="1">
        <v>2072.8793309438402</v>
      </c>
      <c r="G109" s="1">
        <v>4</v>
      </c>
      <c r="H109" s="1">
        <v>2</v>
      </c>
      <c r="I109" s="1">
        <v>3</v>
      </c>
      <c r="J109" s="1">
        <v>2.5</v>
      </c>
      <c r="K109" s="1">
        <v>2</v>
      </c>
      <c r="L109" s="1">
        <v>1</v>
      </c>
      <c r="M109" s="4">
        <v>1674</v>
      </c>
      <c r="N109" s="1">
        <v>1896</v>
      </c>
      <c r="O109" s="1">
        <v>5465</v>
      </c>
      <c r="P109" s="1">
        <v>3569</v>
      </c>
      <c r="Q109" s="1" t="s">
        <v>42</v>
      </c>
      <c r="S109" s="1" t="s">
        <v>42</v>
      </c>
      <c r="T109" s="1" t="s">
        <v>51</v>
      </c>
      <c r="U109" s="1">
        <v>119</v>
      </c>
      <c r="V109" s="5">
        <v>44412</v>
      </c>
      <c r="W109" s="5">
        <v>44308</v>
      </c>
      <c r="X109" s="1">
        <v>3770000</v>
      </c>
      <c r="AB109" s="1" t="s">
        <v>44</v>
      </c>
      <c r="AF109" s="1">
        <v>10010</v>
      </c>
      <c r="AI109" s="1" t="s">
        <v>109</v>
      </c>
      <c r="AJ109" s="1">
        <v>2016</v>
      </c>
      <c r="AK109" s="1" t="s">
        <v>46</v>
      </c>
      <c r="AL109" s="1">
        <v>140</v>
      </c>
    </row>
    <row r="110" spans="1:38" x14ac:dyDescent="0.2">
      <c r="A110" s="2" t="str">
        <f>HYPERLINK("https://www.compass.com/listing/45-east-22nd-street-unit-40a-manhattan-ny-10010/759119216939384793/","45 E 22nd St, Unit 40A")</f>
        <v>45 E 22nd St, Unit 40A</v>
      </c>
      <c r="B110" s="2" t="str">
        <f>HYPERLINK("https://www.compass.com/building/madison-square-park-tower-manhattan-ny/281903584482705973/","Madison Square Park Tower")</f>
        <v>Madison Square Park Tower</v>
      </c>
      <c r="C110" s="1" t="s">
        <v>56</v>
      </c>
      <c r="D110" s="1" t="s">
        <v>41</v>
      </c>
      <c r="E110" s="3">
        <v>7450000</v>
      </c>
      <c r="F110" s="1">
        <v>3086.1640430820198</v>
      </c>
      <c r="G110" s="1">
        <v>6</v>
      </c>
      <c r="H110" s="1">
        <v>3</v>
      </c>
      <c r="I110" s="1">
        <v>3</v>
      </c>
      <c r="J110" s="1">
        <v>3</v>
      </c>
      <c r="K110" s="1">
        <v>3</v>
      </c>
      <c r="M110" s="4">
        <v>2414</v>
      </c>
      <c r="N110" s="1">
        <v>3269</v>
      </c>
      <c r="O110" s="1">
        <v>9351</v>
      </c>
      <c r="P110" s="1">
        <v>6082</v>
      </c>
      <c r="Q110" s="1" t="s">
        <v>42</v>
      </c>
      <c r="S110" s="1" t="s">
        <v>42</v>
      </c>
      <c r="T110" s="1" t="s">
        <v>51</v>
      </c>
      <c r="U110" s="1">
        <v>128</v>
      </c>
      <c r="V110" s="5">
        <v>44424</v>
      </c>
      <c r="W110" s="5">
        <v>44298</v>
      </c>
      <c r="X110" s="1">
        <v>7450000</v>
      </c>
      <c r="AB110" s="1" t="s">
        <v>44</v>
      </c>
      <c r="AF110" s="1">
        <v>10010</v>
      </c>
      <c r="AI110" s="1" t="s">
        <v>147</v>
      </c>
      <c r="AJ110" s="1">
        <v>2016</v>
      </c>
      <c r="AK110" s="1" t="s">
        <v>46</v>
      </c>
      <c r="AL110" s="1">
        <v>83</v>
      </c>
    </row>
    <row r="111" spans="1:38" x14ac:dyDescent="0.2">
      <c r="A111" s="2" t="str">
        <f>HYPERLINK("https://www.compass.com/listing/121-east-22nd-street-unit-n1605-manhattan-ny-10010/694911944050948617/","121 E 22nd St, Unit N1605")</f>
        <v>121 E 22nd St, Unit N1605</v>
      </c>
      <c r="B111" s="2" t="str">
        <f t="shared" ref="B111:B119" si="11">HYPERLINK("https://www.compass.com/building/121-e-22nd-manhattan-ny/292795784653461493/","121 E 22nd")</f>
        <v>121 E 22nd</v>
      </c>
      <c r="C111" s="1" t="s">
        <v>64</v>
      </c>
      <c r="D111" s="1" t="s">
        <v>41</v>
      </c>
      <c r="E111" s="3">
        <v>3990000</v>
      </c>
      <c r="F111" s="1">
        <v>2377.8307508939201</v>
      </c>
      <c r="G111" s="1">
        <v>3.5</v>
      </c>
      <c r="H111" s="1">
        <v>2</v>
      </c>
      <c r="I111" s="1">
        <v>3</v>
      </c>
      <c r="J111" s="1">
        <v>2.5</v>
      </c>
      <c r="K111" s="1">
        <v>2</v>
      </c>
      <c r="L111" s="1">
        <v>1</v>
      </c>
      <c r="M111" s="4">
        <v>1678</v>
      </c>
      <c r="N111" s="1">
        <v>1901</v>
      </c>
      <c r="O111" s="1">
        <v>5479</v>
      </c>
      <c r="P111" s="1">
        <v>3578</v>
      </c>
      <c r="Q111" s="1" t="s">
        <v>42</v>
      </c>
      <c r="S111" s="1" t="s">
        <v>42</v>
      </c>
      <c r="T111" s="1" t="s">
        <v>51</v>
      </c>
      <c r="U111" s="1">
        <v>216</v>
      </c>
      <c r="V111" s="5">
        <v>44421</v>
      </c>
      <c r="W111" s="5">
        <v>44211</v>
      </c>
      <c r="X111" s="1">
        <v>4200000</v>
      </c>
      <c r="AB111" s="1" t="s">
        <v>44</v>
      </c>
      <c r="AF111" s="1">
        <v>10010</v>
      </c>
      <c r="AI111" s="1" t="s">
        <v>109</v>
      </c>
      <c r="AJ111" s="1">
        <v>2016</v>
      </c>
      <c r="AK111" s="1" t="s">
        <v>46</v>
      </c>
      <c r="AL111" s="1">
        <v>140</v>
      </c>
    </row>
    <row r="112" spans="1:38" x14ac:dyDescent="0.2">
      <c r="A112" s="2" t="str">
        <f>HYPERLINK("https://www.compass.com/listing/121-east-22nd-street-unit-s803-manhattan-ny-10010/410793383082335905/","121 E 22nd St, Unit S803")</f>
        <v>121 E 22nd St, Unit S803</v>
      </c>
      <c r="B112" s="2" t="str">
        <f t="shared" si="11"/>
        <v>121 E 22nd</v>
      </c>
      <c r="C112" s="1" t="s">
        <v>64</v>
      </c>
      <c r="D112" s="1" t="s">
        <v>41</v>
      </c>
      <c r="E112" s="3">
        <v>3460000</v>
      </c>
      <c r="F112" s="1">
        <v>2195.4314720812099</v>
      </c>
      <c r="G112" s="1">
        <v>4</v>
      </c>
      <c r="H112" s="1">
        <v>2</v>
      </c>
      <c r="I112" s="1">
        <v>3</v>
      </c>
      <c r="J112" s="1">
        <v>2.5</v>
      </c>
      <c r="K112" s="1">
        <v>2</v>
      </c>
      <c r="L112" s="1">
        <v>1</v>
      </c>
      <c r="M112" s="4">
        <v>1576</v>
      </c>
      <c r="N112" s="1">
        <v>1665</v>
      </c>
      <c r="O112" s="1">
        <v>4784</v>
      </c>
      <c r="P112" s="1">
        <v>3119</v>
      </c>
      <c r="Q112" s="1" t="s">
        <v>42</v>
      </c>
      <c r="S112" s="1" t="s">
        <v>42</v>
      </c>
      <c r="T112" s="1" t="s">
        <v>51</v>
      </c>
      <c r="U112" s="1">
        <v>514</v>
      </c>
      <c r="V112" s="5">
        <v>44412</v>
      </c>
      <c r="W112" s="5">
        <v>43819</v>
      </c>
      <c r="X112" s="1">
        <v>3460000</v>
      </c>
      <c r="AB112" s="1" t="s">
        <v>44</v>
      </c>
      <c r="AF112" s="1">
        <v>10010</v>
      </c>
      <c r="AI112" s="1" t="s">
        <v>109</v>
      </c>
      <c r="AJ112" s="1">
        <v>2016</v>
      </c>
      <c r="AK112" s="1" t="s">
        <v>46</v>
      </c>
      <c r="AL112" s="1">
        <v>140</v>
      </c>
    </row>
    <row r="113" spans="1:38" x14ac:dyDescent="0.2">
      <c r="A113" s="2" t="str">
        <f>HYPERLINK("https://www.compass.com/listing/121-east-22nd-street-unit-n1702-manhattan-ny-10010/578252335065751049/","121 E 22nd St, Unit N1702")</f>
        <v>121 E 22nd St, Unit N1702</v>
      </c>
      <c r="B113" s="2" t="str">
        <f t="shared" si="11"/>
        <v>121 E 22nd</v>
      </c>
      <c r="C113" s="1" t="s">
        <v>64</v>
      </c>
      <c r="D113" s="1" t="s">
        <v>41</v>
      </c>
      <c r="E113" s="3">
        <v>4580000</v>
      </c>
      <c r="F113" s="1">
        <v>2469.0026954177802</v>
      </c>
      <c r="G113" s="1">
        <v>6</v>
      </c>
      <c r="H113" s="1">
        <v>3</v>
      </c>
      <c r="I113" s="1">
        <v>4</v>
      </c>
      <c r="J113" s="1">
        <v>3.5</v>
      </c>
      <c r="K113" s="1">
        <v>3</v>
      </c>
      <c r="L113" s="1">
        <v>1</v>
      </c>
      <c r="M113" s="4">
        <v>1855</v>
      </c>
      <c r="N113" s="1">
        <v>2057</v>
      </c>
      <c r="O113" s="1">
        <v>5640</v>
      </c>
      <c r="P113" s="1">
        <v>3583</v>
      </c>
      <c r="Q113" s="1" t="s">
        <v>42</v>
      </c>
      <c r="S113" s="1" t="s">
        <v>42</v>
      </c>
      <c r="T113" s="1" t="s">
        <v>51</v>
      </c>
      <c r="U113" s="1">
        <v>368</v>
      </c>
      <c r="V113" s="5">
        <v>44425</v>
      </c>
      <c r="W113" s="5">
        <v>44050</v>
      </c>
      <c r="X113" s="1">
        <v>4680000</v>
      </c>
      <c r="AB113" s="1" t="s">
        <v>44</v>
      </c>
      <c r="AF113" s="1">
        <v>10010</v>
      </c>
      <c r="AI113" s="1" t="s">
        <v>148</v>
      </c>
      <c r="AJ113" s="1">
        <v>2016</v>
      </c>
      <c r="AK113" s="1" t="s">
        <v>46</v>
      </c>
      <c r="AL113" s="1">
        <v>140</v>
      </c>
    </row>
    <row r="114" spans="1:38" x14ac:dyDescent="0.2">
      <c r="A114" s="2" t="str">
        <f>HYPERLINK("https://www.compass.com/listing/121-east-22nd-street-unit-s902-manhattan-ny-10010/59996085480903169/","121 E 22nd St, Unit S902")</f>
        <v>121 E 22nd St, Unit S902</v>
      </c>
      <c r="B114" s="2" t="str">
        <f t="shared" si="11"/>
        <v>121 E 22nd</v>
      </c>
      <c r="C114" s="1" t="s">
        <v>64</v>
      </c>
      <c r="D114" s="1" t="s">
        <v>41</v>
      </c>
      <c r="E114" s="3">
        <v>5250000</v>
      </c>
      <c r="F114" s="1">
        <v>2319.92929739284</v>
      </c>
      <c r="G114" s="1">
        <v>5</v>
      </c>
      <c r="H114" s="1">
        <v>3</v>
      </c>
      <c r="I114" s="1">
        <v>3</v>
      </c>
      <c r="J114" s="1">
        <v>3</v>
      </c>
      <c r="K114" s="1">
        <v>3</v>
      </c>
      <c r="M114" s="4">
        <v>2263</v>
      </c>
      <c r="N114" s="1">
        <v>2911</v>
      </c>
      <c r="O114" s="1">
        <v>8435</v>
      </c>
      <c r="P114" s="1">
        <v>5524</v>
      </c>
      <c r="Q114" s="1" t="s">
        <v>42</v>
      </c>
      <c r="S114" s="1" t="s">
        <v>42</v>
      </c>
      <c r="T114" s="1" t="s">
        <v>51</v>
      </c>
      <c r="U114" s="1">
        <v>998</v>
      </c>
      <c r="V114" s="5">
        <v>44421</v>
      </c>
      <c r="W114" s="5">
        <v>43335</v>
      </c>
      <c r="X114" s="1">
        <v>6385000</v>
      </c>
      <c r="AB114" s="1" t="s">
        <v>44</v>
      </c>
      <c r="AF114" s="1">
        <v>10010</v>
      </c>
      <c r="AI114" s="1" t="s">
        <v>149</v>
      </c>
      <c r="AJ114" s="1">
        <v>2016</v>
      </c>
      <c r="AK114" s="1" t="s">
        <v>46</v>
      </c>
      <c r="AL114" s="1">
        <v>140</v>
      </c>
    </row>
    <row r="115" spans="1:38" x14ac:dyDescent="0.2">
      <c r="A115" s="2" t="str">
        <f>HYPERLINK("https://www.compass.com/listing/121-east-22nd-street-unit-s901-manhattan-ny-10010/700031688521821305/","121 E 22nd St, Unit S901")</f>
        <v>121 E 22nd St, Unit S901</v>
      </c>
      <c r="B115" s="2" t="str">
        <f t="shared" si="11"/>
        <v>121 E 22nd</v>
      </c>
      <c r="C115" s="1" t="s">
        <v>64</v>
      </c>
      <c r="D115" s="1" t="s">
        <v>41</v>
      </c>
      <c r="E115" s="3">
        <v>7395000</v>
      </c>
      <c r="F115" s="1">
        <v>2896.5922444183302</v>
      </c>
      <c r="G115" s="1">
        <v>5.5</v>
      </c>
      <c r="H115" s="1">
        <v>4</v>
      </c>
      <c r="I115" s="1">
        <v>5</v>
      </c>
      <c r="J115" s="1">
        <v>4.5</v>
      </c>
      <c r="K115" s="1">
        <v>4</v>
      </c>
      <c r="L115" s="1">
        <v>1</v>
      </c>
      <c r="M115" s="4">
        <v>2553</v>
      </c>
      <c r="N115" s="1">
        <v>3228</v>
      </c>
      <c r="O115" s="1">
        <v>9346</v>
      </c>
      <c r="P115" s="1">
        <v>6118</v>
      </c>
      <c r="Q115" s="1" t="s">
        <v>42</v>
      </c>
      <c r="S115" s="1" t="s">
        <v>42</v>
      </c>
      <c r="T115" s="1" t="s">
        <v>51</v>
      </c>
      <c r="U115" s="1">
        <v>209</v>
      </c>
      <c r="V115" s="5">
        <v>44417</v>
      </c>
      <c r="W115" s="5">
        <v>44218</v>
      </c>
      <c r="X115" s="1">
        <v>7395000</v>
      </c>
      <c r="AB115" s="1" t="s">
        <v>44</v>
      </c>
      <c r="AF115" s="1">
        <v>10010</v>
      </c>
      <c r="AI115" s="1" t="s">
        <v>149</v>
      </c>
      <c r="AJ115" s="1">
        <v>2016</v>
      </c>
      <c r="AK115" s="1" t="s">
        <v>46</v>
      </c>
      <c r="AL115" s="1">
        <v>140</v>
      </c>
    </row>
    <row r="116" spans="1:38" x14ac:dyDescent="0.2">
      <c r="A116" s="2" t="str">
        <f>HYPERLINK("https://www.compass.com/listing/121-east-22nd-street-unit-s1101-manhattan-ny-10010/606626860008412105/","121 E 22nd St, Unit S1101")</f>
        <v>121 E 22nd St, Unit S1101</v>
      </c>
      <c r="B116" s="2" t="str">
        <f t="shared" si="11"/>
        <v>121 E 22nd</v>
      </c>
      <c r="C116" s="1" t="s">
        <v>64</v>
      </c>
      <c r="D116" s="1" t="s">
        <v>41</v>
      </c>
      <c r="E116" s="3">
        <v>5900000</v>
      </c>
      <c r="F116" s="1">
        <v>2436.00330305532</v>
      </c>
      <c r="G116" s="1">
        <v>4.5</v>
      </c>
      <c r="H116" s="1">
        <v>3</v>
      </c>
      <c r="I116" s="1">
        <v>4</v>
      </c>
      <c r="J116" s="1">
        <v>3.5</v>
      </c>
      <c r="K116" s="1">
        <v>3</v>
      </c>
      <c r="L116" s="1">
        <v>1</v>
      </c>
      <c r="M116" s="4">
        <v>2422</v>
      </c>
      <c r="N116" s="1">
        <v>2719</v>
      </c>
      <c r="O116" s="1">
        <v>8191</v>
      </c>
      <c r="P116" s="1">
        <v>5472</v>
      </c>
      <c r="Q116" s="1" t="s">
        <v>42</v>
      </c>
      <c r="S116" s="1" t="s">
        <v>42</v>
      </c>
      <c r="T116" s="1" t="s">
        <v>51</v>
      </c>
      <c r="U116" s="1">
        <v>338</v>
      </c>
      <c r="V116" s="5">
        <v>44412</v>
      </c>
      <c r="W116" s="5">
        <v>44089</v>
      </c>
      <c r="X116" s="1">
        <v>6675000</v>
      </c>
      <c r="AB116" s="1" t="s">
        <v>44</v>
      </c>
      <c r="AF116" s="1">
        <v>10010</v>
      </c>
      <c r="AI116" s="1" t="s">
        <v>106</v>
      </c>
      <c r="AJ116" s="1">
        <v>2016</v>
      </c>
      <c r="AK116" s="1" t="s">
        <v>46</v>
      </c>
      <c r="AL116" s="1">
        <v>140</v>
      </c>
    </row>
    <row r="117" spans="1:38" x14ac:dyDescent="0.2">
      <c r="A117" s="2" t="str">
        <f>HYPERLINK("https://www.compass.com/listing/121-east-22nd-street-unit-n1304-manhattan-ny-10010/424535724716579249/","121 E 22nd St, Unit N1304")</f>
        <v>121 E 22nd St, Unit N1304</v>
      </c>
      <c r="B117" s="2" t="str">
        <f t="shared" si="11"/>
        <v>121 E 22nd</v>
      </c>
      <c r="C117" s="1" t="s">
        <v>64</v>
      </c>
      <c r="D117" s="1" t="s">
        <v>41</v>
      </c>
      <c r="E117" s="3">
        <v>10995000</v>
      </c>
      <c r="F117" s="1">
        <v>2894.94470774091</v>
      </c>
      <c r="G117" s="1">
        <v>6.5</v>
      </c>
      <c r="H117" s="1">
        <v>5</v>
      </c>
      <c r="I117" s="1">
        <v>6</v>
      </c>
      <c r="J117" s="1">
        <v>5.5</v>
      </c>
      <c r="K117" s="1">
        <v>5</v>
      </c>
      <c r="L117" s="1">
        <v>1</v>
      </c>
      <c r="M117" s="4">
        <v>3798</v>
      </c>
      <c r="N117" s="1">
        <v>4385</v>
      </c>
      <c r="O117" s="1">
        <v>12650</v>
      </c>
      <c r="P117" s="1">
        <v>8265</v>
      </c>
      <c r="Q117" s="1" t="s">
        <v>42</v>
      </c>
      <c r="S117" s="1" t="s">
        <v>42</v>
      </c>
      <c r="T117" s="1" t="s">
        <v>51</v>
      </c>
      <c r="U117" s="1">
        <v>495</v>
      </c>
      <c r="V117" s="5">
        <v>44417</v>
      </c>
      <c r="W117" s="5">
        <v>43838</v>
      </c>
      <c r="X117" s="1">
        <v>10995000</v>
      </c>
      <c r="AB117" s="1" t="s">
        <v>44</v>
      </c>
      <c r="AF117" s="1">
        <v>10010</v>
      </c>
      <c r="AI117" s="1" t="s">
        <v>150</v>
      </c>
      <c r="AJ117" s="1">
        <v>2016</v>
      </c>
      <c r="AK117" s="1" t="s">
        <v>46</v>
      </c>
      <c r="AL117" s="1">
        <v>140</v>
      </c>
    </row>
    <row r="118" spans="1:38" x14ac:dyDescent="0.2">
      <c r="A118" s="2" t="str">
        <f>HYPERLINK("https://www.compass.com/listing/121-east-22nd-street-unit-sph-manhattan-ny-10010/436121563704706265/","121 E 22nd St, Unit SPH")</f>
        <v>121 E 22nd St, Unit SPH</v>
      </c>
      <c r="B118" s="2" t="str">
        <f t="shared" si="11"/>
        <v>121 E 22nd</v>
      </c>
      <c r="C118" s="1" t="s">
        <v>64</v>
      </c>
      <c r="D118" s="1" t="s">
        <v>41</v>
      </c>
      <c r="E118" s="3">
        <v>9975000</v>
      </c>
      <c r="F118" s="1">
        <v>3071.1206896551698</v>
      </c>
      <c r="G118" s="1">
        <v>6.5</v>
      </c>
      <c r="H118" s="1">
        <v>4</v>
      </c>
      <c r="I118" s="1">
        <v>5</v>
      </c>
      <c r="J118" s="1">
        <v>4.5</v>
      </c>
      <c r="K118" s="1">
        <v>4</v>
      </c>
      <c r="L118" s="1">
        <v>1</v>
      </c>
      <c r="M118" s="4">
        <v>3248</v>
      </c>
      <c r="N118" s="1">
        <v>3993</v>
      </c>
      <c r="O118" s="1">
        <v>11548</v>
      </c>
      <c r="P118" s="1">
        <v>7555</v>
      </c>
      <c r="Q118" s="1" t="s">
        <v>42</v>
      </c>
      <c r="S118" s="1" t="s">
        <v>42</v>
      </c>
      <c r="T118" s="1" t="s">
        <v>51</v>
      </c>
      <c r="U118" s="1">
        <v>479</v>
      </c>
      <c r="V118" s="5">
        <v>44417</v>
      </c>
      <c r="W118" s="5">
        <v>43854</v>
      </c>
      <c r="X118" s="1">
        <v>9975000</v>
      </c>
      <c r="AB118" s="1" t="s">
        <v>44</v>
      </c>
      <c r="AF118" s="1">
        <v>10010</v>
      </c>
      <c r="AI118" s="1" t="s">
        <v>151</v>
      </c>
      <c r="AJ118" s="1">
        <v>2016</v>
      </c>
      <c r="AK118" s="1" t="s">
        <v>46</v>
      </c>
      <c r="AL118" s="1">
        <v>140</v>
      </c>
    </row>
    <row r="119" spans="1:38" x14ac:dyDescent="0.2">
      <c r="A119" s="2" t="str">
        <f>HYPERLINK("https://www.compass.com/listing/121-east-22nd-street-unit-n1302-manhattan-ny-10010/381154985510418849/","121 E 22nd St, Unit N1302")</f>
        <v>121 E 22nd St, Unit N1302</v>
      </c>
      <c r="B119" s="2" t="str">
        <f t="shared" si="11"/>
        <v>121 E 22nd</v>
      </c>
      <c r="C119" s="1" t="s">
        <v>64</v>
      </c>
      <c r="D119" s="1" t="s">
        <v>41</v>
      </c>
      <c r="E119" s="3">
        <v>6100000</v>
      </c>
      <c r="F119" s="1">
        <v>2297.5517890772098</v>
      </c>
      <c r="G119" s="1">
        <v>5.5</v>
      </c>
      <c r="H119" s="1">
        <v>4</v>
      </c>
      <c r="I119" s="1">
        <v>5</v>
      </c>
      <c r="J119" s="1">
        <v>4.5</v>
      </c>
      <c r="K119" s="1">
        <v>4</v>
      </c>
      <c r="L119" s="1">
        <v>1</v>
      </c>
      <c r="M119" s="4">
        <v>2655</v>
      </c>
      <c r="N119" s="1">
        <v>3237</v>
      </c>
      <c r="O119" s="1">
        <v>9358</v>
      </c>
      <c r="P119" s="1">
        <v>6121</v>
      </c>
      <c r="Q119" s="1" t="s">
        <v>42</v>
      </c>
      <c r="S119" s="1" t="s">
        <v>42</v>
      </c>
      <c r="T119" s="1" t="s">
        <v>51</v>
      </c>
      <c r="U119" s="1">
        <v>555</v>
      </c>
      <c r="V119" s="5">
        <v>44417</v>
      </c>
      <c r="W119" s="5">
        <v>43778</v>
      </c>
      <c r="X119" s="1">
        <v>7435000</v>
      </c>
      <c r="AB119" s="1" t="s">
        <v>44</v>
      </c>
      <c r="AF119" s="1">
        <v>10010</v>
      </c>
      <c r="AI119" s="1" t="s">
        <v>106</v>
      </c>
      <c r="AJ119" s="1">
        <v>2016</v>
      </c>
      <c r="AK119" s="1" t="s">
        <v>46</v>
      </c>
      <c r="AL119" s="1">
        <v>140</v>
      </c>
    </row>
    <row r="120" spans="1:38" x14ac:dyDescent="0.2">
      <c r="A120" s="2" t="str">
        <f>HYPERLINK("https://www.compass.com/listing/111-murray-street-unit-ph2-manhattan-ny-10007/29514335395116881/","111 Murray St, Unit PH2")</f>
        <v>111 Murray St, Unit PH2</v>
      </c>
      <c r="B120" s="2" t="str">
        <f t="shared" ref="B120:B121" si="12">HYPERLINK("https://www.compass.com/building/111-murray-st-manhattan-ny-10007/281896511862746053/","111 Murray St")</f>
        <v>111 Murray St</v>
      </c>
      <c r="C120" s="1" t="s">
        <v>50</v>
      </c>
      <c r="D120" s="1" t="s">
        <v>41</v>
      </c>
      <c r="E120" s="3">
        <v>40000000</v>
      </c>
      <c r="F120" s="1">
        <v>5341.88034188034</v>
      </c>
      <c r="G120" s="1">
        <v>10</v>
      </c>
      <c r="H120" s="1">
        <v>5</v>
      </c>
      <c r="I120" s="1">
        <v>7</v>
      </c>
      <c r="J120" s="1">
        <v>6.5</v>
      </c>
      <c r="K120" s="1">
        <v>6</v>
      </c>
      <c r="L120" s="1">
        <v>1</v>
      </c>
      <c r="M120" s="4">
        <v>7488</v>
      </c>
      <c r="N120" s="1">
        <v>14061</v>
      </c>
      <c r="O120" s="1">
        <v>37285</v>
      </c>
      <c r="P120" s="1">
        <v>23224</v>
      </c>
      <c r="Q120" s="1" t="s">
        <v>42</v>
      </c>
      <c r="S120" s="1" t="s">
        <v>42</v>
      </c>
      <c r="T120" s="1" t="s">
        <v>51</v>
      </c>
      <c r="U120" s="1">
        <v>1103</v>
      </c>
      <c r="V120" s="5">
        <v>44427</v>
      </c>
      <c r="W120" s="5">
        <v>43230</v>
      </c>
      <c r="X120" s="1">
        <v>40000000</v>
      </c>
      <c r="AB120" s="1" t="s">
        <v>44</v>
      </c>
      <c r="AF120" s="1">
        <v>10007</v>
      </c>
      <c r="AI120" s="1" t="s">
        <v>152</v>
      </c>
      <c r="AJ120" s="1">
        <v>2018</v>
      </c>
      <c r="AK120" s="1" t="s">
        <v>49</v>
      </c>
      <c r="AL120" s="1">
        <v>157</v>
      </c>
    </row>
    <row r="121" spans="1:38" x14ac:dyDescent="0.2">
      <c r="A121" s="2" t="str">
        <f>HYPERLINK("https://www.compass.com/listing/111-murray-street-unit-9d-manhattan-ny-10007/792131247518664225/","111 Murray St, Unit 9D")</f>
        <v>111 Murray St, Unit 9D</v>
      </c>
      <c r="B121" s="2" t="str">
        <f t="shared" si="12"/>
        <v>111 Murray St</v>
      </c>
      <c r="C121" s="1" t="s">
        <v>50</v>
      </c>
      <c r="D121" s="1" t="s">
        <v>41</v>
      </c>
      <c r="E121" s="3">
        <v>1945000</v>
      </c>
      <c r="F121" s="1">
        <v>2576.1589403973499</v>
      </c>
      <c r="G121" s="1">
        <v>2.5</v>
      </c>
      <c r="H121" s="1" t="s">
        <v>153</v>
      </c>
      <c r="I121" s="1">
        <v>1</v>
      </c>
      <c r="J121" s="1">
        <v>1</v>
      </c>
      <c r="K121" s="1">
        <v>1</v>
      </c>
      <c r="M121" s="1">
        <v>755</v>
      </c>
      <c r="N121" s="1">
        <v>878</v>
      </c>
      <c r="O121" s="1">
        <v>2286</v>
      </c>
      <c r="P121" s="1">
        <v>1408</v>
      </c>
      <c r="Q121" s="1" t="s">
        <v>129</v>
      </c>
      <c r="S121" s="1" t="s">
        <v>42</v>
      </c>
      <c r="T121" s="1" t="s">
        <v>51</v>
      </c>
      <c r="U121" s="1">
        <v>83</v>
      </c>
      <c r="V121" s="5">
        <v>44418</v>
      </c>
      <c r="W121" s="5">
        <v>44344</v>
      </c>
      <c r="X121" s="1">
        <v>1995000</v>
      </c>
      <c r="AB121" s="1" t="s">
        <v>44</v>
      </c>
      <c r="AF121" s="1">
        <v>10007</v>
      </c>
      <c r="AI121" s="1" t="s">
        <v>80</v>
      </c>
      <c r="AJ121" s="1">
        <v>2018</v>
      </c>
      <c r="AK121" s="1" t="s">
        <v>46</v>
      </c>
      <c r="AL121" s="1">
        <v>157</v>
      </c>
    </row>
    <row r="122" spans="1:38" x14ac:dyDescent="0.2">
      <c r="A122" s="2" t="str">
        <f>HYPERLINK("https://www.compass.com/listing/527-west-27th-street-unit-9a-manhattan-ny-10001/830418920487190145/","527 W 27th St, Unit 9A")</f>
        <v>527 W 27th St, Unit 9A</v>
      </c>
      <c r="B122" s="2" t="str">
        <f>HYPERLINK("https://www.compass.com/building/jardim-manhattan-ny/282062246220171157/","Jardim")</f>
        <v>Jardim</v>
      </c>
      <c r="C122" s="1" t="s">
        <v>62</v>
      </c>
      <c r="D122" s="1" t="s">
        <v>41</v>
      </c>
      <c r="E122" s="3">
        <v>8800000</v>
      </c>
      <c r="F122" s="1">
        <v>2836.87943262411</v>
      </c>
      <c r="G122" s="1">
        <v>8.5</v>
      </c>
      <c r="H122" s="1">
        <v>4</v>
      </c>
      <c r="I122" s="1">
        <v>4</v>
      </c>
      <c r="J122" s="1">
        <v>3.5</v>
      </c>
      <c r="K122" s="1">
        <v>3</v>
      </c>
      <c r="L122" s="1">
        <v>1</v>
      </c>
      <c r="M122" s="4">
        <v>3102</v>
      </c>
      <c r="N122" s="1">
        <v>3470</v>
      </c>
      <c r="O122" s="1">
        <v>9142</v>
      </c>
      <c r="P122" s="1">
        <v>5672</v>
      </c>
      <c r="Q122" s="1" t="s">
        <v>42</v>
      </c>
      <c r="S122" s="1" t="s">
        <v>42</v>
      </c>
      <c r="T122" s="1" t="s">
        <v>51</v>
      </c>
      <c r="U122" s="1">
        <v>30</v>
      </c>
      <c r="V122" s="5">
        <v>44399</v>
      </c>
      <c r="W122" s="5">
        <v>44397</v>
      </c>
      <c r="X122" s="1">
        <v>8800000</v>
      </c>
      <c r="AB122" s="1" t="s">
        <v>44</v>
      </c>
      <c r="AF122" s="1">
        <v>10001</v>
      </c>
      <c r="AI122" s="1" t="s">
        <v>154</v>
      </c>
      <c r="AJ122" s="1">
        <v>2017</v>
      </c>
      <c r="AK122" s="1" t="s">
        <v>49</v>
      </c>
      <c r="AL122" s="1">
        <v>36</v>
      </c>
    </row>
    <row r="123" spans="1:38" x14ac:dyDescent="0.2">
      <c r="A123" s="2" t="str">
        <f>HYPERLINK("https://www.compass.com/listing/90-lexington-avenue-unit-3f-manhattan-ny-10016/832611659044895337/","90 Lexington Ave, Unit 3F")</f>
        <v>90 Lexington Ave, Unit 3F</v>
      </c>
      <c r="B123" s="2" t="str">
        <f>HYPERLINK("https://www.compass.com/building/88-90-lexington-avenue-manhattan-ny/281941431524842901/","88 &amp; 90 Lexington Avenue")</f>
        <v>88 &amp; 90 Lexington Avenue</v>
      </c>
      <c r="C123" s="1" t="s">
        <v>40</v>
      </c>
      <c r="D123" s="1" t="s">
        <v>41</v>
      </c>
      <c r="E123" s="3">
        <v>1445000</v>
      </c>
      <c r="F123" s="1">
        <v>1341.68987929433</v>
      </c>
      <c r="G123" s="1">
        <v>3.5</v>
      </c>
      <c r="H123" s="1">
        <v>1</v>
      </c>
      <c r="I123" s="1">
        <v>2</v>
      </c>
      <c r="J123" s="1">
        <v>1.5</v>
      </c>
      <c r="K123" s="1">
        <v>1</v>
      </c>
      <c r="L123" s="1">
        <v>1</v>
      </c>
      <c r="M123" s="4">
        <v>1077</v>
      </c>
      <c r="N123" s="1">
        <v>1212.1099999999999</v>
      </c>
      <c r="O123" s="1">
        <v>3073.51</v>
      </c>
      <c r="P123" s="1">
        <v>1861.4166666666599</v>
      </c>
      <c r="Q123" s="1" t="s">
        <v>42</v>
      </c>
      <c r="S123" s="1" t="s">
        <v>42</v>
      </c>
      <c r="T123" s="1" t="s">
        <v>51</v>
      </c>
      <c r="U123" s="1">
        <v>27</v>
      </c>
      <c r="V123" s="5">
        <v>44427</v>
      </c>
      <c r="W123" s="5">
        <v>44400</v>
      </c>
      <c r="X123" s="1">
        <v>1445000</v>
      </c>
      <c r="AB123" s="1" t="s">
        <v>44</v>
      </c>
      <c r="AF123" s="1">
        <v>10016</v>
      </c>
      <c r="AI123" s="1" t="s">
        <v>122</v>
      </c>
      <c r="AJ123" s="1">
        <v>1957</v>
      </c>
      <c r="AK123" s="1" t="s">
        <v>46</v>
      </c>
      <c r="AL123" s="1">
        <v>49</v>
      </c>
    </row>
    <row r="124" spans="1:38" x14ac:dyDescent="0.2">
      <c r="A124" s="2" t="str">
        <f>HYPERLINK("https://www.compass.com/listing/121-east-22nd-street-unit-n503-manhattan-ny-10010/316488125509190609/","121 E 22nd St, Unit N503")</f>
        <v>121 E 22nd St, Unit N503</v>
      </c>
      <c r="B124" s="2" t="str">
        <f>HYPERLINK("https://www.compass.com/building/121-e-22nd-manhattan-ny/292795784653461493/","121 E 22nd")</f>
        <v>121 E 22nd</v>
      </c>
      <c r="C124" s="1" t="s">
        <v>64</v>
      </c>
      <c r="D124" s="1" t="s">
        <v>41</v>
      </c>
      <c r="E124" s="3">
        <v>1450000</v>
      </c>
      <c r="F124" s="1">
        <v>2353.8961038961002</v>
      </c>
      <c r="G124" s="1">
        <v>2</v>
      </c>
      <c r="H124" s="1" t="s">
        <v>153</v>
      </c>
      <c r="I124" s="1">
        <v>1</v>
      </c>
      <c r="J124" s="1">
        <v>1</v>
      </c>
      <c r="K124" s="1">
        <v>1</v>
      </c>
      <c r="M124" s="1">
        <v>616</v>
      </c>
      <c r="N124" s="1">
        <v>656</v>
      </c>
      <c r="O124" s="1">
        <v>1886</v>
      </c>
      <c r="P124" s="1">
        <v>1230</v>
      </c>
      <c r="Q124" s="1" t="s">
        <v>42</v>
      </c>
      <c r="S124" s="1" t="s">
        <v>42</v>
      </c>
      <c r="T124" s="1" t="s">
        <v>51</v>
      </c>
      <c r="U124" s="1">
        <v>644</v>
      </c>
      <c r="V124" s="5">
        <v>44412</v>
      </c>
      <c r="W124" s="5">
        <v>43688</v>
      </c>
      <c r="X124" s="1">
        <v>1310000</v>
      </c>
      <c r="AB124" s="1" t="s">
        <v>44</v>
      </c>
      <c r="AF124" s="1">
        <v>10010</v>
      </c>
      <c r="AI124" s="1" t="s">
        <v>106</v>
      </c>
      <c r="AJ124" s="1">
        <v>2016</v>
      </c>
      <c r="AK124" s="1" t="s">
        <v>46</v>
      </c>
      <c r="AL124" s="1">
        <v>140</v>
      </c>
    </row>
    <row r="125" spans="1:38" x14ac:dyDescent="0.2">
      <c r="A125" s="2" t="str">
        <f>HYPERLINK("https://www.compass.com/listing/35-hudson-yards-unit-8301-manhattan-ny-10001/846811060060682489/","35 Hudson Yards, Unit 8301")</f>
        <v>35 Hudson Yards, Unit 8301</v>
      </c>
      <c r="B125" s="2" t="str">
        <f t="shared" ref="B125:B127" si="13">HYPERLINK("https://www.compass.com/building/35-hudson-yards-manhattan-ny/292773408544917349/","35 Hudson Yards")</f>
        <v>35 Hudson Yards</v>
      </c>
      <c r="C125" s="1" t="s">
        <v>77</v>
      </c>
      <c r="D125" s="1" t="s">
        <v>41</v>
      </c>
      <c r="E125" s="3">
        <v>23000000</v>
      </c>
      <c r="F125" s="1">
        <v>4977.2776455312696</v>
      </c>
      <c r="G125" s="1">
        <v>8.5</v>
      </c>
      <c r="H125" s="1">
        <v>5</v>
      </c>
      <c r="I125" s="1">
        <v>6</v>
      </c>
      <c r="J125" s="1">
        <v>5.5</v>
      </c>
      <c r="K125" s="1">
        <v>5</v>
      </c>
      <c r="L125" s="1">
        <v>1</v>
      </c>
      <c r="M125" s="4">
        <v>4621</v>
      </c>
      <c r="N125" s="1">
        <v>14927</v>
      </c>
      <c r="O125" s="1">
        <v>15967</v>
      </c>
      <c r="P125" s="1">
        <v>1040</v>
      </c>
      <c r="Q125" s="1" t="s">
        <v>42</v>
      </c>
      <c r="S125" s="1" t="s">
        <v>42</v>
      </c>
      <c r="T125" s="1" t="s">
        <v>51</v>
      </c>
      <c r="U125" s="1">
        <v>7</v>
      </c>
      <c r="V125" s="5">
        <v>44426</v>
      </c>
      <c r="W125" s="5">
        <v>44420</v>
      </c>
      <c r="X125" s="1">
        <v>23000000</v>
      </c>
      <c r="AB125" s="1" t="s">
        <v>44</v>
      </c>
      <c r="AF125" s="1">
        <v>10001</v>
      </c>
      <c r="AI125" s="1" t="s">
        <v>48</v>
      </c>
      <c r="AJ125" s="1">
        <v>2019</v>
      </c>
      <c r="AK125" s="1" t="s">
        <v>108</v>
      </c>
      <c r="AL125" s="1">
        <v>143</v>
      </c>
    </row>
    <row r="126" spans="1:38" x14ac:dyDescent="0.2">
      <c r="A126" s="2" t="str">
        <f>HYPERLINK("https://www.compass.com/listing/35-hudson-yards-unit-8403-manhattan-ny-10001/846811109846779041/","35 Hudson Yards, Unit 8403")</f>
        <v>35 Hudson Yards, Unit 8403</v>
      </c>
      <c r="B126" s="2" t="str">
        <f t="shared" si="13"/>
        <v>35 Hudson Yards</v>
      </c>
      <c r="C126" s="1" t="s">
        <v>77</v>
      </c>
      <c r="D126" s="1" t="s">
        <v>41</v>
      </c>
      <c r="E126" s="3">
        <v>8775000</v>
      </c>
      <c r="F126" s="1">
        <v>3399.8450213095698</v>
      </c>
      <c r="G126" s="1">
        <v>6.5</v>
      </c>
      <c r="H126" s="1">
        <v>3</v>
      </c>
      <c r="I126" s="1">
        <v>4</v>
      </c>
      <c r="J126" s="1">
        <v>3.5</v>
      </c>
      <c r="K126" s="1">
        <v>3</v>
      </c>
      <c r="L126" s="1">
        <v>1</v>
      </c>
      <c r="M126" s="4">
        <v>2581</v>
      </c>
      <c r="N126" s="1">
        <v>7744</v>
      </c>
      <c r="O126" s="1">
        <v>8284</v>
      </c>
      <c r="P126" s="1">
        <v>540</v>
      </c>
      <c r="Q126" s="1" t="s">
        <v>42</v>
      </c>
      <c r="S126" s="1" t="s">
        <v>42</v>
      </c>
      <c r="T126" s="1" t="s">
        <v>51</v>
      </c>
      <c r="U126" s="1">
        <v>7</v>
      </c>
      <c r="V126" s="5">
        <v>44420</v>
      </c>
      <c r="W126" s="5">
        <v>44420</v>
      </c>
      <c r="X126" s="1">
        <v>8775000</v>
      </c>
      <c r="AB126" s="1" t="s">
        <v>44</v>
      </c>
      <c r="AF126" s="1">
        <v>10001</v>
      </c>
      <c r="AI126" s="1" t="s">
        <v>48</v>
      </c>
      <c r="AJ126" s="1">
        <v>2019</v>
      </c>
      <c r="AK126" s="1" t="s">
        <v>108</v>
      </c>
      <c r="AL126" s="1">
        <v>143</v>
      </c>
    </row>
    <row r="127" spans="1:38" x14ac:dyDescent="0.2">
      <c r="A127" s="2" t="str">
        <f>HYPERLINK("https://www.compass.com/listing/35-hudson-yards-unit-8602-manhattan-ny-10001/846811223956534017/","35 Hudson Yards, Unit 8602")</f>
        <v>35 Hudson Yards, Unit 8602</v>
      </c>
      <c r="B127" s="2" t="str">
        <f t="shared" si="13"/>
        <v>35 Hudson Yards</v>
      </c>
      <c r="C127" s="1" t="s">
        <v>77</v>
      </c>
      <c r="D127" s="1" t="s">
        <v>41</v>
      </c>
      <c r="E127" s="3">
        <v>9825000</v>
      </c>
      <c r="F127" s="1">
        <v>3699.17168674698</v>
      </c>
      <c r="G127" s="1">
        <v>6.5</v>
      </c>
      <c r="H127" s="1">
        <v>3</v>
      </c>
      <c r="I127" s="1">
        <v>4</v>
      </c>
      <c r="J127" s="1">
        <v>4</v>
      </c>
      <c r="K127" s="1">
        <v>4</v>
      </c>
      <c r="M127" s="4">
        <v>2656</v>
      </c>
      <c r="N127" s="1">
        <v>8231</v>
      </c>
      <c r="O127" s="1">
        <v>8805</v>
      </c>
      <c r="P127" s="1">
        <v>574</v>
      </c>
      <c r="Q127" s="1" t="s">
        <v>42</v>
      </c>
      <c r="S127" s="1" t="s">
        <v>42</v>
      </c>
      <c r="T127" s="1" t="s">
        <v>51</v>
      </c>
      <c r="U127" s="1">
        <v>7</v>
      </c>
      <c r="V127" s="5">
        <v>44420</v>
      </c>
      <c r="W127" s="5">
        <v>44420</v>
      </c>
      <c r="X127" s="1">
        <v>9825000</v>
      </c>
      <c r="AB127" s="1" t="s">
        <v>44</v>
      </c>
      <c r="AF127" s="1">
        <v>10001</v>
      </c>
      <c r="AI127" s="1" t="s">
        <v>48</v>
      </c>
      <c r="AJ127" s="1">
        <v>2019</v>
      </c>
      <c r="AK127" s="1" t="s">
        <v>108</v>
      </c>
      <c r="AL127" s="1">
        <v>143</v>
      </c>
    </row>
    <row r="128" spans="1:38" x14ac:dyDescent="0.2">
      <c r="A128" s="2" t="str">
        <f>HYPERLINK("https://www.compass.com/listing/211-west-14th-street-unit-2c-manhattan-ny-10011/563148391574714969/","211 W 14th St, Unit 2C")</f>
        <v>211 W 14th St, Unit 2C</v>
      </c>
      <c r="B128" s="2" t="str">
        <f>HYPERLINK("https://www.compass.com/building/dorsay-manhattan-ny/292801633543285477/","d'Orsay")</f>
        <v>d'Orsay</v>
      </c>
      <c r="C128" s="1" t="s">
        <v>62</v>
      </c>
      <c r="D128" s="1" t="s">
        <v>41</v>
      </c>
      <c r="E128" s="3">
        <v>1550000</v>
      </c>
      <c r="F128" s="1">
        <v>1927.8606965174099</v>
      </c>
      <c r="G128" s="1">
        <v>3</v>
      </c>
      <c r="H128" s="1">
        <v>1</v>
      </c>
      <c r="I128" s="1">
        <v>1</v>
      </c>
      <c r="J128" s="1">
        <v>1</v>
      </c>
      <c r="K128" s="1">
        <v>1</v>
      </c>
      <c r="M128" s="1">
        <v>804</v>
      </c>
      <c r="N128" s="1">
        <v>1560</v>
      </c>
      <c r="O128" s="1">
        <v>2960</v>
      </c>
      <c r="P128" s="1">
        <v>1400</v>
      </c>
      <c r="Q128" s="1" t="s">
        <v>42</v>
      </c>
      <c r="S128" s="1" t="s">
        <v>42</v>
      </c>
      <c r="T128" s="1" t="s">
        <v>51</v>
      </c>
      <c r="U128" s="1">
        <v>399</v>
      </c>
      <c r="V128" s="5">
        <v>44427</v>
      </c>
      <c r="W128" s="5">
        <v>44028</v>
      </c>
      <c r="X128" s="1">
        <v>1860000</v>
      </c>
      <c r="AB128" s="1" t="s">
        <v>44</v>
      </c>
      <c r="AF128" s="1">
        <v>10011</v>
      </c>
      <c r="AI128" s="1" t="s">
        <v>48</v>
      </c>
      <c r="AJ128" s="1">
        <v>2018</v>
      </c>
      <c r="AK128" s="1" t="s">
        <v>49</v>
      </c>
      <c r="AL128" s="1">
        <v>21</v>
      </c>
    </row>
    <row r="129" spans="1:38" x14ac:dyDescent="0.2">
      <c r="A129" s="2" t="str">
        <f>HYPERLINK("https://www.compass.com/listing/2231-adam-clayton-powell-jr-boulevard-unit-302-manhattan-ny-10027/844679150116259305/","2231 Adam Clayton Powell Jr Blvd, Unit 302")</f>
        <v>2231 Adam Clayton Powell Jr Blvd, Unit 302</v>
      </c>
      <c r="B129" s="2" t="str">
        <f>HYPERLINK("https://www.compass.com/building/the-aurum-manhattan-ny/307451641162444869/","The Aurum")</f>
        <v>The Aurum</v>
      </c>
      <c r="C129" s="1" t="s">
        <v>84</v>
      </c>
      <c r="D129" s="1" t="s">
        <v>41</v>
      </c>
      <c r="E129" s="3">
        <v>869000</v>
      </c>
      <c r="G129" s="1">
        <v>4</v>
      </c>
      <c r="H129" s="1">
        <v>2</v>
      </c>
      <c r="J129" s="1">
        <v>2</v>
      </c>
      <c r="N129" s="1">
        <v>1092</v>
      </c>
      <c r="O129" s="1">
        <v>1210</v>
      </c>
      <c r="P129" s="1">
        <v>118</v>
      </c>
      <c r="S129" s="1" t="s">
        <v>42</v>
      </c>
      <c r="T129" s="1" t="s">
        <v>51</v>
      </c>
      <c r="U129" s="1">
        <v>10</v>
      </c>
      <c r="V129" s="5">
        <v>44425</v>
      </c>
      <c r="W129" s="5">
        <v>44416</v>
      </c>
      <c r="X129" s="1">
        <v>885000</v>
      </c>
      <c r="AB129" s="1" t="s">
        <v>44</v>
      </c>
      <c r="AF129" s="1">
        <v>10027</v>
      </c>
      <c r="AI129" s="1" t="s">
        <v>52</v>
      </c>
      <c r="AJ129" s="1">
        <v>2016</v>
      </c>
      <c r="AK129" s="1" t="s">
        <v>55</v>
      </c>
      <c r="AL129" s="1">
        <v>115</v>
      </c>
    </row>
    <row r="130" spans="1:38" x14ac:dyDescent="0.2">
      <c r="A130" s="2" t="str">
        <f>HYPERLINK("https://www.compass.com/listing/160-leroy-street-unit-north9b-manhattan-ny-10014/602914716746197321/","160 Leroy St, Unit NORTH9B")</f>
        <v>160 Leroy St, Unit NORTH9B</v>
      </c>
      <c r="B130" s="2" t="str">
        <f>HYPERLINK("https://www.compass.com/building/160-leroy-st-manhattan-ny-10014/293418469918017093/","160 Leroy St")</f>
        <v>160 Leroy St</v>
      </c>
      <c r="C130" s="1" t="s">
        <v>67</v>
      </c>
      <c r="D130" s="1" t="s">
        <v>41</v>
      </c>
      <c r="E130" s="3">
        <v>11900000</v>
      </c>
      <c r="F130" s="1">
        <v>4262.1776504297904</v>
      </c>
      <c r="G130" s="1">
        <v>8</v>
      </c>
      <c r="H130" s="1">
        <v>4</v>
      </c>
      <c r="I130" s="1">
        <v>5</v>
      </c>
      <c r="J130" s="1">
        <v>4.5</v>
      </c>
      <c r="K130" s="1">
        <v>4</v>
      </c>
      <c r="L130" s="1">
        <v>1</v>
      </c>
      <c r="M130" s="4">
        <v>2792</v>
      </c>
      <c r="N130" s="1">
        <v>4297</v>
      </c>
      <c r="O130" s="1">
        <v>8977</v>
      </c>
      <c r="P130" s="1">
        <v>4680</v>
      </c>
      <c r="Q130" s="1" t="s">
        <v>42</v>
      </c>
      <c r="S130" s="1" t="s">
        <v>42</v>
      </c>
      <c r="T130" s="1" t="s">
        <v>51</v>
      </c>
      <c r="U130" s="1">
        <v>344</v>
      </c>
      <c r="V130" s="5">
        <v>44418</v>
      </c>
      <c r="W130" s="5">
        <v>44083</v>
      </c>
      <c r="X130" s="1">
        <v>11900000</v>
      </c>
      <c r="AB130" s="1" t="s">
        <v>44</v>
      </c>
      <c r="AF130" s="1">
        <v>10014</v>
      </c>
      <c r="AI130" s="1" t="s">
        <v>65</v>
      </c>
      <c r="AJ130" s="1">
        <v>2017</v>
      </c>
      <c r="AK130" s="1" t="s">
        <v>155</v>
      </c>
      <c r="AL130" s="1">
        <v>57</v>
      </c>
    </row>
    <row r="131" spans="1:38" x14ac:dyDescent="0.2">
      <c r="A131" s="2" t="str">
        <f>HYPERLINK("https://www.compass.com/listing/565-broome-street-unit-s11c-manhattan-ny-10013/826127920725201313/","565 Broome St, Unit S11C")</f>
        <v>565 Broome St, Unit S11C</v>
      </c>
      <c r="B131" s="2" t="str">
        <f>HYPERLINK("https://www.compass.com/building/565-broome-soho-manhattan-ny/292813251698267109/","565 Broome Soho")</f>
        <v>565 Broome Soho</v>
      </c>
      <c r="C131" s="1" t="s">
        <v>53</v>
      </c>
      <c r="D131" s="1" t="s">
        <v>41</v>
      </c>
      <c r="E131" s="3">
        <v>4595000</v>
      </c>
      <c r="F131" s="1">
        <v>2733.4919690660299</v>
      </c>
      <c r="G131" s="1">
        <v>4</v>
      </c>
      <c r="H131" s="1">
        <v>2</v>
      </c>
      <c r="I131" s="1">
        <v>3</v>
      </c>
      <c r="J131" s="1">
        <v>2.5</v>
      </c>
      <c r="K131" s="1">
        <v>2</v>
      </c>
      <c r="L131" s="1">
        <v>1</v>
      </c>
      <c r="M131" s="4">
        <v>1681</v>
      </c>
      <c r="N131" s="1">
        <v>2604</v>
      </c>
      <c r="O131" s="1">
        <v>4645</v>
      </c>
      <c r="P131" s="1">
        <v>2041</v>
      </c>
      <c r="Q131" s="1" t="s">
        <v>42</v>
      </c>
      <c r="S131" s="1" t="s">
        <v>42</v>
      </c>
      <c r="T131" s="1" t="s">
        <v>51</v>
      </c>
      <c r="U131" s="1">
        <v>36</v>
      </c>
      <c r="V131" s="5">
        <v>44426</v>
      </c>
      <c r="W131" s="5">
        <v>44391</v>
      </c>
      <c r="X131" s="1">
        <v>4595000</v>
      </c>
      <c r="AB131" s="1" t="s">
        <v>44</v>
      </c>
      <c r="AF131" s="1">
        <v>10013</v>
      </c>
      <c r="AI131" s="1" t="s">
        <v>48</v>
      </c>
      <c r="AJ131" s="1">
        <v>2019</v>
      </c>
      <c r="AK131" s="1" t="s">
        <v>49</v>
      </c>
      <c r="AL131" s="1">
        <v>115</v>
      </c>
    </row>
    <row r="132" spans="1:38" x14ac:dyDescent="0.2">
      <c r="A132" s="2" t="str">
        <f>HYPERLINK("https://www.compass.com/listing/35-hudson-yards-unit-7303-manhattan-ny-10001/846696476473580505/","35 Hudson Yards, Unit 7303")</f>
        <v>35 Hudson Yards, Unit 7303</v>
      </c>
      <c r="B132" s="2" t="str">
        <f>HYPERLINK("https://www.compass.com/building/35-hudson-yards-manhattan-ny/292773408544917349/","35 Hudson Yards")</f>
        <v>35 Hudson Yards</v>
      </c>
      <c r="C132" s="1" t="s">
        <v>77</v>
      </c>
      <c r="D132" s="1" t="s">
        <v>41</v>
      </c>
      <c r="E132" s="3">
        <v>12995000</v>
      </c>
      <c r="F132" s="1">
        <v>3783.1149927219699</v>
      </c>
      <c r="G132" s="1">
        <v>6.5</v>
      </c>
      <c r="H132" s="1">
        <v>4</v>
      </c>
      <c r="I132" s="1">
        <v>5</v>
      </c>
      <c r="J132" s="1">
        <v>4.5</v>
      </c>
      <c r="K132" s="1">
        <v>4</v>
      </c>
      <c r="L132" s="1">
        <v>1</v>
      </c>
      <c r="M132" s="4">
        <v>3435</v>
      </c>
      <c r="N132" s="1">
        <v>10444</v>
      </c>
      <c r="O132" s="1">
        <v>11172</v>
      </c>
      <c r="P132" s="1">
        <v>728</v>
      </c>
      <c r="Q132" s="1" t="s">
        <v>42</v>
      </c>
      <c r="S132" s="1" t="s">
        <v>42</v>
      </c>
      <c r="T132" s="1" t="s">
        <v>51</v>
      </c>
      <c r="U132" s="1">
        <v>8</v>
      </c>
      <c r="V132" s="5">
        <v>44420</v>
      </c>
      <c r="W132" s="5">
        <v>44419</v>
      </c>
      <c r="X132" s="1">
        <v>12995000</v>
      </c>
      <c r="AB132" s="1" t="s">
        <v>44</v>
      </c>
      <c r="AF132" s="1">
        <v>10001</v>
      </c>
      <c r="AI132" s="1" t="s">
        <v>48</v>
      </c>
      <c r="AJ132" s="1">
        <v>2019</v>
      </c>
      <c r="AK132" s="1" t="s">
        <v>108</v>
      </c>
      <c r="AL132" s="1">
        <v>143</v>
      </c>
    </row>
    <row r="133" spans="1:38" x14ac:dyDescent="0.2">
      <c r="A133" s="2" t="str">
        <f>HYPERLINK("https://www.compass.com/listing/196-orchard-street-unit-4q-manhattan-ny-10002/822112338705224185/","196 Orchard St, Unit 4Q")</f>
        <v>196 Orchard St, Unit 4Q</v>
      </c>
      <c r="B133" s="2" t="str">
        <f>HYPERLINK("https://www.compass.com/building/196-orchard-st-manhattan-ny-10002/281886194713760485/","196 Orchard St")</f>
        <v>196 Orchard St</v>
      </c>
      <c r="C133" s="1" t="s">
        <v>47</v>
      </c>
      <c r="D133" s="1" t="s">
        <v>41</v>
      </c>
      <c r="E133" s="3">
        <v>1665000</v>
      </c>
      <c r="F133" s="1">
        <v>2427.1137026238998</v>
      </c>
      <c r="G133" s="1">
        <v>3</v>
      </c>
      <c r="H133" s="1">
        <v>1</v>
      </c>
      <c r="I133" s="1">
        <v>1</v>
      </c>
      <c r="J133" s="1">
        <v>1</v>
      </c>
      <c r="K133" s="1">
        <v>1</v>
      </c>
      <c r="M133" s="1">
        <v>686</v>
      </c>
      <c r="N133" s="1">
        <v>1060</v>
      </c>
      <c r="O133" s="1">
        <v>2367</v>
      </c>
      <c r="P133" s="1">
        <v>1307</v>
      </c>
      <c r="Q133" s="1" t="s">
        <v>42</v>
      </c>
      <c r="S133" s="1" t="s">
        <v>42</v>
      </c>
      <c r="T133" s="1" t="s">
        <v>51</v>
      </c>
      <c r="U133" s="1">
        <v>3</v>
      </c>
      <c r="V133" s="5">
        <v>44425</v>
      </c>
      <c r="W133" s="5">
        <v>44424</v>
      </c>
      <c r="X133" s="1">
        <v>1665000</v>
      </c>
      <c r="AB133" s="1" t="s">
        <v>44</v>
      </c>
      <c r="AF133" s="1">
        <v>10002</v>
      </c>
      <c r="AI133" s="1" t="s">
        <v>156</v>
      </c>
      <c r="AJ133" s="1">
        <v>2018</v>
      </c>
      <c r="AK133" s="1" t="s">
        <v>46</v>
      </c>
      <c r="AL133" s="1">
        <v>89</v>
      </c>
    </row>
    <row r="134" spans="1:38" x14ac:dyDescent="0.2">
      <c r="A134" s="2" t="str">
        <f>HYPERLINK("https://www.compass.com/listing/35-hudson-yards-unit-7602-manhattan-ny-10001/845756508763038329/","35 Hudson Yards, Unit 7602")</f>
        <v>35 Hudson Yards, Unit 7602</v>
      </c>
      <c r="B134" s="2" t="str">
        <f t="shared" ref="B134:B135" si="14">HYPERLINK("https://www.compass.com/building/35-hudson-yards-manhattan-ny/292773408544917349/","35 Hudson Yards")</f>
        <v>35 Hudson Yards</v>
      </c>
      <c r="C134" s="1" t="s">
        <v>77</v>
      </c>
      <c r="D134" s="1" t="s">
        <v>41</v>
      </c>
      <c r="E134" s="3">
        <v>7825000</v>
      </c>
      <c r="F134" s="1">
        <v>2725.53117380703</v>
      </c>
      <c r="G134" s="1">
        <v>6</v>
      </c>
      <c r="H134" s="1">
        <v>3</v>
      </c>
      <c r="I134" s="1">
        <v>4</v>
      </c>
      <c r="J134" s="1">
        <v>4</v>
      </c>
      <c r="K134" s="1">
        <v>4</v>
      </c>
      <c r="M134" s="4">
        <v>2871</v>
      </c>
      <c r="N134" s="1">
        <v>8210</v>
      </c>
      <c r="O134" s="1">
        <v>8782</v>
      </c>
      <c r="P134" s="1">
        <v>572</v>
      </c>
      <c r="Q134" s="1" t="s">
        <v>42</v>
      </c>
      <c r="S134" s="1" t="s">
        <v>42</v>
      </c>
      <c r="T134" s="1" t="s">
        <v>51</v>
      </c>
      <c r="U134" s="1">
        <v>9</v>
      </c>
      <c r="V134" s="5">
        <v>44419</v>
      </c>
      <c r="W134" s="5">
        <v>44418</v>
      </c>
      <c r="X134" s="1">
        <v>7825000</v>
      </c>
      <c r="AB134" s="1" t="s">
        <v>44</v>
      </c>
      <c r="AF134" s="1">
        <v>10001</v>
      </c>
      <c r="AI134" s="1" t="s">
        <v>48</v>
      </c>
      <c r="AJ134" s="1">
        <v>2019</v>
      </c>
      <c r="AK134" s="1" t="s">
        <v>108</v>
      </c>
      <c r="AL134" s="1">
        <v>143</v>
      </c>
    </row>
    <row r="135" spans="1:38" x14ac:dyDescent="0.2">
      <c r="A135" s="2" t="str">
        <f>HYPERLINK("https://www.compass.com/listing/35-hudson-yards-unit-5402-manhattan-ny-10001/845874890543120697/","35 Hudson Yards, Unit 5402")</f>
        <v>35 Hudson Yards, Unit 5402</v>
      </c>
      <c r="B135" s="2" t="str">
        <f t="shared" si="14"/>
        <v>35 Hudson Yards</v>
      </c>
      <c r="C135" s="1" t="s">
        <v>77</v>
      </c>
      <c r="D135" s="1" t="s">
        <v>41</v>
      </c>
      <c r="E135" s="3">
        <v>4895000</v>
      </c>
      <c r="F135" s="1">
        <v>2251.6099356025702</v>
      </c>
      <c r="G135" s="1">
        <v>4.5</v>
      </c>
      <c r="H135" s="1">
        <v>2</v>
      </c>
      <c r="I135" s="1">
        <v>3</v>
      </c>
      <c r="J135" s="1">
        <v>2.5</v>
      </c>
      <c r="K135" s="1">
        <v>2</v>
      </c>
      <c r="L135" s="1">
        <v>1</v>
      </c>
      <c r="M135" s="4">
        <v>2174</v>
      </c>
      <c r="N135" s="1">
        <v>6170</v>
      </c>
      <c r="O135" s="1">
        <v>6600</v>
      </c>
      <c r="P135" s="1">
        <v>430</v>
      </c>
      <c r="Q135" s="1" t="s">
        <v>42</v>
      </c>
      <c r="S135" s="1" t="s">
        <v>42</v>
      </c>
      <c r="T135" s="1" t="s">
        <v>51</v>
      </c>
      <c r="U135" s="1">
        <v>9</v>
      </c>
      <c r="V135" s="5">
        <v>44419</v>
      </c>
      <c r="W135" s="5">
        <v>44418</v>
      </c>
      <c r="X135" s="1">
        <v>4895000</v>
      </c>
      <c r="AB135" s="1" t="s">
        <v>44</v>
      </c>
      <c r="AF135" s="1">
        <v>10001</v>
      </c>
      <c r="AI135" s="1" t="s">
        <v>48</v>
      </c>
      <c r="AJ135" s="1">
        <v>2019</v>
      </c>
      <c r="AK135" s="1" t="s">
        <v>108</v>
      </c>
      <c r="AL135" s="1">
        <v>143</v>
      </c>
    </row>
    <row r="136" spans="1:38" x14ac:dyDescent="0.2">
      <c r="A136" s="2" t="str">
        <f>HYPERLINK("https://www.compass.com/listing/108-leonard-street-unit-8l-manhattan-ny-10013/788579474083472769/","108 Leonard St, Unit 8L")</f>
        <v>108 Leonard St, Unit 8L</v>
      </c>
      <c r="B136" s="2" t="str">
        <f>HYPERLINK("https://www.compass.com/building/108-leonard-st-manhattan-ny-10013/307456049610778277/","108 Leonard St")</f>
        <v>108 Leonard St</v>
      </c>
      <c r="C136" s="1" t="s">
        <v>113</v>
      </c>
      <c r="D136" s="1" t="s">
        <v>41</v>
      </c>
      <c r="E136" s="3">
        <v>3195000</v>
      </c>
      <c r="F136" s="1">
        <v>2161.7050067658902</v>
      </c>
      <c r="G136" s="1">
        <v>4.5</v>
      </c>
      <c r="H136" s="1">
        <v>2</v>
      </c>
      <c r="I136" s="1">
        <v>3</v>
      </c>
      <c r="J136" s="1">
        <v>2.5</v>
      </c>
      <c r="K136" s="1">
        <v>2</v>
      </c>
      <c r="L136" s="1">
        <v>1</v>
      </c>
      <c r="M136" s="4">
        <v>1478</v>
      </c>
      <c r="N136" s="1">
        <v>1752</v>
      </c>
      <c r="O136" s="1">
        <v>3506</v>
      </c>
      <c r="Q136" s="1" t="s">
        <v>157</v>
      </c>
      <c r="S136" s="1" t="s">
        <v>158</v>
      </c>
      <c r="T136" s="1" t="s">
        <v>51</v>
      </c>
      <c r="U136" s="1">
        <v>88</v>
      </c>
      <c r="V136" s="5">
        <v>44340</v>
      </c>
      <c r="W136" s="5">
        <v>44339</v>
      </c>
      <c r="X136" s="1">
        <v>3195000</v>
      </c>
      <c r="AB136" s="1" t="s">
        <v>44</v>
      </c>
      <c r="AF136" s="1">
        <v>10013</v>
      </c>
      <c r="AI136" s="1" t="s">
        <v>78</v>
      </c>
      <c r="AJ136" s="1">
        <v>1899</v>
      </c>
      <c r="AK136" s="1" t="s">
        <v>46</v>
      </c>
      <c r="AL136" s="1">
        <v>167</v>
      </c>
    </row>
    <row r="137" spans="1:38" x14ac:dyDescent="0.2">
      <c r="A137" s="2" t="str">
        <f>HYPERLINK("https://www.compass.com/listing/207-west-79th-street-unit-8b-manhattan-ny-10024/764600420984784121/","207 W 79th St, Unit 8B")</f>
        <v>207 W 79th St, Unit 8B</v>
      </c>
      <c r="B137" s="2" t="str">
        <f>HYPERLINK("https://www.compass.com/building/207-west-79th-street-manhattan-ny/292869088261262661/","207 West 79th Street")</f>
        <v>207 West 79th Street</v>
      </c>
      <c r="C137" s="1" t="s">
        <v>57</v>
      </c>
      <c r="D137" s="1" t="s">
        <v>41</v>
      </c>
      <c r="E137" s="3">
        <v>3750000</v>
      </c>
      <c r="F137" s="1">
        <v>2256.3176895306801</v>
      </c>
      <c r="G137" s="1">
        <v>3</v>
      </c>
      <c r="H137" s="1">
        <v>2</v>
      </c>
      <c r="I137" s="1">
        <v>3</v>
      </c>
      <c r="J137" s="1">
        <v>2.5</v>
      </c>
      <c r="K137" s="1">
        <v>2</v>
      </c>
      <c r="L137" s="1">
        <v>1</v>
      </c>
      <c r="M137" s="4">
        <v>1662</v>
      </c>
      <c r="N137" s="1">
        <v>2285.9</v>
      </c>
      <c r="O137" s="1">
        <v>4824.5</v>
      </c>
      <c r="P137" s="1">
        <v>2538.5833333333298</v>
      </c>
      <c r="Q137" s="1" t="s">
        <v>42</v>
      </c>
      <c r="S137" s="1" t="s">
        <v>42</v>
      </c>
      <c r="T137" s="1" t="s">
        <v>51</v>
      </c>
      <c r="U137" s="1">
        <v>121</v>
      </c>
      <c r="V137" s="5">
        <v>44421</v>
      </c>
      <c r="W137" s="5">
        <v>44306</v>
      </c>
      <c r="X137" s="1">
        <v>3750000</v>
      </c>
      <c r="AB137" s="1" t="s">
        <v>44</v>
      </c>
      <c r="AF137" s="1">
        <v>10024</v>
      </c>
      <c r="AJ137" s="1">
        <v>2017</v>
      </c>
      <c r="AK137" s="1" t="s">
        <v>125</v>
      </c>
      <c r="AL137" s="1">
        <v>19</v>
      </c>
    </row>
    <row r="138" spans="1:38" x14ac:dyDescent="0.2">
      <c r="A138" s="2" t="str">
        <f>HYPERLINK("https://www.compass.com/listing/15-west-61st-street-unit-3l-manhattan-ny-10023/820187004220701281/","15 W 61st St, Unit 3L")</f>
        <v>15 W 61st St, Unit 3L</v>
      </c>
      <c r="B138" s="2" t="str">
        <f t="shared" ref="B138:B139" si="15">HYPERLINK("https://www.compass.com/building/the-park-loggia-manhattan-ny/292861833130357557/","The Park Loggia")</f>
        <v>The Park Loggia</v>
      </c>
      <c r="C138" s="1" t="s">
        <v>57</v>
      </c>
      <c r="D138" s="1" t="s">
        <v>41</v>
      </c>
      <c r="E138" s="3">
        <v>1785000</v>
      </c>
      <c r="F138" s="1">
        <v>2303.22580645161</v>
      </c>
      <c r="G138" s="1">
        <v>3</v>
      </c>
      <c r="H138" s="1">
        <v>1</v>
      </c>
      <c r="I138" s="1">
        <v>1</v>
      </c>
      <c r="J138" s="1">
        <v>1</v>
      </c>
      <c r="K138" s="1">
        <v>1</v>
      </c>
      <c r="M138" s="1">
        <v>775</v>
      </c>
      <c r="N138" s="1">
        <v>788</v>
      </c>
      <c r="O138" s="1">
        <v>1580</v>
      </c>
      <c r="P138" s="1">
        <v>792</v>
      </c>
      <c r="Q138" s="1" t="s">
        <v>42</v>
      </c>
      <c r="S138" s="1" t="s">
        <v>42</v>
      </c>
      <c r="T138" s="1" t="s">
        <v>51</v>
      </c>
      <c r="U138" s="1">
        <v>44</v>
      </c>
      <c r="V138" s="5">
        <v>44413</v>
      </c>
      <c r="W138" s="5">
        <v>44383</v>
      </c>
      <c r="X138" s="1">
        <v>1785000</v>
      </c>
      <c r="AB138" s="1" t="s">
        <v>44</v>
      </c>
      <c r="AF138" s="1">
        <v>10023</v>
      </c>
      <c r="AI138" s="1" t="s">
        <v>65</v>
      </c>
      <c r="AJ138" s="1">
        <v>2019</v>
      </c>
      <c r="AK138" s="1" t="s">
        <v>108</v>
      </c>
      <c r="AL138" s="1">
        <v>172</v>
      </c>
    </row>
    <row r="139" spans="1:38" x14ac:dyDescent="0.2">
      <c r="A139" s="2" t="str">
        <f>HYPERLINK("https://www.compass.com/listing/15-west-61st-street-unit-3i-manhattan-ny-10023/820201110083999353/","15 W 61st St, Unit 3I")</f>
        <v>15 W 61st St, Unit 3I</v>
      </c>
      <c r="B139" s="2" t="str">
        <f t="shared" si="15"/>
        <v>The Park Loggia</v>
      </c>
      <c r="C139" s="1" t="s">
        <v>57</v>
      </c>
      <c r="D139" s="1" t="s">
        <v>41</v>
      </c>
      <c r="E139" s="3">
        <v>1905000</v>
      </c>
      <c r="F139" s="1">
        <v>2357.6732673267302</v>
      </c>
      <c r="G139" s="1">
        <v>3</v>
      </c>
      <c r="H139" s="1">
        <v>1</v>
      </c>
      <c r="I139" s="1">
        <v>1</v>
      </c>
      <c r="J139" s="1">
        <v>1</v>
      </c>
      <c r="K139" s="1">
        <v>1</v>
      </c>
      <c r="M139" s="1">
        <v>808</v>
      </c>
      <c r="N139" s="1">
        <v>879</v>
      </c>
      <c r="O139" s="1">
        <v>1763</v>
      </c>
      <c r="P139" s="1">
        <v>884</v>
      </c>
      <c r="Q139" s="1" t="s">
        <v>42</v>
      </c>
      <c r="S139" s="1" t="s">
        <v>42</v>
      </c>
      <c r="T139" s="1" t="s">
        <v>51</v>
      </c>
      <c r="U139" s="1">
        <v>44</v>
      </c>
      <c r="V139" s="5">
        <v>44413</v>
      </c>
      <c r="W139" s="5">
        <v>44383</v>
      </c>
      <c r="X139" s="1">
        <v>1905000</v>
      </c>
      <c r="AB139" s="1" t="s">
        <v>44</v>
      </c>
      <c r="AF139" s="1">
        <v>10023</v>
      </c>
      <c r="AI139" s="1" t="s">
        <v>159</v>
      </c>
      <c r="AJ139" s="1">
        <v>2019</v>
      </c>
      <c r="AK139" s="1" t="s">
        <v>108</v>
      </c>
      <c r="AL139" s="1">
        <v>172</v>
      </c>
    </row>
    <row r="140" spans="1:38" x14ac:dyDescent="0.2">
      <c r="A140" s="2" t="str">
        <f>HYPERLINK("https://www.compass.com/listing/15-east-30th-street-unit-24c-manhattan-ny-10016/832679491787041929/","15 E 30th St, Unit 24C")</f>
        <v>15 E 30th St, Unit 24C</v>
      </c>
      <c r="B140" s="2" t="str">
        <f>HYPERLINK("https://www.compass.com/building/madison-house-manhattan-ny/281937618113974565/","Madison House")</f>
        <v>Madison House</v>
      </c>
      <c r="C140" s="1" t="s">
        <v>40</v>
      </c>
      <c r="D140" s="1" t="s">
        <v>41</v>
      </c>
      <c r="E140" s="3">
        <v>3010000</v>
      </c>
      <c r="F140" s="1">
        <v>2195.47775346462</v>
      </c>
      <c r="G140" s="1">
        <v>4</v>
      </c>
      <c r="H140" s="1">
        <v>2</v>
      </c>
      <c r="I140" s="1">
        <v>2</v>
      </c>
      <c r="J140" s="1">
        <v>2</v>
      </c>
      <c r="K140" s="1">
        <v>2</v>
      </c>
      <c r="M140" s="4">
        <v>1371</v>
      </c>
      <c r="N140" s="1">
        <v>1914</v>
      </c>
      <c r="O140" s="1">
        <v>4214</v>
      </c>
      <c r="P140" s="1">
        <v>2300</v>
      </c>
      <c r="Q140" s="1" t="s">
        <v>42</v>
      </c>
      <c r="S140" s="1" t="s">
        <v>42</v>
      </c>
      <c r="T140" s="1" t="s">
        <v>51</v>
      </c>
      <c r="U140" s="1">
        <v>27</v>
      </c>
      <c r="V140" s="5">
        <v>44414</v>
      </c>
      <c r="W140" s="5">
        <v>44400</v>
      </c>
      <c r="X140" s="1">
        <v>3010000</v>
      </c>
      <c r="AB140" s="1" t="s">
        <v>44</v>
      </c>
      <c r="AF140" s="1">
        <v>10016</v>
      </c>
      <c r="AJ140" s="1">
        <v>2019</v>
      </c>
      <c r="AK140" s="1" t="s">
        <v>46</v>
      </c>
      <c r="AL140" s="1">
        <v>199</v>
      </c>
    </row>
    <row r="141" spans="1:38" x14ac:dyDescent="0.2">
      <c r="A141" s="2" t="str">
        <f>HYPERLINK("https://www.compass.com/listing/695-1st-avenue-unit-34a-manhattan-ny-10016/842101269917477865/","695 1st Ave, Unit 34A")</f>
        <v>695 1st Ave, Unit 34A</v>
      </c>
      <c r="B141" s="2" t="str">
        <f>HYPERLINK("https://www.compass.com/building/one-united-nations-park-manhattan-ny/282058773630059653/","One United Nations Park")</f>
        <v>One United Nations Park</v>
      </c>
      <c r="C141" s="1" t="s">
        <v>59</v>
      </c>
      <c r="D141" s="1" t="s">
        <v>41</v>
      </c>
      <c r="E141" s="3">
        <v>1435000</v>
      </c>
      <c r="F141" s="1">
        <v>1842.10526315789</v>
      </c>
      <c r="G141" s="1">
        <v>3</v>
      </c>
      <c r="H141" s="1">
        <v>1</v>
      </c>
      <c r="I141" s="1">
        <v>1</v>
      </c>
      <c r="J141" s="1">
        <v>1</v>
      </c>
      <c r="K141" s="1">
        <v>1</v>
      </c>
      <c r="M141" s="1">
        <v>779</v>
      </c>
      <c r="N141" s="1">
        <v>1044</v>
      </c>
      <c r="O141" s="1">
        <v>2284</v>
      </c>
      <c r="P141" s="1">
        <v>1240</v>
      </c>
      <c r="Q141" s="1" t="s">
        <v>42</v>
      </c>
      <c r="S141" s="1" t="s">
        <v>42</v>
      </c>
      <c r="T141" s="1" t="s">
        <v>51</v>
      </c>
      <c r="U141" s="1">
        <v>14</v>
      </c>
      <c r="V141" s="5">
        <v>44427</v>
      </c>
      <c r="W141" s="5">
        <v>44413</v>
      </c>
      <c r="X141" s="1">
        <v>1435000</v>
      </c>
      <c r="AB141" s="1" t="s">
        <v>44</v>
      </c>
      <c r="AF141" s="1">
        <v>10016</v>
      </c>
      <c r="AJ141" s="1">
        <v>2019</v>
      </c>
      <c r="AK141" s="1" t="s">
        <v>46</v>
      </c>
      <c r="AL141" s="1">
        <v>148</v>
      </c>
    </row>
    <row r="142" spans="1:38" x14ac:dyDescent="0.2">
      <c r="A142" s="2" t="str">
        <f>HYPERLINK("https://www.compass.com/listing/130-william-street-unit-47d-manhattan-ny-10038/850050260650298945/","130 William St, Unit 47D")</f>
        <v>130 William St, Unit 47D</v>
      </c>
      <c r="B142" s="2" t="str">
        <f>HYPERLINK("https://www.compass.com/building/130-william-st-manhattan-ny-10038/282029682239486757/","130 William St")</f>
        <v>130 William St</v>
      </c>
      <c r="C142" s="1" t="s">
        <v>96</v>
      </c>
      <c r="D142" s="1" t="s">
        <v>41</v>
      </c>
      <c r="E142" s="3">
        <v>3890990</v>
      </c>
      <c r="F142" s="1">
        <v>2238.7744533946998</v>
      </c>
      <c r="G142" s="1">
        <v>5</v>
      </c>
      <c r="H142" s="1">
        <v>3</v>
      </c>
      <c r="I142" s="1">
        <v>3</v>
      </c>
      <c r="J142" s="1">
        <v>3</v>
      </c>
      <c r="K142" s="1">
        <v>3</v>
      </c>
      <c r="M142" s="4">
        <v>1738</v>
      </c>
      <c r="N142" s="1">
        <v>1271</v>
      </c>
      <c r="O142" s="1">
        <v>3734</v>
      </c>
      <c r="P142" s="1">
        <v>2463</v>
      </c>
      <c r="Q142" s="1" t="s">
        <v>42</v>
      </c>
      <c r="S142" s="1" t="s">
        <v>42</v>
      </c>
      <c r="T142" s="1" t="s">
        <v>51</v>
      </c>
      <c r="U142" s="1">
        <v>3</v>
      </c>
      <c r="V142" s="5">
        <v>44426</v>
      </c>
      <c r="W142" s="5">
        <v>44424</v>
      </c>
      <c r="X142" s="1">
        <v>3890990</v>
      </c>
      <c r="AB142" s="1" t="s">
        <v>44</v>
      </c>
      <c r="AF142" s="1">
        <v>10038</v>
      </c>
      <c r="AI142" s="1" t="s">
        <v>111</v>
      </c>
      <c r="AJ142" s="1">
        <v>2020</v>
      </c>
      <c r="AK142" s="1" t="s">
        <v>46</v>
      </c>
      <c r="AL142" s="1">
        <v>244</v>
      </c>
    </row>
    <row r="143" spans="1:38" x14ac:dyDescent="0.2">
      <c r="A143" s="2" t="str">
        <f>HYPERLINK("https://www.compass.com/listing/15-west-61st-street-unit-5d-manhattan-ny-10023/820186790042168833/","15 W 61st St, Unit 5D")</f>
        <v>15 W 61st St, Unit 5D</v>
      </c>
      <c r="B143" s="2" t="str">
        <f>HYPERLINK("https://www.compass.com/building/the-park-loggia-manhattan-ny/292861833130357557/","The Park Loggia")</f>
        <v>The Park Loggia</v>
      </c>
      <c r="C143" s="1" t="s">
        <v>57</v>
      </c>
      <c r="D143" s="1" t="s">
        <v>41</v>
      </c>
      <c r="E143" s="3">
        <v>2785000</v>
      </c>
      <c r="F143" s="1">
        <v>2374.2540494458599</v>
      </c>
      <c r="G143" s="1">
        <v>4</v>
      </c>
      <c r="H143" s="1">
        <v>2</v>
      </c>
      <c r="I143" s="1">
        <v>2</v>
      </c>
      <c r="J143" s="1">
        <v>2</v>
      </c>
      <c r="K143" s="1">
        <v>2</v>
      </c>
      <c r="M143" s="4">
        <v>1173</v>
      </c>
      <c r="N143" s="1">
        <v>1192</v>
      </c>
      <c r="O143" s="1">
        <v>2391</v>
      </c>
      <c r="P143" s="1">
        <v>1199</v>
      </c>
      <c r="Q143" s="1" t="s">
        <v>42</v>
      </c>
      <c r="S143" s="1" t="s">
        <v>42</v>
      </c>
      <c r="T143" s="1" t="s">
        <v>51</v>
      </c>
      <c r="U143" s="1">
        <v>44</v>
      </c>
      <c r="V143" s="5">
        <v>44413</v>
      </c>
      <c r="W143" s="5">
        <v>44383</v>
      </c>
      <c r="X143" s="1">
        <v>2785000</v>
      </c>
      <c r="AB143" s="1" t="s">
        <v>44</v>
      </c>
      <c r="AF143" s="1">
        <v>10023</v>
      </c>
      <c r="AI143" s="1" t="s">
        <v>65</v>
      </c>
      <c r="AJ143" s="1">
        <v>2019</v>
      </c>
      <c r="AK143" s="1" t="s">
        <v>108</v>
      </c>
      <c r="AL143" s="1">
        <v>172</v>
      </c>
    </row>
    <row r="144" spans="1:38" x14ac:dyDescent="0.2">
      <c r="A144" s="2" t="str">
        <f>HYPERLINK("https://www.compass.com/listing/172-madison-avenue-unit-26a-manhattan-ny-10016/841400058154742017/","172 Madison Ave, Unit 26A")</f>
        <v>172 Madison Ave, Unit 26A</v>
      </c>
      <c r="B144" s="2" t="str">
        <f>HYPERLINK("https://www.compass.com/building/172-madison-ave-manhattan-ny-10016/281937956250376981/","172 Madison Ave")</f>
        <v>172 Madison Ave</v>
      </c>
      <c r="C144" s="1" t="s">
        <v>120</v>
      </c>
      <c r="D144" s="1" t="s">
        <v>41</v>
      </c>
      <c r="E144" s="3">
        <v>5350000</v>
      </c>
      <c r="F144" s="1">
        <v>2493.0102516309398</v>
      </c>
      <c r="G144" s="1">
        <v>5</v>
      </c>
      <c r="H144" s="1">
        <v>3</v>
      </c>
      <c r="I144" s="1">
        <v>4</v>
      </c>
      <c r="J144" s="1">
        <v>3.5</v>
      </c>
      <c r="K144" s="1">
        <v>3</v>
      </c>
      <c r="L144" s="1">
        <v>1</v>
      </c>
      <c r="M144" s="4">
        <v>2146</v>
      </c>
      <c r="N144" s="1">
        <v>3208</v>
      </c>
      <c r="O144" s="1">
        <v>8466</v>
      </c>
      <c r="P144" s="1">
        <v>5258</v>
      </c>
      <c r="Q144" s="1" t="s">
        <v>42</v>
      </c>
      <c r="S144" s="1" t="s">
        <v>42</v>
      </c>
      <c r="T144" s="1" t="s">
        <v>51</v>
      </c>
      <c r="U144" s="1">
        <v>15</v>
      </c>
      <c r="V144" s="5">
        <v>44424</v>
      </c>
      <c r="W144" s="5">
        <v>44412</v>
      </c>
      <c r="X144" s="1">
        <v>5350000</v>
      </c>
      <c r="AB144" s="1" t="s">
        <v>44</v>
      </c>
      <c r="AF144" s="1">
        <v>10016</v>
      </c>
      <c r="AI144" s="1" t="s">
        <v>160</v>
      </c>
      <c r="AJ144" s="1">
        <v>2016</v>
      </c>
      <c r="AK144" s="1" t="s">
        <v>46</v>
      </c>
      <c r="AL144" s="1">
        <v>72</v>
      </c>
    </row>
    <row r="145" spans="1:38" x14ac:dyDescent="0.2">
      <c r="A145" s="2" t="str">
        <f>HYPERLINK("https://www.compass.com/listing/498-west-end-avenue-unit-1c-manhattan-ny-10024/577447616512658497/","498 W End Ave, Unit 1C")</f>
        <v>498 W End Ave, Unit 1C</v>
      </c>
      <c r="B145" s="2" t="str">
        <f>HYPERLINK("https://www.compass.com/building/498-w-end-ave-manhattan-ny-10024/281925430842268789/","498 W End Ave")</f>
        <v>498 W End Ave</v>
      </c>
      <c r="C145" s="1" t="s">
        <v>57</v>
      </c>
      <c r="D145" s="1" t="s">
        <v>41</v>
      </c>
      <c r="E145" s="3">
        <v>1995000</v>
      </c>
      <c r="F145" s="1">
        <v>1257.0888468809001</v>
      </c>
      <c r="G145" s="1">
        <v>3</v>
      </c>
      <c r="H145" s="1" t="s">
        <v>99</v>
      </c>
      <c r="I145" s="1">
        <v>1</v>
      </c>
      <c r="J145" s="1">
        <v>1</v>
      </c>
      <c r="K145" s="1">
        <v>1</v>
      </c>
      <c r="M145" s="4">
        <v>1587</v>
      </c>
      <c r="N145" s="1">
        <v>1325</v>
      </c>
      <c r="O145" s="1">
        <v>4155</v>
      </c>
      <c r="P145" s="1">
        <v>2830</v>
      </c>
      <c r="Q145" s="1" t="s">
        <v>42</v>
      </c>
      <c r="S145" s="1" t="s">
        <v>42</v>
      </c>
      <c r="T145" s="1" t="s">
        <v>51</v>
      </c>
      <c r="U145" s="1">
        <v>379</v>
      </c>
      <c r="V145" s="5">
        <v>44419</v>
      </c>
      <c r="W145" s="5">
        <v>44048</v>
      </c>
      <c r="X145" s="1">
        <v>2250000</v>
      </c>
      <c r="AB145" s="1" t="s">
        <v>44</v>
      </c>
      <c r="AF145" s="1">
        <v>10024</v>
      </c>
      <c r="AJ145" s="1">
        <v>1912</v>
      </c>
      <c r="AK145" s="1" t="s">
        <v>46</v>
      </c>
      <c r="AL145" s="1">
        <v>19</v>
      </c>
    </row>
    <row r="146" spans="1:38" x14ac:dyDescent="0.2">
      <c r="A146" s="2" t="str">
        <f>HYPERLINK("https://www.compass.com/listing/30-east-31st-street-unit-9-manhattan-ny-10016/831533823508622041/","30 E 31st St, Unit 9")</f>
        <v>30 E 31st St, Unit 9</v>
      </c>
      <c r="B146" s="2" t="str">
        <f t="shared" ref="B146:B147" si="16">HYPERLINK("https://www.compass.com/building/30-east-31st-street-manhattan-ny/281939352542566357/","30 East 31st Street")</f>
        <v>30 East 31st Street</v>
      </c>
      <c r="C146" s="1" t="s">
        <v>40</v>
      </c>
      <c r="D146" s="1" t="s">
        <v>41</v>
      </c>
      <c r="E146" s="3">
        <v>3000000</v>
      </c>
      <c r="F146" s="1">
        <v>1788.90876565295</v>
      </c>
      <c r="G146" s="1">
        <v>4</v>
      </c>
      <c r="H146" s="1">
        <v>2</v>
      </c>
      <c r="I146" s="1">
        <v>3</v>
      </c>
      <c r="J146" s="1">
        <v>2.5</v>
      </c>
      <c r="K146" s="1">
        <v>2</v>
      </c>
      <c r="L146" s="1">
        <v>1</v>
      </c>
      <c r="M146" s="4">
        <v>1677</v>
      </c>
      <c r="N146" s="1">
        <v>2662.53</v>
      </c>
      <c r="O146" s="1">
        <v>6360.45</v>
      </c>
      <c r="P146" s="1">
        <v>3697.9166666666601</v>
      </c>
      <c r="Q146" s="1" t="s">
        <v>42</v>
      </c>
      <c r="S146" s="1" t="s">
        <v>42</v>
      </c>
      <c r="T146" s="1" t="s">
        <v>51</v>
      </c>
      <c r="U146" s="1">
        <v>28</v>
      </c>
      <c r="V146" s="5">
        <v>44422</v>
      </c>
      <c r="W146" s="5">
        <v>44399</v>
      </c>
      <c r="X146" s="1">
        <v>3000000</v>
      </c>
      <c r="AB146" s="1" t="s">
        <v>44</v>
      </c>
      <c r="AF146" s="1">
        <v>10016</v>
      </c>
      <c r="AI146" s="1" t="s">
        <v>131</v>
      </c>
      <c r="AJ146" s="1">
        <v>2018</v>
      </c>
      <c r="AK146" s="1" t="s">
        <v>46</v>
      </c>
      <c r="AL146" s="1">
        <v>42</v>
      </c>
    </row>
    <row r="147" spans="1:38" x14ac:dyDescent="0.2">
      <c r="A147" s="2" t="str">
        <f>HYPERLINK("https://www.compass.com/listing/30-east-31st-street-unit-ph-manhattan-ny-10016/831522406973837609/","30 E 31st St, Unit PH")</f>
        <v>30 E 31st St, Unit PH</v>
      </c>
      <c r="B147" s="2" t="str">
        <f t="shared" si="16"/>
        <v>30 East 31st Street</v>
      </c>
      <c r="C147" s="1" t="s">
        <v>40</v>
      </c>
      <c r="D147" s="1" t="s">
        <v>41</v>
      </c>
      <c r="E147" s="3">
        <v>12000000</v>
      </c>
      <c r="F147" s="1">
        <v>3577.8175313059</v>
      </c>
      <c r="G147" s="1">
        <v>6</v>
      </c>
      <c r="H147" s="1">
        <v>3</v>
      </c>
      <c r="I147" s="1">
        <v>4</v>
      </c>
      <c r="J147" s="1">
        <v>3.5</v>
      </c>
      <c r="K147" s="1">
        <v>3</v>
      </c>
      <c r="L147" s="1">
        <v>1</v>
      </c>
      <c r="M147" s="4">
        <v>3354</v>
      </c>
      <c r="N147" s="1">
        <v>8004.93</v>
      </c>
      <c r="O147" s="1">
        <v>19122.78</v>
      </c>
      <c r="P147" s="1">
        <v>11117.833333333299</v>
      </c>
      <c r="Q147" s="1" t="s">
        <v>42</v>
      </c>
      <c r="S147" s="1" t="s">
        <v>42</v>
      </c>
      <c r="T147" s="1" t="s">
        <v>51</v>
      </c>
      <c r="U147" s="1">
        <v>27</v>
      </c>
      <c r="V147" s="5">
        <v>44422</v>
      </c>
      <c r="W147" s="5">
        <v>44399</v>
      </c>
      <c r="X147" s="1">
        <v>12000000</v>
      </c>
      <c r="AB147" s="1" t="s">
        <v>44</v>
      </c>
      <c r="AF147" s="1">
        <v>10016</v>
      </c>
      <c r="AJ147" s="1">
        <v>2018</v>
      </c>
      <c r="AK147" s="1" t="s">
        <v>46</v>
      </c>
      <c r="AL147" s="1">
        <v>42</v>
      </c>
    </row>
    <row r="148" spans="1:38" x14ac:dyDescent="0.2">
      <c r="A148" s="2" t="str">
        <f>HYPERLINK("https://www.compass.com/listing/220-east-20th-street-unit-ph-manhattan-ny-10003/678319254717736329/","220 E 20th St, Unit PH")</f>
        <v>220 E 20th St, Unit PH</v>
      </c>
      <c r="B148" s="2" t="str">
        <f>HYPERLINK("https://www.compass.com/building/the-boutique-at-gramercy-square-manhattan-ny/282059870155341381/","The Boutique at Gramercy Square")</f>
        <v>The Boutique at Gramercy Square</v>
      </c>
      <c r="C148" s="1" t="s">
        <v>64</v>
      </c>
      <c r="D148" s="1" t="s">
        <v>41</v>
      </c>
      <c r="E148" s="3">
        <v>9345000</v>
      </c>
      <c r="F148" s="1">
        <v>2474.1858617950702</v>
      </c>
      <c r="G148" s="1">
        <v>7</v>
      </c>
      <c r="H148" s="1">
        <v>4</v>
      </c>
      <c r="I148" s="1">
        <v>5</v>
      </c>
      <c r="J148" s="1">
        <v>4.5</v>
      </c>
      <c r="K148" s="1">
        <v>4</v>
      </c>
      <c r="L148" s="1">
        <v>1</v>
      </c>
      <c r="M148" s="4">
        <v>3777</v>
      </c>
      <c r="N148" s="1">
        <v>5248</v>
      </c>
      <c r="O148" s="1">
        <v>14279</v>
      </c>
      <c r="P148" s="1">
        <v>9031</v>
      </c>
      <c r="Q148" s="1" t="s">
        <v>42</v>
      </c>
      <c r="S148" s="1" t="s">
        <v>42</v>
      </c>
      <c r="T148" s="1" t="s">
        <v>51</v>
      </c>
      <c r="U148" s="1">
        <v>542</v>
      </c>
      <c r="V148" s="5">
        <v>44427</v>
      </c>
      <c r="W148" s="5">
        <v>43791</v>
      </c>
      <c r="X148" s="1">
        <v>9345000</v>
      </c>
      <c r="AB148" s="1" t="s">
        <v>44</v>
      </c>
      <c r="AD148" s="1" t="s">
        <v>161</v>
      </c>
      <c r="AE148" s="1" t="s">
        <v>87</v>
      </c>
      <c r="AF148" s="1">
        <v>10003</v>
      </c>
      <c r="AI148" s="1" t="s">
        <v>162</v>
      </c>
      <c r="AJ148" s="1">
        <v>1920</v>
      </c>
      <c r="AK148" s="1" t="s">
        <v>49</v>
      </c>
      <c r="AL148" s="1">
        <v>8</v>
      </c>
    </row>
    <row r="149" spans="1:38" x14ac:dyDescent="0.2">
      <c r="A149" s="2" t="str">
        <f>HYPERLINK("https://www.compass.com/listing/505-513-west-43rd-street-unit-5b-manhattan-ny-10036/831303890408815161/","505-513 W 43rd St, Unit 5B")</f>
        <v>505-513 W 43rd St, Unit 5B</v>
      </c>
      <c r="B149" s="2" t="str">
        <f>HYPERLINK("https://www.compass.com/building/charlie-west-manhattan-ny/292918554372621509/","Charlie West")</f>
        <v>Charlie West</v>
      </c>
      <c r="C149" s="1" t="s">
        <v>90</v>
      </c>
      <c r="D149" s="1" t="s">
        <v>41</v>
      </c>
      <c r="E149" s="3">
        <v>1065000</v>
      </c>
      <c r="F149" s="1">
        <v>1698.56459330143</v>
      </c>
      <c r="G149" s="1">
        <v>3</v>
      </c>
      <c r="H149" s="1">
        <v>1</v>
      </c>
      <c r="I149" s="1">
        <v>1</v>
      </c>
      <c r="J149" s="1">
        <v>1</v>
      </c>
      <c r="K149" s="1">
        <v>1</v>
      </c>
      <c r="M149" s="1">
        <v>627</v>
      </c>
      <c r="N149" s="1">
        <v>646</v>
      </c>
      <c r="O149" s="1">
        <v>1945</v>
      </c>
      <c r="P149" s="1">
        <v>1299</v>
      </c>
      <c r="Q149" s="1" t="s">
        <v>42</v>
      </c>
      <c r="S149" s="1" t="s">
        <v>42</v>
      </c>
      <c r="T149" s="1" t="s">
        <v>51</v>
      </c>
      <c r="U149" s="1">
        <v>29</v>
      </c>
      <c r="V149" s="5">
        <v>44420</v>
      </c>
      <c r="W149" s="5">
        <v>44398</v>
      </c>
      <c r="X149" s="1">
        <v>1065000</v>
      </c>
      <c r="AB149" s="1" t="s">
        <v>44</v>
      </c>
      <c r="AF149" s="1">
        <v>10036</v>
      </c>
      <c r="AI149" s="1" t="s">
        <v>118</v>
      </c>
      <c r="AJ149" s="1">
        <v>2019</v>
      </c>
      <c r="AK149" s="1" t="s">
        <v>46</v>
      </c>
      <c r="AL149" s="1">
        <v>123</v>
      </c>
    </row>
    <row r="150" spans="1:38" x14ac:dyDescent="0.2">
      <c r="A150" s="2" t="str">
        <f>HYPERLINK("https://www.compass.com/listing/30-east-31st-street-unit-11-manhattan-ny-10016/393549624848715201/","30 E 31st St, Unit 11")</f>
        <v>30 E 31st St, Unit 11</v>
      </c>
      <c r="B150" s="2" t="str">
        <f t="shared" ref="B150:B152" si="17">HYPERLINK("https://www.compass.com/building/30-east-31st-street-manhattan-ny/281939352542566357/","30 East 31st Street")</f>
        <v>30 East 31st Street</v>
      </c>
      <c r="C150" s="1" t="s">
        <v>40</v>
      </c>
      <c r="D150" s="1" t="s">
        <v>41</v>
      </c>
      <c r="E150" s="3">
        <v>2195000</v>
      </c>
      <c r="F150" s="1">
        <v>1308.8849135360699</v>
      </c>
      <c r="G150" s="1">
        <v>4</v>
      </c>
      <c r="H150" s="1">
        <v>2</v>
      </c>
      <c r="I150" s="1">
        <v>3</v>
      </c>
      <c r="J150" s="1">
        <v>2.5</v>
      </c>
      <c r="K150" s="1">
        <v>2</v>
      </c>
      <c r="L150" s="1">
        <v>1</v>
      </c>
      <c r="M150" s="4">
        <v>1677</v>
      </c>
      <c r="N150" s="1">
        <v>2369.75</v>
      </c>
      <c r="O150" s="1">
        <v>5661.04</v>
      </c>
      <c r="P150" s="1">
        <v>3291.25</v>
      </c>
      <c r="Q150" s="1" t="s">
        <v>42</v>
      </c>
      <c r="S150" s="1" t="s">
        <v>42</v>
      </c>
      <c r="T150" s="1" t="s">
        <v>51</v>
      </c>
      <c r="U150" s="1">
        <v>27</v>
      </c>
      <c r="V150" s="5">
        <v>44422</v>
      </c>
      <c r="W150" s="5">
        <v>44399</v>
      </c>
      <c r="X150" s="1">
        <v>2195000</v>
      </c>
      <c r="AB150" s="1" t="s">
        <v>44</v>
      </c>
      <c r="AF150" s="1">
        <v>10016</v>
      </c>
      <c r="AJ150" s="1">
        <v>2018</v>
      </c>
      <c r="AK150" s="1" t="s">
        <v>46</v>
      </c>
      <c r="AL150" s="1">
        <v>42</v>
      </c>
    </row>
    <row r="151" spans="1:38" x14ac:dyDescent="0.2">
      <c r="A151" s="2" t="str">
        <f>HYPERLINK("https://www.compass.com/listing/30-east-31st-street-unit-17-manhattan-ny-10016/653137745481867145/","30 E 31st St, Unit 17")</f>
        <v>30 E 31st St, Unit 17</v>
      </c>
      <c r="B151" s="2" t="str">
        <f t="shared" si="17"/>
        <v>30 East 31st Street</v>
      </c>
      <c r="C151" s="1" t="s">
        <v>40</v>
      </c>
      <c r="D151" s="1" t="s">
        <v>41</v>
      </c>
      <c r="E151" s="3">
        <v>2600000</v>
      </c>
      <c r="F151" s="1">
        <v>1550.3875968992199</v>
      </c>
      <c r="G151" s="1">
        <v>4</v>
      </c>
      <c r="H151" s="1">
        <v>2</v>
      </c>
      <c r="I151" s="1">
        <v>3</v>
      </c>
      <c r="J151" s="1">
        <v>2.5</v>
      </c>
      <c r="K151" s="1">
        <v>2</v>
      </c>
      <c r="L151" s="1">
        <v>1</v>
      </c>
      <c r="M151" s="4">
        <v>1677</v>
      </c>
      <c r="N151" s="1">
        <v>2536.0300000000002</v>
      </c>
      <c r="O151" s="1">
        <v>6058.26</v>
      </c>
      <c r="P151" s="1">
        <v>3522.25</v>
      </c>
      <c r="Q151" s="1" t="s">
        <v>42</v>
      </c>
      <c r="S151" s="1" t="s">
        <v>42</v>
      </c>
      <c r="T151" s="1" t="s">
        <v>51</v>
      </c>
      <c r="U151" s="1">
        <v>27</v>
      </c>
      <c r="V151" s="5">
        <v>44422</v>
      </c>
      <c r="W151" s="5">
        <v>44399</v>
      </c>
      <c r="AB151" s="1" t="s">
        <v>44</v>
      </c>
      <c r="AF151" s="1">
        <v>10016</v>
      </c>
      <c r="AJ151" s="1">
        <v>2018</v>
      </c>
      <c r="AK151" s="1" t="s">
        <v>46</v>
      </c>
      <c r="AL151" s="1">
        <v>42</v>
      </c>
    </row>
    <row r="152" spans="1:38" x14ac:dyDescent="0.2">
      <c r="A152" s="2" t="str">
        <f>HYPERLINK("https://www.compass.com/listing/30-east-31st-street-unit-26-manhattan-ny-10016/831527028539027457/","30 E 31st St, Unit 26")</f>
        <v>30 E 31st St, Unit 26</v>
      </c>
      <c r="B152" s="2" t="str">
        <f t="shared" si="17"/>
        <v>30 East 31st Street</v>
      </c>
      <c r="C152" s="1" t="s">
        <v>40</v>
      </c>
      <c r="D152" s="1" t="s">
        <v>41</v>
      </c>
      <c r="E152" s="3">
        <v>2775000</v>
      </c>
      <c r="F152" s="1">
        <v>1654.7406082289799</v>
      </c>
      <c r="G152" s="1">
        <v>4</v>
      </c>
      <c r="H152" s="1">
        <v>2</v>
      </c>
      <c r="I152" s="1">
        <v>3</v>
      </c>
      <c r="J152" s="1">
        <v>2.5</v>
      </c>
      <c r="K152" s="1">
        <v>2</v>
      </c>
      <c r="L152" s="1">
        <v>1</v>
      </c>
      <c r="M152" s="4">
        <v>1677</v>
      </c>
      <c r="N152" s="1">
        <v>2835.95</v>
      </c>
      <c r="O152" s="1">
        <v>6774.73</v>
      </c>
      <c r="P152" s="1">
        <v>3938.75</v>
      </c>
      <c r="Q152" s="1" t="s">
        <v>42</v>
      </c>
      <c r="S152" s="1" t="s">
        <v>42</v>
      </c>
      <c r="T152" s="1" t="s">
        <v>51</v>
      </c>
      <c r="U152" s="1">
        <v>27</v>
      </c>
      <c r="V152" s="5">
        <v>44422</v>
      </c>
      <c r="W152" s="5">
        <v>44399</v>
      </c>
      <c r="X152" s="1">
        <v>2775000</v>
      </c>
      <c r="AB152" s="1" t="s">
        <v>44</v>
      </c>
      <c r="AF152" s="1">
        <v>10016</v>
      </c>
      <c r="AJ152" s="1">
        <v>2018</v>
      </c>
      <c r="AK152" s="1" t="s">
        <v>46</v>
      </c>
      <c r="AL152" s="1">
        <v>42</v>
      </c>
    </row>
    <row r="153" spans="1:38" x14ac:dyDescent="0.2">
      <c r="A153" s="2" t="str">
        <f>HYPERLINK("https://www.compass.com/listing/300-east-64th-street-unit-28a-manhattan-ny-10065/831748301018074977/","300 E 64th St, Unit 28A")</f>
        <v>300 E 64th St, Unit 28A</v>
      </c>
      <c r="B153" s="2" t="str">
        <f>HYPERLINK("https://www.compass.com/building/300-e-64th-st-manhattan-ny-10065/282038617012979925/","300 E 64th St")</f>
        <v>300 E 64th St</v>
      </c>
      <c r="C153" s="1" t="s">
        <v>82</v>
      </c>
      <c r="D153" s="1" t="s">
        <v>41</v>
      </c>
      <c r="E153" s="3">
        <v>2525000</v>
      </c>
      <c r="F153" s="1">
        <v>2052.8455284552801</v>
      </c>
      <c r="G153" s="1">
        <v>5</v>
      </c>
      <c r="H153" s="1">
        <v>2</v>
      </c>
      <c r="I153" s="1">
        <v>2</v>
      </c>
      <c r="J153" s="1">
        <v>2</v>
      </c>
      <c r="K153" s="1">
        <v>2</v>
      </c>
      <c r="M153" s="4">
        <v>1230</v>
      </c>
      <c r="N153" s="1">
        <v>1549</v>
      </c>
      <c r="O153" s="1">
        <v>3882</v>
      </c>
      <c r="P153" s="1">
        <v>2333</v>
      </c>
      <c r="Q153" s="1" t="s">
        <v>42</v>
      </c>
      <c r="S153" s="1" t="s">
        <v>42</v>
      </c>
      <c r="T153" s="1" t="s">
        <v>51</v>
      </c>
      <c r="U153" s="1">
        <v>27</v>
      </c>
      <c r="V153" s="5">
        <v>44424</v>
      </c>
      <c r="W153" s="5">
        <v>44399</v>
      </c>
      <c r="X153" s="1">
        <v>2525000</v>
      </c>
      <c r="AB153" s="1" t="s">
        <v>44</v>
      </c>
      <c r="AF153" s="1">
        <v>10065</v>
      </c>
      <c r="AI153" s="1" t="s">
        <v>163</v>
      </c>
      <c r="AJ153" s="1">
        <v>1996</v>
      </c>
      <c r="AK153" s="1" t="s">
        <v>46</v>
      </c>
      <c r="AL153" s="1">
        <v>103</v>
      </c>
    </row>
    <row r="154" spans="1:38" x14ac:dyDescent="0.2">
      <c r="A154" s="2" t="str">
        <f>HYPERLINK("https://www.compass.com/listing/30-east-31st-street-unit-31-manhattan-ny-10016/831524948575484033/","30 E 31st St, Unit 31")</f>
        <v>30 E 31st St, Unit 31</v>
      </c>
      <c r="B154" s="2" t="str">
        <f>HYPERLINK("https://www.compass.com/building/30-east-31st-street-manhattan-ny/281939352542566357/","30 East 31st Street")</f>
        <v>30 East 31st Street</v>
      </c>
      <c r="C154" s="1" t="s">
        <v>40</v>
      </c>
      <c r="D154" s="1" t="s">
        <v>41</v>
      </c>
      <c r="E154" s="3">
        <v>3100000</v>
      </c>
      <c r="F154" s="1">
        <v>1848.5390578413801</v>
      </c>
      <c r="G154" s="1">
        <v>4</v>
      </c>
      <c r="H154" s="1">
        <v>2</v>
      </c>
      <c r="I154" s="1">
        <v>3</v>
      </c>
      <c r="J154" s="1">
        <v>2.5</v>
      </c>
      <c r="K154" s="1">
        <v>2</v>
      </c>
      <c r="L154" s="1">
        <v>1</v>
      </c>
      <c r="M154" s="4">
        <v>1677</v>
      </c>
      <c r="N154" s="1">
        <v>3003.25</v>
      </c>
      <c r="O154" s="1">
        <v>7174.39</v>
      </c>
      <c r="P154" s="1">
        <v>4171.1666666666597</v>
      </c>
      <c r="Q154" s="1" t="s">
        <v>42</v>
      </c>
      <c r="S154" s="1" t="s">
        <v>42</v>
      </c>
      <c r="T154" s="1" t="s">
        <v>51</v>
      </c>
      <c r="U154" s="1">
        <v>28</v>
      </c>
      <c r="V154" s="5">
        <v>44422</v>
      </c>
      <c r="W154" s="5">
        <v>44399</v>
      </c>
      <c r="X154" s="1">
        <v>3100000</v>
      </c>
      <c r="AB154" s="1" t="s">
        <v>44</v>
      </c>
      <c r="AF154" s="1">
        <v>10016</v>
      </c>
      <c r="AJ154" s="1">
        <v>2018</v>
      </c>
      <c r="AK154" s="1" t="s">
        <v>46</v>
      </c>
      <c r="AL154" s="1">
        <v>42</v>
      </c>
    </row>
    <row r="155" spans="1:38" x14ac:dyDescent="0.2">
      <c r="A155" s="2" t="str">
        <f>HYPERLINK("https://www.compass.com/listing/498-west-end-avenue-unit-ph-manhattan-ny-10024/110044332697936193/","498 W End Ave, Unit PH")</f>
        <v>498 W End Ave, Unit PH</v>
      </c>
      <c r="B155" s="2" t="str">
        <f>HYPERLINK("https://www.compass.com/building/498-w-end-ave-manhattan-ny-10024/281925430842268789/","498 W End Ave")</f>
        <v>498 W End Ave</v>
      </c>
      <c r="C155" s="1" t="s">
        <v>57</v>
      </c>
      <c r="D155" s="1" t="s">
        <v>41</v>
      </c>
      <c r="E155" s="3">
        <v>12600000</v>
      </c>
      <c r="F155" s="1">
        <v>3455.84201865057</v>
      </c>
      <c r="G155" s="1">
        <v>8</v>
      </c>
      <c r="H155" s="1">
        <v>5</v>
      </c>
      <c r="I155" s="1">
        <v>5</v>
      </c>
      <c r="J155" s="1">
        <v>4.5</v>
      </c>
      <c r="K155" s="1">
        <v>4</v>
      </c>
      <c r="L155" s="1">
        <v>1</v>
      </c>
      <c r="M155" s="4">
        <v>3646</v>
      </c>
      <c r="N155" s="1">
        <v>5286</v>
      </c>
      <c r="O155" s="1">
        <v>11266</v>
      </c>
      <c r="P155" s="1">
        <v>5980</v>
      </c>
      <c r="Q155" s="1" t="s">
        <v>42</v>
      </c>
      <c r="S155" s="1" t="s">
        <v>42</v>
      </c>
      <c r="T155" s="1" t="s">
        <v>51</v>
      </c>
      <c r="U155" s="1">
        <v>930</v>
      </c>
      <c r="V155" s="5">
        <v>44426</v>
      </c>
      <c r="W155" s="5">
        <v>43403</v>
      </c>
      <c r="X155" s="1">
        <v>14950000</v>
      </c>
      <c r="AB155" s="1" t="s">
        <v>44</v>
      </c>
      <c r="AF155" s="1">
        <v>10024</v>
      </c>
      <c r="AI155" s="1" t="s">
        <v>164</v>
      </c>
      <c r="AJ155" s="1">
        <v>1912</v>
      </c>
      <c r="AK155" s="1" t="s">
        <v>46</v>
      </c>
      <c r="AL155" s="1">
        <v>19</v>
      </c>
    </row>
    <row r="156" spans="1:38" x14ac:dyDescent="0.2">
      <c r="A156" s="2" t="str">
        <f>HYPERLINK("https://www.compass.com/listing/15-west-61st-street-unit-3j-manhattan-ny-10023/820172283278009185/","15 W 61st St, Unit 3J")</f>
        <v>15 W 61st St, Unit 3J</v>
      </c>
      <c r="B156" s="2" t="str">
        <f>HYPERLINK("https://www.compass.com/building/the-park-loggia-manhattan-ny/292861833130357557/","The Park Loggia")</f>
        <v>The Park Loggia</v>
      </c>
      <c r="C156" s="1" t="s">
        <v>57</v>
      </c>
      <c r="D156" s="1" t="s">
        <v>41</v>
      </c>
      <c r="E156" s="3">
        <v>3725000</v>
      </c>
      <c r="F156" s="1">
        <v>2668.3381088825199</v>
      </c>
      <c r="G156" s="1">
        <v>4</v>
      </c>
      <c r="H156" s="1">
        <v>2</v>
      </c>
      <c r="I156" s="1">
        <v>2</v>
      </c>
      <c r="J156" s="1">
        <v>2</v>
      </c>
      <c r="K156" s="1">
        <v>2</v>
      </c>
      <c r="M156" s="4">
        <v>1396</v>
      </c>
      <c r="N156" s="1">
        <v>1419</v>
      </c>
      <c r="O156" s="1">
        <v>2845</v>
      </c>
      <c r="P156" s="1">
        <v>1426</v>
      </c>
      <c r="Q156" s="1" t="s">
        <v>42</v>
      </c>
      <c r="S156" s="1" t="s">
        <v>42</v>
      </c>
      <c r="T156" s="1" t="s">
        <v>51</v>
      </c>
      <c r="U156" s="1">
        <v>44</v>
      </c>
      <c r="V156" s="5">
        <v>44413</v>
      </c>
      <c r="W156" s="5">
        <v>44383</v>
      </c>
      <c r="X156" s="1">
        <v>3725000</v>
      </c>
      <c r="AB156" s="1" t="s">
        <v>44</v>
      </c>
      <c r="AF156" s="1">
        <v>10023</v>
      </c>
      <c r="AI156" s="1" t="s">
        <v>65</v>
      </c>
      <c r="AJ156" s="1">
        <v>2019</v>
      </c>
      <c r="AK156" s="1" t="s">
        <v>108</v>
      </c>
      <c r="AL156" s="1">
        <v>172</v>
      </c>
    </row>
    <row r="157" spans="1:38" x14ac:dyDescent="0.2">
      <c r="A157" s="2" t="str">
        <f>HYPERLINK("https://www.compass.com/listing/235-west-75th-street-unit-421-manhattan-ny-10023/784702007783954833/","235 W 75th St, Unit 421")</f>
        <v>235 W 75th St, Unit 421</v>
      </c>
      <c r="B157" s="2" t="str">
        <f>HYPERLINK("https://www.compass.com/building/the-astor-manhattan-ny/281958704155269925/","The Astor")</f>
        <v>The Astor</v>
      </c>
      <c r="C157" s="1" t="s">
        <v>57</v>
      </c>
      <c r="D157" s="1" t="s">
        <v>41</v>
      </c>
      <c r="E157" s="3">
        <v>1750000</v>
      </c>
      <c r="F157" s="1">
        <v>1842.10526315789</v>
      </c>
      <c r="G157" s="1">
        <v>2</v>
      </c>
      <c r="H157" s="1">
        <v>1</v>
      </c>
      <c r="I157" s="1">
        <v>2</v>
      </c>
      <c r="J157" s="1">
        <v>1.5</v>
      </c>
      <c r="K157" s="1">
        <v>1</v>
      </c>
      <c r="L157" s="1">
        <v>1</v>
      </c>
      <c r="M157" s="1">
        <v>950</v>
      </c>
      <c r="N157" s="1">
        <v>1216</v>
      </c>
      <c r="O157" s="1">
        <v>2758</v>
      </c>
      <c r="P157" s="1">
        <v>1542</v>
      </c>
      <c r="Q157" s="1" t="s">
        <v>42</v>
      </c>
      <c r="S157" s="1" t="s">
        <v>42</v>
      </c>
      <c r="T157" s="1" t="s">
        <v>51</v>
      </c>
      <c r="U157" s="1">
        <v>93</v>
      </c>
      <c r="V157" s="5">
        <v>44427</v>
      </c>
      <c r="W157" s="5">
        <v>44334</v>
      </c>
      <c r="X157" s="1">
        <v>1750000</v>
      </c>
      <c r="AB157" s="1" t="s">
        <v>44</v>
      </c>
      <c r="AF157" s="1">
        <v>10023</v>
      </c>
      <c r="AJ157" s="1">
        <v>2018</v>
      </c>
      <c r="AK157" s="1" t="s">
        <v>49</v>
      </c>
      <c r="AL157" s="1">
        <v>98</v>
      </c>
    </row>
    <row r="158" spans="1:38" x14ac:dyDescent="0.2">
      <c r="A158" s="2" t="str">
        <f>HYPERLINK("https://www.compass.com/listing/15-east-30th-street-unit-47b-manhattan-ny-10016/829927071879331745/","15 E 30th St, Unit 47B")</f>
        <v>15 E 30th St, Unit 47B</v>
      </c>
      <c r="B158" s="2" t="str">
        <f>HYPERLINK("https://www.compass.com/building/madison-house-manhattan-ny/281937618113974565/","Madison House")</f>
        <v>Madison House</v>
      </c>
      <c r="C158" s="1" t="s">
        <v>40</v>
      </c>
      <c r="D158" s="1" t="s">
        <v>41</v>
      </c>
      <c r="E158" s="3">
        <v>4550000</v>
      </c>
      <c r="F158" s="1">
        <v>2952.6281635301698</v>
      </c>
      <c r="G158" s="1">
        <v>5</v>
      </c>
      <c r="H158" s="1">
        <v>2</v>
      </c>
      <c r="I158" s="1">
        <v>2</v>
      </c>
      <c r="J158" s="1">
        <v>2</v>
      </c>
      <c r="K158" s="1">
        <v>2</v>
      </c>
      <c r="M158" s="4">
        <v>1541</v>
      </c>
      <c r="N158" s="1">
        <v>2152</v>
      </c>
      <c r="O158" s="1">
        <v>4737</v>
      </c>
      <c r="P158" s="1">
        <v>2585</v>
      </c>
      <c r="Q158" s="1" t="s">
        <v>42</v>
      </c>
      <c r="S158" s="1" t="s">
        <v>42</v>
      </c>
      <c r="T158" s="1" t="s">
        <v>51</v>
      </c>
      <c r="U158" s="1">
        <v>31</v>
      </c>
      <c r="V158" s="5">
        <v>44427</v>
      </c>
      <c r="W158" s="5">
        <v>44396</v>
      </c>
      <c r="X158" s="1">
        <v>4550000</v>
      </c>
      <c r="AB158" s="1" t="s">
        <v>44</v>
      </c>
      <c r="AF158" s="1">
        <v>10016</v>
      </c>
      <c r="AJ158" s="1">
        <v>2019</v>
      </c>
      <c r="AK158" s="1" t="s">
        <v>46</v>
      </c>
      <c r="AL158" s="1">
        <v>199</v>
      </c>
    </row>
    <row r="159" spans="1:38" x14ac:dyDescent="0.2">
      <c r="A159" s="2" t="str">
        <f>HYPERLINK("https://www.compass.com/listing/196-orchard-street-unit-8a-manhattan-ny-10002/850712937747194217/","196 Orchard St, Unit 8A")</f>
        <v>196 Orchard St, Unit 8A</v>
      </c>
      <c r="B159" s="2" t="str">
        <f>HYPERLINK("https://www.compass.com/building/196-orchard-st-manhattan-ny-10002/281886194713760485/","196 Orchard St")</f>
        <v>196 Orchard St</v>
      </c>
      <c r="C159" s="1" t="s">
        <v>47</v>
      </c>
      <c r="D159" s="1" t="s">
        <v>41</v>
      </c>
      <c r="E159" s="3">
        <v>2600000</v>
      </c>
      <c r="F159" s="1">
        <v>2235.5975924333602</v>
      </c>
      <c r="G159" s="1">
        <v>4</v>
      </c>
      <c r="H159" s="1">
        <v>2</v>
      </c>
      <c r="I159" s="1">
        <v>2</v>
      </c>
      <c r="J159" s="1">
        <v>2</v>
      </c>
      <c r="K159" s="1">
        <v>2</v>
      </c>
      <c r="M159" s="4">
        <v>1163</v>
      </c>
      <c r="N159" s="1">
        <v>1544</v>
      </c>
      <c r="O159" s="1">
        <v>3447</v>
      </c>
      <c r="P159" s="1">
        <v>1903</v>
      </c>
      <c r="Q159" s="1" t="s">
        <v>42</v>
      </c>
      <c r="S159" s="1" t="s">
        <v>42</v>
      </c>
      <c r="T159" s="1" t="s">
        <v>51</v>
      </c>
      <c r="U159" s="1">
        <v>5</v>
      </c>
      <c r="V159" s="5">
        <v>44426</v>
      </c>
      <c r="W159" s="5">
        <v>44422</v>
      </c>
      <c r="X159" s="1">
        <v>2600000</v>
      </c>
      <c r="AB159" s="1" t="s">
        <v>44</v>
      </c>
      <c r="AF159" s="1">
        <v>10002</v>
      </c>
      <c r="AI159" s="1" t="s">
        <v>165</v>
      </c>
      <c r="AJ159" s="1">
        <v>2018</v>
      </c>
      <c r="AK159" s="1" t="s">
        <v>46</v>
      </c>
      <c r="AL159" s="1">
        <v>89</v>
      </c>
    </row>
    <row r="160" spans="1:38" x14ac:dyDescent="0.2">
      <c r="A160" s="2" t="str">
        <f>HYPERLINK("https://www.compass.com/listing/77-greenwich-street-unit-29a-manhattan-ny-10006/848369027746196809/","77 Greenwich St, Unit 29A")</f>
        <v>77 Greenwich St, Unit 29A</v>
      </c>
      <c r="B160" s="2" t="str">
        <f t="shared" ref="B160:B165" si="18">HYPERLINK("https://www.compass.com/building/jolie-manhattan-ny/282060129363328789/","Jolie")</f>
        <v>Jolie</v>
      </c>
      <c r="C160" s="1" t="s">
        <v>96</v>
      </c>
      <c r="D160" s="1" t="s">
        <v>41</v>
      </c>
      <c r="E160" s="3">
        <v>4350000</v>
      </c>
      <c r="F160" s="1">
        <v>2193.6459909228402</v>
      </c>
      <c r="G160" s="1">
        <v>7</v>
      </c>
      <c r="H160" s="1">
        <v>3</v>
      </c>
      <c r="J160" s="1">
        <v>3.5</v>
      </c>
      <c r="M160" s="4">
        <v>1983</v>
      </c>
      <c r="N160" s="1">
        <v>2052</v>
      </c>
      <c r="O160" s="1">
        <v>5487</v>
      </c>
      <c r="P160" s="1">
        <v>3435</v>
      </c>
      <c r="S160" s="1" t="s">
        <v>42</v>
      </c>
      <c r="T160" s="1" t="s">
        <v>51</v>
      </c>
      <c r="U160" s="1">
        <v>4</v>
      </c>
      <c r="V160" s="5">
        <v>44426</v>
      </c>
      <c r="W160" s="5">
        <v>44422</v>
      </c>
      <c r="X160" s="1">
        <v>4350000</v>
      </c>
      <c r="AB160" s="1" t="s">
        <v>44</v>
      </c>
      <c r="AD160" s="1" t="s">
        <v>166</v>
      </c>
      <c r="AE160" s="1" t="s">
        <v>167</v>
      </c>
      <c r="AF160" s="1">
        <v>10006</v>
      </c>
      <c r="AI160" s="1" t="s">
        <v>65</v>
      </c>
      <c r="AJ160" s="1">
        <v>2019</v>
      </c>
      <c r="AK160" s="1" t="s">
        <v>49</v>
      </c>
      <c r="AL160" s="1">
        <v>90</v>
      </c>
    </row>
    <row r="161" spans="1:38" x14ac:dyDescent="0.2">
      <c r="A161" s="2" t="str">
        <f>HYPERLINK("https://www.compass.com/listing/77-greenwich-street-unit-29b-manhattan-ny-10006/848375673974001225/","77 Greenwich St, Unit 29B")</f>
        <v>77 Greenwich St, Unit 29B</v>
      </c>
      <c r="B161" s="2" t="str">
        <f t="shared" si="18"/>
        <v>Jolie</v>
      </c>
      <c r="C161" s="1" t="s">
        <v>96</v>
      </c>
      <c r="D161" s="1" t="s">
        <v>41</v>
      </c>
      <c r="E161" s="3">
        <v>2995000</v>
      </c>
      <c r="F161" s="1">
        <v>2014.12239408204</v>
      </c>
      <c r="G161" s="1">
        <v>5</v>
      </c>
      <c r="H161" s="1">
        <v>2</v>
      </c>
      <c r="I161" s="1">
        <v>3</v>
      </c>
      <c r="J161" s="1">
        <v>2.5</v>
      </c>
      <c r="K161" s="1">
        <v>2</v>
      </c>
      <c r="L161" s="1">
        <v>1</v>
      </c>
      <c r="M161" s="4">
        <v>1487</v>
      </c>
      <c r="N161" s="1">
        <v>1594</v>
      </c>
      <c r="O161" s="1">
        <v>4188</v>
      </c>
      <c r="P161" s="1">
        <v>2594</v>
      </c>
      <c r="Q161" s="1" t="s">
        <v>42</v>
      </c>
      <c r="S161" s="1" t="s">
        <v>42</v>
      </c>
      <c r="T161" s="1" t="s">
        <v>51</v>
      </c>
      <c r="U161" s="1">
        <v>3</v>
      </c>
      <c r="V161" s="5">
        <v>44426</v>
      </c>
      <c r="W161" s="5">
        <v>44423</v>
      </c>
      <c r="X161" s="1">
        <v>2995000</v>
      </c>
      <c r="AB161" s="1" t="s">
        <v>44</v>
      </c>
      <c r="AD161" s="1" t="s">
        <v>166</v>
      </c>
      <c r="AE161" s="1" t="s">
        <v>167</v>
      </c>
      <c r="AF161" s="1">
        <v>10006</v>
      </c>
      <c r="AI161" s="1" t="s">
        <v>168</v>
      </c>
      <c r="AJ161" s="1">
        <v>2019</v>
      </c>
      <c r="AK161" s="1" t="s">
        <v>46</v>
      </c>
      <c r="AL161" s="1">
        <v>90</v>
      </c>
    </row>
    <row r="162" spans="1:38" x14ac:dyDescent="0.2">
      <c r="A162" s="2" t="str">
        <f>HYPERLINK("https://www.compass.com/listing/77-greenwich-street-unit-27d-manhattan-ny-10006/848378621025402601/","77 Greenwich St, Unit 27D")</f>
        <v>77 Greenwich St, Unit 27D</v>
      </c>
      <c r="B162" s="2" t="str">
        <f t="shared" si="18"/>
        <v>Jolie</v>
      </c>
      <c r="C162" s="1" t="s">
        <v>96</v>
      </c>
      <c r="D162" s="1" t="s">
        <v>41</v>
      </c>
      <c r="E162" s="3">
        <v>2695000</v>
      </c>
      <c r="F162" s="1">
        <v>1965.71845368344</v>
      </c>
      <c r="G162" s="1">
        <v>5</v>
      </c>
      <c r="H162" s="1">
        <v>2</v>
      </c>
      <c r="I162" s="1">
        <v>3</v>
      </c>
      <c r="J162" s="1">
        <v>2.5</v>
      </c>
      <c r="K162" s="1">
        <v>2</v>
      </c>
      <c r="L162" s="1">
        <v>1</v>
      </c>
      <c r="M162" s="4">
        <v>1371</v>
      </c>
      <c r="N162" s="1">
        <v>1419</v>
      </c>
      <c r="O162" s="1">
        <v>3794</v>
      </c>
      <c r="P162" s="1">
        <v>2375</v>
      </c>
      <c r="Q162" s="1" t="s">
        <v>42</v>
      </c>
      <c r="S162" s="1" t="s">
        <v>42</v>
      </c>
      <c r="T162" s="1" t="s">
        <v>51</v>
      </c>
      <c r="U162" s="1">
        <v>3</v>
      </c>
      <c r="V162" s="5">
        <v>44426</v>
      </c>
      <c r="W162" s="5">
        <v>44423</v>
      </c>
      <c r="X162" s="1">
        <v>2695000</v>
      </c>
      <c r="AB162" s="1" t="s">
        <v>44</v>
      </c>
      <c r="AD162" s="1" t="s">
        <v>166</v>
      </c>
      <c r="AE162" s="1" t="s">
        <v>167</v>
      </c>
      <c r="AF162" s="1">
        <v>10006</v>
      </c>
      <c r="AI162" s="1" t="s">
        <v>168</v>
      </c>
      <c r="AJ162" s="1">
        <v>2019</v>
      </c>
      <c r="AK162" s="1" t="s">
        <v>46</v>
      </c>
      <c r="AL162" s="1">
        <v>90</v>
      </c>
    </row>
    <row r="163" spans="1:38" x14ac:dyDescent="0.2">
      <c r="A163" s="2" t="str">
        <f>HYPERLINK("https://www.compass.com/listing/77-greenwich-street-unit-29b-manhattan-ny-10006/849175666820430145/","77 Greenwich St, Unit 29B")</f>
        <v>77 Greenwich St, Unit 29B</v>
      </c>
      <c r="B163" s="2" t="str">
        <f t="shared" si="18"/>
        <v>Jolie</v>
      </c>
      <c r="C163" s="1" t="s">
        <v>96</v>
      </c>
      <c r="D163" s="1" t="s">
        <v>41</v>
      </c>
      <c r="E163" s="3">
        <v>2995000</v>
      </c>
      <c r="F163" s="1">
        <v>2014.12239408204</v>
      </c>
      <c r="G163" s="1">
        <v>5</v>
      </c>
      <c r="H163" s="1">
        <v>2</v>
      </c>
      <c r="I163" s="1">
        <v>3</v>
      </c>
      <c r="J163" s="1">
        <v>2.5</v>
      </c>
      <c r="K163" s="1">
        <v>2</v>
      </c>
      <c r="L163" s="1">
        <v>1</v>
      </c>
      <c r="M163" s="4">
        <v>1487</v>
      </c>
      <c r="N163" s="1">
        <v>1539</v>
      </c>
      <c r="O163" s="1">
        <v>4115</v>
      </c>
      <c r="P163" s="1">
        <v>2576</v>
      </c>
      <c r="Q163" s="1" t="s">
        <v>42</v>
      </c>
      <c r="S163" s="1" t="s">
        <v>42</v>
      </c>
      <c r="T163" s="1" t="s">
        <v>51</v>
      </c>
      <c r="U163" s="1">
        <v>3</v>
      </c>
      <c r="V163" s="5">
        <v>44427</v>
      </c>
      <c r="W163" s="5">
        <v>44423</v>
      </c>
      <c r="X163" s="1">
        <v>2995000</v>
      </c>
      <c r="AB163" s="1" t="s">
        <v>44</v>
      </c>
      <c r="AD163" s="1" t="s">
        <v>166</v>
      </c>
      <c r="AE163" s="1" t="s">
        <v>167</v>
      </c>
      <c r="AF163" s="1">
        <v>10006</v>
      </c>
      <c r="AI163" s="1" t="s">
        <v>168</v>
      </c>
      <c r="AJ163" s="1">
        <v>2019</v>
      </c>
      <c r="AK163" s="1" t="s">
        <v>46</v>
      </c>
      <c r="AL163" s="1">
        <v>90</v>
      </c>
    </row>
    <row r="164" spans="1:38" x14ac:dyDescent="0.2">
      <c r="A164" s="2" t="str">
        <f>HYPERLINK("https://www.compass.com/listing/77-greenwich-street-unit-27d-manhattan-ny-10006/849176475507906313/","77 Greenwich St, Unit 27D")</f>
        <v>77 Greenwich St, Unit 27D</v>
      </c>
      <c r="B164" s="2" t="str">
        <f t="shared" si="18"/>
        <v>Jolie</v>
      </c>
      <c r="C164" s="1" t="s">
        <v>96</v>
      </c>
      <c r="D164" s="1" t="s">
        <v>41</v>
      </c>
      <c r="E164" s="3">
        <v>2695000</v>
      </c>
      <c r="F164" s="1">
        <v>1965.71845368344</v>
      </c>
      <c r="G164" s="1">
        <v>5.5</v>
      </c>
      <c r="H164" s="1">
        <v>2</v>
      </c>
      <c r="I164" s="1">
        <v>3</v>
      </c>
      <c r="J164" s="1">
        <v>2.5</v>
      </c>
      <c r="K164" s="1">
        <v>2</v>
      </c>
      <c r="L164" s="1">
        <v>1</v>
      </c>
      <c r="M164" s="4">
        <v>1371</v>
      </c>
      <c r="N164" s="1">
        <v>1419</v>
      </c>
      <c r="O164" s="1">
        <v>3794</v>
      </c>
      <c r="P164" s="1">
        <v>2375</v>
      </c>
      <c r="Q164" s="1" t="s">
        <v>42</v>
      </c>
      <c r="S164" s="1" t="s">
        <v>42</v>
      </c>
      <c r="T164" s="1" t="s">
        <v>51</v>
      </c>
      <c r="U164" s="1">
        <v>3</v>
      </c>
      <c r="V164" s="5">
        <v>44427</v>
      </c>
      <c r="W164" s="5">
        <v>44423</v>
      </c>
      <c r="X164" s="1">
        <v>2695000</v>
      </c>
      <c r="AB164" s="1" t="s">
        <v>44</v>
      </c>
      <c r="AD164" s="1" t="s">
        <v>169</v>
      </c>
      <c r="AE164" s="1" t="s">
        <v>167</v>
      </c>
      <c r="AF164" s="1">
        <v>10006</v>
      </c>
      <c r="AI164" s="1" t="s">
        <v>168</v>
      </c>
      <c r="AJ164" s="1">
        <v>2019</v>
      </c>
      <c r="AK164" s="1" t="s">
        <v>46</v>
      </c>
      <c r="AL164" s="1">
        <v>90</v>
      </c>
    </row>
    <row r="165" spans="1:38" x14ac:dyDescent="0.2">
      <c r="A165" s="2" t="str">
        <f>HYPERLINK("https://www.compass.com/listing/77-greenwich-street-unit-22a-manhattan-ny-10006/848372803978994185/","77 Greenwich St, Unit 22A")</f>
        <v>77 Greenwich St, Unit 22A</v>
      </c>
      <c r="B165" s="2" t="str">
        <f t="shared" si="18"/>
        <v>Jolie</v>
      </c>
      <c r="C165" s="1" t="s">
        <v>96</v>
      </c>
      <c r="D165" s="1" t="s">
        <v>41</v>
      </c>
      <c r="E165" s="3">
        <v>3500000</v>
      </c>
      <c r="F165" s="1">
        <v>2033.7013364323</v>
      </c>
      <c r="G165" s="1">
        <v>6</v>
      </c>
      <c r="H165" s="1">
        <v>3</v>
      </c>
      <c r="I165" s="1">
        <v>3</v>
      </c>
      <c r="J165" s="1">
        <v>2.5</v>
      </c>
      <c r="K165" s="1">
        <v>2</v>
      </c>
      <c r="L165" s="1">
        <v>1</v>
      </c>
      <c r="M165" s="4">
        <v>1721</v>
      </c>
      <c r="N165" s="1">
        <v>1781</v>
      </c>
      <c r="O165" s="1">
        <v>4762</v>
      </c>
      <c r="P165" s="1">
        <v>2981</v>
      </c>
      <c r="Q165" s="1" t="s">
        <v>42</v>
      </c>
      <c r="S165" s="1" t="s">
        <v>42</v>
      </c>
      <c r="T165" s="1" t="s">
        <v>51</v>
      </c>
      <c r="U165" s="1">
        <v>3</v>
      </c>
      <c r="V165" s="5">
        <v>44426</v>
      </c>
      <c r="W165" s="5">
        <v>44423</v>
      </c>
      <c r="X165" s="1">
        <v>3500000</v>
      </c>
      <c r="AB165" s="1" t="s">
        <v>44</v>
      </c>
      <c r="AD165" s="1" t="s">
        <v>166</v>
      </c>
      <c r="AE165" s="1" t="s">
        <v>167</v>
      </c>
      <c r="AF165" s="1">
        <v>10006</v>
      </c>
      <c r="AI165" s="1" t="s">
        <v>168</v>
      </c>
      <c r="AJ165" s="1">
        <v>2019</v>
      </c>
      <c r="AK165" s="1" t="s">
        <v>46</v>
      </c>
      <c r="AL165" s="1">
        <v>90</v>
      </c>
    </row>
    <row r="166" spans="1:38" x14ac:dyDescent="0.2">
      <c r="A166" s="2" t="str">
        <f>HYPERLINK("https://www.compass.com/listing/505-513-west-43rd-street-unit-9h-manhattan-ny-10036/831234587839737953/","505-513 W 43rd St, Unit 9H")</f>
        <v>505-513 W 43rd St, Unit 9H</v>
      </c>
      <c r="B166" s="2" t="str">
        <f>HYPERLINK("https://www.compass.com/building/charlie-west-manhattan-ny/292918554372621509/","Charlie West")</f>
        <v>Charlie West</v>
      </c>
      <c r="C166" s="1" t="s">
        <v>90</v>
      </c>
      <c r="D166" s="1" t="s">
        <v>41</v>
      </c>
      <c r="E166" s="3">
        <v>3250000</v>
      </c>
      <c r="F166" s="1">
        <v>1752.9665587918</v>
      </c>
      <c r="G166" s="1">
        <v>6</v>
      </c>
      <c r="H166" s="1">
        <v>3</v>
      </c>
      <c r="I166" s="1">
        <v>3</v>
      </c>
      <c r="J166" s="1">
        <v>3</v>
      </c>
      <c r="K166" s="1">
        <v>3</v>
      </c>
      <c r="M166" s="4">
        <v>1854</v>
      </c>
      <c r="N166" s="1">
        <v>1892</v>
      </c>
      <c r="O166" s="1">
        <v>5695</v>
      </c>
      <c r="P166" s="1">
        <v>3803</v>
      </c>
      <c r="Q166" s="1" t="s">
        <v>42</v>
      </c>
      <c r="S166" s="1" t="s">
        <v>42</v>
      </c>
      <c r="T166" s="1" t="s">
        <v>51</v>
      </c>
      <c r="U166" s="1">
        <v>29</v>
      </c>
      <c r="V166" s="5">
        <v>44419</v>
      </c>
      <c r="W166" s="5">
        <v>44398</v>
      </c>
      <c r="X166" s="1">
        <v>3250000</v>
      </c>
      <c r="AB166" s="1" t="s">
        <v>44</v>
      </c>
      <c r="AF166" s="1">
        <v>10036</v>
      </c>
      <c r="AI166" s="1" t="s">
        <v>170</v>
      </c>
      <c r="AJ166" s="1">
        <v>2019</v>
      </c>
      <c r="AK166" s="1" t="s">
        <v>46</v>
      </c>
      <c r="AL166" s="1">
        <v>123</v>
      </c>
    </row>
    <row r="167" spans="1:38" x14ac:dyDescent="0.2">
      <c r="A167" s="2" t="str">
        <f>HYPERLINK("https://www.compass.com/listing/200-east-94th-street-unit-1415-manhattan-ny-10128/815594393523245665/","200 E 94th St, Unit 1415")</f>
        <v>200 E 94th St, Unit 1415</v>
      </c>
      <c r="B167" s="2" t="str">
        <f>HYPERLINK("https://www.compass.com/building/carnegie-park-condominium-manhattan-ny/282049797358118613/","Carnegie Park Condominium")</f>
        <v>Carnegie Park Condominium</v>
      </c>
      <c r="C167" s="1" t="s">
        <v>82</v>
      </c>
      <c r="D167" s="1" t="s">
        <v>41</v>
      </c>
      <c r="E167" s="3">
        <v>1695000</v>
      </c>
      <c r="F167" s="1">
        <v>1588.5660731021501</v>
      </c>
      <c r="G167" s="1">
        <v>4</v>
      </c>
      <c r="H167" s="1">
        <v>2</v>
      </c>
      <c r="I167" s="1">
        <v>2</v>
      </c>
      <c r="J167" s="1">
        <v>2</v>
      </c>
      <c r="K167" s="1">
        <v>2</v>
      </c>
      <c r="M167" s="4">
        <v>1067</v>
      </c>
      <c r="N167" s="1">
        <v>1273</v>
      </c>
      <c r="O167" s="1">
        <v>2340</v>
      </c>
      <c r="P167" s="1">
        <v>1067</v>
      </c>
      <c r="Q167" s="1" t="s">
        <v>42</v>
      </c>
      <c r="S167" s="1" t="s">
        <v>42</v>
      </c>
      <c r="T167" s="1" t="s">
        <v>51</v>
      </c>
      <c r="U167" s="1">
        <v>48</v>
      </c>
      <c r="V167" s="5">
        <v>44427</v>
      </c>
      <c r="W167" s="5">
        <v>44379</v>
      </c>
      <c r="X167" s="1">
        <v>1695000</v>
      </c>
      <c r="AB167" s="1" t="s">
        <v>44</v>
      </c>
      <c r="AD167" s="1" t="s">
        <v>171</v>
      </c>
      <c r="AE167" s="1" t="s">
        <v>87</v>
      </c>
      <c r="AF167" s="1">
        <v>10128</v>
      </c>
      <c r="AI167" s="1" t="s">
        <v>172</v>
      </c>
      <c r="AJ167" s="1">
        <v>1986</v>
      </c>
      <c r="AK167" s="1" t="s">
        <v>49</v>
      </c>
      <c r="AL167" s="1">
        <v>287</v>
      </c>
    </row>
    <row r="168" spans="1:38" x14ac:dyDescent="0.2">
      <c r="A168" s="2" t="str">
        <f>HYPERLINK("https://www.compass.com/listing/100-franklin-street-unit-phs-manhattan-ny-10013/633530637183614841/","100 Franklin St, Unit PHS")</f>
        <v>100 Franklin St, Unit PHS</v>
      </c>
      <c r="B168" s="2" t="str">
        <f>HYPERLINK("https://www.compass.com/building/100-franklin-st-manhattan-ny-10013/282059575178329957/","100 Franklin St")</f>
        <v>100 Franklin St</v>
      </c>
      <c r="C168" s="1" t="s">
        <v>50</v>
      </c>
      <c r="D168" s="1" t="s">
        <v>41</v>
      </c>
      <c r="E168" s="3">
        <v>6250000</v>
      </c>
      <c r="F168" s="1">
        <v>2189.9088997897602</v>
      </c>
      <c r="G168" s="1">
        <v>7</v>
      </c>
      <c r="H168" s="1">
        <v>3</v>
      </c>
      <c r="I168" s="1">
        <v>4</v>
      </c>
      <c r="J168" s="1">
        <v>3.5</v>
      </c>
      <c r="K168" s="1">
        <v>3</v>
      </c>
      <c r="L168" s="1">
        <v>1</v>
      </c>
      <c r="M168" s="4">
        <v>2854</v>
      </c>
      <c r="N168" s="1">
        <v>4105</v>
      </c>
      <c r="O168" s="1">
        <v>9513</v>
      </c>
      <c r="P168" s="1">
        <v>5408</v>
      </c>
      <c r="Q168" s="1" t="s">
        <v>42</v>
      </c>
      <c r="S168" s="1" t="s">
        <v>42</v>
      </c>
      <c r="T168" s="1" t="s">
        <v>51</v>
      </c>
      <c r="U168" s="1">
        <v>93</v>
      </c>
      <c r="V168" s="5">
        <v>44427</v>
      </c>
      <c r="W168" s="5">
        <v>44334</v>
      </c>
      <c r="X168" s="1">
        <v>6250000</v>
      </c>
      <c r="AB168" s="1" t="s">
        <v>44</v>
      </c>
      <c r="AF168" s="1">
        <v>10013</v>
      </c>
      <c r="AI168" s="1" t="s">
        <v>173</v>
      </c>
      <c r="AJ168" s="1">
        <v>2019</v>
      </c>
      <c r="AL168" s="1">
        <v>10</v>
      </c>
    </row>
    <row r="169" spans="1:38" x14ac:dyDescent="0.2">
      <c r="A169" s="2" t="str">
        <f>HYPERLINK("https://www.compass.com/listing/695-1st-avenue-unit-37k-manhattan-ny-10016/840635749824329441/","695 1st Ave, Unit 37K")</f>
        <v>695 1st Ave, Unit 37K</v>
      </c>
      <c r="B169" s="2" t="str">
        <f>HYPERLINK("https://www.compass.com/building/one-united-nations-park-manhattan-ny/282058773630059653/","One United Nations Park")</f>
        <v>One United Nations Park</v>
      </c>
      <c r="C169" s="1" t="s">
        <v>59</v>
      </c>
      <c r="D169" s="1" t="s">
        <v>41</v>
      </c>
      <c r="E169" s="3">
        <v>2470000</v>
      </c>
      <c r="F169" s="1">
        <v>1701.10192837465</v>
      </c>
      <c r="G169" s="1">
        <v>4</v>
      </c>
      <c r="H169" s="1">
        <v>2</v>
      </c>
      <c r="I169" s="1">
        <v>2</v>
      </c>
      <c r="J169" s="1">
        <v>2</v>
      </c>
      <c r="K169" s="1">
        <v>2</v>
      </c>
      <c r="M169" s="4">
        <v>1452</v>
      </c>
      <c r="N169" s="1">
        <v>1946</v>
      </c>
      <c r="O169" s="1">
        <v>4257</v>
      </c>
      <c r="P169" s="1">
        <v>2311</v>
      </c>
      <c r="Q169" s="1" t="s">
        <v>42</v>
      </c>
      <c r="S169" s="1" t="s">
        <v>42</v>
      </c>
      <c r="T169" s="1" t="s">
        <v>51</v>
      </c>
      <c r="U169" s="1">
        <v>16</v>
      </c>
      <c r="V169" s="5">
        <v>44426</v>
      </c>
      <c r="W169" s="5">
        <v>44411</v>
      </c>
      <c r="X169" s="1">
        <v>2470000</v>
      </c>
      <c r="AB169" s="1" t="s">
        <v>44</v>
      </c>
      <c r="AF169" s="1">
        <v>10016</v>
      </c>
      <c r="AJ169" s="1">
        <v>2019</v>
      </c>
      <c r="AK169" s="1" t="s">
        <v>46</v>
      </c>
      <c r="AL169" s="1">
        <v>148</v>
      </c>
    </row>
    <row r="170" spans="1:38" x14ac:dyDescent="0.2">
      <c r="A170" s="2" t="str">
        <f>HYPERLINK("https://www.compass.com/listing/77-charlton-street-unit-n9a-manhattan-ny-10014/799333615315960193/","77 Charlton St, Unit N9A")</f>
        <v>77 Charlton St, Unit N9A</v>
      </c>
      <c r="B170" s="2" t="str">
        <f>HYPERLINK("https://www.compass.com/building/77-charlton-st-manhattan-ny-10014/282058735872933093/","77 Charlton St")</f>
        <v>77 Charlton St</v>
      </c>
      <c r="C170" s="1" t="s">
        <v>53</v>
      </c>
      <c r="D170" s="1" t="s">
        <v>41</v>
      </c>
      <c r="E170" s="3">
        <v>2245000</v>
      </c>
      <c r="F170" s="1">
        <v>2040.9090909090901</v>
      </c>
      <c r="G170" s="1">
        <v>4</v>
      </c>
      <c r="H170" s="1">
        <v>2</v>
      </c>
      <c r="I170" s="1">
        <v>2</v>
      </c>
      <c r="J170" s="1">
        <v>2</v>
      </c>
      <c r="K170" s="1">
        <v>2</v>
      </c>
      <c r="M170" s="4">
        <v>1100</v>
      </c>
      <c r="N170" s="1">
        <v>1298</v>
      </c>
      <c r="O170" s="1">
        <v>3253</v>
      </c>
      <c r="P170" s="1">
        <v>1955</v>
      </c>
      <c r="Q170" s="1" t="s">
        <v>42</v>
      </c>
      <c r="S170" s="1" t="s">
        <v>42</v>
      </c>
      <c r="T170" s="1" t="s">
        <v>51</v>
      </c>
      <c r="U170" s="1">
        <v>72</v>
      </c>
      <c r="V170" s="5">
        <v>44413</v>
      </c>
      <c r="W170" s="5">
        <v>44355</v>
      </c>
      <c r="X170" s="1">
        <v>2245000</v>
      </c>
      <c r="AB170" s="1" t="s">
        <v>44</v>
      </c>
      <c r="AF170" s="1">
        <v>10014</v>
      </c>
      <c r="AI170" s="1" t="s">
        <v>48</v>
      </c>
      <c r="AJ170" s="1">
        <v>2019</v>
      </c>
      <c r="AK170" s="1" t="s">
        <v>46</v>
      </c>
      <c r="AL170" s="1">
        <v>161</v>
      </c>
    </row>
    <row r="171" spans="1:38" x14ac:dyDescent="0.2">
      <c r="A171" s="2" t="str">
        <f>HYPERLINK("https://www.compass.com/listing/49-chambers-street-unit-17d-manhattan-ny-10007/781778222184142009/","49 Chambers St, Unit 17D")</f>
        <v>49 Chambers St, Unit 17D</v>
      </c>
      <c r="B171" s="2" t="str">
        <f>HYPERLINK("https://www.compass.com/building/49-chambers-manhattan-ny/282058733280852725/","49 Chambers")</f>
        <v>49 Chambers</v>
      </c>
      <c r="C171" s="1" t="s">
        <v>113</v>
      </c>
      <c r="D171" s="1" t="s">
        <v>41</v>
      </c>
      <c r="E171" s="3">
        <v>3995000</v>
      </c>
      <c r="F171" s="1">
        <v>1786.67262969588</v>
      </c>
      <c r="G171" s="1">
        <v>5.5</v>
      </c>
      <c r="H171" s="1">
        <v>2</v>
      </c>
      <c r="I171" s="1">
        <v>3</v>
      </c>
      <c r="J171" s="1">
        <v>2.5</v>
      </c>
      <c r="K171" s="1">
        <v>2</v>
      </c>
      <c r="L171" s="1">
        <v>1</v>
      </c>
      <c r="M171" s="4">
        <v>2236</v>
      </c>
      <c r="N171" s="1">
        <v>1822</v>
      </c>
      <c r="O171" s="1">
        <v>5659</v>
      </c>
      <c r="P171" s="1">
        <v>3837</v>
      </c>
      <c r="Q171" s="1" t="s">
        <v>42</v>
      </c>
      <c r="S171" s="1" t="s">
        <v>42</v>
      </c>
      <c r="T171" s="1" t="s">
        <v>51</v>
      </c>
      <c r="U171" s="1">
        <v>97</v>
      </c>
      <c r="V171" s="5">
        <v>44427</v>
      </c>
      <c r="W171" s="5">
        <v>44330</v>
      </c>
      <c r="X171" s="1">
        <v>4275000</v>
      </c>
      <c r="AB171" s="1" t="s">
        <v>44</v>
      </c>
      <c r="AF171" s="1">
        <v>10007</v>
      </c>
      <c r="AI171" s="1" t="s">
        <v>114</v>
      </c>
      <c r="AJ171" s="1">
        <v>1910</v>
      </c>
      <c r="AK171" s="1" t="s">
        <v>49</v>
      </c>
      <c r="AL171" s="1">
        <v>99</v>
      </c>
    </row>
    <row r="172" spans="1:38" x14ac:dyDescent="0.2">
      <c r="A172" s="2" t="str">
        <f>HYPERLINK("https://www.compass.com/listing/325-lexington-avenue-unit-30a-manhattan-ny-10016/836576407054464633/","325 Lexington Ave, Unit 30A")</f>
        <v>325 Lexington Ave, Unit 30A</v>
      </c>
      <c r="B172" s="2" t="str">
        <f>HYPERLINK("https://www.compass.com/building/325-lex-condominium-manhattan-ny/281939882467713365/","325 Lex Condominium")</f>
        <v>325 Lex Condominium</v>
      </c>
      <c r="C172" s="1" t="s">
        <v>59</v>
      </c>
      <c r="D172" s="1" t="s">
        <v>41</v>
      </c>
      <c r="E172" s="3">
        <v>2495000</v>
      </c>
      <c r="F172" s="1">
        <v>2259.9637681159402</v>
      </c>
      <c r="G172" s="1">
        <v>3</v>
      </c>
      <c r="H172" s="1">
        <v>2</v>
      </c>
      <c r="J172" s="1">
        <v>2</v>
      </c>
      <c r="M172" s="4">
        <v>1104</v>
      </c>
      <c r="N172" s="1">
        <v>1824</v>
      </c>
      <c r="O172" s="1">
        <v>2981</v>
      </c>
      <c r="P172" s="1">
        <v>1157</v>
      </c>
      <c r="S172" s="1" t="s">
        <v>42</v>
      </c>
      <c r="T172" s="1" t="s">
        <v>51</v>
      </c>
      <c r="U172" s="1">
        <v>21</v>
      </c>
      <c r="V172" s="5">
        <v>44425</v>
      </c>
      <c r="W172" s="5">
        <v>44406</v>
      </c>
      <c r="X172" s="1">
        <v>2495000</v>
      </c>
      <c r="AB172" s="1" t="s">
        <v>44</v>
      </c>
      <c r="AF172" s="1">
        <v>10016</v>
      </c>
      <c r="AI172" s="1" t="s">
        <v>60</v>
      </c>
      <c r="AJ172" s="1">
        <v>2014</v>
      </c>
      <c r="AK172" s="1" t="s">
        <v>55</v>
      </c>
      <c r="AL172" s="1">
        <v>125</v>
      </c>
    </row>
    <row r="173" spans="1:38" x14ac:dyDescent="0.2">
      <c r="A173" s="2" t="str">
        <f>HYPERLINK("https://www.compass.com/listing/49-chambers-street-unit-10b-manhattan-ny-10007/768826561812139265/","49 Chambers St, Unit 10B")</f>
        <v>49 Chambers St, Unit 10B</v>
      </c>
      <c r="B173" s="2" t="str">
        <f t="shared" ref="B173:B175" si="19">HYPERLINK("https://www.compass.com/building/49-chambers-manhattan-ny/282058733280852725/","49 Chambers")</f>
        <v>49 Chambers</v>
      </c>
      <c r="C173" s="1" t="s">
        <v>113</v>
      </c>
      <c r="D173" s="1" t="s">
        <v>41</v>
      </c>
      <c r="E173" s="3">
        <v>3150000</v>
      </c>
      <c r="F173" s="1">
        <v>1800</v>
      </c>
      <c r="G173" s="1">
        <v>4.5</v>
      </c>
      <c r="H173" s="1">
        <v>2</v>
      </c>
      <c r="I173" s="1">
        <v>3</v>
      </c>
      <c r="J173" s="1">
        <v>2.5</v>
      </c>
      <c r="K173" s="1">
        <v>2</v>
      </c>
      <c r="L173" s="1">
        <v>1</v>
      </c>
      <c r="M173" s="4">
        <v>1750</v>
      </c>
      <c r="N173" s="1">
        <v>1264</v>
      </c>
      <c r="O173" s="1">
        <v>3832</v>
      </c>
      <c r="P173" s="1">
        <v>2568</v>
      </c>
      <c r="Q173" s="1" t="s">
        <v>42</v>
      </c>
      <c r="S173" s="1" t="s">
        <v>42</v>
      </c>
      <c r="T173" s="1" t="s">
        <v>51</v>
      </c>
      <c r="U173" s="1">
        <v>115</v>
      </c>
      <c r="V173" s="5">
        <v>44423</v>
      </c>
      <c r="W173" s="5">
        <v>44312</v>
      </c>
      <c r="X173" s="1">
        <v>3150000</v>
      </c>
      <c r="AB173" s="1" t="s">
        <v>44</v>
      </c>
      <c r="AF173" s="1">
        <v>10007</v>
      </c>
      <c r="AI173" s="1" t="s">
        <v>174</v>
      </c>
      <c r="AJ173" s="1">
        <v>1910</v>
      </c>
      <c r="AK173" s="1" t="s">
        <v>46</v>
      </c>
      <c r="AL173" s="1">
        <v>99</v>
      </c>
    </row>
    <row r="174" spans="1:38" x14ac:dyDescent="0.2">
      <c r="A174" s="2" t="str">
        <f>HYPERLINK("https://www.compass.com/listing/49-chambers-street-unit-14h-manhattan-ny-10007/781777936718821401/","49 Chambers St, Unit 14H")</f>
        <v>49 Chambers St, Unit 14H</v>
      </c>
      <c r="B174" s="2" t="str">
        <f t="shared" si="19"/>
        <v>49 Chambers</v>
      </c>
      <c r="C174" s="1" t="s">
        <v>113</v>
      </c>
      <c r="D174" s="1" t="s">
        <v>41</v>
      </c>
      <c r="E174" s="3">
        <v>2550000</v>
      </c>
      <c r="F174" s="1">
        <v>1747.7724468814199</v>
      </c>
      <c r="G174" s="1">
        <v>4</v>
      </c>
      <c r="H174" s="1">
        <v>2</v>
      </c>
      <c r="I174" s="1">
        <v>2</v>
      </c>
      <c r="J174" s="1">
        <v>2</v>
      </c>
      <c r="K174" s="1">
        <v>2</v>
      </c>
      <c r="M174" s="4">
        <v>1459</v>
      </c>
      <c r="N174" s="1">
        <v>1186</v>
      </c>
      <c r="O174" s="1">
        <v>3681</v>
      </c>
      <c r="P174" s="1">
        <v>2495</v>
      </c>
      <c r="Q174" s="1" t="s">
        <v>42</v>
      </c>
      <c r="S174" s="1" t="s">
        <v>42</v>
      </c>
      <c r="T174" s="1" t="s">
        <v>51</v>
      </c>
      <c r="U174" s="1">
        <v>97</v>
      </c>
      <c r="V174" s="5">
        <v>44427</v>
      </c>
      <c r="W174" s="5">
        <v>44330</v>
      </c>
      <c r="X174" s="1">
        <v>2750000</v>
      </c>
      <c r="AB174" s="1" t="s">
        <v>44</v>
      </c>
      <c r="AF174" s="1">
        <v>10007</v>
      </c>
      <c r="AI174" s="1" t="s">
        <v>114</v>
      </c>
      <c r="AJ174" s="1">
        <v>1910</v>
      </c>
      <c r="AK174" s="1" t="s">
        <v>49</v>
      </c>
      <c r="AL174" s="1">
        <v>99</v>
      </c>
    </row>
    <row r="175" spans="1:38" x14ac:dyDescent="0.2">
      <c r="A175" s="2" t="str">
        <f>HYPERLINK("https://www.compass.com/listing/49-chambers-street-unit-17b-manhattan-ny-10007/781823510974984681/","49 Chambers St, Unit 17B")</f>
        <v>49 Chambers St, Unit 17B</v>
      </c>
      <c r="B175" s="2" t="str">
        <f t="shared" si="19"/>
        <v>49 Chambers</v>
      </c>
      <c r="C175" s="1" t="s">
        <v>113</v>
      </c>
      <c r="D175" s="1" t="s">
        <v>41</v>
      </c>
      <c r="E175" s="3">
        <v>3250000</v>
      </c>
      <c r="F175" s="1">
        <v>1903.9250146455699</v>
      </c>
      <c r="G175" s="1">
        <v>4</v>
      </c>
      <c r="H175" s="1">
        <v>2</v>
      </c>
      <c r="I175" s="1">
        <v>2</v>
      </c>
      <c r="J175" s="1">
        <v>2</v>
      </c>
      <c r="K175" s="1">
        <v>2</v>
      </c>
      <c r="M175" s="4">
        <v>1707</v>
      </c>
      <c r="N175" s="1">
        <v>1372</v>
      </c>
      <c r="O175" s="1">
        <v>4223</v>
      </c>
      <c r="P175" s="1">
        <v>2851</v>
      </c>
      <c r="Q175" s="1" t="s">
        <v>42</v>
      </c>
      <c r="S175" s="1" t="s">
        <v>42</v>
      </c>
      <c r="T175" s="1" t="s">
        <v>51</v>
      </c>
      <c r="U175" s="1">
        <v>97</v>
      </c>
      <c r="V175" s="5">
        <v>44427</v>
      </c>
      <c r="W175" s="5">
        <v>44330</v>
      </c>
      <c r="X175" s="1">
        <v>3345000</v>
      </c>
      <c r="AB175" s="1" t="s">
        <v>44</v>
      </c>
      <c r="AF175" s="1">
        <v>10007</v>
      </c>
      <c r="AI175" s="1" t="s">
        <v>114</v>
      </c>
      <c r="AJ175" s="1">
        <v>1910</v>
      </c>
      <c r="AK175" s="1" t="s">
        <v>49</v>
      </c>
      <c r="AL175" s="1">
        <v>99</v>
      </c>
    </row>
    <row r="176" spans="1:38" x14ac:dyDescent="0.2">
      <c r="A176" s="2" t="str">
        <f>HYPERLINK("https://www.compass.com/listing/35-hudson-yards-unit-6401-manhattan-ny-10001/841966942969790553/","35 Hudson Yards, Unit 6401")</f>
        <v>35 Hudson Yards, Unit 6401</v>
      </c>
      <c r="B176" s="2" t="str">
        <f>HYPERLINK("https://www.compass.com/building/35-hudson-yards-manhattan-ny/292773408544917349/","35 Hudson Yards")</f>
        <v>35 Hudson Yards</v>
      </c>
      <c r="C176" s="1" t="s">
        <v>77</v>
      </c>
      <c r="D176" s="1" t="s">
        <v>41</v>
      </c>
      <c r="E176" s="3">
        <v>6925000</v>
      </c>
      <c r="F176" s="1">
        <v>2694.5525291828699</v>
      </c>
      <c r="G176" s="1">
        <v>6.5</v>
      </c>
      <c r="H176" s="1">
        <v>3</v>
      </c>
      <c r="I176" s="1">
        <v>4</v>
      </c>
      <c r="J176" s="1">
        <v>3.5</v>
      </c>
      <c r="K176" s="1">
        <v>3</v>
      </c>
      <c r="L176" s="1">
        <v>1</v>
      </c>
      <c r="M176" s="4">
        <v>2570</v>
      </c>
      <c r="N176" s="1">
        <v>7556</v>
      </c>
      <c r="O176" s="1">
        <v>8083</v>
      </c>
      <c r="P176" s="1">
        <v>527</v>
      </c>
      <c r="Q176" s="1" t="s">
        <v>42</v>
      </c>
      <c r="S176" s="1" t="s">
        <v>42</v>
      </c>
      <c r="T176" s="1" t="s">
        <v>51</v>
      </c>
      <c r="U176" s="1">
        <v>14</v>
      </c>
      <c r="V176" s="5">
        <v>44414</v>
      </c>
      <c r="W176" s="5">
        <v>44413</v>
      </c>
      <c r="X176" s="1">
        <v>6925000</v>
      </c>
      <c r="AB176" s="1" t="s">
        <v>44</v>
      </c>
      <c r="AF176" s="1">
        <v>10001</v>
      </c>
      <c r="AI176" s="1" t="s">
        <v>48</v>
      </c>
      <c r="AJ176" s="1">
        <v>2019</v>
      </c>
      <c r="AK176" s="1" t="s">
        <v>108</v>
      </c>
      <c r="AL176" s="1">
        <v>143</v>
      </c>
    </row>
    <row r="177" spans="1:38" x14ac:dyDescent="0.2">
      <c r="A177" s="2" t="str">
        <f>HYPERLINK("https://www.compass.com/listing/108-leonard-street-unit-14c-manhattan-ny-10013/343881759447843953/","108 Leonard St, Unit 14C")</f>
        <v>108 Leonard St, Unit 14C</v>
      </c>
      <c r="B177" s="2" t="str">
        <f>HYPERLINK("https://www.compass.com/building/108-leonard-st-manhattan-ny-10013/307456049610778277/","108 Leonard St")</f>
        <v>108 Leonard St</v>
      </c>
      <c r="C177" s="1" t="s">
        <v>50</v>
      </c>
      <c r="D177" s="1" t="s">
        <v>41</v>
      </c>
      <c r="E177" s="3">
        <v>9150000</v>
      </c>
      <c r="F177" s="1">
        <v>2907.5309818875098</v>
      </c>
      <c r="G177" s="1">
        <v>7</v>
      </c>
      <c r="H177" s="1">
        <v>3</v>
      </c>
      <c r="I177" s="1">
        <v>4</v>
      </c>
      <c r="J177" s="1">
        <v>3.5</v>
      </c>
      <c r="K177" s="1">
        <v>3</v>
      </c>
      <c r="L177" s="1">
        <v>1</v>
      </c>
      <c r="M177" s="4">
        <v>3147</v>
      </c>
      <c r="N177" s="1">
        <v>3723</v>
      </c>
      <c r="O177" s="1">
        <v>8762</v>
      </c>
      <c r="P177" s="1">
        <v>5039</v>
      </c>
      <c r="Q177" s="1" t="s">
        <v>42</v>
      </c>
      <c r="S177" s="1" t="s">
        <v>42</v>
      </c>
      <c r="T177" s="1" t="s">
        <v>51</v>
      </c>
      <c r="U177" s="1">
        <v>608</v>
      </c>
      <c r="V177" s="5">
        <v>44427</v>
      </c>
      <c r="W177" s="5">
        <v>43725</v>
      </c>
      <c r="X177" s="1">
        <v>9150000</v>
      </c>
      <c r="AB177" s="1" t="s">
        <v>44</v>
      </c>
      <c r="AF177" s="1">
        <v>10013</v>
      </c>
      <c r="AI177" s="1" t="s">
        <v>78</v>
      </c>
      <c r="AJ177" s="1">
        <v>1899</v>
      </c>
      <c r="AK177" s="1" t="s">
        <v>175</v>
      </c>
      <c r="AL177" s="1">
        <v>167</v>
      </c>
    </row>
    <row r="178" spans="1:38" x14ac:dyDescent="0.2">
      <c r="A178" s="2" t="str">
        <f>HYPERLINK("https://www.compass.com/listing/180-east-88th-street-unit-6a-manhattan-ny-10128/821833943084675433/","180 E 88th St, Unit 6A")</f>
        <v>180 E 88th St, Unit 6A</v>
      </c>
      <c r="B178" s="2" t="str">
        <f>HYPERLINK("https://www.compass.com/building/180-e-88th-st-manhattan-ny-10128/282058835781256373/","180 E 88th St")</f>
        <v>180 E 88th St</v>
      </c>
      <c r="C178" s="1" t="s">
        <v>82</v>
      </c>
      <c r="D178" s="1" t="s">
        <v>41</v>
      </c>
      <c r="E178" s="3">
        <v>3595000</v>
      </c>
      <c r="F178" s="1">
        <v>2078.03468208092</v>
      </c>
      <c r="G178" s="1">
        <v>4</v>
      </c>
      <c r="H178" s="1">
        <v>2</v>
      </c>
      <c r="I178" s="1">
        <v>3</v>
      </c>
      <c r="J178" s="1">
        <v>2.5</v>
      </c>
      <c r="K178" s="1">
        <v>2</v>
      </c>
      <c r="L178" s="1">
        <v>1</v>
      </c>
      <c r="M178" s="4">
        <v>1730</v>
      </c>
      <c r="N178" s="1">
        <v>2545</v>
      </c>
      <c r="O178" s="1">
        <v>4908</v>
      </c>
      <c r="P178" s="1">
        <v>2363</v>
      </c>
      <c r="Q178" s="1" t="s">
        <v>42</v>
      </c>
      <c r="S178" s="1" t="s">
        <v>42</v>
      </c>
      <c r="T178" s="1" t="s">
        <v>51</v>
      </c>
      <c r="U178" s="1">
        <v>42</v>
      </c>
      <c r="V178" s="5">
        <v>44415</v>
      </c>
      <c r="W178" s="5">
        <v>44385</v>
      </c>
      <c r="X178" s="1">
        <v>3595000</v>
      </c>
      <c r="AB178" s="1" t="s">
        <v>44</v>
      </c>
      <c r="AF178" s="1">
        <v>10128</v>
      </c>
      <c r="AJ178" s="1">
        <v>2019</v>
      </c>
      <c r="AK178" s="1" t="s">
        <v>49</v>
      </c>
      <c r="AL178" s="1">
        <v>48</v>
      </c>
    </row>
    <row r="179" spans="1:38" x14ac:dyDescent="0.2">
      <c r="A179" s="2" t="str">
        <f>HYPERLINK("https://www.compass.com/listing/83-walker-street-unit-9-manhattan-ny-10013/633289469183238441/","83 Walker St, Unit 9")</f>
        <v>83 Walker St, Unit 9</v>
      </c>
      <c r="B179" s="2" t="str">
        <f>HYPERLINK("https://www.compass.com/building/83-walker-st-manhattan-ny-10013/281921390477610613/","83 Walker St")</f>
        <v>83 Walker St</v>
      </c>
      <c r="C179" s="1" t="s">
        <v>113</v>
      </c>
      <c r="D179" s="1" t="s">
        <v>41</v>
      </c>
      <c r="E179" s="3">
        <v>2995000</v>
      </c>
      <c r="G179" s="1">
        <v>4</v>
      </c>
      <c r="H179" s="1">
        <v>2</v>
      </c>
      <c r="I179" s="1">
        <v>2</v>
      </c>
      <c r="J179" s="1">
        <v>2</v>
      </c>
      <c r="K179" s="1">
        <v>2</v>
      </c>
      <c r="N179" s="1">
        <v>779</v>
      </c>
      <c r="O179" s="1">
        <v>3036</v>
      </c>
      <c r="P179" s="1">
        <v>2257</v>
      </c>
      <c r="Q179" s="1" t="s">
        <v>42</v>
      </c>
      <c r="S179" s="1" t="s">
        <v>42</v>
      </c>
      <c r="T179" s="1" t="s">
        <v>51</v>
      </c>
      <c r="U179" s="1">
        <v>192</v>
      </c>
      <c r="V179" s="5">
        <v>44421</v>
      </c>
      <c r="W179" s="5">
        <v>44228</v>
      </c>
      <c r="AB179" s="1" t="s">
        <v>44</v>
      </c>
      <c r="AF179" s="1">
        <v>10013</v>
      </c>
      <c r="AI179" s="1" t="s">
        <v>176</v>
      </c>
      <c r="AJ179" s="1">
        <v>2015</v>
      </c>
      <c r="AL179" s="1">
        <v>9</v>
      </c>
    </row>
    <row r="180" spans="1:38" x14ac:dyDescent="0.2">
      <c r="A180" s="2" t="str">
        <f>HYPERLINK("https://www.compass.com/listing/67-69-franklin-street-unit-6a-manhattan-ny-10013/89719784022812561/","67-69 Franklin St, Unit 6A")</f>
        <v>67-69 Franklin St, Unit 6A</v>
      </c>
      <c r="B180" s="2" t="str">
        <f>HYPERLINK("https://www.compass.com/building/cast-iron-house-manhattan-ny/567514773896133269/","Cast Iron House")</f>
        <v>Cast Iron House</v>
      </c>
      <c r="C180" s="1" t="s">
        <v>50</v>
      </c>
      <c r="D180" s="1" t="s">
        <v>41</v>
      </c>
      <c r="E180" s="3">
        <v>8750000</v>
      </c>
      <c r="F180" s="1">
        <v>2058.8235294117599</v>
      </c>
      <c r="G180" s="1">
        <v>9</v>
      </c>
      <c r="H180" s="1">
        <v>5</v>
      </c>
      <c r="I180" s="1">
        <v>4</v>
      </c>
      <c r="J180" s="1">
        <v>4</v>
      </c>
      <c r="K180" s="1">
        <v>4</v>
      </c>
      <c r="M180" s="4">
        <v>4250</v>
      </c>
      <c r="N180" s="1">
        <v>4534</v>
      </c>
      <c r="O180" s="1">
        <v>10657</v>
      </c>
      <c r="P180" s="1">
        <v>6123</v>
      </c>
      <c r="Q180" s="1" t="s">
        <v>42</v>
      </c>
      <c r="S180" s="1" t="s">
        <v>42</v>
      </c>
      <c r="T180" s="1" t="s">
        <v>51</v>
      </c>
      <c r="U180" s="1">
        <v>959</v>
      </c>
      <c r="V180" s="5">
        <v>44324</v>
      </c>
      <c r="W180" s="5">
        <v>43374</v>
      </c>
      <c r="X180" s="1">
        <v>9500000</v>
      </c>
      <c r="AB180" s="1" t="s">
        <v>44</v>
      </c>
      <c r="AF180" s="1">
        <v>10013</v>
      </c>
      <c r="AI180" s="1" t="s">
        <v>177</v>
      </c>
      <c r="AJ180" s="1">
        <v>1881</v>
      </c>
      <c r="AK180" s="1" t="s">
        <v>49</v>
      </c>
      <c r="AL180" s="1">
        <v>13</v>
      </c>
    </row>
    <row r="181" spans="1:38" x14ac:dyDescent="0.2">
      <c r="A181" s="2" t="str">
        <f>HYPERLINK("https://www.compass.com/listing/77-charlton-street-unit-n5d-manhattan-ny-10014/790545181290863217/","77 Charlton St, Unit N5D")</f>
        <v>77 Charlton St, Unit N5D</v>
      </c>
      <c r="B181" s="2" t="str">
        <f>HYPERLINK("https://www.compass.com/building/77-charlton-st-manhattan-ny-10014/282058735872933093/","77 Charlton St")</f>
        <v>77 Charlton St</v>
      </c>
      <c r="C181" s="1" t="s">
        <v>53</v>
      </c>
      <c r="D181" s="1" t="s">
        <v>41</v>
      </c>
      <c r="E181" s="3">
        <v>2270000</v>
      </c>
      <c r="F181" s="1">
        <v>1956.8965517241299</v>
      </c>
      <c r="G181" s="1">
        <v>4</v>
      </c>
      <c r="H181" s="1">
        <v>2</v>
      </c>
      <c r="I181" s="1">
        <v>3</v>
      </c>
      <c r="J181" s="1">
        <v>2.5</v>
      </c>
      <c r="K181" s="1">
        <v>2</v>
      </c>
      <c r="L181" s="1">
        <v>1</v>
      </c>
      <c r="M181" s="4">
        <v>1160</v>
      </c>
      <c r="N181" s="1">
        <v>1318</v>
      </c>
      <c r="O181" s="1">
        <v>3201</v>
      </c>
      <c r="P181" s="1">
        <v>1883</v>
      </c>
      <c r="Q181" s="1" t="s">
        <v>42</v>
      </c>
      <c r="S181" s="1" t="s">
        <v>42</v>
      </c>
      <c r="T181" s="1" t="s">
        <v>51</v>
      </c>
      <c r="U181" s="1">
        <v>84</v>
      </c>
      <c r="V181" s="5">
        <v>44413</v>
      </c>
      <c r="W181" s="5">
        <v>44343</v>
      </c>
      <c r="X181" s="1">
        <v>2270000</v>
      </c>
      <c r="AB181" s="1" t="s">
        <v>44</v>
      </c>
      <c r="AF181" s="1">
        <v>10014</v>
      </c>
      <c r="AI181" s="1" t="s">
        <v>48</v>
      </c>
      <c r="AJ181" s="1">
        <v>2019</v>
      </c>
      <c r="AK181" s="1" t="s">
        <v>46</v>
      </c>
      <c r="AL181" s="1">
        <v>161</v>
      </c>
    </row>
    <row r="182" spans="1:38" x14ac:dyDescent="0.2">
      <c r="A182" s="2" t="str">
        <f>HYPERLINK("https://www.compass.com/listing/49-chambers-street-unit-8e-manhattan-ny-10007/758312234645108201/","49 Chambers St, Unit 8E")</f>
        <v>49 Chambers St, Unit 8E</v>
      </c>
      <c r="B182" s="2" t="str">
        <f>HYPERLINK("https://www.compass.com/building/49-chambers-manhattan-ny/282058733280852725/","49 Chambers")</f>
        <v>49 Chambers</v>
      </c>
      <c r="C182" s="1" t="s">
        <v>113</v>
      </c>
      <c r="D182" s="1" t="s">
        <v>41</v>
      </c>
      <c r="E182" s="3">
        <v>4995000</v>
      </c>
      <c r="F182" s="1">
        <v>1678.99159663865</v>
      </c>
      <c r="G182" s="1">
        <v>6.5</v>
      </c>
      <c r="H182" s="1">
        <v>3</v>
      </c>
      <c r="I182" s="1">
        <v>4</v>
      </c>
      <c r="J182" s="1">
        <v>3.5</v>
      </c>
      <c r="K182" s="1">
        <v>3</v>
      </c>
      <c r="L182" s="1">
        <v>1</v>
      </c>
      <c r="M182" s="4">
        <v>2975</v>
      </c>
      <c r="N182" s="1">
        <v>2260</v>
      </c>
      <c r="O182" s="1">
        <v>6694</v>
      </c>
      <c r="P182" s="1">
        <v>4434</v>
      </c>
      <c r="Q182" s="1" t="s">
        <v>42</v>
      </c>
      <c r="S182" s="1" t="s">
        <v>42</v>
      </c>
      <c r="T182" s="1" t="s">
        <v>51</v>
      </c>
      <c r="U182" s="1">
        <v>122</v>
      </c>
      <c r="V182" s="5">
        <v>44427</v>
      </c>
      <c r="W182" s="5">
        <v>44305</v>
      </c>
      <c r="X182" s="1">
        <v>5200000</v>
      </c>
      <c r="AB182" s="1" t="s">
        <v>44</v>
      </c>
      <c r="AF182" s="1">
        <v>10007</v>
      </c>
      <c r="AI182" s="1" t="s">
        <v>114</v>
      </c>
      <c r="AJ182" s="1">
        <v>1910</v>
      </c>
      <c r="AK182" s="1" t="s">
        <v>49</v>
      </c>
      <c r="AL182" s="1">
        <v>99</v>
      </c>
    </row>
    <row r="183" spans="1:38" x14ac:dyDescent="0.2">
      <c r="A183" s="2" t="str">
        <f>HYPERLINK("https://www.compass.com/listing/15-west-61st-street-unit-18b-manhattan-ny-10023/805053868840649241/","15 W 61st St, Unit 18B")</f>
        <v>15 W 61st St, Unit 18B</v>
      </c>
      <c r="B183" s="2" t="str">
        <f>HYPERLINK("https://www.compass.com/building/the-park-loggia-manhattan-ny/292861833130357557/","The Park Loggia")</f>
        <v>The Park Loggia</v>
      </c>
      <c r="C183" s="1" t="s">
        <v>57</v>
      </c>
      <c r="D183" s="1" t="s">
        <v>41</v>
      </c>
      <c r="E183" s="3">
        <v>3340000</v>
      </c>
      <c r="F183" s="1">
        <v>2914.4851657940599</v>
      </c>
      <c r="G183" s="1">
        <v>4</v>
      </c>
      <c r="H183" s="1">
        <v>2</v>
      </c>
      <c r="I183" s="1">
        <v>2</v>
      </c>
      <c r="J183" s="1">
        <v>2</v>
      </c>
      <c r="K183" s="1">
        <v>2</v>
      </c>
      <c r="M183" s="4">
        <v>1146</v>
      </c>
      <c r="N183" s="1">
        <v>1204</v>
      </c>
      <c r="O183" s="1">
        <v>2415</v>
      </c>
      <c r="P183" s="1">
        <v>1211</v>
      </c>
      <c r="Q183" s="1" t="s">
        <v>42</v>
      </c>
      <c r="S183" s="1" t="s">
        <v>42</v>
      </c>
      <c r="T183" s="1" t="s">
        <v>51</v>
      </c>
      <c r="U183" s="1">
        <v>65</v>
      </c>
      <c r="V183" s="5">
        <v>44413</v>
      </c>
      <c r="W183" s="5">
        <v>44362</v>
      </c>
      <c r="X183" s="1">
        <v>3340000</v>
      </c>
      <c r="AB183" s="1" t="s">
        <v>44</v>
      </c>
      <c r="AF183" s="1">
        <v>10023</v>
      </c>
      <c r="AI183" s="1" t="s">
        <v>178</v>
      </c>
      <c r="AJ183" s="1">
        <v>2019</v>
      </c>
      <c r="AK183" s="1" t="s">
        <v>46</v>
      </c>
      <c r="AL183" s="1">
        <v>172</v>
      </c>
    </row>
    <row r="184" spans="1:38" x14ac:dyDescent="0.2">
      <c r="A184" s="2" t="str">
        <f>HYPERLINK("https://www.compass.com/listing/235-west-75th-street-unit-212-manhattan-ny-10023/784689584217328817/","235 W 75th St, Unit 212")</f>
        <v>235 W 75th St, Unit 212</v>
      </c>
      <c r="B184" s="2" t="str">
        <f>HYPERLINK("https://www.compass.com/building/the-astor-manhattan-ny/281958704155269925/","The Astor")</f>
        <v>The Astor</v>
      </c>
      <c r="C184" s="1" t="s">
        <v>57</v>
      </c>
      <c r="D184" s="1" t="s">
        <v>41</v>
      </c>
      <c r="E184" s="3">
        <v>4650000</v>
      </c>
      <c r="F184" s="1">
        <v>2167.8321678321599</v>
      </c>
      <c r="G184" s="1">
        <v>5</v>
      </c>
      <c r="H184" s="1">
        <v>3</v>
      </c>
      <c r="I184" s="1">
        <v>3</v>
      </c>
      <c r="J184" s="1">
        <v>3</v>
      </c>
      <c r="K184" s="1">
        <v>3</v>
      </c>
      <c r="M184" s="4">
        <v>2145</v>
      </c>
      <c r="N184" s="1">
        <v>2728</v>
      </c>
      <c r="O184" s="1">
        <v>6305</v>
      </c>
      <c r="P184" s="1">
        <v>3577</v>
      </c>
      <c r="Q184" s="1" t="s">
        <v>42</v>
      </c>
      <c r="S184" s="1" t="s">
        <v>42</v>
      </c>
      <c r="T184" s="1" t="s">
        <v>51</v>
      </c>
      <c r="U184" s="1">
        <v>93</v>
      </c>
      <c r="V184" s="5">
        <v>44427</v>
      </c>
      <c r="W184" s="5">
        <v>44334</v>
      </c>
      <c r="X184" s="1">
        <v>4650000</v>
      </c>
      <c r="AB184" s="1" t="s">
        <v>44</v>
      </c>
      <c r="AF184" s="1">
        <v>10023</v>
      </c>
      <c r="AJ184" s="1">
        <v>2018</v>
      </c>
      <c r="AK184" s="1" t="s">
        <v>49</v>
      </c>
      <c r="AL184" s="1">
        <v>98</v>
      </c>
    </row>
    <row r="185" spans="1:38" x14ac:dyDescent="0.2">
      <c r="A185" s="2" t="str">
        <f>HYPERLINK("https://www.compass.com/listing/15-hudson-yards-unit-ph88b-manhattan-ny-10001/804995817257602153/","15 Hudson Yards, Unit PH88B")</f>
        <v>15 Hudson Yards, Unit PH88B</v>
      </c>
      <c r="B185" s="2" t="str">
        <f>HYPERLINK("https://www.compass.com/building/fifteen-hudson-yards-manhattan-ny/282058587512011909/","Fifteen Hudson Yards")</f>
        <v>Fifteen Hudson Yards</v>
      </c>
      <c r="C185" s="1" t="s">
        <v>77</v>
      </c>
      <c r="D185" s="1" t="s">
        <v>41</v>
      </c>
      <c r="E185" s="3">
        <v>29500000</v>
      </c>
      <c r="F185" s="1">
        <v>5661.1015160237903</v>
      </c>
      <c r="G185" s="1">
        <v>7</v>
      </c>
      <c r="H185" s="1">
        <v>4</v>
      </c>
      <c r="I185" s="1">
        <v>7</v>
      </c>
      <c r="J185" s="1">
        <v>6.5</v>
      </c>
      <c r="K185" s="1">
        <v>6</v>
      </c>
      <c r="L185" s="1">
        <v>1</v>
      </c>
      <c r="M185" s="4">
        <v>5211</v>
      </c>
      <c r="N185" s="1">
        <v>15242</v>
      </c>
      <c r="O185" s="1">
        <v>15433</v>
      </c>
      <c r="P185" s="1">
        <v>191</v>
      </c>
      <c r="Q185" s="1" t="s">
        <v>42</v>
      </c>
      <c r="S185" s="1" t="s">
        <v>42</v>
      </c>
      <c r="T185" s="1" t="s">
        <v>51</v>
      </c>
      <c r="U185" s="1">
        <v>65</v>
      </c>
      <c r="V185" s="5">
        <v>44415</v>
      </c>
      <c r="W185" s="5">
        <v>44362</v>
      </c>
      <c r="X185" s="1">
        <v>29500000</v>
      </c>
      <c r="AB185" s="1" t="s">
        <v>44</v>
      </c>
      <c r="AF185" s="1">
        <v>10001</v>
      </c>
      <c r="AI185" s="1" t="s">
        <v>114</v>
      </c>
      <c r="AJ185" s="1">
        <v>2018</v>
      </c>
      <c r="AK185" s="1" t="s">
        <v>46</v>
      </c>
      <c r="AL185" s="1">
        <v>285</v>
      </c>
    </row>
    <row r="186" spans="1:38" x14ac:dyDescent="0.2">
      <c r="A186" s="2" t="str">
        <f>HYPERLINK("https://www.compass.com/listing/77-charlton-street-unit-n6c-manhattan-ny-10014/699320060264383729/","77 Charlton St, Unit N6C")</f>
        <v>77 Charlton St, Unit N6C</v>
      </c>
      <c r="B186" s="2" t="str">
        <f>HYPERLINK("https://www.compass.com/building/77-charlton-st-manhattan-ny-10014/282058735872933093/","77 Charlton St")</f>
        <v>77 Charlton St</v>
      </c>
      <c r="C186" s="1" t="s">
        <v>53</v>
      </c>
      <c r="D186" s="1" t="s">
        <v>41</v>
      </c>
      <c r="E186" s="3">
        <v>2110000</v>
      </c>
      <c r="F186" s="1">
        <v>1957.32838589981</v>
      </c>
      <c r="G186" s="1">
        <v>4</v>
      </c>
      <c r="H186" s="1">
        <v>2</v>
      </c>
      <c r="I186" s="1">
        <v>2</v>
      </c>
      <c r="J186" s="1">
        <v>2</v>
      </c>
      <c r="K186" s="1">
        <v>2</v>
      </c>
      <c r="M186" s="4">
        <v>1078</v>
      </c>
      <c r="N186" s="1">
        <v>1236</v>
      </c>
      <c r="O186" s="1">
        <v>3003</v>
      </c>
      <c r="P186" s="1">
        <v>1767</v>
      </c>
      <c r="Q186" s="1" t="s">
        <v>42</v>
      </c>
      <c r="S186" s="1" t="s">
        <v>42</v>
      </c>
      <c r="T186" s="1" t="s">
        <v>51</v>
      </c>
      <c r="U186" s="1">
        <v>210</v>
      </c>
      <c r="V186" s="5">
        <v>44413</v>
      </c>
      <c r="W186" s="5">
        <v>44217</v>
      </c>
      <c r="X186" s="1">
        <v>2110000</v>
      </c>
      <c r="AB186" s="1" t="s">
        <v>44</v>
      </c>
      <c r="AF186" s="1">
        <v>10014</v>
      </c>
      <c r="AI186" s="1" t="s">
        <v>179</v>
      </c>
      <c r="AJ186" s="1">
        <v>2019</v>
      </c>
      <c r="AK186" s="1" t="s">
        <v>46</v>
      </c>
      <c r="AL186" s="1">
        <v>161</v>
      </c>
    </row>
    <row r="187" spans="1:38" x14ac:dyDescent="0.2">
      <c r="A187" s="2" t="str">
        <f>HYPERLINK("https://www.compass.com/listing/70-charlton-street-unit-16e-manhattan-ny-10014/644213073626259697/","70 Charlton St, Unit 16E")</f>
        <v>70 Charlton St, Unit 16E</v>
      </c>
      <c r="B187" s="2" t="str">
        <f>HYPERLINK("https://www.compass.com/building/70-charlton-street-manhattan-ny/292835639240484293/","70 Charlton Street")</f>
        <v>70 Charlton Street</v>
      </c>
      <c r="C187" s="1" t="s">
        <v>53</v>
      </c>
      <c r="D187" s="1" t="s">
        <v>41</v>
      </c>
      <c r="E187" s="3">
        <v>4300000</v>
      </c>
      <c r="F187" s="1">
        <v>1909.4138543516799</v>
      </c>
      <c r="G187" s="1">
        <v>6</v>
      </c>
      <c r="H187" s="1">
        <v>4</v>
      </c>
      <c r="I187" s="1">
        <v>5</v>
      </c>
      <c r="J187" s="1">
        <v>4.5</v>
      </c>
      <c r="K187" s="1">
        <v>4</v>
      </c>
      <c r="L187" s="1">
        <v>1</v>
      </c>
      <c r="M187" s="4">
        <v>2252</v>
      </c>
      <c r="N187" s="1">
        <v>5340</v>
      </c>
      <c r="O187" s="1">
        <v>5340</v>
      </c>
      <c r="Q187" s="1" t="s">
        <v>105</v>
      </c>
      <c r="S187" s="1" t="s">
        <v>105</v>
      </c>
      <c r="T187" s="1" t="s">
        <v>51</v>
      </c>
      <c r="U187" s="1">
        <v>286</v>
      </c>
      <c r="V187" s="5">
        <v>44424</v>
      </c>
      <c r="W187" s="5">
        <v>44141</v>
      </c>
      <c r="X187" s="1">
        <v>4300000</v>
      </c>
      <c r="AB187" s="1" t="s">
        <v>44</v>
      </c>
      <c r="AF187" s="1">
        <v>10014</v>
      </c>
      <c r="AI187" s="1" t="s">
        <v>80</v>
      </c>
      <c r="AJ187" s="1">
        <v>2016</v>
      </c>
      <c r="AK187" s="1" t="s">
        <v>46</v>
      </c>
      <c r="AL187" s="1">
        <v>92</v>
      </c>
    </row>
    <row r="188" spans="1:38" x14ac:dyDescent="0.2">
      <c r="A188" s="2" t="str">
        <f>HYPERLINK("https://www.compass.com/listing/261-west-25th-street-unit-2c-manhattan-ny-10001/779029903377932553/","261 W 25th St, Unit 2C")</f>
        <v>261 W 25th St, Unit 2C</v>
      </c>
      <c r="B188" s="2" t="str">
        <f>HYPERLINK("https://www.compass.com/building/the-seymour-manhattan-ny/281883155990840165/","The Seymour")</f>
        <v>The Seymour</v>
      </c>
      <c r="C188" s="1" t="s">
        <v>62</v>
      </c>
      <c r="D188" s="1" t="s">
        <v>41</v>
      </c>
      <c r="E188" s="3">
        <v>1150000</v>
      </c>
      <c r="F188" s="1">
        <v>1763.8036809815901</v>
      </c>
      <c r="G188" s="1">
        <v>3</v>
      </c>
      <c r="H188" s="1">
        <v>1</v>
      </c>
      <c r="I188" s="1">
        <v>1</v>
      </c>
      <c r="J188" s="1">
        <v>1</v>
      </c>
      <c r="K188" s="1">
        <v>1</v>
      </c>
      <c r="M188" s="1">
        <v>652</v>
      </c>
      <c r="N188" s="1">
        <v>845</v>
      </c>
      <c r="O188" s="1">
        <v>2077</v>
      </c>
      <c r="P188" s="1">
        <v>1232</v>
      </c>
      <c r="Q188" s="1" t="s">
        <v>42</v>
      </c>
      <c r="S188" s="1" t="s">
        <v>42</v>
      </c>
      <c r="T188" s="1" t="s">
        <v>51</v>
      </c>
      <c r="U188" s="1">
        <v>100</v>
      </c>
      <c r="V188" s="5">
        <v>44425</v>
      </c>
      <c r="W188" s="5">
        <v>44327</v>
      </c>
      <c r="X188" s="1">
        <v>1150000</v>
      </c>
      <c r="AB188" s="1" t="s">
        <v>44</v>
      </c>
      <c r="AF188" s="1">
        <v>10001</v>
      </c>
      <c r="AI188" s="1" t="s">
        <v>180</v>
      </c>
      <c r="AJ188" s="1">
        <v>2015</v>
      </c>
      <c r="AK188" s="1" t="s">
        <v>46</v>
      </c>
      <c r="AL188" s="1">
        <v>49</v>
      </c>
    </row>
    <row r="189" spans="1:38" x14ac:dyDescent="0.2">
      <c r="A189" s="2" t="str">
        <f>HYPERLINK("https://www.compass.com/listing/70-charlton-street-unit-20e-manhattan-ny-10014/715264105899265697/","70 Charlton St, Unit 20E")</f>
        <v>70 Charlton St, Unit 20E</v>
      </c>
      <c r="B189" s="2" t="str">
        <f>HYPERLINK("https://www.compass.com/building/70-charlton-street-manhattan-ny/292835639240484293/","70 Charlton Street")</f>
        <v>70 Charlton Street</v>
      </c>
      <c r="C189" s="1" t="s">
        <v>53</v>
      </c>
      <c r="D189" s="1" t="s">
        <v>41</v>
      </c>
      <c r="E189" s="3">
        <v>4700000</v>
      </c>
      <c r="F189" s="1">
        <v>2087.0337477797498</v>
      </c>
      <c r="G189" s="1">
        <v>6.5</v>
      </c>
      <c r="H189" s="1">
        <v>4</v>
      </c>
      <c r="I189" s="1">
        <v>5</v>
      </c>
      <c r="J189" s="1">
        <v>4.5</v>
      </c>
      <c r="K189" s="1">
        <v>4</v>
      </c>
      <c r="L189" s="1">
        <v>1</v>
      </c>
      <c r="M189" s="4">
        <v>2252</v>
      </c>
      <c r="N189" s="1">
        <v>5523</v>
      </c>
      <c r="O189" s="1">
        <v>5523</v>
      </c>
      <c r="Q189" s="1" t="s">
        <v>181</v>
      </c>
      <c r="S189" s="1" t="s">
        <v>181</v>
      </c>
      <c r="T189" s="1" t="s">
        <v>51</v>
      </c>
      <c r="U189" s="1">
        <v>190</v>
      </c>
      <c r="V189" s="5">
        <v>44427</v>
      </c>
      <c r="W189" s="5">
        <v>44237</v>
      </c>
      <c r="X189" s="1">
        <v>4700000</v>
      </c>
      <c r="AB189" s="1" t="s">
        <v>44</v>
      </c>
      <c r="AF189" s="1">
        <v>10014</v>
      </c>
      <c r="AI189" s="1" t="s">
        <v>80</v>
      </c>
      <c r="AJ189" s="1">
        <v>2016</v>
      </c>
      <c r="AK189" s="1" t="s">
        <v>49</v>
      </c>
      <c r="AL189" s="1">
        <v>92</v>
      </c>
    </row>
    <row r="190" spans="1:38" x14ac:dyDescent="0.2">
      <c r="A190" s="2" t="str">
        <f>HYPERLINK("https://www.compass.com/listing/235-west-75th-street-unit-412-manhattan-ny-10023/784701907161923145/","235 W 75th St, Unit 412")</f>
        <v>235 W 75th St, Unit 412</v>
      </c>
      <c r="B190" s="2" t="str">
        <f>HYPERLINK("https://www.compass.com/building/the-astor-manhattan-ny/281958704155269925/","The Astor")</f>
        <v>The Astor</v>
      </c>
      <c r="C190" s="1" t="s">
        <v>57</v>
      </c>
      <c r="D190" s="1" t="s">
        <v>41</v>
      </c>
      <c r="E190" s="3">
        <v>7300000</v>
      </c>
      <c r="F190" s="1">
        <v>2261.4622057001202</v>
      </c>
      <c r="G190" s="1">
        <v>8</v>
      </c>
      <c r="H190" s="1">
        <v>4</v>
      </c>
      <c r="I190" s="1">
        <v>5</v>
      </c>
      <c r="J190" s="1">
        <v>4.5</v>
      </c>
      <c r="K190" s="1">
        <v>4</v>
      </c>
      <c r="L190" s="1">
        <v>1</v>
      </c>
      <c r="M190" s="4">
        <v>3228</v>
      </c>
      <c r="N190" s="1">
        <v>4149</v>
      </c>
      <c r="O190" s="1">
        <v>9388</v>
      </c>
      <c r="P190" s="1">
        <v>5239</v>
      </c>
      <c r="Q190" s="1" t="s">
        <v>42</v>
      </c>
      <c r="S190" s="1" t="s">
        <v>42</v>
      </c>
      <c r="T190" s="1" t="s">
        <v>51</v>
      </c>
      <c r="U190" s="1">
        <v>93</v>
      </c>
      <c r="V190" s="5">
        <v>44427</v>
      </c>
      <c r="W190" s="5">
        <v>44334</v>
      </c>
      <c r="X190" s="1">
        <v>7300000</v>
      </c>
      <c r="AB190" s="1" t="s">
        <v>44</v>
      </c>
      <c r="AF190" s="1">
        <v>10023</v>
      </c>
      <c r="AI190" s="1" t="s">
        <v>182</v>
      </c>
      <c r="AJ190" s="1">
        <v>2018</v>
      </c>
      <c r="AK190" s="1" t="s">
        <v>49</v>
      </c>
      <c r="AL190" s="1">
        <v>98</v>
      </c>
    </row>
    <row r="191" spans="1:38" x14ac:dyDescent="0.2">
      <c r="A191" s="2" t="str">
        <f>HYPERLINK("https://www.compass.com/listing/527-west-27th-street-unit-2c-manhattan-ny-10001/760067870366594401/","527 W 27th St, Unit 2C")</f>
        <v>527 W 27th St, Unit 2C</v>
      </c>
      <c r="B191" s="2" t="str">
        <f>HYPERLINK("https://www.compass.com/building/jardim-manhattan-ny/282062246220171157/","Jardim")</f>
        <v>Jardim</v>
      </c>
      <c r="C191" s="1" t="s">
        <v>62</v>
      </c>
      <c r="D191" s="1" t="s">
        <v>41</v>
      </c>
      <c r="E191" s="3">
        <v>2495000</v>
      </c>
      <c r="F191" s="1">
        <v>2270.24567788899</v>
      </c>
      <c r="G191" s="1">
        <v>3</v>
      </c>
      <c r="H191" s="1">
        <v>1</v>
      </c>
      <c r="I191" s="1">
        <v>2</v>
      </c>
      <c r="J191" s="1">
        <v>1.5</v>
      </c>
      <c r="K191" s="1">
        <v>1</v>
      </c>
      <c r="L191" s="1">
        <v>1</v>
      </c>
      <c r="M191" s="4">
        <v>1099</v>
      </c>
      <c r="N191" s="1">
        <v>1221</v>
      </c>
      <c r="O191" s="1">
        <v>3216</v>
      </c>
      <c r="P191" s="1">
        <v>1995</v>
      </c>
      <c r="Q191" s="1" t="s">
        <v>42</v>
      </c>
      <c r="S191" s="1" t="s">
        <v>42</v>
      </c>
      <c r="T191" s="1" t="s">
        <v>51</v>
      </c>
      <c r="U191" s="1">
        <v>127</v>
      </c>
      <c r="V191" s="5">
        <v>44427</v>
      </c>
      <c r="W191" s="5">
        <v>44300</v>
      </c>
      <c r="X191" s="1">
        <v>2495000</v>
      </c>
      <c r="AB191" s="1" t="s">
        <v>44</v>
      </c>
      <c r="AF191" s="1">
        <v>10001</v>
      </c>
      <c r="AI191" s="1" t="s">
        <v>159</v>
      </c>
      <c r="AJ191" s="1">
        <v>2017</v>
      </c>
      <c r="AK191" s="1" t="s">
        <v>49</v>
      </c>
      <c r="AL191" s="1">
        <v>36</v>
      </c>
    </row>
    <row r="192" spans="1:38" x14ac:dyDescent="0.2">
      <c r="A192" s="2" t="str">
        <f>HYPERLINK("https://www.compass.com/listing/235-west-75th-street-unit-402-manhattan-ny-10023/784689951395181113/","235 W 75th St, Unit 402")</f>
        <v>235 W 75th St, Unit 402</v>
      </c>
      <c r="B192" s="2" t="str">
        <f>HYPERLINK("https://www.compass.com/building/the-astor-manhattan-ny/281958704155269925/","The Astor")</f>
        <v>The Astor</v>
      </c>
      <c r="C192" s="1" t="s">
        <v>57</v>
      </c>
      <c r="D192" s="1" t="s">
        <v>41</v>
      </c>
      <c r="E192" s="3">
        <v>7315000</v>
      </c>
      <c r="F192" s="1">
        <v>2248.6935136796801</v>
      </c>
      <c r="G192" s="1">
        <v>9</v>
      </c>
      <c r="H192" s="1">
        <v>4</v>
      </c>
      <c r="I192" s="1">
        <v>5</v>
      </c>
      <c r="J192" s="1">
        <v>4.5</v>
      </c>
      <c r="K192" s="1">
        <v>4</v>
      </c>
      <c r="L192" s="1">
        <v>1</v>
      </c>
      <c r="M192" s="4">
        <v>3253</v>
      </c>
      <c r="N192" s="1">
        <v>4181</v>
      </c>
      <c r="O192" s="1">
        <v>9178</v>
      </c>
      <c r="P192" s="1">
        <v>4997</v>
      </c>
      <c r="Q192" s="1" t="s">
        <v>42</v>
      </c>
      <c r="S192" s="1" t="s">
        <v>42</v>
      </c>
      <c r="T192" s="1" t="s">
        <v>51</v>
      </c>
      <c r="U192" s="1">
        <v>93</v>
      </c>
      <c r="V192" s="5">
        <v>44427</v>
      </c>
      <c r="W192" s="5">
        <v>44334</v>
      </c>
      <c r="X192" s="1">
        <v>7315000</v>
      </c>
      <c r="AB192" s="1" t="s">
        <v>44</v>
      </c>
      <c r="AF192" s="1">
        <v>10023</v>
      </c>
      <c r="AI192" s="1" t="s">
        <v>182</v>
      </c>
      <c r="AJ192" s="1">
        <v>2018</v>
      </c>
      <c r="AK192" s="1" t="s">
        <v>49</v>
      </c>
      <c r="AL192" s="1">
        <v>98</v>
      </c>
    </row>
    <row r="193" spans="1:38" x14ac:dyDescent="0.2">
      <c r="A193" s="2" t="str">
        <f>HYPERLINK("https://www.compass.com/listing/130-william-street-unit-32d-manhattan-ny-10038/845618397176183985/","130 William St, Unit 32D")</f>
        <v>130 William St, Unit 32D</v>
      </c>
      <c r="B193" s="2" t="str">
        <f>HYPERLINK("https://www.compass.com/building/130-william-st-manhattan-ny-10038/282029682239486757/","130 William St")</f>
        <v>130 William St</v>
      </c>
      <c r="C193" s="1" t="s">
        <v>96</v>
      </c>
      <c r="D193" s="1" t="s">
        <v>41</v>
      </c>
      <c r="E193" s="3">
        <v>1675990</v>
      </c>
      <c r="F193" s="1">
        <v>1960.2222222222199</v>
      </c>
      <c r="G193" s="1">
        <v>3</v>
      </c>
      <c r="H193" s="1">
        <v>1</v>
      </c>
      <c r="I193" s="1">
        <v>1</v>
      </c>
      <c r="J193" s="1">
        <v>1</v>
      </c>
      <c r="K193" s="1">
        <v>1</v>
      </c>
      <c r="M193" s="1">
        <v>855</v>
      </c>
      <c r="N193" s="1">
        <v>603</v>
      </c>
      <c r="O193" s="1">
        <v>1770</v>
      </c>
      <c r="P193" s="1">
        <v>1167</v>
      </c>
      <c r="Q193" s="1" t="s">
        <v>42</v>
      </c>
      <c r="S193" s="1" t="s">
        <v>42</v>
      </c>
      <c r="T193" s="1" t="s">
        <v>51</v>
      </c>
      <c r="U193" s="1">
        <v>9</v>
      </c>
      <c r="V193" s="5">
        <v>44419</v>
      </c>
      <c r="W193" s="5">
        <v>44418</v>
      </c>
      <c r="X193" s="1">
        <v>1675990</v>
      </c>
      <c r="AB193" s="1" t="s">
        <v>44</v>
      </c>
      <c r="AF193" s="1">
        <v>10038</v>
      </c>
      <c r="AI193" s="1" t="s">
        <v>111</v>
      </c>
      <c r="AJ193" s="1">
        <v>2020</v>
      </c>
      <c r="AK193" s="1" t="s">
        <v>46</v>
      </c>
      <c r="AL193" s="1">
        <v>244</v>
      </c>
    </row>
    <row r="194" spans="1:38" x14ac:dyDescent="0.2">
      <c r="A194" s="2" t="str">
        <f>HYPERLINK("https://www.compass.com/listing/90-lexington-avenue-unit-6b-manhattan-ny-10016/812269875944525649/","90 Lexington Ave, Unit 6B")</f>
        <v>90 Lexington Ave, Unit 6B</v>
      </c>
      <c r="B194" s="2" t="str">
        <f>HYPERLINK("https://www.compass.com/building/88-90-lexington-avenue-manhattan-ny/281941431524842901/","88 &amp; 90 Lexington Avenue")</f>
        <v>88 &amp; 90 Lexington Avenue</v>
      </c>
      <c r="C194" s="1" t="s">
        <v>40</v>
      </c>
      <c r="D194" s="1" t="s">
        <v>41</v>
      </c>
      <c r="E194" s="3">
        <v>2895000</v>
      </c>
      <c r="F194" s="1">
        <v>1789.2459826946799</v>
      </c>
      <c r="G194" s="1">
        <v>5</v>
      </c>
      <c r="H194" s="1">
        <v>2</v>
      </c>
      <c r="I194" s="1">
        <v>3</v>
      </c>
      <c r="J194" s="1">
        <v>2.5</v>
      </c>
      <c r="K194" s="1">
        <v>2</v>
      </c>
      <c r="L194" s="1">
        <v>1</v>
      </c>
      <c r="M194" s="4">
        <v>1618</v>
      </c>
      <c r="N194" s="1">
        <v>1751</v>
      </c>
      <c r="O194" s="1">
        <v>4923</v>
      </c>
      <c r="P194" s="1">
        <v>3172</v>
      </c>
      <c r="Q194" s="1" t="s">
        <v>42</v>
      </c>
      <c r="S194" s="1" t="s">
        <v>42</v>
      </c>
      <c r="T194" s="1" t="s">
        <v>51</v>
      </c>
      <c r="U194" s="1">
        <v>55</v>
      </c>
      <c r="V194" s="5">
        <v>44417</v>
      </c>
      <c r="W194" s="5">
        <v>44372</v>
      </c>
      <c r="X194" s="1">
        <v>2895000</v>
      </c>
      <c r="AB194" s="1" t="s">
        <v>44</v>
      </c>
      <c r="AF194" s="1">
        <v>10016</v>
      </c>
      <c r="AI194" s="1" t="s">
        <v>183</v>
      </c>
      <c r="AJ194" s="1">
        <v>1957</v>
      </c>
      <c r="AK194" s="1" t="s">
        <v>46</v>
      </c>
      <c r="AL194" s="1">
        <v>49</v>
      </c>
    </row>
    <row r="195" spans="1:38" x14ac:dyDescent="0.2">
      <c r="A195" s="2" t="str">
        <f>HYPERLINK("https://www.compass.com/listing/130-william-street-unit-14b-manhattan-ny-10038/845874615422660625/","130 William St, Unit 14B")</f>
        <v>130 William St, Unit 14B</v>
      </c>
      <c r="B195" s="2" t="str">
        <f>HYPERLINK("https://www.compass.com/building/130-william-st-manhattan-ny-10038/282029682239486757/","130 William St")</f>
        <v>130 William St</v>
      </c>
      <c r="C195" s="1" t="s">
        <v>96</v>
      </c>
      <c r="D195" s="1" t="s">
        <v>41</v>
      </c>
      <c r="E195" s="3">
        <v>1305990</v>
      </c>
      <c r="F195" s="1">
        <v>1745.97593582887</v>
      </c>
      <c r="G195" s="1">
        <v>3</v>
      </c>
      <c r="H195" s="1">
        <v>1</v>
      </c>
      <c r="I195" s="1">
        <v>1</v>
      </c>
      <c r="J195" s="1">
        <v>1</v>
      </c>
      <c r="K195" s="1">
        <v>1</v>
      </c>
      <c r="M195" s="1">
        <v>748</v>
      </c>
      <c r="N195" s="1">
        <v>507</v>
      </c>
      <c r="O195" s="1">
        <v>1489</v>
      </c>
      <c r="P195" s="1">
        <v>982</v>
      </c>
      <c r="Q195" s="1" t="s">
        <v>42</v>
      </c>
      <c r="S195" s="1" t="s">
        <v>42</v>
      </c>
      <c r="T195" s="1" t="s">
        <v>51</v>
      </c>
      <c r="U195" s="1">
        <v>9</v>
      </c>
      <c r="V195" s="5">
        <v>44419</v>
      </c>
      <c r="W195" s="5">
        <v>44418</v>
      </c>
      <c r="X195" s="1">
        <v>1305990</v>
      </c>
      <c r="AB195" s="1" t="s">
        <v>44</v>
      </c>
      <c r="AF195" s="1">
        <v>10038</v>
      </c>
      <c r="AI195" s="1" t="s">
        <v>111</v>
      </c>
      <c r="AJ195" s="1">
        <v>2020</v>
      </c>
      <c r="AK195" s="1" t="s">
        <v>46</v>
      </c>
      <c r="AL195" s="1">
        <v>244</v>
      </c>
    </row>
    <row r="196" spans="1:38" x14ac:dyDescent="0.2">
      <c r="A196" s="2" t="str">
        <f>HYPERLINK("https://www.compass.com/listing/527-west-27th-street-unit-3b-manhattan-ny-10001/584793651576955449/","527 W 27th St, Unit 3B")</f>
        <v>527 W 27th St, Unit 3B</v>
      </c>
      <c r="B196" s="2" t="str">
        <f>HYPERLINK("https://www.compass.com/building/jardim-manhattan-ny/282062246220171157/","Jardim")</f>
        <v>Jardim</v>
      </c>
      <c r="C196" s="1" t="s">
        <v>62</v>
      </c>
      <c r="D196" s="1" t="s">
        <v>41</v>
      </c>
      <c r="E196" s="3">
        <v>1550000</v>
      </c>
      <c r="F196" s="1">
        <v>2044.8548812664901</v>
      </c>
      <c r="G196" s="1">
        <v>3</v>
      </c>
      <c r="H196" s="1">
        <v>1</v>
      </c>
      <c r="I196" s="1">
        <v>1</v>
      </c>
      <c r="J196" s="1">
        <v>1</v>
      </c>
      <c r="K196" s="1">
        <v>1</v>
      </c>
      <c r="M196" s="1">
        <v>758</v>
      </c>
      <c r="N196" s="1">
        <v>1188</v>
      </c>
      <c r="O196" s="1">
        <v>2560</v>
      </c>
      <c r="P196" s="1">
        <v>1372</v>
      </c>
      <c r="Q196" s="1" t="s">
        <v>42</v>
      </c>
      <c r="S196" s="1" t="s">
        <v>42</v>
      </c>
      <c r="T196" s="1" t="s">
        <v>51</v>
      </c>
      <c r="U196" s="1">
        <v>147</v>
      </c>
      <c r="V196" s="5">
        <v>44425</v>
      </c>
      <c r="W196" s="5">
        <v>44258</v>
      </c>
      <c r="X196" s="1">
        <v>1459000</v>
      </c>
      <c r="AB196" s="1" t="s">
        <v>44</v>
      </c>
      <c r="AF196" s="1">
        <v>10001</v>
      </c>
      <c r="AI196" s="1" t="s">
        <v>184</v>
      </c>
      <c r="AJ196" s="1">
        <v>2017</v>
      </c>
      <c r="AK196" s="1" t="s">
        <v>49</v>
      </c>
      <c r="AL196" s="1">
        <v>36</v>
      </c>
    </row>
    <row r="197" spans="1:38" x14ac:dyDescent="0.2">
      <c r="A197" s="2" t="str">
        <f>HYPERLINK("https://www.compass.com/listing/261-west-25th-street-unit-8b-manhattan-ny-10001/774349063368709945/","261 W 25th St, Unit 8B")</f>
        <v>261 W 25th St, Unit 8B</v>
      </c>
      <c r="B197" s="2" t="str">
        <f t="shared" ref="B197:B198" si="20">HYPERLINK("https://www.compass.com/building/the-seymour-manhattan-ny/281883155990840165/","The Seymour")</f>
        <v>The Seymour</v>
      </c>
      <c r="C197" s="1" t="s">
        <v>62</v>
      </c>
      <c r="D197" s="1" t="s">
        <v>41</v>
      </c>
      <c r="E197" s="3">
        <v>2995000</v>
      </c>
      <c r="F197" s="1">
        <v>2052.7758738862199</v>
      </c>
      <c r="G197" s="1">
        <v>4.5</v>
      </c>
      <c r="H197" s="1">
        <v>2</v>
      </c>
      <c r="I197" s="1">
        <v>3</v>
      </c>
      <c r="J197" s="1">
        <v>2.5</v>
      </c>
      <c r="K197" s="1">
        <v>2</v>
      </c>
      <c r="L197" s="1">
        <v>1</v>
      </c>
      <c r="M197" s="4">
        <v>1459</v>
      </c>
      <c r="N197" s="1">
        <v>1801</v>
      </c>
      <c r="O197" s="1">
        <v>4076</v>
      </c>
      <c r="P197" s="1">
        <v>2275</v>
      </c>
      <c r="Q197" s="1" t="s">
        <v>42</v>
      </c>
      <c r="S197" s="1" t="s">
        <v>42</v>
      </c>
      <c r="T197" s="1" t="s">
        <v>51</v>
      </c>
      <c r="U197" s="1">
        <v>107</v>
      </c>
      <c r="V197" s="5">
        <v>44427</v>
      </c>
      <c r="W197" s="5">
        <v>44320</v>
      </c>
      <c r="X197" s="1">
        <v>3250000</v>
      </c>
      <c r="AB197" s="1" t="s">
        <v>44</v>
      </c>
      <c r="AF197" s="1">
        <v>10001</v>
      </c>
      <c r="AI197" s="1" t="s">
        <v>185</v>
      </c>
      <c r="AJ197" s="1">
        <v>2015</v>
      </c>
      <c r="AK197" s="1" t="s">
        <v>49</v>
      </c>
      <c r="AL197" s="1">
        <v>49</v>
      </c>
    </row>
    <row r="198" spans="1:38" x14ac:dyDescent="0.2">
      <c r="A198" s="2" t="str">
        <f>HYPERLINK("https://www.compass.com/listing/261-west-25th-street-unit-phb-manhattan-ny-10001/279844018471347233/","261 W 25th St, Unit PHB")</f>
        <v>261 W 25th St, Unit PHB</v>
      </c>
      <c r="B198" s="2" t="str">
        <f t="shared" si="20"/>
        <v>The Seymour</v>
      </c>
      <c r="C198" s="1" t="s">
        <v>62</v>
      </c>
      <c r="D198" s="1" t="s">
        <v>41</v>
      </c>
      <c r="E198" s="3">
        <v>3995000</v>
      </c>
      <c r="F198" s="1">
        <v>2253.2430908065398</v>
      </c>
      <c r="G198" s="1">
        <v>5</v>
      </c>
      <c r="H198" s="1">
        <v>3</v>
      </c>
      <c r="I198" s="1">
        <v>3</v>
      </c>
      <c r="J198" s="1">
        <v>3</v>
      </c>
      <c r="K198" s="1">
        <v>3</v>
      </c>
      <c r="M198" s="4">
        <v>1773</v>
      </c>
      <c r="N198" s="1">
        <v>2429</v>
      </c>
      <c r="O198" s="1">
        <v>5331</v>
      </c>
      <c r="P198" s="1">
        <v>2902</v>
      </c>
      <c r="Q198" s="1" t="s">
        <v>42</v>
      </c>
      <c r="S198" s="1" t="s">
        <v>42</v>
      </c>
      <c r="T198" s="1" t="s">
        <v>51</v>
      </c>
      <c r="U198" s="1">
        <v>110</v>
      </c>
      <c r="V198" s="5">
        <v>44425</v>
      </c>
      <c r="W198" s="5">
        <v>44317</v>
      </c>
      <c r="X198" s="1">
        <v>4695000</v>
      </c>
      <c r="AB198" s="1" t="s">
        <v>44</v>
      </c>
      <c r="AF198" s="1">
        <v>10001</v>
      </c>
      <c r="AI198" s="1" t="s">
        <v>186</v>
      </c>
      <c r="AJ198" s="1">
        <v>2015</v>
      </c>
      <c r="AK198" s="1" t="s">
        <v>46</v>
      </c>
      <c r="AL198" s="1">
        <v>49</v>
      </c>
    </row>
    <row r="199" spans="1:38" x14ac:dyDescent="0.2">
      <c r="A199" s="2" t="str">
        <f>HYPERLINK("https://www.compass.com/listing/15-hudson-yards-unit-26a-manhattan-ny-10001/795892528225768305/","15 Hudson Yards, Unit 26A")</f>
        <v>15 Hudson Yards, Unit 26A</v>
      </c>
      <c r="B199" s="2" t="str">
        <f>HYPERLINK("https://www.compass.com/building/fifteen-hudson-yards-manhattan-ny/282058587512011909/","Fifteen Hudson Yards")</f>
        <v>Fifteen Hudson Yards</v>
      </c>
      <c r="C199" s="1" t="s">
        <v>77</v>
      </c>
      <c r="D199" s="1" t="s">
        <v>41</v>
      </c>
      <c r="E199" s="3">
        <v>4625000</v>
      </c>
      <c r="F199" s="1">
        <v>2602.70118176702</v>
      </c>
      <c r="G199" s="1">
        <v>4.5</v>
      </c>
      <c r="H199" s="1">
        <v>2</v>
      </c>
      <c r="I199" s="1">
        <v>4</v>
      </c>
      <c r="J199" s="1">
        <v>3.5</v>
      </c>
      <c r="K199" s="1">
        <v>3</v>
      </c>
      <c r="L199" s="1">
        <v>1</v>
      </c>
      <c r="M199" s="4">
        <v>1777</v>
      </c>
      <c r="N199" s="1">
        <v>4203</v>
      </c>
      <c r="O199" s="1">
        <v>4256</v>
      </c>
      <c r="P199" s="1">
        <v>53</v>
      </c>
      <c r="Q199" s="1" t="s">
        <v>42</v>
      </c>
      <c r="S199" s="1" t="s">
        <v>42</v>
      </c>
      <c r="T199" s="1" t="s">
        <v>51</v>
      </c>
      <c r="U199" s="1">
        <v>78</v>
      </c>
      <c r="V199" s="5">
        <v>44427</v>
      </c>
      <c r="W199" s="5">
        <v>44349</v>
      </c>
      <c r="X199" s="1">
        <v>4870000</v>
      </c>
      <c r="AB199" s="1" t="s">
        <v>44</v>
      </c>
      <c r="AF199" s="1">
        <v>10001</v>
      </c>
      <c r="AJ199" s="1">
        <v>2018</v>
      </c>
      <c r="AK199" s="1" t="s">
        <v>46</v>
      </c>
      <c r="AL199" s="1">
        <v>285</v>
      </c>
    </row>
    <row r="200" spans="1:38" x14ac:dyDescent="0.2">
      <c r="A200" s="2" t="str">
        <f>HYPERLINK("https://www.compass.com/listing/527-west-27th-street-unit-7b-manhattan-ny-10001/760527271049835641/","527 W 27th St, Unit 7B")</f>
        <v>527 W 27th St, Unit 7B</v>
      </c>
      <c r="B200" s="2" t="str">
        <f>HYPERLINK("https://www.compass.com/building/jardim-manhattan-ny/282062246220171157/","Jardim")</f>
        <v>Jardim</v>
      </c>
      <c r="C200" s="1" t="s">
        <v>62</v>
      </c>
      <c r="D200" s="1" t="s">
        <v>41</v>
      </c>
      <c r="E200" s="3">
        <v>3475000</v>
      </c>
      <c r="F200" s="1">
        <v>2249.1909385113199</v>
      </c>
      <c r="G200" s="1">
        <v>4.5</v>
      </c>
      <c r="H200" s="1">
        <v>2</v>
      </c>
      <c r="I200" s="1">
        <v>3</v>
      </c>
      <c r="J200" s="1">
        <v>2.5</v>
      </c>
      <c r="K200" s="1">
        <v>2</v>
      </c>
      <c r="L200" s="1">
        <v>1</v>
      </c>
      <c r="M200" s="4">
        <v>1545</v>
      </c>
      <c r="N200" s="1">
        <v>1710</v>
      </c>
      <c r="O200" s="1">
        <v>4505</v>
      </c>
      <c r="P200" s="1">
        <v>2795</v>
      </c>
      <c r="Q200" s="1" t="s">
        <v>42</v>
      </c>
      <c r="S200" s="1" t="s">
        <v>42</v>
      </c>
      <c r="T200" s="1" t="s">
        <v>51</v>
      </c>
      <c r="U200" s="1">
        <v>128</v>
      </c>
      <c r="V200" s="5">
        <v>44427</v>
      </c>
      <c r="W200" s="5">
        <v>44299</v>
      </c>
      <c r="X200" s="1">
        <v>3475000</v>
      </c>
      <c r="AB200" s="1" t="s">
        <v>44</v>
      </c>
      <c r="AF200" s="1">
        <v>10001</v>
      </c>
      <c r="AI200" s="1" t="s">
        <v>187</v>
      </c>
      <c r="AJ200" s="1">
        <v>2017</v>
      </c>
      <c r="AK200" s="1" t="s">
        <v>49</v>
      </c>
      <c r="AL200" s="1">
        <v>36</v>
      </c>
    </row>
    <row r="201" spans="1:38" x14ac:dyDescent="0.2">
      <c r="A201" s="2" t="str">
        <f>HYPERLINK("https://www.compass.com/listing/570-broome-street-unit-8a-manhattan-ny-10013/780408430610451601/","570 Broome St, Unit 8A")</f>
        <v>570 Broome St, Unit 8A</v>
      </c>
      <c r="B201" s="2" t="str">
        <f>HYPERLINK("https://www.compass.com/building/570-broome-manhattan-ny/292818583757562981/","570 Broome")</f>
        <v>570 Broome</v>
      </c>
      <c r="C201" s="1" t="s">
        <v>53</v>
      </c>
      <c r="D201" s="1" t="s">
        <v>41</v>
      </c>
      <c r="E201" s="3">
        <v>1795000</v>
      </c>
      <c r="F201" s="1">
        <v>2238.1546134663299</v>
      </c>
      <c r="G201" s="1">
        <v>3</v>
      </c>
      <c r="H201" s="1">
        <v>1</v>
      </c>
      <c r="I201" s="1">
        <v>1</v>
      </c>
      <c r="J201" s="1">
        <v>1</v>
      </c>
      <c r="K201" s="1">
        <v>1</v>
      </c>
      <c r="M201" s="1">
        <v>802</v>
      </c>
      <c r="N201" s="1">
        <v>938.21</v>
      </c>
      <c r="O201" s="1">
        <v>2521.1999999999998</v>
      </c>
      <c r="P201" s="1">
        <v>1583</v>
      </c>
      <c r="Q201" s="1" t="s">
        <v>42</v>
      </c>
      <c r="S201" s="1" t="s">
        <v>42</v>
      </c>
      <c r="T201" s="1" t="s">
        <v>51</v>
      </c>
      <c r="U201" s="1">
        <v>99</v>
      </c>
      <c r="V201" s="5">
        <v>44421</v>
      </c>
      <c r="W201" s="5">
        <v>44328</v>
      </c>
      <c r="X201" s="1">
        <v>1895000</v>
      </c>
      <c r="AB201" s="1" t="s">
        <v>44</v>
      </c>
      <c r="AF201" s="1">
        <v>10013</v>
      </c>
      <c r="AI201" s="1" t="s">
        <v>80</v>
      </c>
      <c r="AJ201" s="1">
        <v>2019</v>
      </c>
      <c r="AK201" s="1" t="s">
        <v>108</v>
      </c>
      <c r="AL201" s="1">
        <v>54</v>
      </c>
    </row>
    <row r="202" spans="1:38" x14ac:dyDescent="0.2">
      <c r="A202" s="2" t="str">
        <f>HYPERLINK("https://www.compass.com/listing/261-west-25th-street-unit-1d-manhattan-ny-10001/738215308647779809/","261 W 25th St, Unit 1D")</f>
        <v>261 W 25th St, Unit 1D</v>
      </c>
      <c r="B202" s="2" t="str">
        <f>HYPERLINK("https://www.compass.com/building/the-seymour-manhattan-ny/281883155990840165/","The Seymour")</f>
        <v>The Seymour</v>
      </c>
      <c r="C202" s="1" t="s">
        <v>62</v>
      </c>
      <c r="D202" s="1" t="s">
        <v>41</v>
      </c>
      <c r="E202" s="3">
        <v>2849000</v>
      </c>
      <c r="F202" s="1">
        <v>2143.7170805116598</v>
      </c>
      <c r="G202" s="1">
        <v>4.5</v>
      </c>
      <c r="H202" s="1">
        <v>2</v>
      </c>
      <c r="I202" s="1">
        <v>3</v>
      </c>
      <c r="J202" s="1">
        <v>2.5</v>
      </c>
      <c r="K202" s="1">
        <v>2</v>
      </c>
      <c r="L202" s="1">
        <v>1</v>
      </c>
      <c r="M202" s="4">
        <v>1329</v>
      </c>
      <c r="N202" s="1">
        <v>1864</v>
      </c>
      <c r="O202" s="1">
        <v>4576</v>
      </c>
      <c r="P202" s="1">
        <v>2712</v>
      </c>
      <c r="Q202" s="1" t="s">
        <v>129</v>
      </c>
      <c r="S202" s="1" t="s">
        <v>42</v>
      </c>
      <c r="T202" s="1" t="s">
        <v>51</v>
      </c>
      <c r="U202" s="1">
        <v>156</v>
      </c>
      <c r="V202" s="5">
        <v>44319</v>
      </c>
      <c r="W202" s="5">
        <v>44270</v>
      </c>
      <c r="X202" s="1">
        <v>2849000</v>
      </c>
      <c r="AB202" s="1" t="s">
        <v>44</v>
      </c>
      <c r="AF202" s="1">
        <v>10001</v>
      </c>
      <c r="AI202" s="1" t="s">
        <v>188</v>
      </c>
      <c r="AJ202" s="1">
        <v>2015</v>
      </c>
      <c r="AK202" s="1" t="s">
        <v>49</v>
      </c>
      <c r="AL202" s="1">
        <v>49</v>
      </c>
    </row>
    <row r="203" spans="1:38" x14ac:dyDescent="0.2">
      <c r="A203" s="2" t="str">
        <f>HYPERLINK("https://www.compass.com/listing/300-east-64th-street-unit-22d-manhattan-ny-10065/810251964345452553/","300 E 64th St, Unit 22D")</f>
        <v>300 E 64th St, Unit 22D</v>
      </c>
      <c r="B203" s="2" t="str">
        <f>HYPERLINK("https://www.compass.com/building/300-e-64th-st-manhattan-ny-10065/282038617012979925/","300 E 64th St")</f>
        <v>300 E 64th St</v>
      </c>
      <c r="C203" s="1" t="s">
        <v>82</v>
      </c>
      <c r="D203" s="1" t="s">
        <v>41</v>
      </c>
      <c r="E203" s="3">
        <v>1295000</v>
      </c>
      <c r="F203" s="1">
        <v>1656.01023017902</v>
      </c>
      <c r="G203" s="1">
        <v>3</v>
      </c>
      <c r="H203" s="1">
        <v>1</v>
      </c>
      <c r="I203" s="1">
        <v>1</v>
      </c>
      <c r="J203" s="1">
        <v>1</v>
      </c>
      <c r="K203" s="1">
        <v>1</v>
      </c>
      <c r="M203" s="1">
        <v>782</v>
      </c>
      <c r="N203" s="1">
        <v>1048</v>
      </c>
      <c r="O203" s="1">
        <v>2509</v>
      </c>
      <c r="P203" s="1">
        <v>1461</v>
      </c>
      <c r="Q203" s="1" t="s">
        <v>42</v>
      </c>
      <c r="S203" s="1" t="s">
        <v>42</v>
      </c>
      <c r="T203" s="1" t="s">
        <v>51</v>
      </c>
      <c r="U203" s="1">
        <v>52</v>
      </c>
      <c r="V203" s="5">
        <v>44427</v>
      </c>
      <c r="W203" s="5">
        <v>44375</v>
      </c>
      <c r="X203" s="1">
        <v>1295000</v>
      </c>
      <c r="AB203" s="1" t="s">
        <v>44</v>
      </c>
      <c r="AF203" s="1">
        <v>10065</v>
      </c>
      <c r="AI203" s="1" t="s">
        <v>189</v>
      </c>
      <c r="AJ203" s="1">
        <v>1996</v>
      </c>
      <c r="AK203" s="1" t="s">
        <v>49</v>
      </c>
      <c r="AL203" s="1">
        <v>103</v>
      </c>
    </row>
    <row r="204" spans="1:38" x14ac:dyDescent="0.2">
      <c r="A204" s="2" t="str">
        <f>HYPERLINK("https://www.compass.com/listing/200-east-94th-street-unit-1611-manhattan-ny-10128/795138839177406385/","200 E 94th St, Unit 1611")</f>
        <v>200 E 94th St, Unit 1611</v>
      </c>
      <c r="B204" s="2" t="str">
        <f>HYPERLINK("https://www.compass.com/building/carnegie-park-condominium-manhattan-ny/282049797358118613/","Carnegie Park Condominium")</f>
        <v>Carnegie Park Condominium</v>
      </c>
      <c r="C204" s="1" t="s">
        <v>82</v>
      </c>
      <c r="D204" s="1" t="s">
        <v>41</v>
      </c>
      <c r="E204" s="3">
        <v>1199000</v>
      </c>
      <c r="F204" s="1">
        <v>1403.9812646370001</v>
      </c>
      <c r="G204" s="1">
        <v>4</v>
      </c>
      <c r="H204" s="1">
        <v>1</v>
      </c>
      <c r="I204" s="1">
        <v>1</v>
      </c>
      <c r="J204" s="1">
        <v>1</v>
      </c>
      <c r="K204" s="1">
        <v>1</v>
      </c>
      <c r="M204" s="1">
        <v>854</v>
      </c>
      <c r="N204" s="1">
        <v>1020.9</v>
      </c>
      <c r="O204" s="1">
        <v>1107.31666666666</v>
      </c>
      <c r="P204" s="1">
        <v>86.4166666666666</v>
      </c>
      <c r="Q204" s="1" t="s">
        <v>190</v>
      </c>
      <c r="S204" s="1" t="s">
        <v>42</v>
      </c>
      <c r="T204" s="1" t="s">
        <v>51</v>
      </c>
      <c r="U204" s="1">
        <v>79</v>
      </c>
      <c r="V204" s="5">
        <v>44407</v>
      </c>
      <c r="W204" s="5">
        <v>44348</v>
      </c>
      <c r="X204" s="1">
        <v>1199000</v>
      </c>
      <c r="AB204" s="1" t="s">
        <v>44</v>
      </c>
      <c r="AF204" s="1">
        <v>10128</v>
      </c>
      <c r="AI204" s="1" t="s">
        <v>163</v>
      </c>
      <c r="AJ204" s="1">
        <v>1986</v>
      </c>
      <c r="AK204" s="1" t="s">
        <v>108</v>
      </c>
      <c r="AL204" s="1">
        <v>287</v>
      </c>
    </row>
    <row r="205" spans="1:38" x14ac:dyDescent="0.2">
      <c r="A205" s="2" t="str">
        <f>HYPERLINK("https://www.compass.com/listing/285-west-110th-street-unit-5a-manhattan-ny-10026/814928043174886425/","285 W 110th St, Unit 5A")</f>
        <v>285 W 110th St, Unit 5A</v>
      </c>
      <c r="B205" s="2" t="str">
        <f>HYPERLINK("https://www.compass.com/building/circa-central-park-manhattan-ny/282059072692321269/","Circa Central Park")</f>
        <v>Circa Central Park</v>
      </c>
      <c r="C205" s="1" t="s">
        <v>85</v>
      </c>
      <c r="D205" s="1" t="s">
        <v>41</v>
      </c>
      <c r="E205" s="3">
        <v>2995000</v>
      </c>
      <c r="F205" s="1">
        <v>1899.1756499682899</v>
      </c>
      <c r="G205" s="1">
        <v>5.5</v>
      </c>
      <c r="H205" s="1">
        <v>3</v>
      </c>
      <c r="I205" s="1">
        <v>3</v>
      </c>
      <c r="J205" s="1">
        <v>3</v>
      </c>
      <c r="K205" s="1">
        <v>3</v>
      </c>
      <c r="M205" s="4">
        <v>1577</v>
      </c>
      <c r="N205" s="1">
        <v>1477</v>
      </c>
      <c r="O205" s="1">
        <v>1670</v>
      </c>
      <c r="P205" s="1">
        <v>193</v>
      </c>
      <c r="Q205" s="1" t="s">
        <v>42</v>
      </c>
      <c r="S205" s="1" t="s">
        <v>42</v>
      </c>
      <c r="T205" s="1" t="s">
        <v>51</v>
      </c>
      <c r="U205" s="1">
        <v>24</v>
      </c>
      <c r="V205" s="5">
        <v>44419</v>
      </c>
      <c r="W205" s="5">
        <v>44403</v>
      </c>
      <c r="X205" s="1">
        <v>2995000</v>
      </c>
      <c r="AB205" s="1" t="s">
        <v>44</v>
      </c>
      <c r="AF205" s="1">
        <v>10026</v>
      </c>
      <c r="AI205" s="1" t="s">
        <v>61</v>
      </c>
      <c r="AJ205" s="1">
        <v>2017</v>
      </c>
      <c r="AK205" s="1" t="s">
        <v>46</v>
      </c>
      <c r="AL205" s="1">
        <v>38</v>
      </c>
    </row>
    <row r="206" spans="1:38" x14ac:dyDescent="0.2">
      <c r="A206" s="2" t="str">
        <f>HYPERLINK("https://www.compass.com/listing/130-william-street-unit-53b-manhattan-ny-10038/845723545067830961/","130 William St, Unit 53B")</f>
        <v>130 William St, Unit 53B</v>
      </c>
      <c r="B206" s="2" t="str">
        <f>HYPERLINK("https://www.compass.com/building/130-william-st-manhattan-ny-10038/282029682239486757/","130 William St")</f>
        <v>130 William St</v>
      </c>
      <c r="C206" s="1" t="s">
        <v>96</v>
      </c>
      <c r="D206" s="1" t="s">
        <v>41</v>
      </c>
      <c r="E206" s="3">
        <v>3505990</v>
      </c>
      <c r="F206" s="1">
        <v>2486.51773049645</v>
      </c>
      <c r="G206" s="1">
        <v>4.5</v>
      </c>
      <c r="H206" s="1">
        <v>2</v>
      </c>
      <c r="I206" s="1">
        <v>3</v>
      </c>
      <c r="J206" s="1">
        <v>2.5</v>
      </c>
      <c r="K206" s="1">
        <v>2</v>
      </c>
      <c r="L206" s="1">
        <v>1</v>
      </c>
      <c r="M206" s="4">
        <v>1410</v>
      </c>
      <c r="N206" s="1">
        <v>1055</v>
      </c>
      <c r="O206" s="1">
        <v>3099</v>
      </c>
      <c r="P206" s="1">
        <v>2044</v>
      </c>
      <c r="Q206" s="1" t="s">
        <v>42</v>
      </c>
      <c r="S206" s="1" t="s">
        <v>42</v>
      </c>
      <c r="T206" s="1" t="s">
        <v>51</v>
      </c>
      <c r="U206" s="1">
        <v>9</v>
      </c>
      <c r="V206" s="5">
        <v>44419</v>
      </c>
      <c r="W206" s="5">
        <v>44418</v>
      </c>
      <c r="X206" s="1">
        <v>3505990</v>
      </c>
      <c r="AB206" s="1" t="s">
        <v>44</v>
      </c>
      <c r="AF206" s="1">
        <v>10038</v>
      </c>
      <c r="AI206" s="1" t="s">
        <v>111</v>
      </c>
      <c r="AJ206" s="1">
        <v>2020</v>
      </c>
      <c r="AK206" s="1" t="s">
        <v>46</v>
      </c>
      <c r="AL206" s="1">
        <v>244</v>
      </c>
    </row>
    <row r="207" spans="1:38" x14ac:dyDescent="0.2">
      <c r="A207" s="2" t="str">
        <f>HYPERLINK("https://www.compass.com/listing/527-west-27th-street-unit-3s-manhattan-ny-10001/338210446301233313/","527 W 27th St, Unit 3S")</f>
        <v>527 W 27th St, Unit 3S</v>
      </c>
      <c r="B207" s="2" t="str">
        <f>HYPERLINK("https://www.compass.com/building/jardim-manhattan-ny/282062246220171157/","Jardim")</f>
        <v>Jardim</v>
      </c>
      <c r="C207" s="1" t="s">
        <v>62</v>
      </c>
      <c r="D207" s="1" t="s">
        <v>41</v>
      </c>
      <c r="E207" s="3">
        <v>4775000</v>
      </c>
      <c r="F207" s="1">
        <v>2374.4405768274401</v>
      </c>
      <c r="G207" s="1">
        <v>4.5</v>
      </c>
      <c r="H207" s="1">
        <v>2</v>
      </c>
      <c r="I207" s="1">
        <v>3</v>
      </c>
      <c r="J207" s="1">
        <v>2.5</v>
      </c>
      <c r="K207" s="1">
        <v>2</v>
      </c>
      <c r="L207" s="1">
        <v>1</v>
      </c>
      <c r="M207" s="4">
        <v>2011</v>
      </c>
      <c r="N207" s="1">
        <v>2275</v>
      </c>
      <c r="O207" s="1">
        <v>5993</v>
      </c>
      <c r="P207" s="1">
        <v>3718</v>
      </c>
      <c r="Q207" s="1" t="s">
        <v>42</v>
      </c>
      <c r="S207" s="1" t="s">
        <v>42</v>
      </c>
      <c r="T207" s="1" t="s">
        <v>51</v>
      </c>
      <c r="U207" s="1">
        <v>3003</v>
      </c>
      <c r="V207" s="5">
        <v>44427</v>
      </c>
      <c r="W207" s="5">
        <v>41330</v>
      </c>
      <c r="X207" s="1">
        <v>4775000</v>
      </c>
      <c r="AB207" s="1" t="s">
        <v>44</v>
      </c>
      <c r="AF207" s="1">
        <v>10001</v>
      </c>
      <c r="AI207" s="1" t="s">
        <v>65</v>
      </c>
      <c r="AJ207" s="1">
        <v>2017</v>
      </c>
      <c r="AK207" s="1" t="s">
        <v>49</v>
      </c>
      <c r="AL207" s="1">
        <v>36</v>
      </c>
    </row>
    <row r="208" spans="1:38" x14ac:dyDescent="0.2">
      <c r="A208" s="2" t="str">
        <f>HYPERLINK("https://www.compass.com/listing/15-hudson-yards-unit-ph86b-manhattan-ny-10001/772041203569974201/","15 Hudson Yards, Unit PH86B")</f>
        <v>15 Hudson Yards, Unit PH86B</v>
      </c>
      <c r="B208" s="2" t="str">
        <f t="shared" ref="B208:B209" si="21">HYPERLINK("https://www.compass.com/building/fifteen-hudson-yards-manhattan-ny/282058587512011909/","Fifteen Hudson Yards")</f>
        <v>Fifteen Hudson Yards</v>
      </c>
      <c r="C208" s="1" t="s">
        <v>77</v>
      </c>
      <c r="D208" s="1" t="s">
        <v>41</v>
      </c>
      <c r="E208" s="3">
        <v>12915000</v>
      </c>
      <c r="F208" s="1">
        <v>4103.9084842707298</v>
      </c>
      <c r="G208" s="1">
        <v>5.5</v>
      </c>
      <c r="H208" s="1">
        <v>4</v>
      </c>
      <c r="I208" s="1">
        <v>5</v>
      </c>
      <c r="J208" s="1">
        <v>4.5</v>
      </c>
      <c r="K208" s="1">
        <v>4</v>
      </c>
      <c r="L208" s="1">
        <v>1</v>
      </c>
      <c r="M208" s="4">
        <v>3147</v>
      </c>
      <c r="N208" s="1">
        <v>8213</v>
      </c>
      <c r="O208" s="1">
        <v>8316</v>
      </c>
      <c r="P208" s="1">
        <v>103</v>
      </c>
      <c r="Q208" s="1" t="s">
        <v>42</v>
      </c>
      <c r="S208" s="1" t="s">
        <v>42</v>
      </c>
      <c r="T208" s="1" t="s">
        <v>51</v>
      </c>
      <c r="U208" s="1">
        <v>111</v>
      </c>
      <c r="V208" s="5">
        <v>44421</v>
      </c>
      <c r="W208" s="5">
        <v>44316</v>
      </c>
      <c r="X208" s="1">
        <v>12915000</v>
      </c>
      <c r="AB208" s="1" t="s">
        <v>44</v>
      </c>
      <c r="AF208" s="1">
        <v>10001</v>
      </c>
      <c r="AJ208" s="1">
        <v>2018</v>
      </c>
      <c r="AK208" s="1" t="s">
        <v>46</v>
      </c>
      <c r="AL208" s="1">
        <v>285</v>
      </c>
    </row>
    <row r="209" spans="1:38" x14ac:dyDescent="0.2">
      <c r="A209" s="2" t="str">
        <f>HYPERLINK("https://www.compass.com/listing/15-hudson-yards-unit-80f-manhattan-ny-10001/708831921055747049/","15 Hudson Yards, Unit 80F")</f>
        <v>15 Hudson Yards, Unit 80F</v>
      </c>
      <c r="B209" s="2" t="str">
        <f t="shared" si="21"/>
        <v>Fifteen Hudson Yards</v>
      </c>
      <c r="C209" s="1" t="s">
        <v>77</v>
      </c>
      <c r="D209" s="1" t="s">
        <v>41</v>
      </c>
      <c r="E209" s="3">
        <v>5150000</v>
      </c>
      <c r="F209" s="1">
        <v>3151.7747858017101</v>
      </c>
      <c r="G209" s="1">
        <v>4.5</v>
      </c>
      <c r="H209" s="1">
        <v>2</v>
      </c>
      <c r="I209" s="1">
        <v>2</v>
      </c>
      <c r="J209" s="1">
        <v>1.5</v>
      </c>
      <c r="K209" s="1">
        <v>1</v>
      </c>
      <c r="L209" s="1">
        <v>1</v>
      </c>
      <c r="M209" s="4">
        <v>1634</v>
      </c>
      <c r="N209" s="1">
        <v>4044</v>
      </c>
      <c r="O209" s="1">
        <v>4095</v>
      </c>
      <c r="P209" s="1">
        <v>51</v>
      </c>
      <c r="Q209" s="1" t="s">
        <v>42</v>
      </c>
      <c r="S209" s="1" t="s">
        <v>42</v>
      </c>
      <c r="T209" s="1" t="s">
        <v>51</v>
      </c>
      <c r="U209" s="1">
        <v>198</v>
      </c>
      <c r="V209" s="5">
        <v>44423</v>
      </c>
      <c r="W209" s="5">
        <v>44229</v>
      </c>
      <c r="X209" s="1">
        <v>5150000</v>
      </c>
      <c r="AB209" s="1" t="s">
        <v>44</v>
      </c>
      <c r="AF209" s="1">
        <v>10001</v>
      </c>
      <c r="AJ209" s="1">
        <v>2018</v>
      </c>
      <c r="AK209" s="1" t="s">
        <v>46</v>
      </c>
      <c r="AL209" s="1">
        <v>285</v>
      </c>
    </row>
    <row r="210" spans="1:38" x14ac:dyDescent="0.2">
      <c r="A210" s="2" t="str">
        <f>HYPERLINK("https://www.compass.com/listing/503-west-24th-street-unit-5-manhattan-ny-10001/430716358880669585/","503 W 24th St, Unit 5")</f>
        <v>503 W 24th St, Unit 5</v>
      </c>
      <c r="B210" s="2" t="str">
        <f>HYPERLINK("https://www.compass.com/building/the-getty-residences-manhattan-ny/455668780274722637/","The Getty Residences")</f>
        <v>The Getty Residences</v>
      </c>
      <c r="C210" s="1" t="s">
        <v>62</v>
      </c>
      <c r="D210" s="1" t="s">
        <v>41</v>
      </c>
      <c r="E210" s="3">
        <v>10475000</v>
      </c>
      <c r="F210" s="1">
        <v>2715.8413274565701</v>
      </c>
      <c r="G210" s="1">
        <v>7</v>
      </c>
      <c r="H210" s="1">
        <v>4</v>
      </c>
      <c r="I210" s="1">
        <v>5</v>
      </c>
      <c r="J210" s="1">
        <v>4.5</v>
      </c>
      <c r="K210" s="1">
        <v>4</v>
      </c>
      <c r="L210" s="1">
        <v>1</v>
      </c>
      <c r="M210" s="4">
        <v>3857</v>
      </c>
      <c r="N210" s="1">
        <v>9600</v>
      </c>
      <c r="O210" s="1">
        <v>16925</v>
      </c>
      <c r="P210" s="1">
        <v>7325</v>
      </c>
      <c r="Q210" s="1" t="s">
        <v>42</v>
      </c>
      <c r="S210" s="1" t="s">
        <v>42</v>
      </c>
      <c r="T210" s="1" t="s">
        <v>51</v>
      </c>
      <c r="U210" s="1">
        <v>488</v>
      </c>
      <c r="V210" s="5">
        <v>44405</v>
      </c>
      <c r="W210" s="5">
        <v>43845</v>
      </c>
      <c r="X210" s="1">
        <v>19500000</v>
      </c>
      <c r="AB210" s="1" t="s">
        <v>44</v>
      </c>
      <c r="AF210" s="1">
        <v>10001</v>
      </c>
      <c r="AI210" s="1" t="s">
        <v>131</v>
      </c>
      <c r="AJ210" s="1">
        <v>2018</v>
      </c>
      <c r="AK210" s="1" t="s">
        <v>49</v>
      </c>
      <c r="AL210" s="1">
        <v>5</v>
      </c>
    </row>
    <row r="211" spans="1:38" x14ac:dyDescent="0.2">
      <c r="A211" s="2" t="str">
        <f>HYPERLINK("https://www.compass.com/listing/130-william-street-unit-26a-manhattan-ny-10038/845004680608772281/","130 William St, Unit 26A")</f>
        <v>130 William St, Unit 26A</v>
      </c>
      <c r="B211" s="2" t="str">
        <f>HYPERLINK("https://www.compass.com/building/130-william-st-manhattan-ny-10038/282029682239486757/","130 William St")</f>
        <v>130 William St</v>
      </c>
      <c r="C211" s="1" t="s">
        <v>96</v>
      </c>
      <c r="D211" s="1" t="s">
        <v>41</v>
      </c>
      <c r="E211" s="3">
        <v>1595990</v>
      </c>
      <c r="F211" s="1">
        <v>1830.2637614678899</v>
      </c>
      <c r="G211" s="1">
        <v>3</v>
      </c>
      <c r="H211" s="1">
        <v>1</v>
      </c>
      <c r="I211" s="1">
        <v>1</v>
      </c>
      <c r="J211" s="1">
        <v>1</v>
      </c>
      <c r="K211" s="1">
        <v>1</v>
      </c>
      <c r="M211" s="1">
        <v>872</v>
      </c>
      <c r="N211" s="1">
        <v>601</v>
      </c>
      <c r="O211" s="1">
        <v>1766</v>
      </c>
      <c r="P211" s="1">
        <v>1165</v>
      </c>
      <c r="Q211" s="1" t="s">
        <v>42</v>
      </c>
      <c r="S211" s="1" t="s">
        <v>42</v>
      </c>
      <c r="T211" s="1" t="s">
        <v>51</v>
      </c>
      <c r="U211" s="1">
        <v>10</v>
      </c>
      <c r="V211" s="5">
        <v>44419</v>
      </c>
      <c r="W211" s="5">
        <v>44417</v>
      </c>
      <c r="X211" s="1">
        <v>1595990</v>
      </c>
      <c r="AB211" s="1" t="s">
        <v>44</v>
      </c>
      <c r="AF211" s="1">
        <v>10038</v>
      </c>
      <c r="AI211" s="1" t="s">
        <v>111</v>
      </c>
      <c r="AJ211" s="1">
        <v>2020</v>
      </c>
      <c r="AK211" s="1" t="s">
        <v>46</v>
      </c>
      <c r="AL211" s="1">
        <v>244</v>
      </c>
    </row>
    <row r="212" spans="1:38" x14ac:dyDescent="0.2">
      <c r="A212" s="2" t="str">
        <f>HYPERLINK("https://www.compass.com/listing/252-south-street-unit-66j-manhattan-ny-10002/847863975638536361/","252 South St, Unit 66J")</f>
        <v>252 South St, Unit 66J</v>
      </c>
      <c r="B212" s="2" t="str">
        <f>HYPERLINK("https://www.compass.com/building/one-manhattan-square-manhattan-ny/294844950218926165/","One Manhattan Square")</f>
        <v>One Manhattan Square</v>
      </c>
      <c r="C212" s="1" t="s">
        <v>47</v>
      </c>
      <c r="D212" s="1" t="s">
        <v>41</v>
      </c>
      <c r="E212" s="3">
        <v>5350000</v>
      </c>
      <c r="F212" s="1">
        <v>2279.5057520238602</v>
      </c>
      <c r="G212" s="1">
        <v>5.5</v>
      </c>
      <c r="H212" s="1">
        <v>3</v>
      </c>
      <c r="I212" s="1">
        <v>4</v>
      </c>
      <c r="J212" s="1">
        <v>3.5</v>
      </c>
      <c r="K212" s="1">
        <v>3</v>
      </c>
      <c r="L212" s="1">
        <v>1</v>
      </c>
      <c r="M212" s="4">
        <v>2347</v>
      </c>
      <c r="N212" s="1">
        <v>3230</v>
      </c>
      <c r="O212" s="1">
        <v>3281</v>
      </c>
      <c r="P212" s="1">
        <v>51</v>
      </c>
      <c r="Q212" s="1" t="s">
        <v>42</v>
      </c>
      <c r="S212" s="1" t="s">
        <v>42</v>
      </c>
      <c r="T212" s="1" t="s">
        <v>51</v>
      </c>
      <c r="U212" s="1">
        <v>6</v>
      </c>
      <c r="V212" s="5">
        <v>44422</v>
      </c>
      <c r="W212" s="5">
        <v>44421</v>
      </c>
      <c r="X212" s="1">
        <v>5350000</v>
      </c>
      <c r="AB212" s="1" t="s">
        <v>44</v>
      </c>
      <c r="AF212" s="1">
        <v>10002</v>
      </c>
      <c r="AI212" s="1" t="s">
        <v>191</v>
      </c>
      <c r="AJ212" s="1">
        <v>2019</v>
      </c>
      <c r="AK212" s="1" t="s">
        <v>46</v>
      </c>
      <c r="AL212" s="1">
        <v>787</v>
      </c>
    </row>
    <row r="213" spans="1:38" x14ac:dyDescent="0.2">
      <c r="A213" s="2" t="str">
        <f>HYPERLINK("https://www.compass.com/listing/305-west-150th-street-unit-301w-manhattan-ny-10039/822871650423549241/","305 W 150th St, Unit 301W")</f>
        <v>305 W 150th St, Unit 301W</v>
      </c>
      <c r="B213" s="2" t="str">
        <f>HYPERLINK("https://www.compass.com/building/305-w-150th-st-manhattan-ny-10039/282032234968400245/","305 W 150th St")</f>
        <v>305 W 150th St</v>
      </c>
      <c r="C213" s="1" t="s">
        <v>84</v>
      </c>
      <c r="D213" s="1" t="s">
        <v>41</v>
      </c>
      <c r="E213" s="3">
        <v>499999</v>
      </c>
      <c r="F213" s="1">
        <v>866.54939341421095</v>
      </c>
      <c r="G213" s="1">
        <v>3</v>
      </c>
      <c r="H213" s="1">
        <v>1</v>
      </c>
      <c r="J213" s="1">
        <v>1</v>
      </c>
      <c r="M213" s="1">
        <v>577</v>
      </c>
      <c r="N213" s="1">
        <v>425</v>
      </c>
      <c r="O213" s="1">
        <v>842</v>
      </c>
      <c r="P213" s="1">
        <v>417</v>
      </c>
      <c r="S213" s="1" t="s">
        <v>42</v>
      </c>
      <c r="T213" s="1" t="s">
        <v>51</v>
      </c>
      <c r="U213" s="1">
        <v>40</v>
      </c>
      <c r="V213" s="5">
        <v>44415</v>
      </c>
      <c r="W213" s="5">
        <v>44387</v>
      </c>
      <c r="X213" s="1">
        <v>499999</v>
      </c>
      <c r="AB213" s="1" t="s">
        <v>44</v>
      </c>
      <c r="AF213" s="1">
        <v>10039</v>
      </c>
      <c r="AJ213" s="1">
        <v>1921</v>
      </c>
      <c r="AK213" s="1" t="s">
        <v>73</v>
      </c>
      <c r="AL213" s="1">
        <v>84</v>
      </c>
    </row>
    <row r="214" spans="1:38" x14ac:dyDescent="0.2">
      <c r="A214" s="2" t="str">
        <f>HYPERLINK("https://www.compass.com/listing/695-1st-avenue-unit-41g-manhattan-ny-10016/831140289102206961/","695 1st Ave, Unit 41G")</f>
        <v>695 1st Ave, Unit 41G</v>
      </c>
      <c r="B214" s="2" t="str">
        <f>HYPERLINK("https://www.compass.com/building/one-united-nations-park-manhattan-ny/282058773630059653/","One United Nations Park")</f>
        <v>One United Nations Park</v>
      </c>
      <c r="C214" s="1" t="s">
        <v>59</v>
      </c>
      <c r="D214" s="1" t="s">
        <v>41</v>
      </c>
      <c r="E214" s="3">
        <v>2850000</v>
      </c>
      <c r="F214" s="1">
        <v>2047.41379310344</v>
      </c>
      <c r="G214" s="1">
        <v>4</v>
      </c>
      <c r="H214" s="1">
        <v>2</v>
      </c>
      <c r="I214" s="1">
        <v>3</v>
      </c>
      <c r="J214" s="1">
        <v>2.5</v>
      </c>
      <c r="K214" s="1">
        <v>2</v>
      </c>
      <c r="L214" s="1">
        <v>1</v>
      </c>
      <c r="M214" s="4">
        <v>1392</v>
      </c>
      <c r="N214" s="1">
        <v>1866</v>
      </c>
      <c r="O214" s="1">
        <v>4082</v>
      </c>
      <c r="P214" s="1">
        <v>2216</v>
      </c>
      <c r="Q214" s="1" t="s">
        <v>42</v>
      </c>
      <c r="S214" s="1" t="s">
        <v>42</v>
      </c>
      <c r="T214" s="1" t="s">
        <v>51</v>
      </c>
      <c r="U214" s="1">
        <v>28</v>
      </c>
      <c r="V214" s="5">
        <v>44422</v>
      </c>
      <c r="W214" s="5">
        <v>44399</v>
      </c>
      <c r="X214" s="1">
        <v>2850000</v>
      </c>
      <c r="AB214" s="1" t="s">
        <v>44</v>
      </c>
      <c r="AF214" s="1">
        <v>10016</v>
      </c>
      <c r="AJ214" s="1">
        <v>2019</v>
      </c>
      <c r="AK214" s="1" t="s">
        <v>46</v>
      </c>
      <c r="AL214" s="1">
        <v>148</v>
      </c>
    </row>
    <row r="215" spans="1:38" x14ac:dyDescent="0.2">
      <c r="A215" s="2" t="str">
        <f>HYPERLINK("https://www.compass.com/listing/88-lexington-avenue-unit-805-manhattan-ny-10016/805322738307471073/","88 Lexington Ave, Unit 805")</f>
        <v>88 Lexington Ave, Unit 805</v>
      </c>
      <c r="B215" s="2" t="str">
        <f>HYPERLINK("https://www.compass.com/building/88-90-lexington-avenue-manhattan-ny/281903945159296309/","88 &amp; 90 Lexington Avenue")</f>
        <v>88 &amp; 90 Lexington Avenue</v>
      </c>
      <c r="C215" s="1" t="s">
        <v>40</v>
      </c>
      <c r="D215" s="1" t="s">
        <v>41</v>
      </c>
      <c r="E215" s="3">
        <v>5950000</v>
      </c>
      <c r="F215" s="1">
        <v>2283.1926323867901</v>
      </c>
      <c r="G215" s="1">
        <v>6</v>
      </c>
      <c r="H215" s="1">
        <v>4</v>
      </c>
      <c r="I215" s="1">
        <v>4</v>
      </c>
      <c r="J215" s="1">
        <v>3.5</v>
      </c>
      <c r="K215" s="1">
        <v>3</v>
      </c>
      <c r="L215" s="1">
        <v>1</v>
      </c>
      <c r="M215" s="4">
        <v>2606</v>
      </c>
      <c r="N215" s="1">
        <v>2544</v>
      </c>
      <c r="O215" s="1">
        <v>6762</v>
      </c>
      <c r="P215" s="1">
        <v>4218</v>
      </c>
      <c r="Q215" s="1" t="s">
        <v>42</v>
      </c>
      <c r="S215" s="1" t="s">
        <v>42</v>
      </c>
      <c r="T215" s="1" t="s">
        <v>51</v>
      </c>
      <c r="U215" s="1">
        <v>65</v>
      </c>
      <c r="V215" s="5">
        <v>44414</v>
      </c>
      <c r="W215" s="5">
        <v>44362</v>
      </c>
      <c r="X215" s="1">
        <v>5950000</v>
      </c>
      <c r="AB215" s="1" t="s">
        <v>44</v>
      </c>
      <c r="AF215" s="1">
        <v>10016</v>
      </c>
      <c r="AI215" s="1" t="s">
        <v>114</v>
      </c>
      <c r="AJ215" s="1">
        <v>1927</v>
      </c>
      <c r="AK215" s="1" t="s">
        <v>46</v>
      </c>
      <c r="AL215" s="1">
        <v>70</v>
      </c>
    </row>
    <row r="216" spans="1:38" x14ac:dyDescent="0.2">
      <c r="A216" s="2" t="str">
        <f>HYPERLINK("https://www.compass.com/listing/15-hudson-yards-unit-ph83a-manhattan-ny-10001/772070462987875609/","15 Hudson Yards, Unit PH83A")</f>
        <v>15 Hudson Yards, Unit PH83A</v>
      </c>
      <c r="B216" s="2" t="str">
        <f t="shared" ref="B216:B217" si="22">HYPERLINK("https://www.compass.com/building/fifteen-hudson-yards-manhattan-ny/282058587512011909/","Fifteen Hudson Yards")</f>
        <v>Fifteen Hudson Yards</v>
      </c>
      <c r="C216" s="1" t="s">
        <v>77</v>
      </c>
      <c r="D216" s="1" t="s">
        <v>41</v>
      </c>
      <c r="E216" s="3">
        <v>13810000</v>
      </c>
      <c r="F216" s="1">
        <v>4055.8002936857501</v>
      </c>
      <c r="G216" s="1">
        <v>6</v>
      </c>
      <c r="H216" s="1">
        <v>4</v>
      </c>
      <c r="I216" s="1">
        <v>5</v>
      </c>
      <c r="J216" s="1">
        <v>4.5</v>
      </c>
      <c r="K216" s="1">
        <v>4</v>
      </c>
      <c r="L216" s="1">
        <v>1</v>
      </c>
      <c r="M216" s="4">
        <v>3405</v>
      </c>
      <c r="N216" s="1">
        <v>8807</v>
      </c>
      <c r="O216" s="1">
        <v>8917</v>
      </c>
      <c r="P216" s="1">
        <v>110</v>
      </c>
      <c r="Q216" s="1" t="s">
        <v>42</v>
      </c>
      <c r="S216" s="1" t="s">
        <v>42</v>
      </c>
      <c r="T216" s="1" t="s">
        <v>51</v>
      </c>
      <c r="U216" s="1">
        <v>111</v>
      </c>
      <c r="V216" s="5">
        <v>44422</v>
      </c>
      <c r="W216" s="5">
        <v>44316</v>
      </c>
      <c r="X216" s="1">
        <v>13810000</v>
      </c>
      <c r="AB216" s="1" t="s">
        <v>44</v>
      </c>
      <c r="AF216" s="1">
        <v>10001</v>
      </c>
      <c r="AJ216" s="1">
        <v>2018</v>
      </c>
      <c r="AK216" s="1" t="s">
        <v>46</v>
      </c>
      <c r="AL216" s="1">
        <v>285</v>
      </c>
    </row>
    <row r="217" spans="1:38" x14ac:dyDescent="0.2">
      <c r="A217" s="2" t="str">
        <f>HYPERLINK("https://www.compass.com/listing/15-hudson-yards-unit-76d-manhattan-ny-10001/729004916111874249/","15 Hudson Yards, Unit 76D")</f>
        <v>15 Hudson Yards, Unit 76D</v>
      </c>
      <c r="B217" s="2" t="str">
        <f t="shared" si="22"/>
        <v>Fifteen Hudson Yards</v>
      </c>
      <c r="C217" s="1" t="s">
        <v>77</v>
      </c>
      <c r="D217" s="1" t="s">
        <v>41</v>
      </c>
      <c r="E217" s="3">
        <v>5635000</v>
      </c>
      <c r="F217" s="1">
        <v>3225.5294791070401</v>
      </c>
      <c r="G217" s="1">
        <v>5</v>
      </c>
      <c r="H217" s="1">
        <v>2</v>
      </c>
      <c r="I217" s="1">
        <v>3</v>
      </c>
      <c r="J217" s="1">
        <v>2.5</v>
      </c>
      <c r="K217" s="1">
        <v>2</v>
      </c>
      <c r="L217" s="1">
        <v>1</v>
      </c>
      <c r="M217" s="4">
        <v>1747</v>
      </c>
      <c r="N217" s="1">
        <v>4352</v>
      </c>
      <c r="O217" s="1">
        <v>4407</v>
      </c>
      <c r="P217" s="1">
        <v>55</v>
      </c>
      <c r="Q217" s="1" t="s">
        <v>42</v>
      </c>
      <c r="S217" s="1" t="s">
        <v>42</v>
      </c>
      <c r="T217" s="1" t="s">
        <v>51</v>
      </c>
      <c r="U217" s="1">
        <v>170</v>
      </c>
      <c r="V217" s="5">
        <v>44415</v>
      </c>
      <c r="W217" s="5">
        <v>44257</v>
      </c>
      <c r="X217" s="1">
        <v>5635000</v>
      </c>
      <c r="AB217" s="1" t="s">
        <v>44</v>
      </c>
      <c r="AF217" s="1">
        <v>10001</v>
      </c>
      <c r="AJ217" s="1">
        <v>2018</v>
      </c>
      <c r="AK217" s="1" t="s">
        <v>46</v>
      </c>
      <c r="AL217" s="1">
        <v>285</v>
      </c>
    </row>
    <row r="218" spans="1:38" x14ac:dyDescent="0.2">
      <c r="A218" s="2" t="str">
        <f>HYPERLINK("https://www.compass.com/listing/695-1st-avenue-unit-34c-manhattan-ny-10016/831542698748640385/","695 1st Ave, Unit 34C")</f>
        <v>695 1st Ave, Unit 34C</v>
      </c>
      <c r="B218" s="2" t="str">
        <f>HYPERLINK("https://www.compass.com/building/one-united-nations-park-manhattan-ny/282058773630059653/","One United Nations Park")</f>
        <v>One United Nations Park</v>
      </c>
      <c r="C218" s="1" t="s">
        <v>59</v>
      </c>
      <c r="D218" s="1" t="s">
        <v>41</v>
      </c>
      <c r="E218" s="3">
        <v>1315000</v>
      </c>
      <c r="F218" s="1">
        <v>1730.2631578947301</v>
      </c>
      <c r="G218" s="1">
        <v>3</v>
      </c>
      <c r="H218" s="1">
        <v>1</v>
      </c>
      <c r="I218" s="1">
        <v>1</v>
      </c>
      <c r="J218" s="1">
        <v>1</v>
      </c>
      <c r="K218" s="1">
        <v>1</v>
      </c>
      <c r="M218" s="1">
        <v>760</v>
      </c>
      <c r="N218" s="1">
        <v>1019</v>
      </c>
      <c r="O218" s="1">
        <v>2229</v>
      </c>
      <c r="P218" s="1">
        <v>1210</v>
      </c>
      <c r="Q218" s="1" t="s">
        <v>42</v>
      </c>
      <c r="S218" s="1" t="s">
        <v>42</v>
      </c>
      <c r="T218" s="1" t="s">
        <v>51</v>
      </c>
      <c r="U218" s="1">
        <v>28</v>
      </c>
      <c r="V218" s="5">
        <v>44415</v>
      </c>
      <c r="W218" s="5">
        <v>44399</v>
      </c>
      <c r="X218" s="1">
        <v>1315000</v>
      </c>
      <c r="AB218" s="1" t="s">
        <v>44</v>
      </c>
      <c r="AF218" s="1">
        <v>10016</v>
      </c>
      <c r="AJ218" s="1">
        <v>2019</v>
      </c>
      <c r="AK218" s="1" t="s">
        <v>46</v>
      </c>
      <c r="AL218" s="1">
        <v>148</v>
      </c>
    </row>
    <row r="219" spans="1:38" x14ac:dyDescent="0.2">
      <c r="A219" s="2" t="str">
        <f>HYPERLINK("https://www.compass.com/listing/15-west-61st-street-unit-22c-manhattan-ny-10023/620307320897247305/","15 W 61st St, Unit 22C")</f>
        <v>15 W 61st St, Unit 22C</v>
      </c>
      <c r="B219" s="2" t="str">
        <f t="shared" ref="B219:B220" si="23">HYPERLINK("https://www.compass.com/building/the-park-loggia-manhattan-ny/292861833130357557/","The Park Loggia")</f>
        <v>The Park Loggia</v>
      </c>
      <c r="C219" s="1" t="s">
        <v>57</v>
      </c>
      <c r="D219" s="1" t="s">
        <v>41</v>
      </c>
      <c r="E219" s="3">
        <v>1900000</v>
      </c>
      <c r="F219" s="1">
        <v>2294.6859903381601</v>
      </c>
      <c r="G219" s="1">
        <v>3</v>
      </c>
      <c r="H219" s="1">
        <v>1</v>
      </c>
      <c r="I219" s="1">
        <v>1</v>
      </c>
      <c r="J219" s="1">
        <v>1</v>
      </c>
      <c r="K219" s="1">
        <v>1</v>
      </c>
      <c r="M219" s="1">
        <v>828</v>
      </c>
      <c r="N219" s="1">
        <v>842</v>
      </c>
      <c r="O219" s="1">
        <v>1688</v>
      </c>
      <c r="P219" s="1">
        <v>846</v>
      </c>
      <c r="Q219" s="1" t="s">
        <v>42</v>
      </c>
      <c r="S219" s="1" t="s">
        <v>42</v>
      </c>
      <c r="T219" s="1" t="s">
        <v>51</v>
      </c>
      <c r="U219" s="1">
        <v>320</v>
      </c>
      <c r="V219" s="5">
        <v>44423</v>
      </c>
      <c r="W219" s="5">
        <v>44107</v>
      </c>
      <c r="X219" s="1">
        <v>1900000</v>
      </c>
      <c r="AB219" s="1" t="s">
        <v>44</v>
      </c>
      <c r="AF219" s="1">
        <v>10023</v>
      </c>
      <c r="AI219" s="1" t="s">
        <v>65</v>
      </c>
      <c r="AJ219" s="1">
        <v>2019</v>
      </c>
      <c r="AK219" s="1" t="s">
        <v>108</v>
      </c>
      <c r="AL219" s="1">
        <v>172</v>
      </c>
    </row>
    <row r="220" spans="1:38" x14ac:dyDescent="0.2">
      <c r="A220" s="2" t="str">
        <f>HYPERLINK("https://www.compass.com/listing/15-west-61st-street-unit-4n-manhattan-ny-10023/620321427597504849/","15 W 61st St, Unit 4N")</f>
        <v>15 W 61st St, Unit 4N</v>
      </c>
      <c r="B220" s="2" t="str">
        <f t="shared" si="23"/>
        <v>The Park Loggia</v>
      </c>
      <c r="C220" s="1" t="s">
        <v>57</v>
      </c>
      <c r="D220" s="1" t="s">
        <v>41</v>
      </c>
      <c r="E220" s="3">
        <v>2220000</v>
      </c>
      <c r="F220" s="1">
        <v>2206.7594433399599</v>
      </c>
      <c r="G220" s="1">
        <v>3.5</v>
      </c>
      <c r="H220" s="1">
        <v>1</v>
      </c>
      <c r="I220" s="1">
        <v>2</v>
      </c>
      <c r="J220" s="1">
        <v>1.5</v>
      </c>
      <c r="K220" s="1">
        <v>1</v>
      </c>
      <c r="L220" s="1">
        <v>1</v>
      </c>
      <c r="M220" s="4">
        <v>1006</v>
      </c>
      <c r="N220" s="1">
        <v>1022</v>
      </c>
      <c r="O220" s="1">
        <v>2050</v>
      </c>
      <c r="P220" s="1">
        <v>1028</v>
      </c>
      <c r="Q220" s="1" t="s">
        <v>42</v>
      </c>
      <c r="S220" s="1" t="s">
        <v>42</v>
      </c>
      <c r="T220" s="1" t="s">
        <v>51</v>
      </c>
      <c r="U220" s="1">
        <v>320</v>
      </c>
      <c r="V220" s="5">
        <v>44413</v>
      </c>
      <c r="W220" s="5">
        <v>44107</v>
      </c>
      <c r="X220" s="1">
        <v>2220000</v>
      </c>
      <c r="AB220" s="1" t="s">
        <v>44</v>
      </c>
      <c r="AF220" s="1">
        <v>10023</v>
      </c>
      <c r="AI220" s="1" t="s">
        <v>65</v>
      </c>
      <c r="AJ220" s="1">
        <v>2019</v>
      </c>
      <c r="AK220" s="1" t="s">
        <v>108</v>
      </c>
      <c r="AL220" s="1">
        <v>172</v>
      </c>
    </row>
    <row r="221" spans="1:38" x14ac:dyDescent="0.2">
      <c r="A221" s="2" t="str">
        <f>HYPERLINK("https://www.compass.com/listing/200-east-94th-street-unit-2015-manhattan-ny-10128/759443901660373641/","200 E 94th St, Unit 2015")</f>
        <v>200 E 94th St, Unit 2015</v>
      </c>
      <c r="B221" s="2" t="str">
        <f>HYPERLINK("https://www.compass.com/building/carnegie-park-condominium-manhattan-ny/282049797358118613/","Carnegie Park Condominium")</f>
        <v>Carnegie Park Condominium</v>
      </c>
      <c r="C221" s="1" t="s">
        <v>82</v>
      </c>
      <c r="D221" s="1" t="s">
        <v>41</v>
      </c>
      <c r="E221" s="3">
        <v>1775000</v>
      </c>
      <c r="F221" s="1">
        <v>1649.6282527881001</v>
      </c>
      <c r="G221" s="1">
        <v>4</v>
      </c>
      <c r="H221" s="1">
        <v>2</v>
      </c>
      <c r="I221" s="1">
        <v>2</v>
      </c>
      <c r="J221" s="1">
        <v>2</v>
      </c>
      <c r="K221" s="1">
        <v>2</v>
      </c>
      <c r="M221" s="4">
        <v>1076</v>
      </c>
      <c r="N221" s="1">
        <v>1273</v>
      </c>
      <c r="O221" s="1">
        <v>2610</v>
      </c>
      <c r="P221" s="1">
        <v>1337</v>
      </c>
      <c r="Q221" s="1" t="s">
        <v>42</v>
      </c>
      <c r="S221" s="1" t="s">
        <v>42</v>
      </c>
      <c r="T221" s="1" t="s">
        <v>51</v>
      </c>
      <c r="U221" s="1">
        <v>128</v>
      </c>
      <c r="V221" s="5">
        <v>44415</v>
      </c>
      <c r="W221" s="5">
        <v>44299</v>
      </c>
      <c r="X221" s="1">
        <v>1775000</v>
      </c>
      <c r="AB221" s="1" t="s">
        <v>44</v>
      </c>
      <c r="AF221" s="1">
        <v>10128</v>
      </c>
      <c r="AI221" s="1" t="s">
        <v>185</v>
      </c>
      <c r="AJ221" s="1">
        <v>1986</v>
      </c>
      <c r="AK221" s="1" t="s">
        <v>108</v>
      </c>
      <c r="AL221" s="1">
        <v>287</v>
      </c>
    </row>
    <row r="222" spans="1:38" x14ac:dyDescent="0.2">
      <c r="A222" s="2" t="str">
        <f>HYPERLINK("https://www.compass.com/listing/300-east-64th-street-unit-10c-manhattan-ny-10065/807215546299741705/","300 E 64th St, Unit 10C")</f>
        <v>300 E 64th St, Unit 10C</v>
      </c>
      <c r="B222" s="2" t="str">
        <f>HYPERLINK("https://www.compass.com/building/300-e-64th-st-manhattan-ny-10065/282038617012979925/","300 E 64th St")</f>
        <v>300 E 64th St</v>
      </c>
      <c r="C222" s="1" t="s">
        <v>82</v>
      </c>
      <c r="D222" s="1" t="s">
        <v>41</v>
      </c>
      <c r="E222" s="3">
        <v>1450000</v>
      </c>
      <c r="F222" s="1">
        <v>1485.6557377049101</v>
      </c>
      <c r="G222" s="1">
        <v>4</v>
      </c>
      <c r="H222" s="1">
        <v>1</v>
      </c>
      <c r="I222" s="1">
        <v>2</v>
      </c>
      <c r="J222" s="1">
        <v>2</v>
      </c>
      <c r="K222" s="1">
        <v>2</v>
      </c>
      <c r="M222" s="1">
        <v>976</v>
      </c>
      <c r="N222" s="1">
        <v>1194</v>
      </c>
      <c r="O222" s="1">
        <v>2655</v>
      </c>
      <c r="P222" s="1">
        <v>1461</v>
      </c>
      <c r="Q222" s="1" t="s">
        <v>42</v>
      </c>
      <c r="S222" s="1" t="s">
        <v>42</v>
      </c>
      <c r="T222" s="1" t="s">
        <v>51</v>
      </c>
      <c r="U222" s="1">
        <v>56</v>
      </c>
      <c r="V222" s="5">
        <v>44427</v>
      </c>
      <c r="W222" s="5">
        <v>44371</v>
      </c>
      <c r="X222" s="1">
        <v>1450000</v>
      </c>
      <c r="AB222" s="1" t="s">
        <v>44</v>
      </c>
      <c r="AF222" s="1">
        <v>10065</v>
      </c>
      <c r="AI222" s="1" t="s">
        <v>189</v>
      </c>
      <c r="AJ222" s="1">
        <v>1996</v>
      </c>
      <c r="AK222" s="1" t="s">
        <v>121</v>
      </c>
      <c r="AL222" s="1">
        <v>103</v>
      </c>
    </row>
    <row r="223" spans="1:38" x14ac:dyDescent="0.2">
      <c r="A223" s="2" t="str">
        <f>HYPERLINK("https://www.compass.com/listing/15-west-61st-street-unit-12e-manhattan-ny-10023/620306893092737089/","15 W 61st St, Unit 12E")</f>
        <v>15 W 61st St, Unit 12E</v>
      </c>
      <c r="B223" s="2" t="str">
        <f>HYPERLINK("https://www.compass.com/building/the-park-loggia-manhattan-ny/292861833130357557/","The Park Loggia")</f>
        <v>The Park Loggia</v>
      </c>
      <c r="C223" s="1" t="s">
        <v>57</v>
      </c>
      <c r="D223" s="1" t="s">
        <v>41</v>
      </c>
      <c r="E223" s="3">
        <v>1925000</v>
      </c>
      <c r="F223" s="1">
        <v>2477.4774774774701</v>
      </c>
      <c r="G223" s="1">
        <v>3</v>
      </c>
      <c r="H223" s="1">
        <v>1</v>
      </c>
      <c r="I223" s="1">
        <v>1</v>
      </c>
      <c r="J223" s="1">
        <v>1</v>
      </c>
      <c r="K223" s="1">
        <v>1</v>
      </c>
      <c r="M223" s="1">
        <v>777</v>
      </c>
      <c r="N223" s="1">
        <v>790</v>
      </c>
      <c r="O223" s="1">
        <v>1584</v>
      </c>
      <c r="P223" s="1">
        <v>794</v>
      </c>
      <c r="Q223" s="1" t="s">
        <v>42</v>
      </c>
      <c r="S223" s="1" t="s">
        <v>42</v>
      </c>
      <c r="T223" s="1" t="s">
        <v>51</v>
      </c>
      <c r="U223" s="1">
        <v>320</v>
      </c>
      <c r="V223" s="5">
        <v>44423</v>
      </c>
      <c r="W223" s="5">
        <v>44107</v>
      </c>
      <c r="X223" s="1">
        <v>1925000</v>
      </c>
      <c r="AB223" s="1" t="s">
        <v>44</v>
      </c>
      <c r="AF223" s="1">
        <v>10023</v>
      </c>
      <c r="AI223" s="1" t="s">
        <v>65</v>
      </c>
      <c r="AJ223" s="1">
        <v>2019</v>
      </c>
      <c r="AK223" s="1" t="s">
        <v>108</v>
      </c>
      <c r="AL223" s="1">
        <v>172</v>
      </c>
    </row>
    <row r="224" spans="1:38" x14ac:dyDescent="0.2">
      <c r="A224" s="2" t="str">
        <f>HYPERLINK("https://www.compass.com/listing/90-lexington-avenue-unit-6c-manhattan-ny-10016/29508777363421025/","90 Lexington Ave, Unit 6C")</f>
        <v>90 Lexington Ave, Unit 6C</v>
      </c>
      <c r="B224" s="2" t="str">
        <f>HYPERLINK("https://www.compass.com/building/88-90-lexington-avenue-manhattan-ny/281941431524842901/","88 &amp; 90 Lexington Avenue")</f>
        <v>88 &amp; 90 Lexington Avenue</v>
      </c>
      <c r="C224" s="1" t="s">
        <v>40</v>
      </c>
      <c r="D224" s="1" t="s">
        <v>41</v>
      </c>
      <c r="E224" s="3">
        <v>4225000</v>
      </c>
      <c r="F224" s="1">
        <v>2086.4197530864199</v>
      </c>
      <c r="G224" s="1">
        <v>6</v>
      </c>
      <c r="H224" s="1">
        <v>3</v>
      </c>
      <c r="I224" s="1">
        <v>1</v>
      </c>
      <c r="J224" s="1">
        <v>1</v>
      </c>
      <c r="K224" s="1">
        <v>1</v>
      </c>
      <c r="M224" s="4">
        <v>2025</v>
      </c>
      <c r="N224" s="1">
        <v>2275</v>
      </c>
      <c r="O224" s="1">
        <v>6440</v>
      </c>
      <c r="P224" s="1">
        <v>4165</v>
      </c>
      <c r="Q224" s="1" t="s">
        <v>42</v>
      </c>
      <c r="S224" s="1" t="s">
        <v>42</v>
      </c>
      <c r="T224" s="1" t="s">
        <v>51</v>
      </c>
      <c r="U224" s="1">
        <v>1313</v>
      </c>
      <c r="V224" s="5">
        <v>44421</v>
      </c>
      <c r="W224" s="5">
        <v>42977</v>
      </c>
      <c r="X224" s="1">
        <v>4504000</v>
      </c>
      <c r="AB224" s="1" t="s">
        <v>44</v>
      </c>
      <c r="AF224" s="1">
        <v>10016</v>
      </c>
      <c r="AI224" s="1" t="s">
        <v>111</v>
      </c>
      <c r="AJ224" s="1">
        <v>1957</v>
      </c>
      <c r="AK224" s="1" t="s">
        <v>46</v>
      </c>
      <c r="AL224" s="1">
        <v>49</v>
      </c>
    </row>
    <row r="225" spans="1:38" x14ac:dyDescent="0.2">
      <c r="A225" s="2" t="str">
        <f>HYPERLINK("https://www.compass.com/listing/200-east-94th-street-unit-817-manhattan-ny-10128/465143441572404441/","200 E 94th St, Unit 817")</f>
        <v>200 E 94th St, Unit 817</v>
      </c>
      <c r="B225" s="2" t="str">
        <f>HYPERLINK("https://www.compass.com/building/carnegie-park-condominium-manhattan-ny/282049797358118613/","Carnegie Park Condominium")</f>
        <v>Carnegie Park Condominium</v>
      </c>
      <c r="C225" s="1" t="s">
        <v>82</v>
      </c>
      <c r="D225" s="1" t="s">
        <v>41</v>
      </c>
      <c r="E225" s="3">
        <v>2095000</v>
      </c>
      <c r="F225" s="1">
        <v>2006.7049808429099</v>
      </c>
      <c r="G225" s="1">
        <v>4</v>
      </c>
      <c r="H225" s="1">
        <v>2</v>
      </c>
      <c r="I225" s="1">
        <v>2</v>
      </c>
      <c r="J225" s="1">
        <v>2</v>
      </c>
      <c r="K225" s="1">
        <v>2</v>
      </c>
      <c r="M225" s="4">
        <v>1044</v>
      </c>
      <c r="N225" s="1">
        <v>1361</v>
      </c>
      <c r="O225" s="1">
        <v>2789</v>
      </c>
      <c r="P225" s="1">
        <v>1428</v>
      </c>
      <c r="Q225" s="1" t="s">
        <v>42</v>
      </c>
      <c r="S225" s="1" t="s">
        <v>42</v>
      </c>
      <c r="T225" s="1" t="s">
        <v>51</v>
      </c>
      <c r="U225" s="1">
        <v>440</v>
      </c>
      <c r="V225" s="5">
        <v>44419</v>
      </c>
      <c r="W225" s="5">
        <v>43893</v>
      </c>
      <c r="X225" s="1">
        <v>2295000</v>
      </c>
      <c r="AB225" s="1" t="s">
        <v>44</v>
      </c>
      <c r="AF225" s="1">
        <v>10128</v>
      </c>
      <c r="AI225" s="1" t="s">
        <v>188</v>
      </c>
      <c r="AJ225" s="1">
        <v>1986</v>
      </c>
      <c r="AK225" s="1" t="s">
        <v>108</v>
      </c>
      <c r="AL225" s="1">
        <v>287</v>
      </c>
    </row>
    <row r="226" spans="1:38" x14ac:dyDescent="0.2">
      <c r="A226" s="2" t="str">
        <f>HYPERLINK("https://www.compass.com/listing/88-lexington-avenue-unit-1704-manhattan-ny-10016/557092698803463673/","88 Lexington Ave, Unit 1704")</f>
        <v>88 Lexington Ave, Unit 1704</v>
      </c>
      <c r="B226" s="2" t="str">
        <f t="shared" ref="B226:B227" si="24">HYPERLINK("https://www.compass.com/building/88-90-lexington-avenue-manhattan-ny/281903945159296309/","88 &amp; 90 Lexington Avenue")</f>
        <v>88 &amp; 90 Lexington Avenue</v>
      </c>
      <c r="C226" s="1" t="s">
        <v>40</v>
      </c>
      <c r="D226" s="1" t="s">
        <v>41</v>
      </c>
      <c r="E226" s="3">
        <v>1200000</v>
      </c>
      <c r="F226" s="1">
        <v>2094.2408376963299</v>
      </c>
      <c r="G226" s="1">
        <v>1.5</v>
      </c>
      <c r="H226" s="1" t="s">
        <v>153</v>
      </c>
      <c r="I226" s="1">
        <v>1</v>
      </c>
      <c r="J226" s="1">
        <v>1</v>
      </c>
      <c r="K226" s="1">
        <v>1</v>
      </c>
      <c r="M226" s="1">
        <v>573</v>
      </c>
      <c r="N226" s="1">
        <v>614</v>
      </c>
      <c r="O226" s="1">
        <v>1789</v>
      </c>
      <c r="P226" s="1">
        <v>1175</v>
      </c>
      <c r="Q226" s="1" t="s">
        <v>42</v>
      </c>
      <c r="S226" s="1" t="s">
        <v>42</v>
      </c>
      <c r="T226" s="1" t="s">
        <v>51</v>
      </c>
      <c r="U226" s="1">
        <v>407</v>
      </c>
      <c r="V226" s="5">
        <v>44426</v>
      </c>
      <c r="W226" s="5">
        <v>44020</v>
      </c>
      <c r="X226" s="1">
        <v>1200000</v>
      </c>
      <c r="AB226" s="1" t="s">
        <v>44</v>
      </c>
      <c r="AF226" s="1">
        <v>10016</v>
      </c>
      <c r="AI226" s="1" t="s">
        <v>111</v>
      </c>
      <c r="AJ226" s="1">
        <v>1927</v>
      </c>
      <c r="AK226" s="1" t="s">
        <v>46</v>
      </c>
      <c r="AL226" s="1">
        <v>70</v>
      </c>
    </row>
    <row r="227" spans="1:38" x14ac:dyDescent="0.2">
      <c r="A227" s="2" t="str">
        <f>HYPERLINK("https://www.compass.com/listing/88-lexington-avenue-unit-1501-manhattan-ny-10016/746258114378208065/","88 Lexington Ave, Unit 1501")</f>
        <v>88 Lexington Ave, Unit 1501</v>
      </c>
      <c r="B227" s="2" t="str">
        <f t="shared" si="24"/>
        <v>88 &amp; 90 Lexington Avenue</v>
      </c>
      <c r="C227" s="1" t="s">
        <v>40</v>
      </c>
      <c r="D227" s="1" t="s">
        <v>41</v>
      </c>
      <c r="E227" s="3">
        <v>2350000</v>
      </c>
      <c r="F227" s="1">
        <v>2283.7706511175802</v>
      </c>
      <c r="G227" s="1">
        <v>2.5</v>
      </c>
      <c r="H227" s="1">
        <v>1</v>
      </c>
      <c r="I227" s="1">
        <v>2</v>
      </c>
      <c r="J227" s="1">
        <v>1.5</v>
      </c>
      <c r="K227" s="1">
        <v>1</v>
      </c>
      <c r="L227" s="1">
        <v>1</v>
      </c>
      <c r="M227" s="4">
        <v>1029</v>
      </c>
      <c r="N227" s="1">
        <v>1034</v>
      </c>
      <c r="O227" s="1">
        <v>3086</v>
      </c>
      <c r="P227" s="1">
        <v>2052</v>
      </c>
      <c r="Q227" s="1" t="s">
        <v>42</v>
      </c>
      <c r="S227" s="1" t="s">
        <v>42</v>
      </c>
      <c r="T227" s="1" t="s">
        <v>51</v>
      </c>
      <c r="U227" s="1">
        <v>146</v>
      </c>
      <c r="V227" s="5">
        <v>44415</v>
      </c>
      <c r="W227" s="5">
        <v>44281</v>
      </c>
      <c r="X227" s="1">
        <v>2350000</v>
      </c>
      <c r="AB227" s="1" t="s">
        <v>44</v>
      </c>
      <c r="AF227" s="1">
        <v>10016</v>
      </c>
      <c r="AI227" s="1" t="s">
        <v>114</v>
      </c>
      <c r="AJ227" s="1">
        <v>1927</v>
      </c>
      <c r="AK227" s="1" t="s">
        <v>46</v>
      </c>
      <c r="AL227" s="1">
        <v>70</v>
      </c>
    </row>
    <row r="228" spans="1:38" x14ac:dyDescent="0.2">
      <c r="A228" s="2" t="str">
        <f>HYPERLINK("https://www.compass.com/listing/90-lexington-avenue-unit-4c-manhattan-ny-10016/779019167252097417/","90 Lexington Ave, Unit 4C")</f>
        <v>90 Lexington Ave, Unit 4C</v>
      </c>
      <c r="B228" s="2" t="str">
        <f t="shared" ref="B228:B229" si="25">HYPERLINK("https://www.compass.com/building/88-90-lexington-avenue-manhattan-ny/281941431524842901/","88 &amp; 90 Lexington Avenue")</f>
        <v>88 &amp; 90 Lexington Avenue</v>
      </c>
      <c r="C228" s="1" t="s">
        <v>40</v>
      </c>
      <c r="D228" s="1" t="s">
        <v>41</v>
      </c>
      <c r="E228" s="3">
        <v>3995000</v>
      </c>
      <c r="F228" s="1">
        <v>1972.8395061728299</v>
      </c>
      <c r="G228" s="1">
        <v>5</v>
      </c>
      <c r="H228" s="1">
        <v>3</v>
      </c>
      <c r="I228" s="1">
        <v>4</v>
      </c>
      <c r="J228" s="1">
        <v>4</v>
      </c>
      <c r="K228" s="1">
        <v>4</v>
      </c>
      <c r="M228" s="4">
        <v>2025</v>
      </c>
      <c r="N228" s="1">
        <v>2253</v>
      </c>
      <c r="O228" s="1">
        <v>6377</v>
      </c>
      <c r="P228" s="1">
        <v>4124</v>
      </c>
      <c r="Q228" s="1" t="s">
        <v>42</v>
      </c>
      <c r="S228" s="1" t="s">
        <v>42</v>
      </c>
      <c r="T228" s="1" t="s">
        <v>51</v>
      </c>
      <c r="U228" s="1">
        <v>101</v>
      </c>
      <c r="V228" s="5">
        <v>44424</v>
      </c>
      <c r="W228" s="5">
        <v>44326</v>
      </c>
      <c r="X228" s="1">
        <v>3995000</v>
      </c>
      <c r="AB228" s="1" t="s">
        <v>44</v>
      </c>
      <c r="AF228" s="1">
        <v>10016</v>
      </c>
      <c r="AI228" s="1" t="s">
        <v>111</v>
      </c>
      <c r="AJ228" s="1">
        <v>1957</v>
      </c>
      <c r="AK228" s="1" t="s">
        <v>46</v>
      </c>
      <c r="AL228" s="1">
        <v>49</v>
      </c>
    </row>
    <row r="229" spans="1:38" x14ac:dyDescent="0.2">
      <c r="A229" s="2" t="str">
        <f>HYPERLINK("https://www.compass.com/listing/90-lexington-avenue-unit-11c-manhattan-ny-10016/776883593392478985/","90 Lexington Ave, Unit 11C")</f>
        <v>90 Lexington Ave, Unit 11C</v>
      </c>
      <c r="B229" s="2" t="str">
        <f t="shared" si="25"/>
        <v>88 &amp; 90 Lexington Avenue</v>
      </c>
      <c r="C229" s="1" t="s">
        <v>40</v>
      </c>
      <c r="D229" s="1" t="s">
        <v>41</v>
      </c>
      <c r="E229" s="3">
        <v>3750000</v>
      </c>
      <c r="F229" s="1">
        <v>2444.58930899608</v>
      </c>
      <c r="G229" s="1">
        <v>4.5</v>
      </c>
      <c r="H229" s="1">
        <v>2</v>
      </c>
      <c r="I229" s="1">
        <v>3</v>
      </c>
      <c r="J229" s="1">
        <v>2.5</v>
      </c>
      <c r="K229" s="1">
        <v>2</v>
      </c>
      <c r="L229" s="1">
        <v>1</v>
      </c>
      <c r="M229" s="4">
        <v>1534</v>
      </c>
      <c r="N229" s="1">
        <v>1805</v>
      </c>
      <c r="O229" s="1">
        <v>5110</v>
      </c>
      <c r="P229" s="1">
        <v>3305</v>
      </c>
      <c r="Q229" s="1" t="s">
        <v>42</v>
      </c>
      <c r="S229" s="1" t="s">
        <v>42</v>
      </c>
      <c r="T229" s="1" t="s">
        <v>51</v>
      </c>
      <c r="U229" s="1">
        <v>104</v>
      </c>
      <c r="V229" s="5">
        <v>44424</v>
      </c>
      <c r="W229" s="5">
        <v>44323</v>
      </c>
      <c r="X229" s="1">
        <v>3750000</v>
      </c>
      <c r="AB229" s="1" t="s">
        <v>44</v>
      </c>
      <c r="AF229" s="1">
        <v>10016</v>
      </c>
      <c r="AI229" s="1" t="s">
        <v>192</v>
      </c>
      <c r="AJ229" s="1">
        <v>1957</v>
      </c>
      <c r="AK229" s="1" t="s">
        <v>46</v>
      </c>
      <c r="AL229" s="1">
        <v>49</v>
      </c>
    </row>
    <row r="230" spans="1:38" x14ac:dyDescent="0.2">
      <c r="A230" s="2" t="str">
        <f>HYPERLINK("https://www.compass.com/listing/695-1st-avenue-unit-36f-manhattan-ny-10016/831158609252312697/","695 1st Ave, Unit 36F")</f>
        <v>695 1st Ave, Unit 36F</v>
      </c>
      <c r="B230" s="2" t="str">
        <f>HYPERLINK("https://www.compass.com/building/one-united-nations-park-manhattan-ny/282058773630059653/","One United Nations Park")</f>
        <v>One United Nations Park</v>
      </c>
      <c r="C230" s="1" t="s">
        <v>59</v>
      </c>
      <c r="D230" s="1" t="s">
        <v>41</v>
      </c>
      <c r="E230" s="3">
        <v>2715000</v>
      </c>
      <c r="F230" s="1">
        <v>1655.4878048780399</v>
      </c>
      <c r="G230" s="1">
        <v>4</v>
      </c>
      <c r="H230" s="1">
        <v>2</v>
      </c>
      <c r="I230" s="1">
        <v>3</v>
      </c>
      <c r="J230" s="1">
        <v>3</v>
      </c>
      <c r="K230" s="1">
        <v>3</v>
      </c>
      <c r="M230" s="4">
        <v>1640</v>
      </c>
      <c r="N230" s="1">
        <v>2198</v>
      </c>
      <c r="O230" s="1">
        <v>4809</v>
      </c>
      <c r="P230" s="1">
        <v>2611</v>
      </c>
      <c r="Q230" s="1" t="s">
        <v>42</v>
      </c>
      <c r="S230" s="1" t="s">
        <v>42</v>
      </c>
      <c r="T230" s="1" t="s">
        <v>51</v>
      </c>
      <c r="U230" s="1">
        <v>28</v>
      </c>
      <c r="V230" s="5">
        <v>44420</v>
      </c>
      <c r="W230" s="5">
        <v>44399</v>
      </c>
      <c r="X230" s="1">
        <v>2715000</v>
      </c>
      <c r="AB230" s="1" t="s">
        <v>44</v>
      </c>
      <c r="AF230" s="1">
        <v>10016</v>
      </c>
      <c r="AJ230" s="1">
        <v>2019</v>
      </c>
      <c r="AK230" s="1" t="s">
        <v>46</v>
      </c>
      <c r="AL230" s="1">
        <v>148</v>
      </c>
    </row>
    <row r="231" spans="1:38" x14ac:dyDescent="0.2">
      <c r="A231" s="2" t="str">
        <f>HYPERLINK("https://www.compass.com/listing/88-lexington-avenue-unit-1602-manhattan-ny-10016/800704964421817145/","88 Lexington Ave, Unit 1602")</f>
        <v>88 Lexington Ave, Unit 1602</v>
      </c>
      <c r="B231" s="2" t="str">
        <f>HYPERLINK("https://www.compass.com/building/88-90-lexington-avenue-manhattan-ny/281903945159296309/","88 &amp; 90 Lexington Avenue")</f>
        <v>88 &amp; 90 Lexington Avenue</v>
      </c>
      <c r="C231" s="1" t="s">
        <v>40</v>
      </c>
      <c r="D231" s="1" t="s">
        <v>41</v>
      </c>
      <c r="E231" s="3">
        <v>3250000</v>
      </c>
      <c r="F231" s="1">
        <v>2275.91036414565</v>
      </c>
      <c r="G231" s="1">
        <v>3</v>
      </c>
      <c r="H231" s="1">
        <v>2</v>
      </c>
      <c r="I231" s="1">
        <v>2</v>
      </c>
      <c r="J231" s="1">
        <v>2</v>
      </c>
      <c r="K231" s="1">
        <v>2</v>
      </c>
      <c r="M231" s="4">
        <v>1428</v>
      </c>
      <c r="N231" s="1">
        <v>1441</v>
      </c>
      <c r="O231" s="1">
        <v>4302</v>
      </c>
      <c r="P231" s="1">
        <v>2861</v>
      </c>
      <c r="Q231" s="1" t="s">
        <v>42</v>
      </c>
      <c r="S231" s="1" t="s">
        <v>42</v>
      </c>
      <c r="T231" s="1" t="s">
        <v>51</v>
      </c>
      <c r="U231" s="1">
        <v>146</v>
      </c>
      <c r="V231" s="5">
        <v>44415</v>
      </c>
      <c r="W231" s="5">
        <v>44281</v>
      </c>
      <c r="X231" s="1">
        <v>3250000</v>
      </c>
      <c r="AB231" s="1" t="s">
        <v>44</v>
      </c>
      <c r="AF231" s="1">
        <v>10016</v>
      </c>
      <c r="AI231" s="1" t="s">
        <v>114</v>
      </c>
      <c r="AJ231" s="1">
        <v>1927</v>
      </c>
      <c r="AK231" s="1" t="s">
        <v>46</v>
      </c>
      <c r="AL231" s="1">
        <v>70</v>
      </c>
    </row>
    <row r="232" spans="1:38" x14ac:dyDescent="0.2">
      <c r="A232" s="2" t="str">
        <f>HYPERLINK("https://www.compass.com/listing/90-lexington-avenue-unit-10f-manhattan-ny-10016/489662421687618273/","90 Lexington Ave, Unit 10F")</f>
        <v>90 Lexington Ave, Unit 10F</v>
      </c>
      <c r="B232" s="2" t="str">
        <f>HYPERLINK("https://www.compass.com/building/88-90-lexington-avenue-manhattan-ny/281941431524842901/","88 &amp; 90 Lexington Avenue")</f>
        <v>88 &amp; 90 Lexington Avenue</v>
      </c>
      <c r="C232" s="1" t="s">
        <v>40</v>
      </c>
      <c r="D232" s="1" t="s">
        <v>41</v>
      </c>
      <c r="E232" s="3">
        <v>1550000</v>
      </c>
      <c r="F232" s="1">
        <v>1439.18291550603</v>
      </c>
      <c r="G232" s="1">
        <v>3.5</v>
      </c>
      <c r="H232" s="1">
        <v>1</v>
      </c>
      <c r="I232" s="1">
        <v>2</v>
      </c>
      <c r="J232" s="1">
        <v>1.5</v>
      </c>
      <c r="K232" s="1">
        <v>1</v>
      </c>
      <c r="L232" s="1">
        <v>1</v>
      </c>
      <c r="M232" s="4">
        <v>1077</v>
      </c>
      <c r="N232" s="1">
        <v>1254</v>
      </c>
      <c r="O232" s="1">
        <v>3019</v>
      </c>
      <c r="P232" s="1">
        <v>1765</v>
      </c>
      <c r="Q232" s="1" t="s">
        <v>42</v>
      </c>
      <c r="S232" s="1" t="s">
        <v>42</v>
      </c>
      <c r="T232" s="1" t="s">
        <v>51</v>
      </c>
      <c r="U232" s="1">
        <v>423</v>
      </c>
      <c r="V232" s="5">
        <v>44427</v>
      </c>
      <c r="W232" s="5">
        <v>43957</v>
      </c>
      <c r="X232" s="1">
        <v>1695000</v>
      </c>
      <c r="AB232" s="1" t="s">
        <v>44</v>
      </c>
      <c r="AF232" s="1">
        <v>10016</v>
      </c>
      <c r="AI232" s="1" t="s">
        <v>193</v>
      </c>
      <c r="AJ232" s="1">
        <v>1957</v>
      </c>
      <c r="AK232" s="1" t="s">
        <v>46</v>
      </c>
      <c r="AL232" s="1">
        <v>49</v>
      </c>
    </row>
    <row r="233" spans="1:38" x14ac:dyDescent="0.2">
      <c r="A233" s="2" t="str">
        <f>HYPERLINK("https://www.compass.com/listing/301-east-80th-street-unit-19b-manhattan-ny-10075/784133787263410721/","301 E 80th St, Unit 19B")</f>
        <v>301 E 80th St, Unit 19B</v>
      </c>
      <c r="B233" s="2" t="str">
        <f>HYPERLINK("https://www.compass.com/building/beckford-tower-manhattan-ny/293529721147268613/","Beckford Tower")</f>
        <v>Beckford Tower</v>
      </c>
      <c r="C233" s="1" t="s">
        <v>82</v>
      </c>
      <c r="D233" s="1" t="s">
        <v>41</v>
      </c>
      <c r="E233" s="3">
        <v>9700000</v>
      </c>
      <c r="F233" s="1">
        <v>2813.2250580046398</v>
      </c>
      <c r="G233" s="1">
        <v>7</v>
      </c>
      <c r="H233" s="1">
        <v>4</v>
      </c>
      <c r="I233" s="1">
        <v>4</v>
      </c>
      <c r="J233" s="1">
        <v>4</v>
      </c>
      <c r="K233" s="1">
        <v>4</v>
      </c>
      <c r="M233" s="4">
        <v>3448</v>
      </c>
      <c r="N233" s="1">
        <v>4507</v>
      </c>
      <c r="O233" s="1">
        <v>9655</v>
      </c>
      <c r="P233" s="1">
        <v>5148</v>
      </c>
      <c r="Q233" s="1" t="s">
        <v>42</v>
      </c>
      <c r="S233" s="1" t="s">
        <v>42</v>
      </c>
      <c r="T233" s="1" t="s">
        <v>51</v>
      </c>
      <c r="U233" s="1">
        <v>94</v>
      </c>
      <c r="V233" s="5">
        <v>44427</v>
      </c>
      <c r="W233" s="5">
        <v>44333</v>
      </c>
      <c r="X233" s="1">
        <v>9700000</v>
      </c>
      <c r="AB233" s="1" t="s">
        <v>44</v>
      </c>
      <c r="AF233" s="1">
        <v>10075</v>
      </c>
      <c r="AI233" s="1" t="s">
        <v>182</v>
      </c>
      <c r="AJ233" s="1">
        <v>2019</v>
      </c>
      <c r="AK233" s="1" t="s">
        <v>49</v>
      </c>
      <c r="AL233" s="1">
        <v>72</v>
      </c>
    </row>
    <row r="234" spans="1:38" x14ac:dyDescent="0.2">
      <c r="A234" s="2" t="str">
        <f>HYPERLINK("https://www.compass.com/listing/180-east-88th-street-unit-28b-manhattan-ny-10128/776882588885896009/","180 E 88th St, Unit 28B")</f>
        <v>180 E 88th St, Unit 28B</v>
      </c>
      <c r="B234" s="2" t="str">
        <f>HYPERLINK("https://www.compass.com/building/180-e-88th-st-manhattan-ny-10128/282058835781256373/","180 E 88th St")</f>
        <v>180 E 88th St</v>
      </c>
      <c r="C234" s="1" t="s">
        <v>82</v>
      </c>
      <c r="D234" s="1" t="s">
        <v>41</v>
      </c>
      <c r="E234" s="3">
        <v>7250000</v>
      </c>
      <c r="F234" s="1">
        <v>3036.0134003349999</v>
      </c>
      <c r="G234" s="1">
        <v>7</v>
      </c>
      <c r="H234" s="1">
        <v>4</v>
      </c>
      <c r="I234" s="1">
        <v>4</v>
      </c>
      <c r="J234" s="1">
        <v>3.5</v>
      </c>
      <c r="K234" s="1">
        <v>3</v>
      </c>
      <c r="L234" s="1">
        <v>1</v>
      </c>
      <c r="M234" s="4">
        <v>2388</v>
      </c>
      <c r="N234" s="1">
        <v>3858</v>
      </c>
      <c r="O234" s="1">
        <v>7440</v>
      </c>
      <c r="P234" s="1">
        <v>3582</v>
      </c>
      <c r="Q234" s="1" t="s">
        <v>42</v>
      </c>
      <c r="S234" s="1" t="s">
        <v>42</v>
      </c>
      <c r="T234" s="1" t="s">
        <v>51</v>
      </c>
      <c r="U234" s="1">
        <v>104</v>
      </c>
      <c r="V234" s="5">
        <v>44418</v>
      </c>
      <c r="W234" s="5">
        <v>44323</v>
      </c>
      <c r="X234" s="1">
        <v>7250000</v>
      </c>
      <c r="AB234" s="1" t="s">
        <v>44</v>
      </c>
      <c r="AF234" s="1">
        <v>10128</v>
      </c>
      <c r="AJ234" s="1">
        <v>2019</v>
      </c>
      <c r="AK234" s="1" t="s">
        <v>49</v>
      </c>
      <c r="AL234" s="1">
        <v>48</v>
      </c>
    </row>
    <row r="235" spans="1:38" x14ac:dyDescent="0.2">
      <c r="A235" s="2" t="str">
        <f>HYPERLINK("https://www.compass.com/listing/301-east-80th-street-unit-ph30-manhattan-ny-10075/780507266096710457/","301 E 80th St, Unit PH30")</f>
        <v>301 E 80th St, Unit PH30</v>
      </c>
      <c r="B235" s="2" t="str">
        <f>HYPERLINK("https://www.compass.com/building/beckford-tower-manhattan-ny/293529721147268613/","Beckford Tower")</f>
        <v>Beckford Tower</v>
      </c>
      <c r="C235" s="1" t="s">
        <v>82</v>
      </c>
      <c r="D235" s="1" t="s">
        <v>41</v>
      </c>
      <c r="E235" s="3">
        <v>30000000</v>
      </c>
      <c r="F235" s="1">
        <v>5502.5678650036598</v>
      </c>
      <c r="G235" s="1">
        <v>11</v>
      </c>
      <c r="H235" s="1">
        <v>6</v>
      </c>
      <c r="I235" s="1">
        <v>7</v>
      </c>
      <c r="J235" s="1">
        <v>7</v>
      </c>
      <c r="K235" s="1">
        <v>7</v>
      </c>
      <c r="M235" s="4">
        <v>5452</v>
      </c>
      <c r="N235" s="1">
        <v>7795</v>
      </c>
      <c r="O235" s="1">
        <v>16699</v>
      </c>
      <c r="P235" s="1">
        <v>8904</v>
      </c>
      <c r="Q235" s="1" t="s">
        <v>42</v>
      </c>
      <c r="S235" s="1" t="s">
        <v>42</v>
      </c>
      <c r="T235" s="1" t="s">
        <v>51</v>
      </c>
      <c r="U235" s="1">
        <v>99</v>
      </c>
      <c r="V235" s="5">
        <v>44427</v>
      </c>
      <c r="W235" s="5">
        <v>44328</v>
      </c>
      <c r="X235" s="1">
        <v>30000000</v>
      </c>
      <c r="AB235" s="1" t="s">
        <v>44</v>
      </c>
      <c r="AF235" s="1">
        <v>10075</v>
      </c>
      <c r="AI235" s="1" t="s">
        <v>194</v>
      </c>
      <c r="AJ235" s="1">
        <v>2019</v>
      </c>
      <c r="AK235" s="1" t="s">
        <v>49</v>
      </c>
      <c r="AL235" s="1">
        <v>72</v>
      </c>
    </row>
    <row r="236" spans="1:38" x14ac:dyDescent="0.2">
      <c r="A236" s="2" t="str">
        <f>HYPERLINK("https://www.compass.com/listing/277-5th-avenue-unit-18c-manhattan-ny-10016/797944192083367337/","277 5th Ave, Unit 18C")</f>
        <v>277 5th Ave, Unit 18C</v>
      </c>
      <c r="B236" s="2" t="str">
        <f>HYPERLINK("https://www.compass.com/building/277-fifth-avenue-manhattan-ny/281939285475645317/","277 FIFTH AVENUE")</f>
        <v>277 FIFTH AVENUE</v>
      </c>
      <c r="C236" s="1" t="s">
        <v>40</v>
      </c>
      <c r="D236" s="1" t="s">
        <v>41</v>
      </c>
      <c r="E236" s="3">
        <v>1905000</v>
      </c>
      <c r="F236" s="1">
        <v>2300.7246376811499</v>
      </c>
      <c r="G236" s="1">
        <v>3</v>
      </c>
      <c r="H236" s="1">
        <v>1</v>
      </c>
      <c r="I236" s="1">
        <v>1</v>
      </c>
      <c r="J236" s="1">
        <v>1</v>
      </c>
      <c r="K236" s="1">
        <v>1</v>
      </c>
      <c r="M236" s="1">
        <v>828</v>
      </c>
      <c r="N236" s="1">
        <v>1194</v>
      </c>
      <c r="O236" s="1">
        <v>2285</v>
      </c>
      <c r="P236" s="1">
        <v>1091</v>
      </c>
      <c r="Q236" s="1" t="s">
        <v>42</v>
      </c>
      <c r="S236" s="1" t="s">
        <v>42</v>
      </c>
      <c r="T236" s="1" t="s">
        <v>51</v>
      </c>
      <c r="U236" s="1">
        <v>75</v>
      </c>
      <c r="V236" s="5">
        <v>44413</v>
      </c>
      <c r="W236" s="5">
        <v>44352</v>
      </c>
      <c r="X236" s="1">
        <v>1905000</v>
      </c>
      <c r="AB236" s="1" t="s">
        <v>44</v>
      </c>
      <c r="AF236" s="1">
        <v>10016</v>
      </c>
      <c r="AI236" s="1" t="s">
        <v>118</v>
      </c>
      <c r="AJ236" s="1">
        <v>2019</v>
      </c>
      <c r="AK236" s="1" t="s">
        <v>49</v>
      </c>
      <c r="AL236" s="1">
        <v>130</v>
      </c>
    </row>
    <row r="237" spans="1:38" x14ac:dyDescent="0.2">
      <c r="A237" s="2" t="str">
        <f>HYPERLINK("https://www.compass.com/listing/88-lexington-avenue-unit-m3-manhattan-ny-10016/301779202324233761/","88 Lexington Ave, Unit M3")</f>
        <v>88 Lexington Ave, Unit M3</v>
      </c>
      <c r="B237" s="2" t="str">
        <f>HYPERLINK("https://www.compass.com/building/88-90-lexington-avenue-manhattan-ny/281903945159296309/","88 &amp; 90 Lexington Avenue")</f>
        <v>88 &amp; 90 Lexington Avenue</v>
      </c>
      <c r="C237" s="1" t="s">
        <v>40</v>
      </c>
      <c r="D237" s="1" t="s">
        <v>41</v>
      </c>
      <c r="E237" s="3">
        <v>3950000</v>
      </c>
      <c r="F237" s="1">
        <v>1459.17990395271</v>
      </c>
      <c r="G237" s="1">
        <v>7</v>
      </c>
      <c r="H237" s="1">
        <v>4</v>
      </c>
      <c r="I237" s="1">
        <v>5</v>
      </c>
      <c r="J237" s="1">
        <v>4.5</v>
      </c>
      <c r="K237" s="1">
        <v>4</v>
      </c>
      <c r="L237" s="1">
        <v>1</v>
      </c>
      <c r="M237" s="4">
        <v>2707</v>
      </c>
      <c r="N237" s="1">
        <v>2697</v>
      </c>
      <c r="O237" s="1">
        <v>7862</v>
      </c>
      <c r="P237" s="1">
        <v>5165</v>
      </c>
      <c r="Q237" s="1" t="s">
        <v>42</v>
      </c>
      <c r="S237" s="1" t="s">
        <v>42</v>
      </c>
      <c r="T237" s="1" t="s">
        <v>51</v>
      </c>
      <c r="U237" s="1">
        <v>668</v>
      </c>
      <c r="V237" s="5">
        <v>44426</v>
      </c>
      <c r="W237" s="5">
        <v>43665</v>
      </c>
      <c r="X237" s="1">
        <v>3950000</v>
      </c>
      <c r="AB237" s="1" t="s">
        <v>44</v>
      </c>
      <c r="AF237" s="1">
        <v>10016</v>
      </c>
      <c r="AI237" s="1" t="s">
        <v>114</v>
      </c>
      <c r="AJ237" s="1">
        <v>1927</v>
      </c>
      <c r="AK237" s="1" t="s">
        <v>46</v>
      </c>
      <c r="AL237" s="1">
        <v>70</v>
      </c>
    </row>
    <row r="238" spans="1:38" x14ac:dyDescent="0.2">
      <c r="A238" s="2" t="str">
        <f>HYPERLINK("https://www.compass.com/listing/180-east-88th-street-unit-8b-manhattan-ny-10128/755911873043708697/","180 E 88th St, Unit 8B")</f>
        <v>180 E 88th St, Unit 8B</v>
      </c>
      <c r="B238" s="2" t="str">
        <f>HYPERLINK("https://www.compass.com/building/180-e-88th-st-manhattan-ny-10128/282058835781256373/","180 E 88th St")</f>
        <v>180 E 88th St</v>
      </c>
      <c r="C238" s="1" t="s">
        <v>82</v>
      </c>
      <c r="D238" s="1" t="s">
        <v>41</v>
      </c>
      <c r="E238" s="3">
        <v>5225000</v>
      </c>
      <c r="F238" s="1">
        <v>2509.6061479346699</v>
      </c>
      <c r="G238" s="1">
        <v>5</v>
      </c>
      <c r="H238" s="1">
        <v>3</v>
      </c>
      <c r="I238" s="1">
        <v>4</v>
      </c>
      <c r="J238" s="1">
        <v>3.5</v>
      </c>
      <c r="K238" s="1">
        <v>3</v>
      </c>
      <c r="L238" s="1">
        <v>1</v>
      </c>
      <c r="M238" s="4">
        <v>2082</v>
      </c>
      <c r="N238" s="1">
        <v>3105</v>
      </c>
      <c r="O238" s="1">
        <v>5989</v>
      </c>
      <c r="P238" s="1">
        <v>2884</v>
      </c>
      <c r="Q238" s="1" t="s">
        <v>42</v>
      </c>
      <c r="S238" s="1" t="s">
        <v>42</v>
      </c>
      <c r="T238" s="1" t="s">
        <v>51</v>
      </c>
      <c r="U238" s="1">
        <v>133</v>
      </c>
      <c r="V238" s="5">
        <v>44418</v>
      </c>
      <c r="W238" s="5">
        <v>44294</v>
      </c>
      <c r="X238" s="1">
        <v>5225000</v>
      </c>
      <c r="AB238" s="1" t="s">
        <v>44</v>
      </c>
      <c r="AF238" s="1">
        <v>10128</v>
      </c>
      <c r="AI238" s="1" t="s">
        <v>135</v>
      </c>
      <c r="AJ238" s="1">
        <v>2019</v>
      </c>
      <c r="AK238" s="1" t="s">
        <v>49</v>
      </c>
      <c r="AL238" s="1">
        <v>48</v>
      </c>
    </row>
    <row r="239" spans="1:38" x14ac:dyDescent="0.2">
      <c r="A239" s="2" t="str">
        <f>HYPERLINK("https://www.compass.com/listing/301-east-80th-street-unit-5d-manhattan-ny-10075/563706364298643201/","301 E 80th St, Unit 5D")</f>
        <v>301 E 80th St, Unit 5D</v>
      </c>
      <c r="B239" s="2" t="str">
        <f>HYPERLINK("https://www.compass.com/building/beckford-tower-manhattan-ny/293529721147268613/","Beckford Tower")</f>
        <v>Beckford Tower</v>
      </c>
      <c r="C239" s="1" t="s">
        <v>82</v>
      </c>
      <c r="D239" s="1" t="s">
        <v>41</v>
      </c>
      <c r="E239" s="3">
        <v>2350000</v>
      </c>
      <c r="F239" s="1">
        <v>2159.9264705882301</v>
      </c>
      <c r="G239" s="1">
        <v>3.5</v>
      </c>
      <c r="H239" s="1">
        <v>1</v>
      </c>
      <c r="I239" s="1">
        <v>2</v>
      </c>
      <c r="J239" s="1">
        <v>1.5</v>
      </c>
      <c r="K239" s="1">
        <v>1</v>
      </c>
      <c r="L239" s="1">
        <v>1</v>
      </c>
      <c r="M239" s="4">
        <v>1088</v>
      </c>
      <c r="N239" s="1">
        <v>1331</v>
      </c>
      <c r="O239" s="1">
        <v>2851</v>
      </c>
      <c r="P239" s="1">
        <v>1520</v>
      </c>
      <c r="Q239" s="1" t="s">
        <v>42</v>
      </c>
      <c r="S239" s="1" t="s">
        <v>42</v>
      </c>
      <c r="T239" s="1" t="s">
        <v>51</v>
      </c>
      <c r="U239" s="1">
        <v>592</v>
      </c>
      <c r="V239" s="5">
        <v>44427</v>
      </c>
      <c r="W239" s="5">
        <v>43741</v>
      </c>
      <c r="X239" s="1">
        <v>2350000</v>
      </c>
      <c r="AB239" s="1" t="s">
        <v>44</v>
      </c>
      <c r="AF239" s="1">
        <v>10075</v>
      </c>
      <c r="AI239" s="1" t="s">
        <v>182</v>
      </c>
      <c r="AJ239" s="1">
        <v>2019</v>
      </c>
      <c r="AK239" s="1" t="s">
        <v>49</v>
      </c>
      <c r="AL239" s="1">
        <v>72</v>
      </c>
    </row>
    <row r="240" spans="1:38" x14ac:dyDescent="0.2">
      <c r="A240" s="2" t="str">
        <f>HYPERLINK("https://www.compass.com/listing/180-east-88th-street-unit-46alt-manhattan-ny-10128/769485263900684745/","180 E 88th St, Unit 46ALT")</f>
        <v>180 E 88th St, Unit 46ALT</v>
      </c>
      <c r="B240" s="2" t="str">
        <f t="shared" ref="B240:B242" si="26">HYPERLINK("https://www.compass.com/building/180-e-88th-st-manhattan-ny-10128/282058835781256373/","180 E 88th St")</f>
        <v>180 E 88th St</v>
      </c>
      <c r="C240" s="1" t="s">
        <v>82</v>
      </c>
      <c r="D240" s="1" t="s">
        <v>41</v>
      </c>
      <c r="E240" s="3">
        <v>16850000</v>
      </c>
      <c r="F240" s="1">
        <v>4194.6726412745802</v>
      </c>
      <c r="G240" s="1">
        <v>9</v>
      </c>
      <c r="H240" s="1">
        <v>5</v>
      </c>
      <c r="I240" s="1">
        <v>5</v>
      </c>
      <c r="J240" s="1">
        <v>4.5</v>
      </c>
      <c r="K240" s="1">
        <v>4</v>
      </c>
      <c r="L240" s="1">
        <v>1</v>
      </c>
      <c r="M240" s="4">
        <v>4017</v>
      </c>
      <c r="N240" s="1">
        <v>6865</v>
      </c>
      <c r="O240" s="1">
        <v>13240</v>
      </c>
      <c r="P240" s="1">
        <v>6375</v>
      </c>
      <c r="Q240" s="1" t="s">
        <v>42</v>
      </c>
      <c r="S240" s="1" t="s">
        <v>42</v>
      </c>
      <c r="T240" s="1" t="s">
        <v>51</v>
      </c>
      <c r="U240" s="1">
        <v>115</v>
      </c>
      <c r="V240" s="5">
        <v>44415</v>
      </c>
      <c r="W240" s="5">
        <v>44312</v>
      </c>
      <c r="X240" s="1">
        <v>16850000</v>
      </c>
      <c r="AB240" s="1" t="s">
        <v>44</v>
      </c>
      <c r="AF240" s="1">
        <v>10128</v>
      </c>
      <c r="AJ240" s="1">
        <v>2019</v>
      </c>
      <c r="AK240" s="1" t="s">
        <v>49</v>
      </c>
      <c r="AL240" s="1">
        <v>48</v>
      </c>
    </row>
    <row r="241" spans="1:38" x14ac:dyDescent="0.2">
      <c r="A241" s="2" t="str">
        <f>HYPERLINK("https://www.compass.com/listing/180-east-88th-street-unit-10b-manhattan-ny-10128/18882274539921377/","180 E 88th St, Unit 10B")</f>
        <v>180 E 88th St, Unit 10B</v>
      </c>
      <c r="B241" s="2" t="str">
        <f t="shared" si="26"/>
        <v>180 E 88th St</v>
      </c>
      <c r="C241" s="1" t="s">
        <v>82</v>
      </c>
      <c r="D241" s="1" t="s">
        <v>41</v>
      </c>
      <c r="E241" s="3">
        <v>5485000</v>
      </c>
      <c r="F241" s="1">
        <v>2634.48607108549</v>
      </c>
      <c r="G241" s="1">
        <v>5</v>
      </c>
      <c r="H241" s="1">
        <v>3</v>
      </c>
      <c r="I241" s="1">
        <v>4</v>
      </c>
      <c r="J241" s="1">
        <v>3.5</v>
      </c>
      <c r="K241" s="1">
        <v>3</v>
      </c>
      <c r="L241" s="1">
        <v>1</v>
      </c>
      <c r="M241" s="4">
        <v>2082</v>
      </c>
      <c r="N241" s="1">
        <v>3135</v>
      </c>
      <c r="O241" s="1">
        <v>6047</v>
      </c>
      <c r="P241" s="1">
        <v>2912</v>
      </c>
      <c r="Q241" s="1" t="s">
        <v>42</v>
      </c>
      <c r="S241" s="1" t="s">
        <v>42</v>
      </c>
      <c r="T241" s="1" t="s">
        <v>51</v>
      </c>
      <c r="U241" s="1">
        <v>1462</v>
      </c>
      <c r="V241" s="5">
        <v>44414</v>
      </c>
      <c r="W241" s="5">
        <v>42871</v>
      </c>
      <c r="X241" s="1">
        <v>5485000</v>
      </c>
      <c r="AB241" s="1" t="s">
        <v>44</v>
      </c>
      <c r="AF241" s="1">
        <v>10128</v>
      </c>
      <c r="AI241" s="1" t="s">
        <v>135</v>
      </c>
      <c r="AJ241" s="1">
        <v>2019</v>
      </c>
      <c r="AK241" s="1" t="s">
        <v>49</v>
      </c>
      <c r="AL241" s="1">
        <v>48</v>
      </c>
    </row>
    <row r="242" spans="1:38" x14ac:dyDescent="0.2">
      <c r="A242" s="2" t="str">
        <f>HYPERLINK("https://www.compass.com/listing/180-east-88th-street-unit-36a-manhattan-ny-10128/29359442332024577/","180 E 88th St, Unit 36A")</f>
        <v>180 E 88th St, Unit 36A</v>
      </c>
      <c r="B242" s="2" t="str">
        <f t="shared" si="26"/>
        <v>180 E 88th St</v>
      </c>
      <c r="C242" s="1" t="s">
        <v>82</v>
      </c>
      <c r="D242" s="1" t="s">
        <v>41</v>
      </c>
      <c r="E242" s="3">
        <v>4635000</v>
      </c>
      <c r="F242" s="1">
        <v>3259.49367088607</v>
      </c>
      <c r="G242" s="1">
        <v>4</v>
      </c>
      <c r="H242" s="1">
        <v>2</v>
      </c>
      <c r="I242" s="1">
        <v>3</v>
      </c>
      <c r="J242" s="1">
        <v>2.5</v>
      </c>
      <c r="K242" s="1">
        <v>2</v>
      </c>
      <c r="L242" s="1">
        <v>1</v>
      </c>
      <c r="M242" s="4">
        <v>1422</v>
      </c>
      <c r="N242" s="1">
        <v>2379</v>
      </c>
      <c r="O242" s="1">
        <v>4588</v>
      </c>
      <c r="P242" s="1">
        <v>2209</v>
      </c>
      <c r="Q242" s="1" t="s">
        <v>42</v>
      </c>
      <c r="S242" s="1" t="s">
        <v>42</v>
      </c>
      <c r="T242" s="1" t="s">
        <v>51</v>
      </c>
      <c r="U242" s="1">
        <v>1575</v>
      </c>
      <c r="V242" s="5">
        <v>44421</v>
      </c>
      <c r="W242" s="5">
        <v>42758</v>
      </c>
      <c r="X242" s="1">
        <v>4635000</v>
      </c>
      <c r="AB242" s="1" t="s">
        <v>44</v>
      </c>
      <c r="AF242" s="1">
        <v>10128</v>
      </c>
      <c r="AJ242" s="1">
        <v>2019</v>
      </c>
      <c r="AK242" s="1" t="s">
        <v>49</v>
      </c>
      <c r="AL242" s="1">
        <v>48</v>
      </c>
    </row>
    <row r="243" spans="1:38" x14ac:dyDescent="0.2">
      <c r="A243" s="2" t="str">
        <f>HYPERLINK("https://www.compass.com/listing/301-east-80th-street-unit-ph31-manhattan-ny-10075/780510330581427873/","301 E 80th St, Unit PH31")</f>
        <v>301 E 80th St, Unit PH31</v>
      </c>
      <c r="B243" s="2" t="str">
        <f t="shared" ref="B243:B244" si="27">HYPERLINK("https://www.compass.com/building/beckford-tower-manhattan-ny/293529721147268613/","Beckford Tower")</f>
        <v>Beckford Tower</v>
      </c>
      <c r="C243" s="1" t="s">
        <v>82</v>
      </c>
      <c r="D243" s="1" t="s">
        <v>41</v>
      </c>
      <c r="E243" s="3">
        <v>20000000</v>
      </c>
      <c r="F243" s="1">
        <v>4829.7512678097</v>
      </c>
      <c r="G243" s="1">
        <v>10</v>
      </c>
      <c r="H243" s="1">
        <v>4</v>
      </c>
      <c r="I243" s="1">
        <v>5</v>
      </c>
      <c r="J243" s="1">
        <v>5</v>
      </c>
      <c r="K243" s="1">
        <v>5</v>
      </c>
      <c r="M243" s="4">
        <v>4141</v>
      </c>
      <c r="N243" s="1">
        <v>5931</v>
      </c>
      <c r="O243" s="1">
        <v>12706</v>
      </c>
      <c r="P243" s="1">
        <v>6775</v>
      </c>
      <c r="Q243" s="1" t="s">
        <v>42</v>
      </c>
      <c r="S243" s="1" t="s">
        <v>42</v>
      </c>
      <c r="T243" s="1" t="s">
        <v>51</v>
      </c>
      <c r="U243" s="1">
        <v>99</v>
      </c>
      <c r="V243" s="5">
        <v>44427</v>
      </c>
      <c r="W243" s="5">
        <v>44328</v>
      </c>
      <c r="X243" s="1">
        <v>20000000</v>
      </c>
      <c r="AB243" s="1" t="s">
        <v>44</v>
      </c>
      <c r="AF243" s="1">
        <v>10075</v>
      </c>
      <c r="AI243" s="1" t="s">
        <v>195</v>
      </c>
      <c r="AJ243" s="1">
        <v>2019</v>
      </c>
      <c r="AK243" s="1" t="s">
        <v>49</v>
      </c>
      <c r="AL243" s="1">
        <v>72</v>
      </c>
    </row>
    <row r="244" spans="1:38" x14ac:dyDescent="0.2">
      <c r="A244" s="2" t="str">
        <f>HYPERLINK("https://www.compass.com/listing/301-east-80th-street-unit-ph29-manhattan-ny-10075/780510803001316785/","301 E 80th St, Unit PH29")</f>
        <v>301 E 80th St, Unit PH29</v>
      </c>
      <c r="B244" s="2" t="str">
        <f t="shared" si="27"/>
        <v>Beckford Tower</v>
      </c>
      <c r="C244" s="1" t="s">
        <v>82</v>
      </c>
      <c r="D244" s="1" t="s">
        <v>41</v>
      </c>
      <c r="E244" s="3">
        <v>29000000</v>
      </c>
      <c r="F244" s="1">
        <v>4446.4888071143796</v>
      </c>
      <c r="G244" s="1">
        <v>14</v>
      </c>
      <c r="H244" s="1">
        <v>6</v>
      </c>
      <c r="I244" s="1">
        <v>7</v>
      </c>
      <c r="J244" s="1">
        <v>7</v>
      </c>
      <c r="K244" s="1">
        <v>7</v>
      </c>
      <c r="M244" s="4">
        <v>6522</v>
      </c>
      <c r="N244" s="1">
        <v>8985</v>
      </c>
      <c r="O244" s="1">
        <v>19248</v>
      </c>
      <c r="P244" s="1">
        <v>10263</v>
      </c>
      <c r="Q244" s="1" t="s">
        <v>42</v>
      </c>
      <c r="S244" s="1" t="s">
        <v>42</v>
      </c>
      <c r="T244" s="1" t="s">
        <v>51</v>
      </c>
      <c r="U244" s="1">
        <v>99</v>
      </c>
      <c r="V244" s="5">
        <v>44427</v>
      </c>
      <c r="W244" s="5">
        <v>44328</v>
      </c>
      <c r="X244" s="1">
        <v>29000000</v>
      </c>
      <c r="AB244" s="1" t="s">
        <v>44</v>
      </c>
      <c r="AF244" s="1">
        <v>10075</v>
      </c>
      <c r="AI244" s="1" t="s">
        <v>195</v>
      </c>
      <c r="AJ244" s="1">
        <v>2019</v>
      </c>
      <c r="AK244" s="1" t="s">
        <v>49</v>
      </c>
      <c r="AL244" s="1">
        <v>72</v>
      </c>
    </row>
    <row r="245" spans="1:38" x14ac:dyDescent="0.2">
      <c r="A245" s="2" t="str">
        <f>HYPERLINK("https://www.compass.com/listing/15-west-61st-street-unit-20a-manhattan-ny-10023/620432434349208161/","15 W 61st St, Unit 20A")</f>
        <v>15 W 61st St, Unit 20A</v>
      </c>
      <c r="B245" s="2" t="str">
        <f>HYPERLINK("https://www.compass.com/building/the-park-loggia-manhattan-ny/292861833130357557/","The Park Loggia")</f>
        <v>The Park Loggia</v>
      </c>
      <c r="C245" s="1" t="s">
        <v>57</v>
      </c>
      <c r="D245" s="1" t="s">
        <v>41</v>
      </c>
      <c r="E245" s="3">
        <v>6725000</v>
      </c>
      <c r="F245" s="1">
        <v>3509.9164926931098</v>
      </c>
      <c r="G245" s="1">
        <v>5.5</v>
      </c>
      <c r="H245" s="1">
        <v>3</v>
      </c>
      <c r="I245" s="1">
        <v>3</v>
      </c>
      <c r="J245" s="1">
        <v>2.5</v>
      </c>
      <c r="K245" s="1">
        <v>2</v>
      </c>
      <c r="L245" s="1">
        <v>1</v>
      </c>
      <c r="M245" s="4">
        <v>1916</v>
      </c>
      <c r="N245" s="1">
        <v>2038</v>
      </c>
      <c r="O245" s="1">
        <v>4087</v>
      </c>
      <c r="P245" s="1">
        <v>2049</v>
      </c>
      <c r="Q245" s="1" t="s">
        <v>42</v>
      </c>
      <c r="S245" s="1" t="s">
        <v>42</v>
      </c>
      <c r="T245" s="1" t="s">
        <v>51</v>
      </c>
      <c r="U245" s="1">
        <v>320</v>
      </c>
      <c r="V245" s="5">
        <v>44423</v>
      </c>
      <c r="W245" s="5">
        <v>44107</v>
      </c>
      <c r="X245" s="1">
        <v>6725000</v>
      </c>
      <c r="AB245" s="1" t="s">
        <v>44</v>
      </c>
      <c r="AF245" s="1">
        <v>10023</v>
      </c>
      <c r="AI245" s="1" t="s">
        <v>159</v>
      </c>
      <c r="AJ245" s="1">
        <v>2019</v>
      </c>
      <c r="AK245" s="1" t="s">
        <v>108</v>
      </c>
      <c r="AL245" s="1">
        <v>172</v>
      </c>
    </row>
    <row r="246" spans="1:38" x14ac:dyDescent="0.2">
      <c r="A246" s="2" t="str">
        <f>HYPERLINK("https://www.compass.com/listing/180-east-88th-street-unit-20a-manhattan-ny-10128/29509494002280305/","180 E 88th St, Unit 20A")</f>
        <v>180 E 88th St, Unit 20A</v>
      </c>
      <c r="B246" s="2" t="str">
        <f>HYPERLINK("https://www.compass.com/building/180-e-88th-st-manhattan-ny-10128/282058835781256373/","180 E 88th St")</f>
        <v>180 E 88th St</v>
      </c>
      <c r="C246" s="1" t="s">
        <v>82</v>
      </c>
      <c r="D246" s="1" t="s">
        <v>41</v>
      </c>
      <c r="E246" s="3">
        <v>3880000</v>
      </c>
      <c r="F246" s="1">
        <v>2742.0494699646601</v>
      </c>
      <c r="G246" s="1">
        <v>4</v>
      </c>
      <c r="H246" s="1">
        <v>2</v>
      </c>
      <c r="I246" s="1">
        <v>3</v>
      </c>
      <c r="J246" s="1">
        <v>2.5</v>
      </c>
      <c r="K246" s="1">
        <v>2</v>
      </c>
      <c r="L246" s="1">
        <v>1</v>
      </c>
      <c r="M246" s="4">
        <v>1415</v>
      </c>
      <c r="N246" s="1">
        <v>2194</v>
      </c>
      <c r="O246" s="1">
        <v>4231</v>
      </c>
      <c r="P246" s="1">
        <v>2037</v>
      </c>
      <c r="Q246" s="1" t="s">
        <v>42</v>
      </c>
      <c r="S246" s="1" t="s">
        <v>42</v>
      </c>
      <c r="T246" s="1" t="s">
        <v>51</v>
      </c>
      <c r="U246" s="1">
        <v>1554</v>
      </c>
      <c r="V246" s="5">
        <v>44424</v>
      </c>
      <c r="W246" s="5">
        <v>42779</v>
      </c>
      <c r="X246" s="1">
        <v>3880000</v>
      </c>
      <c r="AB246" s="1" t="s">
        <v>44</v>
      </c>
      <c r="AF246" s="1">
        <v>10128</v>
      </c>
      <c r="AJ246" s="1">
        <v>2019</v>
      </c>
      <c r="AK246" s="1" t="s">
        <v>49</v>
      </c>
      <c r="AL246" s="1">
        <v>48</v>
      </c>
    </row>
    <row r="247" spans="1:38" x14ac:dyDescent="0.2">
      <c r="A247" s="2" t="str">
        <f>HYPERLINK("https://www.compass.com/listing/277-5th-avenue-unit-26d-manhattan-ny-10016/797943937338227345/","277 5th Ave, Unit 26D")</f>
        <v>277 5th Ave, Unit 26D</v>
      </c>
      <c r="B247" s="2" t="str">
        <f>HYPERLINK("https://www.compass.com/building/277-fifth-avenue-manhattan-ny/281939285475645317/","277 FIFTH AVENUE")</f>
        <v>277 FIFTH AVENUE</v>
      </c>
      <c r="C247" s="1" t="s">
        <v>40</v>
      </c>
      <c r="D247" s="1" t="s">
        <v>41</v>
      </c>
      <c r="E247" s="3">
        <v>3535000</v>
      </c>
      <c r="F247" s="1">
        <v>2574.6540422432599</v>
      </c>
      <c r="G247" s="1">
        <v>4</v>
      </c>
      <c r="H247" s="1">
        <v>2</v>
      </c>
      <c r="I247" s="1">
        <v>1</v>
      </c>
      <c r="J247" s="1">
        <v>1</v>
      </c>
      <c r="K247" s="1">
        <v>1</v>
      </c>
      <c r="M247" s="4">
        <v>1373</v>
      </c>
      <c r="N247" s="1">
        <v>1980</v>
      </c>
      <c r="O247" s="1">
        <v>3789.87</v>
      </c>
      <c r="P247" s="1">
        <v>1809.8333333333301</v>
      </c>
      <c r="Q247" s="1" t="s">
        <v>42</v>
      </c>
      <c r="S247" s="1" t="s">
        <v>42</v>
      </c>
      <c r="T247" s="1" t="s">
        <v>51</v>
      </c>
      <c r="U247" s="1">
        <v>75</v>
      </c>
      <c r="V247" s="5">
        <v>44414</v>
      </c>
      <c r="W247" s="5">
        <v>44352</v>
      </c>
      <c r="X247" s="1">
        <v>3535000</v>
      </c>
      <c r="AB247" s="1" t="s">
        <v>44</v>
      </c>
      <c r="AF247" s="1">
        <v>10016</v>
      </c>
      <c r="AI247" s="1" t="s">
        <v>118</v>
      </c>
      <c r="AJ247" s="1">
        <v>2019</v>
      </c>
      <c r="AK247" s="1" t="s">
        <v>49</v>
      </c>
      <c r="AL247" s="1">
        <v>130</v>
      </c>
    </row>
    <row r="248" spans="1:38" x14ac:dyDescent="0.2">
      <c r="A248" s="2" t="str">
        <f>HYPERLINK("https://www.compass.com/listing/695-1st-avenue-unit-36h-manhattan-ny-10016/831146320230546169/","695 1st Ave, Unit 36H")</f>
        <v>695 1st Ave, Unit 36H</v>
      </c>
      <c r="B248" s="2" t="str">
        <f>HYPERLINK("https://www.compass.com/building/one-united-nations-park-manhattan-ny/282058773630059653/","One United Nations Park")</f>
        <v>One United Nations Park</v>
      </c>
      <c r="C248" s="1" t="s">
        <v>59</v>
      </c>
      <c r="D248" s="1" t="s">
        <v>41</v>
      </c>
      <c r="E248" s="3">
        <v>3375000</v>
      </c>
      <c r="F248" s="1">
        <v>1856.4356435643499</v>
      </c>
      <c r="G248" s="1">
        <v>4</v>
      </c>
      <c r="H248" s="1">
        <v>2</v>
      </c>
      <c r="I248" s="1">
        <v>3</v>
      </c>
      <c r="J248" s="1">
        <v>2.5</v>
      </c>
      <c r="K248" s="1">
        <v>2</v>
      </c>
      <c r="L248" s="1">
        <v>1</v>
      </c>
      <c r="M248" s="4">
        <v>1818</v>
      </c>
      <c r="N248" s="1">
        <v>2480</v>
      </c>
      <c r="O248" s="1">
        <v>5425</v>
      </c>
      <c r="P248" s="1">
        <v>2945</v>
      </c>
      <c r="Q248" s="1" t="s">
        <v>42</v>
      </c>
      <c r="S248" s="1" t="s">
        <v>42</v>
      </c>
      <c r="T248" s="1" t="s">
        <v>51</v>
      </c>
      <c r="U248" s="1">
        <v>28</v>
      </c>
      <c r="V248" s="5">
        <v>44425</v>
      </c>
      <c r="W248" s="5">
        <v>44399</v>
      </c>
      <c r="X248" s="1">
        <v>3375000</v>
      </c>
      <c r="AB248" s="1" t="s">
        <v>44</v>
      </c>
      <c r="AF248" s="1">
        <v>10016</v>
      </c>
      <c r="AI248" s="1" t="s">
        <v>135</v>
      </c>
      <c r="AJ248" s="1">
        <v>2019</v>
      </c>
      <c r="AK248" s="1" t="s">
        <v>46</v>
      </c>
      <c r="AL248" s="1">
        <v>148</v>
      </c>
    </row>
    <row r="249" spans="1:38" x14ac:dyDescent="0.2">
      <c r="A249" s="2" t="str">
        <f>HYPERLINK("https://www.compass.com/listing/15-east-30th-street-unit-46c-manhattan-ny-10016/789886206735177001/","15 E 30th St, Unit 46C")</f>
        <v>15 E 30th St, Unit 46C</v>
      </c>
      <c r="B249" s="2" t="str">
        <f>HYPERLINK("https://www.compass.com/building/madison-house-manhattan-ny/281937618113974565/","Madison House")</f>
        <v>Madison House</v>
      </c>
      <c r="C249" s="1" t="s">
        <v>40</v>
      </c>
      <c r="D249" s="1" t="s">
        <v>41</v>
      </c>
      <c r="E249" s="3">
        <v>2700000</v>
      </c>
      <c r="F249" s="1">
        <v>2454.54545454545</v>
      </c>
      <c r="G249" s="1">
        <v>3</v>
      </c>
      <c r="H249" s="1">
        <v>1</v>
      </c>
      <c r="I249" s="1">
        <v>1</v>
      </c>
      <c r="J249" s="1">
        <v>1</v>
      </c>
      <c r="K249" s="1">
        <v>1</v>
      </c>
      <c r="M249" s="4">
        <v>1100</v>
      </c>
      <c r="N249" s="1">
        <v>1536</v>
      </c>
      <c r="O249" s="1">
        <v>3381</v>
      </c>
      <c r="P249" s="1">
        <v>1845</v>
      </c>
      <c r="Q249" s="1" t="s">
        <v>42</v>
      </c>
      <c r="S249" s="1" t="s">
        <v>42</v>
      </c>
      <c r="T249" s="1" t="s">
        <v>51</v>
      </c>
      <c r="U249" s="1">
        <v>86</v>
      </c>
      <c r="V249" s="5">
        <v>44427</v>
      </c>
      <c r="W249" s="5">
        <v>44341</v>
      </c>
      <c r="X249" s="1">
        <v>2700000</v>
      </c>
      <c r="AB249" s="1" t="s">
        <v>44</v>
      </c>
      <c r="AF249" s="1">
        <v>10016</v>
      </c>
      <c r="AJ249" s="1">
        <v>2019</v>
      </c>
      <c r="AK249" s="1" t="s">
        <v>46</v>
      </c>
      <c r="AL249" s="1">
        <v>199</v>
      </c>
    </row>
    <row r="250" spans="1:38" x14ac:dyDescent="0.2">
      <c r="A250" s="2" t="str">
        <f>HYPERLINK("https://www.compass.com/listing/277-5th-avenue-unit-50a-manhattan-ny-10016/797971620751375153/","277 5th Ave, Unit 50A")</f>
        <v>277 5th Ave, Unit 50A</v>
      </c>
      <c r="B250" s="2" t="str">
        <f>HYPERLINK("https://www.compass.com/building/277-fifth-avenue-manhattan-ny/281939285475645317/","277 FIFTH AVENUE")</f>
        <v>277 FIFTH AVENUE</v>
      </c>
      <c r="C250" s="1" t="s">
        <v>40</v>
      </c>
      <c r="D250" s="1" t="s">
        <v>41</v>
      </c>
      <c r="E250" s="3">
        <v>10500000</v>
      </c>
      <c r="F250" s="1">
        <v>4500.6429489927104</v>
      </c>
      <c r="G250" s="1">
        <v>5</v>
      </c>
      <c r="H250" s="1">
        <v>3</v>
      </c>
      <c r="I250" s="1">
        <v>4</v>
      </c>
      <c r="J250" s="1">
        <v>3.5</v>
      </c>
      <c r="K250" s="1">
        <v>3</v>
      </c>
      <c r="L250" s="1">
        <v>1</v>
      </c>
      <c r="M250" s="4">
        <v>2333</v>
      </c>
      <c r="N250" s="1">
        <v>3438</v>
      </c>
      <c r="O250" s="1">
        <v>6581.15</v>
      </c>
      <c r="P250" s="1">
        <v>3143.1666666666601</v>
      </c>
      <c r="Q250" s="1" t="s">
        <v>42</v>
      </c>
      <c r="S250" s="1" t="s">
        <v>42</v>
      </c>
      <c r="T250" s="1" t="s">
        <v>51</v>
      </c>
      <c r="U250" s="1">
        <v>75</v>
      </c>
      <c r="V250" s="5">
        <v>44413</v>
      </c>
      <c r="W250" s="5">
        <v>44352</v>
      </c>
      <c r="X250" s="1">
        <v>10500000</v>
      </c>
      <c r="AB250" s="1" t="s">
        <v>44</v>
      </c>
      <c r="AF250" s="1">
        <v>10016</v>
      </c>
      <c r="AI250" s="1" t="s">
        <v>196</v>
      </c>
      <c r="AJ250" s="1">
        <v>2019</v>
      </c>
      <c r="AK250" s="1" t="s">
        <v>49</v>
      </c>
      <c r="AL250" s="1">
        <v>130</v>
      </c>
    </row>
    <row r="251" spans="1:38" x14ac:dyDescent="0.2">
      <c r="A251" s="2" t="str">
        <f>HYPERLINK("https://www.compass.com/listing/15-west-61st-street-unit-8a-manhattan-ny-10023/620432147318657017/","15 W 61st St, Unit 8A")</f>
        <v>15 W 61st St, Unit 8A</v>
      </c>
      <c r="B251" s="2" t="str">
        <f t="shared" ref="B251:B252" si="28">HYPERLINK("https://www.compass.com/building/the-park-loggia-manhattan-ny/292861833130357557/","The Park Loggia")</f>
        <v>The Park Loggia</v>
      </c>
      <c r="C251" s="1" t="s">
        <v>57</v>
      </c>
      <c r="D251" s="1" t="s">
        <v>41</v>
      </c>
      <c r="E251" s="3">
        <v>4900000</v>
      </c>
      <c r="F251" s="1">
        <v>3169.46959896507</v>
      </c>
      <c r="G251" s="1">
        <v>5.5</v>
      </c>
      <c r="H251" s="1">
        <v>3</v>
      </c>
      <c r="I251" s="1">
        <v>3</v>
      </c>
      <c r="J251" s="1">
        <v>2.5</v>
      </c>
      <c r="K251" s="1">
        <v>2</v>
      </c>
      <c r="L251" s="1">
        <v>1</v>
      </c>
      <c r="M251" s="4">
        <v>1546</v>
      </c>
      <c r="N251" s="1">
        <v>1661</v>
      </c>
      <c r="O251" s="1">
        <v>3331</v>
      </c>
      <c r="P251" s="1">
        <v>1670</v>
      </c>
      <c r="Q251" s="1" t="s">
        <v>42</v>
      </c>
      <c r="S251" s="1" t="s">
        <v>42</v>
      </c>
      <c r="T251" s="1" t="s">
        <v>51</v>
      </c>
      <c r="U251" s="1">
        <v>320</v>
      </c>
      <c r="V251" s="5">
        <v>44423</v>
      </c>
      <c r="W251" s="5">
        <v>44107</v>
      </c>
      <c r="X251" s="1">
        <v>4900000</v>
      </c>
      <c r="AB251" s="1" t="s">
        <v>44</v>
      </c>
      <c r="AF251" s="1">
        <v>10023</v>
      </c>
      <c r="AI251" s="1" t="s">
        <v>159</v>
      </c>
      <c r="AJ251" s="1">
        <v>2019</v>
      </c>
      <c r="AK251" s="1" t="s">
        <v>108</v>
      </c>
      <c r="AL251" s="1">
        <v>172</v>
      </c>
    </row>
    <row r="252" spans="1:38" x14ac:dyDescent="0.2">
      <c r="A252" s="2" t="str">
        <f>HYPERLINK("https://www.compass.com/listing/15-west-61st-street-unit-ph31c-manhattan-ny-10023/613156994446211225/","15 W 61st St, Unit PH31C")</f>
        <v>15 W 61st St, Unit PH31C</v>
      </c>
      <c r="B252" s="2" t="str">
        <f t="shared" si="28"/>
        <v>The Park Loggia</v>
      </c>
      <c r="C252" s="1" t="s">
        <v>57</v>
      </c>
      <c r="D252" s="1" t="s">
        <v>41</v>
      </c>
      <c r="E252" s="3">
        <v>9250000</v>
      </c>
      <c r="F252" s="1">
        <v>4174.1877256317603</v>
      </c>
      <c r="G252" s="1">
        <v>5.5</v>
      </c>
      <c r="H252" s="1">
        <v>3</v>
      </c>
      <c r="I252" s="1">
        <v>4</v>
      </c>
      <c r="J252" s="1">
        <v>3.5</v>
      </c>
      <c r="K252" s="1">
        <v>3</v>
      </c>
      <c r="L252" s="1">
        <v>1</v>
      </c>
      <c r="M252" s="4">
        <v>2216</v>
      </c>
      <c r="N252" s="1">
        <v>2288</v>
      </c>
      <c r="O252" s="1">
        <v>4589</v>
      </c>
      <c r="P252" s="1">
        <v>2301</v>
      </c>
      <c r="Q252" s="1" t="s">
        <v>42</v>
      </c>
      <c r="S252" s="1" t="s">
        <v>42</v>
      </c>
      <c r="T252" s="1" t="s">
        <v>51</v>
      </c>
      <c r="U252" s="1">
        <v>330</v>
      </c>
      <c r="V252" s="5">
        <v>44423</v>
      </c>
      <c r="W252" s="5">
        <v>44097</v>
      </c>
      <c r="X252" s="1">
        <v>9250000</v>
      </c>
      <c r="AB252" s="1" t="s">
        <v>44</v>
      </c>
      <c r="AF252" s="1">
        <v>10023</v>
      </c>
      <c r="AI252" s="1" t="s">
        <v>159</v>
      </c>
      <c r="AJ252" s="1">
        <v>2019</v>
      </c>
      <c r="AK252" s="1" t="s">
        <v>108</v>
      </c>
      <c r="AL252" s="1">
        <v>172</v>
      </c>
    </row>
    <row r="253" spans="1:38" x14ac:dyDescent="0.2">
      <c r="A253" s="2" t="str">
        <f>HYPERLINK("https://www.compass.com/listing/180-east-88th-street-unit-46-manhattan-ny-10128/708818387915790305/","180 E 88th St, Unit 46")</f>
        <v>180 E 88th St, Unit 46</v>
      </c>
      <c r="B253" s="2" t="str">
        <f>HYPERLINK("https://www.compass.com/building/180-e-88th-st-manhattan-ny-10128/282058835781256373/","180 E 88th St")</f>
        <v>180 E 88th St</v>
      </c>
      <c r="C253" s="1" t="s">
        <v>82</v>
      </c>
      <c r="D253" s="1" t="s">
        <v>41</v>
      </c>
      <c r="E253" s="3">
        <v>16750000</v>
      </c>
      <c r="F253" s="1">
        <v>4169.7784416230998</v>
      </c>
      <c r="G253" s="1">
        <v>10</v>
      </c>
      <c r="H253" s="1">
        <v>4</v>
      </c>
      <c r="I253" s="1">
        <v>5</v>
      </c>
      <c r="J253" s="1">
        <v>4.5</v>
      </c>
      <c r="K253" s="1">
        <v>4</v>
      </c>
      <c r="L253" s="1">
        <v>1</v>
      </c>
      <c r="M253" s="4">
        <v>4017</v>
      </c>
      <c r="N253" s="1">
        <v>6865</v>
      </c>
      <c r="O253" s="1">
        <v>13240</v>
      </c>
      <c r="P253" s="1">
        <v>6375</v>
      </c>
      <c r="Q253" s="1" t="s">
        <v>42</v>
      </c>
      <c r="S253" s="1" t="s">
        <v>42</v>
      </c>
      <c r="T253" s="1" t="s">
        <v>51</v>
      </c>
      <c r="U253" s="1">
        <v>198</v>
      </c>
      <c r="V253" s="5">
        <v>44417</v>
      </c>
      <c r="W253" s="5">
        <v>44229</v>
      </c>
      <c r="X253" s="1">
        <v>16750000</v>
      </c>
      <c r="AB253" s="1" t="s">
        <v>44</v>
      </c>
      <c r="AF253" s="1">
        <v>10128</v>
      </c>
      <c r="AJ253" s="1">
        <v>2019</v>
      </c>
      <c r="AK253" s="1" t="s">
        <v>49</v>
      </c>
      <c r="AL253" s="1">
        <v>48</v>
      </c>
    </row>
    <row r="254" spans="1:38" x14ac:dyDescent="0.2">
      <c r="A254" s="2" t="str">
        <f>HYPERLINK("https://www.compass.com/listing/15-west-61st-street-unit-15b-manhattan-ny-10023/620417270180951425/","15 W 61st St, Unit 15B")</f>
        <v>15 W 61st St, Unit 15B</v>
      </c>
      <c r="B254" s="2" t="str">
        <f>HYPERLINK("https://www.compass.com/building/the-park-loggia-manhattan-ny/292861833130357557/","The Park Loggia")</f>
        <v>The Park Loggia</v>
      </c>
      <c r="C254" s="1" t="s">
        <v>57</v>
      </c>
      <c r="D254" s="1" t="s">
        <v>41</v>
      </c>
      <c r="E254" s="3">
        <v>5450000</v>
      </c>
      <c r="F254" s="1">
        <v>3647.9250334672001</v>
      </c>
      <c r="G254" s="1">
        <v>4.5</v>
      </c>
      <c r="H254" s="1">
        <v>2</v>
      </c>
      <c r="I254" s="1">
        <v>3</v>
      </c>
      <c r="J254" s="1">
        <v>2.5</v>
      </c>
      <c r="K254" s="1">
        <v>2</v>
      </c>
      <c r="L254" s="1">
        <v>1</v>
      </c>
      <c r="M254" s="4">
        <v>1494</v>
      </c>
      <c r="N254" s="1">
        <v>1947</v>
      </c>
      <c r="O254" s="1">
        <v>3905</v>
      </c>
      <c r="P254" s="1">
        <v>1958</v>
      </c>
      <c r="Q254" s="1" t="s">
        <v>42</v>
      </c>
      <c r="S254" s="1" t="s">
        <v>42</v>
      </c>
      <c r="T254" s="1" t="s">
        <v>51</v>
      </c>
      <c r="U254" s="1">
        <v>320</v>
      </c>
      <c r="V254" s="5">
        <v>44423</v>
      </c>
      <c r="W254" s="5">
        <v>44107</v>
      </c>
      <c r="X254" s="1">
        <v>5450000</v>
      </c>
      <c r="AB254" s="1" t="s">
        <v>44</v>
      </c>
      <c r="AF254" s="1">
        <v>10023</v>
      </c>
      <c r="AI254" s="1" t="s">
        <v>159</v>
      </c>
      <c r="AJ254" s="1">
        <v>2019</v>
      </c>
      <c r="AK254" s="1" t="s">
        <v>108</v>
      </c>
      <c r="AL254" s="1">
        <v>172</v>
      </c>
    </row>
    <row r="255" spans="1:38" x14ac:dyDescent="0.2">
      <c r="A255" s="2" t="str">
        <f>HYPERLINK("https://www.compass.com/listing/301-east-80th-street-unit-6b-manhattan-ny-10075/563706093614843097/","301 E 80th St, Unit 6B")</f>
        <v>301 E 80th St, Unit 6B</v>
      </c>
      <c r="B255" s="2" t="str">
        <f t="shared" ref="B255:B257" si="29">HYPERLINK("https://www.compass.com/building/beckford-tower-manhattan-ny/293529721147268613/","Beckford Tower")</f>
        <v>Beckford Tower</v>
      </c>
      <c r="C255" s="1" t="s">
        <v>82</v>
      </c>
      <c r="D255" s="1" t="s">
        <v>41</v>
      </c>
      <c r="E255" s="3">
        <v>4525000</v>
      </c>
      <c r="F255" s="1">
        <v>2264.76476476476</v>
      </c>
      <c r="G255" s="1">
        <v>6.5</v>
      </c>
      <c r="H255" s="1">
        <v>2</v>
      </c>
      <c r="I255" s="1">
        <v>3</v>
      </c>
      <c r="J255" s="1">
        <v>2.5</v>
      </c>
      <c r="K255" s="1">
        <v>2</v>
      </c>
      <c r="L255" s="1">
        <v>1</v>
      </c>
      <c r="M255" s="4">
        <v>1998</v>
      </c>
      <c r="N255" s="1">
        <v>2455</v>
      </c>
      <c r="O255" s="1">
        <v>5260</v>
      </c>
      <c r="P255" s="1">
        <v>2805</v>
      </c>
      <c r="Q255" s="1" t="s">
        <v>42</v>
      </c>
      <c r="S255" s="1" t="s">
        <v>42</v>
      </c>
      <c r="T255" s="1" t="s">
        <v>51</v>
      </c>
      <c r="U255" s="1">
        <v>592</v>
      </c>
      <c r="V255" s="5">
        <v>44427</v>
      </c>
      <c r="W255" s="5">
        <v>43741</v>
      </c>
      <c r="X255" s="1">
        <v>4525000</v>
      </c>
      <c r="AB255" s="1" t="s">
        <v>44</v>
      </c>
      <c r="AF255" s="1">
        <v>10075</v>
      </c>
      <c r="AI255" s="1" t="s">
        <v>182</v>
      </c>
      <c r="AJ255" s="1">
        <v>2019</v>
      </c>
      <c r="AK255" s="1" t="s">
        <v>49</v>
      </c>
      <c r="AL255" s="1">
        <v>72</v>
      </c>
    </row>
    <row r="256" spans="1:38" x14ac:dyDescent="0.2">
      <c r="A256" s="2" t="str">
        <f>HYPERLINK("https://www.compass.com/listing/301-east-80th-street-unit-15a-manhattan-ny-10075/598670945622244745/","301 E 80th St, Unit 15A")</f>
        <v>301 E 80th St, Unit 15A</v>
      </c>
      <c r="B256" s="2" t="str">
        <f t="shared" si="29"/>
        <v>Beckford Tower</v>
      </c>
      <c r="C256" s="1" t="s">
        <v>82</v>
      </c>
      <c r="D256" s="1" t="s">
        <v>41</v>
      </c>
      <c r="E256" s="3">
        <v>6750000</v>
      </c>
      <c r="F256" s="1">
        <v>2581.2619502868001</v>
      </c>
      <c r="G256" s="1">
        <v>7</v>
      </c>
      <c r="H256" s="1">
        <v>3</v>
      </c>
      <c r="I256" s="1">
        <v>4</v>
      </c>
      <c r="J256" s="1">
        <v>3.5</v>
      </c>
      <c r="K256" s="1">
        <v>3</v>
      </c>
      <c r="L256" s="1">
        <v>1</v>
      </c>
      <c r="M256" s="4">
        <v>2615</v>
      </c>
      <c r="N256" s="1">
        <v>3355</v>
      </c>
      <c r="O256" s="1">
        <v>7188</v>
      </c>
      <c r="P256" s="1">
        <v>3833</v>
      </c>
      <c r="Q256" s="1" t="s">
        <v>42</v>
      </c>
      <c r="S256" s="1" t="s">
        <v>42</v>
      </c>
      <c r="T256" s="1" t="s">
        <v>51</v>
      </c>
      <c r="U256" s="1">
        <v>592</v>
      </c>
      <c r="V256" s="5">
        <v>44427</v>
      </c>
      <c r="W256" s="5">
        <v>43741</v>
      </c>
      <c r="X256" s="1">
        <v>6750000</v>
      </c>
      <c r="AB256" s="1" t="s">
        <v>44</v>
      </c>
      <c r="AF256" s="1">
        <v>10075</v>
      </c>
      <c r="AI256" s="1" t="s">
        <v>182</v>
      </c>
      <c r="AJ256" s="1">
        <v>2019</v>
      </c>
      <c r="AK256" s="1" t="s">
        <v>49</v>
      </c>
      <c r="AL256" s="1">
        <v>72</v>
      </c>
    </row>
    <row r="257" spans="1:38" x14ac:dyDescent="0.2">
      <c r="A257" s="2" t="str">
        <f>HYPERLINK("https://www.compass.com/listing/301-east-80th-street-unit-11c-manhattan-ny-10075/713797239897018097/","301 E 80th St, Unit 11C")</f>
        <v>301 E 80th St, Unit 11C</v>
      </c>
      <c r="B257" s="2" t="str">
        <f t="shared" si="29"/>
        <v>Beckford Tower</v>
      </c>
      <c r="C257" s="1" t="s">
        <v>82</v>
      </c>
      <c r="D257" s="1" t="s">
        <v>41</v>
      </c>
      <c r="E257" s="3">
        <v>5500000</v>
      </c>
      <c r="F257" s="1">
        <v>2456.4537740062501</v>
      </c>
      <c r="G257" s="1">
        <v>7.5</v>
      </c>
      <c r="H257" s="1">
        <v>3</v>
      </c>
      <c r="I257" s="1">
        <v>4</v>
      </c>
      <c r="J257" s="1">
        <v>3.5</v>
      </c>
      <c r="K257" s="1">
        <v>3</v>
      </c>
      <c r="L257" s="1">
        <v>1</v>
      </c>
      <c r="M257" s="4">
        <v>2239</v>
      </c>
      <c r="N257" s="1">
        <v>2819</v>
      </c>
      <c r="O257" s="1">
        <v>6039</v>
      </c>
      <c r="P257" s="1">
        <v>3220</v>
      </c>
      <c r="Q257" s="1" t="s">
        <v>42</v>
      </c>
      <c r="S257" s="1" t="s">
        <v>42</v>
      </c>
      <c r="T257" s="1" t="s">
        <v>51</v>
      </c>
      <c r="U257" s="1">
        <v>592</v>
      </c>
      <c r="V257" s="5">
        <v>44427</v>
      </c>
      <c r="W257" s="5">
        <v>43741</v>
      </c>
      <c r="X257" s="1">
        <v>5500000</v>
      </c>
      <c r="AB257" s="1" t="s">
        <v>44</v>
      </c>
      <c r="AF257" s="1">
        <v>10075</v>
      </c>
      <c r="AI257" s="1" t="s">
        <v>182</v>
      </c>
      <c r="AJ257" s="1">
        <v>2019</v>
      </c>
      <c r="AK257" s="1" t="s">
        <v>49</v>
      </c>
      <c r="AL257" s="1">
        <v>72</v>
      </c>
    </row>
    <row r="258" spans="1:38" x14ac:dyDescent="0.2">
      <c r="A258" s="2" t="str">
        <f>HYPERLINK("https://www.compass.com/listing/180-east-88th-street-unit-5b-manhattan-ny-10128/755911947937551321/","180 E 88th St, Unit 5B")</f>
        <v>180 E 88th St, Unit 5B</v>
      </c>
      <c r="B258" s="2" t="str">
        <f>HYPERLINK("https://www.compass.com/building/180-e-88th-st-manhattan-ny-10128/282058835781256373/","180 E 88th St")</f>
        <v>180 E 88th St</v>
      </c>
      <c r="C258" s="1" t="s">
        <v>82</v>
      </c>
      <c r="D258" s="1" t="s">
        <v>41</v>
      </c>
      <c r="E258" s="3">
        <v>1475000</v>
      </c>
      <c r="F258" s="1">
        <v>1993.2432432432399</v>
      </c>
      <c r="G258" s="1">
        <v>2</v>
      </c>
      <c r="H258" s="1" t="s">
        <v>99</v>
      </c>
      <c r="I258" s="1">
        <v>1</v>
      </c>
      <c r="J258" s="1">
        <v>1</v>
      </c>
      <c r="K258" s="1">
        <v>1</v>
      </c>
      <c r="M258" s="1">
        <v>740</v>
      </c>
      <c r="N258" s="1">
        <v>1083</v>
      </c>
      <c r="O258" s="1">
        <v>2089</v>
      </c>
      <c r="P258" s="1">
        <v>1006</v>
      </c>
      <c r="Q258" s="1" t="s">
        <v>42</v>
      </c>
      <c r="S258" s="1" t="s">
        <v>42</v>
      </c>
      <c r="T258" s="1" t="s">
        <v>51</v>
      </c>
      <c r="U258" s="1">
        <v>133</v>
      </c>
      <c r="V258" s="5">
        <v>44418</v>
      </c>
      <c r="W258" s="5">
        <v>44294</v>
      </c>
      <c r="X258" s="1">
        <v>1475000</v>
      </c>
      <c r="AB258" s="1" t="s">
        <v>44</v>
      </c>
      <c r="AF258" s="1">
        <v>10128</v>
      </c>
      <c r="AJ258" s="1">
        <v>2019</v>
      </c>
      <c r="AK258" s="1" t="s">
        <v>49</v>
      </c>
      <c r="AL258" s="1">
        <v>48</v>
      </c>
    </row>
    <row r="259" spans="1:38" x14ac:dyDescent="0.2">
      <c r="A259" s="2" t="str">
        <f>HYPERLINK("https://www.compass.com/listing/15-east-30th-street-unit-35a-manhattan-ny-10016/781084018488450241/","15 E 30th St, Unit 35A")</f>
        <v>15 E 30th St, Unit 35A</v>
      </c>
      <c r="B259" s="2" t="str">
        <f>HYPERLINK("https://www.compass.com/building/madison-house-manhattan-ny/281937618113974565/","Madison House")</f>
        <v>Madison House</v>
      </c>
      <c r="C259" s="1" t="s">
        <v>40</v>
      </c>
      <c r="D259" s="1" t="s">
        <v>41</v>
      </c>
      <c r="E259" s="3">
        <v>1950000</v>
      </c>
      <c r="F259" s="1">
        <v>2070.0636942675101</v>
      </c>
      <c r="G259" s="1">
        <v>3</v>
      </c>
      <c r="H259" s="1">
        <v>1</v>
      </c>
      <c r="I259" s="1">
        <v>1</v>
      </c>
      <c r="J259" s="1">
        <v>1</v>
      </c>
      <c r="K259" s="1">
        <v>1</v>
      </c>
      <c r="M259" s="1">
        <v>942</v>
      </c>
      <c r="N259" s="1">
        <v>1315</v>
      </c>
      <c r="O259" s="1">
        <v>2895</v>
      </c>
      <c r="P259" s="1">
        <v>1580</v>
      </c>
      <c r="Q259" s="1" t="s">
        <v>42</v>
      </c>
      <c r="S259" s="1" t="s">
        <v>42</v>
      </c>
      <c r="T259" s="1" t="s">
        <v>51</v>
      </c>
      <c r="U259" s="1">
        <v>98</v>
      </c>
      <c r="V259" s="5">
        <v>44427</v>
      </c>
      <c r="W259" s="5">
        <v>44329</v>
      </c>
      <c r="X259" s="1">
        <v>1950000</v>
      </c>
      <c r="AB259" s="1" t="s">
        <v>44</v>
      </c>
      <c r="AF259" s="1">
        <v>10016</v>
      </c>
      <c r="AJ259" s="1">
        <v>2019</v>
      </c>
      <c r="AK259" s="1" t="s">
        <v>46</v>
      </c>
      <c r="AL259" s="1">
        <v>199</v>
      </c>
    </row>
    <row r="260" spans="1:38" x14ac:dyDescent="0.2">
      <c r="A260" s="2" t="str">
        <f>HYPERLINK("https://www.compass.com/listing/15-west-61st-street-unit-6a-manhattan-ny-10023/620432482510662033/","15 W 61st St, Unit 6A")</f>
        <v>15 W 61st St, Unit 6A</v>
      </c>
      <c r="B260" s="2" t="str">
        <f>HYPERLINK("https://www.compass.com/building/the-park-loggia-manhattan-ny/292861833130357557/","The Park Loggia")</f>
        <v>The Park Loggia</v>
      </c>
      <c r="C260" s="1" t="s">
        <v>57</v>
      </c>
      <c r="D260" s="1" t="s">
        <v>41</v>
      </c>
      <c r="E260" s="3">
        <v>6400000</v>
      </c>
      <c r="F260" s="1">
        <v>3154.2631838344</v>
      </c>
      <c r="G260" s="1">
        <v>6.5</v>
      </c>
      <c r="H260" s="1">
        <v>4</v>
      </c>
      <c r="I260" s="1">
        <v>4</v>
      </c>
      <c r="J260" s="1">
        <v>3.5</v>
      </c>
      <c r="K260" s="1">
        <v>3</v>
      </c>
      <c r="L260" s="1">
        <v>1</v>
      </c>
      <c r="M260" s="4">
        <v>2029</v>
      </c>
      <c r="N260" s="1">
        <v>2062</v>
      </c>
      <c r="O260" s="1">
        <v>4135</v>
      </c>
      <c r="P260" s="1">
        <v>2073</v>
      </c>
      <c r="Q260" s="1" t="s">
        <v>42</v>
      </c>
      <c r="S260" s="1" t="s">
        <v>42</v>
      </c>
      <c r="T260" s="1" t="s">
        <v>51</v>
      </c>
      <c r="U260" s="1">
        <v>320</v>
      </c>
      <c r="V260" s="5">
        <v>44423</v>
      </c>
      <c r="W260" s="5">
        <v>44107</v>
      </c>
      <c r="X260" s="1">
        <v>6400000</v>
      </c>
      <c r="AB260" s="1" t="s">
        <v>44</v>
      </c>
      <c r="AF260" s="1">
        <v>10023</v>
      </c>
      <c r="AI260" s="1" t="s">
        <v>65</v>
      </c>
      <c r="AJ260" s="1">
        <v>2019</v>
      </c>
      <c r="AK260" s="1" t="s">
        <v>108</v>
      </c>
      <c r="AL260" s="1">
        <v>172</v>
      </c>
    </row>
    <row r="261" spans="1:38" x14ac:dyDescent="0.2">
      <c r="A261" s="2" t="str">
        <f>HYPERLINK("https://www.compass.com/listing/277-5th-avenue-unit-45b-manhattan-ny-10016/797944379426377297/","277 5th Ave, Unit 45B")</f>
        <v>277 5th Ave, Unit 45B</v>
      </c>
      <c r="B261" s="2" t="str">
        <f>HYPERLINK("https://www.compass.com/building/277-fifth-avenue-manhattan-ny/281939285475645317/","277 FIFTH AVENUE")</f>
        <v>277 FIFTH AVENUE</v>
      </c>
      <c r="C261" s="1" t="s">
        <v>40</v>
      </c>
      <c r="D261" s="1" t="s">
        <v>41</v>
      </c>
      <c r="E261" s="3">
        <v>4495000</v>
      </c>
      <c r="F261" s="1">
        <v>3158.819395643</v>
      </c>
      <c r="G261" s="1">
        <v>5</v>
      </c>
      <c r="H261" s="1">
        <v>2</v>
      </c>
      <c r="I261" s="1">
        <v>2</v>
      </c>
      <c r="J261" s="1">
        <v>2</v>
      </c>
      <c r="K261" s="1">
        <v>2</v>
      </c>
      <c r="M261" s="4">
        <v>1423</v>
      </c>
      <c r="N261" s="1">
        <v>2052</v>
      </c>
      <c r="O261" s="1">
        <v>3927.76</v>
      </c>
      <c r="P261" s="1">
        <v>1875.75</v>
      </c>
      <c r="Q261" s="1" t="s">
        <v>42</v>
      </c>
      <c r="S261" s="1" t="s">
        <v>42</v>
      </c>
      <c r="T261" s="1" t="s">
        <v>51</v>
      </c>
      <c r="U261" s="1">
        <v>75</v>
      </c>
      <c r="V261" s="5">
        <v>44413</v>
      </c>
      <c r="W261" s="5">
        <v>44352</v>
      </c>
      <c r="X261" s="1">
        <v>4495000</v>
      </c>
      <c r="AB261" s="1" t="s">
        <v>44</v>
      </c>
      <c r="AF261" s="1">
        <v>10016</v>
      </c>
      <c r="AI261" s="1" t="s">
        <v>118</v>
      </c>
      <c r="AJ261" s="1">
        <v>2019</v>
      </c>
      <c r="AK261" s="1" t="s">
        <v>49</v>
      </c>
      <c r="AL261" s="1">
        <v>130</v>
      </c>
    </row>
    <row r="262" spans="1:38" x14ac:dyDescent="0.2">
      <c r="A262" s="2" t="str">
        <f>HYPERLINK("https://www.compass.com/listing/15-east-30th-street-unit-21a-manhattan-ny-10016/718911476323840193/","15 E 30th St, Unit 21A")</f>
        <v>15 E 30th St, Unit 21A</v>
      </c>
      <c r="B262" s="2" t="str">
        <f>HYPERLINK("https://www.compass.com/building/madison-house-manhattan-ny/281937618113974565/","Madison House")</f>
        <v>Madison House</v>
      </c>
      <c r="C262" s="1" t="s">
        <v>40</v>
      </c>
      <c r="D262" s="1" t="s">
        <v>41</v>
      </c>
      <c r="E262" s="3">
        <v>1775000</v>
      </c>
      <c r="F262" s="1">
        <v>1892.32409381663</v>
      </c>
      <c r="G262" s="1">
        <v>4</v>
      </c>
      <c r="H262" s="1">
        <v>1</v>
      </c>
      <c r="I262" s="1">
        <v>1</v>
      </c>
      <c r="J262" s="1">
        <v>1</v>
      </c>
      <c r="K262" s="1">
        <v>1</v>
      </c>
      <c r="M262" s="1">
        <v>938</v>
      </c>
      <c r="N262" s="1">
        <v>1310</v>
      </c>
      <c r="O262" s="1">
        <v>2883</v>
      </c>
      <c r="P262" s="1">
        <v>1573</v>
      </c>
      <c r="Q262" s="1" t="s">
        <v>42</v>
      </c>
      <c r="S262" s="1" t="s">
        <v>42</v>
      </c>
      <c r="T262" s="1" t="s">
        <v>51</v>
      </c>
      <c r="U262" s="1">
        <v>184</v>
      </c>
      <c r="V262" s="5">
        <v>44427</v>
      </c>
      <c r="W262" s="5">
        <v>44243</v>
      </c>
      <c r="X262" s="1">
        <v>1695000</v>
      </c>
      <c r="AB262" s="1" t="s">
        <v>44</v>
      </c>
      <c r="AF262" s="1">
        <v>10016</v>
      </c>
      <c r="AJ262" s="1">
        <v>2019</v>
      </c>
      <c r="AK262" s="1" t="s">
        <v>46</v>
      </c>
      <c r="AL262" s="1">
        <v>199</v>
      </c>
    </row>
    <row r="263" spans="1:38" x14ac:dyDescent="0.2">
      <c r="A263" s="2" t="str">
        <f>HYPERLINK("https://www.compass.com/listing/505-513-west-43rd-street-unit-4s-manhattan-ny-10036/774056735479290985/","505-513 W 43rd St, Unit 4S")</f>
        <v>505-513 W 43rd St, Unit 4S</v>
      </c>
      <c r="B263" s="2" t="str">
        <f>HYPERLINK("https://www.compass.com/building/charlie-west-manhattan-ny/292918554372621509/","Charlie West")</f>
        <v>Charlie West</v>
      </c>
      <c r="C263" s="1" t="s">
        <v>90</v>
      </c>
      <c r="D263" s="1" t="s">
        <v>41</v>
      </c>
      <c r="E263" s="3">
        <v>695000</v>
      </c>
      <c r="F263" s="1">
        <v>1541.0199556540999</v>
      </c>
      <c r="G263" s="1">
        <v>1</v>
      </c>
      <c r="H263" s="1" t="s">
        <v>99</v>
      </c>
      <c r="I263" s="1">
        <v>1</v>
      </c>
      <c r="J263" s="1">
        <v>1</v>
      </c>
      <c r="K263" s="1">
        <v>1</v>
      </c>
      <c r="M263" s="1">
        <v>451</v>
      </c>
      <c r="N263" s="1">
        <v>464.78</v>
      </c>
      <c r="O263" s="1">
        <v>1399.1399999999901</v>
      </c>
      <c r="P263" s="1">
        <v>934.33333333333303</v>
      </c>
      <c r="Q263" s="1" t="s">
        <v>42</v>
      </c>
      <c r="S263" s="1" t="s">
        <v>42</v>
      </c>
      <c r="T263" s="1" t="s">
        <v>51</v>
      </c>
      <c r="U263" s="1">
        <v>108</v>
      </c>
      <c r="V263" s="5">
        <v>44423</v>
      </c>
      <c r="W263" s="5">
        <v>44319</v>
      </c>
      <c r="X263" s="1">
        <v>750000</v>
      </c>
      <c r="AB263" s="1" t="s">
        <v>44</v>
      </c>
      <c r="AF263" s="1">
        <v>10036</v>
      </c>
      <c r="AI263" s="1" t="s">
        <v>118</v>
      </c>
      <c r="AJ263" s="1">
        <v>2019</v>
      </c>
      <c r="AK263" s="1" t="s">
        <v>46</v>
      </c>
      <c r="AL263" s="1">
        <v>123</v>
      </c>
    </row>
    <row r="264" spans="1:38" x14ac:dyDescent="0.2">
      <c r="A264" s="2" t="str">
        <f>HYPERLINK("https://www.compass.com/listing/15-east-30th-street-unit-47c-manhattan-ny-10016/721046517914155497/","15 E 30th St, Unit 47C")</f>
        <v>15 E 30th St, Unit 47C</v>
      </c>
      <c r="B264" s="2" t="str">
        <f>HYPERLINK("https://www.compass.com/building/madison-house-manhattan-ny/281937618113974565/","Madison House")</f>
        <v>Madison House</v>
      </c>
      <c r="C264" s="1" t="s">
        <v>40</v>
      </c>
      <c r="D264" s="1" t="s">
        <v>41</v>
      </c>
      <c r="E264" s="3">
        <v>3150000</v>
      </c>
      <c r="F264" s="1">
        <v>2550.6072874493898</v>
      </c>
      <c r="G264" s="1">
        <v>4</v>
      </c>
      <c r="H264" s="1">
        <v>1</v>
      </c>
      <c r="I264" s="1">
        <v>2</v>
      </c>
      <c r="J264" s="1">
        <v>1.5</v>
      </c>
      <c r="K264" s="1">
        <v>1</v>
      </c>
      <c r="L264" s="1">
        <v>1</v>
      </c>
      <c r="M264" s="4">
        <v>1235</v>
      </c>
      <c r="N264" s="1">
        <v>1724</v>
      </c>
      <c r="O264" s="1">
        <v>3796</v>
      </c>
      <c r="P264" s="1">
        <v>2072</v>
      </c>
      <c r="Q264" s="1" t="s">
        <v>42</v>
      </c>
      <c r="S264" s="1" t="s">
        <v>42</v>
      </c>
      <c r="T264" s="1" t="s">
        <v>51</v>
      </c>
      <c r="U264" s="1">
        <v>181</v>
      </c>
      <c r="V264" s="5">
        <v>44427</v>
      </c>
      <c r="W264" s="5">
        <v>44246</v>
      </c>
      <c r="X264" s="1">
        <v>3150000</v>
      </c>
      <c r="AB264" s="1" t="s">
        <v>44</v>
      </c>
      <c r="AF264" s="1">
        <v>10016</v>
      </c>
      <c r="AJ264" s="1">
        <v>2019</v>
      </c>
      <c r="AK264" s="1" t="s">
        <v>46</v>
      </c>
      <c r="AL264" s="1">
        <v>199</v>
      </c>
    </row>
    <row r="265" spans="1:38" x14ac:dyDescent="0.2">
      <c r="A265" s="2" t="str">
        <f>HYPERLINK("https://www.compass.com/listing/20-east-end-avenue-unit-th2-manhattan-ny-10028/193445988000721585/","20 E End Ave, Unit TH2")</f>
        <v>20 E End Ave, Unit TH2</v>
      </c>
      <c r="B265" s="2" t="str">
        <f>HYPERLINK("https://www.compass.com/building/20-e-end-ave-manhattan-ny-10028/281985490498985157/","20 E End Ave")</f>
        <v>20 E End Ave</v>
      </c>
      <c r="C265" s="1" t="s">
        <v>82</v>
      </c>
      <c r="D265" s="1" t="s">
        <v>41</v>
      </c>
      <c r="E265" s="3">
        <v>12525000</v>
      </c>
      <c r="F265" s="1">
        <v>2408.1907325514298</v>
      </c>
      <c r="G265" s="1">
        <v>8</v>
      </c>
      <c r="H265" s="1">
        <v>4</v>
      </c>
      <c r="I265" s="1">
        <v>5</v>
      </c>
      <c r="J265" s="1">
        <v>5</v>
      </c>
      <c r="K265" s="1">
        <v>5</v>
      </c>
      <c r="M265" s="4">
        <v>5201</v>
      </c>
      <c r="N265" s="1">
        <v>7634</v>
      </c>
      <c r="O265" s="1">
        <v>17140</v>
      </c>
      <c r="P265" s="1">
        <v>9506</v>
      </c>
      <c r="Q265" s="1" t="s">
        <v>42</v>
      </c>
      <c r="S265" s="1" t="s">
        <v>42</v>
      </c>
      <c r="T265" s="1" t="s">
        <v>51</v>
      </c>
      <c r="U265" s="1">
        <v>592</v>
      </c>
      <c r="V265" s="5">
        <v>44420</v>
      </c>
      <c r="W265" s="5">
        <v>43741</v>
      </c>
      <c r="AB265" s="1" t="s">
        <v>44</v>
      </c>
      <c r="AF265" s="1">
        <v>10028</v>
      </c>
      <c r="AI265" s="1" t="s">
        <v>197</v>
      </c>
      <c r="AJ265" s="1">
        <v>2017</v>
      </c>
      <c r="AK265" s="1" t="s">
        <v>46</v>
      </c>
      <c r="AL265" s="1">
        <v>41</v>
      </c>
    </row>
    <row r="266" spans="1:38" x14ac:dyDescent="0.2">
      <c r="A266" s="2" t="str">
        <f>HYPERLINK("https://www.compass.com/listing/416-west-52nd-street-unit-306-manhattan-ny-10019/825365783994507665/","416 W 52nd St, Unit 306")</f>
        <v>416 W 52nd St, Unit 306</v>
      </c>
      <c r="B266" s="2" t="str">
        <f>HYPERLINK("https://www.compass.com/building/nine52-manhattan-ny/281945622951555813/","Nine52")</f>
        <v>Nine52</v>
      </c>
      <c r="C266" s="1" t="s">
        <v>90</v>
      </c>
      <c r="D266" s="1" t="s">
        <v>41</v>
      </c>
      <c r="E266" s="3">
        <v>2250000</v>
      </c>
      <c r="F266" s="1">
        <v>1623.37662337662</v>
      </c>
      <c r="G266" s="1">
        <v>4</v>
      </c>
      <c r="H266" s="1">
        <v>3</v>
      </c>
      <c r="I266" s="1">
        <v>2</v>
      </c>
      <c r="J266" s="1">
        <v>2</v>
      </c>
      <c r="K266" s="1">
        <v>2</v>
      </c>
      <c r="M266" s="4">
        <v>1386</v>
      </c>
      <c r="N266" s="1">
        <v>1152</v>
      </c>
      <c r="O266" s="1">
        <v>3185</v>
      </c>
      <c r="P266" s="1">
        <v>2033</v>
      </c>
      <c r="Q266" s="1" t="s">
        <v>105</v>
      </c>
      <c r="S266" s="1" t="s">
        <v>105</v>
      </c>
      <c r="T266" s="1" t="s">
        <v>51</v>
      </c>
      <c r="U266" s="1">
        <v>37</v>
      </c>
      <c r="V266" s="5">
        <v>44427</v>
      </c>
      <c r="W266" s="5">
        <v>44390</v>
      </c>
      <c r="X266" s="1">
        <v>2250000</v>
      </c>
      <c r="AB266" s="1" t="s">
        <v>44</v>
      </c>
      <c r="AF266" s="1">
        <v>10019</v>
      </c>
      <c r="AI266" s="1" t="s">
        <v>179</v>
      </c>
      <c r="AJ266" s="1">
        <v>1940</v>
      </c>
      <c r="AK266" s="1" t="s">
        <v>55</v>
      </c>
      <c r="AL266" s="1">
        <v>155</v>
      </c>
    </row>
    <row r="267" spans="1:38" x14ac:dyDescent="0.2">
      <c r="A267" s="2" t="str">
        <f>HYPERLINK("https://www.compass.com/listing/277-5th-avenue-unit-30b-manhattan-ny-10016/766711984888340113/","277 5th Ave, Unit 30B")</f>
        <v>277 5th Ave, Unit 30B</v>
      </c>
      <c r="B267" s="2" t="str">
        <f>HYPERLINK("https://www.compass.com/building/277-fifth-avenue-manhattan-ny/281939285475645317/","277 FIFTH AVENUE")</f>
        <v>277 FIFTH AVENUE</v>
      </c>
      <c r="C267" s="1" t="s">
        <v>40</v>
      </c>
      <c r="D267" s="1" t="s">
        <v>41</v>
      </c>
      <c r="E267" s="3">
        <v>2195000</v>
      </c>
      <c r="F267" s="1">
        <v>2588.4433962264102</v>
      </c>
      <c r="G267" s="1">
        <v>3</v>
      </c>
      <c r="H267" s="1">
        <v>1</v>
      </c>
      <c r="I267" s="1">
        <v>1</v>
      </c>
      <c r="J267" s="1">
        <v>1</v>
      </c>
      <c r="K267" s="1">
        <v>1</v>
      </c>
      <c r="M267" s="1">
        <v>848</v>
      </c>
      <c r="N267" s="1">
        <v>1223</v>
      </c>
      <c r="O267" s="1">
        <v>2545</v>
      </c>
      <c r="P267" s="1">
        <v>1322</v>
      </c>
      <c r="Q267" s="1" t="s">
        <v>42</v>
      </c>
      <c r="S267" s="1" t="s">
        <v>42</v>
      </c>
      <c r="T267" s="1" t="s">
        <v>51</v>
      </c>
      <c r="U267" s="1">
        <v>118</v>
      </c>
      <c r="V267" s="5">
        <v>44427</v>
      </c>
      <c r="W267" s="5">
        <v>44309</v>
      </c>
      <c r="X267" s="1">
        <v>2195000</v>
      </c>
      <c r="AB267" s="1" t="s">
        <v>44</v>
      </c>
      <c r="AF267" s="1">
        <v>10016</v>
      </c>
      <c r="AI267" s="1" t="s">
        <v>118</v>
      </c>
      <c r="AJ267" s="1">
        <v>2019</v>
      </c>
      <c r="AK267" s="1" t="s">
        <v>49</v>
      </c>
      <c r="AL267" s="1">
        <v>130</v>
      </c>
    </row>
    <row r="268" spans="1:38" x14ac:dyDescent="0.2">
      <c r="A268" s="2" t="str">
        <f>HYPERLINK("https://www.compass.com/listing/15-east-30th-street-unit-16b-manhattan-ny-10016/582632732365031873/","15 E 30th St, Unit 16B")</f>
        <v>15 E 30th St, Unit 16B</v>
      </c>
      <c r="B268" s="2" t="str">
        <f>HYPERLINK("https://www.compass.com/building/madison-house-manhattan-ny/281937618113974565/","Madison House")</f>
        <v>Madison House</v>
      </c>
      <c r="C268" s="1" t="s">
        <v>40</v>
      </c>
      <c r="D268" s="1" t="s">
        <v>41</v>
      </c>
      <c r="E268" s="3">
        <v>2495000</v>
      </c>
      <c r="F268" s="1">
        <v>1953.7979639780699</v>
      </c>
      <c r="G268" s="1">
        <v>5</v>
      </c>
      <c r="H268" s="1">
        <v>2</v>
      </c>
      <c r="I268" s="1">
        <v>2</v>
      </c>
      <c r="J268" s="1">
        <v>2</v>
      </c>
      <c r="K268" s="1">
        <v>2</v>
      </c>
      <c r="M268" s="4">
        <v>1277</v>
      </c>
      <c r="N268" s="1">
        <v>1783</v>
      </c>
      <c r="O268" s="1">
        <v>3925</v>
      </c>
      <c r="P268" s="1">
        <v>2142</v>
      </c>
      <c r="Q268" s="1" t="s">
        <v>42</v>
      </c>
      <c r="S268" s="1" t="s">
        <v>42</v>
      </c>
      <c r="T268" s="1" t="s">
        <v>51</v>
      </c>
      <c r="U268" s="1">
        <v>372</v>
      </c>
      <c r="V268" s="5">
        <v>44427</v>
      </c>
      <c r="W268" s="5">
        <v>44055</v>
      </c>
      <c r="X268" s="1">
        <v>2495000</v>
      </c>
      <c r="AB268" s="1" t="s">
        <v>44</v>
      </c>
      <c r="AF268" s="1">
        <v>10016</v>
      </c>
      <c r="AJ268" s="1">
        <v>2019</v>
      </c>
      <c r="AK268" s="1" t="s">
        <v>46</v>
      </c>
      <c r="AL268" s="1">
        <v>199</v>
      </c>
    </row>
    <row r="269" spans="1:38" x14ac:dyDescent="0.2">
      <c r="A269" s="2" t="str">
        <f>HYPERLINK("https://www.compass.com/listing/138-east-50th-street-unit-38a-manhattan-ny-10022/835621044008267185/","138 E 50th St, Unit 38A")</f>
        <v>138 E 50th St, Unit 38A</v>
      </c>
      <c r="B269" s="2" t="str">
        <f>HYPERLINK("https://www.compass.com/building/the-centrale-manhattan-ny/281941497232811621/","The Centrale")</f>
        <v>The Centrale</v>
      </c>
      <c r="C269" s="1" t="s">
        <v>116</v>
      </c>
      <c r="D269" s="1" t="s">
        <v>41</v>
      </c>
      <c r="E269" s="3">
        <v>3975000</v>
      </c>
      <c r="F269" s="1">
        <v>2599.7383911052898</v>
      </c>
      <c r="G269" s="1">
        <v>5.5</v>
      </c>
      <c r="H269" s="1">
        <v>2</v>
      </c>
      <c r="I269" s="1">
        <v>3</v>
      </c>
      <c r="J269" s="1">
        <v>2.5</v>
      </c>
      <c r="K269" s="1">
        <v>2</v>
      </c>
      <c r="L269" s="1">
        <v>1</v>
      </c>
      <c r="M269" s="4">
        <v>1529</v>
      </c>
      <c r="N269" s="1">
        <v>1674</v>
      </c>
      <c r="O269" s="1">
        <v>4168</v>
      </c>
      <c r="P269" s="1">
        <v>2494</v>
      </c>
      <c r="Q269" s="1" t="s">
        <v>42</v>
      </c>
      <c r="S269" s="1" t="s">
        <v>42</v>
      </c>
      <c r="T269" s="1" t="s">
        <v>51</v>
      </c>
      <c r="U269" s="1">
        <v>23</v>
      </c>
      <c r="V269" s="5">
        <v>44422</v>
      </c>
      <c r="W269" s="5">
        <v>44404</v>
      </c>
      <c r="X269" s="1">
        <v>3975000</v>
      </c>
      <c r="AB269" s="1" t="s">
        <v>44</v>
      </c>
      <c r="AF269" s="1">
        <v>10022</v>
      </c>
      <c r="AI269" s="1" t="s">
        <v>48</v>
      </c>
      <c r="AJ269" s="1">
        <v>2019</v>
      </c>
      <c r="AK269" s="1" t="s">
        <v>55</v>
      </c>
      <c r="AL269" s="1">
        <v>124</v>
      </c>
    </row>
    <row r="270" spans="1:38" x14ac:dyDescent="0.2">
      <c r="A270" s="2" t="str">
        <f>HYPERLINK("https://www.compass.com/listing/1-west-end-avenue-unit-12b-manhattan-ny-10069/821820959574217089/","1 W End Ave, Unit 12B")</f>
        <v>1 W End Ave, Unit 12B</v>
      </c>
      <c r="B270" s="2" t="str">
        <f>HYPERLINK("https://www.compass.com/building/1-w-end-ave-manhattan-ny-10069/455676159137755317/","1 W End Ave")</f>
        <v>1 W End Ave</v>
      </c>
      <c r="C270" s="1" t="s">
        <v>57</v>
      </c>
      <c r="D270" s="1" t="s">
        <v>41</v>
      </c>
      <c r="E270" s="3">
        <v>1825000</v>
      </c>
      <c r="F270" s="1">
        <v>2039.10614525139</v>
      </c>
      <c r="G270" s="1">
        <v>4</v>
      </c>
      <c r="H270" s="1">
        <v>1</v>
      </c>
      <c r="I270" s="1">
        <v>2</v>
      </c>
      <c r="J270" s="1">
        <v>1.5</v>
      </c>
      <c r="M270" s="1">
        <v>895</v>
      </c>
      <c r="N270" s="1">
        <v>1107</v>
      </c>
      <c r="O270" s="1">
        <v>1165</v>
      </c>
      <c r="P270" s="1">
        <v>58</v>
      </c>
      <c r="Q270" s="1" t="s">
        <v>42</v>
      </c>
      <c r="S270" s="1" t="s">
        <v>42</v>
      </c>
      <c r="T270" s="1" t="s">
        <v>51</v>
      </c>
      <c r="U270" s="1">
        <v>43</v>
      </c>
      <c r="V270" s="5">
        <v>44427</v>
      </c>
      <c r="W270" s="5">
        <v>44384</v>
      </c>
      <c r="X270" s="1">
        <v>1825000</v>
      </c>
      <c r="AB270" s="1" t="s">
        <v>44</v>
      </c>
      <c r="AF270" s="1">
        <v>10069</v>
      </c>
      <c r="AI270" s="1" t="s">
        <v>60</v>
      </c>
      <c r="AJ270" s="1">
        <v>2017</v>
      </c>
      <c r="AK270" s="1" t="s">
        <v>55</v>
      </c>
      <c r="AL270" s="1">
        <v>246</v>
      </c>
    </row>
    <row r="271" spans="1:38" x14ac:dyDescent="0.2">
      <c r="A271" s="2" t="str">
        <f>HYPERLINK("https://www.compass.com/listing/15-east-30th-street-unit-57b-manhattan-ny-10016/721046627586721177/","15 E 30th St, Unit 57B")</f>
        <v>15 E 30th St, Unit 57B</v>
      </c>
      <c r="B271" s="2" t="str">
        <f t="shared" ref="B271:B278" si="30">HYPERLINK("https://www.compass.com/building/madison-house-manhattan-ny/281937618113974565/","Madison House")</f>
        <v>Madison House</v>
      </c>
      <c r="C271" s="1" t="s">
        <v>40</v>
      </c>
      <c r="D271" s="1" t="s">
        <v>41</v>
      </c>
      <c r="E271" s="3">
        <v>10400000</v>
      </c>
      <c r="F271" s="1">
        <v>3504.0431266846299</v>
      </c>
      <c r="G271" s="1">
        <v>7</v>
      </c>
      <c r="H271" s="1">
        <v>3</v>
      </c>
      <c r="I271" s="1">
        <v>4</v>
      </c>
      <c r="J271" s="1">
        <v>3.5</v>
      </c>
      <c r="K271" s="1">
        <v>3</v>
      </c>
      <c r="L271" s="1">
        <v>1</v>
      </c>
      <c r="M271" s="4">
        <v>2968</v>
      </c>
      <c r="N271" s="1">
        <v>4144</v>
      </c>
      <c r="O271" s="1">
        <v>9123</v>
      </c>
      <c r="P271" s="1">
        <v>4979</v>
      </c>
      <c r="Q271" s="1" t="s">
        <v>42</v>
      </c>
      <c r="S271" s="1" t="s">
        <v>42</v>
      </c>
      <c r="T271" s="1" t="s">
        <v>51</v>
      </c>
      <c r="U271" s="1">
        <v>181</v>
      </c>
      <c r="V271" s="5">
        <v>44427</v>
      </c>
      <c r="W271" s="5">
        <v>44246</v>
      </c>
      <c r="X271" s="1">
        <v>10400000</v>
      </c>
      <c r="AB271" s="1" t="s">
        <v>44</v>
      </c>
      <c r="AF271" s="1">
        <v>10016</v>
      </c>
      <c r="AJ271" s="1">
        <v>2019</v>
      </c>
      <c r="AK271" s="1" t="s">
        <v>46</v>
      </c>
      <c r="AL271" s="1">
        <v>199</v>
      </c>
    </row>
    <row r="272" spans="1:38" x14ac:dyDescent="0.2">
      <c r="A272" s="2" t="str">
        <f>HYPERLINK("https://www.compass.com/listing/15-east-30th-street-unit-48d-manhattan-ny-10016/465904445128068073/","15 E 30th St, Unit 48D")</f>
        <v>15 E 30th St, Unit 48D</v>
      </c>
      <c r="B272" s="2" t="str">
        <f t="shared" si="30"/>
        <v>Madison House</v>
      </c>
      <c r="C272" s="1" t="s">
        <v>40</v>
      </c>
      <c r="D272" s="1" t="s">
        <v>41</v>
      </c>
      <c r="E272" s="3">
        <v>5390000</v>
      </c>
      <c r="F272" s="1">
        <v>2897.8494623655902</v>
      </c>
      <c r="G272" s="1">
        <v>6</v>
      </c>
      <c r="H272" s="1">
        <v>3</v>
      </c>
      <c r="I272" s="1">
        <v>3</v>
      </c>
      <c r="J272" s="1">
        <v>3</v>
      </c>
      <c r="K272" s="1">
        <v>3</v>
      </c>
      <c r="M272" s="4">
        <v>1860</v>
      </c>
      <c r="N272" s="1">
        <v>2597</v>
      </c>
      <c r="O272" s="1">
        <v>5717</v>
      </c>
      <c r="P272" s="1">
        <v>3120</v>
      </c>
      <c r="Q272" s="1" t="s">
        <v>42</v>
      </c>
      <c r="S272" s="1" t="s">
        <v>42</v>
      </c>
      <c r="T272" s="1" t="s">
        <v>51</v>
      </c>
      <c r="U272" s="1">
        <v>439</v>
      </c>
      <c r="V272" s="5">
        <v>44427</v>
      </c>
      <c r="W272" s="5">
        <v>43894</v>
      </c>
      <c r="X272" s="1">
        <v>5390000</v>
      </c>
      <c r="AB272" s="1" t="s">
        <v>44</v>
      </c>
      <c r="AF272" s="1">
        <v>10016</v>
      </c>
      <c r="AJ272" s="1">
        <v>2019</v>
      </c>
      <c r="AK272" s="1" t="s">
        <v>46</v>
      </c>
      <c r="AL272" s="1">
        <v>199</v>
      </c>
    </row>
    <row r="273" spans="1:38" x14ac:dyDescent="0.2">
      <c r="A273" s="2" t="str">
        <f>HYPERLINK("https://www.compass.com/listing/15-east-30th-street-unit-32e-manhattan-ny-10016/801620320016133185/","15 E 30th St, Unit 32E")</f>
        <v>15 E 30th St, Unit 32E</v>
      </c>
      <c r="B273" s="2" t="str">
        <f t="shared" si="30"/>
        <v>Madison House</v>
      </c>
      <c r="C273" s="1" t="s">
        <v>40</v>
      </c>
      <c r="D273" s="1" t="s">
        <v>41</v>
      </c>
      <c r="E273" s="3">
        <v>3750000</v>
      </c>
      <c r="F273" s="1">
        <v>2692.0315865039402</v>
      </c>
      <c r="G273" s="1">
        <v>5</v>
      </c>
      <c r="H273" s="1">
        <v>2</v>
      </c>
      <c r="I273" s="1">
        <v>3</v>
      </c>
      <c r="J273" s="1">
        <v>2.5</v>
      </c>
      <c r="K273" s="1">
        <v>2</v>
      </c>
      <c r="L273" s="1">
        <v>1</v>
      </c>
      <c r="M273" s="4">
        <v>1393</v>
      </c>
      <c r="N273" s="1">
        <v>1945</v>
      </c>
      <c r="O273" s="1">
        <v>4282</v>
      </c>
      <c r="P273" s="1">
        <v>2337</v>
      </c>
      <c r="Q273" s="1" t="s">
        <v>42</v>
      </c>
      <c r="S273" s="1" t="s">
        <v>42</v>
      </c>
      <c r="T273" s="1" t="s">
        <v>51</v>
      </c>
      <c r="U273" s="1">
        <v>619</v>
      </c>
      <c r="V273" s="5">
        <v>44427</v>
      </c>
      <c r="W273" s="5">
        <v>43714</v>
      </c>
      <c r="X273" s="1">
        <v>3750000</v>
      </c>
      <c r="AB273" s="1" t="s">
        <v>44</v>
      </c>
      <c r="AF273" s="1">
        <v>10016</v>
      </c>
      <c r="AJ273" s="1">
        <v>2019</v>
      </c>
      <c r="AK273" s="1" t="s">
        <v>46</v>
      </c>
      <c r="AL273" s="1">
        <v>199</v>
      </c>
    </row>
    <row r="274" spans="1:38" x14ac:dyDescent="0.2">
      <c r="A274" s="2" t="str">
        <f>HYPERLINK("https://www.compass.com/listing/15-east-30th-street-unit-53a-manhattan-ny-10016/664450659570022705/","15 E 30th St, Unit 53A")</f>
        <v>15 E 30th St, Unit 53A</v>
      </c>
      <c r="B274" s="2" t="str">
        <f t="shared" si="30"/>
        <v>Madison House</v>
      </c>
      <c r="C274" s="1" t="s">
        <v>40</v>
      </c>
      <c r="D274" s="1" t="s">
        <v>41</v>
      </c>
      <c r="E274" s="3">
        <v>7400000</v>
      </c>
      <c r="F274" s="1">
        <v>2977.8672032193099</v>
      </c>
      <c r="G274" s="1">
        <v>6.5</v>
      </c>
      <c r="H274" s="1">
        <v>3</v>
      </c>
      <c r="I274" s="1">
        <v>4</v>
      </c>
      <c r="J274" s="1">
        <v>3.5</v>
      </c>
      <c r="K274" s="1">
        <v>3</v>
      </c>
      <c r="L274" s="1">
        <v>1</v>
      </c>
      <c r="M274" s="4">
        <v>2485</v>
      </c>
      <c r="N274" s="1">
        <v>3470</v>
      </c>
      <c r="O274" s="1">
        <v>7638</v>
      </c>
      <c r="P274" s="1">
        <v>4168</v>
      </c>
      <c r="Q274" s="1" t="s">
        <v>42</v>
      </c>
      <c r="S274" s="1" t="s">
        <v>42</v>
      </c>
      <c r="T274" s="1" t="s">
        <v>51</v>
      </c>
      <c r="U274" s="1">
        <v>259</v>
      </c>
      <c r="V274" s="5">
        <v>44427</v>
      </c>
      <c r="W274" s="5">
        <v>44168</v>
      </c>
      <c r="X274" s="1">
        <v>7400000</v>
      </c>
      <c r="AB274" s="1" t="s">
        <v>44</v>
      </c>
      <c r="AF274" s="1">
        <v>10016</v>
      </c>
      <c r="AJ274" s="1">
        <v>2019</v>
      </c>
      <c r="AK274" s="1" t="s">
        <v>46</v>
      </c>
      <c r="AL274" s="1">
        <v>199</v>
      </c>
    </row>
    <row r="275" spans="1:38" x14ac:dyDescent="0.2">
      <c r="A275" s="2" t="str">
        <f>HYPERLINK("https://www.compass.com/listing/15-east-30th-street-unit-16d-manhattan-ny-10016/642496011610726153/","15 E 30th St, Unit 16D")</f>
        <v>15 E 30th St, Unit 16D</v>
      </c>
      <c r="B275" s="2" t="str">
        <f t="shared" si="30"/>
        <v>Madison House</v>
      </c>
      <c r="C275" s="1" t="s">
        <v>40</v>
      </c>
      <c r="D275" s="1" t="s">
        <v>41</v>
      </c>
      <c r="E275" s="3">
        <v>3325000</v>
      </c>
      <c r="F275" s="1">
        <v>2049.9383477188599</v>
      </c>
      <c r="G275" s="1">
        <v>6</v>
      </c>
      <c r="H275" s="1">
        <v>3</v>
      </c>
      <c r="I275" s="1">
        <v>6</v>
      </c>
      <c r="J275" s="1">
        <v>5.5</v>
      </c>
      <c r="K275" s="1">
        <v>5</v>
      </c>
      <c r="L275" s="1">
        <v>1</v>
      </c>
      <c r="M275" s="4">
        <v>1622</v>
      </c>
      <c r="N275" s="1">
        <v>2265</v>
      </c>
      <c r="O275" s="1">
        <v>4986</v>
      </c>
      <c r="P275" s="1">
        <v>2721</v>
      </c>
      <c r="Q275" s="1" t="s">
        <v>42</v>
      </c>
      <c r="S275" s="1" t="s">
        <v>42</v>
      </c>
      <c r="T275" s="1" t="s">
        <v>51</v>
      </c>
      <c r="U275" s="1">
        <v>293</v>
      </c>
      <c r="V275" s="5">
        <v>44427</v>
      </c>
      <c r="W275" s="5">
        <v>44134</v>
      </c>
      <c r="X275" s="1">
        <v>3325000</v>
      </c>
      <c r="AB275" s="1" t="s">
        <v>44</v>
      </c>
      <c r="AF275" s="1">
        <v>10016</v>
      </c>
      <c r="AJ275" s="1">
        <v>2019</v>
      </c>
      <c r="AK275" s="1" t="s">
        <v>46</v>
      </c>
      <c r="AL275" s="1">
        <v>199</v>
      </c>
    </row>
    <row r="276" spans="1:38" x14ac:dyDescent="0.2">
      <c r="A276" s="2" t="str">
        <f>HYPERLINK("https://www.compass.com/listing/15-east-30th-street-unit-33d-manhattan-ny-10016/623941722458103849/","15 E 30th St, Unit 33D")</f>
        <v>15 E 30th St, Unit 33D</v>
      </c>
      <c r="B276" s="2" t="str">
        <f t="shared" si="30"/>
        <v>Madison House</v>
      </c>
      <c r="C276" s="1" t="s">
        <v>40</v>
      </c>
      <c r="D276" s="1" t="s">
        <v>41</v>
      </c>
      <c r="E276" s="3">
        <v>4150000</v>
      </c>
      <c r="F276" s="1">
        <v>2479.0919952210202</v>
      </c>
      <c r="G276" s="1">
        <v>6.5</v>
      </c>
      <c r="H276" s="1">
        <v>2</v>
      </c>
      <c r="I276" s="1">
        <v>3</v>
      </c>
      <c r="J276" s="1">
        <v>2.5</v>
      </c>
      <c r="K276" s="1">
        <v>2</v>
      </c>
      <c r="L276" s="1">
        <v>1</v>
      </c>
      <c r="M276" s="4">
        <v>1674</v>
      </c>
      <c r="N276" s="1">
        <v>2337</v>
      </c>
      <c r="O276" s="1">
        <v>5145</v>
      </c>
      <c r="P276" s="1">
        <v>2808</v>
      </c>
      <c r="Q276" s="1" t="s">
        <v>42</v>
      </c>
      <c r="S276" s="1" t="s">
        <v>42</v>
      </c>
      <c r="T276" s="1" t="s">
        <v>51</v>
      </c>
      <c r="U276" s="1">
        <v>315</v>
      </c>
      <c r="V276" s="5">
        <v>44427</v>
      </c>
      <c r="W276" s="5">
        <v>44112</v>
      </c>
      <c r="X276" s="1">
        <v>4150000</v>
      </c>
      <c r="AB276" s="1" t="s">
        <v>44</v>
      </c>
      <c r="AF276" s="1">
        <v>10016</v>
      </c>
      <c r="AJ276" s="1">
        <v>2019</v>
      </c>
      <c r="AK276" s="1" t="s">
        <v>46</v>
      </c>
      <c r="AL276" s="1">
        <v>199</v>
      </c>
    </row>
    <row r="277" spans="1:38" x14ac:dyDescent="0.2">
      <c r="A277" s="2" t="str">
        <f>HYPERLINK("https://www.compass.com/listing/15-east-30th-street-unit-18d-manhattan-ny-10016/755097675639265361/","15 E 30th St, Unit 18D")</f>
        <v>15 E 30th St, Unit 18D</v>
      </c>
      <c r="B277" s="2" t="str">
        <f t="shared" si="30"/>
        <v>Madison House</v>
      </c>
      <c r="C277" s="1" t="s">
        <v>40</v>
      </c>
      <c r="D277" s="1" t="s">
        <v>41</v>
      </c>
      <c r="E277" s="3">
        <v>3425000</v>
      </c>
      <c r="F277" s="1">
        <v>2111.5906288532601</v>
      </c>
      <c r="G277" s="1">
        <v>5.5</v>
      </c>
      <c r="H277" s="1">
        <v>2</v>
      </c>
      <c r="I277" s="1">
        <v>3</v>
      </c>
      <c r="J277" s="1">
        <v>2.5</v>
      </c>
      <c r="K277" s="1">
        <v>2</v>
      </c>
      <c r="L277" s="1">
        <v>1</v>
      </c>
      <c r="M277" s="4">
        <v>1622</v>
      </c>
      <c r="N277" s="1">
        <v>2265</v>
      </c>
      <c r="O277" s="1">
        <v>4986</v>
      </c>
      <c r="P277" s="1">
        <v>2721</v>
      </c>
      <c r="Q277" s="1" t="s">
        <v>42</v>
      </c>
      <c r="S277" s="1" t="s">
        <v>42</v>
      </c>
      <c r="T277" s="1" t="s">
        <v>51</v>
      </c>
      <c r="U277" s="1">
        <v>135</v>
      </c>
      <c r="V277" s="5">
        <v>44427</v>
      </c>
      <c r="W277" s="5">
        <v>44292</v>
      </c>
      <c r="X277" s="1">
        <v>3425000</v>
      </c>
      <c r="AB277" s="1" t="s">
        <v>44</v>
      </c>
      <c r="AF277" s="1">
        <v>10016</v>
      </c>
      <c r="AJ277" s="1">
        <v>2019</v>
      </c>
      <c r="AK277" s="1" t="s">
        <v>46</v>
      </c>
      <c r="AL277" s="1">
        <v>199</v>
      </c>
    </row>
    <row r="278" spans="1:38" x14ac:dyDescent="0.2">
      <c r="A278" s="2" t="str">
        <f>HYPERLINK("https://www.compass.com/listing/15-east-30th-street-unit-57a-manhattan-ny-10016/398559574178366033/","15 E 30th St, Unit 57A")</f>
        <v>15 E 30th St, Unit 57A</v>
      </c>
      <c r="B278" s="2" t="str">
        <f t="shared" si="30"/>
        <v>Madison House</v>
      </c>
      <c r="C278" s="1" t="s">
        <v>40</v>
      </c>
      <c r="D278" s="1" t="s">
        <v>41</v>
      </c>
      <c r="E278" s="3">
        <v>13730000</v>
      </c>
      <c r="F278" s="1">
        <v>4019.3208430913301</v>
      </c>
      <c r="G278" s="1">
        <v>7</v>
      </c>
      <c r="H278" s="1">
        <v>4</v>
      </c>
      <c r="I278" s="1">
        <v>5</v>
      </c>
      <c r="J278" s="1">
        <v>4.5</v>
      </c>
      <c r="K278" s="1">
        <v>4</v>
      </c>
      <c r="L278" s="1">
        <v>1</v>
      </c>
      <c r="M278" s="4">
        <v>3416</v>
      </c>
      <c r="N278" s="1">
        <v>4770</v>
      </c>
      <c r="O278" s="1">
        <v>10500</v>
      </c>
      <c r="P278" s="1">
        <v>5730</v>
      </c>
      <c r="Q278" s="1" t="s">
        <v>42</v>
      </c>
      <c r="S278" s="1" t="s">
        <v>42</v>
      </c>
      <c r="T278" s="1" t="s">
        <v>51</v>
      </c>
      <c r="U278" s="1">
        <v>532</v>
      </c>
      <c r="V278" s="5">
        <v>44427</v>
      </c>
      <c r="W278" s="5">
        <v>43801</v>
      </c>
      <c r="X278" s="1">
        <v>13730000</v>
      </c>
      <c r="AB278" s="1" t="s">
        <v>44</v>
      </c>
      <c r="AF278" s="1">
        <v>10016</v>
      </c>
      <c r="AJ278" s="1">
        <v>2019</v>
      </c>
      <c r="AK278" s="1" t="s">
        <v>46</v>
      </c>
      <c r="AL278" s="1">
        <v>199</v>
      </c>
    </row>
    <row r="279" spans="1:38" x14ac:dyDescent="0.2">
      <c r="A279" s="2" t="str">
        <f>HYPERLINK("https://www.compass.com/listing/505-513-west-43rd-street-unit-9g-manhattan-ny-10036/779663116472201081/","505-513 W 43rd St, Unit 9G")</f>
        <v>505-513 W 43rd St, Unit 9G</v>
      </c>
      <c r="B279" s="2" t="str">
        <f>HYPERLINK("https://www.compass.com/building/charlie-west-manhattan-ny/292918554372621509/","Charlie West")</f>
        <v>Charlie West</v>
      </c>
      <c r="C279" s="1" t="s">
        <v>90</v>
      </c>
      <c r="D279" s="1" t="s">
        <v>41</v>
      </c>
      <c r="E279" s="3">
        <v>1395000</v>
      </c>
      <c r="F279" s="1">
        <v>1513.01518438177</v>
      </c>
      <c r="G279" s="1">
        <v>3</v>
      </c>
      <c r="H279" s="1">
        <v>2</v>
      </c>
      <c r="I279" s="1">
        <v>1</v>
      </c>
      <c r="J279" s="1">
        <v>1</v>
      </c>
      <c r="K279" s="1">
        <v>1</v>
      </c>
      <c r="M279" s="1">
        <v>922</v>
      </c>
      <c r="N279" s="1">
        <v>962.88</v>
      </c>
      <c r="O279" s="1">
        <v>2898.8</v>
      </c>
      <c r="P279" s="1">
        <v>1935.9166666666599</v>
      </c>
      <c r="Q279" s="1" t="s">
        <v>42</v>
      </c>
      <c r="S279" s="1" t="s">
        <v>42</v>
      </c>
      <c r="T279" s="1" t="s">
        <v>51</v>
      </c>
      <c r="U279" s="1">
        <v>107</v>
      </c>
      <c r="V279" s="5">
        <v>44424</v>
      </c>
      <c r="W279" s="5">
        <v>44319</v>
      </c>
      <c r="X279" s="1">
        <v>1500000</v>
      </c>
      <c r="AB279" s="1" t="s">
        <v>44</v>
      </c>
      <c r="AF279" s="1">
        <v>10036</v>
      </c>
      <c r="AI279" s="1" t="s">
        <v>118</v>
      </c>
      <c r="AJ279" s="1">
        <v>2019</v>
      </c>
      <c r="AK279" s="1" t="s">
        <v>46</v>
      </c>
      <c r="AL279" s="1">
        <v>123</v>
      </c>
    </row>
    <row r="280" spans="1:38" x14ac:dyDescent="0.2">
      <c r="A280" s="2" t="str">
        <f>HYPERLINK("https://www.compass.com/listing/277-5th-avenue-unit-17a-manhattan-ny-10016/86896438574962657/","277 5th Ave, Unit 17A")</f>
        <v>277 5th Ave, Unit 17A</v>
      </c>
      <c r="B280" s="2" t="str">
        <f>HYPERLINK("https://www.compass.com/building/277-fifth-avenue-manhattan-ny/281939285475645317/","277 FIFTH AVENUE")</f>
        <v>277 FIFTH AVENUE</v>
      </c>
      <c r="C280" s="1" t="s">
        <v>40</v>
      </c>
      <c r="D280" s="1" t="s">
        <v>41</v>
      </c>
      <c r="E280" s="3">
        <v>3235000</v>
      </c>
      <c r="F280" s="1">
        <v>2408.78629932985</v>
      </c>
      <c r="G280" s="1">
        <v>4</v>
      </c>
      <c r="H280" s="1">
        <v>2</v>
      </c>
      <c r="I280" s="1">
        <v>2</v>
      </c>
      <c r="J280" s="1">
        <v>2</v>
      </c>
      <c r="K280" s="1">
        <v>2</v>
      </c>
      <c r="M280" s="4">
        <v>1343</v>
      </c>
      <c r="N280" s="1">
        <v>1936</v>
      </c>
      <c r="O280" s="1">
        <v>3706</v>
      </c>
      <c r="P280" s="1">
        <v>1770</v>
      </c>
      <c r="Q280" s="1" t="s">
        <v>42</v>
      </c>
      <c r="S280" s="1" t="s">
        <v>42</v>
      </c>
      <c r="T280" s="1" t="s">
        <v>51</v>
      </c>
      <c r="U280" s="1">
        <v>249</v>
      </c>
      <c r="V280" s="5">
        <v>44413</v>
      </c>
      <c r="W280" s="5">
        <v>44113</v>
      </c>
      <c r="AB280" s="1" t="s">
        <v>44</v>
      </c>
      <c r="AF280" s="1">
        <v>10016</v>
      </c>
      <c r="AI280" s="1" t="s">
        <v>118</v>
      </c>
      <c r="AJ280" s="1">
        <v>2019</v>
      </c>
      <c r="AK280" s="1" t="s">
        <v>46</v>
      </c>
      <c r="AL280" s="1">
        <v>130</v>
      </c>
    </row>
    <row r="281" spans="1:38" x14ac:dyDescent="0.2">
      <c r="A281" s="2" t="str">
        <f>HYPERLINK("https://www.compass.com/listing/88-lexington-avenue-unit-1406-manhattan-ny-10016/29507142910241089/","88 Lexington Ave, Unit 1406")</f>
        <v>88 Lexington Ave, Unit 1406</v>
      </c>
      <c r="B281" s="2" t="str">
        <f t="shared" ref="B281:B282" si="31">HYPERLINK("https://www.compass.com/building/88-90-lexington-avenue-manhattan-ny/281903945159296309/","88 &amp; 90 Lexington Avenue")</f>
        <v>88 &amp; 90 Lexington Avenue</v>
      </c>
      <c r="C281" s="1" t="s">
        <v>198</v>
      </c>
      <c r="D281" s="1" t="s">
        <v>41</v>
      </c>
      <c r="E281" s="3">
        <v>4950000</v>
      </c>
      <c r="F281" s="1">
        <v>2205.8823529411702</v>
      </c>
      <c r="G281" s="1">
        <v>5</v>
      </c>
      <c r="H281" s="1">
        <v>3</v>
      </c>
      <c r="I281" s="1">
        <v>4</v>
      </c>
      <c r="J281" s="1">
        <v>3.5</v>
      </c>
      <c r="K281" s="1">
        <v>3</v>
      </c>
      <c r="L281" s="1">
        <v>1</v>
      </c>
      <c r="M281" s="4">
        <v>2244</v>
      </c>
      <c r="N281" s="1">
        <v>2370</v>
      </c>
      <c r="O281" s="1">
        <v>6908</v>
      </c>
      <c r="P281" s="1">
        <v>4538</v>
      </c>
      <c r="Q281" s="1" t="s">
        <v>42</v>
      </c>
      <c r="S281" s="1" t="s">
        <v>42</v>
      </c>
      <c r="T281" s="1" t="s">
        <v>51</v>
      </c>
      <c r="U281" s="1">
        <v>1340</v>
      </c>
      <c r="V281" s="5">
        <v>44426</v>
      </c>
      <c r="W281" s="5">
        <v>42993</v>
      </c>
      <c r="X281" s="1">
        <v>5225000</v>
      </c>
      <c r="AB281" s="1" t="s">
        <v>44</v>
      </c>
      <c r="AF281" s="1">
        <v>10016</v>
      </c>
      <c r="AI281" s="1" t="s">
        <v>114</v>
      </c>
      <c r="AJ281" s="1">
        <v>1927</v>
      </c>
      <c r="AK281" s="1" t="s">
        <v>46</v>
      </c>
      <c r="AL281" s="1">
        <v>70</v>
      </c>
    </row>
    <row r="282" spans="1:38" x14ac:dyDescent="0.2">
      <c r="A282" s="2" t="str">
        <f>HYPERLINK("https://www.compass.com/listing/88-lexington-avenue-unit-1601-manhattan-ny-10016/29507143858153825/","88 Lexington Ave, Unit 1601")</f>
        <v>88 Lexington Ave, Unit 1601</v>
      </c>
      <c r="B282" s="2" t="str">
        <f t="shared" si="31"/>
        <v>88 &amp; 90 Lexington Avenue</v>
      </c>
      <c r="C282" s="1" t="s">
        <v>198</v>
      </c>
      <c r="D282" s="1" t="s">
        <v>41</v>
      </c>
      <c r="E282" s="3">
        <v>6200000</v>
      </c>
      <c r="F282" s="1">
        <v>2648.4408372490302</v>
      </c>
      <c r="G282" s="1">
        <v>6</v>
      </c>
      <c r="H282" s="1">
        <v>4</v>
      </c>
      <c r="I282" s="1">
        <v>5</v>
      </c>
      <c r="J282" s="1">
        <v>4.5</v>
      </c>
      <c r="K282" s="1">
        <v>4</v>
      </c>
      <c r="L282" s="1">
        <v>1</v>
      </c>
      <c r="M282" s="4">
        <v>2341</v>
      </c>
      <c r="N282" s="1">
        <v>2756</v>
      </c>
      <c r="O282" s="1">
        <v>8034</v>
      </c>
      <c r="P282" s="1">
        <v>5278</v>
      </c>
      <c r="Q282" s="1" t="s">
        <v>42</v>
      </c>
      <c r="S282" s="1" t="s">
        <v>42</v>
      </c>
      <c r="T282" s="1" t="s">
        <v>51</v>
      </c>
      <c r="U282" s="1">
        <v>1042</v>
      </c>
      <c r="V282" s="5">
        <v>44418</v>
      </c>
      <c r="W282" s="5">
        <v>43291</v>
      </c>
      <c r="X282" s="1">
        <v>6200000</v>
      </c>
      <c r="AB282" s="1" t="s">
        <v>44</v>
      </c>
      <c r="AF282" s="1">
        <v>10016</v>
      </c>
      <c r="AI282" s="1" t="s">
        <v>199</v>
      </c>
      <c r="AJ282" s="1">
        <v>1927</v>
      </c>
      <c r="AK282" s="1" t="s">
        <v>46</v>
      </c>
      <c r="AL282" s="1">
        <v>70</v>
      </c>
    </row>
    <row r="283" spans="1:38" x14ac:dyDescent="0.2">
      <c r="A283" s="2" t="str">
        <f>HYPERLINK("https://www.compass.com/listing/505-513-west-43rd-street-unit-7h-manhattan-ny-10036/774056525403458193/","505-513 W 43rd St, Unit 7H")</f>
        <v>505-513 W 43rd St, Unit 7H</v>
      </c>
      <c r="B283" s="2" t="str">
        <f t="shared" ref="B283:B286" si="32">HYPERLINK("https://www.compass.com/building/charlie-west-manhattan-ny/292918554372621509/","Charlie West")</f>
        <v>Charlie West</v>
      </c>
      <c r="C283" s="1" t="s">
        <v>90</v>
      </c>
      <c r="D283" s="1" t="s">
        <v>41</v>
      </c>
      <c r="E283" s="3">
        <v>1685000</v>
      </c>
      <c r="F283" s="1">
        <v>1737.1134020618499</v>
      </c>
      <c r="G283" s="1">
        <v>4</v>
      </c>
      <c r="H283" s="1">
        <v>2</v>
      </c>
      <c r="I283" s="1">
        <v>2</v>
      </c>
      <c r="J283" s="1">
        <v>2</v>
      </c>
      <c r="K283" s="1">
        <v>2</v>
      </c>
      <c r="M283" s="1">
        <v>970</v>
      </c>
      <c r="N283" s="1">
        <v>1025.05</v>
      </c>
      <c r="O283" s="1">
        <v>3085.83</v>
      </c>
      <c r="P283" s="1">
        <v>2060.75</v>
      </c>
      <c r="Q283" s="1" t="s">
        <v>42</v>
      </c>
      <c r="S283" s="1" t="s">
        <v>42</v>
      </c>
      <c r="T283" s="1" t="s">
        <v>51</v>
      </c>
      <c r="U283" s="1">
        <v>108</v>
      </c>
      <c r="V283" s="5">
        <v>44422</v>
      </c>
      <c r="W283" s="5">
        <v>44319</v>
      </c>
      <c r="X283" s="1">
        <v>1685000</v>
      </c>
      <c r="AB283" s="1" t="s">
        <v>44</v>
      </c>
      <c r="AF283" s="1">
        <v>10036</v>
      </c>
      <c r="AI283" s="1" t="s">
        <v>118</v>
      </c>
      <c r="AJ283" s="1">
        <v>2019</v>
      </c>
      <c r="AK283" s="1" t="s">
        <v>46</v>
      </c>
      <c r="AL283" s="1">
        <v>123</v>
      </c>
    </row>
    <row r="284" spans="1:38" x14ac:dyDescent="0.2">
      <c r="A284" s="2" t="str">
        <f>HYPERLINK("https://www.compass.com/listing/505-513-west-43rd-street-unit-2j-manhattan-ny-10036/774056734724715513/","505-513 W 43rd St, Unit 2J")</f>
        <v>505-513 W 43rd St, Unit 2J</v>
      </c>
      <c r="B284" s="2" t="str">
        <f t="shared" si="32"/>
        <v>Charlie West</v>
      </c>
      <c r="C284" s="1" t="s">
        <v>90</v>
      </c>
      <c r="D284" s="1" t="s">
        <v>41</v>
      </c>
      <c r="E284" s="3">
        <v>1695000</v>
      </c>
      <c r="F284" s="1">
        <v>1543.71584699453</v>
      </c>
      <c r="G284" s="1">
        <v>5</v>
      </c>
      <c r="H284" s="1">
        <v>2</v>
      </c>
      <c r="I284" s="1">
        <v>2</v>
      </c>
      <c r="J284" s="1">
        <v>2</v>
      </c>
      <c r="K284" s="1">
        <v>2</v>
      </c>
      <c r="M284" s="4">
        <v>1098</v>
      </c>
      <c r="N284" s="1">
        <v>1123.6500000000001</v>
      </c>
      <c r="O284" s="1">
        <v>3382.89</v>
      </c>
      <c r="P284" s="1">
        <v>2259.25</v>
      </c>
      <c r="Q284" s="1" t="s">
        <v>42</v>
      </c>
      <c r="S284" s="1" t="s">
        <v>42</v>
      </c>
      <c r="T284" s="1" t="s">
        <v>51</v>
      </c>
      <c r="U284" s="1">
        <v>108</v>
      </c>
      <c r="V284" s="5">
        <v>44422</v>
      </c>
      <c r="W284" s="5">
        <v>44319</v>
      </c>
      <c r="X284" s="1">
        <v>1695000</v>
      </c>
      <c r="AB284" s="1" t="s">
        <v>44</v>
      </c>
      <c r="AF284" s="1">
        <v>10036</v>
      </c>
      <c r="AI284" s="1" t="s">
        <v>118</v>
      </c>
      <c r="AJ284" s="1">
        <v>2019</v>
      </c>
      <c r="AK284" s="1" t="s">
        <v>46</v>
      </c>
      <c r="AL284" s="1">
        <v>123</v>
      </c>
    </row>
    <row r="285" spans="1:38" x14ac:dyDescent="0.2">
      <c r="A285" s="2" t="str">
        <f>HYPERLINK("https://www.compass.com/listing/505-513-west-43rd-street-unit-8b-manhattan-ny-10036/774056776944333865/","505-513 W 43rd St, Unit 8B")</f>
        <v>505-513 W 43rd St, Unit 8B</v>
      </c>
      <c r="B285" s="2" t="str">
        <f t="shared" si="32"/>
        <v>Charlie West</v>
      </c>
      <c r="C285" s="1" t="s">
        <v>90</v>
      </c>
      <c r="D285" s="1" t="s">
        <v>41</v>
      </c>
      <c r="E285" s="3">
        <v>1885000</v>
      </c>
      <c r="F285" s="1">
        <v>1619.4158075601299</v>
      </c>
      <c r="G285" s="1">
        <v>5</v>
      </c>
      <c r="H285" s="1">
        <v>2</v>
      </c>
      <c r="I285" s="1">
        <v>2</v>
      </c>
      <c r="J285" s="1">
        <v>2</v>
      </c>
      <c r="K285" s="1">
        <v>2</v>
      </c>
      <c r="M285" s="4">
        <v>1164</v>
      </c>
      <c r="N285" s="1">
        <v>1202.1400000000001</v>
      </c>
      <c r="O285" s="1">
        <v>3619.16</v>
      </c>
      <c r="P285" s="1">
        <v>2417</v>
      </c>
      <c r="Q285" s="1" t="s">
        <v>42</v>
      </c>
      <c r="S285" s="1" t="s">
        <v>42</v>
      </c>
      <c r="T285" s="1" t="s">
        <v>51</v>
      </c>
      <c r="U285" s="1">
        <v>108</v>
      </c>
      <c r="V285" s="5">
        <v>44422</v>
      </c>
      <c r="W285" s="5">
        <v>44319</v>
      </c>
      <c r="X285" s="1">
        <v>1885000</v>
      </c>
      <c r="AB285" s="1" t="s">
        <v>44</v>
      </c>
      <c r="AF285" s="1">
        <v>10036</v>
      </c>
      <c r="AI285" s="1" t="s">
        <v>200</v>
      </c>
      <c r="AJ285" s="1">
        <v>2019</v>
      </c>
      <c r="AK285" s="1" t="s">
        <v>46</v>
      </c>
      <c r="AL285" s="1">
        <v>123</v>
      </c>
    </row>
    <row r="286" spans="1:38" x14ac:dyDescent="0.2">
      <c r="A286" s="2" t="str">
        <f>HYPERLINK("https://www.compass.com/listing/505-513-west-43rd-street-unit-7f-manhattan-ny-10036/774056868630977145/","505-513 W 43rd St, Unit 7F")</f>
        <v>505-513 W 43rd St, Unit 7F</v>
      </c>
      <c r="B286" s="2" t="str">
        <f t="shared" si="32"/>
        <v>Charlie West</v>
      </c>
      <c r="C286" s="1" t="s">
        <v>90</v>
      </c>
      <c r="D286" s="1" t="s">
        <v>41</v>
      </c>
      <c r="E286" s="3">
        <v>1995000</v>
      </c>
      <c r="F286" s="1">
        <v>1916.4265129682899</v>
      </c>
      <c r="G286" s="1">
        <v>5</v>
      </c>
      <c r="H286" s="1">
        <v>2</v>
      </c>
      <c r="I286" s="1">
        <v>2</v>
      </c>
      <c r="J286" s="1">
        <v>2</v>
      </c>
      <c r="K286" s="1">
        <v>2</v>
      </c>
      <c r="M286" s="4">
        <v>1041</v>
      </c>
      <c r="N286" s="1">
        <v>1121.3499999999999</v>
      </c>
      <c r="O286" s="1">
        <v>3376.14</v>
      </c>
      <c r="P286" s="1">
        <v>2254.75</v>
      </c>
      <c r="Q286" s="1" t="s">
        <v>42</v>
      </c>
      <c r="S286" s="1" t="s">
        <v>42</v>
      </c>
      <c r="T286" s="1" t="s">
        <v>51</v>
      </c>
      <c r="U286" s="1">
        <v>108</v>
      </c>
      <c r="V286" s="5">
        <v>44422</v>
      </c>
      <c r="W286" s="5">
        <v>44319</v>
      </c>
      <c r="X286" s="1">
        <v>1995000</v>
      </c>
      <c r="AB286" s="1" t="s">
        <v>44</v>
      </c>
      <c r="AF286" s="1">
        <v>10036</v>
      </c>
      <c r="AI286" s="1" t="s">
        <v>183</v>
      </c>
      <c r="AJ286" s="1">
        <v>2019</v>
      </c>
      <c r="AK286" s="1" t="s">
        <v>46</v>
      </c>
      <c r="AL286" s="1">
        <v>123</v>
      </c>
    </row>
    <row r="287" spans="1:38" x14ac:dyDescent="0.2">
      <c r="A287" s="2" t="str">
        <f>HYPERLINK("https://www.compass.com/listing/301-east-81st-street-unit-ph18-manhattan-ny-10028/643603051030235561/","301 E 81st St, Unit PH18")</f>
        <v>301 E 81st St, Unit PH18</v>
      </c>
      <c r="B287" s="2" t="str">
        <f>HYPERLINK("https://www.compass.com/building/beckford-house-manhattan-ny/293531205712863989/","Beckford House")</f>
        <v>Beckford House</v>
      </c>
      <c r="C287" s="1" t="s">
        <v>82</v>
      </c>
      <c r="D287" s="1" t="s">
        <v>41</v>
      </c>
      <c r="E287" s="3">
        <v>9500000</v>
      </c>
      <c r="F287" s="1">
        <v>2818.15485019282</v>
      </c>
      <c r="G287" s="1">
        <v>10.5</v>
      </c>
      <c r="H287" s="1">
        <v>4</v>
      </c>
      <c r="I287" s="1">
        <v>5</v>
      </c>
      <c r="J287" s="1">
        <v>4.5</v>
      </c>
      <c r="K287" s="1">
        <v>4</v>
      </c>
      <c r="L287" s="1">
        <v>1</v>
      </c>
      <c r="M287" s="4">
        <v>3371</v>
      </c>
      <c r="N287" s="1">
        <v>5071</v>
      </c>
      <c r="O287" s="1">
        <v>10579</v>
      </c>
      <c r="P287" s="1">
        <v>5508</v>
      </c>
      <c r="Q287" s="1" t="s">
        <v>42</v>
      </c>
      <c r="S287" s="1" t="s">
        <v>42</v>
      </c>
      <c r="T287" s="1" t="s">
        <v>51</v>
      </c>
      <c r="U287" s="1">
        <v>592</v>
      </c>
      <c r="V287" s="5">
        <v>44427</v>
      </c>
      <c r="W287" s="5">
        <v>43741</v>
      </c>
      <c r="X287" s="1">
        <v>9500000</v>
      </c>
      <c r="AB287" s="1" t="s">
        <v>44</v>
      </c>
      <c r="AF287" s="1">
        <v>10028</v>
      </c>
      <c r="AI287" s="1" t="s">
        <v>201</v>
      </c>
      <c r="AJ287" s="1">
        <v>2019</v>
      </c>
      <c r="AK287" s="1" t="s">
        <v>202</v>
      </c>
      <c r="AL287" s="1">
        <v>0</v>
      </c>
    </row>
    <row r="288" spans="1:38" x14ac:dyDescent="0.2">
      <c r="A288" s="2" t="str">
        <f>HYPERLINK("https://www.compass.com/listing/505-513-west-43rd-street-unit-8j-manhattan-ny-10036/774056691540242785/","505-513 W 43rd St, Unit 8J")</f>
        <v>505-513 W 43rd St, Unit 8J</v>
      </c>
      <c r="B288" s="2" t="str">
        <f t="shared" ref="B288:B289" si="33">HYPERLINK("https://www.compass.com/building/charlie-west-manhattan-ny/292918554372621509/","Charlie West")</f>
        <v>Charlie West</v>
      </c>
      <c r="C288" s="1" t="s">
        <v>90</v>
      </c>
      <c r="D288" s="1" t="s">
        <v>41</v>
      </c>
      <c r="E288" s="3">
        <v>2395000</v>
      </c>
      <c r="F288" s="1">
        <v>1839.4777265744999</v>
      </c>
      <c r="G288" s="1">
        <v>5</v>
      </c>
      <c r="H288" s="1">
        <v>3</v>
      </c>
      <c r="I288" s="1">
        <v>3</v>
      </c>
      <c r="J288" s="1">
        <v>2.5</v>
      </c>
      <c r="K288" s="1">
        <v>2</v>
      </c>
      <c r="L288" s="1">
        <v>1</v>
      </c>
      <c r="M288" s="4">
        <v>1302</v>
      </c>
      <c r="N288" s="1">
        <v>1416.19</v>
      </c>
      <c r="O288" s="1">
        <v>4263.6099999999997</v>
      </c>
      <c r="P288" s="1">
        <v>2847.4166666666601</v>
      </c>
      <c r="Q288" s="1" t="s">
        <v>42</v>
      </c>
      <c r="S288" s="1" t="s">
        <v>42</v>
      </c>
      <c r="T288" s="1" t="s">
        <v>51</v>
      </c>
      <c r="U288" s="1">
        <v>108</v>
      </c>
      <c r="V288" s="5">
        <v>44424</v>
      </c>
      <c r="W288" s="5">
        <v>44319</v>
      </c>
      <c r="X288" s="1">
        <v>2395000</v>
      </c>
      <c r="AB288" s="1" t="s">
        <v>44</v>
      </c>
      <c r="AF288" s="1">
        <v>10036</v>
      </c>
      <c r="AI288" s="1" t="s">
        <v>183</v>
      </c>
      <c r="AJ288" s="1">
        <v>2019</v>
      </c>
      <c r="AK288" s="1" t="s">
        <v>46</v>
      </c>
      <c r="AL288" s="1">
        <v>123</v>
      </c>
    </row>
    <row r="289" spans="1:38" x14ac:dyDescent="0.2">
      <c r="A289" s="2" t="str">
        <f>HYPERLINK("https://www.compass.com/listing/505-513-west-43rd-street-unit-14h-manhattan-ny-10036/774056702403009521/","505-513 W 43rd St, Unit 14H")</f>
        <v>505-513 W 43rd St, Unit 14H</v>
      </c>
      <c r="B289" s="2" t="str">
        <f t="shared" si="33"/>
        <v>Charlie West</v>
      </c>
      <c r="C289" s="1" t="s">
        <v>90</v>
      </c>
      <c r="D289" s="1" t="s">
        <v>41</v>
      </c>
      <c r="E289" s="3">
        <v>2995000</v>
      </c>
      <c r="F289" s="1">
        <v>2012.7688172042999</v>
      </c>
      <c r="G289" s="1">
        <v>7.5</v>
      </c>
      <c r="H289" s="1">
        <v>3</v>
      </c>
      <c r="I289" s="1">
        <v>3</v>
      </c>
      <c r="J289" s="1">
        <v>2.5</v>
      </c>
      <c r="K289" s="1">
        <v>2</v>
      </c>
      <c r="L289" s="1">
        <v>1</v>
      </c>
      <c r="M289" s="4">
        <v>1488</v>
      </c>
      <c r="N289" s="1">
        <v>1607.98</v>
      </c>
      <c r="O289" s="1">
        <v>4840.8999999999996</v>
      </c>
      <c r="P289" s="1">
        <v>3232.9166666666601</v>
      </c>
      <c r="Q289" s="1" t="s">
        <v>42</v>
      </c>
      <c r="S289" s="1" t="s">
        <v>42</v>
      </c>
      <c r="T289" s="1" t="s">
        <v>51</v>
      </c>
      <c r="U289" s="1">
        <v>108</v>
      </c>
      <c r="V289" s="5">
        <v>44414</v>
      </c>
      <c r="W289" s="5">
        <v>44319</v>
      </c>
      <c r="X289" s="1">
        <v>2995000</v>
      </c>
      <c r="AB289" s="1" t="s">
        <v>44</v>
      </c>
      <c r="AF289" s="1">
        <v>10036</v>
      </c>
      <c r="AI289" s="1" t="s">
        <v>183</v>
      </c>
      <c r="AJ289" s="1">
        <v>2019</v>
      </c>
      <c r="AK289" s="1" t="s">
        <v>46</v>
      </c>
      <c r="AL289" s="1">
        <v>123</v>
      </c>
    </row>
    <row r="290" spans="1:38" x14ac:dyDescent="0.2">
      <c r="A290" s="2" t="str">
        <f>HYPERLINK("https://www.compass.com/listing/138-east-50th-street-unit-42a-manhattan-ny-10022/832716509037011001/","138 E 50th St, Unit 42A")</f>
        <v>138 E 50th St, Unit 42A</v>
      </c>
      <c r="B290" s="2" t="str">
        <f>HYPERLINK("https://www.compass.com/building/the-centrale-manhattan-ny/281941497232811621/","The Centrale")</f>
        <v>The Centrale</v>
      </c>
      <c r="C290" s="1" t="s">
        <v>116</v>
      </c>
      <c r="D290" s="1" t="s">
        <v>41</v>
      </c>
      <c r="E290" s="3">
        <v>3600000</v>
      </c>
      <c r="F290" s="1">
        <v>2560.4551920341301</v>
      </c>
      <c r="G290" s="1">
        <v>4</v>
      </c>
      <c r="H290" s="1">
        <v>2</v>
      </c>
      <c r="I290" s="1">
        <v>2</v>
      </c>
      <c r="J290" s="1">
        <v>2</v>
      </c>
      <c r="K290" s="1">
        <v>2</v>
      </c>
      <c r="M290" s="4">
        <v>1406</v>
      </c>
      <c r="N290" s="1">
        <v>1559</v>
      </c>
      <c r="O290" s="1">
        <v>3882</v>
      </c>
      <c r="P290" s="1">
        <v>2323</v>
      </c>
      <c r="Q290" s="1" t="s">
        <v>42</v>
      </c>
      <c r="S290" s="1" t="s">
        <v>42</v>
      </c>
      <c r="T290" s="1" t="s">
        <v>51</v>
      </c>
      <c r="U290" s="1">
        <v>27</v>
      </c>
      <c r="V290" s="5">
        <v>44422</v>
      </c>
      <c r="W290" s="5">
        <v>44400</v>
      </c>
      <c r="X290" s="1">
        <v>3600000</v>
      </c>
      <c r="AB290" s="1" t="s">
        <v>44</v>
      </c>
      <c r="AF290" s="1">
        <v>10022</v>
      </c>
      <c r="AI290" s="1" t="s">
        <v>48</v>
      </c>
      <c r="AJ290" s="1">
        <v>2019</v>
      </c>
      <c r="AK290" s="1" t="s">
        <v>55</v>
      </c>
      <c r="AL290" s="1">
        <v>124</v>
      </c>
    </row>
    <row r="291" spans="1:38" x14ac:dyDescent="0.2">
      <c r="A291" s="2" t="str">
        <f>HYPERLINK("https://www.compass.com/listing/305-west-150th-street-unit-502-manhattan-ny-10039/29434122283869249/","305 W 150th St, Unit 502")</f>
        <v>305 W 150th St, Unit 502</v>
      </c>
      <c r="B291" s="2" t="str">
        <f>HYPERLINK("https://www.compass.com/building/305-w-150th-st-manhattan-ny-10039/282032234968400245/","305 W 150th St")</f>
        <v>305 W 150th St</v>
      </c>
      <c r="C291" s="1" t="s">
        <v>85</v>
      </c>
      <c r="D291" s="1" t="s">
        <v>41</v>
      </c>
      <c r="E291" s="3">
        <v>450000</v>
      </c>
      <c r="F291" s="1">
        <v>642.85714285714198</v>
      </c>
      <c r="G291" s="1">
        <v>3</v>
      </c>
      <c r="H291" s="1">
        <v>1</v>
      </c>
      <c r="I291" s="1">
        <v>1</v>
      </c>
      <c r="J291" s="1">
        <v>1</v>
      </c>
      <c r="K291" s="1">
        <v>1</v>
      </c>
      <c r="M291" s="1">
        <v>700</v>
      </c>
      <c r="N291" s="1">
        <v>432</v>
      </c>
      <c r="O291" s="1">
        <v>922</v>
      </c>
      <c r="P291" s="1">
        <v>490</v>
      </c>
      <c r="Q291" s="1" t="s">
        <v>129</v>
      </c>
      <c r="S291" s="1" t="s">
        <v>42</v>
      </c>
      <c r="T291" s="1" t="s">
        <v>51</v>
      </c>
      <c r="U291" s="1">
        <v>99</v>
      </c>
      <c r="V291" s="5">
        <v>44414</v>
      </c>
      <c r="W291" s="5">
        <v>44328</v>
      </c>
      <c r="X291" s="1">
        <v>450000</v>
      </c>
      <c r="AB291" s="1" t="s">
        <v>44</v>
      </c>
      <c r="AF291" s="1">
        <v>10039</v>
      </c>
      <c r="AI291" s="1" t="s">
        <v>80</v>
      </c>
      <c r="AJ291" s="1">
        <v>1921</v>
      </c>
      <c r="AK291" s="1" t="s">
        <v>143</v>
      </c>
      <c r="AL291" s="1">
        <v>84</v>
      </c>
    </row>
    <row r="292" spans="1:38" x14ac:dyDescent="0.2">
      <c r="A292" s="2" t="str">
        <f>HYPERLINK("https://www.compass.com/listing/138-east-50th-street-unit-17a-manhattan-ny-10022/831919161188503025/","138 E 50th St, Unit 17A")</f>
        <v>138 E 50th St, Unit 17A</v>
      </c>
      <c r="B292" s="2" t="str">
        <f>HYPERLINK("https://www.compass.com/building/the-centrale-manhattan-ny/281941497232811621/","The Centrale")</f>
        <v>The Centrale</v>
      </c>
      <c r="C292" s="1" t="s">
        <v>116</v>
      </c>
      <c r="D292" s="1" t="s">
        <v>41</v>
      </c>
      <c r="E292" s="3">
        <v>2900000</v>
      </c>
      <c r="F292" s="1">
        <v>2005.53250345781</v>
      </c>
      <c r="G292" s="1">
        <v>5.5</v>
      </c>
      <c r="H292" s="1">
        <v>2</v>
      </c>
      <c r="I292" s="1">
        <v>3</v>
      </c>
      <c r="J292" s="1">
        <v>2.5</v>
      </c>
      <c r="K292" s="1">
        <v>2</v>
      </c>
      <c r="L292" s="1">
        <v>1</v>
      </c>
      <c r="M292" s="4">
        <v>1446</v>
      </c>
      <c r="N292" s="1">
        <v>1452</v>
      </c>
      <c r="O292" s="1">
        <v>3615</v>
      </c>
      <c r="P292" s="1">
        <v>2163</v>
      </c>
      <c r="Q292" s="1" t="s">
        <v>42</v>
      </c>
      <c r="S292" s="1" t="s">
        <v>42</v>
      </c>
      <c r="T292" s="1" t="s">
        <v>51</v>
      </c>
      <c r="U292" s="1">
        <v>28</v>
      </c>
      <c r="V292" s="5">
        <v>44422</v>
      </c>
      <c r="W292" s="5">
        <v>44399</v>
      </c>
      <c r="X292" s="1">
        <v>2900000</v>
      </c>
      <c r="AB292" s="1" t="s">
        <v>44</v>
      </c>
      <c r="AF292" s="1">
        <v>10022</v>
      </c>
      <c r="AI292" s="1" t="s">
        <v>48</v>
      </c>
      <c r="AJ292" s="1">
        <v>2019</v>
      </c>
      <c r="AK292" s="1" t="s">
        <v>55</v>
      </c>
      <c r="AL292" s="1">
        <v>124</v>
      </c>
    </row>
    <row r="293" spans="1:38" x14ac:dyDescent="0.2">
      <c r="A293" s="2" t="str">
        <f>HYPERLINK("https://www.compass.com/listing/171-henry-street-unit-5b-manhattan-ny-10002/390479343646948401/","171 Henry St, Unit 5B")</f>
        <v>171 Henry St, Unit 5B</v>
      </c>
      <c r="B293" s="2" t="str">
        <f>HYPERLINK("https://www.compass.com/building/171-henry-street-manhattan-ny/294837097231611189/","171 Henry Street")</f>
        <v>171 Henry Street</v>
      </c>
      <c r="C293" s="1" t="s">
        <v>47</v>
      </c>
      <c r="D293" s="1" t="s">
        <v>41</v>
      </c>
      <c r="E293" s="3">
        <v>749000</v>
      </c>
      <c r="F293" s="1">
        <v>1095.0292397660801</v>
      </c>
      <c r="G293" s="1">
        <v>2</v>
      </c>
      <c r="H293" s="1" t="s">
        <v>99</v>
      </c>
      <c r="I293" s="1">
        <v>1</v>
      </c>
      <c r="J293" s="1">
        <v>1</v>
      </c>
      <c r="K293" s="1">
        <v>1</v>
      </c>
      <c r="M293" s="1">
        <v>684</v>
      </c>
      <c r="N293" s="1">
        <v>600</v>
      </c>
      <c r="O293" s="1">
        <v>1498</v>
      </c>
      <c r="P293" s="1">
        <v>898</v>
      </c>
      <c r="Q293" s="1" t="s">
        <v>42</v>
      </c>
      <c r="S293" s="1" t="s">
        <v>42</v>
      </c>
      <c r="T293" s="1" t="s">
        <v>51</v>
      </c>
      <c r="U293" s="1">
        <v>19</v>
      </c>
      <c r="V293" s="5">
        <v>44427</v>
      </c>
      <c r="W293" s="5">
        <v>44408</v>
      </c>
      <c r="X293" s="1">
        <v>749000</v>
      </c>
      <c r="AB293" s="1" t="s">
        <v>44</v>
      </c>
      <c r="AF293" s="1">
        <v>10002</v>
      </c>
      <c r="AI293" s="1" t="s">
        <v>135</v>
      </c>
      <c r="AJ293" s="1">
        <v>2017</v>
      </c>
      <c r="AL293" s="1">
        <v>20</v>
      </c>
    </row>
    <row r="294" spans="1:38" x14ac:dyDescent="0.2">
      <c r="A294" s="2" t="str">
        <f>HYPERLINK("https://www.compass.com/listing/1-west-end-avenue-unit-27f-manhattan-ny-10069/820715524826028025/","1 W End Ave, Unit 27F")</f>
        <v>1 W End Ave, Unit 27F</v>
      </c>
      <c r="B294" s="2" t="str">
        <f>HYPERLINK("https://www.compass.com/building/1-w-end-ave-manhattan-ny-10069/455676159137755317/","1 W End Ave")</f>
        <v>1 W End Ave</v>
      </c>
      <c r="C294" s="1" t="s">
        <v>57</v>
      </c>
      <c r="D294" s="1" t="s">
        <v>41</v>
      </c>
      <c r="E294" s="3">
        <v>6425000</v>
      </c>
      <c r="F294" s="1">
        <v>2265.5148095909699</v>
      </c>
      <c r="G294" s="1">
        <v>6</v>
      </c>
      <c r="H294" s="1">
        <v>4</v>
      </c>
      <c r="I294" s="1">
        <v>5</v>
      </c>
      <c r="J294" s="1">
        <v>4.5</v>
      </c>
      <c r="K294" s="1">
        <v>4</v>
      </c>
      <c r="L294" s="1">
        <v>1</v>
      </c>
      <c r="M294" s="4">
        <v>2836</v>
      </c>
      <c r="N294" s="1">
        <v>3376</v>
      </c>
      <c r="O294" s="1">
        <v>3568</v>
      </c>
      <c r="P294" s="1">
        <v>192</v>
      </c>
      <c r="Q294" s="1" t="s">
        <v>42</v>
      </c>
      <c r="S294" s="1" t="s">
        <v>42</v>
      </c>
      <c r="T294" s="1" t="s">
        <v>51</v>
      </c>
      <c r="U294" s="1">
        <v>43</v>
      </c>
      <c r="V294" s="5">
        <v>44426</v>
      </c>
      <c r="W294" s="5">
        <v>44383</v>
      </c>
      <c r="X294" s="1">
        <v>6525000</v>
      </c>
      <c r="AB294" s="1" t="s">
        <v>44</v>
      </c>
      <c r="AF294" s="1">
        <v>10069</v>
      </c>
      <c r="AI294" s="1" t="s">
        <v>97</v>
      </c>
      <c r="AJ294" s="1">
        <v>2017</v>
      </c>
      <c r="AK294" s="1" t="s">
        <v>55</v>
      </c>
      <c r="AL294" s="1">
        <v>246</v>
      </c>
    </row>
    <row r="295" spans="1:38" x14ac:dyDescent="0.2">
      <c r="A295" s="2" t="str">
        <f>HYPERLINK("https://www.compass.com/listing/456-west-167th-street-unit-6e-manhattan-ny-10032/820919177042723537/","456 W 167th St, Unit 6E")</f>
        <v>456 W 167th St, Unit 6E</v>
      </c>
      <c r="B295" s="2" t="str">
        <f>HYPERLINK("https://www.compass.com/building/edgecombe-parc-manhattan-ny/282005897969005013/","Edgecombe Parc")</f>
        <v>Edgecombe Parc</v>
      </c>
      <c r="C295" s="1" t="s">
        <v>93</v>
      </c>
      <c r="D295" s="1" t="s">
        <v>41</v>
      </c>
      <c r="E295" s="3">
        <v>760000</v>
      </c>
      <c r="F295" s="1">
        <v>814.57663451232497</v>
      </c>
      <c r="G295" s="1">
        <v>5</v>
      </c>
      <c r="H295" s="1">
        <v>2</v>
      </c>
      <c r="I295" s="1">
        <v>2</v>
      </c>
      <c r="J295" s="1">
        <v>2</v>
      </c>
      <c r="K295" s="1">
        <v>2</v>
      </c>
      <c r="M295" s="1">
        <v>933</v>
      </c>
      <c r="N295" s="1">
        <v>778</v>
      </c>
      <c r="O295" s="1">
        <v>1710</v>
      </c>
      <c r="P295" s="1">
        <v>932</v>
      </c>
      <c r="Q295" s="1" t="s">
        <v>42</v>
      </c>
      <c r="S295" s="1" t="s">
        <v>42</v>
      </c>
      <c r="T295" s="1" t="s">
        <v>51</v>
      </c>
      <c r="U295" s="1">
        <v>42</v>
      </c>
      <c r="V295" s="5">
        <v>44405</v>
      </c>
      <c r="W295" s="5">
        <v>44384</v>
      </c>
      <c r="X295" s="1">
        <v>790000</v>
      </c>
      <c r="AB295" s="1" t="s">
        <v>44</v>
      </c>
      <c r="AF295" s="1">
        <v>10032</v>
      </c>
      <c r="AI295" s="1" t="s">
        <v>203</v>
      </c>
      <c r="AJ295" s="1">
        <v>2014</v>
      </c>
      <c r="AK295" s="1" t="s">
        <v>70</v>
      </c>
      <c r="AL295" s="1">
        <v>49</v>
      </c>
    </row>
    <row r="296" spans="1:38" x14ac:dyDescent="0.2">
      <c r="A296" s="2" t="str">
        <f>HYPERLINK("https://www.compass.com/listing/325-lexington-avenue-unit-6b-manhattan-ny-10016/810884317271328265/","325 Lexington Ave, Unit 6B")</f>
        <v>325 Lexington Ave, Unit 6B</v>
      </c>
      <c r="B296" s="2" t="str">
        <f>HYPERLINK("https://www.compass.com/building/325-lex-condominium-manhattan-ny/281939882467713365/","325 Lex Condominium")</f>
        <v>325 Lex Condominium</v>
      </c>
      <c r="C296" s="1" t="s">
        <v>59</v>
      </c>
      <c r="D296" s="1" t="s">
        <v>41</v>
      </c>
      <c r="E296" s="3">
        <v>829000</v>
      </c>
      <c r="F296" s="1">
        <v>1661.3226452905801</v>
      </c>
      <c r="G296" s="1">
        <v>2</v>
      </c>
      <c r="H296" s="1" t="s">
        <v>99</v>
      </c>
      <c r="I296" s="1">
        <v>1</v>
      </c>
      <c r="J296" s="1">
        <v>1</v>
      </c>
      <c r="K296" s="1">
        <v>1</v>
      </c>
      <c r="M296" s="1">
        <v>499</v>
      </c>
      <c r="N296" s="1">
        <v>805</v>
      </c>
      <c r="O296" s="1">
        <v>1272</v>
      </c>
      <c r="P296" s="1">
        <v>467</v>
      </c>
      <c r="Q296" s="1" t="s">
        <v>42</v>
      </c>
      <c r="S296" s="1" t="s">
        <v>42</v>
      </c>
      <c r="T296" s="1" t="s">
        <v>51</v>
      </c>
      <c r="U296" s="1">
        <v>56</v>
      </c>
      <c r="V296" s="5">
        <v>44419</v>
      </c>
      <c r="W296" s="5">
        <v>44371</v>
      </c>
      <c r="X296" s="1">
        <v>829000</v>
      </c>
      <c r="AB296" s="1" t="s">
        <v>44</v>
      </c>
      <c r="AF296" s="1">
        <v>10016</v>
      </c>
      <c r="AI296" s="1" t="s">
        <v>204</v>
      </c>
      <c r="AJ296" s="1">
        <v>2014</v>
      </c>
      <c r="AK296" s="1" t="s">
        <v>55</v>
      </c>
      <c r="AL296" s="1">
        <v>125</v>
      </c>
    </row>
    <row r="297" spans="1:38" x14ac:dyDescent="0.2">
      <c r="A297" s="2" t="str">
        <f>HYPERLINK("https://www.compass.com/listing/1-west-end-avenue-unit-34b-manhattan-ny-10069/815955948778356041/","1 W End Ave, Unit 34B")</f>
        <v>1 W End Ave, Unit 34B</v>
      </c>
      <c r="B297" s="2" t="str">
        <f>HYPERLINK("https://www.compass.com/building/1-w-end-ave-manhattan-ny-10069/455676159137755317/","1 W End Ave")</f>
        <v>1 W End Ave</v>
      </c>
      <c r="C297" s="1" t="s">
        <v>57</v>
      </c>
      <c r="D297" s="1" t="s">
        <v>41</v>
      </c>
      <c r="E297" s="3">
        <v>6950000</v>
      </c>
      <c r="F297" s="1">
        <v>2468.91651865008</v>
      </c>
      <c r="G297" s="1">
        <v>6</v>
      </c>
      <c r="H297" s="1">
        <v>4</v>
      </c>
      <c r="I297" s="1">
        <v>5</v>
      </c>
      <c r="J297" s="1">
        <v>4.5</v>
      </c>
      <c r="K297" s="1">
        <v>4</v>
      </c>
      <c r="L297" s="1">
        <v>1</v>
      </c>
      <c r="M297" s="4">
        <v>2815</v>
      </c>
      <c r="N297" s="1">
        <v>3359</v>
      </c>
      <c r="O297" s="1">
        <v>3553</v>
      </c>
      <c r="P297" s="1">
        <v>194</v>
      </c>
      <c r="Q297" s="1" t="s">
        <v>42</v>
      </c>
      <c r="S297" s="1" t="s">
        <v>42</v>
      </c>
      <c r="T297" s="1" t="s">
        <v>51</v>
      </c>
      <c r="U297" s="1">
        <v>50</v>
      </c>
      <c r="V297" s="5">
        <v>44424</v>
      </c>
      <c r="W297" s="5">
        <v>44377</v>
      </c>
      <c r="X297" s="1">
        <v>6950000</v>
      </c>
      <c r="AB297" s="1" t="s">
        <v>44</v>
      </c>
      <c r="AF297" s="1">
        <v>10069</v>
      </c>
      <c r="AI297" s="1" t="s">
        <v>165</v>
      </c>
      <c r="AJ297" s="1">
        <v>2017</v>
      </c>
      <c r="AK297" s="1" t="s">
        <v>108</v>
      </c>
      <c r="AL297" s="1">
        <v>246</v>
      </c>
    </row>
    <row r="298" spans="1:38" x14ac:dyDescent="0.2">
      <c r="A298" s="2" t="str">
        <f>HYPERLINK("https://www.compass.com/listing/252-south-street-unit-80e-manhattan-ny-10002/842133948907042617/","252 South St, Unit 80E")</f>
        <v>252 South St, Unit 80E</v>
      </c>
      <c r="B298" s="2" t="str">
        <f>HYPERLINK("https://www.compass.com/building/one-manhattan-square-manhattan-ny/294844950218926165/","One Manhattan Square")</f>
        <v>One Manhattan Square</v>
      </c>
      <c r="C298" s="1" t="s">
        <v>47</v>
      </c>
      <c r="D298" s="1" t="s">
        <v>41</v>
      </c>
      <c r="E298" s="3">
        <v>3835000</v>
      </c>
      <c r="F298" s="1">
        <v>2851.3011152416302</v>
      </c>
      <c r="G298" s="1">
        <v>4.5</v>
      </c>
      <c r="H298" s="1">
        <v>2</v>
      </c>
      <c r="I298" s="1">
        <v>3</v>
      </c>
      <c r="J298" s="1">
        <v>2.5</v>
      </c>
      <c r="K298" s="1">
        <v>2</v>
      </c>
      <c r="L298" s="1">
        <v>1</v>
      </c>
      <c r="M298" s="4">
        <v>1345</v>
      </c>
      <c r="N298" s="1">
        <v>1969</v>
      </c>
      <c r="O298" s="1">
        <v>2000</v>
      </c>
      <c r="P298" s="1">
        <v>31</v>
      </c>
      <c r="Q298" s="1" t="s">
        <v>42</v>
      </c>
      <c r="S298" s="1" t="s">
        <v>42</v>
      </c>
      <c r="T298" s="1" t="s">
        <v>51</v>
      </c>
      <c r="U298" s="1">
        <v>14</v>
      </c>
      <c r="V298" s="5">
        <v>44414</v>
      </c>
      <c r="W298" s="5">
        <v>44413</v>
      </c>
      <c r="X298" s="1">
        <v>3835000</v>
      </c>
      <c r="AB298" s="1" t="s">
        <v>44</v>
      </c>
      <c r="AF298" s="1">
        <v>10002</v>
      </c>
      <c r="AI298" s="1" t="s">
        <v>191</v>
      </c>
      <c r="AJ298" s="1">
        <v>2019</v>
      </c>
      <c r="AK298" s="1" t="s">
        <v>46</v>
      </c>
      <c r="AL298" s="1">
        <v>787</v>
      </c>
    </row>
    <row r="299" spans="1:38" x14ac:dyDescent="0.2">
      <c r="A299" s="2" t="str">
        <f>HYPERLINK("https://www.compass.com/listing/1-west-end-avenue-unit-8e-manhattan-ny-10069/147326871707584161/","1 W End Ave, Unit 8E")</f>
        <v>1 W End Ave, Unit 8E</v>
      </c>
      <c r="B299" s="2" t="str">
        <f>HYPERLINK("https://www.compass.com/building/1-w-end-ave-manhattan-ny-10069/455676159137755317/","1 W End Ave")</f>
        <v>1 W End Ave</v>
      </c>
      <c r="C299" s="1" t="s">
        <v>57</v>
      </c>
      <c r="D299" s="1" t="s">
        <v>41</v>
      </c>
      <c r="E299" s="3">
        <v>2050000</v>
      </c>
      <c r="F299" s="1">
        <v>1774.89177489177</v>
      </c>
      <c r="G299" s="1">
        <v>3</v>
      </c>
      <c r="H299" s="1">
        <v>1</v>
      </c>
      <c r="I299" s="1">
        <v>2</v>
      </c>
      <c r="J299" s="1">
        <v>1.5</v>
      </c>
      <c r="K299" s="1">
        <v>1</v>
      </c>
      <c r="L299" s="1">
        <v>1</v>
      </c>
      <c r="M299" s="4">
        <v>1155</v>
      </c>
      <c r="N299" s="1">
        <v>1191</v>
      </c>
      <c r="O299" s="1">
        <v>1262</v>
      </c>
      <c r="P299" s="1">
        <v>71</v>
      </c>
      <c r="Q299" s="1" t="s">
        <v>42</v>
      </c>
      <c r="S299" s="1" t="s">
        <v>42</v>
      </c>
      <c r="T299" s="1" t="s">
        <v>51</v>
      </c>
      <c r="U299" s="1">
        <v>61</v>
      </c>
      <c r="V299" s="5">
        <v>44427</v>
      </c>
      <c r="W299" s="5">
        <v>44366</v>
      </c>
      <c r="AB299" s="1" t="s">
        <v>44</v>
      </c>
      <c r="AF299" s="1">
        <v>10069</v>
      </c>
      <c r="AI299" s="1" t="s">
        <v>205</v>
      </c>
      <c r="AJ299" s="1">
        <v>2017</v>
      </c>
      <c r="AK299" s="1" t="s">
        <v>108</v>
      </c>
      <c r="AL299" s="1">
        <v>246</v>
      </c>
    </row>
    <row r="300" spans="1:38" x14ac:dyDescent="0.2">
      <c r="A300" s="2" t="str">
        <f>HYPERLINK("https://www.compass.com/listing/325-lexington-avenue-unit-9b-manhattan-ny-10016/809429649613917033/","325 Lexington Ave, Unit 9B")</f>
        <v>325 Lexington Ave, Unit 9B</v>
      </c>
      <c r="B300" s="2" t="str">
        <f>HYPERLINK("https://www.compass.com/building/325-lex-condominium-manhattan-ny/281939882467713365/","325 Lex Condominium")</f>
        <v>325 Lex Condominium</v>
      </c>
      <c r="C300" s="1" t="s">
        <v>59</v>
      </c>
      <c r="D300" s="1" t="s">
        <v>41</v>
      </c>
      <c r="E300" s="3">
        <v>1550000</v>
      </c>
      <c r="F300" s="1">
        <v>1765.37585421412</v>
      </c>
      <c r="G300" s="1">
        <v>3</v>
      </c>
      <c r="H300" s="1">
        <v>1</v>
      </c>
      <c r="I300" s="1">
        <v>1</v>
      </c>
      <c r="J300" s="1">
        <v>1</v>
      </c>
      <c r="K300" s="1">
        <v>1</v>
      </c>
      <c r="M300" s="1">
        <v>878</v>
      </c>
      <c r="N300" s="1">
        <v>1365</v>
      </c>
      <c r="O300" s="1">
        <v>2203</v>
      </c>
      <c r="P300" s="1">
        <v>838</v>
      </c>
      <c r="Q300" s="1" t="s">
        <v>42</v>
      </c>
      <c r="S300" s="1" t="s">
        <v>42</v>
      </c>
      <c r="T300" s="1" t="s">
        <v>51</v>
      </c>
      <c r="U300" s="1">
        <v>59</v>
      </c>
      <c r="V300" s="5">
        <v>44427</v>
      </c>
      <c r="W300" s="5">
        <v>44368</v>
      </c>
      <c r="X300" s="1">
        <v>1550000</v>
      </c>
      <c r="AB300" s="1" t="s">
        <v>44</v>
      </c>
      <c r="AF300" s="1">
        <v>10016</v>
      </c>
      <c r="AI300" s="1" t="s">
        <v>206</v>
      </c>
      <c r="AJ300" s="1">
        <v>2014</v>
      </c>
      <c r="AK300" s="1" t="s">
        <v>55</v>
      </c>
      <c r="AL300" s="1">
        <v>125</v>
      </c>
    </row>
    <row r="301" spans="1:38" x14ac:dyDescent="0.2">
      <c r="A301" s="2" t="str">
        <f>HYPERLINK("https://www.compass.com/listing/306-west-148th-street-unit-ph1-manhattan-ny-10039/759120233765089969/","306 W 148th St, Unit PH1")</f>
        <v>306 W 148th St, Unit PH1</v>
      </c>
      <c r="B301" s="2" t="str">
        <f>HYPERLINK("https://www.compass.com/building/baldwin-park-condominium-manhattan-ny/282032236973275253/","Baldwin Park Condominium")</f>
        <v>Baldwin Park Condominium</v>
      </c>
      <c r="C301" s="1" t="s">
        <v>85</v>
      </c>
      <c r="D301" s="1" t="s">
        <v>41</v>
      </c>
      <c r="E301" s="3">
        <v>1269000</v>
      </c>
      <c r="F301" s="1">
        <v>1026.69902912621</v>
      </c>
      <c r="G301" s="1">
        <v>5</v>
      </c>
      <c r="H301" s="1">
        <v>2</v>
      </c>
      <c r="J301" s="1">
        <v>2</v>
      </c>
      <c r="M301" s="4">
        <v>1236</v>
      </c>
      <c r="N301" s="1">
        <v>755</v>
      </c>
      <c r="O301" s="1">
        <v>910</v>
      </c>
      <c r="P301" s="1">
        <v>155</v>
      </c>
      <c r="S301" s="1" t="s">
        <v>42</v>
      </c>
      <c r="T301" s="1" t="s">
        <v>51</v>
      </c>
      <c r="U301" s="1">
        <v>128</v>
      </c>
      <c r="V301" s="5">
        <v>44337</v>
      </c>
      <c r="W301" s="5">
        <v>44298</v>
      </c>
      <c r="X301" s="1">
        <v>1269000</v>
      </c>
      <c r="AB301" s="1" t="s">
        <v>44</v>
      </c>
      <c r="AF301" s="1">
        <v>10039</v>
      </c>
      <c r="AI301" s="1" t="s">
        <v>207</v>
      </c>
      <c r="AJ301" s="1">
        <v>2017</v>
      </c>
      <c r="AL301" s="1">
        <v>7</v>
      </c>
    </row>
    <row r="302" spans="1:38" x14ac:dyDescent="0.2">
      <c r="A302" s="2" t="str">
        <f>HYPERLINK("https://www.compass.com/listing/15-hudson-yards-unit-ph87c-manhattan-ny-10001/825306335220974889/","15 Hudson Yards, Unit PH87C")</f>
        <v>15 Hudson Yards, Unit PH87C</v>
      </c>
      <c r="B302" s="2" t="str">
        <f t="shared" ref="B302:B307" si="34">HYPERLINK("https://www.compass.com/building/fifteen-hudson-yards-manhattan-ny/282058587512011909/","Fifteen Hudson Yards")</f>
        <v>Fifteen Hudson Yards</v>
      </c>
      <c r="C302" s="1" t="s">
        <v>77</v>
      </c>
      <c r="D302" s="1" t="s">
        <v>41</v>
      </c>
      <c r="E302" s="3">
        <v>19990000</v>
      </c>
      <c r="F302" s="1">
        <v>3952.9365236306098</v>
      </c>
      <c r="G302" s="1">
        <v>7</v>
      </c>
      <c r="H302" s="1">
        <v>4</v>
      </c>
      <c r="I302" s="1">
        <v>6</v>
      </c>
      <c r="J302" s="1">
        <v>5.5</v>
      </c>
      <c r="K302" s="1">
        <v>5</v>
      </c>
      <c r="L302" s="1">
        <v>1</v>
      </c>
      <c r="M302" s="4">
        <v>5057</v>
      </c>
      <c r="N302" s="1">
        <v>12605</v>
      </c>
      <c r="O302" s="1">
        <v>12762</v>
      </c>
      <c r="P302" s="1">
        <v>157</v>
      </c>
      <c r="Q302" s="1" t="s">
        <v>42</v>
      </c>
      <c r="S302" s="1" t="s">
        <v>42</v>
      </c>
      <c r="T302" s="1" t="s">
        <v>51</v>
      </c>
      <c r="U302" s="1">
        <v>36</v>
      </c>
      <c r="V302" s="5">
        <v>44419</v>
      </c>
      <c r="W302" s="5">
        <v>44391</v>
      </c>
      <c r="X302" s="1">
        <v>19990000</v>
      </c>
      <c r="AB302" s="1" t="s">
        <v>44</v>
      </c>
      <c r="AF302" s="1">
        <v>10001</v>
      </c>
      <c r="AI302" s="1" t="s">
        <v>208</v>
      </c>
      <c r="AJ302" s="1">
        <v>2018</v>
      </c>
      <c r="AK302" s="1" t="s">
        <v>46</v>
      </c>
      <c r="AL302" s="1">
        <v>285</v>
      </c>
    </row>
    <row r="303" spans="1:38" x14ac:dyDescent="0.2">
      <c r="A303" s="2" t="str">
        <f>HYPERLINK("https://www.compass.com/listing/15-hudson-yards-unit-35d-manhattan-ny-10001/773766677043950425/","15 Hudson Yards, Unit 35D")</f>
        <v>15 Hudson Yards, Unit 35D</v>
      </c>
      <c r="B303" s="2" t="str">
        <f t="shared" si="34"/>
        <v>Fifteen Hudson Yards</v>
      </c>
      <c r="C303" s="1" t="s">
        <v>77</v>
      </c>
      <c r="D303" s="1" t="s">
        <v>41</v>
      </c>
      <c r="E303" s="3">
        <v>3995000</v>
      </c>
      <c r="F303" s="1">
        <v>2555.9820857325599</v>
      </c>
      <c r="G303" s="1">
        <v>4</v>
      </c>
      <c r="H303" s="1">
        <v>2</v>
      </c>
      <c r="J303" s="1">
        <v>2.5</v>
      </c>
      <c r="M303" s="4">
        <v>1563</v>
      </c>
      <c r="N303" s="1">
        <v>3533</v>
      </c>
      <c r="O303" s="1">
        <v>3579</v>
      </c>
      <c r="P303" s="1">
        <v>46</v>
      </c>
      <c r="S303" s="1" t="s">
        <v>42</v>
      </c>
      <c r="T303" s="1" t="s">
        <v>51</v>
      </c>
      <c r="U303" s="1">
        <v>128</v>
      </c>
      <c r="V303" s="5">
        <v>44364</v>
      </c>
      <c r="W303" s="5">
        <v>44298</v>
      </c>
      <c r="X303" s="1">
        <v>3995000</v>
      </c>
      <c r="AB303" s="1" t="s">
        <v>44</v>
      </c>
      <c r="AF303" s="1">
        <v>10001</v>
      </c>
      <c r="AI303" s="1" t="s">
        <v>182</v>
      </c>
      <c r="AJ303" s="1">
        <v>2018</v>
      </c>
      <c r="AK303" s="1" t="s">
        <v>49</v>
      </c>
      <c r="AL303" s="1">
        <v>285</v>
      </c>
    </row>
    <row r="304" spans="1:38" x14ac:dyDescent="0.2">
      <c r="A304" s="2" t="str">
        <f>HYPERLINK("https://www.compass.com/listing/15-hudson-yards-unit-26e-manhattan-ny-10001/746144798687416097/","15 Hudson Yards, Unit 26E")</f>
        <v>15 Hudson Yards, Unit 26E</v>
      </c>
      <c r="B304" s="2" t="str">
        <f t="shared" si="34"/>
        <v>Fifteen Hudson Yards</v>
      </c>
      <c r="C304" s="1" t="s">
        <v>77</v>
      </c>
      <c r="D304" s="1" t="s">
        <v>41</v>
      </c>
      <c r="E304" s="3">
        <v>2590000</v>
      </c>
      <c r="F304" s="1">
        <v>2613.5216952573101</v>
      </c>
      <c r="G304" s="1">
        <v>4</v>
      </c>
      <c r="H304" s="1">
        <v>1</v>
      </c>
      <c r="J304" s="1">
        <v>1.5</v>
      </c>
      <c r="M304" s="1">
        <v>991</v>
      </c>
      <c r="N304" s="1">
        <v>2418</v>
      </c>
      <c r="O304" s="1">
        <v>2453</v>
      </c>
      <c r="P304" s="1">
        <v>35</v>
      </c>
      <c r="S304" s="1" t="s">
        <v>42</v>
      </c>
      <c r="T304" s="1" t="s">
        <v>51</v>
      </c>
      <c r="U304" s="1">
        <v>146</v>
      </c>
      <c r="V304" s="5">
        <v>44403</v>
      </c>
      <c r="W304" s="5">
        <v>44280</v>
      </c>
      <c r="X304" s="1">
        <v>2590000</v>
      </c>
      <c r="AB304" s="1" t="s">
        <v>44</v>
      </c>
      <c r="AF304" s="1">
        <v>10001</v>
      </c>
      <c r="AI304" s="1" t="s">
        <v>78</v>
      </c>
      <c r="AJ304" s="1">
        <v>2018</v>
      </c>
      <c r="AK304" s="1" t="s">
        <v>121</v>
      </c>
      <c r="AL304" s="1">
        <v>285</v>
      </c>
    </row>
    <row r="305" spans="1:38" x14ac:dyDescent="0.2">
      <c r="A305" s="2" t="str">
        <f>HYPERLINK("https://www.compass.com/listing/15-hudson-yards-unit-24h-manhattan-ny-10001/821821059231187201/","15 Hudson Yards, Unit 24H")</f>
        <v>15 Hudson Yards, Unit 24H</v>
      </c>
      <c r="B305" s="2" t="str">
        <f t="shared" si="34"/>
        <v>Fifteen Hudson Yards</v>
      </c>
      <c r="C305" s="1" t="s">
        <v>77</v>
      </c>
      <c r="D305" s="1" t="s">
        <v>41</v>
      </c>
      <c r="E305" s="3">
        <v>5495000</v>
      </c>
      <c r="F305" s="1">
        <v>2474.1107609185001</v>
      </c>
      <c r="G305" s="1">
        <v>5</v>
      </c>
      <c r="H305" s="1">
        <v>3</v>
      </c>
      <c r="I305" s="1">
        <v>3</v>
      </c>
      <c r="J305" s="1">
        <v>3</v>
      </c>
      <c r="K305" s="1">
        <v>3</v>
      </c>
      <c r="M305" s="4">
        <v>2221</v>
      </c>
      <c r="N305" s="1">
        <v>5257</v>
      </c>
      <c r="O305" s="1">
        <v>5323</v>
      </c>
      <c r="P305" s="1">
        <v>66</v>
      </c>
      <c r="Q305" s="1" t="s">
        <v>42</v>
      </c>
      <c r="S305" s="1" t="s">
        <v>42</v>
      </c>
      <c r="T305" s="1" t="s">
        <v>51</v>
      </c>
      <c r="U305" s="1">
        <v>42</v>
      </c>
      <c r="V305" s="5">
        <v>44415</v>
      </c>
      <c r="W305" s="5">
        <v>44385</v>
      </c>
      <c r="X305" s="1">
        <v>5495000</v>
      </c>
      <c r="AB305" s="1" t="s">
        <v>44</v>
      </c>
      <c r="AF305" s="1">
        <v>10001</v>
      </c>
      <c r="AJ305" s="1">
        <v>2018</v>
      </c>
      <c r="AK305" s="1" t="s">
        <v>46</v>
      </c>
      <c r="AL305" s="1">
        <v>285</v>
      </c>
    </row>
    <row r="306" spans="1:38" x14ac:dyDescent="0.2">
      <c r="A306" s="2" t="str">
        <f>HYPERLINK("https://www.compass.com/listing/15-hudson-yards-unit-79b-manhattan-ny-10001/821825395747360225/","15 Hudson Yards, Unit 79B")</f>
        <v>15 Hudson Yards, Unit 79B</v>
      </c>
      <c r="B306" s="2" t="str">
        <f t="shared" si="34"/>
        <v>Fifteen Hudson Yards</v>
      </c>
      <c r="C306" s="1" t="s">
        <v>77</v>
      </c>
      <c r="D306" s="1" t="s">
        <v>41</v>
      </c>
      <c r="E306" s="3">
        <v>9975000</v>
      </c>
      <c r="F306" s="1">
        <v>3261.9359058207901</v>
      </c>
      <c r="G306" s="1">
        <v>5.5</v>
      </c>
      <c r="H306" s="1">
        <v>4</v>
      </c>
      <c r="I306" s="1">
        <v>5</v>
      </c>
      <c r="J306" s="1">
        <v>4.5</v>
      </c>
      <c r="K306" s="1">
        <v>4</v>
      </c>
      <c r="L306" s="1">
        <v>1</v>
      </c>
      <c r="M306" s="4">
        <v>3058</v>
      </c>
      <c r="N306" s="1">
        <v>7898</v>
      </c>
      <c r="O306" s="1">
        <v>7997</v>
      </c>
      <c r="P306" s="1">
        <v>99</v>
      </c>
      <c r="Q306" s="1" t="s">
        <v>42</v>
      </c>
      <c r="S306" s="1" t="s">
        <v>42</v>
      </c>
      <c r="T306" s="1" t="s">
        <v>51</v>
      </c>
      <c r="U306" s="1">
        <v>42</v>
      </c>
      <c r="V306" s="5">
        <v>44415</v>
      </c>
      <c r="W306" s="5">
        <v>44385</v>
      </c>
      <c r="X306" s="1">
        <v>9975000</v>
      </c>
      <c r="AB306" s="1" t="s">
        <v>44</v>
      </c>
      <c r="AF306" s="1">
        <v>10001</v>
      </c>
      <c r="AJ306" s="1">
        <v>2018</v>
      </c>
      <c r="AK306" s="1" t="s">
        <v>46</v>
      </c>
      <c r="AL306" s="1">
        <v>285</v>
      </c>
    </row>
    <row r="307" spans="1:38" x14ac:dyDescent="0.2">
      <c r="A307" s="2" t="str">
        <f>HYPERLINK("https://www.compass.com/listing/15-hudson-yards-unit-63e-manhattan-ny-10001/821770917400614689/","15 Hudson Yards, Unit 63E")</f>
        <v>15 Hudson Yards, Unit 63E</v>
      </c>
      <c r="B307" s="2" t="str">
        <f t="shared" si="34"/>
        <v>Fifteen Hudson Yards</v>
      </c>
      <c r="C307" s="1" t="s">
        <v>77</v>
      </c>
      <c r="D307" s="1" t="s">
        <v>41</v>
      </c>
      <c r="E307" s="3">
        <v>6750000</v>
      </c>
      <c r="F307" s="1">
        <v>2681.76400476758</v>
      </c>
      <c r="G307" s="1">
        <v>4</v>
      </c>
      <c r="H307" s="1">
        <v>2</v>
      </c>
      <c r="I307" s="1">
        <v>3</v>
      </c>
      <c r="J307" s="1">
        <v>2.5</v>
      </c>
      <c r="K307" s="1">
        <v>2</v>
      </c>
      <c r="L307" s="1">
        <v>1</v>
      </c>
      <c r="M307" s="4">
        <v>2517</v>
      </c>
      <c r="N307" s="1">
        <v>5992</v>
      </c>
      <c r="O307" s="1">
        <v>6067</v>
      </c>
      <c r="P307" s="1">
        <v>75</v>
      </c>
      <c r="Q307" s="1" t="s">
        <v>42</v>
      </c>
      <c r="S307" s="1" t="s">
        <v>42</v>
      </c>
      <c r="T307" s="1" t="s">
        <v>51</v>
      </c>
      <c r="U307" s="1">
        <v>42</v>
      </c>
      <c r="V307" s="5">
        <v>44415</v>
      </c>
      <c r="W307" s="5">
        <v>44385</v>
      </c>
      <c r="X307" s="1">
        <v>6750000</v>
      </c>
      <c r="AB307" s="1" t="s">
        <v>44</v>
      </c>
      <c r="AF307" s="1">
        <v>10001</v>
      </c>
      <c r="AI307" s="1" t="s">
        <v>182</v>
      </c>
      <c r="AJ307" s="1">
        <v>2018</v>
      </c>
      <c r="AK307" s="1" t="s">
        <v>46</v>
      </c>
      <c r="AL307" s="1">
        <v>285</v>
      </c>
    </row>
    <row r="308" spans="1:38" x14ac:dyDescent="0.2">
      <c r="A308" s="2" t="str">
        <f>HYPERLINK("https://www.compass.com/listing/217-west-57th-street-unit-57e-manhattan-ny-10019/809316948346424529/","217 W 57th St, Unit 57E")</f>
        <v>217 W 57th St, Unit 57E</v>
      </c>
      <c r="B308" s="2" t="str">
        <f>HYPERLINK("https://www.compass.com/building/central-park-tower-manhattan-ny/292845475244082085/","Central Park Tower")</f>
        <v>Central Park Tower</v>
      </c>
      <c r="C308" s="1" t="s">
        <v>139</v>
      </c>
      <c r="D308" s="1" t="s">
        <v>41</v>
      </c>
      <c r="E308" s="3">
        <v>18950000</v>
      </c>
      <c r="F308" s="1">
        <v>5633.17479191438</v>
      </c>
      <c r="G308" s="1">
        <v>6.5</v>
      </c>
      <c r="H308" s="1">
        <v>3</v>
      </c>
      <c r="I308" s="1">
        <v>3</v>
      </c>
      <c r="J308" s="1">
        <v>3</v>
      </c>
      <c r="K308" s="1">
        <v>3</v>
      </c>
      <c r="M308" s="4">
        <v>3364</v>
      </c>
      <c r="N308" s="1">
        <v>4529</v>
      </c>
      <c r="O308" s="1">
        <v>12543</v>
      </c>
      <c r="P308" s="1">
        <v>8014</v>
      </c>
      <c r="Q308" s="1" t="s">
        <v>42</v>
      </c>
      <c r="S308" s="1" t="s">
        <v>42</v>
      </c>
      <c r="T308" s="1" t="s">
        <v>51</v>
      </c>
      <c r="U308" s="1">
        <v>58</v>
      </c>
      <c r="V308" s="5">
        <v>44399</v>
      </c>
      <c r="W308" s="5">
        <v>44368</v>
      </c>
      <c r="X308" s="1">
        <v>18950000</v>
      </c>
      <c r="AB308" s="1" t="s">
        <v>44</v>
      </c>
      <c r="AF308" s="1">
        <v>10019</v>
      </c>
      <c r="AI308" s="1" t="s">
        <v>140</v>
      </c>
      <c r="AJ308" s="1">
        <v>2020</v>
      </c>
      <c r="AK308" s="1" t="s">
        <v>108</v>
      </c>
      <c r="AL308" s="1">
        <v>179</v>
      </c>
    </row>
    <row r="309" spans="1:38" x14ac:dyDescent="0.2">
      <c r="A309" s="2" t="str">
        <f>HYPERLINK("https://www.compass.com/listing/416-west-52nd-street-unit-617-manhattan-ny-10019/765997405974014385/","416 W 52nd St, Unit 617")</f>
        <v>416 W 52nd St, Unit 617</v>
      </c>
      <c r="B309" s="2" t="str">
        <f>HYPERLINK("https://www.compass.com/building/nine52-manhattan-ny/281945622951555813/","Nine52")</f>
        <v>Nine52</v>
      </c>
      <c r="C309" s="1" t="s">
        <v>90</v>
      </c>
      <c r="D309" s="1" t="s">
        <v>41</v>
      </c>
      <c r="E309" s="3">
        <v>1250000</v>
      </c>
      <c r="F309" s="1">
        <v>1511.4873035066501</v>
      </c>
      <c r="G309" s="1">
        <v>3</v>
      </c>
      <c r="H309" s="1">
        <v>1</v>
      </c>
      <c r="I309" s="1">
        <v>1</v>
      </c>
      <c r="J309" s="1">
        <v>1</v>
      </c>
      <c r="K309" s="1">
        <v>1</v>
      </c>
      <c r="M309" s="1">
        <v>827</v>
      </c>
      <c r="N309" s="1">
        <v>646</v>
      </c>
      <c r="O309" s="1">
        <v>2484</v>
      </c>
      <c r="P309" s="1">
        <v>1838</v>
      </c>
      <c r="Q309" s="1" t="s">
        <v>105</v>
      </c>
      <c r="S309" s="1" t="s">
        <v>105</v>
      </c>
      <c r="T309" s="1" t="s">
        <v>51</v>
      </c>
      <c r="U309" s="1">
        <v>115</v>
      </c>
      <c r="V309" s="5">
        <v>44427</v>
      </c>
      <c r="W309" s="5">
        <v>44312</v>
      </c>
      <c r="X309" s="1">
        <v>1250000</v>
      </c>
      <c r="AB309" s="1" t="s">
        <v>44</v>
      </c>
      <c r="AF309" s="1">
        <v>10019</v>
      </c>
      <c r="AI309" s="1" t="s">
        <v>48</v>
      </c>
      <c r="AJ309" s="1">
        <v>1940</v>
      </c>
      <c r="AK309" s="1" t="s">
        <v>108</v>
      </c>
      <c r="AL309" s="1">
        <v>155</v>
      </c>
    </row>
    <row r="310" spans="1:38" x14ac:dyDescent="0.2">
      <c r="A310" s="2" t="str">
        <f>HYPERLINK("https://www.compass.com/listing/325-lexington-avenue-unit-15a-manhattan-ny-10016/801619454320250841/","325 Lexington Ave, Unit 15A")</f>
        <v>325 Lexington Ave, Unit 15A</v>
      </c>
      <c r="B310" s="2" t="str">
        <f>HYPERLINK("https://www.compass.com/building/325-lex-condominium-manhattan-ny/281939882467713365/","325 Lex Condominium")</f>
        <v>325 Lex Condominium</v>
      </c>
      <c r="C310" s="1" t="s">
        <v>59</v>
      </c>
      <c r="D310" s="1" t="s">
        <v>41</v>
      </c>
      <c r="E310" s="3">
        <v>1500000</v>
      </c>
      <c r="F310" s="1">
        <v>2332.8149300155501</v>
      </c>
      <c r="G310" s="1">
        <v>3</v>
      </c>
      <c r="H310" s="1">
        <v>1</v>
      </c>
      <c r="I310" s="1">
        <v>1</v>
      </c>
      <c r="J310" s="1">
        <v>1</v>
      </c>
      <c r="K310" s="1">
        <v>1</v>
      </c>
      <c r="M310" s="1">
        <v>643</v>
      </c>
      <c r="N310" s="1">
        <v>1023</v>
      </c>
      <c r="O310" s="1">
        <v>1660</v>
      </c>
      <c r="P310" s="1">
        <v>637</v>
      </c>
      <c r="Q310" s="1" t="s">
        <v>42</v>
      </c>
      <c r="S310" s="1" t="s">
        <v>42</v>
      </c>
      <c r="T310" s="1" t="s">
        <v>51</v>
      </c>
      <c r="U310" s="1">
        <v>122</v>
      </c>
      <c r="V310" s="5">
        <v>44425</v>
      </c>
      <c r="W310" s="5">
        <v>44305</v>
      </c>
      <c r="X310" s="1">
        <v>1500000</v>
      </c>
      <c r="AB310" s="1" t="s">
        <v>44</v>
      </c>
      <c r="AF310" s="1">
        <v>10016</v>
      </c>
      <c r="AI310" s="1" t="s">
        <v>209</v>
      </c>
      <c r="AJ310" s="1">
        <v>2014</v>
      </c>
      <c r="AK310" s="1" t="s">
        <v>108</v>
      </c>
      <c r="AL310" s="1">
        <v>125</v>
      </c>
    </row>
    <row r="311" spans="1:38" x14ac:dyDescent="0.2">
      <c r="A311" s="2" t="str">
        <f>HYPERLINK("https://www.compass.com/listing/416-west-52nd-street-unit-702-manhattan-ny-10019/764193026416229025/","416 W 52nd St, Unit 702")</f>
        <v>416 W 52nd St, Unit 702</v>
      </c>
      <c r="B311" s="2" t="str">
        <f t="shared" ref="B311:B314" si="35">HYPERLINK("https://www.compass.com/building/nine52-manhattan-ny/281945622951555813/","Nine52")</f>
        <v>Nine52</v>
      </c>
      <c r="C311" s="1" t="s">
        <v>90</v>
      </c>
      <c r="D311" s="1" t="s">
        <v>41</v>
      </c>
      <c r="E311" s="3">
        <v>1030000</v>
      </c>
      <c r="F311" s="1">
        <v>1428.57142857142</v>
      </c>
      <c r="G311" s="1">
        <v>2</v>
      </c>
      <c r="H311" s="1">
        <v>1</v>
      </c>
      <c r="I311" s="1">
        <v>1</v>
      </c>
      <c r="J311" s="1">
        <v>1</v>
      </c>
      <c r="K311" s="1">
        <v>1</v>
      </c>
      <c r="M311" s="1">
        <v>721</v>
      </c>
      <c r="N311" s="1">
        <v>563</v>
      </c>
      <c r="O311" s="1">
        <v>1730</v>
      </c>
      <c r="P311" s="1">
        <v>1167</v>
      </c>
      <c r="Q311" s="1" t="s">
        <v>105</v>
      </c>
      <c r="S311" s="1" t="s">
        <v>105</v>
      </c>
      <c r="T311" s="1" t="s">
        <v>51</v>
      </c>
      <c r="U311" s="1">
        <v>113</v>
      </c>
      <c r="V311" s="5">
        <v>44427</v>
      </c>
      <c r="W311" s="5">
        <v>44306</v>
      </c>
      <c r="X311" s="1">
        <v>1285000</v>
      </c>
      <c r="AB311" s="1" t="s">
        <v>44</v>
      </c>
      <c r="AF311" s="1">
        <v>10019</v>
      </c>
      <c r="AI311" s="1" t="s">
        <v>179</v>
      </c>
      <c r="AJ311" s="1">
        <v>1940</v>
      </c>
      <c r="AK311" s="1" t="s">
        <v>49</v>
      </c>
      <c r="AL311" s="1">
        <v>155</v>
      </c>
    </row>
    <row r="312" spans="1:38" x14ac:dyDescent="0.2">
      <c r="A312" s="2" t="str">
        <f>HYPERLINK("https://www.compass.com/listing/416-west-52nd-street-unit-503-manhattan-ny-10019/274558805788897185/","416 W 52nd St, Unit 503")</f>
        <v>416 W 52nd St, Unit 503</v>
      </c>
      <c r="B312" s="2" t="str">
        <f t="shared" si="35"/>
        <v>Nine52</v>
      </c>
      <c r="C312" s="1" t="s">
        <v>90</v>
      </c>
      <c r="D312" s="1" t="s">
        <v>41</v>
      </c>
      <c r="E312" s="3">
        <v>850000</v>
      </c>
      <c r="F312" s="1">
        <v>1797.0401691331899</v>
      </c>
      <c r="G312" s="1">
        <v>1</v>
      </c>
      <c r="H312" s="1" t="s">
        <v>99</v>
      </c>
      <c r="I312" s="1">
        <v>1</v>
      </c>
      <c r="J312" s="1">
        <v>1</v>
      </c>
      <c r="K312" s="1">
        <v>1</v>
      </c>
      <c r="M312" s="1">
        <v>473</v>
      </c>
      <c r="N312" s="1">
        <v>374</v>
      </c>
      <c r="O312" s="1">
        <v>1084</v>
      </c>
      <c r="P312" s="1">
        <v>710</v>
      </c>
      <c r="Q312" s="1" t="s">
        <v>42</v>
      </c>
      <c r="S312" s="1" t="s">
        <v>42</v>
      </c>
      <c r="T312" s="1" t="s">
        <v>51</v>
      </c>
      <c r="U312" s="1">
        <v>332</v>
      </c>
      <c r="V312" s="5">
        <v>44425</v>
      </c>
      <c r="W312" s="5">
        <v>44095</v>
      </c>
      <c r="X312" s="1">
        <v>850000</v>
      </c>
      <c r="AB312" s="1" t="s">
        <v>44</v>
      </c>
      <c r="AF312" s="1">
        <v>10019</v>
      </c>
      <c r="AI312" s="1" t="s">
        <v>48</v>
      </c>
      <c r="AJ312" s="1">
        <v>1940</v>
      </c>
      <c r="AK312" s="1" t="s">
        <v>108</v>
      </c>
      <c r="AL312" s="1">
        <v>155</v>
      </c>
    </row>
    <row r="313" spans="1:38" x14ac:dyDescent="0.2">
      <c r="A313" s="2" t="str">
        <f>HYPERLINK("https://www.compass.com/listing/416-west-52nd-street-unit-515-manhattan-ny-10019/776131436841565249/","416 W 52nd St, Unit 515")</f>
        <v>416 W 52nd St, Unit 515</v>
      </c>
      <c r="B313" s="2" t="str">
        <f t="shared" si="35"/>
        <v>Nine52</v>
      </c>
      <c r="C313" s="1" t="s">
        <v>90</v>
      </c>
      <c r="D313" s="1" t="s">
        <v>41</v>
      </c>
      <c r="E313" s="3">
        <v>1690000</v>
      </c>
      <c r="F313" s="1">
        <v>1632.85024154589</v>
      </c>
      <c r="G313" s="1">
        <v>4</v>
      </c>
      <c r="H313" s="1">
        <v>2</v>
      </c>
      <c r="I313" s="1">
        <v>2</v>
      </c>
      <c r="J313" s="1">
        <v>2</v>
      </c>
      <c r="K313" s="1">
        <v>2</v>
      </c>
      <c r="M313" s="4">
        <v>1035</v>
      </c>
      <c r="N313" s="1">
        <v>809</v>
      </c>
      <c r="O313" s="1">
        <v>2484</v>
      </c>
      <c r="P313" s="1">
        <v>1675</v>
      </c>
      <c r="Q313" s="1" t="s">
        <v>105</v>
      </c>
      <c r="S313" s="1" t="s">
        <v>105</v>
      </c>
      <c r="T313" s="1" t="s">
        <v>51</v>
      </c>
      <c r="U313" s="1">
        <v>105</v>
      </c>
      <c r="V313" s="5">
        <v>44427</v>
      </c>
      <c r="W313" s="5">
        <v>44322</v>
      </c>
      <c r="X313" s="1">
        <v>1690000</v>
      </c>
      <c r="AB313" s="1" t="s">
        <v>44</v>
      </c>
      <c r="AF313" s="1">
        <v>10019</v>
      </c>
      <c r="AI313" s="1" t="s">
        <v>48</v>
      </c>
      <c r="AJ313" s="1">
        <v>1940</v>
      </c>
      <c r="AK313" s="1" t="s">
        <v>108</v>
      </c>
      <c r="AL313" s="1">
        <v>155</v>
      </c>
    </row>
    <row r="314" spans="1:38" x14ac:dyDescent="0.2">
      <c r="A314" s="2" t="str">
        <f>HYPERLINK("https://www.compass.com/listing/416-west-52nd-street-unit-604-manhattan-ny-10019/313395170435402081/","416 W 52nd St, Unit 604")</f>
        <v>416 W 52nd St, Unit 604</v>
      </c>
      <c r="B314" s="2" t="str">
        <f t="shared" si="35"/>
        <v>Nine52</v>
      </c>
      <c r="C314" s="1" t="s">
        <v>90</v>
      </c>
      <c r="D314" s="1" t="s">
        <v>41</v>
      </c>
      <c r="E314" s="3">
        <v>1395000</v>
      </c>
      <c r="F314" s="1">
        <v>1565.6565656565599</v>
      </c>
      <c r="G314" s="1">
        <v>4</v>
      </c>
      <c r="H314" s="1">
        <v>2</v>
      </c>
      <c r="I314" s="1">
        <v>2</v>
      </c>
      <c r="J314" s="1">
        <v>2</v>
      </c>
      <c r="K314" s="1">
        <v>2</v>
      </c>
      <c r="M314" s="1">
        <v>891</v>
      </c>
      <c r="N314" s="1">
        <v>696</v>
      </c>
      <c r="O314" s="1">
        <v>2130</v>
      </c>
      <c r="P314" s="1">
        <v>1434</v>
      </c>
      <c r="Q314" s="1" t="s">
        <v>105</v>
      </c>
      <c r="S314" s="1" t="s">
        <v>105</v>
      </c>
      <c r="T314" s="1" t="s">
        <v>51</v>
      </c>
      <c r="U314" s="1">
        <v>647</v>
      </c>
      <c r="V314" s="5">
        <v>44427</v>
      </c>
      <c r="W314" s="5">
        <v>43683</v>
      </c>
      <c r="X314" s="1">
        <v>1600000</v>
      </c>
      <c r="AB314" s="1" t="s">
        <v>44</v>
      </c>
      <c r="AF314" s="1">
        <v>10019</v>
      </c>
      <c r="AI314" s="1" t="s">
        <v>52</v>
      </c>
      <c r="AJ314" s="1">
        <v>1940</v>
      </c>
      <c r="AK314" s="1" t="s">
        <v>108</v>
      </c>
      <c r="AL314" s="1">
        <v>155</v>
      </c>
    </row>
    <row r="315" spans="1:38" x14ac:dyDescent="0.2">
      <c r="A315" s="2" t="str">
        <f>HYPERLINK("https://www.compass.com/listing/217-west-57th-street-unit-33c-manhattan-ny-10019/804366389540034041/","217 W 57th St, Unit 33C")</f>
        <v>217 W 57th St, Unit 33C</v>
      </c>
      <c r="B315" s="2" t="str">
        <f>HYPERLINK("https://www.compass.com/building/central-park-tower-manhattan-ny/292845475244082085/","Central Park Tower")</f>
        <v>Central Park Tower</v>
      </c>
      <c r="C315" s="1" t="s">
        <v>139</v>
      </c>
      <c r="D315" s="1" t="s">
        <v>41</v>
      </c>
      <c r="E315" s="3">
        <v>13250000</v>
      </c>
      <c r="F315" s="1">
        <v>5312.7506014434603</v>
      </c>
      <c r="G315" s="1">
        <v>5</v>
      </c>
      <c r="H315" s="1">
        <v>3</v>
      </c>
      <c r="I315" s="1">
        <v>3</v>
      </c>
      <c r="J315" s="1">
        <v>3</v>
      </c>
      <c r="K315" s="1">
        <v>3</v>
      </c>
      <c r="M315" s="4">
        <v>2494</v>
      </c>
      <c r="N315" s="1">
        <v>3133</v>
      </c>
      <c r="O315" s="1">
        <v>8677</v>
      </c>
      <c r="P315" s="1">
        <v>5544</v>
      </c>
      <c r="Q315" s="1" t="s">
        <v>42</v>
      </c>
      <c r="S315" s="1" t="s">
        <v>42</v>
      </c>
      <c r="T315" s="1" t="s">
        <v>51</v>
      </c>
      <c r="U315" s="1">
        <v>65</v>
      </c>
      <c r="V315" s="5">
        <v>44399</v>
      </c>
      <c r="W315" s="5">
        <v>44362</v>
      </c>
      <c r="X315" s="1">
        <v>13250000</v>
      </c>
      <c r="AB315" s="1" t="s">
        <v>44</v>
      </c>
      <c r="AF315" s="1">
        <v>10019</v>
      </c>
      <c r="AI315" s="1" t="s">
        <v>140</v>
      </c>
      <c r="AJ315" s="1">
        <v>2020</v>
      </c>
      <c r="AK315" s="1" t="s">
        <v>108</v>
      </c>
      <c r="AL315" s="1">
        <v>179</v>
      </c>
    </row>
    <row r="316" spans="1:38" x14ac:dyDescent="0.2">
      <c r="A316" s="2" t="str">
        <f>HYPERLINK("https://www.compass.com/listing/416-west-52nd-street-unit-613-manhattan-ny-10019/765966113118376329/","416 W 52nd St, Unit 613")</f>
        <v>416 W 52nd St, Unit 613</v>
      </c>
      <c r="B316" s="2" t="str">
        <f t="shared" ref="B316:B317" si="36">HYPERLINK("https://www.compass.com/building/nine52-manhattan-ny/281945622951555813/","Nine52")</f>
        <v>Nine52</v>
      </c>
      <c r="C316" s="1" t="s">
        <v>90</v>
      </c>
      <c r="D316" s="1" t="s">
        <v>41</v>
      </c>
      <c r="E316" s="3">
        <v>1599000</v>
      </c>
      <c r="F316" s="1">
        <v>1292.64349232012</v>
      </c>
      <c r="G316" s="1">
        <v>4</v>
      </c>
      <c r="H316" s="1">
        <v>2</v>
      </c>
      <c r="I316" s="1">
        <v>2</v>
      </c>
      <c r="J316" s="1">
        <v>2</v>
      </c>
      <c r="K316" s="1">
        <v>2</v>
      </c>
      <c r="M316" s="4">
        <v>1237</v>
      </c>
      <c r="N316" s="1">
        <v>967</v>
      </c>
      <c r="O316" s="1">
        <v>2969</v>
      </c>
      <c r="P316" s="1">
        <v>2002</v>
      </c>
      <c r="Q316" s="1" t="s">
        <v>105</v>
      </c>
      <c r="S316" s="1" t="s">
        <v>105</v>
      </c>
      <c r="T316" s="1" t="s">
        <v>51</v>
      </c>
      <c r="U316" s="1">
        <v>120</v>
      </c>
      <c r="V316" s="5">
        <v>44427</v>
      </c>
      <c r="W316" s="5">
        <v>44307</v>
      </c>
      <c r="X316" s="1">
        <v>2038000</v>
      </c>
      <c r="AB316" s="1" t="s">
        <v>44</v>
      </c>
      <c r="AF316" s="1">
        <v>10019</v>
      </c>
      <c r="AI316" s="1" t="s">
        <v>111</v>
      </c>
      <c r="AJ316" s="1">
        <v>1940</v>
      </c>
      <c r="AK316" s="1" t="s">
        <v>55</v>
      </c>
      <c r="AL316" s="1">
        <v>155</v>
      </c>
    </row>
    <row r="317" spans="1:38" x14ac:dyDescent="0.2">
      <c r="A317" s="2" t="str">
        <f>HYPERLINK("https://www.compass.com/listing/416-west-52nd-street-unit-725-manhattan-ny-10019/168101701843161921/","416 W 52nd St, Unit 725")</f>
        <v>416 W 52nd St, Unit 725</v>
      </c>
      <c r="B317" s="2" t="str">
        <f t="shared" si="36"/>
        <v>Nine52</v>
      </c>
      <c r="C317" s="1" t="s">
        <v>90</v>
      </c>
      <c r="D317" s="1" t="s">
        <v>41</v>
      </c>
      <c r="E317" s="3">
        <v>1499000</v>
      </c>
      <c r="F317" s="1">
        <v>1561.4583333333301</v>
      </c>
      <c r="G317" s="1">
        <v>4</v>
      </c>
      <c r="H317" s="1">
        <v>2</v>
      </c>
      <c r="I317" s="1">
        <v>2</v>
      </c>
      <c r="J317" s="1">
        <v>2</v>
      </c>
      <c r="K317" s="1">
        <v>2</v>
      </c>
      <c r="M317" s="1">
        <v>960</v>
      </c>
      <c r="N317" s="1">
        <v>750</v>
      </c>
      <c r="O317" s="1">
        <v>2295</v>
      </c>
      <c r="P317" s="1">
        <v>1545</v>
      </c>
      <c r="Q317" s="1" t="s">
        <v>105</v>
      </c>
      <c r="S317" s="1" t="s">
        <v>105</v>
      </c>
      <c r="T317" s="1" t="s">
        <v>51</v>
      </c>
      <c r="U317" s="1">
        <v>851</v>
      </c>
      <c r="V317" s="5">
        <v>44427</v>
      </c>
      <c r="W317" s="5">
        <v>43482</v>
      </c>
      <c r="X317" s="1">
        <v>1575000</v>
      </c>
      <c r="AB317" s="1" t="s">
        <v>44</v>
      </c>
      <c r="AF317" s="1">
        <v>10019</v>
      </c>
      <c r="AI317" s="1" t="s">
        <v>133</v>
      </c>
      <c r="AJ317" s="1">
        <v>1940</v>
      </c>
      <c r="AK317" s="1" t="s">
        <v>108</v>
      </c>
      <c r="AL317" s="1">
        <v>155</v>
      </c>
    </row>
    <row r="318" spans="1:38" x14ac:dyDescent="0.2">
      <c r="A318" s="2" t="str">
        <f>HYPERLINK("https://www.compass.com/listing/1-west-end-avenue-unit-8k-manhattan-ny-10069/657019579471538313/","1 W End Ave, Unit 8K")</f>
        <v>1 W End Ave, Unit 8K</v>
      </c>
      <c r="B318" s="2" t="str">
        <f>HYPERLINK("https://www.compass.com/building/1-w-end-ave-manhattan-ny-10069/455676159137755317/","1 W End Ave")</f>
        <v>1 W End Ave</v>
      </c>
      <c r="C318" s="1" t="s">
        <v>57</v>
      </c>
      <c r="D318" s="1" t="s">
        <v>41</v>
      </c>
      <c r="E318" s="3">
        <v>2500000</v>
      </c>
      <c r="F318" s="1">
        <v>1734.90631505898</v>
      </c>
      <c r="G318" s="1">
        <v>4</v>
      </c>
      <c r="H318" s="1">
        <v>2</v>
      </c>
      <c r="J318" s="1">
        <v>2.5</v>
      </c>
      <c r="M318" s="4">
        <v>1441</v>
      </c>
      <c r="N318" s="1">
        <v>1706</v>
      </c>
      <c r="O318" s="1">
        <v>1805</v>
      </c>
      <c r="P318" s="1">
        <v>99</v>
      </c>
      <c r="S318" s="1" t="s">
        <v>42</v>
      </c>
      <c r="T318" s="1" t="s">
        <v>51</v>
      </c>
      <c r="U318" s="1">
        <v>270</v>
      </c>
      <c r="V318" s="5">
        <v>44403</v>
      </c>
      <c r="W318" s="5">
        <v>44156</v>
      </c>
      <c r="X318" s="1">
        <v>2895000</v>
      </c>
      <c r="AB318" s="1" t="s">
        <v>44</v>
      </c>
      <c r="AF318" s="1">
        <v>10069</v>
      </c>
      <c r="AI318" s="1" t="s">
        <v>210</v>
      </c>
      <c r="AJ318" s="1">
        <v>2017</v>
      </c>
      <c r="AK318" s="1" t="s">
        <v>49</v>
      </c>
      <c r="AL318" s="1">
        <v>246</v>
      </c>
    </row>
    <row r="319" spans="1:38" x14ac:dyDescent="0.2">
      <c r="A319" s="2" t="str">
        <f>HYPERLINK("https://www.compass.com/listing/416-west-52nd-street-unit-612-manhattan-ny-10019/765963859888637489/","416 W 52nd St, Unit 612")</f>
        <v>416 W 52nd St, Unit 612</v>
      </c>
      <c r="B319" s="2" t="str">
        <f>HYPERLINK("https://www.compass.com/building/nine52-manhattan-ny/281945622951555813/","Nine52")</f>
        <v>Nine52</v>
      </c>
      <c r="C319" s="1" t="s">
        <v>90</v>
      </c>
      <c r="D319" s="1" t="s">
        <v>41</v>
      </c>
      <c r="E319" s="3">
        <v>2450000</v>
      </c>
      <c r="F319" s="1">
        <v>1350.6063947078201</v>
      </c>
      <c r="G319" s="1">
        <v>6</v>
      </c>
      <c r="H319" s="1">
        <v>3</v>
      </c>
      <c r="I319" s="1">
        <v>2</v>
      </c>
      <c r="J319" s="1">
        <v>2</v>
      </c>
      <c r="K319" s="1">
        <v>2</v>
      </c>
      <c r="M319" s="4">
        <v>1814</v>
      </c>
      <c r="N319" s="1">
        <v>1471</v>
      </c>
      <c r="O319" s="1">
        <v>4518</v>
      </c>
      <c r="P319" s="1">
        <v>3047</v>
      </c>
      <c r="Q319" s="1" t="s">
        <v>105</v>
      </c>
      <c r="S319" s="1" t="s">
        <v>105</v>
      </c>
      <c r="T319" s="1" t="s">
        <v>51</v>
      </c>
      <c r="U319" s="1">
        <v>120</v>
      </c>
      <c r="V319" s="5">
        <v>44427</v>
      </c>
      <c r="W319" s="5">
        <v>44307</v>
      </c>
      <c r="X319" s="1">
        <v>2450000</v>
      </c>
      <c r="AB319" s="1" t="s">
        <v>44</v>
      </c>
      <c r="AF319" s="1">
        <v>10019</v>
      </c>
      <c r="AI319" s="1" t="s">
        <v>48</v>
      </c>
      <c r="AJ319" s="1">
        <v>1940</v>
      </c>
      <c r="AK319" s="1" t="s">
        <v>108</v>
      </c>
      <c r="AL319" s="1">
        <v>155</v>
      </c>
    </row>
    <row r="320" spans="1:38" x14ac:dyDescent="0.2">
      <c r="A320" s="2" t="str">
        <f>HYPERLINK("https://www.compass.com/listing/425-west-50th-street-unit-12h-manhattan-ny-10019/769436893813504153/","425 W 50th St, Unit 12H")</f>
        <v>425 W 50th St, Unit 12H</v>
      </c>
      <c r="B320" s="2" t="str">
        <f>HYPERLINK("https://www.compass.com/building/stella-tower-manhattan-ny/281945855710262181/","Stella Tower")</f>
        <v>Stella Tower</v>
      </c>
      <c r="C320" s="1" t="s">
        <v>90</v>
      </c>
      <c r="D320" s="1" t="s">
        <v>41</v>
      </c>
      <c r="E320" s="3">
        <v>3250000</v>
      </c>
      <c r="F320" s="1">
        <v>1755.8076715289001</v>
      </c>
      <c r="G320" s="1">
        <v>4</v>
      </c>
      <c r="H320" s="1">
        <v>2</v>
      </c>
      <c r="I320" s="1">
        <v>3</v>
      </c>
      <c r="J320" s="1">
        <v>2.5</v>
      </c>
      <c r="K320" s="1">
        <v>2</v>
      </c>
      <c r="L320" s="1">
        <v>1</v>
      </c>
      <c r="M320" s="4">
        <v>1851</v>
      </c>
      <c r="N320" s="1">
        <v>3214</v>
      </c>
      <c r="O320" s="1">
        <v>6057</v>
      </c>
      <c r="P320" s="1">
        <v>2843</v>
      </c>
      <c r="Q320" s="1" t="s">
        <v>42</v>
      </c>
      <c r="S320" s="1" t="s">
        <v>42</v>
      </c>
      <c r="T320" s="1" t="s">
        <v>51</v>
      </c>
      <c r="U320" s="1">
        <v>113</v>
      </c>
      <c r="V320" s="5">
        <v>44424</v>
      </c>
      <c r="W320" s="5">
        <v>44313</v>
      </c>
      <c r="X320" s="1">
        <v>3595000</v>
      </c>
      <c r="AB320" s="1" t="s">
        <v>44</v>
      </c>
      <c r="AF320" s="1">
        <v>10019</v>
      </c>
      <c r="AI320" s="1" t="s">
        <v>80</v>
      </c>
      <c r="AJ320" s="1">
        <v>1930</v>
      </c>
      <c r="AK320" s="1" t="s">
        <v>46</v>
      </c>
      <c r="AL320" s="1">
        <v>51</v>
      </c>
    </row>
    <row r="321" spans="1:38" x14ac:dyDescent="0.2">
      <c r="A321" s="2" t="str">
        <f>HYPERLINK("https://www.compass.com/listing/217-west-57th-street-unit-37a-manhattan-ny-10019/800606861681215513/","217 W 57th St, Unit 37A")</f>
        <v>217 W 57th St, Unit 37A</v>
      </c>
      <c r="B321" s="2" t="str">
        <f>HYPERLINK("https://www.compass.com/building/central-park-tower-manhattan-ny/292845475244082085/","Central Park Tower")</f>
        <v>Central Park Tower</v>
      </c>
      <c r="C321" s="1" t="s">
        <v>139</v>
      </c>
      <c r="D321" s="1" t="s">
        <v>41</v>
      </c>
      <c r="E321" s="3">
        <v>8950000</v>
      </c>
      <c r="F321" s="1">
        <v>3669.53669536695</v>
      </c>
      <c r="G321" s="1">
        <v>6</v>
      </c>
      <c r="H321" s="1">
        <v>3</v>
      </c>
      <c r="I321" s="1">
        <v>3</v>
      </c>
      <c r="J321" s="1">
        <v>3</v>
      </c>
      <c r="K321" s="1">
        <v>3</v>
      </c>
      <c r="M321" s="4">
        <v>2439</v>
      </c>
      <c r="N321" s="1">
        <v>3101</v>
      </c>
      <c r="O321" s="1">
        <v>8587</v>
      </c>
      <c r="P321" s="1">
        <v>5486</v>
      </c>
      <c r="Q321" s="1" t="s">
        <v>42</v>
      </c>
      <c r="S321" s="1" t="s">
        <v>42</v>
      </c>
      <c r="T321" s="1" t="s">
        <v>51</v>
      </c>
      <c r="U321" s="1">
        <v>70</v>
      </c>
      <c r="V321" s="5">
        <v>44399</v>
      </c>
      <c r="W321" s="5">
        <v>44356</v>
      </c>
      <c r="X321" s="1">
        <v>8950000</v>
      </c>
      <c r="AB321" s="1" t="s">
        <v>44</v>
      </c>
      <c r="AF321" s="1">
        <v>10019</v>
      </c>
      <c r="AI321" s="1" t="s">
        <v>140</v>
      </c>
      <c r="AJ321" s="1">
        <v>2020</v>
      </c>
      <c r="AK321" s="1" t="s">
        <v>108</v>
      </c>
      <c r="AL321" s="1">
        <v>179</v>
      </c>
    </row>
    <row r="322" spans="1:38" x14ac:dyDescent="0.2">
      <c r="A322" s="2" t="str">
        <f>HYPERLINK("https://www.compass.com/listing/416-west-52nd-street-unit-th226-manhattan-ny-10019/634632724373713369/","416 W 52nd St, Unit TH226")</f>
        <v>416 W 52nd St, Unit TH226</v>
      </c>
      <c r="B322" s="2" t="str">
        <f>HYPERLINK("https://www.compass.com/building/nine52-manhattan-ny/281945622951555813/","Nine52")</f>
        <v>Nine52</v>
      </c>
      <c r="C322" s="1" t="s">
        <v>90</v>
      </c>
      <c r="D322" s="1" t="s">
        <v>41</v>
      </c>
      <c r="E322" s="3">
        <v>1790000</v>
      </c>
      <c r="F322" s="1">
        <v>1111.80124223602</v>
      </c>
      <c r="G322" s="1">
        <v>3.5</v>
      </c>
      <c r="H322" s="1">
        <v>2</v>
      </c>
      <c r="I322" s="1">
        <v>2</v>
      </c>
      <c r="J322" s="1">
        <v>1.5</v>
      </c>
      <c r="K322" s="1">
        <v>1</v>
      </c>
      <c r="L322" s="1">
        <v>1</v>
      </c>
      <c r="M322" s="4">
        <v>1610</v>
      </c>
      <c r="N322" s="1">
        <v>2335</v>
      </c>
      <c r="O322" s="1">
        <v>7144</v>
      </c>
      <c r="P322" s="1">
        <v>4809</v>
      </c>
      <c r="Q322" s="1" t="s">
        <v>105</v>
      </c>
      <c r="S322" s="1" t="s">
        <v>105</v>
      </c>
      <c r="T322" s="1" t="s">
        <v>51</v>
      </c>
      <c r="U322" s="1">
        <v>303</v>
      </c>
      <c r="V322" s="5">
        <v>44427</v>
      </c>
      <c r="W322" s="5">
        <v>44124</v>
      </c>
      <c r="X322" s="1">
        <v>1790000</v>
      </c>
      <c r="AB322" s="1" t="s">
        <v>44</v>
      </c>
      <c r="AF322" s="1">
        <v>10019</v>
      </c>
      <c r="AI322" s="1" t="s">
        <v>211</v>
      </c>
      <c r="AJ322" s="1">
        <v>1940</v>
      </c>
      <c r="AK322" s="1" t="s">
        <v>108</v>
      </c>
      <c r="AL322" s="1">
        <v>155</v>
      </c>
    </row>
    <row r="323" spans="1:38" x14ac:dyDescent="0.2">
      <c r="A323" s="2" t="str">
        <f>HYPERLINK("https://www.compass.com/listing/217-west-57th-street-unit-123-manhattan-ny-10019/800679941238043393/","217 W 57th St, Unit 123")</f>
        <v>217 W 57th St, Unit 123</v>
      </c>
      <c r="B323" s="2" t="str">
        <f>HYPERLINK("https://www.compass.com/building/central-park-tower-manhattan-ny/292845475244082085/","Central Park Tower")</f>
        <v>Central Park Tower</v>
      </c>
      <c r="C323" s="1" t="s">
        <v>139</v>
      </c>
      <c r="D323" s="1" t="s">
        <v>41</v>
      </c>
      <c r="E323" s="3">
        <v>65750000</v>
      </c>
      <c r="F323" s="1">
        <v>9294.5999434548994</v>
      </c>
      <c r="G323" s="1">
        <v>9</v>
      </c>
      <c r="H323" s="1">
        <v>5</v>
      </c>
      <c r="I323" s="1">
        <v>5</v>
      </c>
      <c r="J323" s="1">
        <v>5</v>
      </c>
      <c r="K323" s="1">
        <v>5</v>
      </c>
      <c r="M323" s="4">
        <v>7074</v>
      </c>
      <c r="N323" s="1">
        <v>10832</v>
      </c>
      <c r="O323" s="1">
        <v>29997</v>
      </c>
      <c r="P323" s="1">
        <v>19165</v>
      </c>
      <c r="Q323" s="1" t="s">
        <v>42</v>
      </c>
      <c r="S323" s="1" t="s">
        <v>42</v>
      </c>
      <c r="T323" s="1" t="s">
        <v>51</v>
      </c>
      <c r="U323" s="1">
        <v>70</v>
      </c>
      <c r="V323" s="5">
        <v>44399</v>
      </c>
      <c r="W323" s="5">
        <v>44357</v>
      </c>
      <c r="X323" s="1">
        <v>65750000</v>
      </c>
      <c r="AB323" s="1" t="s">
        <v>44</v>
      </c>
      <c r="AF323" s="1">
        <v>10019</v>
      </c>
      <c r="AI323" s="1" t="s">
        <v>140</v>
      </c>
      <c r="AJ323" s="1">
        <v>2020</v>
      </c>
      <c r="AK323" s="1" t="s">
        <v>108</v>
      </c>
      <c r="AL323" s="1">
        <v>179</v>
      </c>
    </row>
    <row r="324" spans="1:38" x14ac:dyDescent="0.2">
      <c r="A324" s="2" t="str">
        <f>HYPERLINK("https://www.compass.com/listing/325-lexington-avenue-unit-31c-manhattan-ny-10016/779886214991244673/","325 Lexington Ave, Unit 31C")</f>
        <v>325 Lexington Ave, Unit 31C</v>
      </c>
      <c r="B324" s="2" t="str">
        <f>HYPERLINK("https://www.compass.com/building/325-lex-condominium-manhattan-ny/281939882467713365/","325 Lex Condominium")</f>
        <v>325 Lex Condominium</v>
      </c>
      <c r="C324" s="1" t="s">
        <v>59</v>
      </c>
      <c r="D324" s="1" t="s">
        <v>41</v>
      </c>
      <c r="E324" s="3">
        <v>2750000</v>
      </c>
      <c r="F324" s="1">
        <v>2506.8368277119398</v>
      </c>
      <c r="G324" s="1">
        <v>4</v>
      </c>
      <c r="H324" s="1">
        <v>2</v>
      </c>
      <c r="I324" s="1">
        <v>2</v>
      </c>
      <c r="J324" s="1">
        <v>2</v>
      </c>
      <c r="K324" s="1">
        <v>2</v>
      </c>
      <c r="M324" s="4">
        <v>1097</v>
      </c>
      <c r="N324" s="1">
        <v>1824</v>
      </c>
      <c r="O324" s="1">
        <v>2676</v>
      </c>
      <c r="P324" s="1">
        <v>852</v>
      </c>
      <c r="Q324" s="1" t="s">
        <v>42</v>
      </c>
      <c r="S324" s="1" t="s">
        <v>42</v>
      </c>
      <c r="T324" s="1" t="s">
        <v>51</v>
      </c>
      <c r="U324" s="1">
        <v>99</v>
      </c>
      <c r="V324" s="5">
        <v>44391</v>
      </c>
      <c r="W324" s="5">
        <v>44328</v>
      </c>
      <c r="X324" s="1">
        <v>2495000</v>
      </c>
      <c r="AB324" s="1" t="s">
        <v>44</v>
      </c>
      <c r="AF324" s="1">
        <v>10016</v>
      </c>
      <c r="AI324" s="1" t="s">
        <v>205</v>
      </c>
      <c r="AJ324" s="1">
        <v>2014</v>
      </c>
      <c r="AK324" s="1" t="s">
        <v>55</v>
      </c>
      <c r="AL324" s="1">
        <v>125</v>
      </c>
    </row>
    <row r="325" spans="1:38" x14ac:dyDescent="0.2">
      <c r="A325" s="2" t="str">
        <f>HYPERLINK("https://www.compass.com/listing/15-hudson-yards-unit-ph85c-manhattan-ny-10001/814337473074942881/","15 Hudson Yards, Unit PH85C")</f>
        <v>15 Hudson Yards, Unit PH85C</v>
      </c>
      <c r="B325" s="2" t="str">
        <f t="shared" ref="B325:B326" si="37">HYPERLINK("https://www.compass.com/building/fifteen-hudson-yards-manhattan-ny/282058587512011909/","Fifteen Hudson Yards")</f>
        <v>Fifteen Hudson Yards</v>
      </c>
      <c r="C325" s="1" t="s">
        <v>77</v>
      </c>
      <c r="D325" s="1" t="s">
        <v>41</v>
      </c>
      <c r="E325" s="3">
        <v>10750000</v>
      </c>
      <c r="F325" s="1">
        <v>4107.7569736339301</v>
      </c>
      <c r="G325" s="1">
        <v>6.5</v>
      </c>
      <c r="H325" s="1">
        <v>3</v>
      </c>
      <c r="I325" s="1">
        <v>4</v>
      </c>
      <c r="J325" s="1">
        <v>3.5</v>
      </c>
      <c r="K325" s="1">
        <v>3</v>
      </c>
      <c r="L325" s="1">
        <v>1</v>
      </c>
      <c r="M325" s="4">
        <v>2617</v>
      </c>
      <c r="N325" s="1">
        <v>6545</v>
      </c>
      <c r="O325" s="1">
        <v>6627</v>
      </c>
      <c r="P325" s="1">
        <v>82</v>
      </c>
      <c r="Q325" s="1" t="s">
        <v>42</v>
      </c>
      <c r="S325" s="1" t="s">
        <v>42</v>
      </c>
      <c r="T325" s="1" t="s">
        <v>51</v>
      </c>
      <c r="U325" s="1">
        <v>51</v>
      </c>
      <c r="V325" s="5">
        <v>44419</v>
      </c>
      <c r="W325" s="5">
        <v>44375</v>
      </c>
      <c r="X325" s="1">
        <v>10750000</v>
      </c>
      <c r="AB325" s="1" t="s">
        <v>44</v>
      </c>
      <c r="AF325" s="1">
        <v>10001</v>
      </c>
      <c r="AJ325" s="1">
        <v>2018</v>
      </c>
      <c r="AK325" s="1" t="s">
        <v>46</v>
      </c>
      <c r="AL325" s="1">
        <v>285</v>
      </c>
    </row>
    <row r="326" spans="1:38" x14ac:dyDescent="0.2">
      <c r="A326" s="2" t="str">
        <f>HYPERLINK("https://www.compass.com/listing/15-hudson-yards-unit-ph85d-manhattan-ny-10001/814337382864047689/","15 Hudson Yards, Unit PH85D")</f>
        <v>15 Hudson Yards, Unit PH85D</v>
      </c>
      <c r="B326" s="2" t="str">
        <f t="shared" si="37"/>
        <v>Fifteen Hudson Yards</v>
      </c>
      <c r="C326" s="1" t="s">
        <v>77</v>
      </c>
      <c r="D326" s="1" t="s">
        <v>41</v>
      </c>
      <c r="E326" s="3">
        <v>9990000</v>
      </c>
      <c r="F326" s="1">
        <v>3936.1702127659501</v>
      </c>
      <c r="G326" s="1">
        <v>7.5</v>
      </c>
      <c r="H326" s="1">
        <v>3</v>
      </c>
      <c r="I326" s="1">
        <v>4</v>
      </c>
      <c r="J326" s="1">
        <v>3.5</v>
      </c>
      <c r="K326" s="1">
        <v>3</v>
      </c>
      <c r="L326" s="1">
        <v>1</v>
      </c>
      <c r="M326" s="4">
        <v>2538</v>
      </c>
      <c r="N326" s="1">
        <v>6249</v>
      </c>
      <c r="O326" s="1">
        <v>6328</v>
      </c>
      <c r="P326" s="1">
        <v>79</v>
      </c>
      <c r="Q326" s="1" t="s">
        <v>42</v>
      </c>
      <c r="S326" s="1" t="s">
        <v>42</v>
      </c>
      <c r="T326" s="1" t="s">
        <v>51</v>
      </c>
      <c r="U326" s="1">
        <v>51</v>
      </c>
      <c r="V326" s="5">
        <v>44419</v>
      </c>
      <c r="W326" s="5">
        <v>44375</v>
      </c>
      <c r="X326" s="1">
        <v>9990000</v>
      </c>
      <c r="AB326" s="1" t="s">
        <v>44</v>
      </c>
      <c r="AF326" s="1">
        <v>10001</v>
      </c>
      <c r="AJ326" s="1">
        <v>2018</v>
      </c>
      <c r="AK326" s="1" t="s">
        <v>46</v>
      </c>
      <c r="AL326" s="1">
        <v>285</v>
      </c>
    </row>
    <row r="327" spans="1:38" x14ac:dyDescent="0.2">
      <c r="A327" s="2" t="str">
        <f>HYPERLINK("https://www.compass.com/listing/285-west-110th-street-unit-3h-manhattan-ny-10026/770361490122924713/","285 W 110th St, Unit 3H")</f>
        <v>285 W 110th St, Unit 3H</v>
      </c>
      <c r="B327" s="2" t="str">
        <f>HYPERLINK("https://www.compass.com/building/circa-central-park-manhattan-ny/282059072692321269/","Circa Central Park")</f>
        <v>Circa Central Park</v>
      </c>
      <c r="C327" s="1" t="s">
        <v>85</v>
      </c>
      <c r="D327" s="1" t="s">
        <v>41</v>
      </c>
      <c r="E327" s="3">
        <v>2895000</v>
      </c>
      <c r="F327" s="1">
        <v>1944.2578912021399</v>
      </c>
      <c r="G327" s="1">
        <v>5</v>
      </c>
      <c r="H327" s="1">
        <v>3</v>
      </c>
      <c r="I327" s="1">
        <v>3</v>
      </c>
      <c r="J327" s="1">
        <v>3</v>
      </c>
      <c r="K327" s="1">
        <v>3</v>
      </c>
      <c r="M327" s="4">
        <v>1489</v>
      </c>
      <c r="N327" s="1">
        <v>1305</v>
      </c>
      <c r="O327" s="1">
        <v>1464</v>
      </c>
      <c r="P327" s="1">
        <v>159</v>
      </c>
      <c r="Q327" s="1" t="s">
        <v>42</v>
      </c>
      <c r="S327" s="1" t="s">
        <v>42</v>
      </c>
      <c r="T327" s="1" t="s">
        <v>51</v>
      </c>
      <c r="U327" s="1">
        <v>113</v>
      </c>
      <c r="V327" s="5">
        <v>44414</v>
      </c>
      <c r="W327" s="5">
        <v>44314</v>
      </c>
      <c r="X327" s="1">
        <v>3150000</v>
      </c>
      <c r="AB327" s="1" t="s">
        <v>44</v>
      </c>
      <c r="AF327" s="1">
        <v>10026</v>
      </c>
      <c r="AI327" s="1" t="s">
        <v>48</v>
      </c>
      <c r="AJ327" s="1">
        <v>2017</v>
      </c>
      <c r="AK327" s="1" t="s">
        <v>49</v>
      </c>
      <c r="AL327" s="1">
        <v>38</v>
      </c>
    </row>
    <row r="328" spans="1:38" x14ac:dyDescent="0.2">
      <c r="A328" s="2" t="str">
        <f>HYPERLINK("https://www.compass.com/listing/695-1st-avenue-unit-33e-manhattan-ny-10016/807284427945638809/","695 1st Ave, Unit 33E")</f>
        <v>695 1st Ave, Unit 33E</v>
      </c>
      <c r="B328" s="2" t="str">
        <f>HYPERLINK("https://www.compass.com/building/one-united-nations-park-manhattan-ny/282058773630059653/","One United Nations Park")</f>
        <v>One United Nations Park</v>
      </c>
      <c r="C328" s="1" t="s">
        <v>59</v>
      </c>
      <c r="D328" s="1" t="s">
        <v>41</v>
      </c>
      <c r="E328" s="3">
        <v>3805000</v>
      </c>
      <c r="F328" s="1">
        <v>1764.8423005565801</v>
      </c>
      <c r="G328" s="1">
        <v>5</v>
      </c>
      <c r="H328" s="1">
        <v>3</v>
      </c>
      <c r="I328" s="1">
        <v>4</v>
      </c>
      <c r="J328" s="1">
        <v>3.5</v>
      </c>
      <c r="K328" s="1">
        <v>3</v>
      </c>
      <c r="L328" s="1">
        <v>1</v>
      </c>
      <c r="M328" s="4">
        <v>2156</v>
      </c>
      <c r="N328" s="1">
        <v>2927</v>
      </c>
      <c r="O328" s="1">
        <v>6403</v>
      </c>
      <c r="P328" s="1">
        <v>3476</v>
      </c>
      <c r="Q328" s="1" t="s">
        <v>42</v>
      </c>
      <c r="S328" s="1" t="s">
        <v>42</v>
      </c>
      <c r="T328" s="1" t="s">
        <v>51</v>
      </c>
      <c r="U328" s="1">
        <v>62</v>
      </c>
      <c r="V328" s="5">
        <v>44427</v>
      </c>
      <c r="W328" s="5">
        <v>44365</v>
      </c>
      <c r="X328" s="1">
        <v>3805000</v>
      </c>
      <c r="AB328" s="1" t="s">
        <v>44</v>
      </c>
      <c r="AF328" s="1">
        <v>10016</v>
      </c>
      <c r="AI328" s="1" t="s">
        <v>63</v>
      </c>
      <c r="AJ328" s="1">
        <v>2019</v>
      </c>
      <c r="AK328" s="1" t="s">
        <v>46</v>
      </c>
      <c r="AL328" s="1">
        <v>148</v>
      </c>
    </row>
    <row r="329" spans="1:38" x14ac:dyDescent="0.2">
      <c r="A329" s="2" t="str">
        <f>HYPERLINK("https://www.compass.com/listing/111-west-57th-street-unit-12s-manhattan-ny-10019/801326528146343033/","111 W 57th St, Unit 12S")</f>
        <v>111 W 57th St, Unit 12S</v>
      </c>
      <c r="B329" s="2" t="str">
        <f>HYPERLINK("https://www.compass.com/building/111-w-57th-st-manhattan-ny-10019/282058921823206277/","111 W 57th St")</f>
        <v>111 W 57th St</v>
      </c>
      <c r="C329" s="1" t="s">
        <v>139</v>
      </c>
      <c r="D329" s="1" t="s">
        <v>41</v>
      </c>
      <c r="E329" s="3">
        <v>11500000</v>
      </c>
      <c r="F329" s="1">
        <v>3193.55734518189</v>
      </c>
      <c r="G329" s="1">
        <v>5.5</v>
      </c>
      <c r="H329" s="1">
        <v>3</v>
      </c>
      <c r="I329" s="1">
        <v>5</v>
      </c>
      <c r="J329" s="1">
        <v>4.5</v>
      </c>
      <c r="K329" s="1">
        <v>4</v>
      </c>
      <c r="L329" s="1">
        <v>1</v>
      </c>
      <c r="M329" s="4">
        <v>3601</v>
      </c>
      <c r="N329" s="1">
        <v>6384</v>
      </c>
      <c r="O329" s="1">
        <v>11501</v>
      </c>
      <c r="P329" s="1">
        <v>5117</v>
      </c>
      <c r="Q329" s="1" t="s">
        <v>42</v>
      </c>
      <c r="S329" s="1" t="s">
        <v>42</v>
      </c>
      <c r="T329" s="1" t="s">
        <v>51</v>
      </c>
      <c r="U329" s="1">
        <v>70</v>
      </c>
      <c r="V329" s="5">
        <v>44427</v>
      </c>
      <c r="W329" s="5">
        <v>44357</v>
      </c>
      <c r="X329" s="1">
        <v>11500000</v>
      </c>
      <c r="AB329" s="1" t="s">
        <v>44</v>
      </c>
      <c r="AF329" s="1">
        <v>10019</v>
      </c>
      <c r="AI329" s="1" t="s">
        <v>177</v>
      </c>
      <c r="AJ329" s="1">
        <v>2016</v>
      </c>
      <c r="AK329" s="1" t="s">
        <v>49</v>
      </c>
      <c r="AL329" s="1">
        <v>60</v>
      </c>
    </row>
    <row r="330" spans="1:38" x14ac:dyDescent="0.2">
      <c r="A330" s="2" t="str">
        <f>HYPERLINK("https://www.compass.com/listing/695-1st-avenue-unit-31b-manhattan-ny-10016/781177427886889129/","695 1st Ave, Unit 31B")</f>
        <v>695 1st Ave, Unit 31B</v>
      </c>
      <c r="B330" s="2" t="str">
        <f>HYPERLINK("https://www.compass.com/building/one-united-nations-park-manhattan-ny/282058773630059653/","One United Nations Park")</f>
        <v>One United Nations Park</v>
      </c>
      <c r="C330" s="1" t="s">
        <v>59</v>
      </c>
      <c r="D330" s="1" t="s">
        <v>41</v>
      </c>
      <c r="E330" s="3">
        <v>2500000</v>
      </c>
      <c r="F330" s="1">
        <v>1586.2944162436499</v>
      </c>
      <c r="G330" s="1">
        <v>4</v>
      </c>
      <c r="H330" s="1">
        <v>2</v>
      </c>
      <c r="J330" s="1">
        <v>1</v>
      </c>
      <c r="K330" s="1">
        <v>1</v>
      </c>
      <c r="M330" s="4">
        <v>1576</v>
      </c>
      <c r="N330" s="1">
        <v>2113</v>
      </c>
      <c r="O330" s="1">
        <v>4622</v>
      </c>
      <c r="P330" s="1">
        <v>2509</v>
      </c>
      <c r="Q330" s="1" t="s">
        <v>42</v>
      </c>
      <c r="S330" s="1" t="s">
        <v>42</v>
      </c>
      <c r="T330" s="1" t="s">
        <v>51</v>
      </c>
      <c r="U330" s="1">
        <v>98</v>
      </c>
      <c r="V330" s="5">
        <v>44418</v>
      </c>
      <c r="W330" s="5">
        <v>44329</v>
      </c>
      <c r="X330" s="1">
        <v>2500000</v>
      </c>
      <c r="AB330" s="1" t="s">
        <v>44</v>
      </c>
      <c r="AF330" s="1">
        <v>10016</v>
      </c>
      <c r="AJ330" s="1">
        <v>2019</v>
      </c>
      <c r="AK330" s="1" t="s">
        <v>46</v>
      </c>
      <c r="AL330" s="1">
        <v>148</v>
      </c>
    </row>
    <row r="331" spans="1:38" x14ac:dyDescent="0.2">
      <c r="A331" s="2" t="str">
        <f>HYPERLINK("https://www.compass.com/listing/1-west-end-avenue-unit-41a-manhattan-ny-10069/399702096219213169/","1 W End Ave, Unit 41A")</f>
        <v>1 W End Ave, Unit 41A</v>
      </c>
      <c r="B331" s="2" t="str">
        <f t="shared" ref="B331:B334" si="38">HYPERLINK("https://www.compass.com/building/1-w-end-ave-manhattan-ny-10069/455676159137755317/","1 W End Ave")</f>
        <v>1 W End Ave</v>
      </c>
      <c r="C331" s="1" t="s">
        <v>57</v>
      </c>
      <c r="D331" s="1" t="s">
        <v>41</v>
      </c>
      <c r="E331" s="3">
        <v>8645000</v>
      </c>
      <c r="F331" s="1">
        <v>2829.7872340425502</v>
      </c>
      <c r="G331" s="1">
        <v>7</v>
      </c>
      <c r="H331" s="1">
        <v>4</v>
      </c>
      <c r="I331" s="1">
        <v>5</v>
      </c>
      <c r="J331" s="1">
        <v>4.5</v>
      </c>
      <c r="K331" s="1">
        <v>4</v>
      </c>
      <c r="L331" s="1">
        <v>1</v>
      </c>
      <c r="M331" s="4">
        <v>3055</v>
      </c>
      <c r="N331" s="1">
        <v>3567</v>
      </c>
      <c r="O331" s="1">
        <v>3775</v>
      </c>
      <c r="P331" s="1">
        <v>208</v>
      </c>
      <c r="Q331" s="1" t="s">
        <v>42</v>
      </c>
      <c r="S331" s="1" t="s">
        <v>42</v>
      </c>
      <c r="T331" s="1" t="s">
        <v>51</v>
      </c>
      <c r="U331" s="1">
        <v>209</v>
      </c>
      <c r="V331" s="5">
        <v>44424</v>
      </c>
      <c r="W331" s="5">
        <v>44218</v>
      </c>
      <c r="AB331" s="1" t="s">
        <v>44</v>
      </c>
      <c r="AF331" s="1">
        <v>10069</v>
      </c>
      <c r="AI331" s="1" t="s">
        <v>102</v>
      </c>
      <c r="AJ331" s="1">
        <v>2017</v>
      </c>
      <c r="AK331" s="1" t="s">
        <v>46</v>
      </c>
      <c r="AL331" s="1">
        <v>246</v>
      </c>
    </row>
    <row r="332" spans="1:38" x14ac:dyDescent="0.2">
      <c r="A332" s="2" t="str">
        <f>HYPERLINK("https://www.compass.com/listing/1-west-end-avenue-unit-29b-manhattan-ny-10069/781341405789927217/","1 W End Ave, Unit 29B")</f>
        <v>1 W End Ave, Unit 29B</v>
      </c>
      <c r="B332" s="2" t="str">
        <f t="shared" si="38"/>
        <v>1 W End Ave</v>
      </c>
      <c r="C332" s="1" t="s">
        <v>57</v>
      </c>
      <c r="D332" s="1" t="s">
        <v>41</v>
      </c>
      <c r="E332" s="3">
        <v>19500000</v>
      </c>
      <c r="F332" s="1">
        <v>3677.85741229724</v>
      </c>
      <c r="G332" s="1">
        <v>8</v>
      </c>
      <c r="H332" s="1">
        <v>4</v>
      </c>
      <c r="I332" s="1">
        <v>6</v>
      </c>
      <c r="J332" s="1">
        <v>5.5</v>
      </c>
      <c r="K332" s="1">
        <v>5</v>
      </c>
      <c r="L332" s="1">
        <v>1</v>
      </c>
      <c r="M332" s="4">
        <v>5302</v>
      </c>
      <c r="N332" s="1">
        <v>6086</v>
      </c>
      <c r="O332" s="1">
        <v>6442</v>
      </c>
      <c r="P332" s="1">
        <v>356</v>
      </c>
      <c r="Q332" s="1" t="s">
        <v>42</v>
      </c>
      <c r="S332" s="1" t="s">
        <v>42</v>
      </c>
      <c r="T332" s="1" t="s">
        <v>51</v>
      </c>
      <c r="U332" s="1">
        <v>531</v>
      </c>
      <c r="V332" s="5">
        <v>44424</v>
      </c>
      <c r="W332" s="5">
        <v>43801</v>
      </c>
      <c r="X332" s="1">
        <v>19500000</v>
      </c>
      <c r="AB332" s="1" t="s">
        <v>44</v>
      </c>
      <c r="AF332" s="1">
        <v>10069</v>
      </c>
      <c r="AI332" s="1" t="s">
        <v>212</v>
      </c>
      <c r="AJ332" s="1">
        <v>2017</v>
      </c>
      <c r="AK332" s="1" t="s">
        <v>46</v>
      </c>
      <c r="AL332" s="1">
        <v>246</v>
      </c>
    </row>
    <row r="333" spans="1:38" x14ac:dyDescent="0.2">
      <c r="A333" s="2" t="str">
        <f>HYPERLINK("https://www.compass.com/listing/1-west-end-avenue-unit-36a-manhattan-ny-10069/725319172268076817/","1 W End Ave, Unit 36A")</f>
        <v>1 W End Ave, Unit 36A</v>
      </c>
      <c r="B333" s="2" t="str">
        <f t="shared" si="38"/>
        <v>1 W End Ave</v>
      </c>
      <c r="C333" s="1" t="s">
        <v>57</v>
      </c>
      <c r="D333" s="1" t="s">
        <v>41</v>
      </c>
      <c r="E333" s="3">
        <v>7995000</v>
      </c>
      <c r="F333" s="1">
        <v>2617.0212765957399</v>
      </c>
      <c r="G333" s="1">
        <v>6</v>
      </c>
      <c r="H333" s="1">
        <v>4</v>
      </c>
      <c r="I333" s="1">
        <v>5</v>
      </c>
      <c r="J333" s="1">
        <v>4.5</v>
      </c>
      <c r="K333" s="1">
        <v>4</v>
      </c>
      <c r="L333" s="1">
        <v>1</v>
      </c>
      <c r="M333" s="4">
        <v>3055</v>
      </c>
      <c r="N333" s="1">
        <v>3567</v>
      </c>
      <c r="O333" s="1">
        <v>3773</v>
      </c>
      <c r="P333" s="1">
        <v>206</v>
      </c>
      <c r="Q333" s="1" t="s">
        <v>42</v>
      </c>
      <c r="S333" s="1" t="s">
        <v>42</v>
      </c>
      <c r="T333" s="1" t="s">
        <v>51</v>
      </c>
      <c r="U333" s="1">
        <v>175</v>
      </c>
      <c r="V333" s="5">
        <v>44424</v>
      </c>
      <c r="W333" s="5">
        <v>44252</v>
      </c>
      <c r="X333" s="1">
        <v>7995000</v>
      </c>
      <c r="AB333" s="1" t="s">
        <v>44</v>
      </c>
      <c r="AF333" s="1">
        <v>10069</v>
      </c>
      <c r="AI333" s="1" t="s">
        <v>205</v>
      </c>
      <c r="AJ333" s="1">
        <v>2017</v>
      </c>
      <c r="AK333" s="1" t="s">
        <v>108</v>
      </c>
      <c r="AL333" s="1">
        <v>246</v>
      </c>
    </row>
    <row r="334" spans="1:38" x14ac:dyDescent="0.2">
      <c r="A334" s="2" t="str">
        <f>HYPERLINK("https://www.compass.com/listing/1-west-end-avenue-unit-36b-manhattan-ny-10069/442134727793663961/","1 W End Ave, Unit 36B")</f>
        <v>1 W End Ave, Unit 36B</v>
      </c>
      <c r="B334" s="2" t="str">
        <f t="shared" si="38"/>
        <v>1 W End Ave</v>
      </c>
      <c r="C334" s="1" t="s">
        <v>57</v>
      </c>
      <c r="D334" s="1" t="s">
        <v>41</v>
      </c>
      <c r="E334" s="3">
        <v>7995000</v>
      </c>
      <c r="F334" s="1">
        <v>2840.1420959147399</v>
      </c>
      <c r="G334" s="1">
        <v>6</v>
      </c>
      <c r="H334" s="1">
        <v>4</v>
      </c>
      <c r="I334" s="1">
        <v>5</v>
      </c>
      <c r="J334" s="1">
        <v>4.5</v>
      </c>
      <c r="K334" s="1">
        <v>4</v>
      </c>
      <c r="L334" s="1">
        <v>1</v>
      </c>
      <c r="M334" s="4">
        <v>2815</v>
      </c>
      <c r="N334" s="1">
        <v>3359</v>
      </c>
      <c r="O334" s="1">
        <v>3555</v>
      </c>
      <c r="P334" s="1">
        <v>196</v>
      </c>
      <c r="Q334" s="1" t="s">
        <v>42</v>
      </c>
      <c r="S334" s="1" t="s">
        <v>42</v>
      </c>
      <c r="T334" s="1" t="s">
        <v>51</v>
      </c>
      <c r="U334" s="1">
        <v>472</v>
      </c>
      <c r="V334" s="5">
        <v>44424</v>
      </c>
      <c r="W334" s="5">
        <v>43861</v>
      </c>
      <c r="X334" s="1">
        <v>7995000</v>
      </c>
      <c r="AB334" s="1" t="s">
        <v>44</v>
      </c>
      <c r="AF334" s="1">
        <v>10069</v>
      </c>
      <c r="AI334" s="1" t="s">
        <v>213</v>
      </c>
      <c r="AJ334" s="1">
        <v>2017</v>
      </c>
      <c r="AK334" s="1" t="s">
        <v>108</v>
      </c>
      <c r="AL334" s="1">
        <v>246</v>
      </c>
    </row>
    <row r="335" spans="1:38" x14ac:dyDescent="0.2">
      <c r="A335" s="2" t="str">
        <f>HYPERLINK("https://www.compass.com/listing/252-south-street-unit-11e-manhattan-ny-10002/836286771706368265/","252 South St, Unit 11E")</f>
        <v>252 South St, Unit 11E</v>
      </c>
      <c r="B335" s="2" t="str">
        <f>HYPERLINK("https://www.compass.com/building/one-manhattan-square-manhattan-ny/294844950218926165/","One Manhattan Square")</f>
        <v>One Manhattan Square</v>
      </c>
      <c r="C335" s="1" t="s">
        <v>47</v>
      </c>
      <c r="D335" s="1" t="s">
        <v>41</v>
      </c>
      <c r="E335" s="3">
        <v>1970000</v>
      </c>
      <c r="F335" s="1">
        <v>1754.2297417631301</v>
      </c>
      <c r="G335" s="1">
        <v>4</v>
      </c>
      <c r="H335" s="1">
        <v>2</v>
      </c>
      <c r="I335" s="1">
        <v>2</v>
      </c>
      <c r="J335" s="1">
        <v>2</v>
      </c>
      <c r="K335" s="1">
        <v>2</v>
      </c>
      <c r="M335" s="4">
        <v>1123</v>
      </c>
      <c r="N335" s="1">
        <v>1222</v>
      </c>
      <c r="O335" s="1">
        <v>1241</v>
      </c>
      <c r="P335" s="1">
        <v>19</v>
      </c>
      <c r="Q335" s="1" t="s">
        <v>42</v>
      </c>
      <c r="S335" s="1" t="s">
        <v>42</v>
      </c>
      <c r="T335" s="1" t="s">
        <v>51</v>
      </c>
      <c r="U335" s="1">
        <v>22</v>
      </c>
      <c r="V335" s="5">
        <v>44420</v>
      </c>
      <c r="W335" s="5">
        <v>44405</v>
      </c>
      <c r="X335" s="1">
        <v>1970000</v>
      </c>
      <c r="AB335" s="1" t="s">
        <v>44</v>
      </c>
      <c r="AF335" s="1">
        <v>10002</v>
      </c>
      <c r="AI335" s="1" t="s">
        <v>191</v>
      </c>
      <c r="AJ335" s="1">
        <v>2019</v>
      </c>
      <c r="AK335" s="1" t="s">
        <v>46</v>
      </c>
      <c r="AL335" s="1">
        <v>787</v>
      </c>
    </row>
    <row r="336" spans="1:38" x14ac:dyDescent="0.2">
      <c r="A336" s="2" t="str">
        <f>HYPERLINK("https://www.compass.com/listing/695-1st-avenue-unit-31h-manhattan-ny-10016/781176997535427249/","695 1st Ave, Unit 31H")</f>
        <v>695 1st Ave, Unit 31H</v>
      </c>
      <c r="B336" s="2" t="str">
        <f>HYPERLINK("https://www.compass.com/building/one-united-nations-park-manhattan-ny/282058773630059653/","One United Nations Park")</f>
        <v>One United Nations Park</v>
      </c>
      <c r="C336" s="1" t="s">
        <v>59</v>
      </c>
      <c r="D336" s="1" t="s">
        <v>41</v>
      </c>
      <c r="E336" s="3">
        <v>2995000</v>
      </c>
      <c r="F336" s="1">
        <v>1647.4147414741401</v>
      </c>
      <c r="G336" s="1">
        <v>4</v>
      </c>
      <c r="H336" s="1">
        <v>2</v>
      </c>
      <c r="I336" s="1">
        <v>1</v>
      </c>
      <c r="J336" s="1">
        <v>1.5</v>
      </c>
      <c r="K336" s="1">
        <v>1</v>
      </c>
      <c r="L336" s="1">
        <v>1</v>
      </c>
      <c r="M336" s="4">
        <v>1818</v>
      </c>
      <c r="N336" s="1">
        <v>2448</v>
      </c>
      <c r="O336" s="1">
        <v>5355</v>
      </c>
      <c r="P336" s="1">
        <v>2907</v>
      </c>
      <c r="Q336" s="1" t="s">
        <v>42</v>
      </c>
      <c r="S336" s="1" t="s">
        <v>42</v>
      </c>
      <c r="T336" s="1" t="s">
        <v>51</v>
      </c>
      <c r="U336" s="1">
        <v>99</v>
      </c>
      <c r="V336" s="5">
        <v>44418</v>
      </c>
      <c r="W336" s="5">
        <v>44328</v>
      </c>
      <c r="X336" s="1">
        <v>2995000</v>
      </c>
      <c r="AB336" s="1" t="s">
        <v>44</v>
      </c>
      <c r="AF336" s="1">
        <v>10016</v>
      </c>
      <c r="AI336" s="1" t="s">
        <v>160</v>
      </c>
      <c r="AJ336" s="1">
        <v>2019</v>
      </c>
      <c r="AK336" s="1" t="s">
        <v>46</v>
      </c>
      <c r="AL336" s="1">
        <v>148</v>
      </c>
    </row>
    <row r="337" spans="1:38" x14ac:dyDescent="0.2">
      <c r="A337" s="2" t="str">
        <f>HYPERLINK("https://www.compass.com/listing/285-west-110th-street-unit-7b-manhattan-ny-10026/429014035799988321/","285 W 110th St, Unit 7B")</f>
        <v>285 W 110th St, Unit 7B</v>
      </c>
      <c r="B337" s="2" t="str">
        <f>HYPERLINK("https://www.compass.com/building/circa-central-park-manhattan-ny/282059072692321269/","Circa Central Park")</f>
        <v>Circa Central Park</v>
      </c>
      <c r="C337" s="1" t="s">
        <v>85</v>
      </c>
      <c r="D337" s="1" t="s">
        <v>41</v>
      </c>
      <c r="E337" s="3">
        <v>2995000</v>
      </c>
      <c r="F337" s="1">
        <v>1862.56218905472</v>
      </c>
      <c r="G337" s="1">
        <v>5</v>
      </c>
      <c r="H337" s="1">
        <v>3</v>
      </c>
      <c r="I337" s="1">
        <v>3</v>
      </c>
      <c r="J337" s="1">
        <v>3</v>
      </c>
      <c r="K337" s="1">
        <v>3</v>
      </c>
      <c r="M337" s="4">
        <v>1608</v>
      </c>
      <c r="N337" s="1">
        <v>1524.4</v>
      </c>
      <c r="O337" s="1">
        <v>1716.15</v>
      </c>
      <c r="P337" s="1">
        <v>191.75</v>
      </c>
      <c r="Q337" s="1" t="s">
        <v>42</v>
      </c>
      <c r="S337" s="1" t="s">
        <v>42</v>
      </c>
      <c r="T337" s="1" t="s">
        <v>51</v>
      </c>
      <c r="U337" s="1">
        <v>405</v>
      </c>
      <c r="V337" s="5">
        <v>44421</v>
      </c>
      <c r="W337" s="5">
        <v>43843</v>
      </c>
      <c r="X337" s="1">
        <v>3336600</v>
      </c>
      <c r="AB337" s="1" t="s">
        <v>44</v>
      </c>
      <c r="AF337" s="1">
        <v>10026</v>
      </c>
      <c r="AI337" s="1" t="s">
        <v>48</v>
      </c>
      <c r="AJ337" s="1">
        <v>2017</v>
      </c>
      <c r="AK337" s="1" t="s">
        <v>46</v>
      </c>
      <c r="AL337" s="1">
        <v>38</v>
      </c>
    </row>
    <row r="338" spans="1:38" x14ac:dyDescent="0.2">
      <c r="A338" s="2" t="str">
        <f>HYPERLINK("https://www.compass.com/listing/252-south-street-unit-33f-manhattan-ny-10002/836278080321192737/","252 South St, Unit 33F")</f>
        <v>252 South St, Unit 33F</v>
      </c>
      <c r="B338" s="2" t="str">
        <f t="shared" ref="B338:B340" si="39">HYPERLINK("https://www.compass.com/building/one-manhattan-square-manhattan-ny/294844950218926165/","One Manhattan Square")</f>
        <v>One Manhattan Square</v>
      </c>
      <c r="C338" s="1" t="s">
        <v>47</v>
      </c>
      <c r="D338" s="1" t="s">
        <v>41</v>
      </c>
      <c r="E338" s="3">
        <v>1235000</v>
      </c>
      <c r="F338" s="1">
        <v>1710.5263157894699</v>
      </c>
      <c r="G338" s="1">
        <v>3</v>
      </c>
      <c r="H338" s="1">
        <v>1</v>
      </c>
      <c r="I338" s="1">
        <v>1</v>
      </c>
      <c r="J338" s="1">
        <v>1</v>
      </c>
      <c r="K338" s="1">
        <v>1</v>
      </c>
      <c r="M338" s="1">
        <v>722</v>
      </c>
      <c r="N338" s="1">
        <v>863</v>
      </c>
      <c r="O338" s="1">
        <v>877</v>
      </c>
      <c r="P338" s="1">
        <v>14</v>
      </c>
      <c r="Q338" s="1" t="s">
        <v>42</v>
      </c>
      <c r="S338" s="1" t="s">
        <v>42</v>
      </c>
      <c r="T338" s="1" t="s">
        <v>51</v>
      </c>
      <c r="U338" s="1">
        <v>22</v>
      </c>
      <c r="V338" s="5">
        <v>44420</v>
      </c>
      <c r="W338" s="5">
        <v>44405</v>
      </c>
      <c r="X338" s="1">
        <v>1235000</v>
      </c>
      <c r="AB338" s="1" t="s">
        <v>44</v>
      </c>
      <c r="AF338" s="1">
        <v>10002</v>
      </c>
      <c r="AI338" s="1" t="s">
        <v>191</v>
      </c>
      <c r="AJ338" s="1">
        <v>2019</v>
      </c>
      <c r="AK338" s="1" t="s">
        <v>46</v>
      </c>
      <c r="AL338" s="1">
        <v>787</v>
      </c>
    </row>
    <row r="339" spans="1:38" x14ac:dyDescent="0.2">
      <c r="A339" s="2" t="str">
        <f>HYPERLINK("https://www.compass.com/listing/252-south-street-unit-27g-manhattan-ny-10002/836280508251520201/","252 South St, Unit 27G")</f>
        <v>252 South St, Unit 27G</v>
      </c>
      <c r="B339" s="2" t="str">
        <f t="shared" si="39"/>
        <v>One Manhattan Square</v>
      </c>
      <c r="C339" s="1" t="s">
        <v>47</v>
      </c>
      <c r="D339" s="1" t="s">
        <v>41</v>
      </c>
      <c r="E339" s="3">
        <v>1215000</v>
      </c>
      <c r="F339" s="1">
        <v>1680.4979253112001</v>
      </c>
      <c r="G339" s="1">
        <v>3</v>
      </c>
      <c r="H339" s="1">
        <v>1</v>
      </c>
      <c r="I339" s="1">
        <v>1</v>
      </c>
      <c r="J339" s="1">
        <v>1</v>
      </c>
      <c r="K339" s="1">
        <v>1</v>
      </c>
      <c r="M339" s="1">
        <v>723</v>
      </c>
      <c r="N339" s="1">
        <v>845</v>
      </c>
      <c r="O339" s="1">
        <v>858</v>
      </c>
      <c r="P339" s="1">
        <v>13</v>
      </c>
      <c r="Q339" s="1" t="s">
        <v>42</v>
      </c>
      <c r="S339" s="1" t="s">
        <v>42</v>
      </c>
      <c r="T339" s="1" t="s">
        <v>51</v>
      </c>
      <c r="U339" s="1">
        <v>22</v>
      </c>
      <c r="V339" s="5">
        <v>44420</v>
      </c>
      <c r="W339" s="5">
        <v>44405</v>
      </c>
      <c r="X339" s="1">
        <v>1215000</v>
      </c>
      <c r="AB339" s="1" t="s">
        <v>44</v>
      </c>
      <c r="AF339" s="1">
        <v>10002</v>
      </c>
      <c r="AI339" s="1" t="s">
        <v>191</v>
      </c>
      <c r="AJ339" s="1">
        <v>2019</v>
      </c>
      <c r="AK339" s="1" t="s">
        <v>46</v>
      </c>
      <c r="AL339" s="1">
        <v>787</v>
      </c>
    </row>
    <row r="340" spans="1:38" x14ac:dyDescent="0.2">
      <c r="A340" s="2" t="str">
        <f>HYPERLINK("https://www.compass.com/listing/252-south-street-unit-10n-manhattan-ny-10002/836284011208876097/","252 South St, Unit 10N")</f>
        <v>252 South St, Unit 10N</v>
      </c>
      <c r="B340" s="2" t="str">
        <f t="shared" si="39"/>
        <v>One Manhattan Square</v>
      </c>
      <c r="C340" s="1" t="s">
        <v>47</v>
      </c>
      <c r="D340" s="1" t="s">
        <v>41</v>
      </c>
      <c r="E340" s="3">
        <v>1260000</v>
      </c>
      <c r="F340" s="1">
        <v>1812.9496402877601</v>
      </c>
      <c r="G340" s="1">
        <v>3</v>
      </c>
      <c r="H340" s="1">
        <v>1</v>
      </c>
      <c r="I340" s="1">
        <v>1</v>
      </c>
      <c r="J340" s="1">
        <v>1</v>
      </c>
      <c r="K340" s="1">
        <v>1</v>
      </c>
      <c r="M340" s="1">
        <v>695</v>
      </c>
      <c r="N340" s="1">
        <v>12</v>
      </c>
      <c r="O340" s="1">
        <v>764</v>
      </c>
      <c r="P340" s="1">
        <v>752</v>
      </c>
      <c r="Q340" s="1" t="s">
        <v>42</v>
      </c>
      <c r="S340" s="1" t="s">
        <v>42</v>
      </c>
      <c r="T340" s="1" t="s">
        <v>51</v>
      </c>
      <c r="U340" s="1">
        <v>22</v>
      </c>
      <c r="V340" s="5">
        <v>44420</v>
      </c>
      <c r="W340" s="5">
        <v>44405</v>
      </c>
      <c r="X340" s="1">
        <v>1260000</v>
      </c>
      <c r="AB340" s="1" t="s">
        <v>44</v>
      </c>
      <c r="AF340" s="1">
        <v>10002</v>
      </c>
      <c r="AI340" s="1" t="s">
        <v>191</v>
      </c>
      <c r="AJ340" s="1">
        <v>2019</v>
      </c>
      <c r="AK340" s="1" t="s">
        <v>46</v>
      </c>
      <c r="AL340" s="1">
        <v>787</v>
      </c>
    </row>
    <row r="341" spans="1:38" x14ac:dyDescent="0.2">
      <c r="A341" s="2" t="str">
        <f>HYPERLINK("https://www.compass.com/listing/172-madison-avenue-unit-pha-manhattan-ny-10016/803304436017425305/","172 Madison Ave, Unit PHA")</f>
        <v>172 Madison Ave, Unit PHA</v>
      </c>
      <c r="B341" s="2" t="str">
        <f>HYPERLINK("https://www.compass.com/building/172-madison-ave-manhattan-ny-10016/281937956250376981/","172 Madison Ave")</f>
        <v>172 Madison Ave</v>
      </c>
      <c r="C341" s="1" t="s">
        <v>120</v>
      </c>
      <c r="D341" s="1" t="s">
        <v>41</v>
      </c>
      <c r="E341" s="3">
        <v>12000000</v>
      </c>
      <c r="F341" s="1">
        <v>3382.18714768883</v>
      </c>
      <c r="G341" s="1">
        <v>7</v>
      </c>
      <c r="H341" s="1">
        <v>3</v>
      </c>
      <c r="I341" s="1">
        <v>4</v>
      </c>
      <c r="J341" s="1">
        <v>3.5</v>
      </c>
      <c r="K341" s="1">
        <v>3</v>
      </c>
      <c r="L341" s="1">
        <v>1</v>
      </c>
      <c r="M341" s="4">
        <v>3548</v>
      </c>
      <c r="N341" s="1">
        <v>4897</v>
      </c>
      <c r="O341" s="1">
        <v>13871</v>
      </c>
      <c r="P341" s="1">
        <v>8974</v>
      </c>
      <c r="Q341" s="1" t="s">
        <v>129</v>
      </c>
      <c r="S341" s="1" t="s">
        <v>42</v>
      </c>
      <c r="T341" s="1" t="s">
        <v>51</v>
      </c>
      <c r="U341" s="1">
        <v>182</v>
      </c>
      <c r="V341" s="5">
        <v>44420</v>
      </c>
      <c r="W341" s="5">
        <v>44158</v>
      </c>
      <c r="AB341" s="1" t="s">
        <v>44</v>
      </c>
      <c r="AF341" s="1">
        <v>10016</v>
      </c>
      <c r="AI341" s="1" t="s">
        <v>137</v>
      </c>
      <c r="AJ341" s="1">
        <v>2016</v>
      </c>
      <c r="AK341" s="1" t="s">
        <v>46</v>
      </c>
      <c r="AL341" s="1">
        <v>72</v>
      </c>
    </row>
    <row r="342" spans="1:38" x14ac:dyDescent="0.2">
      <c r="A342" s="2" t="str">
        <f>HYPERLINK("https://www.compass.com/listing/695-1st-avenue-unit-37d-manhattan-ny-10016/781176863595234137/","695 1st Ave, Unit 37D")</f>
        <v>695 1st Ave, Unit 37D</v>
      </c>
      <c r="B342" s="2" t="str">
        <f>HYPERLINK("https://www.compass.com/building/one-united-nations-park-manhattan-ny/282058773630059653/","One United Nations Park")</f>
        <v>One United Nations Park</v>
      </c>
      <c r="C342" s="1" t="s">
        <v>59</v>
      </c>
      <c r="D342" s="1" t="s">
        <v>41</v>
      </c>
      <c r="E342" s="3">
        <v>2770000</v>
      </c>
      <c r="F342" s="1">
        <v>1771.09974424552</v>
      </c>
      <c r="G342" s="1">
        <v>4</v>
      </c>
      <c r="H342" s="1">
        <v>2</v>
      </c>
      <c r="I342" s="1">
        <v>1</v>
      </c>
      <c r="J342" s="1">
        <v>1.5</v>
      </c>
      <c r="K342" s="1">
        <v>1</v>
      </c>
      <c r="L342" s="1">
        <v>1</v>
      </c>
      <c r="M342" s="4">
        <v>1564</v>
      </c>
      <c r="N342" s="1">
        <v>2097</v>
      </c>
      <c r="O342" s="1">
        <v>4587</v>
      </c>
      <c r="P342" s="1">
        <v>2490</v>
      </c>
      <c r="Q342" s="1" t="s">
        <v>42</v>
      </c>
      <c r="S342" s="1" t="s">
        <v>42</v>
      </c>
      <c r="T342" s="1" t="s">
        <v>51</v>
      </c>
      <c r="U342" s="1">
        <v>98</v>
      </c>
      <c r="V342" s="5">
        <v>44418</v>
      </c>
      <c r="W342" s="5">
        <v>44329</v>
      </c>
      <c r="X342" s="1">
        <v>2770000</v>
      </c>
      <c r="AB342" s="1" t="s">
        <v>44</v>
      </c>
      <c r="AF342" s="1">
        <v>10016</v>
      </c>
      <c r="AJ342" s="1">
        <v>2019</v>
      </c>
      <c r="AK342" s="1" t="s">
        <v>46</v>
      </c>
      <c r="AL342" s="1">
        <v>148</v>
      </c>
    </row>
    <row r="343" spans="1:38" x14ac:dyDescent="0.2">
      <c r="A343" s="2" t="str">
        <f>HYPERLINK("https://www.compass.com/listing/252-south-street-unit-43h-manhattan-ny-10002/836275336097008193/","252 South St, Unit 43H")</f>
        <v>252 South St, Unit 43H</v>
      </c>
      <c r="B343" s="2" t="str">
        <f t="shared" ref="B343:B344" si="40">HYPERLINK("https://www.compass.com/building/one-manhattan-square-manhattan-ny/294844950218926165/","One Manhattan Square")</f>
        <v>One Manhattan Square</v>
      </c>
      <c r="C343" s="1" t="s">
        <v>47</v>
      </c>
      <c r="D343" s="1" t="s">
        <v>41</v>
      </c>
      <c r="E343" s="3">
        <v>1405000</v>
      </c>
      <c r="F343" s="1">
        <v>2018.67816091954</v>
      </c>
      <c r="G343" s="1">
        <v>3</v>
      </c>
      <c r="H343" s="1">
        <v>1</v>
      </c>
      <c r="I343" s="1">
        <v>1</v>
      </c>
      <c r="J343" s="1">
        <v>1</v>
      </c>
      <c r="K343" s="1">
        <v>1</v>
      </c>
      <c r="M343" s="1">
        <v>696</v>
      </c>
      <c r="N343" s="1">
        <v>872</v>
      </c>
      <c r="O343" s="1">
        <v>886</v>
      </c>
      <c r="P343" s="1">
        <v>14</v>
      </c>
      <c r="Q343" s="1" t="s">
        <v>42</v>
      </c>
      <c r="S343" s="1" t="s">
        <v>42</v>
      </c>
      <c r="T343" s="1" t="s">
        <v>51</v>
      </c>
      <c r="U343" s="1">
        <v>22</v>
      </c>
      <c r="V343" s="5">
        <v>44420</v>
      </c>
      <c r="W343" s="5">
        <v>44405</v>
      </c>
      <c r="X343" s="1">
        <v>1405000</v>
      </c>
      <c r="AB343" s="1" t="s">
        <v>44</v>
      </c>
      <c r="AF343" s="1">
        <v>10002</v>
      </c>
      <c r="AI343" s="1" t="s">
        <v>214</v>
      </c>
      <c r="AJ343" s="1">
        <v>2019</v>
      </c>
      <c r="AK343" s="1" t="s">
        <v>46</v>
      </c>
      <c r="AL343" s="1">
        <v>787</v>
      </c>
    </row>
    <row r="344" spans="1:38" x14ac:dyDescent="0.2">
      <c r="A344" s="2" t="str">
        <f>HYPERLINK("https://www.compass.com/listing/252-south-street-unit-59g-manhattan-ny-10002/836285785059757657/","252 South St, Unit 59G")</f>
        <v>252 South St, Unit 59G</v>
      </c>
      <c r="B344" s="2" t="str">
        <f t="shared" si="40"/>
        <v>One Manhattan Square</v>
      </c>
      <c r="C344" s="1" t="s">
        <v>47</v>
      </c>
      <c r="D344" s="1" t="s">
        <v>41</v>
      </c>
      <c r="E344" s="3">
        <v>1470000</v>
      </c>
      <c r="F344" s="1">
        <v>2136.6279069767402</v>
      </c>
      <c r="G344" s="1">
        <v>3</v>
      </c>
      <c r="H344" s="1">
        <v>1</v>
      </c>
      <c r="I344" s="1">
        <v>1</v>
      </c>
      <c r="J344" s="1">
        <v>1</v>
      </c>
      <c r="K344" s="1">
        <v>1</v>
      </c>
      <c r="M344" s="1">
        <v>688</v>
      </c>
      <c r="N344" s="1">
        <v>917</v>
      </c>
      <c r="O344" s="1">
        <v>931</v>
      </c>
      <c r="P344" s="1">
        <v>14</v>
      </c>
      <c r="Q344" s="1" t="s">
        <v>42</v>
      </c>
      <c r="S344" s="1" t="s">
        <v>42</v>
      </c>
      <c r="T344" s="1" t="s">
        <v>51</v>
      </c>
      <c r="U344" s="1">
        <v>22</v>
      </c>
      <c r="V344" s="5">
        <v>44420</v>
      </c>
      <c r="W344" s="5">
        <v>44405</v>
      </c>
      <c r="X344" s="1">
        <v>1470000</v>
      </c>
      <c r="AB344" s="1" t="s">
        <v>44</v>
      </c>
      <c r="AF344" s="1">
        <v>10002</v>
      </c>
      <c r="AI344" s="1" t="s">
        <v>191</v>
      </c>
      <c r="AJ344" s="1">
        <v>2019</v>
      </c>
      <c r="AK344" s="1" t="s">
        <v>46</v>
      </c>
      <c r="AL344" s="1">
        <v>787</v>
      </c>
    </row>
    <row r="345" spans="1:38" x14ac:dyDescent="0.2">
      <c r="A345" s="2" t="str">
        <f>HYPERLINK("https://www.compass.com/listing/217-west-57th-street-unit-34f-manhattan-ny-10019/755836210408913025/","217 W 57th St, Unit 34F")</f>
        <v>217 W 57th St, Unit 34F</v>
      </c>
      <c r="B345" s="2" t="str">
        <f t="shared" ref="B345:B346" si="41">HYPERLINK("https://www.compass.com/building/central-park-tower-manhattan-ny/292845475244082085/","Central Park Tower")</f>
        <v>Central Park Tower</v>
      </c>
      <c r="C345" s="1" t="s">
        <v>139</v>
      </c>
      <c r="D345" s="1" t="s">
        <v>41</v>
      </c>
      <c r="E345" s="3">
        <v>6900000</v>
      </c>
      <c r="F345" s="1">
        <v>3263.9545884578902</v>
      </c>
      <c r="G345" s="1">
        <v>5</v>
      </c>
      <c r="H345" s="1">
        <v>2</v>
      </c>
      <c r="I345" s="1">
        <v>2</v>
      </c>
      <c r="J345" s="1">
        <v>1.5</v>
      </c>
      <c r="K345" s="1">
        <v>1</v>
      </c>
      <c r="L345" s="1">
        <v>1</v>
      </c>
      <c r="M345" s="4">
        <v>2114</v>
      </c>
      <c r="N345" s="1">
        <v>2664</v>
      </c>
      <c r="O345" s="1">
        <v>7376</v>
      </c>
      <c r="P345" s="1">
        <v>4712</v>
      </c>
      <c r="Q345" s="1" t="s">
        <v>42</v>
      </c>
      <c r="S345" s="1" t="s">
        <v>42</v>
      </c>
      <c r="T345" s="1" t="s">
        <v>51</v>
      </c>
      <c r="U345" s="1">
        <v>133</v>
      </c>
      <c r="V345" s="5">
        <v>44422</v>
      </c>
      <c r="W345" s="5">
        <v>44294</v>
      </c>
      <c r="X345" s="1">
        <v>6900000</v>
      </c>
      <c r="AB345" s="1" t="s">
        <v>44</v>
      </c>
      <c r="AF345" s="1">
        <v>10019</v>
      </c>
      <c r="AI345" s="1" t="s">
        <v>140</v>
      </c>
      <c r="AJ345" s="1">
        <v>2020</v>
      </c>
      <c r="AK345" s="1" t="s">
        <v>108</v>
      </c>
      <c r="AL345" s="1">
        <v>179</v>
      </c>
    </row>
    <row r="346" spans="1:38" x14ac:dyDescent="0.2">
      <c r="A346" s="2" t="str">
        <f>HYPERLINK("https://www.compass.com/listing/217-west-57th-street-unit-33b-manhattan-ny-10019/755187769277348929/","217 W 57th St, Unit 33B")</f>
        <v>217 W 57th St, Unit 33B</v>
      </c>
      <c r="B346" s="2" t="str">
        <f t="shared" si="41"/>
        <v>Central Park Tower</v>
      </c>
      <c r="C346" s="1" t="s">
        <v>139</v>
      </c>
      <c r="D346" s="1" t="s">
        <v>41</v>
      </c>
      <c r="E346" s="3">
        <v>13500000</v>
      </c>
      <c r="F346" s="1">
        <v>5096.2627406568499</v>
      </c>
      <c r="G346" s="1">
        <v>5.5</v>
      </c>
      <c r="H346" s="1">
        <v>3</v>
      </c>
      <c r="I346" s="1">
        <v>2</v>
      </c>
      <c r="J346" s="1">
        <v>1.5</v>
      </c>
      <c r="K346" s="1">
        <v>1</v>
      </c>
      <c r="L346" s="1">
        <v>1</v>
      </c>
      <c r="M346" s="4">
        <v>2649</v>
      </c>
      <c r="N346" s="1">
        <v>3328</v>
      </c>
      <c r="O346" s="1">
        <v>9216</v>
      </c>
      <c r="P346" s="1">
        <v>5888</v>
      </c>
      <c r="Q346" s="1" t="s">
        <v>42</v>
      </c>
      <c r="S346" s="1" t="s">
        <v>42</v>
      </c>
      <c r="T346" s="1" t="s">
        <v>51</v>
      </c>
      <c r="U346" s="1">
        <v>134</v>
      </c>
      <c r="V346" s="5">
        <v>44422</v>
      </c>
      <c r="W346" s="5">
        <v>44293</v>
      </c>
      <c r="X346" s="1">
        <v>13500000</v>
      </c>
      <c r="AB346" s="1" t="s">
        <v>44</v>
      </c>
      <c r="AF346" s="1">
        <v>10019</v>
      </c>
      <c r="AI346" s="1" t="s">
        <v>140</v>
      </c>
      <c r="AJ346" s="1">
        <v>2020</v>
      </c>
      <c r="AK346" s="1" t="s">
        <v>108</v>
      </c>
      <c r="AL346" s="1">
        <v>179</v>
      </c>
    </row>
    <row r="347" spans="1:38" x14ac:dyDescent="0.2">
      <c r="A347" s="2" t="str">
        <f>HYPERLINK("https://www.compass.com/listing/695-1st-avenue-unit-34l-manhattan-ny-10016/761740362020838569/","695 1st Ave, Unit 34L")</f>
        <v>695 1st Ave, Unit 34L</v>
      </c>
      <c r="B347" s="2" t="str">
        <f>HYPERLINK("https://www.compass.com/building/one-united-nations-park-manhattan-ny/282058773630059653/","One United Nations Park")</f>
        <v>One United Nations Park</v>
      </c>
      <c r="C347" s="1" t="s">
        <v>59</v>
      </c>
      <c r="D347" s="1" t="s">
        <v>41</v>
      </c>
      <c r="E347" s="3">
        <v>1690000</v>
      </c>
      <c r="F347" s="1">
        <v>1621.88099808061</v>
      </c>
      <c r="G347" s="1">
        <v>3</v>
      </c>
      <c r="H347" s="1">
        <v>1</v>
      </c>
      <c r="I347" s="1">
        <v>1</v>
      </c>
      <c r="J347" s="1">
        <v>1</v>
      </c>
      <c r="K347" s="1">
        <v>1</v>
      </c>
      <c r="M347" s="4">
        <v>1042</v>
      </c>
      <c r="N347" s="1">
        <v>1397</v>
      </c>
      <c r="O347" s="1">
        <v>3056</v>
      </c>
      <c r="P347" s="1">
        <v>1659</v>
      </c>
      <c r="Q347" s="1" t="s">
        <v>42</v>
      </c>
      <c r="S347" s="1" t="s">
        <v>42</v>
      </c>
      <c r="T347" s="1" t="s">
        <v>51</v>
      </c>
      <c r="U347" s="1">
        <v>125</v>
      </c>
      <c r="V347" s="5">
        <v>44427</v>
      </c>
      <c r="W347" s="5">
        <v>44302</v>
      </c>
      <c r="X347" s="1">
        <v>1690000</v>
      </c>
      <c r="AB347" s="1" t="s">
        <v>44</v>
      </c>
      <c r="AF347" s="1">
        <v>10016</v>
      </c>
      <c r="AJ347" s="1">
        <v>2019</v>
      </c>
      <c r="AK347" s="1" t="s">
        <v>46</v>
      </c>
      <c r="AL347" s="1">
        <v>148</v>
      </c>
    </row>
    <row r="348" spans="1:38" x14ac:dyDescent="0.2">
      <c r="A348" s="2" t="str">
        <f>HYPERLINK("https://www.compass.com/listing/16-west-40th-street-unit-20c-manhattan-ny-10018/775404438707231505/","16 W 40th St, Unit 20C")</f>
        <v>16 W 40th St, Unit 20C</v>
      </c>
      <c r="B348" s="2" t="str">
        <f>HYPERLINK("https://www.compass.com/building/the-bryant-manhattan-ny/281942863485395813/","The Bryant")</f>
        <v>The Bryant</v>
      </c>
      <c r="C348" s="1" t="s">
        <v>126</v>
      </c>
      <c r="D348" s="1" t="s">
        <v>41</v>
      </c>
      <c r="E348" s="3">
        <v>3495000</v>
      </c>
      <c r="F348" s="1">
        <v>2629.7968397291102</v>
      </c>
      <c r="G348" s="1">
        <v>4.5</v>
      </c>
      <c r="H348" s="1">
        <v>2</v>
      </c>
      <c r="I348" s="1">
        <v>3</v>
      </c>
      <c r="J348" s="1">
        <v>2.5</v>
      </c>
      <c r="K348" s="1">
        <v>2</v>
      </c>
      <c r="L348" s="1">
        <v>1</v>
      </c>
      <c r="M348" s="4">
        <v>1329</v>
      </c>
      <c r="N348" s="1">
        <v>2517</v>
      </c>
      <c r="O348" s="1">
        <v>4417</v>
      </c>
      <c r="P348" s="1">
        <v>1900</v>
      </c>
      <c r="Q348" s="1" t="s">
        <v>42</v>
      </c>
      <c r="S348" s="1" t="s">
        <v>42</v>
      </c>
      <c r="T348" s="1" t="s">
        <v>51</v>
      </c>
      <c r="U348" s="1">
        <v>101</v>
      </c>
      <c r="V348" s="5">
        <v>44427</v>
      </c>
      <c r="W348" s="5">
        <v>44326</v>
      </c>
      <c r="X348" s="1">
        <v>3495000</v>
      </c>
      <c r="AB348" s="1" t="s">
        <v>44</v>
      </c>
      <c r="AF348" s="1">
        <v>10018</v>
      </c>
      <c r="AI348" s="1" t="s">
        <v>58</v>
      </c>
      <c r="AJ348" s="1">
        <v>2017</v>
      </c>
      <c r="AK348" s="1" t="s">
        <v>49</v>
      </c>
      <c r="AL348" s="1">
        <v>57</v>
      </c>
    </row>
    <row r="349" spans="1:38" x14ac:dyDescent="0.2">
      <c r="A349" s="2" t="str">
        <f>HYPERLINK("https://www.compass.com/listing/456-west-167th-street-unit-1ma-manhattan-ny-10032/611512997516727937/","456 W 167th St, Unit 1MA")</f>
        <v>456 W 167th St, Unit 1MA</v>
      </c>
      <c r="B349" s="2" t="str">
        <f>HYPERLINK("https://www.compass.com/building/edgecombe-parc-manhattan-ny/282005897969005013/","Edgecombe Parc")</f>
        <v>Edgecombe Parc</v>
      </c>
      <c r="C349" s="1" t="s">
        <v>93</v>
      </c>
      <c r="D349" s="1" t="s">
        <v>41</v>
      </c>
      <c r="E349" s="3">
        <v>599000</v>
      </c>
      <c r="G349" s="1">
        <v>2</v>
      </c>
      <c r="H349" s="1" t="s">
        <v>99</v>
      </c>
      <c r="I349" s="1">
        <v>1</v>
      </c>
      <c r="J349" s="1">
        <v>1</v>
      </c>
      <c r="K349" s="1">
        <v>1</v>
      </c>
      <c r="N349" s="1">
        <v>673</v>
      </c>
      <c r="O349" s="1">
        <v>918</v>
      </c>
      <c r="P349" s="1">
        <v>245</v>
      </c>
      <c r="Q349" s="1" t="s">
        <v>42</v>
      </c>
      <c r="S349" s="1" t="s">
        <v>42</v>
      </c>
      <c r="T349" s="1" t="s">
        <v>51</v>
      </c>
      <c r="U349" s="1">
        <v>332</v>
      </c>
      <c r="V349" s="5">
        <v>44416</v>
      </c>
      <c r="W349" s="5">
        <v>44095</v>
      </c>
      <c r="X349" s="1">
        <v>599000</v>
      </c>
      <c r="AB349" s="1" t="s">
        <v>44</v>
      </c>
      <c r="AF349" s="1">
        <v>10032</v>
      </c>
      <c r="AI349" s="1" t="s">
        <v>111</v>
      </c>
      <c r="AJ349" s="1">
        <v>2014</v>
      </c>
      <c r="AK349" s="1" t="s">
        <v>215</v>
      </c>
      <c r="AL349" s="1">
        <v>49</v>
      </c>
    </row>
    <row r="350" spans="1:38" x14ac:dyDescent="0.2">
      <c r="A350" s="2" t="str">
        <f>HYPERLINK("https://www.compass.com/listing/252-south-street-unit-7h-manhattan-ny-10002/836282477490392329/","252 South St, Unit 7H")</f>
        <v>252 South St, Unit 7H</v>
      </c>
      <c r="B350" s="2" t="str">
        <f t="shared" ref="B350:B353" si="42">HYPERLINK("https://www.compass.com/building/one-manhattan-square-manhattan-ny/294844950218926165/","One Manhattan Square")</f>
        <v>One Manhattan Square</v>
      </c>
      <c r="C350" s="1" t="s">
        <v>47</v>
      </c>
      <c r="D350" s="1" t="s">
        <v>41</v>
      </c>
      <c r="E350" s="3">
        <v>1870000</v>
      </c>
      <c r="F350" s="1">
        <v>1617.64705882352</v>
      </c>
      <c r="G350" s="1">
        <v>4.5</v>
      </c>
      <c r="H350" s="1">
        <v>2</v>
      </c>
      <c r="I350" s="1">
        <v>2</v>
      </c>
      <c r="J350" s="1">
        <v>2</v>
      </c>
      <c r="K350" s="1">
        <v>2</v>
      </c>
      <c r="M350" s="4">
        <v>1156</v>
      </c>
      <c r="N350" s="1">
        <v>1233</v>
      </c>
      <c r="O350" s="1">
        <v>1252</v>
      </c>
      <c r="P350" s="1">
        <v>19</v>
      </c>
      <c r="Q350" s="1" t="s">
        <v>42</v>
      </c>
      <c r="S350" s="1" t="s">
        <v>42</v>
      </c>
      <c r="T350" s="1" t="s">
        <v>51</v>
      </c>
      <c r="U350" s="1">
        <v>22</v>
      </c>
      <c r="V350" s="5">
        <v>44420</v>
      </c>
      <c r="W350" s="5">
        <v>44405</v>
      </c>
      <c r="X350" s="1">
        <v>1870000</v>
      </c>
      <c r="AB350" s="1" t="s">
        <v>44</v>
      </c>
      <c r="AF350" s="1">
        <v>10002</v>
      </c>
      <c r="AI350" s="1" t="s">
        <v>191</v>
      </c>
      <c r="AJ350" s="1">
        <v>2019</v>
      </c>
      <c r="AK350" s="1" t="s">
        <v>46</v>
      </c>
      <c r="AL350" s="1">
        <v>787</v>
      </c>
    </row>
    <row r="351" spans="1:38" x14ac:dyDescent="0.2">
      <c r="A351" s="2" t="str">
        <f>HYPERLINK("https://www.compass.com/listing/252-south-street-unit-30c-manhattan-ny-10002/836282223554964625/","252 South St, Unit 30C")</f>
        <v>252 South St, Unit 30C</v>
      </c>
      <c r="B351" s="2" t="str">
        <f t="shared" si="42"/>
        <v>One Manhattan Square</v>
      </c>
      <c r="C351" s="1" t="s">
        <v>47</v>
      </c>
      <c r="D351" s="1" t="s">
        <v>41</v>
      </c>
      <c r="E351" s="3">
        <v>1570000</v>
      </c>
      <c r="F351" s="1">
        <v>2258.9928057553898</v>
      </c>
      <c r="G351" s="1">
        <v>3</v>
      </c>
      <c r="H351" s="1">
        <v>1</v>
      </c>
      <c r="I351" s="1">
        <v>1</v>
      </c>
      <c r="J351" s="1">
        <v>1</v>
      </c>
      <c r="K351" s="1">
        <v>1</v>
      </c>
      <c r="M351" s="1">
        <v>695</v>
      </c>
      <c r="N351" s="1">
        <v>827</v>
      </c>
      <c r="O351" s="1">
        <v>840</v>
      </c>
      <c r="P351" s="1">
        <v>13</v>
      </c>
      <c r="Q351" s="1" t="s">
        <v>42</v>
      </c>
      <c r="S351" s="1" t="s">
        <v>42</v>
      </c>
      <c r="T351" s="1" t="s">
        <v>51</v>
      </c>
      <c r="U351" s="1">
        <v>22</v>
      </c>
      <c r="V351" s="5">
        <v>44420</v>
      </c>
      <c r="W351" s="5">
        <v>44405</v>
      </c>
      <c r="X351" s="1">
        <v>1570000</v>
      </c>
      <c r="AB351" s="1" t="s">
        <v>44</v>
      </c>
      <c r="AF351" s="1">
        <v>10002</v>
      </c>
      <c r="AI351" s="1" t="s">
        <v>191</v>
      </c>
      <c r="AJ351" s="1">
        <v>2019</v>
      </c>
      <c r="AK351" s="1" t="s">
        <v>46</v>
      </c>
      <c r="AL351" s="1">
        <v>787</v>
      </c>
    </row>
    <row r="352" spans="1:38" x14ac:dyDescent="0.2">
      <c r="A352" s="2" t="str">
        <f>HYPERLINK("https://www.compass.com/listing/252-south-street-unit-25l-manhattan-ny-10002/836281401102689193/","252 South St, Unit 25L")</f>
        <v>252 South St, Unit 25L</v>
      </c>
      <c r="B352" s="2" t="str">
        <f t="shared" si="42"/>
        <v>One Manhattan Square</v>
      </c>
      <c r="C352" s="1" t="s">
        <v>47</v>
      </c>
      <c r="D352" s="1" t="s">
        <v>41</v>
      </c>
      <c r="E352" s="3">
        <v>2295000</v>
      </c>
      <c r="F352" s="1">
        <v>2043.6331255565401</v>
      </c>
      <c r="G352" s="1">
        <v>5</v>
      </c>
      <c r="H352" s="1">
        <v>2</v>
      </c>
      <c r="I352" s="1">
        <v>2</v>
      </c>
      <c r="J352" s="1">
        <v>2</v>
      </c>
      <c r="K352" s="1">
        <v>2</v>
      </c>
      <c r="M352" s="4">
        <v>1123</v>
      </c>
      <c r="N352" s="1">
        <v>1300</v>
      </c>
      <c r="O352" s="1">
        <v>1321</v>
      </c>
      <c r="P352" s="1">
        <v>21</v>
      </c>
      <c r="Q352" s="1" t="s">
        <v>42</v>
      </c>
      <c r="S352" s="1" t="s">
        <v>42</v>
      </c>
      <c r="T352" s="1" t="s">
        <v>51</v>
      </c>
      <c r="U352" s="1">
        <v>22</v>
      </c>
      <c r="V352" s="5">
        <v>44420</v>
      </c>
      <c r="W352" s="5">
        <v>44405</v>
      </c>
      <c r="X352" s="1">
        <v>2295000</v>
      </c>
      <c r="AB352" s="1" t="s">
        <v>44</v>
      </c>
      <c r="AF352" s="1">
        <v>10002</v>
      </c>
      <c r="AI352" s="1" t="s">
        <v>191</v>
      </c>
      <c r="AJ352" s="1">
        <v>2019</v>
      </c>
      <c r="AK352" s="1" t="s">
        <v>46</v>
      </c>
      <c r="AL352" s="1">
        <v>787</v>
      </c>
    </row>
    <row r="353" spans="1:38" x14ac:dyDescent="0.2">
      <c r="A353" s="2" t="str">
        <f>HYPERLINK("https://www.compass.com/listing/252-south-street-unit-35g-manhattan-ny-10002/836279216113608153/","252 South St, Unit 35G")</f>
        <v>252 South St, Unit 35G</v>
      </c>
      <c r="B353" s="2" t="str">
        <f t="shared" si="42"/>
        <v>One Manhattan Square</v>
      </c>
      <c r="C353" s="1" t="s">
        <v>47</v>
      </c>
      <c r="D353" s="1" t="s">
        <v>41</v>
      </c>
      <c r="E353" s="3">
        <v>2300000</v>
      </c>
      <c r="F353" s="1">
        <v>1989.6193771626199</v>
      </c>
      <c r="G353" s="1">
        <v>4</v>
      </c>
      <c r="H353" s="1">
        <v>2</v>
      </c>
      <c r="I353" s="1">
        <v>2</v>
      </c>
      <c r="J353" s="1">
        <v>2</v>
      </c>
      <c r="K353" s="1">
        <v>2</v>
      </c>
      <c r="M353" s="4">
        <v>1156</v>
      </c>
      <c r="N353" s="1">
        <v>1393</v>
      </c>
      <c r="O353" s="1">
        <v>1415</v>
      </c>
      <c r="P353" s="1">
        <v>22</v>
      </c>
      <c r="Q353" s="1" t="s">
        <v>42</v>
      </c>
      <c r="S353" s="1" t="s">
        <v>42</v>
      </c>
      <c r="T353" s="1" t="s">
        <v>51</v>
      </c>
      <c r="U353" s="1">
        <v>22</v>
      </c>
      <c r="V353" s="5">
        <v>44420</v>
      </c>
      <c r="W353" s="5">
        <v>44405</v>
      </c>
      <c r="X353" s="1">
        <v>2300000</v>
      </c>
      <c r="AB353" s="1" t="s">
        <v>44</v>
      </c>
      <c r="AF353" s="1">
        <v>10002</v>
      </c>
      <c r="AI353" s="1" t="s">
        <v>191</v>
      </c>
      <c r="AJ353" s="1">
        <v>2019</v>
      </c>
      <c r="AK353" s="1" t="s">
        <v>46</v>
      </c>
      <c r="AL353" s="1">
        <v>787</v>
      </c>
    </row>
    <row r="354" spans="1:38" x14ac:dyDescent="0.2">
      <c r="A354" s="2" t="str">
        <f>HYPERLINK("https://www.compass.com/listing/217-west-57th-street-unit-54w-manhattan-ny-10019/755202394613095969/","217 W 57th St, Unit 54W")</f>
        <v>217 W 57th St, Unit 54W</v>
      </c>
      <c r="B354" s="2" t="str">
        <f>HYPERLINK("https://www.compass.com/building/central-park-tower-manhattan-ny/292845475244082085/","Central Park Tower")</f>
        <v>Central Park Tower</v>
      </c>
      <c r="C354" s="1" t="s">
        <v>139</v>
      </c>
      <c r="D354" s="1" t="s">
        <v>41</v>
      </c>
      <c r="E354" s="3">
        <v>13950000</v>
      </c>
      <c r="F354" s="1">
        <v>4407.5829383886203</v>
      </c>
      <c r="G354" s="1">
        <v>5.5</v>
      </c>
      <c r="H354" s="1">
        <v>3</v>
      </c>
      <c r="I354" s="1">
        <v>4</v>
      </c>
      <c r="J354" s="1">
        <v>3.5</v>
      </c>
      <c r="K354" s="1">
        <v>3</v>
      </c>
      <c r="L354" s="1">
        <v>1</v>
      </c>
      <c r="M354" s="4">
        <v>3165</v>
      </c>
      <c r="N354" s="1">
        <v>4226</v>
      </c>
      <c r="O354" s="1">
        <v>11703</v>
      </c>
      <c r="P354" s="1">
        <v>7477</v>
      </c>
      <c r="Q354" s="1" t="s">
        <v>42</v>
      </c>
      <c r="S354" s="1" t="s">
        <v>42</v>
      </c>
      <c r="T354" s="1" t="s">
        <v>51</v>
      </c>
      <c r="U354" s="1">
        <v>134</v>
      </c>
      <c r="V354" s="5">
        <v>44422</v>
      </c>
      <c r="W354" s="5">
        <v>44293</v>
      </c>
      <c r="X354" s="1">
        <v>13950000</v>
      </c>
      <c r="AB354" s="1" t="s">
        <v>44</v>
      </c>
      <c r="AF354" s="1">
        <v>10019</v>
      </c>
      <c r="AI354" s="1" t="s">
        <v>140</v>
      </c>
      <c r="AJ354" s="1">
        <v>2020</v>
      </c>
      <c r="AK354" s="1" t="s">
        <v>108</v>
      </c>
      <c r="AL354" s="1">
        <v>179</v>
      </c>
    </row>
    <row r="355" spans="1:38" x14ac:dyDescent="0.2">
      <c r="A355" s="2" t="str">
        <f>HYPERLINK("https://www.compass.com/listing/695-1st-avenue-unit-35j-manhattan-ny-10016/592847275121283305/","695 1st Ave, Unit 35J")</f>
        <v>695 1st Ave, Unit 35J</v>
      </c>
      <c r="B355" s="2" t="str">
        <f>HYPERLINK("https://www.compass.com/building/one-united-nations-park-manhattan-ny/282058773630059653/","One United Nations Park")</f>
        <v>One United Nations Park</v>
      </c>
      <c r="C355" s="1" t="s">
        <v>59</v>
      </c>
      <c r="D355" s="1" t="s">
        <v>41</v>
      </c>
      <c r="E355" s="3">
        <v>1595000</v>
      </c>
      <c r="F355" s="1">
        <v>2233.8935574229599</v>
      </c>
      <c r="G355" s="1">
        <v>3</v>
      </c>
      <c r="H355" s="1">
        <v>1</v>
      </c>
      <c r="I355" s="1">
        <v>1</v>
      </c>
      <c r="J355" s="1">
        <v>1</v>
      </c>
      <c r="K355" s="1">
        <v>1</v>
      </c>
      <c r="M355" s="1">
        <v>714</v>
      </c>
      <c r="N355" s="1">
        <v>957</v>
      </c>
      <c r="O355" s="1">
        <v>2094</v>
      </c>
      <c r="P355" s="1">
        <v>1137</v>
      </c>
      <c r="Q355" s="1" t="s">
        <v>42</v>
      </c>
      <c r="S355" s="1" t="s">
        <v>42</v>
      </c>
      <c r="T355" s="1" t="s">
        <v>51</v>
      </c>
      <c r="U355" s="1">
        <v>358</v>
      </c>
      <c r="V355" s="5">
        <v>44414</v>
      </c>
      <c r="W355" s="5">
        <v>44069</v>
      </c>
      <c r="X355" s="1">
        <v>1595000</v>
      </c>
      <c r="AB355" s="1" t="s">
        <v>44</v>
      </c>
      <c r="AF355" s="1">
        <v>10016</v>
      </c>
      <c r="AJ355" s="1">
        <v>2019</v>
      </c>
      <c r="AK355" s="1" t="s">
        <v>46</v>
      </c>
      <c r="AL355" s="1">
        <v>148</v>
      </c>
    </row>
    <row r="356" spans="1:38" x14ac:dyDescent="0.2">
      <c r="A356" s="2" t="str">
        <f>HYPERLINK("https://www.compass.com/listing/53-west-53rd-street-unit-15i-manhattan-ny-10019/741579561061645289/","53 W 53rd St, Unit 15I")</f>
        <v>53 W 53rd St, Unit 15I</v>
      </c>
      <c r="B356" s="2" t="str">
        <f>HYPERLINK("https://www.compass.com/building/53-west-53-manhattan-ny/281946357818781477/","53 West 53")</f>
        <v>53 West 53</v>
      </c>
      <c r="C356" s="1" t="s">
        <v>139</v>
      </c>
      <c r="D356" s="1" t="s">
        <v>41</v>
      </c>
      <c r="E356" s="3">
        <v>3175000</v>
      </c>
      <c r="F356" s="1">
        <v>2138.0471380471299</v>
      </c>
      <c r="G356" s="1">
        <v>3</v>
      </c>
      <c r="H356" s="1">
        <v>1</v>
      </c>
      <c r="I356" s="1">
        <v>2</v>
      </c>
      <c r="J356" s="1">
        <v>1.5</v>
      </c>
      <c r="K356" s="1">
        <v>1</v>
      </c>
      <c r="L356" s="1">
        <v>1</v>
      </c>
      <c r="M356" s="4">
        <v>1485</v>
      </c>
      <c r="N356" s="1">
        <v>3067</v>
      </c>
      <c r="O356" s="1">
        <v>4340</v>
      </c>
      <c r="P356" s="1">
        <v>1273</v>
      </c>
      <c r="Q356" s="1" t="s">
        <v>42</v>
      </c>
      <c r="S356" s="1" t="s">
        <v>42</v>
      </c>
      <c r="T356" s="1" t="s">
        <v>51</v>
      </c>
      <c r="U356" s="1">
        <v>153</v>
      </c>
      <c r="V356" s="5">
        <v>44427</v>
      </c>
      <c r="W356" s="5">
        <v>44274</v>
      </c>
      <c r="X356" s="1">
        <v>3250000</v>
      </c>
      <c r="AB356" s="1" t="s">
        <v>44</v>
      </c>
      <c r="AF356" s="1">
        <v>10019</v>
      </c>
      <c r="AJ356" s="1">
        <v>2018</v>
      </c>
      <c r="AK356" s="1" t="s">
        <v>46</v>
      </c>
      <c r="AL356" s="1">
        <v>145</v>
      </c>
    </row>
    <row r="357" spans="1:38" x14ac:dyDescent="0.2">
      <c r="A357" s="2" t="str">
        <f>HYPERLINK("https://www.compass.com/listing/285-west-110th-street-unit-9a-manhattan-ny-10026/429014033317176969/","285 W 110th St, Unit 9A")</f>
        <v>285 W 110th St, Unit 9A</v>
      </c>
      <c r="B357" s="2" t="str">
        <f>HYPERLINK("https://www.compass.com/building/circa-central-park-manhattan-ny/282059072692321269/","Circa Central Park")</f>
        <v>Circa Central Park</v>
      </c>
      <c r="C357" s="1" t="s">
        <v>85</v>
      </c>
      <c r="D357" s="1" t="s">
        <v>41</v>
      </c>
      <c r="E357" s="3">
        <v>8295000</v>
      </c>
      <c r="F357" s="1">
        <v>2477.5985663082402</v>
      </c>
      <c r="G357" s="1">
        <v>7</v>
      </c>
      <c r="H357" s="1">
        <v>5</v>
      </c>
      <c r="I357" s="1">
        <v>5</v>
      </c>
      <c r="J357" s="1">
        <v>4.5</v>
      </c>
      <c r="K357" s="1">
        <v>4</v>
      </c>
      <c r="L357" s="1">
        <v>1</v>
      </c>
      <c r="M357" s="4">
        <v>3348</v>
      </c>
      <c r="N357" s="1">
        <v>3995.19</v>
      </c>
      <c r="O357" s="1">
        <v>4544.43</v>
      </c>
      <c r="P357" s="1">
        <v>549.25</v>
      </c>
      <c r="Q357" s="1" t="s">
        <v>42</v>
      </c>
      <c r="S357" s="1" t="s">
        <v>42</v>
      </c>
      <c r="T357" s="1" t="s">
        <v>51</v>
      </c>
      <c r="U357" s="1">
        <v>405</v>
      </c>
      <c r="V357" s="5">
        <v>44421</v>
      </c>
      <c r="W357" s="5">
        <v>43843</v>
      </c>
      <c r="X357" s="1">
        <v>8495000</v>
      </c>
      <c r="AB357" s="1" t="s">
        <v>44</v>
      </c>
      <c r="AF357" s="1">
        <v>10026</v>
      </c>
      <c r="AI357" s="1" t="s">
        <v>211</v>
      </c>
      <c r="AJ357" s="1">
        <v>2017</v>
      </c>
      <c r="AK357" s="1" t="s">
        <v>46</v>
      </c>
      <c r="AL357" s="1">
        <v>38</v>
      </c>
    </row>
    <row r="358" spans="1:38" x14ac:dyDescent="0.2">
      <c r="A358" s="2" t="str">
        <f>HYPERLINK("https://www.compass.com/listing/217-west-57th-street-unit-91w-manhattan-ny-10019/746311361503859073/","217 W 57th St, Unit 91W")</f>
        <v>217 W 57th St, Unit 91W</v>
      </c>
      <c r="B358" s="2" t="str">
        <f>HYPERLINK("https://www.compass.com/building/central-park-tower-manhattan-ny/292845475244082085/","Central Park Tower")</f>
        <v>Central Park Tower</v>
      </c>
      <c r="C358" s="1" t="s">
        <v>139</v>
      </c>
      <c r="D358" s="1" t="s">
        <v>41</v>
      </c>
      <c r="E358" s="3">
        <v>17040000</v>
      </c>
      <c r="F358" s="1">
        <v>5545.0699642043601</v>
      </c>
      <c r="G358" s="1">
        <v>6</v>
      </c>
      <c r="H358" s="1">
        <v>3</v>
      </c>
      <c r="I358" s="1">
        <v>4</v>
      </c>
      <c r="J358" s="1">
        <v>3.5</v>
      </c>
      <c r="K358" s="1">
        <v>3</v>
      </c>
      <c r="L358" s="1">
        <v>1</v>
      </c>
      <c r="M358" s="4">
        <v>3073</v>
      </c>
      <c r="N358" s="1">
        <v>8424</v>
      </c>
      <c r="O358" s="1">
        <v>12970</v>
      </c>
      <c r="P358" s="1">
        <v>4546</v>
      </c>
      <c r="Q358" s="1" t="s">
        <v>42</v>
      </c>
      <c r="S358" s="1" t="s">
        <v>42</v>
      </c>
      <c r="T358" s="1" t="s">
        <v>51</v>
      </c>
      <c r="U358" s="1">
        <v>146</v>
      </c>
      <c r="V358" s="5">
        <v>44427</v>
      </c>
      <c r="W358" s="5">
        <v>44281</v>
      </c>
      <c r="X358" s="1">
        <v>17040000</v>
      </c>
      <c r="AB358" s="1" t="s">
        <v>44</v>
      </c>
      <c r="AF358" s="1">
        <v>10019</v>
      </c>
      <c r="AI358" s="1" t="s">
        <v>140</v>
      </c>
      <c r="AJ358" s="1">
        <v>2020</v>
      </c>
      <c r="AK358" s="1" t="s">
        <v>108</v>
      </c>
      <c r="AL358" s="1">
        <v>179</v>
      </c>
    </row>
    <row r="359" spans="1:38" x14ac:dyDescent="0.2">
      <c r="A359" s="2" t="str">
        <f>HYPERLINK("https://www.compass.com/listing/252-south-street-unit-64a-manhattan-ny-10002/836283502263628841/","252 South St, Unit 64A")</f>
        <v>252 South St, Unit 64A</v>
      </c>
      <c r="B359" s="2" t="str">
        <f t="shared" ref="B359:B360" si="43">HYPERLINK("https://www.compass.com/building/one-manhattan-square-manhattan-ny/294844950218926165/","One Manhattan Square")</f>
        <v>One Manhattan Square</v>
      </c>
      <c r="C359" s="1" t="s">
        <v>47</v>
      </c>
      <c r="D359" s="1" t="s">
        <v>41</v>
      </c>
      <c r="E359" s="3">
        <v>3685000</v>
      </c>
      <c r="F359" s="1">
        <v>2210.55788842231</v>
      </c>
      <c r="G359" s="1">
        <v>5</v>
      </c>
      <c r="H359" s="1">
        <v>3</v>
      </c>
      <c r="I359" s="1">
        <v>3</v>
      </c>
      <c r="J359" s="1">
        <v>3</v>
      </c>
      <c r="K359" s="1">
        <v>3</v>
      </c>
      <c r="M359" s="4">
        <v>1667</v>
      </c>
      <c r="N359" s="1">
        <v>2276</v>
      </c>
      <c r="O359" s="1">
        <v>2312</v>
      </c>
      <c r="P359" s="1">
        <v>36</v>
      </c>
      <c r="Q359" s="1" t="s">
        <v>42</v>
      </c>
      <c r="S359" s="1" t="s">
        <v>42</v>
      </c>
      <c r="T359" s="1" t="s">
        <v>51</v>
      </c>
      <c r="U359" s="1">
        <v>22</v>
      </c>
      <c r="V359" s="5">
        <v>44426</v>
      </c>
      <c r="W359" s="5">
        <v>44405</v>
      </c>
      <c r="X359" s="1">
        <v>3685000</v>
      </c>
      <c r="AB359" s="1" t="s">
        <v>44</v>
      </c>
      <c r="AF359" s="1">
        <v>10002</v>
      </c>
      <c r="AI359" s="1" t="s">
        <v>191</v>
      </c>
      <c r="AJ359" s="1">
        <v>2019</v>
      </c>
      <c r="AK359" s="1" t="s">
        <v>46</v>
      </c>
      <c r="AL359" s="1">
        <v>787</v>
      </c>
    </row>
    <row r="360" spans="1:38" x14ac:dyDescent="0.2">
      <c r="A360" s="2" t="str">
        <f>HYPERLINK("https://www.compass.com/listing/252-south-street-unit-58d-manhattan-ny-10002/836271401722133305/","252 South St, Unit 58D")</f>
        <v>252 South St, Unit 58D</v>
      </c>
      <c r="B360" s="2" t="str">
        <f t="shared" si="43"/>
        <v>One Manhattan Square</v>
      </c>
      <c r="C360" s="1" t="s">
        <v>47</v>
      </c>
      <c r="D360" s="1" t="s">
        <v>41</v>
      </c>
      <c r="E360" s="3">
        <v>2580000</v>
      </c>
      <c r="F360" s="1">
        <v>2205.1282051282001</v>
      </c>
      <c r="G360" s="1">
        <v>4</v>
      </c>
      <c r="H360" s="1">
        <v>2</v>
      </c>
      <c r="I360" s="1">
        <v>2</v>
      </c>
      <c r="J360" s="1">
        <v>2</v>
      </c>
      <c r="K360" s="1">
        <v>2</v>
      </c>
      <c r="M360" s="4">
        <v>1170</v>
      </c>
      <c r="N360" s="1">
        <v>1554</v>
      </c>
      <c r="O360" s="1">
        <v>1579</v>
      </c>
      <c r="P360" s="1">
        <v>25</v>
      </c>
      <c r="Q360" s="1" t="s">
        <v>42</v>
      </c>
      <c r="S360" s="1" t="s">
        <v>42</v>
      </c>
      <c r="T360" s="1" t="s">
        <v>51</v>
      </c>
      <c r="U360" s="1">
        <v>22</v>
      </c>
      <c r="V360" s="5">
        <v>44420</v>
      </c>
      <c r="W360" s="5">
        <v>44405</v>
      </c>
      <c r="X360" s="1">
        <v>2580000</v>
      </c>
      <c r="AB360" s="1" t="s">
        <v>44</v>
      </c>
      <c r="AF360" s="1">
        <v>10002</v>
      </c>
      <c r="AI360" s="1" t="s">
        <v>214</v>
      </c>
      <c r="AJ360" s="1">
        <v>2019</v>
      </c>
      <c r="AK360" s="1" t="s">
        <v>46</v>
      </c>
      <c r="AL360" s="1">
        <v>787</v>
      </c>
    </row>
    <row r="361" spans="1:38" x14ac:dyDescent="0.2">
      <c r="A361" s="2" t="str">
        <f>HYPERLINK("https://www.compass.com/listing/217-west-57th-street-unit-61n-manhattan-ny-10019/755187726448726777/","217 W 57th St, Unit 61N")</f>
        <v>217 W 57th St, Unit 61N</v>
      </c>
      <c r="B361" s="2" t="str">
        <f>HYPERLINK("https://www.compass.com/building/central-park-tower-manhattan-ny/292845475244082085/","Central Park Tower")</f>
        <v>Central Park Tower</v>
      </c>
      <c r="C361" s="1" t="s">
        <v>139</v>
      </c>
      <c r="D361" s="1" t="s">
        <v>41</v>
      </c>
      <c r="E361" s="3">
        <v>9100000</v>
      </c>
      <c r="F361" s="1">
        <v>6341.4634146341396</v>
      </c>
      <c r="G361" s="1">
        <v>4.5</v>
      </c>
      <c r="H361" s="1">
        <v>2</v>
      </c>
      <c r="I361" s="1">
        <v>3</v>
      </c>
      <c r="J361" s="1">
        <v>2.5</v>
      </c>
      <c r="K361" s="1">
        <v>2</v>
      </c>
      <c r="L361" s="1">
        <v>1</v>
      </c>
      <c r="M361" s="4">
        <v>1435</v>
      </c>
      <c r="N361" s="1">
        <v>1954</v>
      </c>
      <c r="O361" s="1">
        <v>5411</v>
      </c>
      <c r="P361" s="1">
        <v>3457</v>
      </c>
      <c r="Q361" s="1" t="s">
        <v>42</v>
      </c>
      <c r="S361" s="1" t="s">
        <v>42</v>
      </c>
      <c r="T361" s="1" t="s">
        <v>51</v>
      </c>
      <c r="U361" s="1">
        <v>134</v>
      </c>
      <c r="V361" s="5">
        <v>44422</v>
      </c>
      <c r="W361" s="5">
        <v>44293</v>
      </c>
      <c r="X361" s="1">
        <v>9100000</v>
      </c>
      <c r="AB361" s="1" t="s">
        <v>44</v>
      </c>
      <c r="AF361" s="1">
        <v>10019</v>
      </c>
      <c r="AI361" s="1" t="s">
        <v>140</v>
      </c>
      <c r="AJ361" s="1">
        <v>2020</v>
      </c>
      <c r="AK361" s="1" t="s">
        <v>108</v>
      </c>
      <c r="AL361" s="1">
        <v>179</v>
      </c>
    </row>
    <row r="362" spans="1:38" x14ac:dyDescent="0.2">
      <c r="A362" s="2" t="str">
        <f>HYPERLINK("https://www.compass.com/listing/252-south-street-unit-64b-manhattan-ny-10002/836274187796784937/","252 South St, Unit 64B")</f>
        <v>252 South St, Unit 64B</v>
      </c>
      <c r="B362" s="2" t="str">
        <f>HYPERLINK("https://www.compass.com/building/one-manhattan-square-manhattan-ny/294844950218926165/","One Manhattan Square")</f>
        <v>One Manhattan Square</v>
      </c>
      <c r="C362" s="1" t="s">
        <v>47</v>
      </c>
      <c r="D362" s="1" t="s">
        <v>41</v>
      </c>
      <c r="E362" s="3">
        <v>2160000</v>
      </c>
      <c r="F362" s="1">
        <v>2088.9748549322999</v>
      </c>
      <c r="G362" s="1">
        <v>4</v>
      </c>
      <c r="H362" s="1">
        <v>2</v>
      </c>
      <c r="I362" s="1">
        <v>2</v>
      </c>
      <c r="J362" s="1">
        <v>2</v>
      </c>
      <c r="K362" s="1">
        <v>2</v>
      </c>
      <c r="M362" s="4">
        <v>1034</v>
      </c>
      <c r="N362" s="1">
        <v>1412</v>
      </c>
      <c r="O362" s="1">
        <v>1434</v>
      </c>
      <c r="P362" s="1">
        <v>22</v>
      </c>
      <c r="Q362" s="1" t="s">
        <v>42</v>
      </c>
      <c r="S362" s="1" t="s">
        <v>42</v>
      </c>
      <c r="T362" s="1" t="s">
        <v>51</v>
      </c>
      <c r="U362" s="1">
        <v>22</v>
      </c>
      <c r="V362" s="5">
        <v>44420</v>
      </c>
      <c r="W362" s="5">
        <v>44405</v>
      </c>
      <c r="X362" s="1">
        <v>2160000</v>
      </c>
      <c r="AB362" s="1" t="s">
        <v>44</v>
      </c>
      <c r="AF362" s="1">
        <v>10002</v>
      </c>
      <c r="AI362" s="1" t="s">
        <v>191</v>
      </c>
      <c r="AJ362" s="1">
        <v>2019</v>
      </c>
      <c r="AK362" s="1" t="s">
        <v>46</v>
      </c>
      <c r="AL362" s="1">
        <v>787</v>
      </c>
    </row>
    <row r="363" spans="1:38" x14ac:dyDescent="0.2">
      <c r="A363" s="2" t="str">
        <f>HYPERLINK("https://www.compass.com/listing/217-west-57th-street-unit-79w-manhattan-ny-10019/800699786226295729/","217 W 57th St, Unit 79W")</f>
        <v>217 W 57th St, Unit 79W</v>
      </c>
      <c r="B363" s="2" t="str">
        <f>HYPERLINK("https://www.compass.com/building/central-park-tower-manhattan-ny/292845475244082085/","Central Park Tower")</f>
        <v>Central Park Tower</v>
      </c>
      <c r="C363" s="1" t="s">
        <v>139</v>
      </c>
      <c r="D363" s="1" t="s">
        <v>41</v>
      </c>
      <c r="E363" s="3">
        <v>14900000</v>
      </c>
      <c r="F363" s="1">
        <v>4848.6820696387804</v>
      </c>
      <c r="G363" s="1">
        <v>5.5</v>
      </c>
      <c r="H363" s="1">
        <v>3</v>
      </c>
      <c r="I363" s="1">
        <v>4</v>
      </c>
      <c r="J363" s="1">
        <v>3.5</v>
      </c>
      <c r="K363" s="1">
        <v>3</v>
      </c>
      <c r="L363" s="1">
        <v>1</v>
      </c>
      <c r="M363" s="4">
        <v>3073</v>
      </c>
      <c r="N363" s="1">
        <v>4392</v>
      </c>
      <c r="O363" s="1">
        <v>12162</v>
      </c>
      <c r="P363" s="1">
        <v>7770</v>
      </c>
      <c r="Q363" s="1" t="s">
        <v>42</v>
      </c>
      <c r="S363" s="1" t="s">
        <v>42</v>
      </c>
      <c r="T363" s="1" t="s">
        <v>51</v>
      </c>
      <c r="U363" s="1">
        <v>142</v>
      </c>
      <c r="V363" s="5">
        <v>44399</v>
      </c>
      <c r="W363" s="5">
        <v>44285</v>
      </c>
      <c r="X363" s="1">
        <v>14900000</v>
      </c>
      <c r="AB363" s="1" t="s">
        <v>44</v>
      </c>
      <c r="AF363" s="1">
        <v>10019</v>
      </c>
      <c r="AI363" s="1" t="s">
        <v>140</v>
      </c>
      <c r="AJ363" s="1">
        <v>2020</v>
      </c>
      <c r="AK363" s="1" t="s">
        <v>108</v>
      </c>
      <c r="AL363" s="1">
        <v>179</v>
      </c>
    </row>
    <row r="364" spans="1:38" x14ac:dyDescent="0.2">
      <c r="A364" s="2" t="str">
        <f>HYPERLINK("https://www.compass.com/listing/252-south-street-unit-39a-manhattan-ny-10002/836276694396487425/","252 South St, Unit 39A")</f>
        <v>252 South St, Unit 39A</v>
      </c>
      <c r="B364" s="2" t="str">
        <f t="shared" ref="B364:B365" si="44">HYPERLINK("https://www.compass.com/building/one-manhattan-square-manhattan-ny/294844950218926165/","One Manhattan Square")</f>
        <v>One Manhattan Square</v>
      </c>
      <c r="C364" s="1" t="s">
        <v>47</v>
      </c>
      <c r="D364" s="1" t="s">
        <v>41</v>
      </c>
      <c r="E364" s="3">
        <v>2999000</v>
      </c>
      <c r="F364" s="1">
        <v>2578.6758383490901</v>
      </c>
      <c r="G364" s="1">
        <v>4</v>
      </c>
      <c r="H364" s="1">
        <v>2</v>
      </c>
      <c r="I364" s="1">
        <v>2</v>
      </c>
      <c r="J364" s="1">
        <v>2</v>
      </c>
      <c r="K364" s="1">
        <v>2</v>
      </c>
      <c r="M364" s="4">
        <v>1163</v>
      </c>
      <c r="N364" s="1">
        <v>1433</v>
      </c>
      <c r="O364" s="1">
        <v>1456</v>
      </c>
      <c r="P364" s="1">
        <v>23</v>
      </c>
      <c r="Q364" s="1" t="s">
        <v>42</v>
      </c>
      <c r="S364" s="1" t="s">
        <v>42</v>
      </c>
      <c r="T364" s="1" t="s">
        <v>51</v>
      </c>
      <c r="U364" s="1">
        <v>22</v>
      </c>
      <c r="V364" s="5">
        <v>44422</v>
      </c>
      <c r="W364" s="5">
        <v>44405</v>
      </c>
      <c r="X364" s="1">
        <v>3000000</v>
      </c>
      <c r="AB364" s="1" t="s">
        <v>44</v>
      </c>
      <c r="AF364" s="1">
        <v>10002</v>
      </c>
      <c r="AI364" s="1" t="s">
        <v>191</v>
      </c>
      <c r="AJ364" s="1">
        <v>2019</v>
      </c>
      <c r="AK364" s="1" t="s">
        <v>46</v>
      </c>
      <c r="AL364" s="1">
        <v>787</v>
      </c>
    </row>
    <row r="365" spans="1:38" x14ac:dyDescent="0.2">
      <c r="A365" s="2" t="str">
        <f>HYPERLINK("https://www.compass.com/listing/252-south-street-unit-53c-manhattan-ny-10002/836275594498615097/","252 South St, Unit 53C")</f>
        <v>252 South St, Unit 53C</v>
      </c>
      <c r="B365" s="2" t="str">
        <f t="shared" si="44"/>
        <v>One Manhattan Square</v>
      </c>
      <c r="C365" s="1" t="s">
        <v>47</v>
      </c>
      <c r="D365" s="1" t="s">
        <v>41</v>
      </c>
      <c r="E365" s="3">
        <v>3460000</v>
      </c>
      <c r="F365" s="1">
        <v>2326.83254875588</v>
      </c>
      <c r="G365" s="1">
        <v>5</v>
      </c>
      <c r="H365" s="1">
        <v>3</v>
      </c>
      <c r="I365" s="1">
        <v>3</v>
      </c>
      <c r="J365" s="1">
        <v>3</v>
      </c>
      <c r="K365" s="1">
        <v>3</v>
      </c>
      <c r="M365" s="4">
        <v>1487</v>
      </c>
      <c r="N365" s="1">
        <v>1943</v>
      </c>
      <c r="O365" s="1">
        <v>1974</v>
      </c>
      <c r="P365" s="1">
        <v>31</v>
      </c>
      <c r="Q365" s="1" t="s">
        <v>42</v>
      </c>
      <c r="S365" s="1" t="s">
        <v>42</v>
      </c>
      <c r="T365" s="1" t="s">
        <v>51</v>
      </c>
      <c r="U365" s="1">
        <v>22</v>
      </c>
      <c r="V365" s="5">
        <v>44420</v>
      </c>
      <c r="W365" s="5">
        <v>44405</v>
      </c>
      <c r="X365" s="1">
        <v>3460000</v>
      </c>
      <c r="AB365" s="1" t="s">
        <v>44</v>
      </c>
      <c r="AF365" s="1">
        <v>10002</v>
      </c>
      <c r="AI365" s="1" t="s">
        <v>191</v>
      </c>
      <c r="AJ365" s="1">
        <v>2019</v>
      </c>
      <c r="AK365" s="1" t="s">
        <v>46</v>
      </c>
      <c r="AL365" s="1">
        <v>787</v>
      </c>
    </row>
    <row r="366" spans="1:38" x14ac:dyDescent="0.2">
      <c r="A366" s="2" t="str">
        <f>HYPERLINK("https://www.compass.com/listing/111-west-57th-street-unit-38-manhattan-ny-10019/562072720329101185/","111 W 57th St, Unit 38")</f>
        <v>111 W 57th St, Unit 38</v>
      </c>
      <c r="B366" s="2" t="str">
        <f>HYPERLINK("https://www.compass.com/building/111-w-57th-st-manhattan-ny-10019/282058921823206277/","111 W 57th St")</f>
        <v>111 W 57th St</v>
      </c>
      <c r="C366" s="1" t="s">
        <v>139</v>
      </c>
      <c r="D366" s="1" t="s">
        <v>41</v>
      </c>
      <c r="E366" s="3">
        <v>22750000</v>
      </c>
      <c r="F366" s="1">
        <v>5064.5592163846804</v>
      </c>
      <c r="G366" s="1">
        <v>6.5</v>
      </c>
      <c r="H366" s="1">
        <v>3</v>
      </c>
      <c r="I366" s="1">
        <v>4</v>
      </c>
      <c r="J366" s="1">
        <v>3.5</v>
      </c>
      <c r="K366" s="1">
        <v>3</v>
      </c>
      <c r="L366" s="1">
        <v>1</v>
      </c>
      <c r="M366" s="4">
        <v>4492</v>
      </c>
      <c r="N366" s="1">
        <v>8706</v>
      </c>
      <c r="O366" s="1">
        <v>15684</v>
      </c>
      <c r="P366" s="1">
        <v>6978</v>
      </c>
      <c r="Q366" s="1" t="s">
        <v>42</v>
      </c>
      <c r="S366" s="1" t="s">
        <v>42</v>
      </c>
      <c r="T366" s="1" t="s">
        <v>51</v>
      </c>
      <c r="U366" s="1">
        <v>401</v>
      </c>
      <c r="V366" s="5">
        <v>44335</v>
      </c>
      <c r="W366" s="5">
        <v>44026</v>
      </c>
      <c r="X366" s="1">
        <v>22750000</v>
      </c>
      <c r="AB366" s="1" t="s">
        <v>44</v>
      </c>
      <c r="AF366" s="1">
        <v>10019</v>
      </c>
      <c r="AI366" s="1" t="s">
        <v>197</v>
      </c>
      <c r="AJ366" s="1">
        <v>2016</v>
      </c>
      <c r="AK366" s="1" t="s">
        <v>49</v>
      </c>
      <c r="AL366" s="1">
        <v>60</v>
      </c>
    </row>
    <row r="367" spans="1:38" x14ac:dyDescent="0.2">
      <c r="A367" s="2" t="str">
        <f>HYPERLINK("https://www.compass.com/listing/217-west-57th-street-unit-82e-manhattan-ny-10019/800694779855011097/","217 W 57th St, Unit 82E")</f>
        <v>217 W 57th St, Unit 82E</v>
      </c>
      <c r="B367" s="2" t="str">
        <f>HYPERLINK("https://www.compass.com/building/central-park-tower-manhattan-ny/292845475244082085/","Central Park Tower")</f>
        <v>Central Park Tower</v>
      </c>
      <c r="C367" s="1" t="s">
        <v>139</v>
      </c>
      <c r="D367" s="1" t="s">
        <v>41</v>
      </c>
      <c r="E367" s="3">
        <v>29000000</v>
      </c>
      <c r="F367" s="1">
        <v>6752.0372526193196</v>
      </c>
      <c r="G367" s="1">
        <v>6</v>
      </c>
      <c r="H367" s="1">
        <v>4</v>
      </c>
      <c r="I367" s="1">
        <v>5</v>
      </c>
      <c r="J367" s="1">
        <v>4.5</v>
      </c>
      <c r="K367" s="1">
        <v>4</v>
      </c>
      <c r="L367" s="1">
        <v>1</v>
      </c>
      <c r="M367" s="4">
        <v>4295</v>
      </c>
      <c r="N367" s="1">
        <v>6139</v>
      </c>
      <c r="O367" s="1">
        <v>17000</v>
      </c>
      <c r="P367" s="1">
        <v>10861</v>
      </c>
      <c r="Q367" s="1" t="s">
        <v>42</v>
      </c>
      <c r="S367" s="1" t="s">
        <v>42</v>
      </c>
      <c r="T367" s="1" t="s">
        <v>51</v>
      </c>
      <c r="U367" s="1">
        <v>142</v>
      </c>
      <c r="V367" s="5">
        <v>44399</v>
      </c>
      <c r="W367" s="5">
        <v>44285</v>
      </c>
      <c r="X367" s="1">
        <v>29000000</v>
      </c>
      <c r="AB367" s="1" t="s">
        <v>44</v>
      </c>
      <c r="AF367" s="1">
        <v>10019</v>
      </c>
      <c r="AI367" s="1" t="s">
        <v>140</v>
      </c>
      <c r="AJ367" s="1">
        <v>2020</v>
      </c>
      <c r="AK367" s="1" t="s">
        <v>108</v>
      </c>
      <c r="AL367" s="1">
        <v>179</v>
      </c>
    </row>
    <row r="368" spans="1:38" x14ac:dyDescent="0.2">
      <c r="A368" s="2" t="str">
        <f>HYPERLINK("https://www.compass.com/listing/111-west-57th-street-unit-55-manhattan-ny-10019/695043231127125809/","111 W 57th St, Unit 55")</f>
        <v>111 W 57th St, Unit 55</v>
      </c>
      <c r="B368" s="2" t="str">
        <f t="shared" ref="B368:B369" si="45">HYPERLINK("https://www.compass.com/building/111-w-57th-st-manhattan-ny-10019/282058921823206277/","111 W 57th St")</f>
        <v>111 W 57th St</v>
      </c>
      <c r="C368" s="1" t="s">
        <v>139</v>
      </c>
      <c r="D368" s="1" t="s">
        <v>41</v>
      </c>
      <c r="E368" s="3">
        <v>27000000</v>
      </c>
      <c r="F368" s="1">
        <v>6454.69758546497</v>
      </c>
      <c r="G368" s="1">
        <v>7</v>
      </c>
      <c r="H368" s="1">
        <v>3</v>
      </c>
      <c r="I368" s="1">
        <v>4</v>
      </c>
      <c r="J368" s="1">
        <v>3.5</v>
      </c>
      <c r="K368" s="1">
        <v>3</v>
      </c>
      <c r="L368" s="1">
        <v>1</v>
      </c>
      <c r="M368" s="4">
        <v>4183</v>
      </c>
      <c r="N368" s="1">
        <v>8616</v>
      </c>
      <c r="O368" s="1">
        <v>15522</v>
      </c>
      <c r="P368" s="1">
        <v>6906</v>
      </c>
      <c r="Q368" s="1" t="s">
        <v>42</v>
      </c>
      <c r="S368" s="1" t="s">
        <v>42</v>
      </c>
      <c r="T368" s="1" t="s">
        <v>51</v>
      </c>
      <c r="U368" s="1">
        <v>217</v>
      </c>
      <c r="V368" s="5">
        <v>44427</v>
      </c>
      <c r="W368" s="5">
        <v>44210</v>
      </c>
      <c r="X368" s="1">
        <v>27000000</v>
      </c>
      <c r="AB368" s="1" t="s">
        <v>44</v>
      </c>
      <c r="AF368" s="1">
        <v>10019</v>
      </c>
      <c r="AI368" s="1" t="s">
        <v>177</v>
      </c>
      <c r="AJ368" s="1">
        <v>2016</v>
      </c>
      <c r="AK368" s="1" t="s">
        <v>49</v>
      </c>
      <c r="AL368" s="1">
        <v>60</v>
      </c>
    </row>
    <row r="369" spans="1:38" x14ac:dyDescent="0.2">
      <c r="A369" s="2" t="str">
        <f>HYPERLINK("https://www.compass.com/listing/111-west-57th-street-unit-29-manhattan-ny-10019/562072668403614825/","111 W 57th St, Unit 29")</f>
        <v>111 W 57th St, Unit 29</v>
      </c>
      <c r="B369" s="2" t="str">
        <f t="shared" si="45"/>
        <v>111 W 57th St</v>
      </c>
      <c r="C369" s="1" t="s">
        <v>139</v>
      </c>
      <c r="D369" s="1" t="s">
        <v>41</v>
      </c>
      <c r="E369" s="3">
        <v>16500000</v>
      </c>
      <c r="F369" s="1">
        <v>3673.1967943009699</v>
      </c>
      <c r="G369" s="1">
        <v>6.5</v>
      </c>
      <c r="H369" s="1">
        <v>3</v>
      </c>
      <c r="I369" s="1">
        <v>4</v>
      </c>
      <c r="J369" s="1">
        <v>3.5</v>
      </c>
      <c r="K369" s="1">
        <v>3</v>
      </c>
      <c r="L369" s="1">
        <v>1</v>
      </c>
      <c r="M369" s="4">
        <v>4492</v>
      </c>
      <c r="N369" s="1">
        <v>8354</v>
      </c>
      <c r="O369" s="1">
        <v>15050</v>
      </c>
      <c r="P369" s="1">
        <v>6696</v>
      </c>
      <c r="Q369" s="1" t="s">
        <v>42</v>
      </c>
      <c r="S369" s="1" t="s">
        <v>42</v>
      </c>
      <c r="T369" s="1" t="s">
        <v>51</v>
      </c>
      <c r="U369" s="1">
        <v>401</v>
      </c>
      <c r="V369" s="5">
        <v>44427</v>
      </c>
      <c r="W369" s="5">
        <v>44026</v>
      </c>
      <c r="X369" s="1">
        <v>16500000</v>
      </c>
      <c r="AB369" s="1" t="s">
        <v>44</v>
      </c>
      <c r="AF369" s="1">
        <v>10019</v>
      </c>
      <c r="AI369" s="1" t="s">
        <v>197</v>
      </c>
      <c r="AJ369" s="1">
        <v>2016</v>
      </c>
      <c r="AK369" s="1" t="s">
        <v>49</v>
      </c>
      <c r="AL369" s="1">
        <v>60</v>
      </c>
    </row>
    <row r="370" spans="1:38" x14ac:dyDescent="0.2">
      <c r="A370" s="2" t="str">
        <f>HYPERLINK("https://www.compass.com/listing/53-west-53rd-street-unit-19d-manhattan-ny-10019/774678720608047281/","53 W 53rd St, Unit 19D")</f>
        <v>53 W 53rd St, Unit 19D</v>
      </c>
      <c r="B370" s="2" t="str">
        <f>HYPERLINK("https://www.compass.com/building/53-west-53-manhattan-ny/281946357818781477/","53 West 53")</f>
        <v>53 West 53</v>
      </c>
      <c r="C370" s="1" t="s">
        <v>139</v>
      </c>
      <c r="D370" s="1" t="s">
        <v>41</v>
      </c>
      <c r="E370" s="3">
        <v>6380000</v>
      </c>
      <c r="F370" s="1">
        <v>2371.7472118959099</v>
      </c>
      <c r="G370" s="1">
        <v>5</v>
      </c>
      <c r="H370" s="1">
        <v>2</v>
      </c>
      <c r="I370" s="1">
        <v>3</v>
      </c>
      <c r="J370" s="1">
        <v>2.5</v>
      </c>
      <c r="K370" s="1">
        <v>2</v>
      </c>
      <c r="L370" s="1">
        <v>1</v>
      </c>
      <c r="M370" s="4">
        <v>2690</v>
      </c>
      <c r="N370" s="1">
        <v>5658</v>
      </c>
      <c r="O370" s="1">
        <v>8013</v>
      </c>
      <c r="P370" s="1">
        <v>2355</v>
      </c>
      <c r="Q370" s="1" t="s">
        <v>42</v>
      </c>
      <c r="S370" s="1" t="s">
        <v>42</v>
      </c>
      <c r="T370" s="1" t="s">
        <v>51</v>
      </c>
      <c r="U370" s="1">
        <v>107</v>
      </c>
      <c r="V370" s="5">
        <v>44427</v>
      </c>
      <c r="W370" s="5">
        <v>44320</v>
      </c>
      <c r="X370" s="1">
        <v>6380000</v>
      </c>
      <c r="AB370" s="1" t="s">
        <v>44</v>
      </c>
      <c r="AF370" s="1">
        <v>10019</v>
      </c>
      <c r="AJ370" s="1">
        <v>2018</v>
      </c>
      <c r="AK370" s="1" t="s">
        <v>49</v>
      </c>
      <c r="AL370" s="1">
        <v>145</v>
      </c>
    </row>
    <row r="371" spans="1:38" x14ac:dyDescent="0.2">
      <c r="A371" s="2" t="str">
        <f>HYPERLINK("https://www.compass.com/listing/805-9th-avenue-unit-3-manhattan-ny-10019/622464906199112417/","805 9th Ave, Unit 3")</f>
        <v>805 9th Ave, Unit 3</v>
      </c>
      <c r="B371" s="2" t="str">
        <f>HYPERLINK("https://www.compass.com/building/805-9th-ave-manhattan-ny-10019/281947160365297701/","805 9th Ave")</f>
        <v>805 9th Ave</v>
      </c>
      <c r="C371" s="1" t="s">
        <v>90</v>
      </c>
      <c r="D371" s="1" t="s">
        <v>41</v>
      </c>
      <c r="E371" s="3">
        <v>2325000</v>
      </c>
      <c r="F371" s="1">
        <v>1744.1860465116199</v>
      </c>
      <c r="G371" s="1">
        <v>5</v>
      </c>
      <c r="H371" s="1">
        <v>3</v>
      </c>
      <c r="I371" s="1">
        <v>2</v>
      </c>
      <c r="J371" s="1">
        <v>2</v>
      </c>
      <c r="K371" s="1">
        <v>2</v>
      </c>
      <c r="M371" s="4">
        <v>1333</v>
      </c>
      <c r="N371" s="1">
        <v>747</v>
      </c>
      <c r="O371" s="1">
        <v>2424</v>
      </c>
      <c r="P371" s="1">
        <v>1677</v>
      </c>
      <c r="Q371" s="1" t="s">
        <v>42</v>
      </c>
      <c r="S371" s="1" t="s">
        <v>42</v>
      </c>
      <c r="T371" s="1" t="s">
        <v>51</v>
      </c>
      <c r="U371" s="1">
        <v>318</v>
      </c>
      <c r="V371" s="5">
        <v>44372</v>
      </c>
      <c r="W371" s="5">
        <v>44109</v>
      </c>
      <c r="X371" s="1">
        <v>2325000</v>
      </c>
      <c r="AB371" s="1" t="s">
        <v>44</v>
      </c>
      <c r="AF371" s="1">
        <v>10019</v>
      </c>
      <c r="AI371" s="1" t="s">
        <v>156</v>
      </c>
      <c r="AJ371" s="1">
        <v>2015</v>
      </c>
      <c r="AK371" s="1" t="s">
        <v>108</v>
      </c>
      <c r="AL371" s="1">
        <v>5</v>
      </c>
    </row>
    <row r="372" spans="1:38" x14ac:dyDescent="0.2">
      <c r="A372" s="2" t="str">
        <f>HYPERLINK("https://www.compass.com/listing/111-west-57th-street-unit-68-manhattan-ny-10019/467335979511234441/","111 W 57th St, Unit 68")</f>
        <v>111 W 57th St, Unit 68</v>
      </c>
      <c r="B372" s="2" t="str">
        <f t="shared" ref="B372:B374" si="46">HYPERLINK("https://www.compass.com/building/111-w-57th-st-manhattan-ny-10019/282058921823206277/","111 W 57th St")</f>
        <v>111 W 57th St</v>
      </c>
      <c r="C372" s="1" t="s">
        <v>139</v>
      </c>
      <c r="D372" s="1" t="s">
        <v>41</v>
      </c>
      <c r="E372" s="3">
        <v>30000000</v>
      </c>
      <c r="F372" s="1">
        <v>7745.93338497288</v>
      </c>
      <c r="G372" s="1">
        <v>6.5</v>
      </c>
      <c r="H372" s="1">
        <v>3</v>
      </c>
      <c r="I372" s="1">
        <v>4</v>
      </c>
      <c r="J372" s="1">
        <v>3.5</v>
      </c>
      <c r="K372" s="1">
        <v>3</v>
      </c>
      <c r="L372" s="1">
        <v>1</v>
      </c>
      <c r="M372" s="4">
        <v>3873</v>
      </c>
      <c r="N372" s="1">
        <v>8381</v>
      </c>
      <c r="O372" s="1">
        <v>15099</v>
      </c>
      <c r="P372" s="1">
        <v>6718</v>
      </c>
      <c r="Q372" s="1" t="s">
        <v>42</v>
      </c>
      <c r="S372" s="1" t="s">
        <v>42</v>
      </c>
      <c r="T372" s="1" t="s">
        <v>51</v>
      </c>
      <c r="U372" s="1">
        <v>437</v>
      </c>
      <c r="V372" s="5">
        <v>44335</v>
      </c>
      <c r="W372" s="5">
        <v>43896</v>
      </c>
      <c r="X372" s="1">
        <v>30000000</v>
      </c>
      <c r="AB372" s="1" t="s">
        <v>44</v>
      </c>
      <c r="AF372" s="1">
        <v>10019</v>
      </c>
      <c r="AI372" s="1" t="s">
        <v>216</v>
      </c>
      <c r="AJ372" s="1">
        <v>2016</v>
      </c>
      <c r="AK372" s="1" t="s">
        <v>49</v>
      </c>
      <c r="AL372" s="1">
        <v>60</v>
      </c>
    </row>
    <row r="373" spans="1:38" x14ac:dyDescent="0.2">
      <c r="A373" s="2" t="str">
        <f>HYPERLINK("https://www.compass.com/listing/111-west-57th-street-unit-42-manhattan-ny-10019/562072625621406137/","111 W 57th St, Unit 42")</f>
        <v>111 W 57th St, Unit 42</v>
      </c>
      <c r="B373" s="2" t="str">
        <f t="shared" si="46"/>
        <v>111 W 57th St</v>
      </c>
      <c r="C373" s="1" t="s">
        <v>139</v>
      </c>
      <c r="D373" s="1" t="s">
        <v>41</v>
      </c>
      <c r="E373" s="3">
        <v>28500000</v>
      </c>
      <c r="F373" s="1">
        <v>6344.6126447016904</v>
      </c>
      <c r="G373" s="1">
        <v>6</v>
      </c>
      <c r="H373" s="1">
        <v>3</v>
      </c>
      <c r="I373" s="1">
        <v>4</v>
      </c>
      <c r="J373" s="1">
        <v>3.5</v>
      </c>
      <c r="K373" s="1">
        <v>3</v>
      </c>
      <c r="L373" s="1">
        <v>1</v>
      </c>
      <c r="M373" s="4">
        <v>4492</v>
      </c>
      <c r="N373" s="1">
        <v>8784</v>
      </c>
      <c r="O373" s="1">
        <v>15825</v>
      </c>
      <c r="P373" s="1">
        <v>7041</v>
      </c>
      <c r="Q373" s="1" t="s">
        <v>42</v>
      </c>
      <c r="S373" s="1" t="s">
        <v>42</v>
      </c>
      <c r="T373" s="1" t="s">
        <v>51</v>
      </c>
      <c r="U373" s="1">
        <v>401</v>
      </c>
      <c r="V373" s="5">
        <v>44427</v>
      </c>
      <c r="W373" s="5">
        <v>44026</v>
      </c>
      <c r="X373" s="1">
        <v>28500000</v>
      </c>
      <c r="AB373" s="1" t="s">
        <v>44</v>
      </c>
      <c r="AF373" s="1">
        <v>10019</v>
      </c>
      <c r="AI373" s="1" t="s">
        <v>197</v>
      </c>
      <c r="AJ373" s="1">
        <v>2016</v>
      </c>
      <c r="AK373" s="1" t="s">
        <v>49</v>
      </c>
      <c r="AL373" s="1">
        <v>60</v>
      </c>
    </row>
    <row r="374" spans="1:38" x14ac:dyDescent="0.2">
      <c r="A374" s="2" t="str">
        <f>HYPERLINK("https://www.compass.com/listing/111-west-57th-street-unit-16n-manhattan-ny-10019/451382814165303289/","111 W 57th St, Unit 16N")</f>
        <v>111 W 57th St, Unit 16N</v>
      </c>
      <c r="B374" s="2" t="str">
        <f t="shared" si="46"/>
        <v>111 W 57th St</v>
      </c>
      <c r="C374" s="1" t="s">
        <v>139</v>
      </c>
      <c r="D374" s="1" t="s">
        <v>41</v>
      </c>
      <c r="E374" s="3">
        <v>8750000</v>
      </c>
      <c r="F374" s="1">
        <v>3238.34196891191</v>
      </c>
      <c r="G374" s="1">
        <v>4.5</v>
      </c>
      <c r="H374" s="1">
        <v>2</v>
      </c>
      <c r="I374" s="1">
        <v>3</v>
      </c>
      <c r="J374" s="1">
        <v>2.5</v>
      </c>
      <c r="K374" s="1">
        <v>2</v>
      </c>
      <c r="L374" s="1">
        <v>1</v>
      </c>
      <c r="M374" s="4">
        <v>2702</v>
      </c>
      <c r="N374" s="1">
        <v>5266</v>
      </c>
      <c r="O374" s="1">
        <v>9487</v>
      </c>
      <c r="P374" s="1">
        <v>4221</v>
      </c>
      <c r="Q374" s="1" t="s">
        <v>42</v>
      </c>
      <c r="S374" s="1" t="s">
        <v>42</v>
      </c>
      <c r="T374" s="1" t="s">
        <v>51</v>
      </c>
      <c r="U374" s="1">
        <v>459</v>
      </c>
      <c r="V374" s="5">
        <v>44427</v>
      </c>
      <c r="W374" s="5">
        <v>43874</v>
      </c>
      <c r="X374" s="1">
        <v>8750000</v>
      </c>
      <c r="AB374" s="1" t="s">
        <v>44</v>
      </c>
      <c r="AF374" s="1">
        <v>10019</v>
      </c>
      <c r="AI374" s="1" t="s">
        <v>216</v>
      </c>
      <c r="AJ374" s="1">
        <v>2016</v>
      </c>
      <c r="AK374" s="1" t="s">
        <v>49</v>
      </c>
      <c r="AL374" s="1">
        <v>60</v>
      </c>
    </row>
    <row r="375" spans="1:38" x14ac:dyDescent="0.2">
      <c r="A375" s="2" t="str">
        <f>HYPERLINK("https://www.compass.com/listing/217-west-57th-street-unit-115-manhattan-ny-10019/688566710043501409/","217 W 57th St, Unit 115")</f>
        <v>217 W 57th St, Unit 115</v>
      </c>
      <c r="B375" s="2" t="str">
        <f t="shared" ref="B375:B376" si="47">HYPERLINK("https://www.compass.com/building/central-park-tower-manhattan-ny/292845475244082085/","Central Park Tower")</f>
        <v>Central Park Tower</v>
      </c>
      <c r="C375" s="1" t="s">
        <v>139</v>
      </c>
      <c r="D375" s="1" t="s">
        <v>41</v>
      </c>
      <c r="E375" s="3">
        <v>63750000</v>
      </c>
      <c r="F375" s="1">
        <v>9011.8744698897299</v>
      </c>
      <c r="G375" s="1">
        <v>8</v>
      </c>
      <c r="H375" s="1">
        <v>5</v>
      </c>
      <c r="I375" s="1">
        <v>6</v>
      </c>
      <c r="J375" s="1">
        <v>5.5</v>
      </c>
      <c r="K375" s="1">
        <v>5</v>
      </c>
      <c r="L375" s="1">
        <v>1</v>
      </c>
      <c r="M375" s="4">
        <v>7074</v>
      </c>
      <c r="N375" s="1">
        <v>10664</v>
      </c>
      <c r="O375" s="1">
        <v>30426</v>
      </c>
      <c r="P375" s="1">
        <v>19762</v>
      </c>
      <c r="Q375" s="1" t="s">
        <v>42</v>
      </c>
      <c r="S375" s="1" t="s">
        <v>42</v>
      </c>
      <c r="T375" s="1" t="s">
        <v>51</v>
      </c>
      <c r="U375" s="1">
        <v>226</v>
      </c>
      <c r="V375" s="5">
        <v>44426</v>
      </c>
      <c r="W375" s="5">
        <v>44201</v>
      </c>
      <c r="X375" s="1">
        <v>63750000</v>
      </c>
      <c r="AB375" s="1" t="s">
        <v>44</v>
      </c>
      <c r="AF375" s="1">
        <v>10019</v>
      </c>
      <c r="AI375" s="1" t="s">
        <v>101</v>
      </c>
      <c r="AJ375" s="1">
        <v>2020</v>
      </c>
      <c r="AK375" s="1" t="s">
        <v>108</v>
      </c>
      <c r="AL375" s="1">
        <v>179</v>
      </c>
    </row>
    <row r="376" spans="1:38" x14ac:dyDescent="0.2">
      <c r="A376" s="2" t="str">
        <f>HYPERLINK("https://www.compass.com/listing/217-west-57th-street-unit-47c-manhattan-ny-10019/690248250263766721/","217 W 57th St, Unit 47C")</f>
        <v>217 W 57th St, Unit 47C</v>
      </c>
      <c r="B376" s="2" t="str">
        <f t="shared" si="47"/>
        <v>Central Park Tower</v>
      </c>
      <c r="C376" s="1" t="s">
        <v>139</v>
      </c>
      <c r="D376" s="1" t="s">
        <v>41</v>
      </c>
      <c r="E376" s="3">
        <v>16500000</v>
      </c>
      <c r="F376" s="1">
        <v>4851.5142605116098</v>
      </c>
      <c r="G376" s="1">
        <v>7.5</v>
      </c>
      <c r="H376" s="1">
        <v>3</v>
      </c>
      <c r="I376" s="1">
        <v>4</v>
      </c>
      <c r="J376" s="1">
        <v>3.5</v>
      </c>
      <c r="K376" s="1">
        <v>3</v>
      </c>
      <c r="L376" s="1">
        <v>1</v>
      </c>
      <c r="M376" s="4">
        <v>3401</v>
      </c>
      <c r="N376" s="1">
        <v>4467</v>
      </c>
      <c r="O376" s="1">
        <v>12744</v>
      </c>
      <c r="P376" s="1">
        <v>8277</v>
      </c>
      <c r="Q376" s="1" t="s">
        <v>42</v>
      </c>
      <c r="S376" s="1" t="s">
        <v>42</v>
      </c>
      <c r="T376" s="1" t="s">
        <v>51</v>
      </c>
      <c r="U376" s="1">
        <v>1172</v>
      </c>
      <c r="V376" s="5">
        <v>44421</v>
      </c>
      <c r="W376" s="5">
        <v>43133</v>
      </c>
      <c r="AB376" s="1" t="s">
        <v>44</v>
      </c>
      <c r="AF376" s="1">
        <v>10019</v>
      </c>
      <c r="AI376" s="1" t="s">
        <v>201</v>
      </c>
      <c r="AJ376" s="1">
        <v>2020</v>
      </c>
      <c r="AK376" s="1" t="s">
        <v>55</v>
      </c>
      <c r="AL376" s="1">
        <v>179</v>
      </c>
    </row>
    <row r="377" spans="1:38" x14ac:dyDescent="0.2">
      <c r="A377" s="2" t="str">
        <f>HYPERLINK("https://www.compass.com/listing/16-west-40th-street-unit-29b-manhattan-ny-10018/373012649559553185/","16 W 40th St, Unit 29B")</f>
        <v>16 W 40th St, Unit 29B</v>
      </c>
      <c r="B377" s="2" t="str">
        <f>HYPERLINK("https://www.compass.com/building/the-bryant-manhattan-ny/281942863485395813/","The Bryant")</f>
        <v>The Bryant</v>
      </c>
      <c r="C377" s="1" t="s">
        <v>126</v>
      </c>
      <c r="D377" s="1" t="s">
        <v>41</v>
      </c>
      <c r="E377" s="3">
        <v>4995000</v>
      </c>
      <c r="F377" s="1">
        <v>2654.0913921360202</v>
      </c>
      <c r="G377" s="1">
        <v>5.5</v>
      </c>
      <c r="H377" s="1">
        <v>2</v>
      </c>
      <c r="I377" s="1">
        <v>3</v>
      </c>
      <c r="J377" s="1">
        <v>2.5</v>
      </c>
      <c r="K377" s="1">
        <v>2</v>
      </c>
      <c r="L377" s="1">
        <v>1</v>
      </c>
      <c r="M377" s="4">
        <v>1882</v>
      </c>
      <c r="N377" s="1">
        <v>3721</v>
      </c>
      <c r="O377" s="1">
        <v>7097</v>
      </c>
      <c r="P377" s="1">
        <v>3376</v>
      </c>
      <c r="Q377" s="1" t="s">
        <v>42</v>
      </c>
      <c r="S377" s="1" t="s">
        <v>42</v>
      </c>
      <c r="T377" s="1" t="s">
        <v>51</v>
      </c>
      <c r="U377" s="1">
        <v>567</v>
      </c>
      <c r="V377" s="5">
        <v>44418</v>
      </c>
      <c r="W377" s="5">
        <v>43766</v>
      </c>
      <c r="X377" s="1">
        <v>5620000</v>
      </c>
      <c r="AB377" s="1" t="s">
        <v>44</v>
      </c>
      <c r="AF377" s="1">
        <v>10018</v>
      </c>
      <c r="AI377" s="1" t="s">
        <v>58</v>
      </c>
      <c r="AJ377" s="1">
        <v>2017</v>
      </c>
      <c r="AK377" s="1" t="s">
        <v>46</v>
      </c>
      <c r="AL377" s="1">
        <v>57</v>
      </c>
    </row>
    <row r="378" spans="1:38" x14ac:dyDescent="0.2">
      <c r="A378" s="2" t="str">
        <f>HYPERLINK("https://www.compass.com/listing/138-east-50th-street-unit-20b-manhattan-ny-10022/789920073357088513/","138 E 50th St, Unit 20B")</f>
        <v>138 E 50th St, Unit 20B</v>
      </c>
      <c r="B378" s="2" t="str">
        <f>HYPERLINK("https://www.compass.com/building/the-centrale-manhattan-ny/281941497232811621/","The Centrale")</f>
        <v>The Centrale</v>
      </c>
      <c r="C378" s="1" t="s">
        <v>116</v>
      </c>
      <c r="D378" s="1" t="s">
        <v>41</v>
      </c>
      <c r="E378" s="3">
        <v>1895000</v>
      </c>
      <c r="F378" s="1">
        <v>2237.3081463990502</v>
      </c>
      <c r="G378" s="1">
        <v>3</v>
      </c>
      <c r="H378" s="1">
        <v>1</v>
      </c>
      <c r="I378" s="1">
        <v>2</v>
      </c>
      <c r="J378" s="1">
        <v>1.5</v>
      </c>
      <c r="K378" s="1">
        <v>1</v>
      </c>
      <c r="L378" s="1">
        <v>1</v>
      </c>
      <c r="M378" s="1">
        <v>847</v>
      </c>
      <c r="N378" s="1">
        <v>863</v>
      </c>
      <c r="O378" s="1">
        <v>2149</v>
      </c>
      <c r="P378" s="1">
        <v>1286</v>
      </c>
      <c r="Q378" s="1" t="s">
        <v>42</v>
      </c>
      <c r="S378" s="1" t="s">
        <v>42</v>
      </c>
      <c r="T378" s="1" t="s">
        <v>51</v>
      </c>
      <c r="U378" s="1">
        <v>106</v>
      </c>
      <c r="V378" s="5">
        <v>44427</v>
      </c>
      <c r="W378" s="5">
        <v>44321</v>
      </c>
      <c r="X378" s="1">
        <v>1</v>
      </c>
      <c r="AB378" s="1" t="s">
        <v>44</v>
      </c>
      <c r="AF378" s="1">
        <v>10022</v>
      </c>
      <c r="AI378" s="1" t="s">
        <v>118</v>
      </c>
      <c r="AJ378" s="1">
        <v>2019</v>
      </c>
      <c r="AK378" s="1" t="s">
        <v>55</v>
      </c>
      <c r="AL378" s="1">
        <v>124</v>
      </c>
    </row>
    <row r="379" spans="1:38" x14ac:dyDescent="0.2">
      <c r="A379" s="2" t="str">
        <f>HYPERLINK("https://www.compass.com/listing/53-west-53rd-street-unit-37c-manhattan-ny-10019/755635251803116401/","53 W 53rd St, Unit 37C")</f>
        <v>53 W 53rd St, Unit 37C</v>
      </c>
      <c r="B379" s="2" t="str">
        <f t="shared" ref="B379:B388" si="48">HYPERLINK("https://www.compass.com/building/53-west-53-manhattan-ny/281946357818781477/","53 West 53")</f>
        <v>53 West 53</v>
      </c>
      <c r="C379" s="1" t="s">
        <v>139</v>
      </c>
      <c r="D379" s="1" t="s">
        <v>41</v>
      </c>
      <c r="E379" s="3">
        <v>7625000</v>
      </c>
      <c r="F379" s="1">
        <v>3110.9751121990998</v>
      </c>
      <c r="G379" s="1">
        <v>5</v>
      </c>
      <c r="H379" s="1">
        <v>3</v>
      </c>
      <c r="I379" s="1">
        <v>4</v>
      </c>
      <c r="J379" s="1">
        <v>3.5</v>
      </c>
      <c r="K379" s="1">
        <v>3</v>
      </c>
      <c r="L379" s="1">
        <v>1</v>
      </c>
      <c r="M379" s="4">
        <v>2451</v>
      </c>
      <c r="N379" s="1">
        <v>5604</v>
      </c>
      <c r="O379" s="1">
        <v>7936</v>
      </c>
      <c r="P379" s="1">
        <v>2332</v>
      </c>
      <c r="Q379" s="1" t="s">
        <v>42</v>
      </c>
      <c r="S379" s="1" t="s">
        <v>42</v>
      </c>
      <c r="T379" s="1" t="s">
        <v>51</v>
      </c>
      <c r="U379" s="1">
        <v>136</v>
      </c>
      <c r="V379" s="5">
        <v>44427</v>
      </c>
      <c r="W379" s="5">
        <v>44291</v>
      </c>
      <c r="X379" s="1">
        <v>1</v>
      </c>
      <c r="AB379" s="1" t="s">
        <v>44</v>
      </c>
      <c r="AF379" s="1">
        <v>10019</v>
      </c>
      <c r="AJ379" s="1">
        <v>2018</v>
      </c>
      <c r="AK379" s="1" t="s">
        <v>49</v>
      </c>
      <c r="AL379" s="1">
        <v>145</v>
      </c>
    </row>
    <row r="380" spans="1:38" x14ac:dyDescent="0.2">
      <c r="A380" s="2" t="str">
        <f>HYPERLINK("https://www.compass.com/listing/53-west-53rd-street-unit-53a-manhattan-ny-10019/755635255649089985/","53 W 53rd St, Unit 53A")</f>
        <v>53 W 53rd St, Unit 53A</v>
      </c>
      <c r="B380" s="2" t="str">
        <f t="shared" si="48"/>
        <v>53 West 53</v>
      </c>
      <c r="C380" s="1" t="s">
        <v>139</v>
      </c>
      <c r="D380" s="1" t="s">
        <v>41</v>
      </c>
      <c r="E380" s="3">
        <v>19025000</v>
      </c>
      <c r="F380" s="1">
        <v>4892.0030856261201</v>
      </c>
      <c r="G380" s="1">
        <v>6</v>
      </c>
      <c r="H380" s="1">
        <v>3</v>
      </c>
      <c r="I380" s="1">
        <v>4</v>
      </c>
      <c r="J380" s="1">
        <v>3.5</v>
      </c>
      <c r="K380" s="1">
        <v>3</v>
      </c>
      <c r="L380" s="1">
        <v>1</v>
      </c>
      <c r="M380" s="4">
        <v>3889</v>
      </c>
      <c r="N380" s="1">
        <v>9248</v>
      </c>
      <c r="O380" s="1">
        <v>13097</v>
      </c>
      <c r="P380" s="1">
        <v>3849</v>
      </c>
      <c r="Q380" s="1" t="s">
        <v>42</v>
      </c>
      <c r="S380" s="1" t="s">
        <v>42</v>
      </c>
      <c r="T380" s="1" t="s">
        <v>51</v>
      </c>
      <c r="U380" s="1">
        <v>136</v>
      </c>
      <c r="V380" s="5">
        <v>44427</v>
      </c>
      <c r="W380" s="5">
        <v>44291</v>
      </c>
      <c r="X380" s="1">
        <v>1</v>
      </c>
      <c r="AB380" s="1" t="s">
        <v>44</v>
      </c>
      <c r="AF380" s="1">
        <v>10019</v>
      </c>
      <c r="AJ380" s="1">
        <v>2018</v>
      </c>
      <c r="AK380" s="1" t="s">
        <v>49</v>
      </c>
      <c r="AL380" s="1">
        <v>145</v>
      </c>
    </row>
    <row r="381" spans="1:38" x14ac:dyDescent="0.2">
      <c r="A381" s="2" t="str">
        <f>HYPERLINK("https://www.compass.com/listing/53-west-53rd-street-unit-31a-manhattan-ny-10019/755635694368489425/","53 W 53rd St, Unit 31A")</f>
        <v>53 W 53rd St, Unit 31A</v>
      </c>
      <c r="B381" s="2" t="str">
        <f t="shared" si="48"/>
        <v>53 West 53</v>
      </c>
      <c r="C381" s="1" t="s">
        <v>139</v>
      </c>
      <c r="D381" s="1" t="s">
        <v>41</v>
      </c>
      <c r="E381" s="3">
        <v>8895000</v>
      </c>
      <c r="F381" s="1">
        <v>2500</v>
      </c>
      <c r="G381" s="1">
        <v>5.5</v>
      </c>
      <c r="H381" s="1">
        <v>3</v>
      </c>
      <c r="I381" s="1">
        <v>4</v>
      </c>
      <c r="J381" s="1">
        <v>3.5</v>
      </c>
      <c r="K381" s="1">
        <v>3</v>
      </c>
      <c r="L381" s="1">
        <v>1</v>
      </c>
      <c r="M381" s="4">
        <v>3558</v>
      </c>
      <c r="N381" s="1">
        <v>7918</v>
      </c>
      <c r="O381" s="1">
        <v>11214</v>
      </c>
      <c r="P381" s="1">
        <v>3296</v>
      </c>
      <c r="Q381" s="1" t="s">
        <v>42</v>
      </c>
      <c r="S381" s="1" t="s">
        <v>42</v>
      </c>
      <c r="T381" s="1" t="s">
        <v>51</v>
      </c>
      <c r="U381" s="1">
        <v>136</v>
      </c>
      <c r="V381" s="5">
        <v>44427</v>
      </c>
      <c r="W381" s="5">
        <v>44291</v>
      </c>
      <c r="X381" s="1">
        <v>1</v>
      </c>
      <c r="AB381" s="1" t="s">
        <v>44</v>
      </c>
      <c r="AF381" s="1">
        <v>10019</v>
      </c>
      <c r="AJ381" s="1">
        <v>2018</v>
      </c>
      <c r="AK381" s="1" t="s">
        <v>49</v>
      </c>
      <c r="AL381" s="1">
        <v>145</v>
      </c>
    </row>
    <row r="382" spans="1:38" x14ac:dyDescent="0.2">
      <c r="A382" s="2" t="str">
        <f>HYPERLINK("https://www.compass.com/listing/53-west-53rd-street-unit-58b-manhattan-ny-10019/755635914603695601/","53 W 53rd St, Unit 58B")</f>
        <v>53 W 53rd St, Unit 58B</v>
      </c>
      <c r="B382" s="2" t="str">
        <f t="shared" si="48"/>
        <v>53 West 53</v>
      </c>
      <c r="C382" s="1" t="s">
        <v>139</v>
      </c>
      <c r="D382" s="1" t="s">
        <v>41</v>
      </c>
      <c r="E382" s="3">
        <v>14500000</v>
      </c>
      <c r="F382" s="1">
        <v>4460.1661027376103</v>
      </c>
      <c r="G382" s="1">
        <v>5.5</v>
      </c>
      <c r="H382" s="1">
        <v>3</v>
      </c>
      <c r="I382" s="1">
        <v>4</v>
      </c>
      <c r="J382" s="1">
        <v>3.5</v>
      </c>
      <c r="K382" s="1">
        <v>3</v>
      </c>
      <c r="L382" s="1">
        <v>1</v>
      </c>
      <c r="M382" s="4">
        <v>3251</v>
      </c>
      <c r="N382" s="1">
        <v>7896</v>
      </c>
      <c r="O382" s="1">
        <v>11182</v>
      </c>
      <c r="P382" s="1">
        <v>3286</v>
      </c>
      <c r="Q382" s="1" t="s">
        <v>42</v>
      </c>
      <c r="S382" s="1" t="s">
        <v>42</v>
      </c>
      <c r="T382" s="1" t="s">
        <v>51</v>
      </c>
      <c r="U382" s="1">
        <v>136</v>
      </c>
      <c r="V382" s="5">
        <v>44427</v>
      </c>
      <c r="W382" s="5">
        <v>44291</v>
      </c>
      <c r="X382" s="1">
        <v>1</v>
      </c>
      <c r="AB382" s="1" t="s">
        <v>44</v>
      </c>
      <c r="AF382" s="1">
        <v>10019</v>
      </c>
      <c r="AJ382" s="1">
        <v>2018</v>
      </c>
      <c r="AK382" s="1" t="s">
        <v>49</v>
      </c>
      <c r="AL382" s="1">
        <v>145</v>
      </c>
    </row>
    <row r="383" spans="1:38" x14ac:dyDescent="0.2">
      <c r="A383" s="2" t="str">
        <f>HYPERLINK("https://www.compass.com/listing/53-west-53rd-street-unit-19a-manhattan-ny-10019/755635251924649249/","53 W 53rd St, Unit 19A")</f>
        <v>53 W 53rd St, Unit 19A</v>
      </c>
      <c r="B383" s="2" t="str">
        <f t="shared" si="48"/>
        <v>53 West 53</v>
      </c>
      <c r="C383" s="1" t="s">
        <v>139</v>
      </c>
      <c r="D383" s="1" t="s">
        <v>41</v>
      </c>
      <c r="E383" s="3">
        <v>7090000</v>
      </c>
      <c r="F383" s="1">
        <v>2991.5611814345898</v>
      </c>
      <c r="G383" s="1">
        <v>4</v>
      </c>
      <c r="H383" s="1">
        <v>2</v>
      </c>
      <c r="I383" s="1">
        <v>3</v>
      </c>
      <c r="J383" s="1">
        <v>2.5</v>
      </c>
      <c r="K383" s="1">
        <v>2</v>
      </c>
      <c r="L383" s="1">
        <v>1</v>
      </c>
      <c r="M383" s="4">
        <v>2370</v>
      </c>
      <c r="N383" s="1">
        <v>4985</v>
      </c>
      <c r="O383" s="1">
        <v>7060</v>
      </c>
      <c r="P383" s="1">
        <v>2075</v>
      </c>
      <c r="Q383" s="1" t="s">
        <v>42</v>
      </c>
      <c r="S383" s="1" t="s">
        <v>42</v>
      </c>
      <c r="T383" s="1" t="s">
        <v>51</v>
      </c>
      <c r="U383" s="1">
        <v>136</v>
      </c>
      <c r="V383" s="5">
        <v>44427</v>
      </c>
      <c r="W383" s="5">
        <v>44291</v>
      </c>
      <c r="X383" s="1">
        <v>1</v>
      </c>
      <c r="AB383" s="1" t="s">
        <v>44</v>
      </c>
      <c r="AF383" s="1">
        <v>10019</v>
      </c>
      <c r="AJ383" s="1">
        <v>2018</v>
      </c>
      <c r="AK383" s="1" t="s">
        <v>49</v>
      </c>
      <c r="AL383" s="1">
        <v>145</v>
      </c>
    </row>
    <row r="384" spans="1:38" x14ac:dyDescent="0.2">
      <c r="A384" s="2" t="str">
        <f>HYPERLINK("https://www.compass.com/listing/53-west-53rd-street-unit-25a-manhattan-ny-10019/755635307742447809/","53 W 53rd St, Unit 25A")</f>
        <v>53 W 53rd St, Unit 25A</v>
      </c>
      <c r="B384" s="2" t="str">
        <f t="shared" si="48"/>
        <v>53 West 53</v>
      </c>
      <c r="C384" s="1" t="s">
        <v>139</v>
      </c>
      <c r="D384" s="1" t="s">
        <v>41</v>
      </c>
      <c r="E384" s="3">
        <v>8875000</v>
      </c>
      <c r="F384" s="1">
        <v>2853.6977491961402</v>
      </c>
      <c r="G384" s="1">
        <v>4</v>
      </c>
      <c r="H384" s="1">
        <v>2</v>
      </c>
      <c r="I384" s="1">
        <v>3</v>
      </c>
      <c r="J384" s="1">
        <v>2.5</v>
      </c>
      <c r="K384" s="1">
        <v>2</v>
      </c>
      <c r="L384" s="1">
        <v>1</v>
      </c>
      <c r="M384" s="4">
        <v>3110</v>
      </c>
      <c r="N384" s="1">
        <v>6731</v>
      </c>
      <c r="O384" s="1">
        <v>9533</v>
      </c>
      <c r="P384" s="1">
        <v>2802</v>
      </c>
      <c r="Q384" s="1" t="s">
        <v>42</v>
      </c>
      <c r="S384" s="1" t="s">
        <v>42</v>
      </c>
      <c r="T384" s="1" t="s">
        <v>51</v>
      </c>
      <c r="U384" s="1">
        <v>136</v>
      </c>
      <c r="V384" s="5">
        <v>44427</v>
      </c>
      <c r="W384" s="5">
        <v>44291</v>
      </c>
      <c r="X384" s="1">
        <v>1</v>
      </c>
      <c r="AB384" s="1" t="s">
        <v>44</v>
      </c>
      <c r="AF384" s="1">
        <v>10019</v>
      </c>
      <c r="AJ384" s="1">
        <v>2018</v>
      </c>
      <c r="AK384" s="1" t="s">
        <v>49</v>
      </c>
      <c r="AL384" s="1">
        <v>145</v>
      </c>
    </row>
    <row r="385" spans="1:38" x14ac:dyDescent="0.2">
      <c r="A385" s="2" t="str">
        <f>HYPERLINK("https://www.compass.com/listing/53-west-53rd-street-unit-19b-manhattan-ny-10019/755635474419932097/","53 W 53rd St, Unit 19B")</f>
        <v>53 W 53rd St, Unit 19B</v>
      </c>
      <c r="B385" s="2" t="str">
        <f t="shared" si="48"/>
        <v>53 West 53</v>
      </c>
      <c r="C385" s="1" t="s">
        <v>139</v>
      </c>
      <c r="D385" s="1" t="s">
        <v>41</v>
      </c>
      <c r="E385" s="3">
        <v>5290000</v>
      </c>
      <c r="F385" s="1">
        <v>2242.4756252649399</v>
      </c>
      <c r="G385" s="1">
        <v>4</v>
      </c>
      <c r="H385" s="1">
        <v>2</v>
      </c>
      <c r="I385" s="1">
        <v>3</v>
      </c>
      <c r="J385" s="1">
        <v>2.5</v>
      </c>
      <c r="K385" s="1">
        <v>2</v>
      </c>
      <c r="L385" s="1">
        <v>1</v>
      </c>
      <c r="M385" s="4">
        <v>2359</v>
      </c>
      <c r="N385" s="1">
        <v>4962</v>
      </c>
      <c r="O385" s="1">
        <v>7027</v>
      </c>
      <c r="P385" s="1">
        <v>2065</v>
      </c>
      <c r="Q385" s="1" t="s">
        <v>42</v>
      </c>
      <c r="S385" s="1" t="s">
        <v>42</v>
      </c>
      <c r="T385" s="1" t="s">
        <v>51</v>
      </c>
      <c r="U385" s="1">
        <v>136</v>
      </c>
      <c r="V385" s="5">
        <v>44427</v>
      </c>
      <c r="W385" s="5">
        <v>44291</v>
      </c>
      <c r="X385" s="1">
        <v>1</v>
      </c>
      <c r="AB385" s="1" t="s">
        <v>44</v>
      </c>
      <c r="AF385" s="1">
        <v>10019</v>
      </c>
      <c r="AJ385" s="1">
        <v>2018</v>
      </c>
      <c r="AK385" s="1" t="s">
        <v>49</v>
      </c>
      <c r="AL385" s="1">
        <v>145</v>
      </c>
    </row>
    <row r="386" spans="1:38" x14ac:dyDescent="0.2">
      <c r="A386" s="2" t="str">
        <f>HYPERLINK("https://www.compass.com/listing/53-west-53rd-street-unit-17e-manhattan-ny-10019/755635488877178521/","53 W 53rd St, Unit 17E")</f>
        <v>53 W 53rd St, Unit 17E</v>
      </c>
      <c r="B386" s="2" t="str">
        <f t="shared" si="48"/>
        <v>53 West 53</v>
      </c>
      <c r="C386" s="1" t="s">
        <v>139</v>
      </c>
      <c r="D386" s="1" t="s">
        <v>41</v>
      </c>
      <c r="E386" s="3">
        <v>3850000</v>
      </c>
      <c r="F386" s="1">
        <v>2483.8709677419301</v>
      </c>
      <c r="G386" s="1">
        <v>3</v>
      </c>
      <c r="H386" s="1">
        <v>1</v>
      </c>
      <c r="I386" s="1">
        <v>2</v>
      </c>
      <c r="J386" s="1">
        <v>1.5</v>
      </c>
      <c r="K386" s="1">
        <v>1</v>
      </c>
      <c r="L386" s="1">
        <v>1</v>
      </c>
      <c r="M386" s="4">
        <v>1550</v>
      </c>
      <c r="N386" s="1">
        <v>3229</v>
      </c>
      <c r="O386" s="1">
        <v>4573</v>
      </c>
      <c r="P386" s="1">
        <v>1344</v>
      </c>
      <c r="Q386" s="1" t="s">
        <v>42</v>
      </c>
      <c r="S386" s="1" t="s">
        <v>42</v>
      </c>
      <c r="T386" s="1" t="s">
        <v>51</v>
      </c>
      <c r="U386" s="1">
        <v>136</v>
      </c>
      <c r="V386" s="5">
        <v>44427</v>
      </c>
      <c r="W386" s="5">
        <v>44291</v>
      </c>
      <c r="X386" s="1">
        <v>1</v>
      </c>
      <c r="AB386" s="1" t="s">
        <v>44</v>
      </c>
      <c r="AF386" s="1">
        <v>10019</v>
      </c>
      <c r="AJ386" s="1">
        <v>2018</v>
      </c>
      <c r="AK386" s="1" t="s">
        <v>49</v>
      </c>
      <c r="AL386" s="1">
        <v>145</v>
      </c>
    </row>
    <row r="387" spans="1:38" x14ac:dyDescent="0.2">
      <c r="A387" s="2" t="str">
        <f>HYPERLINK("https://www.compass.com/listing/53-west-53rd-street-unit-26b-manhattan-ny-10019/755635505306787065/","53 W 53rd St, Unit 26B")</f>
        <v>53 W 53rd St, Unit 26B</v>
      </c>
      <c r="B387" s="2" t="str">
        <f t="shared" si="48"/>
        <v>53 West 53</v>
      </c>
      <c r="C387" s="1" t="s">
        <v>139</v>
      </c>
      <c r="D387" s="1" t="s">
        <v>41</v>
      </c>
      <c r="E387" s="3">
        <v>6675000</v>
      </c>
      <c r="F387" s="1">
        <v>2689.3634165995099</v>
      </c>
      <c r="G387" s="1">
        <v>4.5</v>
      </c>
      <c r="H387" s="1">
        <v>2</v>
      </c>
      <c r="I387" s="1">
        <v>3</v>
      </c>
      <c r="J387" s="1">
        <v>2.5</v>
      </c>
      <c r="K387" s="1">
        <v>2</v>
      </c>
      <c r="L387" s="1">
        <v>1</v>
      </c>
      <c r="M387" s="4">
        <v>2482</v>
      </c>
      <c r="N387" s="1">
        <v>5397</v>
      </c>
      <c r="O387" s="1">
        <v>7643</v>
      </c>
      <c r="P387" s="1">
        <v>2246</v>
      </c>
      <c r="Q387" s="1" t="s">
        <v>42</v>
      </c>
      <c r="S387" s="1" t="s">
        <v>42</v>
      </c>
      <c r="T387" s="1" t="s">
        <v>51</v>
      </c>
      <c r="U387" s="1">
        <v>136</v>
      </c>
      <c r="V387" s="5">
        <v>44427</v>
      </c>
      <c r="W387" s="5">
        <v>44291</v>
      </c>
      <c r="X387" s="1">
        <v>1</v>
      </c>
      <c r="AB387" s="1" t="s">
        <v>44</v>
      </c>
      <c r="AF387" s="1">
        <v>10019</v>
      </c>
      <c r="AJ387" s="1">
        <v>2018</v>
      </c>
      <c r="AK387" s="1" t="s">
        <v>49</v>
      </c>
      <c r="AL387" s="1">
        <v>145</v>
      </c>
    </row>
    <row r="388" spans="1:38" x14ac:dyDescent="0.2">
      <c r="A388" s="2" t="str">
        <f>HYPERLINK("https://www.compass.com/listing/53-west-53rd-street-unit-34b-manhattan-ny-10019/755635931686575721/","53 W 53rd St, Unit 34B")</f>
        <v>53 W 53rd St, Unit 34B</v>
      </c>
      <c r="B388" s="2" t="str">
        <f t="shared" si="48"/>
        <v>53 West 53</v>
      </c>
      <c r="C388" s="1" t="s">
        <v>139</v>
      </c>
      <c r="D388" s="1" t="s">
        <v>41</v>
      </c>
      <c r="E388" s="3">
        <v>5650000</v>
      </c>
      <c r="F388" s="1">
        <v>2762.8361858190701</v>
      </c>
      <c r="G388" s="1">
        <v>4.5</v>
      </c>
      <c r="H388" s="1">
        <v>2</v>
      </c>
      <c r="I388" s="1">
        <v>3</v>
      </c>
      <c r="J388" s="1">
        <v>2.5</v>
      </c>
      <c r="K388" s="1">
        <v>2</v>
      </c>
      <c r="L388" s="1">
        <v>1</v>
      </c>
      <c r="M388" s="4">
        <v>2045</v>
      </c>
      <c r="N388" s="1">
        <v>4613</v>
      </c>
      <c r="O388" s="1">
        <v>6533</v>
      </c>
      <c r="P388" s="1">
        <v>1920</v>
      </c>
      <c r="Q388" s="1" t="s">
        <v>42</v>
      </c>
      <c r="S388" s="1" t="s">
        <v>42</v>
      </c>
      <c r="T388" s="1" t="s">
        <v>51</v>
      </c>
      <c r="U388" s="1">
        <v>136</v>
      </c>
      <c r="V388" s="5">
        <v>44427</v>
      </c>
      <c r="W388" s="5">
        <v>44291</v>
      </c>
      <c r="X388" s="1">
        <v>1</v>
      </c>
      <c r="AB388" s="1" t="s">
        <v>44</v>
      </c>
      <c r="AF388" s="1">
        <v>10019</v>
      </c>
      <c r="AJ388" s="1">
        <v>2018</v>
      </c>
      <c r="AK388" s="1" t="s">
        <v>49</v>
      </c>
      <c r="AL388" s="1">
        <v>145</v>
      </c>
    </row>
    <row r="389" spans="1:38" x14ac:dyDescent="0.2">
      <c r="A389" s="2" t="str">
        <f>HYPERLINK("https://www.compass.com/listing/111-west-57th-street-unit-ph20-manhattan-ny-10019/379612181793261665/","111 W 57th St, Unit PH20")</f>
        <v>111 W 57th St, Unit PH20</v>
      </c>
      <c r="B389" s="2" t="str">
        <f>HYPERLINK("https://www.compass.com/building/111-w-57th-st-manhattan-ny-10019/282058921823206277/","111 W 57th St")</f>
        <v>111 W 57th St</v>
      </c>
      <c r="C389" s="1" t="s">
        <v>139</v>
      </c>
      <c r="D389" s="1" t="s">
        <v>41</v>
      </c>
      <c r="E389" s="3">
        <v>21000000</v>
      </c>
      <c r="F389" s="1">
        <v>3985.5760106282</v>
      </c>
      <c r="G389" s="1">
        <v>7</v>
      </c>
      <c r="H389" s="1">
        <v>3</v>
      </c>
      <c r="I389" s="1">
        <v>5</v>
      </c>
      <c r="J389" s="1">
        <v>4.5</v>
      </c>
      <c r="K389" s="1">
        <v>4</v>
      </c>
      <c r="L389" s="1">
        <v>1</v>
      </c>
      <c r="M389" s="4">
        <v>5269</v>
      </c>
      <c r="N389" s="1">
        <v>11291</v>
      </c>
      <c r="O389" s="1">
        <v>20341</v>
      </c>
      <c r="P389" s="1">
        <v>9050</v>
      </c>
      <c r="Q389" s="1" t="s">
        <v>42</v>
      </c>
      <c r="S389" s="1" t="s">
        <v>42</v>
      </c>
      <c r="T389" s="1" t="s">
        <v>51</v>
      </c>
      <c r="U389" s="1">
        <v>3116</v>
      </c>
      <c r="V389" s="5">
        <v>44427</v>
      </c>
      <c r="W389" s="5">
        <v>41217</v>
      </c>
      <c r="X389" s="1">
        <v>21000000</v>
      </c>
      <c r="AB389" s="1" t="s">
        <v>44</v>
      </c>
      <c r="AF389" s="1">
        <v>10019</v>
      </c>
      <c r="AI389" s="1" t="s">
        <v>217</v>
      </c>
      <c r="AJ389" s="1">
        <v>2016</v>
      </c>
      <c r="AK389" s="1" t="s">
        <v>49</v>
      </c>
      <c r="AL389" s="1">
        <v>60</v>
      </c>
    </row>
    <row r="390" spans="1:38" x14ac:dyDescent="0.2">
      <c r="A390" s="2" t="str">
        <f>HYPERLINK("https://www.compass.com/listing/217-west-57th-street-unit-86e-manhattan-ny-10019/690248253367901425/","217 W 57th St, Unit 86E")</f>
        <v>217 W 57th St, Unit 86E</v>
      </c>
      <c r="B390" s="2" t="str">
        <f>HYPERLINK("https://www.compass.com/building/central-park-tower-manhattan-ny/292845475244082085/","Central Park Tower")</f>
        <v>Central Park Tower</v>
      </c>
      <c r="C390" s="1" t="s">
        <v>139</v>
      </c>
      <c r="D390" s="1" t="s">
        <v>41</v>
      </c>
      <c r="E390" s="3">
        <v>29900000</v>
      </c>
      <c r="F390" s="1">
        <v>6959.9627560521403</v>
      </c>
      <c r="G390" s="1">
        <v>8.5</v>
      </c>
      <c r="H390" s="1">
        <v>4</v>
      </c>
      <c r="I390" s="1">
        <v>5</v>
      </c>
      <c r="J390" s="1">
        <v>4.5</v>
      </c>
      <c r="K390" s="1">
        <v>4</v>
      </c>
      <c r="L390" s="1">
        <v>1</v>
      </c>
      <c r="M390" s="4">
        <v>4296</v>
      </c>
      <c r="N390" s="1">
        <v>6224</v>
      </c>
      <c r="O390" s="1">
        <v>17758</v>
      </c>
      <c r="P390" s="1">
        <v>11534</v>
      </c>
      <c r="Q390" s="1" t="s">
        <v>42</v>
      </c>
      <c r="S390" s="1" t="s">
        <v>42</v>
      </c>
      <c r="T390" s="1" t="s">
        <v>51</v>
      </c>
      <c r="U390" s="1">
        <v>1132</v>
      </c>
      <c r="V390" s="5">
        <v>44427</v>
      </c>
      <c r="W390" s="5">
        <v>43133</v>
      </c>
      <c r="AB390" s="1" t="s">
        <v>44</v>
      </c>
      <c r="AF390" s="1">
        <v>10019</v>
      </c>
      <c r="AI390" s="1" t="s">
        <v>201</v>
      </c>
      <c r="AJ390" s="1">
        <v>2020</v>
      </c>
      <c r="AK390" s="1" t="s">
        <v>55</v>
      </c>
      <c r="AL390" s="1">
        <v>179</v>
      </c>
    </row>
    <row r="391" spans="1:38" x14ac:dyDescent="0.2">
      <c r="A391" s="2" t="str">
        <f>HYPERLINK("https://www.compass.com/listing/53-west-53rd-street-unit-17b-manhattan-ny-10019/755635252038133737/","53 W 53rd St, Unit 17B")</f>
        <v>53 W 53rd St, Unit 17B</v>
      </c>
      <c r="B391" s="2" t="str">
        <f>HYPERLINK("https://www.compass.com/building/53-west-53-manhattan-ny/281946357818781477/","53 West 53")</f>
        <v>53 West 53</v>
      </c>
      <c r="C391" s="1" t="s">
        <v>139</v>
      </c>
      <c r="D391" s="1" t="s">
        <v>41</v>
      </c>
      <c r="E391" s="3">
        <v>14880000</v>
      </c>
      <c r="F391" s="1">
        <v>3526.0663507109002</v>
      </c>
      <c r="G391" s="1">
        <v>7</v>
      </c>
      <c r="H391" s="1">
        <v>4</v>
      </c>
      <c r="I391" s="1">
        <v>4</v>
      </c>
      <c r="J391" s="1">
        <v>3.5</v>
      </c>
      <c r="K391" s="1">
        <v>3</v>
      </c>
      <c r="L391" s="1">
        <v>1</v>
      </c>
      <c r="M391" s="4">
        <v>4220</v>
      </c>
      <c r="N391" s="1">
        <v>9208</v>
      </c>
      <c r="O391" s="1">
        <v>13040</v>
      </c>
      <c r="P391" s="1">
        <v>3832</v>
      </c>
      <c r="Q391" s="1" t="s">
        <v>42</v>
      </c>
      <c r="S391" s="1" t="s">
        <v>42</v>
      </c>
      <c r="T391" s="1" t="s">
        <v>51</v>
      </c>
      <c r="U391" s="1">
        <v>136</v>
      </c>
      <c r="V391" s="5">
        <v>44427</v>
      </c>
      <c r="W391" s="5">
        <v>44291</v>
      </c>
      <c r="X391" s="1">
        <v>1</v>
      </c>
      <c r="AB391" s="1" t="s">
        <v>44</v>
      </c>
      <c r="AF391" s="1">
        <v>10019</v>
      </c>
      <c r="AI391" s="1" t="s">
        <v>63</v>
      </c>
      <c r="AJ391" s="1">
        <v>2018</v>
      </c>
      <c r="AK391" s="1" t="s">
        <v>49</v>
      </c>
      <c r="AL391" s="1">
        <v>145</v>
      </c>
    </row>
    <row r="392" spans="1:38" x14ac:dyDescent="0.2">
      <c r="A392" s="2" t="str">
        <f>HYPERLINK("https://www.compass.com/listing/111-west-57th-street-unit-ph72-manhattan-ny-10019/603508162443855905/","111 W 57th St, Unit PH72")</f>
        <v>111 W 57th St, Unit PH72</v>
      </c>
      <c r="B392" s="2" t="str">
        <f t="shared" ref="B392:B393" si="49">HYPERLINK("https://www.compass.com/building/111-w-57th-st-manhattan-ny-10019/282058921823206277/","111 W 57th St")</f>
        <v>111 W 57th St</v>
      </c>
      <c r="C392" s="1" t="s">
        <v>139</v>
      </c>
      <c r="D392" s="1" t="s">
        <v>41</v>
      </c>
      <c r="E392" s="3">
        <v>66000000</v>
      </c>
      <c r="F392" s="1">
        <v>9256.6619915848496</v>
      </c>
      <c r="G392" s="1">
        <v>8</v>
      </c>
      <c r="H392" s="1">
        <v>4</v>
      </c>
      <c r="I392" s="1">
        <v>6</v>
      </c>
      <c r="J392" s="1">
        <v>5.5</v>
      </c>
      <c r="K392" s="1">
        <v>5</v>
      </c>
      <c r="L392" s="1">
        <v>1</v>
      </c>
      <c r="M392" s="4">
        <v>7130</v>
      </c>
      <c r="N392" s="1">
        <v>16494</v>
      </c>
      <c r="O392" s="1">
        <v>29715</v>
      </c>
      <c r="P392" s="1">
        <v>13221</v>
      </c>
      <c r="Q392" s="1" t="s">
        <v>42</v>
      </c>
      <c r="S392" s="1" t="s">
        <v>42</v>
      </c>
      <c r="T392" s="1" t="s">
        <v>51</v>
      </c>
      <c r="U392" s="1">
        <v>343</v>
      </c>
      <c r="V392" s="5">
        <v>44427</v>
      </c>
      <c r="W392" s="5">
        <v>44084</v>
      </c>
      <c r="X392" s="1">
        <v>66000000</v>
      </c>
      <c r="AB392" s="1" t="s">
        <v>44</v>
      </c>
      <c r="AF392" s="1">
        <v>10019</v>
      </c>
      <c r="AI392" s="1" t="s">
        <v>216</v>
      </c>
      <c r="AJ392" s="1">
        <v>2016</v>
      </c>
      <c r="AK392" s="1" t="s">
        <v>49</v>
      </c>
      <c r="AL392" s="1">
        <v>60</v>
      </c>
    </row>
    <row r="393" spans="1:38" x14ac:dyDescent="0.2">
      <c r="A393" s="2" t="str">
        <f>HYPERLINK("https://www.compass.com/listing/111-west-57th-street-unit-17s-manhattan-ny-10019/451382814492092793/","111 W 57th St, Unit 17S")</f>
        <v>111 W 57th St, Unit 17S</v>
      </c>
      <c r="B393" s="2" t="str">
        <f t="shared" si="49"/>
        <v>111 W 57th St</v>
      </c>
      <c r="C393" s="1" t="s">
        <v>139</v>
      </c>
      <c r="D393" s="1" t="s">
        <v>41</v>
      </c>
      <c r="E393" s="3">
        <v>17995000</v>
      </c>
      <c r="F393" s="1">
        <v>3774.1191275167698</v>
      </c>
      <c r="G393" s="1">
        <v>5.5</v>
      </c>
      <c r="H393" s="1">
        <v>4</v>
      </c>
      <c r="I393" s="1">
        <v>6</v>
      </c>
      <c r="J393" s="1">
        <v>5.5</v>
      </c>
      <c r="K393" s="1">
        <v>5</v>
      </c>
      <c r="L393" s="1">
        <v>1</v>
      </c>
      <c r="M393" s="4">
        <v>4768</v>
      </c>
      <c r="N393" s="1">
        <v>8578</v>
      </c>
      <c r="O393" s="1">
        <v>15453</v>
      </c>
      <c r="P393" s="1">
        <v>6875</v>
      </c>
      <c r="Q393" s="1" t="s">
        <v>42</v>
      </c>
      <c r="S393" s="1" t="s">
        <v>42</v>
      </c>
      <c r="T393" s="1" t="s">
        <v>51</v>
      </c>
      <c r="U393" s="1">
        <v>3116</v>
      </c>
      <c r="V393" s="5">
        <v>44427</v>
      </c>
      <c r="W393" s="5">
        <v>41217</v>
      </c>
      <c r="X393" s="1">
        <v>17995000</v>
      </c>
      <c r="AB393" s="1" t="s">
        <v>44</v>
      </c>
      <c r="AF393" s="1">
        <v>10019</v>
      </c>
      <c r="AI393" s="1" t="s">
        <v>197</v>
      </c>
      <c r="AJ393" s="1">
        <v>2016</v>
      </c>
      <c r="AK393" s="1" t="s">
        <v>49</v>
      </c>
      <c r="AL393" s="1">
        <v>60</v>
      </c>
    </row>
    <row r="394" spans="1:38" x14ac:dyDescent="0.2">
      <c r="A394" s="2" t="str">
        <f>HYPERLINK("https://www.compass.com/listing/53-west-53rd-street-unit-64-manhattan-ny-10019/755635792108754409/","53 W 53rd St, Unit 64")</f>
        <v>53 W 53rd St, Unit 64</v>
      </c>
      <c r="B394" s="2" t="str">
        <f t="shared" ref="B394:B395" si="50">HYPERLINK("https://www.compass.com/building/53-west-53-manhattan-ny/281946357818781477/","53 West 53")</f>
        <v>53 West 53</v>
      </c>
      <c r="C394" s="1" t="s">
        <v>139</v>
      </c>
      <c r="D394" s="1" t="s">
        <v>41</v>
      </c>
      <c r="E394" s="3">
        <v>46505000</v>
      </c>
      <c r="F394" s="1">
        <v>7028.1094151428097</v>
      </c>
      <c r="G394" s="1">
        <v>7</v>
      </c>
      <c r="H394" s="1">
        <v>4</v>
      </c>
      <c r="I394" s="1">
        <v>5</v>
      </c>
      <c r="J394" s="1">
        <v>4.5</v>
      </c>
      <c r="K394" s="1">
        <v>4</v>
      </c>
      <c r="L394" s="1">
        <v>1</v>
      </c>
      <c r="M394" s="4">
        <v>6617</v>
      </c>
      <c r="N394" s="1">
        <v>16541</v>
      </c>
      <c r="O394" s="1">
        <v>23426</v>
      </c>
      <c r="P394" s="1">
        <v>6885</v>
      </c>
      <c r="Q394" s="1" t="s">
        <v>42</v>
      </c>
      <c r="S394" s="1" t="s">
        <v>42</v>
      </c>
      <c r="T394" s="1" t="s">
        <v>51</v>
      </c>
      <c r="U394" s="1">
        <v>136</v>
      </c>
      <c r="V394" s="5">
        <v>44427</v>
      </c>
      <c r="W394" s="5">
        <v>44291</v>
      </c>
      <c r="X394" s="1">
        <v>1</v>
      </c>
      <c r="AB394" s="1" t="s">
        <v>44</v>
      </c>
      <c r="AF394" s="1">
        <v>10019</v>
      </c>
      <c r="AJ394" s="1">
        <v>2018</v>
      </c>
      <c r="AK394" s="1" t="s">
        <v>49</v>
      </c>
      <c r="AL394" s="1">
        <v>145</v>
      </c>
    </row>
    <row r="395" spans="1:38" x14ac:dyDescent="0.2">
      <c r="A395" s="2" t="str">
        <f>HYPERLINK("https://www.compass.com/listing/53-west-53rd-street-unit-ph78-manhattan-ny-10019/756560270834762481/","53 W 53rd St, Unit PH78")</f>
        <v>53 W 53rd St, Unit PH78</v>
      </c>
      <c r="B395" s="2" t="str">
        <f t="shared" si="50"/>
        <v>53 West 53</v>
      </c>
      <c r="C395" s="1" t="s">
        <v>139</v>
      </c>
      <c r="D395" s="1" t="s">
        <v>41</v>
      </c>
      <c r="E395" s="3">
        <v>64730000</v>
      </c>
      <c r="F395" s="1">
        <v>8682.7632461435205</v>
      </c>
      <c r="G395" s="1">
        <v>7</v>
      </c>
      <c r="H395" s="1">
        <v>4</v>
      </c>
      <c r="I395" s="1">
        <v>4</v>
      </c>
      <c r="J395" s="1">
        <v>3.5</v>
      </c>
      <c r="K395" s="1">
        <v>3</v>
      </c>
      <c r="L395" s="1">
        <v>1</v>
      </c>
      <c r="M395" s="4">
        <v>7455</v>
      </c>
      <c r="N395" s="1">
        <v>19591</v>
      </c>
      <c r="O395" s="1">
        <v>27745</v>
      </c>
      <c r="P395" s="1">
        <v>8154</v>
      </c>
      <c r="Q395" s="1" t="s">
        <v>42</v>
      </c>
      <c r="S395" s="1" t="s">
        <v>42</v>
      </c>
      <c r="T395" s="1" t="s">
        <v>51</v>
      </c>
      <c r="U395" s="1">
        <v>136</v>
      </c>
      <c r="V395" s="5">
        <v>44427</v>
      </c>
      <c r="W395" s="5">
        <v>44291</v>
      </c>
      <c r="X395" s="1">
        <v>1</v>
      </c>
      <c r="AB395" s="1" t="s">
        <v>44</v>
      </c>
      <c r="AF395" s="1">
        <v>10019</v>
      </c>
      <c r="AJ395" s="1">
        <v>2018</v>
      </c>
      <c r="AK395" s="1" t="s">
        <v>49</v>
      </c>
      <c r="AL395" s="1">
        <v>145</v>
      </c>
    </row>
    <row r="396" spans="1:38" x14ac:dyDescent="0.2">
      <c r="A396" s="2" t="str">
        <f>HYPERLINK("https://www.compass.com/listing/15-hudson-yards-unit-25b-manhattan-ny-10001/606449181357708465/","15 Hudson Yards, Unit 25B")</f>
        <v>15 Hudson Yards, Unit 25B</v>
      </c>
      <c r="B396" s="2" t="str">
        <f>HYPERLINK("https://www.compass.com/building/fifteen-hudson-yards-manhattan-ny/282058587512011909/","Fifteen Hudson Yards")</f>
        <v>Fifteen Hudson Yards</v>
      </c>
      <c r="C396" s="1" t="s">
        <v>77</v>
      </c>
      <c r="D396" s="1" t="s">
        <v>41</v>
      </c>
      <c r="E396" s="3">
        <v>2050000</v>
      </c>
      <c r="F396" s="1">
        <v>2408.9306698002301</v>
      </c>
      <c r="G396" s="1">
        <v>3</v>
      </c>
      <c r="H396" s="1">
        <v>1</v>
      </c>
      <c r="I396" s="1">
        <v>1</v>
      </c>
      <c r="J396" s="1">
        <v>1</v>
      </c>
      <c r="K396" s="1">
        <v>1</v>
      </c>
      <c r="M396" s="1">
        <v>851</v>
      </c>
      <c r="N396" s="1">
        <v>1970</v>
      </c>
      <c r="O396" s="1">
        <v>1995</v>
      </c>
      <c r="P396" s="1">
        <v>25</v>
      </c>
      <c r="Q396" s="1" t="s">
        <v>42</v>
      </c>
      <c r="S396" s="1" t="s">
        <v>42</v>
      </c>
      <c r="T396" s="1" t="s">
        <v>51</v>
      </c>
      <c r="U396" s="1">
        <v>302</v>
      </c>
      <c r="V396" s="5">
        <v>44427</v>
      </c>
      <c r="W396" s="5">
        <v>44082</v>
      </c>
      <c r="X396" s="1">
        <v>1995000</v>
      </c>
      <c r="AB396" s="1" t="s">
        <v>44</v>
      </c>
      <c r="AF396" s="1">
        <v>10001</v>
      </c>
      <c r="AJ396" s="1">
        <v>2018</v>
      </c>
      <c r="AK396" s="1" t="s">
        <v>49</v>
      </c>
      <c r="AL396" s="1">
        <v>285</v>
      </c>
    </row>
    <row r="397" spans="1:38" x14ac:dyDescent="0.2">
      <c r="A397" s="2" t="str">
        <f>HYPERLINK("https://www.compass.com/listing/695-1st-avenue-unit-40k-manhattan-ny-10016/785104495800648513/","695 1st Ave, Unit 40K")</f>
        <v>695 1st Ave, Unit 40K</v>
      </c>
      <c r="B397" s="2" t="str">
        <f>HYPERLINK("https://www.compass.com/building/one-united-nations-park-manhattan-ny/282058773630059653/","One United Nations Park")</f>
        <v>One United Nations Park</v>
      </c>
      <c r="C397" s="1" t="s">
        <v>59</v>
      </c>
      <c r="D397" s="1" t="s">
        <v>41</v>
      </c>
      <c r="E397" s="3">
        <v>10400000</v>
      </c>
      <c r="F397" s="1">
        <v>2714.6959018532998</v>
      </c>
      <c r="G397" s="1">
        <v>6</v>
      </c>
      <c r="H397" s="1">
        <v>4</v>
      </c>
      <c r="I397" s="1">
        <v>5</v>
      </c>
      <c r="J397" s="1">
        <v>4.5</v>
      </c>
      <c r="K397" s="1">
        <v>4</v>
      </c>
      <c r="L397" s="1">
        <v>1</v>
      </c>
      <c r="M397" s="4">
        <v>3831</v>
      </c>
      <c r="N397" s="1">
        <v>5136</v>
      </c>
      <c r="O397" s="1">
        <v>11235</v>
      </c>
      <c r="P397" s="1">
        <v>6099</v>
      </c>
      <c r="Q397" s="1" t="s">
        <v>42</v>
      </c>
      <c r="S397" s="1" t="s">
        <v>42</v>
      </c>
      <c r="T397" s="1" t="s">
        <v>51</v>
      </c>
      <c r="U397" s="1">
        <v>195</v>
      </c>
      <c r="V397" s="5">
        <v>44414</v>
      </c>
      <c r="W397" s="5">
        <v>44232</v>
      </c>
      <c r="X397" s="1">
        <v>10400000</v>
      </c>
      <c r="AB397" s="1" t="s">
        <v>44</v>
      </c>
      <c r="AF397" s="1">
        <v>10016</v>
      </c>
      <c r="AJ397" s="1">
        <v>2019</v>
      </c>
      <c r="AK397" s="1" t="s">
        <v>46</v>
      </c>
      <c r="AL397" s="1">
        <v>148</v>
      </c>
    </row>
    <row r="398" spans="1:38" x14ac:dyDescent="0.2">
      <c r="A398" s="2" t="str">
        <f>HYPERLINK("https://www.compass.com/listing/77-east-110th-street-unit-3b-manhattan-ny-10029/767828378547319721/","77 E 110th St, Unit 3B")</f>
        <v>77 E 110th St, Unit 3B</v>
      </c>
      <c r="B398" s="2" t="str">
        <f>HYPERLINK("https://www.compass.com/building/77-condominiums-manhattan-ny/281992190891244549/","77 Condominiums")</f>
        <v>77 Condominiums</v>
      </c>
      <c r="C398" s="1" t="s">
        <v>85</v>
      </c>
      <c r="D398" s="1" t="s">
        <v>41</v>
      </c>
      <c r="E398" s="3">
        <v>850000</v>
      </c>
      <c r="F398" s="1">
        <v>893.79600420609802</v>
      </c>
      <c r="G398" s="1">
        <v>4.5</v>
      </c>
      <c r="H398" s="1">
        <v>2</v>
      </c>
      <c r="I398" s="1">
        <v>2</v>
      </c>
      <c r="J398" s="1">
        <v>1.5</v>
      </c>
      <c r="K398" s="1">
        <v>1</v>
      </c>
      <c r="L398" s="1">
        <v>1</v>
      </c>
      <c r="M398" s="1">
        <v>951</v>
      </c>
      <c r="N398" s="1">
        <v>384</v>
      </c>
      <c r="O398" s="1">
        <v>428</v>
      </c>
      <c r="P398" s="1">
        <v>44</v>
      </c>
      <c r="Q398" s="1" t="s">
        <v>42</v>
      </c>
      <c r="S398" s="1" t="s">
        <v>42</v>
      </c>
      <c r="T398" s="1" t="s">
        <v>51</v>
      </c>
      <c r="U398" s="1">
        <v>116</v>
      </c>
      <c r="V398" s="5">
        <v>44427</v>
      </c>
      <c r="W398" s="5">
        <v>44311</v>
      </c>
      <c r="X398" s="1">
        <v>899000</v>
      </c>
      <c r="AB398" s="1" t="s">
        <v>44</v>
      </c>
      <c r="AF398" s="1">
        <v>10029</v>
      </c>
      <c r="AI398" s="1" t="s">
        <v>48</v>
      </c>
      <c r="AJ398" s="1">
        <v>2013</v>
      </c>
      <c r="AK398" s="1" t="s">
        <v>55</v>
      </c>
      <c r="AL398" s="1">
        <v>20</v>
      </c>
    </row>
    <row r="399" spans="1:38" x14ac:dyDescent="0.2">
      <c r="A399" s="2" t="str">
        <f>HYPERLINK("https://www.compass.com/listing/695-1st-avenue-unit-28d-manhattan-ny-10016/465264166526505785/","695 1st Ave, Unit 28D")</f>
        <v>695 1st Ave, Unit 28D</v>
      </c>
      <c r="B399" s="2" t="str">
        <f t="shared" ref="B399:B400" si="51">HYPERLINK("https://www.compass.com/building/one-united-nations-park-manhattan-ny/282058773630059653/","One United Nations Park")</f>
        <v>One United Nations Park</v>
      </c>
      <c r="C399" s="1" t="s">
        <v>59</v>
      </c>
      <c r="D399" s="1" t="s">
        <v>41</v>
      </c>
      <c r="E399" s="3">
        <v>6500000</v>
      </c>
      <c r="F399" s="1">
        <v>2178.2841823056301</v>
      </c>
      <c r="G399" s="1">
        <v>6</v>
      </c>
      <c r="H399" s="1">
        <v>4</v>
      </c>
      <c r="I399" s="1">
        <v>5</v>
      </c>
      <c r="J399" s="1">
        <v>4.5</v>
      </c>
      <c r="K399" s="1">
        <v>4</v>
      </c>
      <c r="L399" s="1">
        <v>1</v>
      </c>
      <c r="M399" s="4">
        <v>2984</v>
      </c>
      <c r="N399" s="1">
        <v>4155</v>
      </c>
      <c r="O399" s="1">
        <v>9089</v>
      </c>
      <c r="P399" s="1">
        <v>4934</v>
      </c>
      <c r="Q399" s="1" t="s">
        <v>42</v>
      </c>
      <c r="S399" s="1" t="s">
        <v>42</v>
      </c>
      <c r="T399" s="1" t="s">
        <v>51</v>
      </c>
      <c r="U399" s="1">
        <v>440</v>
      </c>
      <c r="V399" s="5">
        <v>44414</v>
      </c>
      <c r="W399" s="5">
        <v>43893</v>
      </c>
      <c r="X399" s="1">
        <v>8100000</v>
      </c>
      <c r="AB399" s="1" t="s">
        <v>44</v>
      </c>
      <c r="AF399" s="1">
        <v>10016</v>
      </c>
      <c r="AI399" s="1" t="s">
        <v>63</v>
      </c>
      <c r="AJ399" s="1">
        <v>2019</v>
      </c>
      <c r="AK399" s="1" t="s">
        <v>46</v>
      </c>
      <c r="AL399" s="1">
        <v>148</v>
      </c>
    </row>
    <row r="400" spans="1:38" x14ac:dyDescent="0.2">
      <c r="A400" s="2" t="str">
        <f>HYPERLINK("https://www.compass.com/listing/695-1st-avenue-unit-29h-manhattan-ny-10016/546391138272411361/","695 1st Ave, Unit 29H")</f>
        <v>695 1st Ave, Unit 29H</v>
      </c>
      <c r="B400" s="2" t="str">
        <f t="shared" si="51"/>
        <v>One United Nations Park</v>
      </c>
      <c r="C400" s="1" t="s">
        <v>59</v>
      </c>
      <c r="D400" s="1" t="s">
        <v>41</v>
      </c>
      <c r="E400" s="3">
        <v>3675000</v>
      </c>
      <c r="F400" s="1">
        <v>1704.54545454545</v>
      </c>
      <c r="G400" s="1">
        <v>5</v>
      </c>
      <c r="H400" s="1">
        <v>3</v>
      </c>
      <c r="I400" s="1">
        <v>4</v>
      </c>
      <c r="J400" s="1">
        <v>3.5</v>
      </c>
      <c r="K400" s="1">
        <v>3</v>
      </c>
      <c r="L400" s="1">
        <v>1</v>
      </c>
      <c r="M400" s="4">
        <v>2156</v>
      </c>
      <c r="N400" s="1">
        <v>2901</v>
      </c>
      <c r="O400" s="1">
        <v>6346</v>
      </c>
      <c r="P400" s="1">
        <v>3445</v>
      </c>
      <c r="Q400" s="1" t="s">
        <v>42</v>
      </c>
      <c r="S400" s="1" t="s">
        <v>42</v>
      </c>
      <c r="T400" s="1" t="s">
        <v>51</v>
      </c>
      <c r="U400" s="1">
        <v>422</v>
      </c>
      <c r="V400" s="5">
        <v>44414</v>
      </c>
      <c r="W400" s="5">
        <v>44005</v>
      </c>
      <c r="X400" s="1">
        <v>4595000</v>
      </c>
      <c r="AB400" s="1" t="s">
        <v>44</v>
      </c>
      <c r="AF400" s="1">
        <v>10016</v>
      </c>
      <c r="AI400" s="1" t="s">
        <v>135</v>
      </c>
      <c r="AJ400" s="1">
        <v>2019</v>
      </c>
      <c r="AK400" s="1" t="s">
        <v>46</v>
      </c>
      <c r="AL400" s="1">
        <v>148</v>
      </c>
    </row>
    <row r="401" spans="1:38" x14ac:dyDescent="0.2">
      <c r="A401" s="2" t="str">
        <f>HYPERLINK("https://www.compass.com/listing/252-south-street-unit-80b-manhattan-ny-10002/820684766846206041/","252 South St, Unit 80B")</f>
        <v>252 South St, Unit 80B</v>
      </c>
      <c r="B401" s="2" t="str">
        <f>HYPERLINK("https://www.compass.com/building/one-manhattan-square-manhattan-ny/294844950218926165/","One Manhattan Square")</f>
        <v>One Manhattan Square</v>
      </c>
      <c r="C401" s="1" t="s">
        <v>47</v>
      </c>
      <c r="D401" s="1" t="s">
        <v>41</v>
      </c>
      <c r="E401" s="3">
        <v>2900000</v>
      </c>
      <c r="F401" s="1">
        <v>966666.66666666605</v>
      </c>
      <c r="G401" s="1">
        <v>5</v>
      </c>
      <c r="H401" s="1">
        <v>2</v>
      </c>
      <c r="J401" s="1">
        <v>2</v>
      </c>
      <c r="M401" s="1">
        <v>3</v>
      </c>
      <c r="N401" s="1">
        <v>1550</v>
      </c>
      <c r="O401" s="1">
        <v>1575</v>
      </c>
      <c r="P401" s="1">
        <v>25</v>
      </c>
      <c r="S401" s="1" t="s">
        <v>42</v>
      </c>
      <c r="T401" s="1" t="s">
        <v>51</v>
      </c>
      <c r="U401" s="1">
        <v>43</v>
      </c>
      <c r="V401" s="5">
        <v>44384</v>
      </c>
      <c r="W401" s="5">
        <v>44384</v>
      </c>
      <c r="X401" s="1">
        <v>2900000</v>
      </c>
      <c r="AB401" s="1" t="s">
        <v>44</v>
      </c>
      <c r="AF401" s="1">
        <v>10002</v>
      </c>
      <c r="AI401" s="1" t="s">
        <v>218</v>
      </c>
      <c r="AJ401" s="1">
        <v>2019</v>
      </c>
      <c r="AK401" s="1" t="s">
        <v>49</v>
      </c>
      <c r="AL401" s="1">
        <v>787</v>
      </c>
    </row>
    <row r="402" spans="1:38" x14ac:dyDescent="0.2">
      <c r="A402" s="2" t="str">
        <f>HYPERLINK("https://www.compass.com/listing/35-hudson-yards-unit-7301-manhattan-ny-10001/795922784803075137/","35 Hudson Yards, Unit 7301")</f>
        <v>35 Hudson Yards, Unit 7301</v>
      </c>
      <c r="B402" s="2" t="str">
        <f>HYPERLINK("https://www.compass.com/building/35-hudson-yards-manhattan-ny/292773408544917349/","35 Hudson Yards")</f>
        <v>35 Hudson Yards</v>
      </c>
      <c r="C402" s="1" t="s">
        <v>77</v>
      </c>
      <c r="D402" s="1" t="s">
        <v>41</v>
      </c>
      <c r="E402" s="3">
        <v>14995000</v>
      </c>
      <c r="F402" s="1">
        <v>3896.8295218295202</v>
      </c>
      <c r="G402" s="1">
        <v>7.5</v>
      </c>
      <c r="H402" s="1">
        <v>4</v>
      </c>
      <c r="I402" s="1">
        <v>5</v>
      </c>
      <c r="J402" s="1">
        <v>4.5</v>
      </c>
      <c r="K402" s="1">
        <v>4</v>
      </c>
      <c r="L402" s="1">
        <v>1</v>
      </c>
      <c r="M402" s="4">
        <v>3848</v>
      </c>
      <c r="N402" s="1">
        <v>11800</v>
      </c>
      <c r="O402" s="1">
        <v>12622</v>
      </c>
      <c r="P402" s="1">
        <v>822</v>
      </c>
      <c r="Q402" s="1" t="s">
        <v>42</v>
      </c>
      <c r="S402" s="1" t="s">
        <v>42</v>
      </c>
      <c r="T402" s="1" t="s">
        <v>51</v>
      </c>
      <c r="U402" s="1">
        <v>78</v>
      </c>
      <c r="V402" s="5">
        <v>44424</v>
      </c>
      <c r="W402" s="5">
        <v>44349</v>
      </c>
      <c r="X402" s="1">
        <v>14995000</v>
      </c>
      <c r="AB402" s="1" t="s">
        <v>44</v>
      </c>
      <c r="AF402" s="1">
        <v>10001</v>
      </c>
      <c r="AI402" s="1" t="s">
        <v>48</v>
      </c>
      <c r="AJ402" s="1">
        <v>2019</v>
      </c>
      <c r="AK402" s="1" t="s">
        <v>108</v>
      </c>
      <c r="AL402" s="1">
        <v>143</v>
      </c>
    </row>
    <row r="403" spans="1:38" x14ac:dyDescent="0.2">
      <c r="A403" s="2" t="str">
        <f>HYPERLINK("https://www.compass.com/listing/15-hudson-yards-unit-26d-manhattan-ny-10001/763830604936288993/","15 Hudson Yards, Unit 26D")</f>
        <v>15 Hudson Yards, Unit 26D</v>
      </c>
      <c r="B403" s="2" t="str">
        <f>HYPERLINK("https://www.compass.com/building/fifteen-hudson-yards-manhattan-ny/282058587512011909/","Fifteen Hudson Yards")</f>
        <v>Fifteen Hudson Yards</v>
      </c>
      <c r="C403" s="1" t="s">
        <v>77</v>
      </c>
      <c r="D403" s="1" t="s">
        <v>41</v>
      </c>
      <c r="E403" s="3">
        <v>3995000</v>
      </c>
      <c r="F403" s="1">
        <v>2542.9662635264099</v>
      </c>
      <c r="G403" s="1">
        <v>3.5</v>
      </c>
      <c r="H403" s="1">
        <v>2</v>
      </c>
      <c r="I403" s="1">
        <v>3</v>
      </c>
      <c r="J403" s="1">
        <v>2.5</v>
      </c>
      <c r="K403" s="1">
        <v>2</v>
      </c>
      <c r="L403" s="1">
        <v>1</v>
      </c>
      <c r="M403" s="4">
        <v>1571</v>
      </c>
      <c r="N403" s="1">
        <v>3571</v>
      </c>
      <c r="O403" s="1">
        <v>3617</v>
      </c>
      <c r="P403" s="1">
        <v>46</v>
      </c>
      <c r="Q403" s="1" t="s">
        <v>42</v>
      </c>
      <c r="S403" s="1" t="s">
        <v>42</v>
      </c>
      <c r="T403" s="1" t="s">
        <v>51</v>
      </c>
      <c r="U403" s="1">
        <v>140</v>
      </c>
      <c r="V403" s="5">
        <v>44427</v>
      </c>
      <c r="W403" s="5">
        <v>44287</v>
      </c>
      <c r="X403" s="1">
        <v>4100000</v>
      </c>
      <c r="AB403" s="1" t="s">
        <v>44</v>
      </c>
      <c r="AF403" s="1">
        <v>10001</v>
      </c>
      <c r="AJ403" s="1">
        <v>2018</v>
      </c>
      <c r="AK403" s="1" t="s">
        <v>49</v>
      </c>
      <c r="AL403" s="1">
        <v>285</v>
      </c>
    </row>
    <row r="404" spans="1:38" x14ac:dyDescent="0.2">
      <c r="A404" s="2" t="str">
        <f>HYPERLINK("https://www.compass.com/listing/138-east-50th-street-unit-14c-manhattan-ny-10022/774029619169008201/","138 E 50th St, Unit 14C")</f>
        <v>138 E 50th St, Unit 14C</v>
      </c>
      <c r="B404" s="2" t="str">
        <f>HYPERLINK("https://www.compass.com/building/the-centrale-manhattan-ny/281941497232811621/","The Centrale")</f>
        <v>The Centrale</v>
      </c>
      <c r="C404" s="1" t="s">
        <v>116</v>
      </c>
      <c r="D404" s="1" t="s">
        <v>41</v>
      </c>
      <c r="E404" s="3">
        <v>2475000</v>
      </c>
      <c r="F404" s="1">
        <v>1842.88905435591</v>
      </c>
      <c r="G404" s="1">
        <v>4</v>
      </c>
      <c r="H404" s="1">
        <v>2</v>
      </c>
      <c r="I404" s="1">
        <v>2</v>
      </c>
      <c r="J404" s="1">
        <v>2</v>
      </c>
      <c r="K404" s="1">
        <v>2</v>
      </c>
      <c r="M404" s="4">
        <v>1343</v>
      </c>
      <c r="N404" s="1">
        <v>1329</v>
      </c>
      <c r="O404" s="1">
        <v>3308</v>
      </c>
      <c r="P404" s="1">
        <v>1979</v>
      </c>
      <c r="Q404" s="1" t="s">
        <v>42</v>
      </c>
      <c r="S404" s="1" t="s">
        <v>42</v>
      </c>
      <c r="T404" s="1" t="s">
        <v>51</v>
      </c>
      <c r="U404" s="1">
        <v>108</v>
      </c>
      <c r="V404" s="5">
        <v>44427</v>
      </c>
      <c r="W404" s="5">
        <v>44319</v>
      </c>
      <c r="X404" s="1">
        <v>1</v>
      </c>
      <c r="AB404" s="1" t="s">
        <v>44</v>
      </c>
      <c r="AF404" s="1">
        <v>10022</v>
      </c>
      <c r="AI404" s="1" t="s">
        <v>48</v>
      </c>
      <c r="AJ404" s="1">
        <v>2019</v>
      </c>
      <c r="AK404" s="1" t="s">
        <v>55</v>
      </c>
      <c r="AL404" s="1">
        <v>124</v>
      </c>
    </row>
    <row r="405" spans="1:38" x14ac:dyDescent="0.2">
      <c r="A405" s="2" t="str">
        <f>HYPERLINK("https://www.compass.com/listing/15-hudson-yards-unit-39d-manhattan-ny-10001/555505273631356641/","15 Hudson Yards, Unit 39D")</f>
        <v>15 Hudson Yards, Unit 39D</v>
      </c>
      <c r="B405" s="2" t="str">
        <f>HYPERLINK("https://www.compass.com/building/fifteen-hudson-yards-manhattan-ny/282058587512011909/","Fifteen Hudson Yards")</f>
        <v>Fifteen Hudson Yards</v>
      </c>
      <c r="C405" s="1" t="s">
        <v>77</v>
      </c>
      <c r="D405" s="1" t="s">
        <v>41</v>
      </c>
      <c r="E405" s="3">
        <v>3950000</v>
      </c>
      <c r="F405" s="1">
        <v>2540.1929260450102</v>
      </c>
      <c r="G405" s="1">
        <v>5</v>
      </c>
      <c r="H405" s="1">
        <v>2</v>
      </c>
      <c r="J405" s="1">
        <v>2.5</v>
      </c>
      <c r="M405" s="4">
        <v>1555</v>
      </c>
      <c r="N405" s="1">
        <v>3500</v>
      </c>
      <c r="O405" s="1">
        <v>3556</v>
      </c>
      <c r="P405" s="1">
        <v>56</v>
      </c>
      <c r="S405" s="1" t="s">
        <v>42</v>
      </c>
      <c r="T405" s="1" t="s">
        <v>51</v>
      </c>
      <c r="U405" s="1">
        <v>409</v>
      </c>
      <c r="V405" s="5">
        <v>44386</v>
      </c>
      <c r="W405" s="5">
        <v>44017</v>
      </c>
      <c r="X405" s="1">
        <v>4350000</v>
      </c>
      <c r="AB405" s="1" t="s">
        <v>44</v>
      </c>
      <c r="AF405" s="1">
        <v>10001</v>
      </c>
      <c r="AI405" s="1" t="s">
        <v>114</v>
      </c>
      <c r="AJ405" s="1">
        <v>2018</v>
      </c>
      <c r="AK405" s="1" t="s">
        <v>46</v>
      </c>
      <c r="AL405" s="1">
        <v>285</v>
      </c>
    </row>
    <row r="406" spans="1:38" x14ac:dyDescent="0.2">
      <c r="A406" s="2" t="str">
        <f>HYPERLINK("https://www.compass.com/listing/35-hudson-yards-unit-6403-manhattan-ny-10001/784248532771666945/","35 Hudson Yards, Unit 6403")</f>
        <v>35 Hudson Yards, Unit 6403</v>
      </c>
      <c r="B406" s="2" t="str">
        <f>HYPERLINK("https://www.compass.com/building/35-hudson-yards-manhattan-ny/292773408544917349/","35 Hudson Yards")</f>
        <v>35 Hudson Yards</v>
      </c>
      <c r="C406" s="1" t="s">
        <v>77</v>
      </c>
      <c r="D406" s="1" t="s">
        <v>41</v>
      </c>
      <c r="E406" s="3">
        <v>8750000</v>
      </c>
      <c r="F406" s="1">
        <v>3212.1879588839902</v>
      </c>
      <c r="G406" s="1">
        <v>5.5</v>
      </c>
      <c r="H406" s="1">
        <v>3</v>
      </c>
      <c r="I406" s="1">
        <v>5</v>
      </c>
      <c r="J406" s="1">
        <v>4.5</v>
      </c>
      <c r="K406" s="1">
        <v>4</v>
      </c>
      <c r="L406" s="1">
        <v>1</v>
      </c>
      <c r="M406" s="4">
        <v>2724</v>
      </c>
      <c r="N406" s="1">
        <v>7767</v>
      </c>
      <c r="O406" s="1">
        <v>8308</v>
      </c>
      <c r="P406" s="1">
        <v>541</v>
      </c>
      <c r="Q406" s="1" t="s">
        <v>42</v>
      </c>
      <c r="S406" s="1" t="s">
        <v>42</v>
      </c>
      <c r="T406" s="1" t="s">
        <v>51</v>
      </c>
      <c r="U406" s="1">
        <v>94</v>
      </c>
      <c r="V406" s="5">
        <v>44423</v>
      </c>
      <c r="W406" s="5">
        <v>44333</v>
      </c>
      <c r="X406" s="1">
        <v>8750000</v>
      </c>
      <c r="AB406" s="1" t="s">
        <v>44</v>
      </c>
      <c r="AF406" s="1">
        <v>10001</v>
      </c>
      <c r="AI406" s="1" t="s">
        <v>111</v>
      </c>
      <c r="AJ406" s="1">
        <v>2019</v>
      </c>
      <c r="AK406" s="1" t="s">
        <v>108</v>
      </c>
      <c r="AL406" s="1">
        <v>143</v>
      </c>
    </row>
    <row r="407" spans="1:38" x14ac:dyDescent="0.2">
      <c r="A407" s="2" t="str">
        <f>HYPERLINK("https://www.compass.com/listing/138-east-50th-street-unit-25c-manhattan-ny-10022/801634819490609265/","138 E 50th St, Unit 25C")</f>
        <v>138 E 50th St, Unit 25C</v>
      </c>
      <c r="B407" s="2" t="str">
        <f>HYPERLINK("https://www.compass.com/building/the-centrale-manhattan-ny/281941497232811621/","The Centrale")</f>
        <v>The Centrale</v>
      </c>
      <c r="C407" s="1" t="s">
        <v>116</v>
      </c>
      <c r="D407" s="1" t="s">
        <v>41</v>
      </c>
      <c r="E407" s="3">
        <v>2740000</v>
      </c>
      <c r="F407" s="1">
        <v>2052.4344569288301</v>
      </c>
      <c r="G407" s="1">
        <v>4</v>
      </c>
      <c r="H407" s="1">
        <v>2</v>
      </c>
      <c r="I407" s="1">
        <v>2</v>
      </c>
      <c r="J407" s="1">
        <v>2</v>
      </c>
      <c r="K407" s="1">
        <v>2</v>
      </c>
      <c r="M407" s="4">
        <v>1335</v>
      </c>
      <c r="N407" s="1">
        <v>1393</v>
      </c>
      <c r="O407" s="1">
        <v>3469</v>
      </c>
      <c r="P407" s="1">
        <v>2076</v>
      </c>
      <c r="Q407" s="1" t="s">
        <v>42</v>
      </c>
      <c r="S407" s="1" t="s">
        <v>42</v>
      </c>
      <c r="T407" s="1" t="s">
        <v>51</v>
      </c>
      <c r="U407" s="1">
        <v>107</v>
      </c>
      <c r="V407" s="5">
        <v>44427</v>
      </c>
      <c r="W407" s="5">
        <v>44320</v>
      </c>
      <c r="X407" s="1">
        <v>1</v>
      </c>
      <c r="AB407" s="1" t="s">
        <v>44</v>
      </c>
      <c r="AF407" s="1">
        <v>10022</v>
      </c>
      <c r="AI407" s="1" t="s">
        <v>118</v>
      </c>
      <c r="AJ407" s="1">
        <v>2019</v>
      </c>
      <c r="AK407" s="1" t="s">
        <v>55</v>
      </c>
      <c r="AL407" s="1">
        <v>124</v>
      </c>
    </row>
    <row r="408" spans="1:38" x14ac:dyDescent="0.2">
      <c r="A408" s="2" t="str">
        <f>HYPERLINK("https://www.compass.com/listing/15-hudson-yards-unit-ph82c-manhattan-ny-10001/781346489092792633/","15 Hudson Yards, Unit PH82C")</f>
        <v>15 Hudson Yards, Unit PH82C</v>
      </c>
      <c r="B408" s="2" t="str">
        <f>HYPERLINK("https://www.compass.com/building/fifteen-hudson-yards-manhattan-ny/282058587512011909/","Fifteen Hudson Yards")</f>
        <v>Fifteen Hudson Yards</v>
      </c>
      <c r="C408" s="1" t="s">
        <v>77</v>
      </c>
      <c r="D408" s="1" t="s">
        <v>41</v>
      </c>
      <c r="E408" s="3">
        <v>9175000</v>
      </c>
      <c r="F408" s="1">
        <v>3505.9228123805801</v>
      </c>
      <c r="G408" s="1">
        <v>5</v>
      </c>
      <c r="H408" s="1">
        <v>3</v>
      </c>
      <c r="I408" s="1">
        <v>4</v>
      </c>
      <c r="J408" s="1">
        <v>3.5</v>
      </c>
      <c r="K408" s="1">
        <v>3</v>
      </c>
      <c r="L408" s="1">
        <v>1</v>
      </c>
      <c r="M408" s="4">
        <v>2617</v>
      </c>
      <c r="N408" s="1">
        <v>6545</v>
      </c>
      <c r="O408" s="1">
        <v>6627</v>
      </c>
      <c r="P408" s="1">
        <v>82</v>
      </c>
      <c r="Q408" s="1" t="s">
        <v>42</v>
      </c>
      <c r="S408" s="1" t="s">
        <v>42</v>
      </c>
      <c r="T408" s="1" t="s">
        <v>51</v>
      </c>
      <c r="U408" s="1">
        <v>425</v>
      </c>
      <c r="V408" s="5">
        <v>44413</v>
      </c>
      <c r="W408" s="5">
        <v>43907</v>
      </c>
      <c r="X408" s="1">
        <v>9175000</v>
      </c>
      <c r="AB408" s="1" t="s">
        <v>44</v>
      </c>
      <c r="AF408" s="1">
        <v>10001</v>
      </c>
      <c r="AJ408" s="1">
        <v>2018</v>
      </c>
      <c r="AK408" s="1" t="s">
        <v>46</v>
      </c>
      <c r="AL408" s="1">
        <v>285</v>
      </c>
    </row>
    <row r="409" spans="1:38" x14ac:dyDescent="0.2">
      <c r="A409" s="2" t="str">
        <f>HYPERLINK("https://www.compass.com/listing/35-hudson-yards-unit-5301-manhattan-ny-10001/772013056987691409/","35 Hudson Yards, Unit 5301")</f>
        <v>35 Hudson Yards, Unit 5301</v>
      </c>
      <c r="B409" s="2" t="str">
        <f t="shared" ref="B409:B413" si="52">HYPERLINK("https://www.compass.com/building/35-hudson-yards-manhattan-ny/292773408544917349/","35 Hudson Yards")</f>
        <v>35 Hudson Yards</v>
      </c>
      <c r="C409" s="1" t="s">
        <v>77</v>
      </c>
      <c r="D409" s="1" t="s">
        <v>41</v>
      </c>
      <c r="E409" s="3">
        <v>7775000</v>
      </c>
      <c r="F409" s="1">
        <v>3169.5882592743501</v>
      </c>
      <c r="G409" s="1">
        <v>5.5</v>
      </c>
      <c r="H409" s="1">
        <v>3</v>
      </c>
      <c r="I409" s="1">
        <v>5</v>
      </c>
      <c r="J409" s="1">
        <v>4.5</v>
      </c>
      <c r="K409" s="1">
        <v>4</v>
      </c>
      <c r="L409" s="1">
        <v>1</v>
      </c>
      <c r="M409" s="4">
        <v>2453</v>
      </c>
      <c r="N409" s="1">
        <v>7317</v>
      </c>
      <c r="O409" s="1">
        <v>7827</v>
      </c>
      <c r="P409" s="1">
        <v>510</v>
      </c>
      <c r="Q409" s="1" t="s">
        <v>42</v>
      </c>
      <c r="S409" s="1" t="s">
        <v>42</v>
      </c>
      <c r="T409" s="1" t="s">
        <v>51</v>
      </c>
      <c r="U409" s="1">
        <v>111</v>
      </c>
      <c r="V409" s="5">
        <v>44423</v>
      </c>
      <c r="W409" s="5">
        <v>44316</v>
      </c>
      <c r="X409" s="1">
        <v>8950000</v>
      </c>
      <c r="AB409" s="1" t="s">
        <v>44</v>
      </c>
      <c r="AF409" s="1">
        <v>10001</v>
      </c>
      <c r="AI409" s="1" t="s">
        <v>211</v>
      </c>
      <c r="AJ409" s="1">
        <v>2019</v>
      </c>
      <c r="AK409" s="1" t="s">
        <v>108</v>
      </c>
      <c r="AL409" s="1">
        <v>143</v>
      </c>
    </row>
    <row r="410" spans="1:38" x14ac:dyDescent="0.2">
      <c r="A410" s="2" t="str">
        <f>HYPERLINK("https://www.compass.com/listing/35-hudson-yards-unit-ph90-manhattan-ny-10001/803422607277519721/","35 Hudson Yards, Unit PH90")</f>
        <v>35 Hudson Yards, Unit PH90</v>
      </c>
      <c r="B410" s="2" t="str">
        <f t="shared" si="52"/>
        <v>35 Hudson Yards</v>
      </c>
      <c r="C410" s="1" t="s">
        <v>77</v>
      </c>
      <c r="D410" s="1" t="s">
        <v>41</v>
      </c>
      <c r="E410" s="3">
        <v>54500000</v>
      </c>
      <c r="F410" s="1">
        <v>5358.3718415101703</v>
      </c>
      <c r="G410" s="1">
        <v>13.5</v>
      </c>
      <c r="H410" s="1">
        <v>5</v>
      </c>
      <c r="I410" s="1">
        <v>9</v>
      </c>
      <c r="J410" s="1">
        <v>8.5</v>
      </c>
      <c r="K410" s="1">
        <v>8</v>
      </c>
      <c r="L410" s="1">
        <v>1</v>
      </c>
      <c r="M410" s="4">
        <v>10171</v>
      </c>
      <c r="N410" s="1">
        <v>33555</v>
      </c>
      <c r="O410" s="1">
        <v>35893</v>
      </c>
      <c r="P410" s="1">
        <v>2338</v>
      </c>
      <c r="Q410" s="1" t="s">
        <v>42</v>
      </c>
      <c r="S410" s="1" t="s">
        <v>42</v>
      </c>
      <c r="T410" s="1" t="s">
        <v>51</v>
      </c>
      <c r="U410" s="1">
        <v>111</v>
      </c>
      <c r="V410" s="5">
        <v>44419</v>
      </c>
      <c r="W410" s="5">
        <v>44316</v>
      </c>
      <c r="X410" s="1">
        <v>59000000</v>
      </c>
      <c r="AB410" s="1" t="s">
        <v>44</v>
      </c>
      <c r="AF410" s="1">
        <v>10001</v>
      </c>
      <c r="AI410" s="1" t="s">
        <v>211</v>
      </c>
      <c r="AJ410" s="1">
        <v>2019</v>
      </c>
      <c r="AK410" s="1" t="s">
        <v>108</v>
      </c>
      <c r="AL410" s="1">
        <v>143</v>
      </c>
    </row>
    <row r="411" spans="1:38" x14ac:dyDescent="0.2">
      <c r="A411" s="2" t="str">
        <f>HYPERLINK("https://www.compass.com/listing/35-hudson-yards-unit-5304-manhattan-ny-10001/752190972017949145/","35 Hudson Yards, Unit 5304")</f>
        <v>35 Hudson Yards, Unit 5304</v>
      </c>
      <c r="B411" s="2" t="str">
        <f t="shared" si="52"/>
        <v>35 Hudson Yards</v>
      </c>
      <c r="C411" s="1" t="s">
        <v>77</v>
      </c>
      <c r="D411" s="1" t="s">
        <v>41</v>
      </c>
      <c r="E411" s="3">
        <v>7995000</v>
      </c>
      <c r="F411" s="1">
        <v>3014.7058823529401</v>
      </c>
      <c r="G411" s="1">
        <v>7</v>
      </c>
      <c r="H411" s="1">
        <v>3</v>
      </c>
      <c r="I411" s="1">
        <v>3</v>
      </c>
      <c r="J411" s="1">
        <v>3</v>
      </c>
      <c r="K411" s="1">
        <v>3</v>
      </c>
      <c r="M411" s="4">
        <v>2652</v>
      </c>
      <c r="N411" s="1">
        <v>7732</v>
      </c>
      <c r="O411" s="1">
        <v>8271</v>
      </c>
      <c r="P411" s="1">
        <v>539</v>
      </c>
      <c r="Q411" s="1" t="s">
        <v>42</v>
      </c>
      <c r="S411" s="1" t="s">
        <v>42</v>
      </c>
      <c r="T411" s="1" t="s">
        <v>51</v>
      </c>
      <c r="U411" s="1">
        <v>132</v>
      </c>
      <c r="V411" s="5">
        <v>44416</v>
      </c>
      <c r="W411" s="5">
        <v>44295</v>
      </c>
      <c r="X411" s="1">
        <v>8750000</v>
      </c>
      <c r="AB411" s="1" t="s">
        <v>44</v>
      </c>
      <c r="AF411" s="1">
        <v>10001</v>
      </c>
      <c r="AI411" s="1" t="s">
        <v>48</v>
      </c>
      <c r="AJ411" s="1">
        <v>2019</v>
      </c>
      <c r="AK411" s="1" t="s">
        <v>108</v>
      </c>
      <c r="AL411" s="1">
        <v>143</v>
      </c>
    </row>
    <row r="412" spans="1:38" x14ac:dyDescent="0.2">
      <c r="A412" s="2" t="str">
        <f>HYPERLINK("https://www.compass.com/listing/35-hudson-yards-unit-7302-manhattan-ny-10001/752146997734908265/","35 Hudson Yards, Unit 7302")</f>
        <v>35 Hudson Yards, Unit 7302</v>
      </c>
      <c r="B412" s="2" t="str">
        <f t="shared" si="52"/>
        <v>35 Hudson Yards</v>
      </c>
      <c r="C412" s="1" t="s">
        <v>77</v>
      </c>
      <c r="D412" s="1" t="s">
        <v>41</v>
      </c>
      <c r="E412" s="3">
        <v>14995000</v>
      </c>
      <c r="F412" s="1">
        <v>3614.9951783992201</v>
      </c>
      <c r="G412" s="1">
        <v>10.5</v>
      </c>
      <c r="H412" s="1">
        <v>4</v>
      </c>
      <c r="I412" s="1">
        <v>5</v>
      </c>
      <c r="J412" s="1">
        <v>4.5</v>
      </c>
      <c r="K412" s="1">
        <v>4</v>
      </c>
      <c r="L412" s="1">
        <v>1</v>
      </c>
      <c r="M412" s="4">
        <v>4148</v>
      </c>
      <c r="N412" s="1">
        <v>12472</v>
      </c>
      <c r="O412" s="1">
        <v>13341</v>
      </c>
      <c r="P412" s="1">
        <v>869</v>
      </c>
      <c r="Q412" s="1" t="s">
        <v>42</v>
      </c>
      <c r="S412" s="1" t="s">
        <v>42</v>
      </c>
      <c r="T412" s="1" t="s">
        <v>51</v>
      </c>
      <c r="U412" s="1">
        <v>132</v>
      </c>
      <c r="V412" s="5">
        <v>44415</v>
      </c>
      <c r="W412" s="5">
        <v>44295</v>
      </c>
      <c r="X412" s="1">
        <v>17850000</v>
      </c>
      <c r="AB412" s="1" t="s">
        <v>44</v>
      </c>
      <c r="AF412" s="1">
        <v>10001</v>
      </c>
      <c r="AI412" s="1" t="s">
        <v>211</v>
      </c>
      <c r="AJ412" s="1">
        <v>2019</v>
      </c>
      <c r="AK412" s="1" t="s">
        <v>108</v>
      </c>
      <c r="AL412" s="1">
        <v>143</v>
      </c>
    </row>
    <row r="413" spans="1:38" x14ac:dyDescent="0.2">
      <c r="A413" s="2" t="str">
        <f>HYPERLINK("https://www.compass.com/listing/35-hudson-yards-unit-6404-manhattan-ny-10001/308011505148405457/","35 Hudson Yards, Unit 6404")</f>
        <v>35 Hudson Yards, Unit 6404</v>
      </c>
      <c r="B413" s="2" t="str">
        <f t="shared" si="52"/>
        <v>35 Hudson Yards</v>
      </c>
      <c r="C413" s="1" t="s">
        <v>77</v>
      </c>
      <c r="D413" s="1" t="s">
        <v>41</v>
      </c>
      <c r="E413" s="3">
        <v>9975000</v>
      </c>
      <c r="F413" s="1">
        <v>3218.7802516940901</v>
      </c>
      <c r="G413" s="1">
        <v>5</v>
      </c>
      <c r="H413" s="1">
        <v>3</v>
      </c>
      <c r="I413" s="1">
        <v>4</v>
      </c>
      <c r="J413" s="1">
        <v>3.5</v>
      </c>
      <c r="K413" s="1">
        <v>3</v>
      </c>
      <c r="L413" s="1">
        <v>1</v>
      </c>
      <c r="M413" s="4">
        <v>3099</v>
      </c>
      <c r="N413" s="1">
        <v>9090</v>
      </c>
      <c r="O413" s="1">
        <v>9723</v>
      </c>
      <c r="P413" s="1">
        <v>633</v>
      </c>
      <c r="Q413" s="1" t="s">
        <v>42</v>
      </c>
      <c r="S413" s="1" t="s">
        <v>42</v>
      </c>
      <c r="T413" s="1" t="s">
        <v>51</v>
      </c>
      <c r="U413" s="1">
        <v>657</v>
      </c>
      <c r="V413" s="5">
        <v>44424</v>
      </c>
      <c r="W413" s="5">
        <v>43676</v>
      </c>
      <c r="X413" s="1">
        <v>11775000</v>
      </c>
      <c r="AB413" s="1" t="s">
        <v>44</v>
      </c>
      <c r="AF413" s="1">
        <v>10001</v>
      </c>
      <c r="AI413" s="1" t="s">
        <v>48</v>
      </c>
      <c r="AJ413" s="1">
        <v>2019</v>
      </c>
      <c r="AK413" s="1" t="s">
        <v>108</v>
      </c>
      <c r="AL413" s="1">
        <v>143</v>
      </c>
    </row>
    <row r="414" spans="1:38" x14ac:dyDescent="0.2">
      <c r="A414" s="2" t="str">
        <f>HYPERLINK("https://www.compass.com/listing/50-west-street-unit-55b-manhattan-ny-10006/822020509980428009/","50 West St, Unit 55B")</f>
        <v>50 West St, Unit 55B</v>
      </c>
      <c r="B414" s="2" t="str">
        <f>HYPERLINK("https://www.compass.com/building/50-west-st-manhattan-ny-10006/281896342152815429/","50 West St")</f>
        <v>50 West St</v>
      </c>
      <c r="C414" s="1" t="s">
        <v>96</v>
      </c>
      <c r="D414" s="1" t="s">
        <v>41</v>
      </c>
      <c r="E414" s="3">
        <v>3995000</v>
      </c>
      <c r="F414" s="1">
        <v>2640.4494382022399</v>
      </c>
      <c r="G414" s="1">
        <v>4</v>
      </c>
      <c r="H414" s="1">
        <v>2</v>
      </c>
      <c r="I414" s="1">
        <v>3</v>
      </c>
      <c r="J414" s="1">
        <v>2.5</v>
      </c>
      <c r="K414" s="1">
        <v>2</v>
      </c>
      <c r="L414" s="1">
        <v>1</v>
      </c>
      <c r="M414" s="4">
        <v>1513</v>
      </c>
      <c r="N414" s="1">
        <v>2019</v>
      </c>
      <c r="O414" s="1">
        <v>5048</v>
      </c>
      <c r="P414" s="1">
        <v>3029</v>
      </c>
      <c r="Q414" s="1" t="s">
        <v>42</v>
      </c>
      <c r="S414" s="1" t="s">
        <v>42</v>
      </c>
      <c r="T414" s="1" t="s">
        <v>51</v>
      </c>
      <c r="U414" s="1">
        <v>42</v>
      </c>
      <c r="V414" s="5">
        <v>44426</v>
      </c>
      <c r="W414" s="5">
        <v>44385</v>
      </c>
      <c r="X414" s="1">
        <v>3995000</v>
      </c>
      <c r="AB414" s="1" t="s">
        <v>44</v>
      </c>
      <c r="AF414" s="1">
        <v>10006</v>
      </c>
      <c r="AI414" s="1" t="s">
        <v>165</v>
      </c>
      <c r="AJ414" s="1">
        <v>2016</v>
      </c>
      <c r="AK414" s="1" t="s">
        <v>46</v>
      </c>
      <c r="AL414" s="1">
        <v>186</v>
      </c>
    </row>
    <row r="415" spans="1:38" x14ac:dyDescent="0.2">
      <c r="A415" s="2" t="str">
        <f>HYPERLINK("https://www.compass.com/listing/35-hudson-yards-unit-5403-manhattan-ny-10001/222608205509909809/","35 Hudson Yards, Unit 5403")</f>
        <v>35 Hudson Yards, Unit 5403</v>
      </c>
      <c r="B415" s="2" t="str">
        <f t="shared" ref="B415:B416" si="53">HYPERLINK("https://www.compass.com/building/35-hudson-yards-manhattan-ny/292773408544917349/","35 Hudson Yards")</f>
        <v>35 Hudson Yards</v>
      </c>
      <c r="C415" s="1" t="s">
        <v>77</v>
      </c>
      <c r="D415" s="1" t="s">
        <v>41</v>
      </c>
      <c r="E415" s="3">
        <v>4250000</v>
      </c>
      <c r="F415" s="1">
        <v>2246.3002114164901</v>
      </c>
      <c r="G415" s="1">
        <v>4.5</v>
      </c>
      <c r="H415" s="1">
        <v>2</v>
      </c>
      <c r="I415" s="1">
        <v>3</v>
      </c>
      <c r="J415" s="1">
        <v>2.5</v>
      </c>
      <c r="K415" s="1">
        <v>2</v>
      </c>
      <c r="L415" s="1">
        <v>1</v>
      </c>
      <c r="M415" s="4">
        <v>1892</v>
      </c>
      <c r="N415" s="1">
        <v>5361</v>
      </c>
      <c r="O415" s="1">
        <v>5735</v>
      </c>
      <c r="P415" s="1">
        <v>374</v>
      </c>
      <c r="Q415" s="1" t="s">
        <v>42</v>
      </c>
      <c r="S415" s="1" t="s">
        <v>42</v>
      </c>
      <c r="T415" s="1" t="s">
        <v>51</v>
      </c>
      <c r="U415" s="1">
        <v>336</v>
      </c>
      <c r="V415" s="5">
        <v>44417</v>
      </c>
      <c r="W415" s="5">
        <v>44091</v>
      </c>
      <c r="X415" s="1">
        <v>4250000</v>
      </c>
      <c r="AB415" s="1" t="s">
        <v>44</v>
      </c>
      <c r="AF415" s="1">
        <v>10001</v>
      </c>
      <c r="AI415" s="1" t="s">
        <v>48</v>
      </c>
      <c r="AJ415" s="1">
        <v>2019</v>
      </c>
      <c r="AK415" s="1" t="s">
        <v>108</v>
      </c>
      <c r="AL415" s="1">
        <v>143</v>
      </c>
    </row>
    <row r="416" spans="1:38" x14ac:dyDescent="0.2">
      <c r="A416" s="2" t="str">
        <f>HYPERLINK("https://www.compass.com/listing/35-hudson-yards-unit-6302-manhattan-ny-10001/639308141674407889/","35 Hudson Yards, Unit 6302")</f>
        <v>35 Hudson Yards, Unit 6302</v>
      </c>
      <c r="B416" s="2" t="str">
        <f t="shared" si="53"/>
        <v>35 Hudson Yards</v>
      </c>
      <c r="C416" s="1" t="s">
        <v>77</v>
      </c>
      <c r="D416" s="1" t="s">
        <v>41</v>
      </c>
      <c r="E416" s="3">
        <v>4950000</v>
      </c>
      <c r="F416" s="1">
        <v>2448.0712166172102</v>
      </c>
      <c r="G416" s="1">
        <v>6</v>
      </c>
      <c r="H416" s="1">
        <v>2</v>
      </c>
      <c r="I416" s="1">
        <v>3</v>
      </c>
      <c r="J416" s="1">
        <v>2.5</v>
      </c>
      <c r="K416" s="1">
        <v>2</v>
      </c>
      <c r="L416" s="1">
        <v>1</v>
      </c>
      <c r="M416" s="4">
        <v>2022</v>
      </c>
      <c r="N416" s="1">
        <v>5820</v>
      </c>
      <c r="O416" s="1">
        <v>6226</v>
      </c>
      <c r="P416" s="1">
        <v>406</v>
      </c>
      <c r="Q416" s="1" t="s">
        <v>42</v>
      </c>
      <c r="S416" s="1" t="s">
        <v>42</v>
      </c>
      <c r="T416" s="1" t="s">
        <v>51</v>
      </c>
      <c r="U416" s="1">
        <v>294</v>
      </c>
      <c r="V416" s="5">
        <v>44416</v>
      </c>
      <c r="W416" s="5">
        <v>44133</v>
      </c>
      <c r="X416" s="1">
        <v>4950000</v>
      </c>
      <c r="AB416" s="1" t="s">
        <v>44</v>
      </c>
      <c r="AF416" s="1">
        <v>10001</v>
      </c>
      <c r="AI416" s="1" t="s">
        <v>48</v>
      </c>
      <c r="AJ416" s="1">
        <v>2019</v>
      </c>
      <c r="AK416" s="1" t="s">
        <v>108</v>
      </c>
      <c r="AL416" s="1">
        <v>143</v>
      </c>
    </row>
    <row r="417" spans="1:38" x14ac:dyDescent="0.2">
      <c r="A417" s="2" t="str">
        <f>HYPERLINK("https://www.compass.com/listing/138-east-50th-street-unit-41b-manhattan-ny-10022/774029445039393537/","138 E 50th St, Unit 41B")</f>
        <v>138 E 50th St, Unit 41B</v>
      </c>
      <c r="B417" s="2" t="str">
        <f t="shared" ref="B417:B420" si="54">HYPERLINK("https://www.compass.com/building/the-centrale-manhattan-ny/281941497232811621/","The Centrale")</f>
        <v>The Centrale</v>
      </c>
      <c r="C417" s="1" t="s">
        <v>116</v>
      </c>
      <c r="D417" s="1" t="s">
        <v>41</v>
      </c>
      <c r="E417" s="3">
        <v>3500000</v>
      </c>
      <c r="F417" s="1">
        <v>2385.8214042263098</v>
      </c>
      <c r="G417" s="1">
        <v>5</v>
      </c>
      <c r="H417" s="1">
        <v>2</v>
      </c>
      <c r="I417" s="1">
        <v>3</v>
      </c>
      <c r="J417" s="1">
        <v>2.5</v>
      </c>
      <c r="K417" s="1">
        <v>2</v>
      </c>
      <c r="L417" s="1">
        <v>1</v>
      </c>
      <c r="M417" s="4">
        <v>1467</v>
      </c>
      <c r="N417" s="1">
        <v>1622</v>
      </c>
      <c r="O417" s="1">
        <v>4038</v>
      </c>
      <c r="P417" s="1">
        <v>2416</v>
      </c>
      <c r="Q417" s="1" t="s">
        <v>42</v>
      </c>
      <c r="S417" s="1" t="s">
        <v>42</v>
      </c>
      <c r="T417" s="1" t="s">
        <v>51</v>
      </c>
      <c r="U417" s="1">
        <v>108</v>
      </c>
      <c r="V417" s="5">
        <v>44427</v>
      </c>
      <c r="W417" s="5">
        <v>44319</v>
      </c>
      <c r="X417" s="1">
        <v>1</v>
      </c>
      <c r="AB417" s="1" t="s">
        <v>44</v>
      </c>
      <c r="AF417" s="1">
        <v>10022</v>
      </c>
      <c r="AI417" s="1" t="s">
        <v>48</v>
      </c>
      <c r="AJ417" s="1">
        <v>2019</v>
      </c>
      <c r="AK417" s="1" t="s">
        <v>55</v>
      </c>
      <c r="AL417" s="1">
        <v>124</v>
      </c>
    </row>
    <row r="418" spans="1:38" x14ac:dyDescent="0.2">
      <c r="A418" s="2" t="str">
        <f>HYPERLINK("https://www.compass.com/listing/138-east-50th-street-unit-37b-manhattan-ny-10022/774029649724735665/","138 E 50th St, Unit 37B")</f>
        <v>138 E 50th St, Unit 37B</v>
      </c>
      <c r="B418" s="2" t="str">
        <f t="shared" si="54"/>
        <v>The Centrale</v>
      </c>
      <c r="C418" s="1" t="s">
        <v>116</v>
      </c>
      <c r="D418" s="1" t="s">
        <v>41</v>
      </c>
      <c r="E418" s="3">
        <v>3495000</v>
      </c>
      <c r="F418" s="1">
        <v>2302.3715415019701</v>
      </c>
      <c r="G418" s="1">
        <v>5</v>
      </c>
      <c r="H418" s="1">
        <v>2</v>
      </c>
      <c r="I418" s="1">
        <v>3</v>
      </c>
      <c r="J418" s="1">
        <v>2.5</v>
      </c>
      <c r="K418" s="1">
        <v>2</v>
      </c>
      <c r="L418" s="1">
        <v>1</v>
      </c>
      <c r="M418" s="4">
        <v>1518</v>
      </c>
      <c r="N418" s="1">
        <v>1657</v>
      </c>
      <c r="O418" s="1">
        <v>4125</v>
      </c>
      <c r="P418" s="1">
        <v>2468</v>
      </c>
      <c r="Q418" s="1" t="s">
        <v>42</v>
      </c>
      <c r="S418" s="1" t="s">
        <v>42</v>
      </c>
      <c r="T418" s="1" t="s">
        <v>51</v>
      </c>
      <c r="U418" s="1">
        <v>108</v>
      </c>
      <c r="V418" s="5">
        <v>44427</v>
      </c>
      <c r="W418" s="5">
        <v>44319</v>
      </c>
      <c r="X418" s="1">
        <v>1</v>
      </c>
      <c r="AB418" s="1" t="s">
        <v>44</v>
      </c>
      <c r="AF418" s="1">
        <v>10022</v>
      </c>
      <c r="AI418" s="1" t="s">
        <v>48</v>
      </c>
      <c r="AJ418" s="1">
        <v>2019</v>
      </c>
      <c r="AK418" s="1" t="s">
        <v>55</v>
      </c>
      <c r="AL418" s="1">
        <v>124</v>
      </c>
    </row>
    <row r="419" spans="1:38" x14ac:dyDescent="0.2">
      <c r="A419" s="2" t="str">
        <f>HYPERLINK("https://www.compass.com/listing/138-east-50th-street-unit-tr61-manhattan-ny-10022/774029713826193521/","138 E 50th St, Unit TR61")</f>
        <v>138 E 50th St, Unit TR61</v>
      </c>
      <c r="B419" s="2" t="str">
        <f t="shared" si="54"/>
        <v>The Centrale</v>
      </c>
      <c r="C419" s="1" t="s">
        <v>116</v>
      </c>
      <c r="D419" s="1" t="s">
        <v>41</v>
      </c>
      <c r="E419" s="3">
        <v>9750000</v>
      </c>
      <c r="F419" s="1">
        <v>3537.7358490565998</v>
      </c>
      <c r="G419" s="1">
        <v>8</v>
      </c>
      <c r="H419" s="1">
        <v>3</v>
      </c>
      <c r="I419" s="1">
        <v>4</v>
      </c>
      <c r="J419" s="1">
        <v>4</v>
      </c>
      <c r="K419" s="1">
        <v>4</v>
      </c>
      <c r="M419" s="4">
        <v>2756</v>
      </c>
      <c r="N419" s="1">
        <v>3212</v>
      </c>
      <c r="O419" s="1">
        <v>7996</v>
      </c>
      <c r="P419" s="1">
        <v>4784</v>
      </c>
      <c r="Q419" s="1" t="s">
        <v>42</v>
      </c>
      <c r="S419" s="1" t="s">
        <v>42</v>
      </c>
      <c r="T419" s="1" t="s">
        <v>51</v>
      </c>
      <c r="U419" s="1">
        <v>108</v>
      </c>
      <c r="V419" s="5">
        <v>44427</v>
      </c>
      <c r="W419" s="5">
        <v>44319</v>
      </c>
      <c r="X419" s="1">
        <v>1</v>
      </c>
      <c r="AB419" s="1" t="s">
        <v>44</v>
      </c>
      <c r="AF419" s="1">
        <v>10022</v>
      </c>
      <c r="AI419" s="1" t="s">
        <v>48</v>
      </c>
      <c r="AJ419" s="1">
        <v>2019</v>
      </c>
      <c r="AK419" s="1" t="s">
        <v>55</v>
      </c>
      <c r="AL419" s="1">
        <v>124</v>
      </c>
    </row>
    <row r="420" spans="1:38" x14ac:dyDescent="0.2">
      <c r="A420" s="2" t="str">
        <f>HYPERLINK("https://www.compass.com/listing/138-east-50th-street-unit-tr65-manhattan-ny-10022/774769605739989241/","138 E 50th St, Unit TR65")</f>
        <v>138 E 50th St, Unit TR65</v>
      </c>
      <c r="B420" s="2" t="str">
        <f t="shared" si="54"/>
        <v>The Centrale</v>
      </c>
      <c r="C420" s="1" t="s">
        <v>116</v>
      </c>
      <c r="D420" s="1" t="s">
        <v>41</v>
      </c>
      <c r="E420" s="3">
        <v>10575000</v>
      </c>
      <c r="F420" s="1">
        <v>3837.08272859216</v>
      </c>
      <c r="G420" s="1">
        <v>6</v>
      </c>
      <c r="H420" s="1">
        <v>3</v>
      </c>
      <c r="I420" s="1">
        <v>3</v>
      </c>
      <c r="J420" s="1">
        <v>3</v>
      </c>
      <c r="K420" s="1">
        <v>3</v>
      </c>
      <c r="M420" s="4">
        <v>2756</v>
      </c>
      <c r="N420" s="1">
        <v>3251</v>
      </c>
      <c r="O420" s="1">
        <v>8093</v>
      </c>
      <c r="P420" s="1">
        <v>4842</v>
      </c>
      <c r="Q420" s="1" t="s">
        <v>42</v>
      </c>
      <c r="S420" s="1" t="s">
        <v>42</v>
      </c>
      <c r="T420" s="1" t="s">
        <v>51</v>
      </c>
      <c r="U420" s="1">
        <v>107</v>
      </c>
      <c r="V420" s="5">
        <v>44427</v>
      </c>
      <c r="W420" s="5">
        <v>44320</v>
      </c>
      <c r="X420" s="1">
        <v>1</v>
      </c>
      <c r="AB420" s="1" t="s">
        <v>44</v>
      </c>
      <c r="AF420" s="1">
        <v>10022</v>
      </c>
      <c r="AI420" s="1" t="s">
        <v>48</v>
      </c>
      <c r="AJ420" s="1">
        <v>2019</v>
      </c>
      <c r="AK420" s="1" t="s">
        <v>55</v>
      </c>
      <c r="AL420" s="1">
        <v>124</v>
      </c>
    </row>
    <row r="421" spans="1:38" x14ac:dyDescent="0.2">
      <c r="A421" s="2" t="str">
        <f>HYPERLINK("https://www.compass.com/listing/135-west-52nd-street-unit-24c-manhattan-ny-10019/788843978605355721/","135 W 52nd St, Unit 24C")</f>
        <v>135 W 52nd St, Unit 24C</v>
      </c>
      <c r="B421" s="2" t="str">
        <f t="shared" ref="B421:B425" si="55">HYPERLINK("https://www.compass.com/building/135-w-52nd-st-manhattan-ny-10019/281943802548121109/","135 W 52nd St")</f>
        <v>135 W 52nd St</v>
      </c>
      <c r="C421" s="1" t="s">
        <v>219</v>
      </c>
      <c r="D421" s="1" t="s">
        <v>41</v>
      </c>
      <c r="E421" s="3">
        <v>2880000</v>
      </c>
      <c r="F421" s="1">
        <v>2011.1731843575401</v>
      </c>
      <c r="G421" s="1">
        <v>4</v>
      </c>
      <c r="H421" s="1">
        <v>2</v>
      </c>
      <c r="I421" s="1">
        <v>2</v>
      </c>
      <c r="J421" s="1">
        <v>2</v>
      </c>
      <c r="K421" s="1">
        <v>2</v>
      </c>
      <c r="M421" s="4">
        <v>1432</v>
      </c>
      <c r="N421" s="1">
        <v>1988</v>
      </c>
      <c r="O421" s="1">
        <v>4115</v>
      </c>
      <c r="P421" s="1">
        <v>2127</v>
      </c>
      <c r="Q421" s="1" t="s">
        <v>42</v>
      </c>
      <c r="S421" s="1" t="s">
        <v>42</v>
      </c>
      <c r="T421" s="1" t="s">
        <v>51</v>
      </c>
      <c r="U421" s="1">
        <v>87</v>
      </c>
      <c r="V421" s="5">
        <v>44427</v>
      </c>
      <c r="W421" s="5">
        <v>44340</v>
      </c>
      <c r="X421" s="1">
        <v>2880000</v>
      </c>
      <c r="AB421" s="1" t="s">
        <v>44</v>
      </c>
      <c r="AF421" s="1">
        <v>10019</v>
      </c>
      <c r="AJ421" s="1">
        <v>2016</v>
      </c>
      <c r="AK421" s="1" t="s">
        <v>49</v>
      </c>
      <c r="AL421" s="1">
        <v>109</v>
      </c>
    </row>
    <row r="422" spans="1:38" x14ac:dyDescent="0.2">
      <c r="A422" s="2" t="str">
        <f>HYPERLINK("https://www.compass.com/listing/135-west-52nd-street-unit-12c-manhattan-ny-10019/161640730899526753/","135 W 52nd St, Unit 12C")</f>
        <v>135 W 52nd St, Unit 12C</v>
      </c>
      <c r="B422" s="2" t="str">
        <f t="shared" si="55"/>
        <v>135 W 52nd St</v>
      </c>
      <c r="C422" s="1" t="s">
        <v>139</v>
      </c>
      <c r="D422" s="1" t="s">
        <v>41</v>
      </c>
      <c r="E422" s="3">
        <v>1500000</v>
      </c>
      <c r="F422" s="1">
        <v>1659.2920353982299</v>
      </c>
      <c r="G422" s="1">
        <v>4</v>
      </c>
      <c r="H422" s="1">
        <v>1</v>
      </c>
      <c r="I422" s="1">
        <v>2</v>
      </c>
      <c r="J422" s="1">
        <v>2</v>
      </c>
      <c r="M422" s="1">
        <v>904</v>
      </c>
      <c r="N422" s="1">
        <v>772</v>
      </c>
      <c r="O422" s="1">
        <v>1758</v>
      </c>
      <c r="P422" s="1">
        <v>986</v>
      </c>
      <c r="Q422" s="1" t="s">
        <v>42</v>
      </c>
      <c r="S422" s="1" t="s">
        <v>42</v>
      </c>
      <c r="T422" s="1" t="s">
        <v>51</v>
      </c>
      <c r="U422" s="1">
        <v>953</v>
      </c>
      <c r="V422" s="5">
        <v>44427</v>
      </c>
      <c r="W422" s="5">
        <v>43474</v>
      </c>
      <c r="X422" s="1">
        <v>1749000</v>
      </c>
      <c r="AB422" s="1" t="s">
        <v>44</v>
      </c>
      <c r="AF422" s="1">
        <v>10019</v>
      </c>
      <c r="AJ422" s="1">
        <v>2016</v>
      </c>
      <c r="AK422" s="1" t="s">
        <v>49</v>
      </c>
      <c r="AL422" s="1">
        <v>109</v>
      </c>
    </row>
    <row r="423" spans="1:38" x14ac:dyDescent="0.2">
      <c r="A423" s="2" t="str">
        <f>HYPERLINK("https://www.compass.com/listing/135-west-52nd-street-unit-10b-manhattan-ny-10019/801625318838242953/","135 W 52nd St, Unit 10B")</f>
        <v>135 W 52nd St, Unit 10B</v>
      </c>
      <c r="B423" s="2" t="str">
        <f t="shared" si="55"/>
        <v>135 W 52nd St</v>
      </c>
      <c r="C423" s="1" t="s">
        <v>219</v>
      </c>
      <c r="D423" s="1" t="s">
        <v>41</v>
      </c>
      <c r="E423" s="3">
        <v>2295000</v>
      </c>
      <c r="F423" s="1">
        <v>2041.8149466192101</v>
      </c>
      <c r="G423" s="1">
        <v>4</v>
      </c>
      <c r="H423" s="1">
        <v>2</v>
      </c>
      <c r="I423" s="1">
        <v>2</v>
      </c>
      <c r="J423" s="1">
        <v>2</v>
      </c>
      <c r="K423" s="1">
        <v>2</v>
      </c>
      <c r="M423" s="4">
        <v>1124</v>
      </c>
      <c r="N423" s="1">
        <v>1187.3900000000001</v>
      </c>
      <c r="O423" s="1">
        <v>2740.39</v>
      </c>
      <c r="P423" s="1">
        <v>1553</v>
      </c>
      <c r="Q423" s="1" t="s">
        <v>42</v>
      </c>
      <c r="S423" s="1" t="s">
        <v>42</v>
      </c>
      <c r="T423" s="1" t="s">
        <v>51</v>
      </c>
      <c r="U423" s="1">
        <v>163</v>
      </c>
      <c r="V423" s="5">
        <v>44416</v>
      </c>
      <c r="W423" s="5">
        <v>44264</v>
      </c>
      <c r="X423" s="1">
        <v>2295000</v>
      </c>
      <c r="AB423" s="1" t="s">
        <v>44</v>
      </c>
      <c r="AF423" s="1">
        <v>10019</v>
      </c>
      <c r="AI423" s="1" t="s">
        <v>177</v>
      </c>
      <c r="AJ423" s="1">
        <v>2016</v>
      </c>
      <c r="AK423" s="1" t="s">
        <v>46</v>
      </c>
      <c r="AL423" s="1">
        <v>109</v>
      </c>
    </row>
    <row r="424" spans="1:38" x14ac:dyDescent="0.2">
      <c r="A424" s="2" t="str">
        <f>HYPERLINK("https://www.compass.com/listing/135-west-52nd-street-unit-ph5-manhattan-ny-10019/773142697727170449/","135 W 52nd St, Unit PH5")</f>
        <v>135 W 52nd St, Unit PH5</v>
      </c>
      <c r="B424" s="2" t="str">
        <f t="shared" si="55"/>
        <v>135 W 52nd St</v>
      </c>
      <c r="C424" s="1" t="s">
        <v>219</v>
      </c>
      <c r="D424" s="1" t="s">
        <v>41</v>
      </c>
      <c r="E424" s="3">
        <v>10750000</v>
      </c>
      <c r="F424" s="1">
        <v>2443.1818181818098</v>
      </c>
      <c r="G424" s="1">
        <v>9.5</v>
      </c>
      <c r="H424" s="1">
        <v>5</v>
      </c>
      <c r="I424" s="1">
        <v>5</v>
      </c>
      <c r="J424" s="1">
        <v>4.5</v>
      </c>
      <c r="K424" s="1">
        <v>4</v>
      </c>
      <c r="L424" s="1">
        <v>1</v>
      </c>
      <c r="M424" s="4">
        <v>4400</v>
      </c>
      <c r="N424" s="1">
        <v>8034</v>
      </c>
      <c r="O424" s="1">
        <v>16055</v>
      </c>
      <c r="P424" s="1">
        <v>8021</v>
      </c>
      <c r="Q424" s="1" t="s">
        <v>42</v>
      </c>
      <c r="S424" s="1" t="s">
        <v>42</v>
      </c>
      <c r="T424" s="1" t="s">
        <v>51</v>
      </c>
      <c r="U424" s="1">
        <v>108</v>
      </c>
      <c r="V424" s="5">
        <v>44390</v>
      </c>
      <c r="W424" s="5">
        <v>44319</v>
      </c>
      <c r="X424" s="1">
        <v>10750000</v>
      </c>
      <c r="AB424" s="1" t="s">
        <v>44</v>
      </c>
      <c r="AF424" s="1">
        <v>10019</v>
      </c>
      <c r="AI424" s="1" t="s">
        <v>216</v>
      </c>
      <c r="AJ424" s="1">
        <v>2016</v>
      </c>
      <c r="AK424" s="1" t="s">
        <v>49</v>
      </c>
      <c r="AL424" s="1">
        <v>109</v>
      </c>
    </row>
    <row r="425" spans="1:38" x14ac:dyDescent="0.2">
      <c r="A425" s="2" t="str">
        <f>HYPERLINK("https://www.compass.com/listing/135-west-52nd-street-unit-18a-manhattan-ny-10019/779057797184787641/","135 W 52nd St, Unit 18A")</f>
        <v>135 W 52nd St, Unit 18A</v>
      </c>
      <c r="B425" s="2" t="str">
        <f t="shared" si="55"/>
        <v>135 W 52nd St</v>
      </c>
      <c r="C425" s="1" t="s">
        <v>219</v>
      </c>
      <c r="D425" s="1" t="s">
        <v>41</v>
      </c>
      <c r="E425" s="3">
        <v>3600000</v>
      </c>
      <c r="F425" s="1">
        <v>1994.4598337950099</v>
      </c>
      <c r="G425" s="1">
        <v>6</v>
      </c>
      <c r="H425" s="1">
        <v>3</v>
      </c>
      <c r="I425" s="1">
        <v>3</v>
      </c>
      <c r="J425" s="1">
        <v>3</v>
      </c>
      <c r="K425" s="1">
        <v>3</v>
      </c>
      <c r="M425" s="4">
        <v>1805</v>
      </c>
      <c r="N425" s="1">
        <v>2710</v>
      </c>
      <c r="O425" s="1">
        <v>5372</v>
      </c>
      <c r="P425" s="1">
        <v>2662</v>
      </c>
      <c r="Q425" s="1" t="s">
        <v>42</v>
      </c>
      <c r="S425" s="1" t="s">
        <v>42</v>
      </c>
      <c r="T425" s="1" t="s">
        <v>51</v>
      </c>
      <c r="U425" s="1">
        <v>100</v>
      </c>
      <c r="V425" s="5">
        <v>44425</v>
      </c>
      <c r="W425" s="5">
        <v>44327</v>
      </c>
      <c r="X425" s="1">
        <v>3600000</v>
      </c>
      <c r="AB425" s="1" t="s">
        <v>44</v>
      </c>
      <c r="AF425" s="1">
        <v>10019</v>
      </c>
      <c r="AJ425" s="1">
        <v>2016</v>
      </c>
      <c r="AK425" s="1" t="s">
        <v>46</v>
      </c>
      <c r="AL425" s="1">
        <v>109</v>
      </c>
    </row>
    <row r="426" spans="1:38" x14ac:dyDescent="0.2">
      <c r="A426" s="2" t="str">
        <f>HYPERLINK("https://www.compass.com/listing/53-west-53rd-street-unit-20c-manhattan-ny-10019/637714172324840537/","53 W 53rd St, Unit 20C")</f>
        <v>53 W 53rd St, Unit 20C</v>
      </c>
      <c r="B426" s="2" t="str">
        <f>HYPERLINK("https://www.compass.com/building/53-west-53-manhattan-ny/281946357818781477/","53 West 53")</f>
        <v>53 West 53</v>
      </c>
      <c r="C426" s="1" t="s">
        <v>139</v>
      </c>
      <c r="D426" s="1" t="s">
        <v>41</v>
      </c>
      <c r="E426" s="3">
        <v>2700000</v>
      </c>
      <c r="F426" s="1">
        <v>1890.756302521</v>
      </c>
      <c r="G426" s="1">
        <v>3</v>
      </c>
      <c r="H426" s="1">
        <v>1</v>
      </c>
      <c r="I426" s="1">
        <v>2</v>
      </c>
      <c r="J426" s="1">
        <v>1.5</v>
      </c>
      <c r="K426" s="1">
        <v>1</v>
      </c>
      <c r="L426" s="1">
        <v>1</v>
      </c>
      <c r="M426" s="4">
        <v>1428</v>
      </c>
      <c r="N426" s="1">
        <v>3018</v>
      </c>
      <c r="O426" s="1">
        <v>3018</v>
      </c>
      <c r="Q426" s="1" t="s">
        <v>42</v>
      </c>
      <c r="S426" s="1" t="s">
        <v>42</v>
      </c>
      <c r="T426" s="1" t="s">
        <v>51</v>
      </c>
      <c r="U426" s="1">
        <v>295</v>
      </c>
      <c r="V426" s="5">
        <v>44424</v>
      </c>
      <c r="W426" s="5">
        <v>44132</v>
      </c>
      <c r="X426" s="1">
        <v>2700000</v>
      </c>
      <c r="AB426" s="1" t="s">
        <v>44</v>
      </c>
      <c r="AF426" s="1">
        <v>10019</v>
      </c>
      <c r="AJ426" s="1">
        <v>2018</v>
      </c>
      <c r="AK426" s="1" t="s">
        <v>46</v>
      </c>
      <c r="AL426" s="1">
        <v>145</v>
      </c>
    </row>
    <row r="427" spans="1:38" x14ac:dyDescent="0.2">
      <c r="A427" s="2" t="str">
        <f>HYPERLINK("https://www.compass.com/listing/135-west-52nd-street-unit-ph3-manhattan-ny-10019/729720686069209481/","135 W 52nd St, Unit PH3")</f>
        <v>135 W 52nd St, Unit PH3</v>
      </c>
      <c r="B427" s="2" t="str">
        <f t="shared" ref="B427:B430" si="56">HYPERLINK("https://www.compass.com/building/135-w-52nd-st-manhattan-ny-10019/281943802548121109/","135 W 52nd St")</f>
        <v>135 W 52nd St</v>
      </c>
      <c r="C427" s="1" t="s">
        <v>219</v>
      </c>
      <c r="D427" s="1" t="s">
        <v>41</v>
      </c>
      <c r="E427" s="3">
        <v>5500000</v>
      </c>
      <c r="F427" s="1">
        <v>1890.0343642611599</v>
      </c>
      <c r="G427" s="1">
        <v>6</v>
      </c>
      <c r="H427" s="1">
        <v>3</v>
      </c>
      <c r="I427" s="1">
        <v>4</v>
      </c>
      <c r="J427" s="1">
        <v>3.5</v>
      </c>
      <c r="K427" s="1">
        <v>3</v>
      </c>
      <c r="L427" s="1">
        <v>1</v>
      </c>
      <c r="M427" s="4">
        <v>2910</v>
      </c>
      <c r="N427" s="1">
        <v>4948</v>
      </c>
      <c r="O427" s="1">
        <v>9642</v>
      </c>
      <c r="P427" s="1">
        <v>4694</v>
      </c>
      <c r="Q427" s="1" t="s">
        <v>42</v>
      </c>
      <c r="S427" s="1" t="s">
        <v>42</v>
      </c>
      <c r="T427" s="1" t="s">
        <v>51</v>
      </c>
      <c r="U427" s="1">
        <v>169</v>
      </c>
      <c r="V427" s="5">
        <v>44425</v>
      </c>
      <c r="W427" s="5">
        <v>44258</v>
      </c>
      <c r="X427" s="1">
        <v>6350000</v>
      </c>
      <c r="AB427" s="1" t="s">
        <v>44</v>
      </c>
      <c r="AF427" s="1">
        <v>10019</v>
      </c>
      <c r="AI427" s="1" t="s">
        <v>177</v>
      </c>
      <c r="AJ427" s="1">
        <v>2016</v>
      </c>
      <c r="AK427" s="1" t="s">
        <v>46</v>
      </c>
      <c r="AL427" s="1">
        <v>109</v>
      </c>
    </row>
    <row r="428" spans="1:38" x14ac:dyDescent="0.2">
      <c r="A428" s="2" t="str">
        <f>HYPERLINK("https://www.compass.com/listing/135-west-52nd-street-unit-ph5-manhattan-ny-10019/801625250168689433/","135 W 52nd St, Unit PH5")</f>
        <v>135 W 52nd St, Unit PH5</v>
      </c>
      <c r="B428" s="2" t="str">
        <f t="shared" si="56"/>
        <v>135 W 52nd St</v>
      </c>
      <c r="C428" s="1" t="s">
        <v>219</v>
      </c>
      <c r="D428" s="1" t="s">
        <v>41</v>
      </c>
      <c r="E428" s="3">
        <v>10850000</v>
      </c>
      <c r="F428" s="1">
        <v>2481.1342327921302</v>
      </c>
      <c r="G428" s="1">
        <v>9</v>
      </c>
      <c r="H428" s="1">
        <v>5</v>
      </c>
      <c r="I428" s="1">
        <v>5</v>
      </c>
      <c r="J428" s="1">
        <v>4.5</v>
      </c>
      <c r="K428" s="1">
        <v>4</v>
      </c>
      <c r="L428" s="1">
        <v>1</v>
      </c>
      <c r="M428" s="4">
        <v>4373</v>
      </c>
      <c r="N428" s="1">
        <v>8034</v>
      </c>
      <c r="O428" s="1">
        <v>16055</v>
      </c>
      <c r="P428" s="1">
        <v>8021</v>
      </c>
      <c r="Q428" s="1" t="s">
        <v>42</v>
      </c>
      <c r="S428" s="1" t="s">
        <v>42</v>
      </c>
      <c r="T428" s="1" t="s">
        <v>51</v>
      </c>
      <c r="U428" s="1">
        <v>1307</v>
      </c>
      <c r="V428" s="5">
        <v>44427</v>
      </c>
      <c r="W428" s="5">
        <v>43026</v>
      </c>
      <c r="AB428" s="1" t="s">
        <v>44</v>
      </c>
      <c r="AF428" s="1">
        <v>10019</v>
      </c>
      <c r="AI428" s="1" t="s">
        <v>160</v>
      </c>
      <c r="AJ428" s="1">
        <v>2016</v>
      </c>
      <c r="AK428" s="1" t="s">
        <v>49</v>
      </c>
      <c r="AL428" s="1">
        <v>109</v>
      </c>
    </row>
    <row r="429" spans="1:38" x14ac:dyDescent="0.2">
      <c r="A429" s="2" t="str">
        <f>HYPERLINK("https://www.compass.com/listing/135-west-52nd-street-unit-29b-manhattan-ny-10019/365753946204417505/","135 W 52nd St, Unit 29B")</f>
        <v>135 W 52nd St, Unit 29B</v>
      </c>
      <c r="B429" s="2" t="str">
        <f t="shared" si="56"/>
        <v>135 W 52nd St</v>
      </c>
      <c r="C429" s="1" t="s">
        <v>219</v>
      </c>
      <c r="D429" s="1" t="s">
        <v>41</v>
      </c>
      <c r="E429" s="3">
        <v>3999000</v>
      </c>
      <c r="F429" s="1">
        <v>1791.6666666666599</v>
      </c>
      <c r="G429" s="1">
        <v>9.5</v>
      </c>
      <c r="H429" s="1">
        <v>3</v>
      </c>
      <c r="I429" s="1">
        <v>4</v>
      </c>
      <c r="J429" s="1">
        <v>3.5</v>
      </c>
      <c r="K429" s="1">
        <v>3</v>
      </c>
      <c r="L429" s="1">
        <v>1</v>
      </c>
      <c r="M429" s="4">
        <v>2232</v>
      </c>
      <c r="N429" s="1">
        <v>3215</v>
      </c>
      <c r="O429" s="1">
        <v>6459</v>
      </c>
      <c r="P429" s="1">
        <v>3244</v>
      </c>
      <c r="Q429" s="1" t="s">
        <v>42</v>
      </c>
      <c r="S429" s="1" t="s">
        <v>42</v>
      </c>
      <c r="T429" s="1" t="s">
        <v>51</v>
      </c>
      <c r="U429" s="1">
        <v>575</v>
      </c>
      <c r="V429" s="5">
        <v>44425</v>
      </c>
      <c r="W429" s="5">
        <v>43756</v>
      </c>
      <c r="X429" s="1">
        <v>5325000</v>
      </c>
      <c r="AB429" s="1" t="s">
        <v>44</v>
      </c>
      <c r="AF429" s="1">
        <v>10019</v>
      </c>
      <c r="AJ429" s="1">
        <v>2016</v>
      </c>
      <c r="AK429" s="1" t="s">
        <v>46</v>
      </c>
      <c r="AL429" s="1">
        <v>109</v>
      </c>
    </row>
    <row r="430" spans="1:38" x14ac:dyDescent="0.2">
      <c r="A430" s="2" t="str">
        <f>HYPERLINK("https://www.compass.com/listing/135-west-52nd-street-unit-26b-manhattan-ny-10019/753648534920912841/","135 W 52nd St, Unit 26B")</f>
        <v>135 W 52nd St, Unit 26B</v>
      </c>
      <c r="B430" s="2" t="str">
        <f t="shared" si="56"/>
        <v>135 W 52nd St</v>
      </c>
      <c r="C430" s="1" t="s">
        <v>219</v>
      </c>
      <c r="D430" s="1" t="s">
        <v>41</v>
      </c>
      <c r="E430" s="3">
        <v>3995000</v>
      </c>
      <c r="F430" s="1">
        <v>1810.1495242410499</v>
      </c>
      <c r="G430" s="1">
        <v>5</v>
      </c>
      <c r="H430" s="1">
        <v>3</v>
      </c>
      <c r="I430" s="1">
        <v>4</v>
      </c>
      <c r="J430" s="1">
        <v>3.5</v>
      </c>
      <c r="K430" s="1">
        <v>3</v>
      </c>
      <c r="L430" s="1">
        <v>1</v>
      </c>
      <c r="M430" s="4">
        <v>2207</v>
      </c>
      <c r="N430" s="1">
        <v>3216</v>
      </c>
      <c r="O430" s="1">
        <v>5946</v>
      </c>
      <c r="P430" s="1">
        <v>2730</v>
      </c>
      <c r="Q430" s="1" t="s">
        <v>42</v>
      </c>
      <c r="S430" s="1" t="s">
        <v>42</v>
      </c>
      <c r="T430" s="1" t="s">
        <v>51</v>
      </c>
      <c r="U430" s="1">
        <v>136</v>
      </c>
      <c r="V430" s="5">
        <v>44420</v>
      </c>
      <c r="W430" s="5">
        <v>44291</v>
      </c>
      <c r="X430" s="1">
        <v>4399000</v>
      </c>
      <c r="AB430" s="1" t="s">
        <v>44</v>
      </c>
      <c r="AF430" s="1">
        <v>10019</v>
      </c>
      <c r="AI430" s="1" t="s">
        <v>220</v>
      </c>
      <c r="AJ430" s="1">
        <v>2016</v>
      </c>
      <c r="AK430" s="1" t="s">
        <v>46</v>
      </c>
      <c r="AL430" s="1">
        <v>109</v>
      </c>
    </row>
    <row r="431" spans="1:38" x14ac:dyDescent="0.2">
      <c r="A431" s="2" t="str">
        <f>HYPERLINK("https://www.compass.com/listing/77-greenwich-street-unit-22b-manhattan-ny-10006/809866142182116825/","77 Greenwich St, Unit 22B")</f>
        <v>77 Greenwich St, Unit 22B</v>
      </c>
      <c r="B431" s="2" t="str">
        <f t="shared" ref="B431:B432" si="57">HYPERLINK("https://www.compass.com/building/jolie-manhattan-ny/282060129363328789/","Jolie")</f>
        <v>Jolie</v>
      </c>
      <c r="C431" s="1" t="s">
        <v>96</v>
      </c>
      <c r="D431" s="1" t="s">
        <v>41</v>
      </c>
      <c r="E431" s="3">
        <v>1680000</v>
      </c>
      <c r="F431" s="1">
        <v>1995.24940617577</v>
      </c>
      <c r="G431" s="1">
        <v>3</v>
      </c>
      <c r="H431" s="1">
        <v>1</v>
      </c>
      <c r="I431" s="1">
        <v>2</v>
      </c>
      <c r="J431" s="1">
        <v>1.5</v>
      </c>
      <c r="K431" s="1">
        <v>1</v>
      </c>
      <c r="L431" s="1">
        <v>1</v>
      </c>
      <c r="M431" s="1">
        <v>842</v>
      </c>
      <c r="N431" s="1">
        <v>871</v>
      </c>
      <c r="O431" s="1">
        <v>2330</v>
      </c>
      <c r="P431" s="1">
        <v>1459</v>
      </c>
      <c r="Q431" s="1" t="s">
        <v>42</v>
      </c>
      <c r="S431" s="1" t="s">
        <v>42</v>
      </c>
      <c r="T431" s="1" t="s">
        <v>51</v>
      </c>
      <c r="U431" s="1">
        <v>55</v>
      </c>
      <c r="V431" s="5">
        <v>44426</v>
      </c>
      <c r="W431" s="5">
        <v>44372</v>
      </c>
      <c r="X431" s="1">
        <v>1680000</v>
      </c>
      <c r="AB431" s="1" t="s">
        <v>44</v>
      </c>
      <c r="AD431" s="1" t="s">
        <v>221</v>
      </c>
      <c r="AE431" s="1" t="s">
        <v>167</v>
      </c>
      <c r="AF431" s="1">
        <v>10006</v>
      </c>
      <c r="AI431" s="1" t="s">
        <v>168</v>
      </c>
      <c r="AJ431" s="1">
        <v>2019</v>
      </c>
      <c r="AK431" s="1" t="s">
        <v>46</v>
      </c>
      <c r="AL431" s="1">
        <v>90</v>
      </c>
    </row>
    <row r="432" spans="1:38" x14ac:dyDescent="0.2">
      <c r="A432" s="2" t="str">
        <f>HYPERLINK("https://www.compass.com/listing/77-greenwich-street-unit-29c-manhattan-ny-10006/809824340599218753/","77 Greenwich St, Unit 29C")</f>
        <v>77 Greenwich St, Unit 29C</v>
      </c>
      <c r="B432" s="2" t="str">
        <f t="shared" si="57"/>
        <v>Jolie</v>
      </c>
      <c r="C432" s="1" t="s">
        <v>96</v>
      </c>
      <c r="D432" s="1" t="s">
        <v>41</v>
      </c>
      <c r="E432" s="3">
        <v>3775000</v>
      </c>
      <c r="F432" s="1">
        <v>1981.62729658792</v>
      </c>
      <c r="G432" s="1">
        <v>5</v>
      </c>
      <c r="H432" s="1">
        <v>3</v>
      </c>
      <c r="I432" s="1">
        <v>4</v>
      </c>
      <c r="J432" s="1">
        <v>3.5</v>
      </c>
      <c r="K432" s="1">
        <v>3</v>
      </c>
      <c r="L432" s="1">
        <v>1</v>
      </c>
      <c r="M432" s="4">
        <v>1905</v>
      </c>
      <c r="N432" s="1">
        <v>1972</v>
      </c>
      <c r="O432" s="1">
        <v>5272</v>
      </c>
      <c r="P432" s="1">
        <v>3300</v>
      </c>
      <c r="Q432" s="1" t="s">
        <v>42</v>
      </c>
      <c r="S432" s="1" t="s">
        <v>42</v>
      </c>
      <c r="T432" s="1" t="s">
        <v>51</v>
      </c>
      <c r="U432" s="1">
        <v>55</v>
      </c>
      <c r="V432" s="5">
        <v>44426</v>
      </c>
      <c r="W432" s="5">
        <v>44372</v>
      </c>
      <c r="X432" s="1">
        <v>3775000</v>
      </c>
      <c r="AB432" s="1" t="s">
        <v>44</v>
      </c>
      <c r="AD432" s="1" t="s">
        <v>166</v>
      </c>
      <c r="AE432" s="1" t="s">
        <v>167</v>
      </c>
      <c r="AF432" s="1">
        <v>10006</v>
      </c>
      <c r="AI432" s="1" t="s">
        <v>168</v>
      </c>
      <c r="AJ432" s="1">
        <v>2019</v>
      </c>
      <c r="AK432" s="1" t="s">
        <v>46</v>
      </c>
      <c r="AL432" s="1">
        <v>90</v>
      </c>
    </row>
    <row r="433" spans="1:38" x14ac:dyDescent="0.2">
      <c r="A433" s="2" t="str">
        <f>HYPERLINK("https://www.compass.com/listing/50-west-street-unit-19a-manhattan-ny-10006/803963033055564129/","50 West St, Unit 19A")</f>
        <v>50 West St, Unit 19A</v>
      </c>
      <c r="B433" s="2" t="str">
        <f>HYPERLINK("https://www.compass.com/building/50-west-st-manhattan-ny-10006/281896342152815429/","50 West St")</f>
        <v>50 West St</v>
      </c>
      <c r="C433" s="1" t="s">
        <v>96</v>
      </c>
      <c r="D433" s="1" t="s">
        <v>41</v>
      </c>
      <c r="E433" s="3">
        <v>2675000</v>
      </c>
      <c r="F433" s="1">
        <v>1609.5066185318799</v>
      </c>
      <c r="G433" s="1">
        <v>4</v>
      </c>
      <c r="H433" s="1">
        <v>2</v>
      </c>
      <c r="I433" s="1">
        <v>3</v>
      </c>
      <c r="J433" s="1">
        <v>2.5</v>
      </c>
      <c r="K433" s="1">
        <v>2</v>
      </c>
      <c r="L433" s="1">
        <v>1</v>
      </c>
      <c r="M433" s="4">
        <v>1662</v>
      </c>
      <c r="N433" s="1">
        <v>1993</v>
      </c>
      <c r="O433" s="1">
        <v>4344</v>
      </c>
      <c r="P433" s="1">
        <v>2351</v>
      </c>
      <c r="Q433" s="1" t="s">
        <v>42</v>
      </c>
      <c r="S433" s="1" t="s">
        <v>42</v>
      </c>
      <c r="T433" s="1" t="s">
        <v>51</v>
      </c>
      <c r="U433" s="1">
        <v>67</v>
      </c>
      <c r="V433" s="5">
        <v>44427</v>
      </c>
      <c r="W433" s="5">
        <v>44360</v>
      </c>
      <c r="X433" s="1">
        <v>2749000</v>
      </c>
      <c r="AB433" s="1" t="s">
        <v>44</v>
      </c>
      <c r="AF433" s="1">
        <v>10006</v>
      </c>
      <c r="AI433" s="1" t="s">
        <v>165</v>
      </c>
      <c r="AJ433" s="1">
        <v>2016</v>
      </c>
      <c r="AK433" s="1" t="s">
        <v>46</v>
      </c>
      <c r="AL433" s="1">
        <v>186</v>
      </c>
    </row>
    <row r="434" spans="1:38" x14ac:dyDescent="0.2">
      <c r="A434" s="2" t="str">
        <f>HYPERLINK("https://www.compass.com/listing/252-south-street-unit-58e-manhattan-ny-10002/821843894296872729/","252 South St, Unit 58E")</f>
        <v>252 South St, Unit 58E</v>
      </c>
      <c r="B434" s="2" t="str">
        <f>HYPERLINK("https://www.compass.com/building/one-manhattan-square-manhattan-ny/294844950218926165/","One Manhattan Square")</f>
        <v>One Manhattan Square</v>
      </c>
      <c r="C434" s="1" t="s">
        <v>47</v>
      </c>
      <c r="D434" s="1" t="s">
        <v>41</v>
      </c>
      <c r="E434" s="3">
        <v>2740000</v>
      </c>
      <c r="F434" s="1">
        <v>1957.1428571428501</v>
      </c>
      <c r="G434" s="1">
        <v>5</v>
      </c>
      <c r="H434" s="1">
        <v>3</v>
      </c>
      <c r="I434" s="1">
        <v>2</v>
      </c>
      <c r="J434" s="1">
        <v>2</v>
      </c>
      <c r="K434" s="1">
        <v>2</v>
      </c>
      <c r="M434" s="4">
        <v>1400</v>
      </c>
      <c r="N434" s="1">
        <v>1859</v>
      </c>
      <c r="O434" s="1">
        <v>1888</v>
      </c>
      <c r="P434" s="1">
        <v>29</v>
      </c>
      <c r="Q434" s="1" t="s">
        <v>42</v>
      </c>
      <c r="S434" s="1" t="s">
        <v>42</v>
      </c>
      <c r="T434" s="1" t="s">
        <v>51</v>
      </c>
      <c r="U434" s="1">
        <v>42</v>
      </c>
      <c r="V434" s="5">
        <v>44415</v>
      </c>
      <c r="W434" s="5">
        <v>44385</v>
      </c>
      <c r="X434" s="1">
        <v>2740000</v>
      </c>
      <c r="AB434" s="1" t="s">
        <v>44</v>
      </c>
      <c r="AF434" s="1">
        <v>10002</v>
      </c>
      <c r="AI434" s="1" t="s">
        <v>191</v>
      </c>
      <c r="AJ434" s="1">
        <v>2019</v>
      </c>
      <c r="AK434" s="1" t="s">
        <v>46</v>
      </c>
      <c r="AL434" s="1">
        <v>787</v>
      </c>
    </row>
    <row r="435" spans="1:38" x14ac:dyDescent="0.2">
      <c r="A435" s="2" t="str">
        <f>HYPERLINK("https://www.compass.com/listing/130-william-street-unit-40a-manhattan-ny-10038/799307288911906505/","130 William St, Unit 40A")</f>
        <v>130 William St, Unit 40A</v>
      </c>
      <c r="B435" s="2" t="str">
        <f>HYPERLINK("https://www.compass.com/building/130-william-st-manhattan-ny-10038/282029682239486757/","130 William St")</f>
        <v>130 William St</v>
      </c>
      <c r="C435" s="1" t="s">
        <v>96</v>
      </c>
      <c r="D435" s="1" t="s">
        <v>41</v>
      </c>
      <c r="E435" s="3">
        <v>1906323</v>
      </c>
      <c r="F435" s="1">
        <v>2158.9161947904799</v>
      </c>
      <c r="G435" s="1">
        <v>3</v>
      </c>
      <c r="H435" s="1">
        <v>1</v>
      </c>
      <c r="I435" s="1">
        <v>1</v>
      </c>
      <c r="J435" s="1">
        <v>1</v>
      </c>
      <c r="K435" s="1">
        <v>1</v>
      </c>
      <c r="M435" s="1">
        <v>883</v>
      </c>
      <c r="N435" s="1">
        <v>634</v>
      </c>
      <c r="O435" s="1">
        <v>1863</v>
      </c>
      <c r="P435" s="1">
        <v>1229</v>
      </c>
      <c r="Q435" s="1" t="s">
        <v>42</v>
      </c>
      <c r="S435" s="1" t="s">
        <v>42</v>
      </c>
      <c r="T435" s="1" t="s">
        <v>51</v>
      </c>
      <c r="U435" s="1">
        <v>16</v>
      </c>
      <c r="V435" s="5">
        <v>44418</v>
      </c>
      <c r="W435" s="5">
        <v>44354</v>
      </c>
      <c r="X435" s="1">
        <v>1875990</v>
      </c>
      <c r="Y435" s="1">
        <v>1875990</v>
      </c>
      <c r="Z435" s="5">
        <v>44361</v>
      </c>
      <c r="AA435" s="1">
        <v>1906323</v>
      </c>
      <c r="AB435" s="1" t="s">
        <v>44</v>
      </c>
      <c r="AC435" s="5">
        <v>44412</v>
      </c>
      <c r="AF435" s="1">
        <v>10038</v>
      </c>
      <c r="AI435" s="1" t="s">
        <v>111</v>
      </c>
      <c r="AJ435" s="1">
        <v>2020</v>
      </c>
      <c r="AK435" s="1" t="s">
        <v>46</v>
      </c>
      <c r="AL435" s="1">
        <v>244</v>
      </c>
    </row>
    <row r="436" spans="1:38" x14ac:dyDescent="0.2">
      <c r="A436" s="2" t="str">
        <f>HYPERLINK("https://www.compass.com/listing/77-greenwich-street-unit-17d-manhattan-ny-10006/809822331225679409/","77 Greenwich St, Unit 17D")</f>
        <v>77 Greenwich St, Unit 17D</v>
      </c>
      <c r="B436" s="2" t="str">
        <f t="shared" ref="B436:B437" si="58">HYPERLINK("https://www.compass.com/building/jolie-manhattan-ny/282060129363328789/","Jolie")</f>
        <v>Jolie</v>
      </c>
      <c r="C436" s="1" t="s">
        <v>96</v>
      </c>
      <c r="D436" s="1" t="s">
        <v>41</v>
      </c>
      <c r="E436" s="3">
        <v>2280000</v>
      </c>
      <c r="F436" s="1">
        <v>1663.01969365426</v>
      </c>
      <c r="G436" s="1">
        <v>5</v>
      </c>
      <c r="H436" s="1">
        <v>2</v>
      </c>
      <c r="I436" s="1">
        <v>3</v>
      </c>
      <c r="J436" s="1">
        <v>2.5</v>
      </c>
      <c r="K436" s="1">
        <v>2</v>
      </c>
      <c r="L436" s="1">
        <v>1</v>
      </c>
      <c r="M436" s="4">
        <v>1371</v>
      </c>
      <c r="N436" s="1">
        <v>1419</v>
      </c>
      <c r="O436" s="1">
        <v>3794</v>
      </c>
      <c r="P436" s="1">
        <v>2375</v>
      </c>
      <c r="Q436" s="1" t="s">
        <v>42</v>
      </c>
      <c r="S436" s="1" t="s">
        <v>42</v>
      </c>
      <c r="T436" s="1" t="s">
        <v>51</v>
      </c>
      <c r="U436" s="1">
        <v>55</v>
      </c>
      <c r="V436" s="5">
        <v>44426</v>
      </c>
      <c r="W436" s="5">
        <v>44372</v>
      </c>
      <c r="X436" s="1">
        <v>2280000</v>
      </c>
      <c r="AB436" s="1" t="s">
        <v>44</v>
      </c>
      <c r="AD436" s="1" t="s">
        <v>166</v>
      </c>
      <c r="AE436" s="1" t="s">
        <v>167</v>
      </c>
      <c r="AF436" s="1">
        <v>10006</v>
      </c>
      <c r="AI436" s="1" t="s">
        <v>168</v>
      </c>
      <c r="AJ436" s="1">
        <v>2019</v>
      </c>
      <c r="AK436" s="1" t="s">
        <v>46</v>
      </c>
      <c r="AL436" s="1">
        <v>90</v>
      </c>
    </row>
    <row r="437" spans="1:38" x14ac:dyDescent="0.2">
      <c r="A437" s="2" t="str">
        <f>HYPERLINK("https://www.compass.com/listing/77-greenwich-street-unit-19c-manhattan-ny-10006/809809525537239065/","77 Greenwich St, Unit 19C")</f>
        <v>77 Greenwich St, Unit 19C</v>
      </c>
      <c r="B437" s="2" t="str">
        <f t="shared" si="58"/>
        <v>Jolie</v>
      </c>
      <c r="C437" s="1" t="s">
        <v>96</v>
      </c>
      <c r="D437" s="1" t="s">
        <v>41</v>
      </c>
      <c r="E437" s="3">
        <v>2250000</v>
      </c>
      <c r="F437" s="1">
        <v>1694.2771084337301</v>
      </c>
      <c r="G437" s="1">
        <v>5</v>
      </c>
      <c r="H437" s="1">
        <v>2</v>
      </c>
      <c r="I437" s="1">
        <v>3</v>
      </c>
      <c r="J437" s="1">
        <v>2.5</v>
      </c>
      <c r="K437" s="1">
        <v>2</v>
      </c>
      <c r="L437" s="1">
        <v>1</v>
      </c>
      <c r="M437" s="4">
        <v>1328</v>
      </c>
      <c r="N437" s="1">
        <v>1374</v>
      </c>
      <c r="O437" s="1">
        <v>3675</v>
      </c>
      <c r="P437" s="1">
        <v>2301</v>
      </c>
      <c r="Q437" s="1" t="s">
        <v>42</v>
      </c>
      <c r="S437" s="1" t="s">
        <v>42</v>
      </c>
      <c r="T437" s="1" t="s">
        <v>51</v>
      </c>
      <c r="U437" s="1">
        <v>55</v>
      </c>
      <c r="V437" s="5">
        <v>44426</v>
      </c>
      <c r="W437" s="5">
        <v>44372</v>
      </c>
      <c r="X437" s="1">
        <v>2250000</v>
      </c>
      <c r="AB437" s="1" t="s">
        <v>44</v>
      </c>
      <c r="AD437" s="1" t="s">
        <v>166</v>
      </c>
      <c r="AE437" s="1" t="s">
        <v>167</v>
      </c>
      <c r="AF437" s="1">
        <v>10006</v>
      </c>
      <c r="AI437" s="1" t="s">
        <v>222</v>
      </c>
      <c r="AJ437" s="1">
        <v>2019</v>
      </c>
      <c r="AK437" s="1" t="s">
        <v>46</v>
      </c>
      <c r="AL437" s="1">
        <v>90</v>
      </c>
    </row>
    <row r="438" spans="1:38" x14ac:dyDescent="0.2">
      <c r="A438" s="2" t="str">
        <f>HYPERLINK("https://www.compass.com/listing/130-william-street-unit-24b-manhattan-ny-10038/46348116466600913/","130 William St, Unit 24B")</f>
        <v>130 William St, Unit 24B</v>
      </c>
      <c r="B438" s="2" t="str">
        <f>HYPERLINK("https://www.compass.com/building/130-william-st-manhattan-ny-10038/282029682239486757/","130 William St")</f>
        <v>130 William St</v>
      </c>
      <c r="C438" s="1" t="s">
        <v>96</v>
      </c>
      <c r="D438" s="1" t="s">
        <v>41</v>
      </c>
      <c r="E438" s="3">
        <v>2895990</v>
      </c>
      <c r="F438" s="1">
        <v>1911.54455445544</v>
      </c>
      <c r="G438" s="1">
        <v>5</v>
      </c>
      <c r="H438" s="1">
        <v>3</v>
      </c>
      <c r="I438" s="1">
        <v>2</v>
      </c>
      <c r="J438" s="1">
        <v>2</v>
      </c>
      <c r="K438" s="1">
        <v>2</v>
      </c>
      <c r="M438" s="4">
        <v>1515</v>
      </c>
      <c r="N438" s="1">
        <v>1057.05</v>
      </c>
      <c r="O438" s="1">
        <v>3104.8999999999901</v>
      </c>
      <c r="P438" s="1">
        <v>2047.8333333333301</v>
      </c>
      <c r="Q438" s="1" t="s">
        <v>42</v>
      </c>
      <c r="S438" s="1" t="s">
        <v>42</v>
      </c>
      <c r="T438" s="1" t="s">
        <v>51</v>
      </c>
      <c r="U438" s="1">
        <v>64</v>
      </c>
      <c r="V438" s="5">
        <v>44423</v>
      </c>
      <c r="W438" s="5">
        <v>44355</v>
      </c>
      <c r="X438" s="1">
        <v>2875990</v>
      </c>
      <c r="AB438" s="1" t="s">
        <v>44</v>
      </c>
      <c r="AF438" s="1">
        <v>10038</v>
      </c>
      <c r="AI438" s="1" t="s">
        <v>111</v>
      </c>
      <c r="AJ438" s="1">
        <v>2020</v>
      </c>
      <c r="AK438" s="1" t="s">
        <v>46</v>
      </c>
      <c r="AL438" s="1">
        <v>244</v>
      </c>
    </row>
    <row r="439" spans="1:38" x14ac:dyDescent="0.2">
      <c r="A439" s="2" t="str">
        <f>HYPERLINK("https://www.compass.com/listing/5-beekman-street-unit-43a-manhattan-ny-10038/735459161121678457/","5 Beekman St, Unit 43A")</f>
        <v>5 Beekman St, Unit 43A</v>
      </c>
      <c r="B439" s="2" t="str">
        <f>HYPERLINK("https://www.compass.com/building/the-beekman-residences-manhattan-ny/282030567363458613/","The Beekman Residences")</f>
        <v>The Beekman Residences</v>
      </c>
      <c r="C439" s="1" t="s">
        <v>96</v>
      </c>
      <c r="D439" s="1" t="s">
        <v>41</v>
      </c>
      <c r="E439" s="3">
        <v>3250000</v>
      </c>
      <c r="F439" s="1">
        <v>2001.2315270935901</v>
      </c>
      <c r="G439" s="1">
        <v>4</v>
      </c>
      <c r="H439" s="1">
        <v>2</v>
      </c>
      <c r="I439" s="1">
        <v>3</v>
      </c>
      <c r="J439" s="1">
        <v>2.5</v>
      </c>
      <c r="K439" s="1">
        <v>2</v>
      </c>
      <c r="L439" s="1">
        <v>1</v>
      </c>
      <c r="M439" s="4">
        <v>1624</v>
      </c>
      <c r="N439" s="1">
        <v>2253</v>
      </c>
      <c r="O439" s="1">
        <v>4552</v>
      </c>
      <c r="P439" s="1">
        <v>2299</v>
      </c>
      <c r="Q439" s="1" t="s">
        <v>42</v>
      </c>
      <c r="S439" s="1" t="s">
        <v>42</v>
      </c>
      <c r="T439" s="1" t="s">
        <v>51</v>
      </c>
      <c r="U439" s="1">
        <v>130</v>
      </c>
      <c r="V439" s="5">
        <v>44427</v>
      </c>
      <c r="W439" s="5">
        <v>44266</v>
      </c>
      <c r="X439" s="1">
        <v>3295000</v>
      </c>
      <c r="Z439" s="5">
        <v>44328</v>
      </c>
      <c r="AB439" s="1" t="s">
        <v>44</v>
      </c>
      <c r="AF439" s="1">
        <v>10038</v>
      </c>
      <c r="AI439" s="1" t="s">
        <v>140</v>
      </c>
      <c r="AJ439" s="1">
        <v>2015</v>
      </c>
      <c r="AK439" s="1" t="s">
        <v>49</v>
      </c>
      <c r="AL439" s="1">
        <v>67</v>
      </c>
    </row>
    <row r="440" spans="1:38" x14ac:dyDescent="0.2">
      <c r="A440" s="2" t="str">
        <f>HYPERLINK("https://www.compass.com/listing/171-henry-street-unit-2a-manhattan-ny-10002/29515206392607169/","171 Henry St, Unit 2A")</f>
        <v>171 Henry St, Unit 2A</v>
      </c>
      <c r="B440" s="2" t="str">
        <f t="shared" ref="B440:B441" si="59">HYPERLINK("https://www.compass.com/building/171-henry-street-manhattan-ny/294837097231611189/","171 Henry Street")</f>
        <v>171 Henry Street</v>
      </c>
      <c r="C440" s="1" t="s">
        <v>47</v>
      </c>
      <c r="D440" s="1" t="s">
        <v>41</v>
      </c>
      <c r="E440" s="3">
        <v>799000</v>
      </c>
      <c r="F440" s="1">
        <v>1157.9710144927501</v>
      </c>
      <c r="G440" s="1">
        <v>2</v>
      </c>
      <c r="H440" s="1" t="s">
        <v>153</v>
      </c>
      <c r="I440" s="1">
        <v>1</v>
      </c>
      <c r="J440" s="1">
        <v>1</v>
      </c>
      <c r="K440" s="1">
        <v>1</v>
      </c>
      <c r="M440" s="1">
        <v>690</v>
      </c>
      <c r="N440" s="1">
        <v>606</v>
      </c>
      <c r="O440" s="1">
        <v>1513</v>
      </c>
      <c r="P440" s="1">
        <v>907</v>
      </c>
      <c r="Q440" s="1" t="s">
        <v>42</v>
      </c>
      <c r="S440" s="1" t="s">
        <v>42</v>
      </c>
      <c r="T440" s="1" t="s">
        <v>51</v>
      </c>
      <c r="U440" s="1">
        <v>331</v>
      </c>
      <c r="V440" s="5">
        <v>44427</v>
      </c>
      <c r="W440" s="5">
        <v>44096</v>
      </c>
      <c r="X440" s="1">
        <v>799000</v>
      </c>
      <c r="AB440" s="1" t="s">
        <v>44</v>
      </c>
      <c r="AF440" s="1">
        <v>10002</v>
      </c>
      <c r="AI440" s="1" t="s">
        <v>138</v>
      </c>
      <c r="AJ440" s="1">
        <v>2017</v>
      </c>
      <c r="AL440" s="1">
        <v>20</v>
      </c>
    </row>
    <row r="441" spans="1:38" x14ac:dyDescent="0.2">
      <c r="A441" s="2" t="str">
        <f>HYPERLINK("https://www.compass.com/listing/171-henry-street-unit-4d-manhattan-ny-10002/94755262392510705/","171 Henry St, Unit 4D")</f>
        <v>171 Henry St, Unit 4D</v>
      </c>
      <c r="B441" s="2" t="str">
        <f t="shared" si="59"/>
        <v>171 Henry Street</v>
      </c>
      <c r="C441" s="1" t="s">
        <v>47</v>
      </c>
      <c r="D441" s="1" t="s">
        <v>41</v>
      </c>
      <c r="E441" s="3">
        <v>1095000</v>
      </c>
      <c r="F441" s="1">
        <v>1018.60465116279</v>
      </c>
      <c r="G441" s="1">
        <v>3</v>
      </c>
      <c r="H441" s="1">
        <v>1</v>
      </c>
      <c r="I441" s="1">
        <v>2</v>
      </c>
      <c r="J441" s="1">
        <v>1.5</v>
      </c>
      <c r="K441" s="1">
        <v>1</v>
      </c>
      <c r="L441" s="1">
        <v>1</v>
      </c>
      <c r="M441" s="4">
        <v>1075</v>
      </c>
      <c r="N441" s="1">
        <v>942</v>
      </c>
      <c r="O441" s="1">
        <v>2351</v>
      </c>
      <c r="P441" s="1">
        <v>1409</v>
      </c>
      <c r="Q441" s="1" t="s">
        <v>42</v>
      </c>
      <c r="S441" s="1" t="s">
        <v>42</v>
      </c>
      <c r="T441" s="1" t="s">
        <v>51</v>
      </c>
      <c r="U441" s="1">
        <v>423</v>
      </c>
      <c r="V441" s="5">
        <v>44421</v>
      </c>
      <c r="W441" s="5">
        <v>43910</v>
      </c>
      <c r="X441" s="1">
        <v>1095000</v>
      </c>
      <c r="AB441" s="1" t="s">
        <v>44</v>
      </c>
      <c r="AF441" s="1">
        <v>10002</v>
      </c>
      <c r="AI441" s="1" t="s">
        <v>135</v>
      </c>
      <c r="AJ441" s="1">
        <v>2017</v>
      </c>
      <c r="AL441" s="1">
        <v>20</v>
      </c>
    </row>
    <row r="442" spans="1:38" x14ac:dyDescent="0.2">
      <c r="A442" s="2" t="str">
        <f>HYPERLINK("https://www.compass.com/listing/196-orchard-street-unit-5n-manhattan-ny-10002/573645985543279929/","196 Orchard St, Unit 5N")</f>
        <v>196 Orchard St, Unit 5N</v>
      </c>
      <c r="B442" s="2" t="str">
        <f>HYPERLINK("https://www.compass.com/building/196-orchard-st-manhattan-ny-10002/281886194713760485/","196 Orchard St")</f>
        <v>196 Orchard St</v>
      </c>
      <c r="C442" s="1" t="s">
        <v>47</v>
      </c>
      <c r="D442" s="1" t="s">
        <v>41</v>
      </c>
      <c r="E442" s="3">
        <v>1195000</v>
      </c>
      <c r="F442" s="1">
        <v>1838.4615384615299</v>
      </c>
      <c r="G442" s="1">
        <v>1</v>
      </c>
      <c r="H442" s="1" t="s">
        <v>99</v>
      </c>
      <c r="J442" s="1">
        <v>1</v>
      </c>
      <c r="M442" s="1">
        <v>650</v>
      </c>
      <c r="N442" s="1">
        <v>950</v>
      </c>
      <c r="O442" s="1">
        <v>2000</v>
      </c>
      <c r="P442" s="1">
        <v>1050</v>
      </c>
      <c r="S442" s="1" t="s">
        <v>42</v>
      </c>
      <c r="T442" s="1" t="s">
        <v>51</v>
      </c>
      <c r="U442" s="1">
        <v>180</v>
      </c>
      <c r="V442" s="5">
        <v>44424</v>
      </c>
      <c r="W442" s="5">
        <v>44246</v>
      </c>
      <c r="X442" s="1">
        <v>1250000</v>
      </c>
      <c r="AB442" s="1" t="s">
        <v>44</v>
      </c>
      <c r="AF442" s="1">
        <v>10002</v>
      </c>
      <c r="AI442" s="1" t="s">
        <v>165</v>
      </c>
      <c r="AJ442" s="1">
        <v>2018</v>
      </c>
      <c r="AK442" s="1" t="s">
        <v>125</v>
      </c>
      <c r="AL442" s="1">
        <v>89</v>
      </c>
    </row>
    <row r="443" spans="1:38" x14ac:dyDescent="0.2">
      <c r="A443" s="2" t="str">
        <f>HYPERLINK("https://www.compass.com/listing/171-henry-street-unit-6a-manhattan-ny-10002/268829857201295121/","171 Henry St, Unit 6A")</f>
        <v>171 Henry St, Unit 6A</v>
      </c>
      <c r="B443" s="2" t="str">
        <f>HYPERLINK("https://www.compass.com/building/171-henry-street-manhattan-ny/294837097231611189/","171 Henry Street")</f>
        <v>171 Henry Street</v>
      </c>
      <c r="C443" s="1" t="s">
        <v>47</v>
      </c>
      <c r="D443" s="1" t="s">
        <v>41</v>
      </c>
      <c r="E443" s="3">
        <v>799000</v>
      </c>
      <c r="F443" s="1">
        <v>1157.9710144927501</v>
      </c>
      <c r="G443" s="1">
        <v>2.5</v>
      </c>
      <c r="H443" s="1" t="s">
        <v>153</v>
      </c>
      <c r="I443" s="1">
        <v>1</v>
      </c>
      <c r="J443" s="1">
        <v>1</v>
      </c>
      <c r="K443" s="1">
        <v>1</v>
      </c>
      <c r="M443" s="1">
        <v>690</v>
      </c>
      <c r="N443" s="1">
        <v>618</v>
      </c>
      <c r="O443" s="1">
        <v>1542</v>
      </c>
      <c r="P443" s="1">
        <v>924</v>
      </c>
      <c r="Q443" s="1" t="s">
        <v>42</v>
      </c>
      <c r="S443" s="1" t="s">
        <v>42</v>
      </c>
      <c r="T443" s="1" t="s">
        <v>51</v>
      </c>
      <c r="U443" s="1">
        <v>711</v>
      </c>
      <c r="V443" s="5">
        <v>44427</v>
      </c>
      <c r="W443" s="5">
        <v>43622</v>
      </c>
      <c r="X443" s="1">
        <v>850680</v>
      </c>
      <c r="AB443" s="1" t="s">
        <v>44</v>
      </c>
      <c r="AF443" s="1">
        <v>10002</v>
      </c>
      <c r="AI443" s="1" t="s">
        <v>135</v>
      </c>
      <c r="AJ443" s="1">
        <v>2017</v>
      </c>
      <c r="AL443" s="1">
        <v>20</v>
      </c>
    </row>
    <row r="444" spans="1:38" x14ac:dyDescent="0.2">
      <c r="A444" s="2" t="str">
        <f>HYPERLINK("https://www.compass.com/listing/50-west-street-unit-52d1-manhattan-ny-10006/789871342247783673/","50 West St, Unit 52D1")</f>
        <v>50 West St, Unit 52D1</v>
      </c>
      <c r="B444" s="2" t="str">
        <f>HYPERLINK("https://www.compass.com/building/50-west-st-manhattan-ny-10006/281896342152815429/","50 West St")</f>
        <v>50 West St</v>
      </c>
      <c r="C444" s="1" t="s">
        <v>96</v>
      </c>
      <c r="D444" s="1" t="s">
        <v>41</v>
      </c>
      <c r="E444" s="3">
        <v>2995000</v>
      </c>
      <c r="F444" s="1">
        <v>2380.76311605723</v>
      </c>
      <c r="G444" s="1">
        <v>4</v>
      </c>
      <c r="H444" s="1">
        <v>2</v>
      </c>
      <c r="I444" s="1">
        <v>2</v>
      </c>
      <c r="J444" s="1">
        <v>2</v>
      </c>
      <c r="K444" s="1">
        <v>2</v>
      </c>
      <c r="M444" s="4">
        <v>1258</v>
      </c>
      <c r="N444" s="1">
        <v>1670</v>
      </c>
      <c r="O444" s="1">
        <v>4170</v>
      </c>
      <c r="P444" s="1">
        <v>2500</v>
      </c>
      <c r="Q444" s="1" t="s">
        <v>42</v>
      </c>
      <c r="S444" s="1" t="s">
        <v>42</v>
      </c>
      <c r="T444" s="1" t="s">
        <v>51</v>
      </c>
      <c r="U444" s="1">
        <v>86</v>
      </c>
      <c r="V444" s="5">
        <v>44427</v>
      </c>
      <c r="W444" s="5">
        <v>44341</v>
      </c>
      <c r="X444" s="1">
        <v>2995000</v>
      </c>
      <c r="AB444" s="1" t="s">
        <v>44</v>
      </c>
      <c r="AF444" s="1">
        <v>10006</v>
      </c>
      <c r="AI444" s="1" t="s">
        <v>97</v>
      </c>
      <c r="AJ444" s="1">
        <v>2016</v>
      </c>
      <c r="AK444" s="1" t="s">
        <v>49</v>
      </c>
      <c r="AL444" s="1">
        <v>186</v>
      </c>
    </row>
    <row r="445" spans="1:38" x14ac:dyDescent="0.2">
      <c r="A445" s="2" t="str">
        <f>HYPERLINK("https://www.compass.com/listing/5-beekman-street-unit-38ab-manhattan-ny-10038/612174474699299873/","5 Beekman St, Unit 38AB")</f>
        <v>5 Beekman St, Unit 38AB</v>
      </c>
      <c r="B445" s="2" t="str">
        <f>HYPERLINK("https://www.compass.com/building/the-beekman-residences-manhattan-ny/282030567363458613/","The Beekman Residences")</f>
        <v>The Beekman Residences</v>
      </c>
      <c r="C445" s="1" t="s">
        <v>96</v>
      </c>
      <c r="D445" s="1" t="s">
        <v>41</v>
      </c>
      <c r="E445" s="3">
        <v>8999000</v>
      </c>
      <c r="F445" s="1">
        <v>2815.7071339173899</v>
      </c>
      <c r="G445" s="1">
        <v>10</v>
      </c>
      <c r="H445" s="1">
        <v>4</v>
      </c>
      <c r="I445" s="1">
        <v>5</v>
      </c>
      <c r="J445" s="1">
        <v>5</v>
      </c>
      <c r="K445" s="1">
        <v>5</v>
      </c>
      <c r="M445" s="4">
        <v>3196</v>
      </c>
      <c r="N445" s="1">
        <v>5629</v>
      </c>
      <c r="O445" s="1">
        <v>13098</v>
      </c>
      <c r="P445" s="1">
        <v>7469</v>
      </c>
      <c r="Q445" s="1" t="s">
        <v>42</v>
      </c>
      <c r="S445" s="1" t="s">
        <v>42</v>
      </c>
      <c r="T445" s="1" t="s">
        <v>51</v>
      </c>
      <c r="U445" s="1">
        <v>331</v>
      </c>
      <c r="V445" s="5">
        <v>44427</v>
      </c>
      <c r="W445" s="5">
        <v>44096</v>
      </c>
      <c r="X445" s="1">
        <v>9495000</v>
      </c>
      <c r="AB445" s="1" t="s">
        <v>44</v>
      </c>
      <c r="AF445" s="1">
        <v>10038</v>
      </c>
      <c r="AI445" s="1" t="s">
        <v>140</v>
      </c>
      <c r="AJ445" s="1">
        <v>2015</v>
      </c>
      <c r="AK445" s="1" t="s">
        <v>49</v>
      </c>
      <c r="AL445" s="1">
        <v>67</v>
      </c>
    </row>
    <row r="446" spans="1:38" x14ac:dyDescent="0.2">
      <c r="A446" s="2" t="str">
        <f>HYPERLINK("https://www.compass.com/listing/50-clinton-street-unit-2c-manhattan-ny-10002/801633918059128849/","50 Clinton St, Unit 2C")</f>
        <v>50 Clinton St, Unit 2C</v>
      </c>
      <c r="B446" s="2" t="str">
        <f>HYPERLINK("https://www.compass.com/building/50-clinton-manhattan-ny/281887574832709909/","50 Clinton")</f>
        <v>50 Clinton</v>
      </c>
      <c r="C446" s="1" t="s">
        <v>47</v>
      </c>
      <c r="D446" s="1" t="s">
        <v>41</v>
      </c>
      <c r="E446" s="3">
        <v>2140000</v>
      </c>
      <c r="F446" s="1">
        <v>1873.9054290718</v>
      </c>
      <c r="G446" s="1">
        <v>5</v>
      </c>
      <c r="H446" s="1">
        <v>2</v>
      </c>
      <c r="I446" s="1">
        <v>2</v>
      </c>
      <c r="J446" s="1">
        <v>2</v>
      </c>
      <c r="K446" s="1">
        <v>2</v>
      </c>
      <c r="M446" s="4">
        <v>1142</v>
      </c>
      <c r="N446" s="1">
        <v>1330</v>
      </c>
      <c r="O446" s="1">
        <v>2630</v>
      </c>
      <c r="P446" s="1">
        <v>1300</v>
      </c>
      <c r="Q446" s="1" t="s">
        <v>42</v>
      </c>
      <c r="S446" s="1" t="s">
        <v>42</v>
      </c>
      <c r="T446" s="1" t="s">
        <v>51</v>
      </c>
      <c r="U446" s="1">
        <v>167</v>
      </c>
      <c r="V446" s="5">
        <v>44427</v>
      </c>
      <c r="W446" s="5">
        <v>44260</v>
      </c>
      <c r="X446" s="1">
        <v>2140000</v>
      </c>
      <c r="AB446" s="1" t="s">
        <v>44</v>
      </c>
      <c r="AF446" s="1">
        <v>10002</v>
      </c>
      <c r="AI446" s="1" t="s">
        <v>48</v>
      </c>
      <c r="AJ446" s="1">
        <v>2016</v>
      </c>
      <c r="AK446" s="1" t="s">
        <v>49</v>
      </c>
      <c r="AL446" s="1">
        <v>37</v>
      </c>
    </row>
    <row r="447" spans="1:38" x14ac:dyDescent="0.2">
      <c r="A447" s="2" t="str">
        <f>HYPERLINK("https://www.compass.com/listing/196-orchard-street-unit-7j-manhattan-ny-10002/779133582185215673/","196 Orchard St, Unit 7J")</f>
        <v>196 Orchard St, Unit 7J</v>
      </c>
      <c r="B447" s="2" t="str">
        <f t="shared" ref="B447:B448" si="60">HYPERLINK("https://www.compass.com/building/196-orchard-st-manhattan-ny-10002/281886194713760485/","196 Orchard St")</f>
        <v>196 Orchard St</v>
      </c>
      <c r="C447" s="1" t="s">
        <v>47</v>
      </c>
      <c r="D447" s="1" t="s">
        <v>41</v>
      </c>
      <c r="E447" s="3">
        <v>1500000</v>
      </c>
      <c r="F447" s="1">
        <v>2046.3847203274199</v>
      </c>
      <c r="G447" s="1">
        <v>3</v>
      </c>
      <c r="H447" s="1">
        <v>1</v>
      </c>
      <c r="I447" s="1">
        <v>1</v>
      </c>
      <c r="J447" s="1">
        <v>1</v>
      </c>
      <c r="K447" s="1">
        <v>1</v>
      </c>
      <c r="M447" s="1">
        <v>733</v>
      </c>
      <c r="N447" s="1">
        <v>973</v>
      </c>
      <c r="O447" s="1">
        <v>2172.2799999999902</v>
      </c>
      <c r="P447" s="1">
        <v>1199.25</v>
      </c>
      <c r="Q447" s="1" t="s">
        <v>42</v>
      </c>
      <c r="S447" s="1" t="s">
        <v>42</v>
      </c>
      <c r="T447" s="1" t="s">
        <v>51</v>
      </c>
      <c r="U447" s="1">
        <v>101</v>
      </c>
      <c r="V447" s="5">
        <v>44425</v>
      </c>
      <c r="W447" s="5">
        <v>44326</v>
      </c>
      <c r="X447" s="1">
        <v>1500000</v>
      </c>
      <c r="AB447" s="1" t="s">
        <v>44</v>
      </c>
      <c r="AF447" s="1">
        <v>10002</v>
      </c>
      <c r="AI447" s="1" t="s">
        <v>165</v>
      </c>
      <c r="AJ447" s="1">
        <v>2018</v>
      </c>
      <c r="AK447" s="1" t="s">
        <v>46</v>
      </c>
      <c r="AL447" s="1">
        <v>89</v>
      </c>
    </row>
    <row r="448" spans="1:38" x14ac:dyDescent="0.2">
      <c r="A448" s="2" t="str">
        <f>HYPERLINK("https://www.compass.com/listing/196-orchard-street-unit-4p-manhattan-ny-10002/801637589157249569/","196 Orchard St, Unit 4P")</f>
        <v>196 Orchard St, Unit 4P</v>
      </c>
      <c r="B448" s="2" t="str">
        <f t="shared" si="60"/>
        <v>196 Orchard St</v>
      </c>
      <c r="C448" s="1" t="s">
        <v>47</v>
      </c>
      <c r="D448" s="1" t="s">
        <v>41</v>
      </c>
      <c r="E448" s="3">
        <v>1395000</v>
      </c>
      <c r="F448" s="1">
        <v>2290.6403940886698</v>
      </c>
      <c r="G448" s="1">
        <v>2</v>
      </c>
      <c r="H448" s="1" t="s">
        <v>99</v>
      </c>
      <c r="I448" s="1">
        <v>1</v>
      </c>
      <c r="J448" s="1">
        <v>1</v>
      </c>
      <c r="K448" s="1">
        <v>1</v>
      </c>
      <c r="M448" s="1">
        <v>609</v>
      </c>
      <c r="N448" s="1">
        <v>929.03</v>
      </c>
      <c r="O448" s="1">
        <v>2074.39</v>
      </c>
      <c r="P448" s="1">
        <v>1145.3333333333301</v>
      </c>
      <c r="Q448" s="1" t="s">
        <v>42</v>
      </c>
      <c r="S448" s="1" t="s">
        <v>42</v>
      </c>
      <c r="T448" s="1" t="s">
        <v>51</v>
      </c>
      <c r="U448" s="1">
        <v>176</v>
      </c>
      <c r="V448" s="5">
        <v>44424</v>
      </c>
      <c r="W448" s="5">
        <v>44251</v>
      </c>
      <c r="X448" s="1">
        <v>1395000</v>
      </c>
      <c r="AB448" s="1" t="s">
        <v>44</v>
      </c>
      <c r="AF448" s="1">
        <v>10002</v>
      </c>
      <c r="AI448" s="1" t="s">
        <v>223</v>
      </c>
      <c r="AJ448" s="1">
        <v>2018</v>
      </c>
      <c r="AK448" s="1" t="s">
        <v>46</v>
      </c>
      <c r="AL448" s="1">
        <v>89</v>
      </c>
    </row>
    <row r="449" spans="1:38" x14ac:dyDescent="0.2">
      <c r="A449" s="2" t="str">
        <f>HYPERLINK("https://www.compass.com/listing/130-william-street-unit-22d-manhattan-ny-10038/789953736279318697/","130 William St, Unit 22D")</f>
        <v>130 William St, Unit 22D</v>
      </c>
      <c r="B449" s="2" t="str">
        <f>HYPERLINK("https://www.compass.com/building/130-william-st-manhattan-ny-10038/282029682239486757/","130 William St")</f>
        <v>130 William St</v>
      </c>
      <c r="C449" s="1" t="s">
        <v>96</v>
      </c>
      <c r="D449" s="1" t="s">
        <v>41</v>
      </c>
      <c r="E449" s="3">
        <v>2155990</v>
      </c>
      <c r="F449" s="1">
        <v>1757.12306438467</v>
      </c>
      <c r="G449" s="1">
        <v>4</v>
      </c>
      <c r="H449" s="1">
        <v>2</v>
      </c>
      <c r="I449" s="1">
        <v>2</v>
      </c>
      <c r="J449" s="1">
        <v>2</v>
      </c>
      <c r="K449" s="1">
        <v>2</v>
      </c>
      <c r="M449" s="4">
        <v>1227</v>
      </c>
      <c r="N449" s="1">
        <v>848</v>
      </c>
      <c r="O449" s="1">
        <v>2491</v>
      </c>
      <c r="P449" s="1">
        <v>1643</v>
      </c>
      <c r="Q449" s="1" t="s">
        <v>42</v>
      </c>
      <c r="S449" s="1" t="s">
        <v>42</v>
      </c>
      <c r="T449" s="1" t="s">
        <v>51</v>
      </c>
      <c r="U449" s="1">
        <v>86</v>
      </c>
      <c r="V449" s="5">
        <v>44425</v>
      </c>
      <c r="W449" s="5">
        <v>44341</v>
      </c>
      <c r="X449" s="1">
        <v>2155990</v>
      </c>
      <c r="AB449" s="1" t="s">
        <v>44</v>
      </c>
      <c r="AF449" s="1">
        <v>10038</v>
      </c>
      <c r="AI449" s="1" t="s">
        <v>111</v>
      </c>
      <c r="AJ449" s="1">
        <v>2020</v>
      </c>
      <c r="AK449" s="1" t="s">
        <v>46</v>
      </c>
      <c r="AL449" s="1">
        <v>244</v>
      </c>
    </row>
    <row r="450" spans="1:38" x14ac:dyDescent="0.2">
      <c r="A450" s="2" t="str">
        <f>HYPERLINK("https://www.compass.com/listing/196-orchard-street-unit-4r-manhattan-ny-10002/750614114519965417/","196 Orchard St, Unit 4R")</f>
        <v>196 Orchard St, Unit 4R</v>
      </c>
      <c r="B450" s="2" t="str">
        <f t="shared" ref="B450:B451" si="61">HYPERLINK("https://www.compass.com/building/196-orchard-st-manhattan-ny-10002/281886194713760485/","196 Orchard St")</f>
        <v>196 Orchard St</v>
      </c>
      <c r="C450" s="1" t="s">
        <v>47</v>
      </c>
      <c r="D450" s="1" t="s">
        <v>41</v>
      </c>
      <c r="E450" s="3">
        <v>1900000</v>
      </c>
      <c r="F450" s="1">
        <v>2237.9269729092998</v>
      </c>
      <c r="G450" s="1">
        <v>2</v>
      </c>
      <c r="H450" s="1">
        <v>1</v>
      </c>
      <c r="I450" s="1">
        <v>1</v>
      </c>
      <c r="J450" s="1">
        <v>1</v>
      </c>
      <c r="K450" s="1">
        <v>1</v>
      </c>
      <c r="M450" s="1">
        <v>849</v>
      </c>
      <c r="N450" s="1">
        <v>1405</v>
      </c>
      <c r="O450" s="1">
        <v>2953</v>
      </c>
      <c r="P450" s="1">
        <v>1548</v>
      </c>
      <c r="Q450" s="1" t="s">
        <v>42</v>
      </c>
      <c r="S450" s="1" t="s">
        <v>42</v>
      </c>
      <c r="T450" s="1" t="s">
        <v>51</v>
      </c>
      <c r="U450" s="1">
        <v>139</v>
      </c>
      <c r="V450" s="5">
        <v>44425</v>
      </c>
      <c r="W450" s="5">
        <v>44287</v>
      </c>
      <c r="X450" s="1">
        <v>2000000</v>
      </c>
      <c r="AB450" s="1" t="s">
        <v>44</v>
      </c>
      <c r="AF450" s="1">
        <v>10002</v>
      </c>
      <c r="AI450" s="1" t="s">
        <v>156</v>
      </c>
      <c r="AJ450" s="1">
        <v>2018</v>
      </c>
      <c r="AK450" s="1" t="s">
        <v>46</v>
      </c>
      <c r="AL450" s="1">
        <v>89</v>
      </c>
    </row>
    <row r="451" spans="1:38" x14ac:dyDescent="0.2">
      <c r="A451" s="2" t="str">
        <f>HYPERLINK("https://www.compass.com/listing/196-orchard-street-unit-9b-manhattan-ny-10002/750314986758138049/","196 Orchard St, Unit 9B")</f>
        <v>196 Orchard St, Unit 9B</v>
      </c>
      <c r="B451" s="2" t="str">
        <f t="shared" si="61"/>
        <v>196 Orchard St</v>
      </c>
      <c r="C451" s="1" t="s">
        <v>47</v>
      </c>
      <c r="D451" s="1" t="s">
        <v>41</v>
      </c>
      <c r="E451" s="3">
        <v>2245000</v>
      </c>
      <c r="F451" s="1">
        <v>2154.5105566218799</v>
      </c>
      <c r="G451" s="1">
        <v>4</v>
      </c>
      <c r="H451" s="1">
        <v>2</v>
      </c>
      <c r="I451" s="1">
        <v>2</v>
      </c>
      <c r="J451" s="1">
        <v>2</v>
      </c>
      <c r="K451" s="1">
        <v>2</v>
      </c>
      <c r="M451" s="4">
        <v>1042</v>
      </c>
      <c r="N451" s="1">
        <v>1383.42</v>
      </c>
      <c r="O451" s="1">
        <v>3088.29</v>
      </c>
      <c r="P451" s="1">
        <v>1704.8333333333301</v>
      </c>
      <c r="Q451" s="1" t="s">
        <v>42</v>
      </c>
      <c r="S451" s="1" t="s">
        <v>42</v>
      </c>
      <c r="T451" s="1" t="s">
        <v>51</v>
      </c>
      <c r="U451" s="1">
        <v>141</v>
      </c>
      <c r="V451" s="5">
        <v>44425</v>
      </c>
      <c r="W451" s="5">
        <v>44286</v>
      </c>
      <c r="X451" s="1">
        <v>2245000</v>
      </c>
      <c r="AB451" s="1" t="s">
        <v>44</v>
      </c>
      <c r="AF451" s="1">
        <v>10002</v>
      </c>
      <c r="AI451" s="1" t="s">
        <v>165</v>
      </c>
      <c r="AJ451" s="1">
        <v>2018</v>
      </c>
      <c r="AK451" s="1" t="s">
        <v>46</v>
      </c>
      <c r="AL451" s="1">
        <v>89</v>
      </c>
    </row>
    <row r="452" spans="1:38" x14ac:dyDescent="0.2">
      <c r="A452" s="2" t="str">
        <f>HYPERLINK("https://www.compass.com/listing/5-beekman-street-unit-22a-manhattan-ny-10038/220765536999443393/","5 Beekman St, Unit 22A")</f>
        <v>5 Beekman St, Unit 22A</v>
      </c>
      <c r="B452" s="2" t="str">
        <f t="shared" ref="B452:B453" si="62">HYPERLINK("https://www.compass.com/building/the-beekman-residences-manhattan-ny/282030567363458613/","The Beekman Residences")</f>
        <v>The Beekman Residences</v>
      </c>
      <c r="C452" s="1" t="s">
        <v>96</v>
      </c>
      <c r="D452" s="1" t="s">
        <v>41</v>
      </c>
      <c r="E452" s="3">
        <v>2945000</v>
      </c>
      <c r="F452" s="1">
        <v>1812.3076923076901</v>
      </c>
      <c r="G452" s="1">
        <v>4</v>
      </c>
      <c r="H452" s="1">
        <v>2</v>
      </c>
      <c r="I452" s="1">
        <v>3</v>
      </c>
      <c r="J452" s="1">
        <v>2.5</v>
      </c>
      <c r="K452" s="1">
        <v>2</v>
      </c>
      <c r="L452" s="1">
        <v>1</v>
      </c>
      <c r="M452" s="4">
        <v>1625</v>
      </c>
      <c r="N452" s="1">
        <v>2698</v>
      </c>
      <c r="O452" s="1">
        <v>5749</v>
      </c>
      <c r="P452" s="1">
        <v>3051</v>
      </c>
      <c r="Q452" s="1" t="s">
        <v>42</v>
      </c>
      <c r="S452" s="1" t="s">
        <v>42</v>
      </c>
      <c r="T452" s="1" t="s">
        <v>51</v>
      </c>
      <c r="U452" s="1">
        <v>143</v>
      </c>
      <c r="V452" s="5">
        <v>44427</v>
      </c>
      <c r="W452" s="5">
        <v>44284</v>
      </c>
      <c r="X452" s="1">
        <v>2745000</v>
      </c>
      <c r="AB452" s="1" t="s">
        <v>44</v>
      </c>
      <c r="AF452" s="1">
        <v>10038</v>
      </c>
      <c r="AI452" s="1" t="s">
        <v>140</v>
      </c>
      <c r="AJ452" s="1">
        <v>2015</v>
      </c>
      <c r="AK452" s="1" t="s">
        <v>49</v>
      </c>
      <c r="AL452" s="1">
        <v>67</v>
      </c>
    </row>
    <row r="453" spans="1:38" x14ac:dyDescent="0.2">
      <c r="A453" s="2" t="str">
        <f>HYPERLINK("https://www.compass.com/listing/5-beekman-street-unit-26c-manhattan-ny-10038/759355015945917393/","5 Beekman St, Unit 26C")</f>
        <v>5 Beekman St, Unit 26C</v>
      </c>
      <c r="B453" s="2" t="str">
        <f t="shared" si="62"/>
        <v>The Beekman Residences</v>
      </c>
      <c r="C453" s="1" t="s">
        <v>96</v>
      </c>
      <c r="D453" s="1" t="s">
        <v>41</v>
      </c>
      <c r="E453" s="3">
        <v>1595000</v>
      </c>
      <c r="F453" s="1">
        <v>2268.84779516358</v>
      </c>
      <c r="G453" s="1">
        <v>3</v>
      </c>
      <c r="H453" s="1">
        <v>1</v>
      </c>
      <c r="I453" s="1">
        <v>1</v>
      </c>
      <c r="J453" s="1">
        <v>1</v>
      </c>
      <c r="K453" s="1">
        <v>1</v>
      </c>
      <c r="M453" s="1">
        <v>703</v>
      </c>
      <c r="N453" s="1">
        <v>1238</v>
      </c>
      <c r="O453" s="1">
        <v>2384</v>
      </c>
      <c r="P453" s="1">
        <v>1146</v>
      </c>
      <c r="Q453" s="1" t="s">
        <v>42</v>
      </c>
      <c r="S453" s="1" t="s">
        <v>42</v>
      </c>
      <c r="T453" s="1" t="s">
        <v>51</v>
      </c>
      <c r="U453" s="1">
        <v>127</v>
      </c>
      <c r="V453" s="5">
        <v>44426</v>
      </c>
      <c r="W453" s="5">
        <v>44300</v>
      </c>
      <c r="X453" s="1">
        <v>1595000</v>
      </c>
      <c r="AB453" s="1" t="s">
        <v>44</v>
      </c>
      <c r="AF453" s="1">
        <v>10038</v>
      </c>
      <c r="AI453" s="1" t="s">
        <v>48</v>
      </c>
      <c r="AJ453" s="1">
        <v>2015</v>
      </c>
      <c r="AK453" s="1" t="s">
        <v>46</v>
      </c>
      <c r="AL453" s="1">
        <v>67</v>
      </c>
    </row>
    <row r="454" spans="1:38" x14ac:dyDescent="0.2">
      <c r="A454" s="2" t="str">
        <f>HYPERLINK("https://www.compass.com/listing/196-orchard-street-unit-phg-manhattan-ny-10002/801632361922099617/","196 Orchard St, Unit PHG")</f>
        <v>196 Orchard St, Unit PHG</v>
      </c>
      <c r="B454" s="2" t="str">
        <f>HYPERLINK("https://www.compass.com/building/196-orchard-st-manhattan-ny-10002/281886194713760485/","196 Orchard St")</f>
        <v>196 Orchard St</v>
      </c>
      <c r="C454" s="1" t="s">
        <v>47</v>
      </c>
      <c r="D454" s="1" t="s">
        <v>41</v>
      </c>
      <c r="E454" s="3">
        <v>1750000</v>
      </c>
      <c r="F454" s="1">
        <v>2226.46310432569</v>
      </c>
      <c r="G454" s="1">
        <v>3</v>
      </c>
      <c r="H454" s="1">
        <v>1</v>
      </c>
      <c r="I454" s="1">
        <v>1</v>
      </c>
      <c r="J454" s="1">
        <v>1</v>
      </c>
      <c r="K454" s="1">
        <v>1</v>
      </c>
      <c r="M454" s="1">
        <v>786</v>
      </c>
      <c r="N454" s="1">
        <v>1043.54</v>
      </c>
      <c r="O454" s="1">
        <v>2329.5100000000002</v>
      </c>
      <c r="P454" s="1">
        <v>1286</v>
      </c>
      <c r="Q454" s="1" t="s">
        <v>42</v>
      </c>
      <c r="S454" s="1" t="s">
        <v>42</v>
      </c>
      <c r="T454" s="1" t="s">
        <v>51</v>
      </c>
      <c r="U454" s="1">
        <v>176</v>
      </c>
      <c r="V454" s="5">
        <v>44424</v>
      </c>
      <c r="W454" s="5">
        <v>44251</v>
      </c>
      <c r="X454" s="1">
        <v>1750000</v>
      </c>
      <c r="AB454" s="1" t="s">
        <v>44</v>
      </c>
      <c r="AF454" s="1">
        <v>10002</v>
      </c>
      <c r="AI454" s="1" t="s">
        <v>165</v>
      </c>
      <c r="AJ454" s="1">
        <v>2018</v>
      </c>
      <c r="AK454" s="1" t="s">
        <v>46</v>
      </c>
      <c r="AL454" s="1">
        <v>89</v>
      </c>
    </row>
    <row r="455" spans="1:38" x14ac:dyDescent="0.2">
      <c r="A455" s="2" t="str">
        <f>HYPERLINK("https://www.compass.com/listing/130-william-street-unit-15d-manhattan-ny-10038/785668109410942729/","130 William St, Unit 15D")</f>
        <v>130 William St, Unit 15D</v>
      </c>
      <c r="B455" s="2" t="str">
        <f t="shared" ref="B455:B456" si="63">HYPERLINK("https://www.compass.com/building/130-william-st-manhattan-ny-10038/282029682239486757/","130 William St")</f>
        <v>130 William St</v>
      </c>
      <c r="C455" s="1" t="s">
        <v>96</v>
      </c>
      <c r="D455" s="1" t="s">
        <v>41</v>
      </c>
      <c r="E455" s="3">
        <v>1975990</v>
      </c>
      <c r="F455" s="1">
        <v>1534.1537267080701</v>
      </c>
      <c r="G455" s="1">
        <v>4</v>
      </c>
      <c r="H455" s="1">
        <v>2</v>
      </c>
      <c r="I455" s="1">
        <v>2</v>
      </c>
      <c r="J455" s="1">
        <v>2</v>
      </c>
      <c r="K455" s="1">
        <v>2</v>
      </c>
      <c r="M455" s="4">
        <v>1288</v>
      </c>
      <c r="N455" s="1">
        <v>861</v>
      </c>
      <c r="O455" s="1">
        <v>2528</v>
      </c>
      <c r="P455" s="1">
        <v>1667</v>
      </c>
      <c r="Q455" s="1" t="s">
        <v>42</v>
      </c>
      <c r="S455" s="1" t="s">
        <v>42</v>
      </c>
      <c r="T455" s="1" t="s">
        <v>51</v>
      </c>
      <c r="U455" s="1">
        <v>92</v>
      </c>
      <c r="V455" s="5">
        <v>44425</v>
      </c>
      <c r="W455" s="5">
        <v>44335</v>
      </c>
      <c r="X455" s="1">
        <v>1915990</v>
      </c>
      <c r="AB455" s="1" t="s">
        <v>44</v>
      </c>
      <c r="AF455" s="1">
        <v>10038</v>
      </c>
      <c r="AI455" s="1" t="s">
        <v>111</v>
      </c>
      <c r="AJ455" s="1">
        <v>2020</v>
      </c>
      <c r="AK455" s="1" t="s">
        <v>46</v>
      </c>
      <c r="AL455" s="1">
        <v>244</v>
      </c>
    </row>
    <row r="456" spans="1:38" x14ac:dyDescent="0.2">
      <c r="A456" s="2" t="str">
        <f>HYPERLINK("https://www.compass.com/listing/130-william-street-unit-34e-manhattan-ny-10038/784900781324841321/","130 William St, Unit 34E")</f>
        <v>130 William St, Unit 34E</v>
      </c>
      <c r="B456" s="2" t="str">
        <f t="shared" si="63"/>
        <v>130 William St</v>
      </c>
      <c r="C456" s="1" t="s">
        <v>96</v>
      </c>
      <c r="D456" s="1" t="s">
        <v>41</v>
      </c>
      <c r="E456" s="3">
        <v>3385990</v>
      </c>
      <c r="F456" s="1">
        <v>1828.28833693304</v>
      </c>
      <c r="G456" s="1">
        <v>5</v>
      </c>
      <c r="H456" s="1">
        <v>3</v>
      </c>
      <c r="I456" s="1">
        <v>3</v>
      </c>
      <c r="J456" s="1">
        <v>3</v>
      </c>
      <c r="K456" s="1">
        <v>3</v>
      </c>
      <c r="M456" s="4">
        <v>1852</v>
      </c>
      <c r="N456" s="1">
        <v>1298</v>
      </c>
      <c r="O456" s="1">
        <v>3813</v>
      </c>
      <c r="P456" s="1">
        <v>2515</v>
      </c>
      <c r="Q456" s="1" t="s">
        <v>42</v>
      </c>
      <c r="S456" s="1" t="s">
        <v>42</v>
      </c>
      <c r="T456" s="1" t="s">
        <v>51</v>
      </c>
      <c r="U456" s="1">
        <v>93</v>
      </c>
      <c r="V456" s="5">
        <v>44422</v>
      </c>
      <c r="W456" s="5">
        <v>44334</v>
      </c>
      <c r="X456" s="1">
        <v>3385990</v>
      </c>
      <c r="AB456" s="1" t="s">
        <v>44</v>
      </c>
      <c r="AF456" s="1">
        <v>10038</v>
      </c>
      <c r="AI456" s="1" t="s">
        <v>111</v>
      </c>
      <c r="AJ456" s="1">
        <v>2020</v>
      </c>
      <c r="AK456" s="1" t="s">
        <v>46</v>
      </c>
      <c r="AL456" s="1">
        <v>244</v>
      </c>
    </row>
    <row r="457" spans="1:38" x14ac:dyDescent="0.2">
      <c r="A457" s="2" t="str">
        <f>HYPERLINK("https://www.compass.com/listing/196-orchard-street-unit-phe-manhattan-ny-10002/450761259399533929/","196 Orchard St, Unit PHE")</f>
        <v>196 Orchard St, Unit PHE</v>
      </c>
      <c r="B457" s="2" t="str">
        <f>HYPERLINK("https://www.compass.com/building/196-orchard-st-manhattan-ny-10002/281886194713760485/","196 Orchard St")</f>
        <v>196 Orchard St</v>
      </c>
      <c r="C457" s="1" t="s">
        <v>47</v>
      </c>
      <c r="D457" s="1" t="s">
        <v>41</v>
      </c>
      <c r="E457" s="3">
        <v>3495000</v>
      </c>
      <c r="F457" s="1">
        <v>2480.4826117814</v>
      </c>
      <c r="G457" s="1">
        <v>4.5</v>
      </c>
      <c r="H457" s="1">
        <v>2</v>
      </c>
      <c r="I457" s="1">
        <v>3</v>
      </c>
      <c r="J457" s="1">
        <v>2.5</v>
      </c>
      <c r="K457" s="1">
        <v>2</v>
      </c>
      <c r="L457" s="1">
        <v>1</v>
      </c>
      <c r="M457" s="4">
        <v>1409</v>
      </c>
      <c r="N457" s="1">
        <v>1871</v>
      </c>
      <c r="O457" s="1">
        <v>4176</v>
      </c>
      <c r="P457" s="1">
        <v>2305</v>
      </c>
      <c r="Q457" s="1" t="s">
        <v>42</v>
      </c>
      <c r="S457" s="1" t="s">
        <v>42</v>
      </c>
      <c r="T457" s="1" t="s">
        <v>51</v>
      </c>
      <c r="U457" s="1">
        <v>422</v>
      </c>
      <c r="V457" s="5">
        <v>44420</v>
      </c>
      <c r="W457" s="5">
        <v>43873</v>
      </c>
      <c r="X457" s="1">
        <v>3725000</v>
      </c>
      <c r="AB457" s="1" t="s">
        <v>44</v>
      </c>
      <c r="AF457" s="1">
        <v>10002</v>
      </c>
      <c r="AI457" s="1" t="s">
        <v>165</v>
      </c>
      <c r="AJ457" s="1">
        <v>2018</v>
      </c>
      <c r="AK457" s="1" t="s">
        <v>46</v>
      </c>
      <c r="AL457" s="1">
        <v>89</v>
      </c>
    </row>
    <row r="458" spans="1:38" x14ac:dyDescent="0.2">
      <c r="A458" s="2" t="str">
        <f>HYPERLINK("https://www.compass.com/listing/130-william-street-unit-14c-manhattan-ny-10038/758886941290473897/","130 William St, Unit 14C")</f>
        <v>130 William St, Unit 14C</v>
      </c>
      <c r="B458" s="2" t="str">
        <f>HYPERLINK("https://www.compass.com/building/130-william-st-manhattan-ny-10038/282029682239486757/","130 William St")</f>
        <v>130 William St</v>
      </c>
      <c r="C458" s="1" t="s">
        <v>96</v>
      </c>
      <c r="D458" s="1" t="s">
        <v>41</v>
      </c>
      <c r="E458" s="3">
        <v>1665990</v>
      </c>
      <c r="F458" s="1">
        <v>1686.22469635627</v>
      </c>
      <c r="G458" s="1">
        <v>3.5</v>
      </c>
      <c r="H458" s="1">
        <v>1</v>
      </c>
      <c r="I458" s="1">
        <v>1</v>
      </c>
      <c r="J458" s="1">
        <v>1</v>
      </c>
      <c r="K458" s="1">
        <v>1</v>
      </c>
      <c r="M458" s="1">
        <v>988</v>
      </c>
      <c r="N458" s="1">
        <v>666</v>
      </c>
      <c r="O458" s="1">
        <v>1957</v>
      </c>
      <c r="P458" s="1">
        <v>1291</v>
      </c>
      <c r="Q458" s="1" t="s">
        <v>42</v>
      </c>
      <c r="S458" s="1" t="s">
        <v>42</v>
      </c>
      <c r="T458" s="1" t="s">
        <v>51</v>
      </c>
      <c r="U458" s="1">
        <v>129</v>
      </c>
      <c r="V458" s="5">
        <v>44422</v>
      </c>
      <c r="W458" s="5">
        <v>44298</v>
      </c>
      <c r="X458" s="1">
        <v>1665990</v>
      </c>
      <c r="AB458" s="1" t="s">
        <v>44</v>
      </c>
      <c r="AF458" s="1">
        <v>10038</v>
      </c>
      <c r="AI458" s="1" t="s">
        <v>111</v>
      </c>
      <c r="AJ458" s="1">
        <v>2020</v>
      </c>
      <c r="AK458" s="1" t="s">
        <v>46</v>
      </c>
      <c r="AL458" s="1">
        <v>244</v>
      </c>
    </row>
    <row r="459" spans="1:38" x14ac:dyDescent="0.2">
      <c r="A459" s="2" t="str">
        <f>HYPERLINK("https://www.compass.com/listing/50-west-street-unit-32b-manhattan-ny-10006/688920452123190993/","50 West St, Unit 32B")</f>
        <v>50 West St, Unit 32B</v>
      </c>
      <c r="B459" s="2" t="str">
        <f t="shared" ref="B459:B460" si="64">HYPERLINK("https://www.compass.com/building/50-west-st-manhattan-ny-10006/281896342152815429/","50 West St")</f>
        <v>50 West St</v>
      </c>
      <c r="C459" s="1" t="s">
        <v>96</v>
      </c>
      <c r="D459" s="1" t="s">
        <v>41</v>
      </c>
      <c r="E459" s="3">
        <v>6300000</v>
      </c>
      <c r="F459" s="1">
        <v>2728.4538761368499</v>
      </c>
      <c r="G459" s="1">
        <v>6</v>
      </c>
      <c r="H459" s="1">
        <v>3</v>
      </c>
      <c r="I459" s="1">
        <v>4</v>
      </c>
      <c r="J459" s="1">
        <v>3.5</v>
      </c>
      <c r="K459" s="1">
        <v>3</v>
      </c>
      <c r="L459" s="1">
        <v>1</v>
      </c>
      <c r="M459" s="4">
        <v>2309</v>
      </c>
      <c r="N459" s="1">
        <v>2806</v>
      </c>
      <c r="O459" s="1">
        <v>6326</v>
      </c>
      <c r="P459" s="1">
        <v>3520</v>
      </c>
      <c r="Q459" s="1" t="s">
        <v>42</v>
      </c>
      <c r="S459" s="1" t="s">
        <v>42</v>
      </c>
      <c r="T459" s="1" t="s">
        <v>51</v>
      </c>
      <c r="U459" s="1">
        <v>227</v>
      </c>
      <c r="V459" s="5">
        <v>44427</v>
      </c>
      <c r="W459" s="5">
        <v>44200</v>
      </c>
      <c r="X459" s="1">
        <v>6800000</v>
      </c>
      <c r="AB459" s="1" t="s">
        <v>44</v>
      </c>
      <c r="AF459" s="1">
        <v>10006</v>
      </c>
      <c r="AI459" s="1" t="s">
        <v>97</v>
      </c>
      <c r="AJ459" s="1">
        <v>2016</v>
      </c>
      <c r="AK459" s="1" t="s">
        <v>49</v>
      </c>
      <c r="AL459" s="1">
        <v>186</v>
      </c>
    </row>
    <row r="460" spans="1:38" x14ac:dyDescent="0.2">
      <c r="A460" s="2" t="str">
        <f>HYPERLINK("https://www.compass.com/listing/50-west-street-unit-ph58-manhattan-ny-10006/668215882357593145/","50 West St, Unit PH58")</f>
        <v>50 West St, Unit PH58</v>
      </c>
      <c r="B460" s="2" t="str">
        <f t="shared" si="64"/>
        <v>50 West St</v>
      </c>
      <c r="C460" s="1" t="s">
        <v>96</v>
      </c>
      <c r="D460" s="1" t="s">
        <v>41</v>
      </c>
      <c r="E460" s="3">
        <v>14495000</v>
      </c>
      <c r="F460" s="1">
        <v>4026.38888888888</v>
      </c>
      <c r="G460" s="1">
        <v>8</v>
      </c>
      <c r="H460" s="1">
        <v>4</v>
      </c>
      <c r="I460" s="1">
        <v>4</v>
      </c>
      <c r="J460" s="1">
        <v>4</v>
      </c>
      <c r="K460" s="1">
        <v>4</v>
      </c>
      <c r="M460" s="4">
        <v>3600</v>
      </c>
      <c r="N460" s="1">
        <v>5800</v>
      </c>
      <c r="O460" s="1">
        <v>10653</v>
      </c>
      <c r="P460" s="1">
        <v>4853</v>
      </c>
      <c r="Q460" s="1" t="s">
        <v>42</v>
      </c>
      <c r="S460" s="1" t="s">
        <v>42</v>
      </c>
      <c r="T460" s="1" t="s">
        <v>51</v>
      </c>
      <c r="U460" s="1">
        <v>254</v>
      </c>
      <c r="V460" s="5">
        <v>44427</v>
      </c>
      <c r="W460" s="5">
        <v>44173</v>
      </c>
      <c r="X460" s="1">
        <v>14495000</v>
      </c>
      <c r="AB460" s="1" t="s">
        <v>44</v>
      </c>
      <c r="AF460" s="1">
        <v>10006</v>
      </c>
      <c r="AI460" s="1" t="s">
        <v>224</v>
      </c>
      <c r="AJ460" s="1">
        <v>2016</v>
      </c>
      <c r="AK460" s="1" t="s">
        <v>49</v>
      </c>
      <c r="AL460" s="1">
        <v>186</v>
      </c>
    </row>
    <row r="461" spans="1:38" x14ac:dyDescent="0.2">
      <c r="A461" s="2" t="str">
        <f>HYPERLINK("https://www.compass.com/listing/130-william-street-unit-47c-manhattan-ny-10038/759152204149287249/","130 William St, Unit 47C")</f>
        <v>130 William St, Unit 47C</v>
      </c>
      <c r="B461" s="2" t="str">
        <f t="shared" ref="B461:B464" si="65">HYPERLINK("https://www.compass.com/building/130-william-st-manhattan-ny-10038/282029682239486757/","130 William St")</f>
        <v>130 William St</v>
      </c>
      <c r="C461" s="1" t="s">
        <v>96</v>
      </c>
      <c r="D461" s="1" t="s">
        <v>41</v>
      </c>
      <c r="E461" s="3">
        <v>2490990</v>
      </c>
      <c r="F461" s="1">
        <v>2390.5854126679401</v>
      </c>
      <c r="G461" s="1">
        <v>3.5</v>
      </c>
      <c r="H461" s="1">
        <v>1</v>
      </c>
      <c r="I461" s="1">
        <v>1</v>
      </c>
      <c r="J461" s="1">
        <v>1</v>
      </c>
      <c r="K461" s="1">
        <v>1</v>
      </c>
      <c r="M461" s="4">
        <v>1042</v>
      </c>
      <c r="N461" s="1">
        <v>752</v>
      </c>
      <c r="O461" s="1">
        <v>2209</v>
      </c>
      <c r="P461" s="1">
        <v>1457</v>
      </c>
      <c r="Q461" s="1" t="s">
        <v>42</v>
      </c>
      <c r="S461" s="1" t="s">
        <v>42</v>
      </c>
      <c r="T461" s="1" t="s">
        <v>51</v>
      </c>
      <c r="U461" s="1">
        <v>128</v>
      </c>
      <c r="V461" s="5">
        <v>44425</v>
      </c>
      <c r="W461" s="5">
        <v>44299</v>
      </c>
      <c r="X461" s="1">
        <v>2490990</v>
      </c>
      <c r="AB461" s="1" t="s">
        <v>44</v>
      </c>
      <c r="AF461" s="1">
        <v>10038</v>
      </c>
      <c r="AI461" s="1" t="s">
        <v>111</v>
      </c>
      <c r="AJ461" s="1">
        <v>2020</v>
      </c>
      <c r="AK461" s="1" t="s">
        <v>46</v>
      </c>
      <c r="AL461" s="1">
        <v>244</v>
      </c>
    </row>
    <row r="462" spans="1:38" x14ac:dyDescent="0.2">
      <c r="A462" s="2" t="str">
        <f>HYPERLINK("https://www.compass.com/listing/130-william-street-unit-14f-manhattan-ny-10038/202764725501564161/","130 William St, Unit 14F")</f>
        <v>130 William St, Unit 14F</v>
      </c>
      <c r="B462" s="2" t="str">
        <f t="shared" si="65"/>
        <v>130 William St</v>
      </c>
      <c r="C462" s="1" t="s">
        <v>96</v>
      </c>
      <c r="D462" s="1" t="s">
        <v>41</v>
      </c>
      <c r="E462" s="3">
        <v>2215990</v>
      </c>
      <c r="F462" s="1">
        <v>1572.73953158268</v>
      </c>
      <c r="G462" s="1">
        <v>4.5</v>
      </c>
      <c r="H462" s="1">
        <v>2</v>
      </c>
      <c r="I462" s="1">
        <v>3</v>
      </c>
      <c r="J462" s="1">
        <v>2.5</v>
      </c>
      <c r="K462" s="1">
        <v>2</v>
      </c>
      <c r="L462" s="1">
        <v>1</v>
      </c>
      <c r="M462" s="4">
        <v>1409</v>
      </c>
      <c r="N462" s="1">
        <v>946.54</v>
      </c>
      <c r="O462" s="1">
        <v>2780.29</v>
      </c>
      <c r="P462" s="1">
        <v>1833.75</v>
      </c>
      <c r="Q462" s="1" t="s">
        <v>42</v>
      </c>
      <c r="S462" s="1" t="s">
        <v>42</v>
      </c>
      <c r="T462" s="1" t="s">
        <v>51</v>
      </c>
      <c r="U462" s="1">
        <v>133</v>
      </c>
      <c r="V462" s="5">
        <v>44417</v>
      </c>
      <c r="W462" s="5">
        <v>44293</v>
      </c>
      <c r="X462" s="1">
        <v>2215990</v>
      </c>
      <c r="AB462" s="1" t="s">
        <v>44</v>
      </c>
      <c r="AF462" s="1">
        <v>10038</v>
      </c>
      <c r="AI462" s="1" t="s">
        <v>111</v>
      </c>
      <c r="AJ462" s="1">
        <v>2020</v>
      </c>
      <c r="AK462" s="1" t="s">
        <v>46</v>
      </c>
      <c r="AL462" s="1">
        <v>244</v>
      </c>
    </row>
    <row r="463" spans="1:38" x14ac:dyDescent="0.2">
      <c r="A463" s="2" t="str">
        <f>HYPERLINK("https://www.compass.com/listing/130-william-street-unit-36c-manhattan-ny-10038/755058410070704001/","130 William St, Unit 36C")</f>
        <v>130 William St, Unit 36C</v>
      </c>
      <c r="B463" s="2" t="str">
        <f t="shared" si="65"/>
        <v>130 William St</v>
      </c>
      <c r="C463" s="1" t="s">
        <v>96</v>
      </c>
      <c r="D463" s="1" t="s">
        <v>41</v>
      </c>
      <c r="E463" s="3">
        <v>2435990</v>
      </c>
      <c r="F463" s="1">
        <v>2298.1037735849</v>
      </c>
      <c r="G463" s="1">
        <v>4</v>
      </c>
      <c r="H463" s="1">
        <v>2</v>
      </c>
      <c r="I463" s="1">
        <v>2</v>
      </c>
      <c r="J463" s="1">
        <v>2</v>
      </c>
      <c r="K463" s="1">
        <v>2</v>
      </c>
      <c r="M463" s="4">
        <v>1060</v>
      </c>
      <c r="N463" s="1">
        <v>782.01</v>
      </c>
      <c r="O463" s="1">
        <v>2297.02</v>
      </c>
      <c r="P463" s="1">
        <v>1515</v>
      </c>
      <c r="Q463" s="1" t="s">
        <v>42</v>
      </c>
      <c r="S463" s="1" t="s">
        <v>42</v>
      </c>
      <c r="T463" s="1" t="s">
        <v>51</v>
      </c>
      <c r="U463" s="1">
        <v>134</v>
      </c>
      <c r="V463" s="5">
        <v>44425</v>
      </c>
      <c r="W463" s="5">
        <v>44293</v>
      </c>
      <c r="X463" s="1">
        <v>2380990</v>
      </c>
      <c r="AB463" s="1" t="s">
        <v>44</v>
      </c>
      <c r="AF463" s="1">
        <v>10038</v>
      </c>
      <c r="AI463" s="1" t="s">
        <v>111</v>
      </c>
      <c r="AJ463" s="1">
        <v>2020</v>
      </c>
      <c r="AK463" s="1" t="s">
        <v>46</v>
      </c>
      <c r="AL463" s="1">
        <v>244</v>
      </c>
    </row>
    <row r="464" spans="1:38" x14ac:dyDescent="0.2">
      <c r="A464" s="2" t="str">
        <f>HYPERLINK("https://www.compass.com/listing/130-william-street-unit-ph63b-manhattan-ny-10038/759306376129143569/","130 William St, Unit PH63B")</f>
        <v>130 William St, Unit PH63B</v>
      </c>
      <c r="B464" s="2" t="str">
        <f t="shared" si="65"/>
        <v>130 William St</v>
      </c>
      <c r="C464" s="1" t="s">
        <v>96</v>
      </c>
      <c r="D464" s="1" t="s">
        <v>41</v>
      </c>
      <c r="E464" s="3">
        <v>7410990</v>
      </c>
      <c r="F464" s="1">
        <v>2993.1300484652602</v>
      </c>
      <c r="G464" s="1">
        <v>5.5</v>
      </c>
      <c r="H464" s="1">
        <v>3</v>
      </c>
      <c r="I464" s="1">
        <v>3</v>
      </c>
      <c r="J464" s="1">
        <v>3</v>
      </c>
      <c r="K464" s="1">
        <v>3</v>
      </c>
      <c r="M464" s="4">
        <v>2476</v>
      </c>
      <c r="N464" s="1">
        <v>2074</v>
      </c>
      <c r="O464" s="1">
        <v>6093</v>
      </c>
      <c r="P464" s="1">
        <v>4019</v>
      </c>
      <c r="Q464" s="1" t="s">
        <v>42</v>
      </c>
      <c r="S464" s="1" t="s">
        <v>42</v>
      </c>
      <c r="T464" s="1" t="s">
        <v>51</v>
      </c>
      <c r="U464" s="1">
        <v>128</v>
      </c>
      <c r="V464" s="5">
        <v>44425</v>
      </c>
      <c r="W464" s="5">
        <v>44299</v>
      </c>
      <c r="X464" s="1">
        <v>7410990</v>
      </c>
      <c r="AB464" s="1" t="s">
        <v>44</v>
      </c>
      <c r="AF464" s="1">
        <v>10038</v>
      </c>
      <c r="AI464" s="1" t="s">
        <v>192</v>
      </c>
      <c r="AJ464" s="1">
        <v>2020</v>
      </c>
      <c r="AK464" s="1" t="s">
        <v>46</v>
      </c>
      <c r="AL464" s="1">
        <v>244</v>
      </c>
    </row>
    <row r="465" spans="1:39" x14ac:dyDescent="0.2">
      <c r="A465" s="2" t="str">
        <f>HYPERLINK("https://www.compass.com/listing/252-south-street-unit-19c-manhattan-ny-10002/778901916380429889/","252 South St, Unit 19C")</f>
        <v>252 South St, Unit 19C</v>
      </c>
      <c r="B465" s="2" t="str">
        <f>HYPERLINK("https://www.compass.com/building/one-manhattan-square-manhattan-ny/294844950218926165/","One Manhattan Square")</f>
        <v>One Manhattan Square</v>
      </c>
      <c r="C465" s="1" t="s">
        <v>47</v>
      </c>
      <c r="D465" s="1" t="s">
        <v>41</v>
      </c>
      <c r="E465" s="3">
        <v>1520000</v>
      </c>
      <c r="F465" s="1">
        <v>2187.0503597122301</v>
      </c>
      <c r="G465" s="1">
        <v>3</v>
      </c>
      <c r="H465" s="1">
        <v>1</v>
      </c>
      <c r="I465" s="1">
        <v>1</v>
      </c>
      <c r="J465" s="1">
        <v>1</v>
      </c>
      <c r="K465" s="1">
        <v>1</v>
      </c>
      <c r="M465" s="1">
        <v>695</v>
      </c>
      <c r="N465" s="1">
        <v>812</v>
      </c>
      <c r="O465" s="1">
        <v>824.16666666666595</v>
      </c>
      <c r="P465" s="1">
        <v>12.1666666666666</v>
      </c>
      <c r="Q465" s="1" t="s">
        <v>190</v>
      </c>
      <c r="S465" s="1" t="s">
        <v>42</v>
      </c>
      <c r="T465" s="1" t="s">
        <v>51</v>
      </c>
      <c r="U465" s="1">
        <v>101</v>
      </c>
      <c r="V465" s="5">
        <v>44326</v>
      </c>
      <c r="W465" s="5">
        <v>44326</v>
      </c>
      <c r="X465" s="1">
        <v>1520000</v>
      </c>
      <c r="AB465" s="1" t="s">
        <v>44</v>
      </c>
      <c r="AF465" s="1">
        <v>10002</v>
      </c>
      <c r="AI465" s="1" t="s">
        <v>66</v>
      </c>
      <c r="AJ465" s="1">
        <v>2019</v>
      </c>
      <c r="AK465" s="1" t="s">
        <v>49</v>
      </c>
      <c r="AL465" s="1">
        <v>787</v>
      </c>
    </row>
    <row r="466" spans="1:39" x14ac:dyDescent="0.2">
      <c r="A466" s="2" t="str">
        <f>HYPERLINK("https://www.compass.com/listing/130-william-street-unit-50a-manhattan-ny-10038/753398815303738209/","130 William St, Unit 50A")</f>
        <v>130 William St, Unit 50A</v>
      </c>
      <c r="B466" s="2" t="str">
        <f t="shared" ref="B466:B468" si="66">HYPERLINK("https://www.compass.com/building/130-william-st-manhattan-ny-10038/282029682239486757/","130 William St")</f>
        <v>130 William St</v>
      </c>
      <c r="C466" s="1" t="s">
        <v>96</v>
      </c>
      <c r="D466" s="1" t="s">
        <v>41</v>
      </c>
      <c r="E466" s="3">
        <v>6900990</v>
      </c>
      <c r="F466" s="1">
        <v>2765.9278557114199</v>
      </c>
      <c r="G466" s="1">
        <v>7</v>
      </c>
      <c r="H466" s="1">
        <v>4</v>
      </c>
      <c r="I466" s="1">
        <v>6</v>
      </c>
      <c r="J466" s="1">
        <v>5.5</v>
      </c>
      <c r="K466" s="1">
        <v>5</v>
      </c>
      <c r="L466" s="1">
        <v>1</v>
      </c>
      <c r="M466" s="4">
        <v>2495</v>
      </c>
      <c r="N466" s="1">
        <v>1915</v>
      </c>
      <c r="O466" s="1">
        <v>5625</v>
      </c>
      <c r="P466" s="1">
        <v>3710</v>
      </c>
      <c r="Q466" s="1" t="s">
        <v>42</v>
      </c>
      <c r="S466" s="1" t="s">
        <v>42</v>
      </c>
      <c r="T466" s="1" t="s">
        <v>51</v>
      </c>
      <c r="U466" s="1">
        <v>141</v>
      </c>
      <c r="V466" s="5">
        <v>44425</v>
      </c>
      <c r="W466" s="5">
        <v>44285</v>
      </c>
      <c r="X466" s="1">
        <v>6900990</v>
      </c>
      <c r="AB466" s="1" t="s">
        <v>44</v>
      </c>
      <c r="AF466" s="1">
        <v>10038</v>
      </c>
      <c r="AI466" s="1" t="s">
        <v>225</v>
      </c>
      <c r="AJ466" s="1">
        <v>2020</v>
      </c>
      <c r="AK466" s="1" t="s">
        <v>46</v>
      </c>
      <c r="AL466" s="1">
        <v>244</v>
      </c>
    </row>
    <row r="467" spans="1:39" x14ac:dyDescent="0.2">
      <c r="A467" s="2" t="str">
        <f>HYPERLINK("https://www.compass.com/listing/130-william-street-unit-45a-manhattan-ny-10038/583227924739109593/","130 William St, Unit 45A")</f>
        <v>130 William St, Unit 45A</v>
      </c>
      <c r="B467" s="2" t="str">
        <f t="shared" si="66"/>
        <v>130 William St</v>
      </c>
      <c r="C467" s="1" t="s">
        <v>96</v>
      </c>
      <c r="D467" s="1" t="s">
        <v>41</v>
      </c>
      <c r="E467" s="3">
        <v>3295990</v>
      </c>
      <c r="F467" s="1">
        <v>2300.0628053035498</v>
      </c>
      <c r="G467" s="1">
        <v>4.5</v>
      </c>
      <c r="H467" s="1">
        <v>2</v>
      </c>
      <c r="I467" s="1">
        <v>3</v>
      </c>
      <c r="J467" s="1">
        <v>2.5</v>
      </c>
      <c r="K467" s="1">
        <v>2</v>
      </c>
      <c r="L467" s="1">
        <v>1</v>
      </c>
      <c r="M467" s="4">
        <v>1433</v>
      </c>
      <c r="N467" s="1">
        <v>1058.6400000000001</v>
      </c>
      <c r="O467" s="1">
        <v>3109.5699999999902</v>
      </c>
      <c r="P467" s="1">
        <v>2050.9166666666601</v>
      </c>
      <c r="Q467" s="1" t="s">
        <v>42</v>
      </c>
      <c r="S467" s="1" t="s">
        <v>42</v>
      </c>
      <c r="T467" s="1" t="s">
        <v>51</v>
      </c>
      <c r="U467" s="1">
        <v>371</v>
      </c>
      <c r="V467" s="5">
        <v>44414</v>
      </c>
      <c r="W467" s="5">
        <v>44056</v>
      </c>
      <c r="X467" s="1">
        <v>3295990</v>
      </c>
      <c r="AB467" s="1" t="s">
        <v>44</v>
      </c>
      <c r="AF467" s="1">
        <v>10038</v>
      </c>
      <c r="AI467" s="1" t="s">
        <v>111</v>
      </c>
      <c r="AJ467" s="1">
        <v>2020</v>
      </c>
      <c r="AK467" s="1" t="s">
        <v>46</v>
      </c>
      <c r="AL467" s="1">
        <v>244</v>
      </c>
    </row>
    <row r="468" spans="1:39" x14ac:dyDescent="0.2">
      <c r="A468" s="2" t="str">
        <f>HYPERLINK("https://www.compass.com/listing/130-william-street-unit-51c-manhattan-ny-10038/171769849708580337/","130 William St, Unit 51C")</f>
        <v>130 William St, Unit 51C</v>
      </c>
      <c r="B468" s="2" t="str">
        <f t="shared" si="66"/>
        <v>130 William St</v>
      </c>
      <c r="C468" s="1" t="s">
        <v>96</v>
      </c>
      <c r="D468" s="1" t="s">
        <v>41</v>
      </c>
      <c r="E468" s="3">
        <v>5925990</v>
      </c>
      <c r="F468" s="1">
        <v>2718.34403669724</v>
      </c>
      <c r="G468" s="1">
        <v>7</v>
      </c>
      <c r="H468" s="1">
        <v>4</v>
      </c>
      <c r="I468" s="1">
        <v>3</v>
      </c>
      <c r="J468" s="1">
        <v>3</v>
      </c>
      <c r="K468" s="1">
        <v>3</v>
      </c>
      <c r="M468" s="4">
        <v>2180</v>
      </c>
      <c r="N468" s="1">
        <v>1663.42</v>
      </c>
      <c r="O468" s="1">
        <v>4886</v>
      </c>
      <c r="P468" s="1">
        <v>3222.5833333333298</v>
      </c>
      <c r="Q468" s="1" t="s">
        <v>42</v>
      </c>
      <c r="S468" s="1" t="s">
        <v>42</v>
      </c>
      <c r="T468" s="1" t="s">
        <v>51</v>
      </c>
      <c r="U468" s="1">
        <v>141</v>
      </c>
      <c r="V468" s="5">
        <v>44420</v>
      </c>
      <c r="W468" s="5">
        <v>44286</v>
      </c>
      <c r="AB468" s="1" t="s">
        <v>44</v>
      </c>
      <c r="AF468" s="1">
        <v>10038</v>
      </c>
      <c r="AI468" s="1" t="s">
        <v>111</v>
      </c>
      <c r="AJ468" s="1">
        <v>2020</v>
      </c>
      <c r="AK468" s="1" t="s">
        <v>46</v>
      </c>
      <c r="AL468" s="1">
        <v>244</v>
      </c>
    </row>
    <row r="469" spans="1:39" x14ac:dyDescent="0.2">
      <c r="A469" s="2" t="str">
        <f>HYPERLINK("https://www.compass.com/listing/77-greenwich-street-unit-15a-manhattan-ny-10006/758643210234628465/","77 Greenwich St, Unit 15A")</f>
        <v>77 Greenwich St, Unit 15A</v>
      </c>
      <c r="B469" s="2" t="str">
        <f>HYPERLINK("https://www.compass.com/building/jolie-manhattan-ny/282060129363328789/","Jolie")</f>
        <v>Jolie</v>
      </c>
      <c r="C469" s="1" t="s">
        <v>96</v>
      </c>
      <c r="D469" s="1" t="s">
        <v>41</v>
      </c>
      <c r="E469" s="3">
        <v>3000000</v>
      </c>
      <c r="F469" s="1">
        <v>1743.1725740848301</v>
      </c>
      <c r="G469" s="1">
        <v>6</v>
      </c>
      <c r="H469" s="1">
        <v>3</v>
      </c>
      <c r="I469" s="1">
        <v>3</v>
      </c>
      <c r="J469" s="1">
        <v>2.5</v>
      </c>
      <c r="K469" s="1">
        <v>2</v>
      </c>
      <c r="L469" s="1">
        <v>1</v>
      </c>
      <c r="M469" s="4">
        <v>1721</v>
      </c>
      <c r="N469" s="1">
        <v>1485</v>
      </c>
      <c r="O469" s="1">
        <v>4466</v>
      </c>
      <c r="P469" s="1">
        <v>2981</v>
      </c>
      <c r="Q469" s="1" t="s">
        <v>42</v>
      </c>
      <c r="S469" s="1" t="s">
        <v>42</v>
      </c>
      <c r="T469" s="1" t="s">
        <v>51</v>
      </c>
      <c r="U469" s="1">
        <v>128</v>
      </c>
      <c r="V469" s="5">
        <v>44426</v>
      </c>
      <c r="W469" s="5">
        <v>44299</v>
      </c>
      <c r="X469" s="1">
        <v>3000000</v>
      </c>
      <c r="AB469" s="1" t="s">
        <v>44</v>
      </c>
      <c r="AD469" s="1" t="s">
        <v>166</v>
      </c>
      <c r="AE469" s="1" t="s">
        <v>167</v>
      </c>
      <c r="AF469" s="1">
        <v>10006</v>
      </c>
      <c r="AI469" s="1" t="s">
        <v>168</v>
      </c>
      <c r="AJ469" s="1">
        <v>2019</v>
      </c>
      <c r="AK469" s="1" t="s">
        <v>46</v>
      </c>
      <c r="AL469" s="1">
        <v>90</v>
      </c>
    </row>
    <row r="470" spans="1:39" x14ac:dyDescent="0.2">
      <c r="A470" s="2" t="str">
        <f>HYPERLINK("https://www.compass.com/listing/2231-adam-clayton-powell-jr-boulevard-unit-403-manhattan-ny-10027/836810248041789985/","2231 Adam Clayton Powell Jr Blvd, Unit 403")</f>
        <v>2231 Adam Clayton Powell Jr Blvd, Unit 403</v>
      </c>
      <c r="B470" s="2" t="str">
        <f>HYPERLINK("https://www.compass.com/building/the-aurum-manhattan-ny/307451641162444869/","The Aurum")</f>
        <v>The Aurum</v>
      </c>
      <c r="C470" s="1" t="s">
        <v>84</v>
      </c>
      <c r="D470" s="1" t="s">
        <v>41</v>
      </c>
      <c r="E470" s="3">
        <v>720000</v>
      </c>
      <c r="F470" s="1">
        <v>1060.3829160530099</v>
      </c>
      <c r="G470" s="1">
        <v>3</v>
      </c>
      <c r="H470" s="1">
        <v>1</v>
      </c>
      <c r="I470" s="1">
        <v>1</v>
      </c>
      <c r="J470" s="1">
        <v>1</v>
      </c>
      <c r="K470" s="1">
        <v>1</v>
      </c>
      <c r="M470" s="1">
        <v>679</v>
      </c>
      <c r="N470" s="1">
        <v>887</v>
      </c>
      <c r="O470" s="1">
        <v>976</v>
      </c>
      <c r="P470" s="1">
        <v>89</v>
      </c>
      <c r="Q470" s="1" t="s">
        <v>42</v>
      </c>
      <c r="S470" s="1" t="s">
        <v>42</v>
      </c>
      <c r="T470" s="1" t="s">
        <v>51</v>
      </c>
      <c r="U470" s="1">
        <v>20</v>
      </c>
      <c r="V470" s="5">
        <v>44407</v>
      </c>
      <c r="W470" s="5">
        <v>44406</v>
      </c>
      <c r="X470" s="1">
        <v>720000</v>
      </c>
      <c r="AB470" s="1" t="s">
        <v>44</v>
      </c>
      <c r="AF470" s="1">
        <v>10027</v>
      </c>
      <c r="AI470" s="1" t="s">
        <v>52</v>
      </c>
      <c r="AJ470" s="1">
        <v>2016</v>
      </c>
      <c r="AK470" s="1" t="s">
        <v>108</v>
      </c>
      <c r="AL470" s="1">
        <v>115</v>
      </c>
    </row>
    <row r="471" spans="1:39" x14ac:dyDescent="0.2">
      <c r="A471" s="2" t="str">
        <f>HYPERLINK("https://www.compass.com/listing/252-south-street-unit-7d-manhattan-ny-10002/789843742486484609/","252 South St, Unit 7D")</f>
        <v>252 South St, Unit 7D</v>
      </c>
      <c r="B471" s="2" t="str">
        <f t="shared" ref="B471:B473" si="67">HYPERLINK("https://www.compass.com/building/one-manhattan-square-manhattan-ny/294844950218926165/","One Manhattan Square")</f>
        <v>One Manhattan Square</v>
      </c>
      <c r="C471" s="1" t="s">
        <v>47</v>
      </c>
      <c r="D471" s="1" t="s">
        <v>41</v>
      </c>
      <c r="E471" s="3">
        <v>2500000</v>
      </c>
      <c r="F471" s="1">
        <v>2226.1798753339199</v>
      </c>
      <c r="G471" s="1">
        <v>4</v>
      </c>
      <c r="H471" s="1">
        <v>2</v>
      </c>
      <c r="I471" s="1">
        <v>2</v>
      </c>
      <c r="J471" s="1">
        <v>2</v>
      </c>
      <c r="K471" s="1">
        <v>2</v>
      </c>
      <c r="M471" s="4">
        <v>1123</v>
      </c>
      <c r="N471" s="1">
        <v>810</v>
      </c>
      <c r="O471" s="1">
        <v>832</v>
      </c>
      <c r="P471" s="1">
        <v>22</v>
      </c>
      <c r="Q471" s="1" t="s">
        <v>42</v>
      </c>
      <c r="S471" s="1" t="s">
        <v>42</v>
      </c>
      <c r="T471" s="1" t="s">
        <v>51</v>
      </c>
      <c r="U471" s="1">
        <v>86</v>
      </c>
      <c r="V471" s="5">
        <v>44427</v>
      </c>
      <c r="W471" s="5">
        <v>44341</v>
      </c>
      <c r="X471" s="1">
        <v>2600000</v>
      </c>
      <c r="AB471" s="1" t="s">
        <v>44</v>
      </c>
      <c r="AF471" s="1">
        <v>10002</v>
      </c>
      <c r="AI471" s="1" t="s">
        <v>226</v>
      </c>
      <c r="AJ471" s="1">
        <v>2019</v>
      </c>
      <c r="AK471" s="1" t="s">
        <v>49</v>
      </c>
      <c r="AL471" s="1">
        <v>787</v>
      </c>
    </row>
    <row r="472" spans="1:39" x14ac:dyDescent="0.2">
      <c r="A472" s="2" t="str">
        <f>HYPERLINK("https://www.compass.com/listing/252-south-street-unit-11g-manhattan-ny-10002/647350683392443969/","252 South St, Unit 11G")</f>
        <v>252 South St, Unit 11G</v>
      </c>
      <c r="B472" s="2" t="str">
        <f t="shared" si="67"/>
        <v>One Manhattan Square</v>
      </c>
      <c r="C472" s="1" t="s">
        <v>47</v>
      </c>
      <c r="D472" s="1" t="s">
        <v>41</v>
      </c>
      <c r="E472" s="3">
        <v>1220000</v>
      </c>
      <c r="F472" s="1">
        <v>1687.4135546334701</v>
      </c>
      <c r="G472" s="1">
        <v>3</v>
      </c>
      <c r="H472" s="1">
        <v>1</v>
      </c>
      <c r="J472" s="1">
        <v>1</v>
      </c>
      <c r="M472" s="1">
        <v>723</v>
      </c>
      <c r="N472" s="1">
        <v>775</v>
      </c>
      <c r="O472" s="1">
        <v>788</v>
      </c>
      <c r="P472" s="1">
        <v>13</v>
      </c>
      <c r="S472" s="1" t="s">
        <v>42</v>
      </c>
      <c r="T472" s="1" t="s">
        <v>51</v>
      </c>
      <c r="U472" s="1">
        <v>284</v>
      </c>
      <c r="V472" s="5">
        <v>44422</v>
      </c>
      <c r="W472" s="5">
        <v>44142</v>
      </c>
      <c r="X472" s="1">
        <v>1220000</v>
      </c>
      <c r="AB472" s="1" t="s">
        <v>44</v>
      </c>
      <c r="AF472" s="1">
        <v>10002</v>
      </c>
      <c r="AI472" s="1" t="s">
        <v>66</v>
      </c>
      <c r="AJ472" s="1">
        <v>2019</v>
      </c>
      <c r="AK472" s="1" t="s">
        <v>49</v>
      </c>
      <c r="AL472" s="1">
        <v>787</v>
      </c>
    </row>
    <row r="473" spans="1:39" x14ac:dyDescent="0.2">
      <c r="A473" s="2" t="str">
        <f>HYPERLINK("https://www.compass.com/listing/252-south-street-unit-47c-manhattan-ny-10002/781278605355937321/","252 South St, Unit 47C")</f>
        <v>252 South St, Unit 47C</v>
      </c>
      <c r="B473" s="2" t="str">
        <f t="shared" si="67"/>
        <v>One Manhattan Square</v>
      </c>
      <c r="C473" s="1" t="s">
        <v>47</v>
      </c>
      <c r="D473" s="1" t="s">
        <v>41</v>
      </c>
      <c r="E473" s="3">
        <v>3260000</v>
      </c>
      <c r="F473" s="1">
        <v>2192.3335574983098</v>
      </c>
      <c r="G473" s="1">
        <v>7</v>
      </c>
      <c r="H473" s="1">
        <v>3</v>
      </c>
      <c r="I473" s="1">
        <v>3</v>
      </c>
      <c r="J473" s="1">
        <v>3</v>
      </c>
      <c r="K473" s="1">
        <v>3</v>
      </c>
      <c r="M473" s="4">
        <v>1487</v>
      </c>
      <c r="N473" s="1">
        <v>1888</v>
      </c>
      <c r="O473" s="1">
        <v>1918</v>
      </c>
      <c r="P473" s="1">
        <v>30</v>
      </c>
      <c r="Q473" s="1" t="s">
        <v>42</v>
      </c>
      <c r="S473" s="1" t="s">
        <v>42</v>
      </c>
      <c r="T473" s="1" t="s">
        <v>51</v>
      </c>
      <c r="U473" s="1">
        <v>98</v>
      </c>
      <c r="V473" s="5">
        <v>44419</v>
      </c>
      <c r="W473" s="5">
        <v>44329</v>
      </c>
      <c r="X473" s="1">
        <v>3260000</v>
      </c>
      <c r="AB473" s="1" t="s">
        <v>44</v>
      </c>
      <c r="AF473" s="1">
        <v>10002</v>
      </c>
      <c r="AI473" s="1" t="s">
        <v>191</v>
      </c>
      <c r="AJ473" s="1">
        <v>2019</v>
      </c>
      <c r="AK473" s="1" t="s">
        <v>46</v>
      </c>
      <c r="AL473" s="1">
        <v>787</v>
      </c>
    </row>
    <row r="474" spans="1:39" x14ac:dyDescent="0.2">
      <c r="A474" s="2" t="str">
        <f>HYPERLINK("https://www.compass.com/listing/88-lexington-avenue-unit-607-manhattan-ny-10016/166606509382351745/","88 Lexington Ave, Unit 607")</f>
        <v>88 Lexington Ave, Unit 607</v>
      </c>
      <c r="B474" s="2" t="str">
        <f>HYPERLINK("https://www.compass.com/building/88-90-lexington-avenue-manhattan-ny/281903945159296309/","88 &amp; 90 Lexington Avenue")</f>
        <v>88 &amp; 90 Lexington Avenue</v>
      </c>
      <c r="C474" s="1" t="s">
        <v>198</v>
      </c>
      <c r="D474" s="1" t="s">
        <v>41</v>
      </c>
      <c r="E474" s="3">
        <v>3050000</v>
      </c>
      <c r="F474" s="1">
        <v>1834.0348767288001</v>
      </c>
      <c r="G474" s="1">
        <v>4</v>
      </c>
      <c r="H474" s="1">
        <v>2</v>
      </c>
      <c r="I474" s="1">
        <v>2</v>
      </c>
      <c r="J474" s="1">
        <v>2</v>
      </c>
      <c r="K474" s="1">
        <v>2</v>
      </c>
      <c r="M474" s="4">
        <v>1663</v>
      </c>
      <c r="N474" s="1">
        <v>1689</v>
      </c>
      <c r="O474" s="1">
        <v>4881</v>
      </c>
      <c r="P474" s="1">
        <v>3192</v>
      </c>
      <c r="Q474" s="1" t="s">
        <v>42</v>
      </c>
      <c r="S474" s="1" t="s">
        <v>42</v>
      </c>
      <c r="T474" s="1" t="s">
        <v>51</v>
      </c>
      <c r="U474" s="1">
        <v>852</v>
      </c>
      <c r="V474" s="5">
        <v>44421</v>
      </c>
      <c r="W474" s="5">
        <v>43481</v>
      </c>
      <c r="X474" s="1">
        <v>3050000</v>
      </c>
      <c r="AB474" s="1" t="s">
        <v>44</v>
      </c>
      <c r="AF474" s="1">
        <v>10016</v>
      </c>
      <c r="AI474" s="1" t="s">
        <v>114</v>
      </c>
      <c r="AJ474" s="1">
        <v>1927</v>
      </c>
      <c r="AK474" s="1" t="s">
        <v>46</v>
      </c>
      <c r="AL474" s="1">
        <v>70</v>
      </c>
    </row>
    <row r="477" spans="1:39" x14ac:dyDescent="0.2">
      <c r="A477" s="1" t="s">
        <v>227</v>
      </c>
    </row>
    <row r="478" spans="1:39" x14ac:dyDescent="0.2">
      <c r="A478" s="1" t="s">
        <v>1</v>
      </c>
      <c r="B478" s="1" t="s">
        <v>2</v>
      </c>
      <c r="C478" s="1" t="s">
        <v>3</v>
      </c>
      <c r="D478" s="1" t="s">
        <v>4</v>
      </c>
      <c r="E478" s="1" t="s">
        <v>5</v>
      </c>
      <c r="F478" s="1" t="s">
        <v>6</v>
      </c>
      <c r="G478" s="1" t="s">
        <v>7</v>
      </c>
      <c r="H478" s="1" t="s">
        <v>8</v>
      </c>
      <c r="I478" s="1" t="s">
        <v>9</v>
      </c>
      <c r="J478" s="1" t="s">
        <v>10</v>
      </c>
      <c r="K478" s="1" t="s">
        <v>11</v>
      </c>
      <c r="L478" s="1" t="s">
        <v>12</v>
      </c>
      <c r="M478" s="1" t="s">
        <v>13</v>
      </c>
      <c r="N478" s="1" t="s">
        <v>14</v>
      </c>
      <c r="O478" s="1" t="s">
        <v>15</v>
      </c>
      <c r="P478" s="1" t="s">
        <v>16</v>
      </c>
      <c r="Q478" s="1" t="s">
        <v>17</v>
      </c>
      <c r="R478" s="1" t="s">
        <v>18</v>
      </c>
      <c r="S478" s="1" t="s">
        <v>19</v>
      </c>
      <c r="T478" s="1" t="s">
        <v>20</v>
      </c>
      <c r="U478" s="1" t="s">
        <v>21</v>
      </c>
      <c r="V478" s="1" t="s">
        <v>22</v>
      </c>
      <c r="W478" s="1" t="s">
        <v>23</v>
      </c>
      <c r="X478" s="1" t="s">
        <v>24</v>
      </c>
      <c r="Y478" s="1" t="s">
        <v>25</v>
      </c>
      <c r="Z478" s="1" t="s">
        <v>26</v>
      </c>
      <c r="AA478" s="1" t="s">
        <v>27</v>
      </c>
      <c r="AB478" s="1" t="s">
        <v>28</v>
      </c>
      <c r="AC478" s="1" t="s">
        <v>29</v>
      </c>
      <c r="AD478" s="1" t="s">
        <v>30</v>
      </c>
      <c r="AE478" s="1" t="s">
        <v>31</v>
      </c>
      <c r="AF478" s="1" t="s">
        <v>32</v>
      </c>
      <c r="AG478" s="1" t="s">
        <v>33</v>
      </c>
      <c r="AH478" s="1" t="s">
        <v>34</v>
      </c>
      <c r="AI478" s="1" t="s">
        <v>35</v>
      </c>
      <c r="AJ478" s="1" t="s">
        <v>36</v>
      </c>
      <c r="AK478" s="1" t="s">
        <v>37</v>
      </c>
      <c r="AL478" s="1" t="s">
        <v>38</v>
      </c>
      <c r="AM478" s="1" t="s">
        <v>39</v>
      </c>
    </row>
    <row r="479" spans="1:39" x14ac:dyDescent="0.2">
      <c r="A479" s="2" t="str">
        <f>HYPERLINK("https://www.compass.com/listing/100-barclay-street-unit-17k-manhattan-ny-10007/526017034195721129/","100 Barclay St, Unit 17K")</f>
        <v>100 Barclay St, Unit 17K</v>
      </c>
      <c r="B479" s="2" t="str">
        <f>HYPERLINK("https://www.compass.com/building/100-barclay-manhattan-ny/281896670466155525/","100 Barclay")</f>
        <v>100 Barclay</v>
      </c>
      <c r="C479" s="1" t="s">
        <v>50</v>
      </c>
      <c r="D479" s="1" t="s">
        <v>41</v>
      </c>
      <c r="E479" s="3">
        <v>2995000</v>
      </c>
      <c r="F479" s="1">
        <v>1735.2259559675499</v>
      </c>
      <c r="G479" s="1">
        <v>5</v>
      </c>
      <c r="H479" s="1">
        <v>2</v>
      </c>
      <c r="I479" s="1">
        <v>3</v>
      </c>
      <c r="J479" s="1">
        <v>2.5</v>
      </c>
      <c r="K479" s="1">
        <v>2</v>
      </c>
      <c r="L479" s="1">
        <v>1</v>
      </c>
      <c r="M479" s="4">
        <v>1726</v>
      </c>
      <c r="N479" s="1">
        <v>2737</v>
      </c>
      <c r="O479" s="1">
        <v>5311</v>
      </c>
      <c r="P479" s="1">
        <v>2574</v>
      </c>
      <c r="S479" s="1" t="s">
        <v>42</v>
      </c>
      <c r="T479" s="1" t="s">
        <v>228</v>
      </c>
      <c r="U479" s="1">
        <v>284</v>
      </c>
      <c r="V479" s="5">
        <v>44425</v>
      </c>
      <c r="W479" s="5">
        <v>44054</v>
      </c>
      <c r="X479" s="1">
        <v>3175000</v>
      </c>
      <c r="Z479" s="5">
        <v>44344</v>
      </c>
      <c r="AB479" s="1" t="s">
        <v>44</v>
      </c>
      <c r="AF479" s="1">
        <v>10007</v>
      </c>
      <c r="AI479" s="1" t="s">
        <v>52</v>
      </c>
      <c r="AJ479" s="1">
        <v>1930</v>
      </c>
      <c r="AK479" s="1" t="s">
        <v>49</v>
      </c>
      <c r="AL479" s="1">
        <v>156</v>
      </c>
    </row>
    <row r="480" spans="1:39" x14ac:dyDescent="0.2">
      <c r="A480" s="2" t="str">
        <f>HYPERLINK("https://www.compass.com/listing/155-west-18th-street-unit-704-manhattan-ny-10011/732761802650199873/","155 W 18th St, Unit 704")</f>
        <v>155 W 18th St, Unit 704</v>
      </c>
      <c r="B480" s="2" t="str">
        <f>HYPERLINK("https://www.compass.com/building/the-flynn-manhattan-ny/281905793161251925/","The Flynn")</f>
        <v>The Flynn</v>
      </c>
      <c r="C480" s="1" t="s">
        <v>62</v>
      </c>
      <c r="D480" s="1" t="s">
        <v>41</v>
      </c>
      <c r="E480" s="3">
        <v>4750000</v>
      </c>
      <c r="F480" s="1">
        <v>2342.2090729782999</v>
      </c>
      <c r="G480" s="1">
        <v>5</v>
      </c>
      <c r="H480" s="1">
        <v>3</v>
      </c>
      <c r="I480" s="1">
        <v>4</v>
      </c>
      <c r="J480" s="1">
        <v>3.5</v>
      </c>
      <c r="K480" s="1">
        <v>3</v>
      </c>
      <c r="L480" s="1">
        <v>1</v>
      </c>
      <c r="M480" s="4">
        <v>2028</v>
      </c>
      <c r="N480" s="1">
        <v>2766</v>
      </c>
      <c r="O480" s="1">
        <v>6099</v>
      </c>
      <c r="P480" s="1">
        <v>3333</v>
      </c>
      <c r="S480" s="1" t="s">
        <v>42</v>
      </c>
      <c r="T480" s="1" t="s">
        <v>228</v>
      </c>
      <c r="U480" s="1">
        <v>131</v>
      </c>
      <c r="V480" s="5">
        <v>44418</v>
      </c>
      <c r="W480" s="5">
        <v>44263</v>
      </c>
      <c r="X480" s="1">
        <v>4950000</v>
      </c>
      <c r="Z480" s="5">
        <v>44398</v>
      </c>
      <c r="AB480" s="1" t="s">
        <v>44</v>
      </c>
      <c r="AF480" s="1">
        <v>10011</v>
      </c>
      <c r="AI480" s="1" t="s">
        <v>229</v>
      </c>
      <c r="AJ480" s="1">
        <v>2016</v>
      </c>
      <c r="AK480" s="1" t="s">
        <v>55</v>
      </c>
      <c r="AL480" s="1">
        <v>30</v>
      </c>
    </row>
    <row r="481" spans="1:38" x14ac:dyDescent="0.2">
      <c r="A481" s="2" t="str">
        <f>HYPERLINK("https://www.compass.com/listing/45-park-place-unit-19w-manhattan-ny-10007/296945234055695057/","45 Park Pl, Unit 19W")</f>
        <v>45 Park Pl, Unit 19W</v>
      </c>
      <c r="B481" s="2" t="str">
        <f t="shared" ref="B481:B484" si="68">HYPERLINK("https://www.compass.com/building/45-park-pl-manhattan-ny-10007/282067474101344021/","45 Park Pl")</f>
        <v>45 Park Pl</v>
      </c>
      <c r="C481" s="1" t="s">
        <v>50</v>
      </c>
      <c r="D481" s="1" t="s">
        <v>41</v>
      </c>
      <c r="E481" s="3">
        <v>3945000</v>
      </c>
      <c r="F481" s="1">
        <v>2520.7667731629299</v>
      </c>
      <c r="G481" s="1">
        <v>4</v>
      </c>
      <c r="H481" s="1">
        <v>2</v>
      </c>
      <c r="I481" s="1">
        <v>3</v>
      </c>
      <c r="J481" s="1">
        <v>2.5</v>
      </c>
      <c r="K481" s="1">
        <v>2</v>
      </c>
      <c r="L481" s="1">
        <v>1</v>
      </c>
      <c r="M481" s="4">
        <v>1565</v>
      </c>
      <c r="N481" s="1">
        <v>2048</v>
      </c>
      <c r="O481" s="1">
        <v>4202</v>
      </c>
      <c r="P481" s="1">
        <v>2154</v>
      </c>
      <c r="S481" s="1" t="s">
        <v>42</v>
      </c>
      <c r="T481" s="1" t="s">
        <v>228</v>
      </c>
      <c r="V481" s="5">
        <v>44392</v>
      </c>
      <c r="W481" s="5">
        <v>43662</v>
      </c>
      <c r="X481" s="1">
        <v>3945000</v>
      </c>
      <c r="Z481" s="5">
        <v>43662</v>
      </c>
      <c r="AB481" s="1" t="s">
        <v>44</v>
      </c>
      <c r="AF481" s="1">
        <v>10007</v>
      </c>
      <c r="AI481" s="1" t="s">
        <v>177</v>
      </c>
      <c r="AJ481" s="1">
        <v>2019</v>
      </c>
      <c r="AK481" s="1" t="s">
        <v>46</v>
      </c>
      <c r="AL481" s="1">
        <v>50</v>
      </c>
    </row>
    <row r="482" spans="1:38" x14ac:dyDescent="0.2">
      <c r="A482" s="2" t="str">
        <f>HYPERLINK("https://www.compass.com/listing/45-park-place-unit-7e-manhattan-ny-10007/296947778832069009/","45 Park Pl, Unit 7E")</f>
        <v>45 Park Pl, Unit 7E</v>
      </c>
      <c r="B482" s="2" t="str">
        <f t="shared" si="68"/>
        <v>45 Park Pl</v>
      </c>
      <c r="C482" s="1" t="s">
        <v>50</v>
      </c>
      <c r="D482" s="1" t="s">
        <v>41</v>
      </c>
      <c r="E482" s="3">
        <v>4745000</v>
      </c>
      <c r="F482" s="1">
        <v>2439.5886889460098</v>
      </c>
      <c r="G482" s="1">
        <v>5</v>
      </c>
      <c r="H482" s="1">
        <v>3</v>
      </c>
      <c r="I482" s="1">
        <v>4</v>
      </c>
      <c r="J482" s="1">
        <v>3.5</v>
      </c>
      <c r="K482" s="1">
        <v>3</v>
      </c>
      <c r="L482" s="1">
        <v>1</v>
      </c>
      <c r="M482" s="4">
        <v>1945</v>
      </c>
      <c r="N482" s="1">
        <v>2510</v>
      </c>
      <c r="O482" s="1">
        <v>5149</v>
      </c>
      <c r="P482" s="1">
        <v>2639</v>
      </c>
      <c r="S482" s="1" t="s">
        <v>42</v>
      </c>
      <c r="T482" s="1" t="s">
        <v>228</v>
      </c>
      <c r="V482" s="5">
        <v>44392</v>
      </c>
      <c r="W482" s="5">
        <v>43662</v>
      </c>
      <c r="X482" s="1">
        <v>4745000</v>
      </c>
      <c r="Z482" s="5">
        <v>43662</v>
      </c>
      <c r="AB482" s="1" t="s">
        <v>44</v>
      </c>
      <c r="AF482" s="1">
        <v>10007</v>
      </c>
      <c r="AI482" s="1" t="s">
        <v>177</v>
      </c>
      <c r="AJ482" s="1">
        <v>2019</v>
      </c>
      <c r="AK482" s="1" t="s">
        <v>46</v>
      </c>
      <c r="AL482" s="1">
        <v>50</v>
      </c>
    </row>
    <row r="483" spans="1:38" x14ac:dyDescent="0.2">
      <c r="A483" s="2" t="str">
        <f>HYPERLINK("https://www.compass.com/listing/45-park-place-unit-24-manhattan-ny-10007/296958337782674945/","45 Park Pl, Unit 24")</f>
        <v>45 Park Pl, Unit 24</v>
      </c>
      <c r="B483" s="2" t="str">
        <f t="shared" si="68"/>
        <v>45 Park Pl</v>
      </c>
      <c r="C483" s="1" t="s">
        <v>50</v>
      </c>
      <c r="D483" s="1" t="s">
        <v>41</v>
      </c>
      <c r="E483" s="3">
        <v>10500000</v>
      </c>
      <c r="F483" s="1">
        <v>2947.78214486243</v>
      </c>
      <c r="G483" s="1">
        <v>6</v>
      </c>
      <c r="H483" s="1">
        <v>4</v>
      </c>
      <c r="I483" s="1">
        <v>5</v>
      </c>
      <c r="J483" s="1">
        <v>4.5</v>
      </c>
      <c r="K483" s="1">
        <v>4</v>
      </c>
      <c r="L483" s="1">
        <v>1</v>
      </c>
      <c r="M483" s="4">
        <v>3562</v>
      </c>
      <c r="N483" s="1">
        <v>4772</v>
      </c>
      <c r="O483" s="1">
        <v>9790</v>
      </c>
      <c r="P483" s="1">
        <v>5018</v>
      </c>
      <c r="S483" s="1" t="s">
        <v>42</v>
      </c>
      <c r="T483" s="1" t="s">
        <v>228</v>
      </c>
      <c r="V483" s="5">
        <v>44392</v>
      </c>
      <c r="Z483" s="5">
        <v>43662</v>
      </c>
      <c r="AB483" s="1" t="s">
        <v>44</v>
      </c>
      <c r="AF483" s="1">
        <v>10007</v>
      </c>
      <c r="AI483" s="1" t="s">
        <v>177</v>
      </c>
      <c r="AJ483" s="1">
        <v>2019</v>
      </c>
      <c r="AK483" s="1" t="s">
        <v>46</v>
      </c>
      <c r="AL483" s="1">
        <v>50</v>
      </c>
    </row>
    <row r="484" spans="1:38" x14ac:dyDescent="0.2">
      <c r="A484" s="2" t="str">
        <f>HYPERLINK("https://www.compass.com/listing/45-park-place-unit-38-manhattan-ny-10007/296959035983296097/","45 Park Pl, Unit 38")</f>
        <v>45 Park Pl, Unit 38</v>
      </c>
      <c r="B484" s="2" t="str">
        <f t="shared" si="68"/>
        <v>45 Park Pl</v>
      </c>
      <c r="C484" s="1" t="s">
        <v>50</v>
      </c>
      <c r="D484" s="1" t="s">
        <v>41</v>
      </c>
      <c r="E484" s="3">
        <v>12350000</v>
      </c>
      <c r="F484" s="1">
        <v>3814.0827671402099</v>
      </c>
      <c r="G484" s="1">
        <v>5</v>
      </c>
      <c r="H484" s="1">
        <v>3</v>
      </c>
      <c r="I484" s="1">
        <v>4</v>
      </c>
      <c r="J484" s="1">
        <v>3.5</v>
      </c>
      <c r="K484" s="1">
        <v>3</v>
      </c>
      <c r="L484" s="1">
        <v>1</v>
      </c>
      <c r="M484" s="4">
        <v>3238</v>
      </c>
      <c r="N484" s="1">
        <v>4618</v>
      </c>
      <c r="O484" s="1">
        <v>9474</v>
      </c>
      <c r="P484" s="1">
        <v>4856</v>
      </c>
      <c r="S484" s="1" t="s">
        <v>42</v>
      </c>
      <c r="T484" s="1" t="s">
        <v>228</v>
      </c>
      <c r="V484" s="5">
        <v>44392</v>
      </c>
      <c r="W484" s="5">
        <v>43662</v>
      </c>
      <c r="X484" s="1">
        <v>12350000</v>
      </c>
      <c r="Z484" s="5">
        <v>43662</v>
      </c>
      <c r="AB484" s="1" t="s">
        <v>44</v>
      </c>
      <c r="AF484" s="1">
        <v>10007</v>
      </c>
      <c r="AI484" s="1" t="s">
        <v>177</v>
      </c>
      <c r="AJ484" s="1">
        <v>2019</v>
      </c>
      <c r="AK484" s="1" t="s">
        <v>46</v>
      </c>
      <c r="AL484" s="1">
        <v>50</v>
      </c>
    </row>
    <row r="485" spans="1:38" x14ac:dyDescent="0.2">
      <c r="A485" s="2" t="str">
        <f>HYPERLINK("https://www.compass.com/listing/64-east-1st-street-unit-4-manhattan-ny-10003/776060344050464665/","64 E 1st St, Unit 4")</f>
        <v>64 E 1st St, Unit 4</v>
      </c>
      <c r="B485" s="2" t="str">
        <f>HYPERLINK("https://www.compass.com/building/64-e-1st-st-manhattan-ny-10003/281894416707231061/","64 E 1st St")</f>
        <v>64 E 1st St</v>
      </c>
      <c r="C485" s="1" t="s">
        <v>71</v>
      </c>
      <c r="D485" s="1" t="s">
        <v>41</v>
      </c>
      <c r="E485" s="3">
        <v>2800000</v>
      </c>
      <c r="F485" s="1">
        <v>1549.52960708356</v>
      </c>
      <c r="G485" s="1">
        <v>3</v>
      </c>
      <c r="H485" s="1">
        <v>2</v>
      </c>
      <c r="I485" s="1">
        <v>3</v>
      </c>
      <c r="J485" s="1">
        <v>2.5</v>
      </c>
      <c r="K485" s="1">
        <v>2</v>
      </c>
      <c r="L485" s="1">
        <v>1</v>
      </c>
      <c r="M485" s="4">
        <v>1807</v>
      </c>
      <c r="N485" s="1">
        <v>2013</v>
      </c>
      <c r="O485" s="1">
        <v>5193</v>
      </c>
      <c r="P485" s="1">
        <v>3180</v>
      </c>
      <c r="S485" s="1" t="s">
        <v>42</v>
      </c>
      <c r="T485" s="1" t="s">
        <v>228</v>
      </c>
      <c r="U485" s="1">
        <v>67</v>
      </c>
      <c r="V485" s="5">
        <v>44390</v>
      </c>
      <c r="W485" s="5">
        <v>44323</v>
      </c>
      <c r="X485" s="1">
        <v>2995000</v>
      </c>
      <c r="Z485" s="5">
        <v>44390</v>
      </c>
      <c r="AB485" s="1" t="s">
        <v>44</v>
      </c>
      <c r="AF485" s="1">
        <v>10003</v>
      </c>
      <c r="AI485" s="1" t="s">
        <v>133</v>
      </c>
      <c r="AJ485" s="1">
        <v>2017</v>
      </c>
      <c r="AL485" s="1">
        <v>6</v>
      </c>
    </row>
    <row r="486" spans="1:38" x14ac:dyDescent="0.2">
      <c r="A486" s="2" t="str">
        <f>HYPERLINK("https://www.compass.com/listing/403-greenwich-street-unit-a-manhattan-ny-10013/738266996415011617/","403 Greenwich St, Unit A")</f>
        <v>403 Greenwich St, Unit A</v>
      </c>
      <c r="B486" s="2" t="str">
        <f>HYPERLINK("https://www.compass.com/building/403-greenwich-st-manhattan-ny-10013/281919631906604869/","403 Greenwich St")</f>
        <v>403 Greenwich St</v>
      </c>
      <c r="C486" s="1" t="s">
        <v>50</v>
      </c>
      <c r="D486" s="1" t="s">
        <v>41</v>
      </c>
      <c r="E486" s="3">
        <v>4750000</v>
      </c>
      <c r="F486" s="1">
        <v>2498.6849026827899</v>
      </c>
      <c r="G486" s="1">
        <v>9</v>
      </c>
      <c r="H486" s="1">
        <v>3</v>
      </c>
      <c r="I486" s="1">
        <v>3</v>
      </c>
      <c r="J486" s="1">
        <v>3</v>
      </c>
      <c r="K486" s="1">
        <v>3</v>
      </c>
      <c r="M486" s="4">
        <v>1901</v>
      </c>
      <c r="N486" s="1">
        <v>1547</v>
      </c>
      <c r="O486" s="1">
        <v>4707</v>
      </c>
      <c r="P486" s="1">
        <v>3160</v>
      </c>
      <c r="S486" s="1" t="s">
        <v>42</v>
      </c>
      <c r="T486" s="1" t="s">
        <v>228</v>
      </c>
      <c r="U486" s="1">
        <v>142</v>
      </c>
      <c r="V486" s="5">
        <v>44413</v>
      </c>
      <c r="W486" s="5">
        <v>44270</v>
      </c>
      <c r="X486" s="1">
        <v>4800000</v>
      </c>
      <c r="Z486" s="5">
        <v>44413</v>
      </c>
      <c r="AB486" s="1" t="s">
        <v>44</v>
      </c>
      <c r="AF486" s="1">
        <v>10013</v>
      </c>
      <c r="AI486" s="1" t="s">
        <v>230</v>
      </c>
      <c r="AJ486" s="1">
        <v>2017</v>
      </c>
      <c r="AK486" s="1" t="s">
        <v>75</v>
      </c>
      <c r="AL486" s="1">
        <v>4</v>
      </c>
    </row>
    <row r="487" spans="1:38" x14ac:dyDescent="0.2">
      <c r="A487" s="2" t="str">
        <f>HYPERLINK("https://www.compass.com/listing/570-broome-street-unit-17b-manhattan-ny-10013/510678885074686089/","570 Broome St, Unit 17B")</f>
        <v>570 Broome St, Unit 17B</v>
      </c>
      <c r="B487" s="2" t="str">
        <f>HYPERLINK("https://www.compass.com/building/570-broome-manhattan-ny/292818583757562981/","570 Broome")</f>
        <v>570 Broome</v>
      </c>
      <c r="C487" s="1" t="s">
        <v>53</v>
      </c>
      <c r="D487" s="1" t="s">
        <v>41</v>
      </c>
      <c r="E487" s="3">
        <v>2990000</v>
      </c>
      <c r="F487" s="1">
        <v>2527.4725274725201</v>
      </c>
      <c r="G487" s="1">
        <v>4</v>
      </c>
      <c r="H487" s="1">
        <v>2</v>
      </c>
      <c r="I487" s="1">
        <v>3</v>
      </c>
      <c r="J487" s="1">
        <v>2.5</v>
      </c>
      <c r="K487" s="1">
        <v>2</v>
      </c>
      <c r="L487" s="1">
        <v>1</v>
      </c>
      <c r="M487" s="4">
        <v>1183</v>
      </c>
      <c r="N487" s="1">
        <v>1379</v>
      </c>
      <c r="O487" s="1">
        <v>3750</v>
      </c>
      <c r="P487" s="1">
        <v>2371</v>
      </c>
      <c r="S487" s="1" t="s">
        <v>42</v>
      </c>
      <c r="T487" s="1" t="s">
        <v>228</v>
      </c>
      <c r="U487" s="1">
        <v>421</v>
      </c>
      <c r="V487" s="5">
        <v>44426</v>
      </c>
      <c r="W487" s="5">
        <v>43956</v>
      </c>
      <c r="X487" s="1">
        <v>2990000</v>
      </c>
      <c r="Z487" s="5">
        <v>44426</v>
      </c>
      <c r="AB487" s="1" t="s">
        <v>44</v>
      </c>
      <c r="AF487" s="1">
        <v>10013</v>
      </c>
      <c r="AI487" s="1" t="s">
        <v>80</v>
      </c>
      <c r="AJ487" s="1">
        <v>2019</v>
      </c>
      <c r="AK487" s="1" t="s">
        <v>55</v>
      </c>
      <c r="AL487" s="1">
        <v>54</v>
      </c>
    </row>
    <row r="488" spans="1:38" x14ac:dyDescent="0.2">
      <c r="A488" s="2" t="str">
        <f>HYPERLINK("https://www.compass.com/listing/15-hudson-yards-unit-68d-manhattan-ny-10001/751349900090322945/","15 Hudson Yards, Unit 68D")</f>
        <v>15 Hudson Yards, Unit 68D</v>
      </c>
      <c r="B488" s="2" t="str">
        <f>HYPERLINK("https://www.compass.com/building/fifteen-hudson-yards-manhattan-ny/282058587512011909/","Fifteen Hudson Yards")</f>
        <v>Fifteen Hudson Yards</v>
      </c>
      <c r="C488" s="1" t="s">
        <v>77</v>
      </c>
      <c r="D488" s="1" t="s">
        <v>41</v>
      </c>
      <c r="E488" s="3">
        <v>4595000</v>
      </c>
      <c r="F488" s="1">
        <v>2295.2047952047901</v>
      </c>
      <c r="G488" s="1">
        <v>4.5</v>
      </c>
      <c r="H488" s="1">
        <v>2</v>
      </c>
      <c r="I488" s="1">
        <v>3</v>
      </c>
      <c r="J488" s="1">
        <v>2.5</v>
      </c>
      <c r="K488" s="1">
        <v>2</v>
      </c>
      <c r="L488" s="1">
        <v>1</v>
      </c>
      <c r="M488" s="4">
        <v>2002</v>
      </c>
      <c r="N488" s="1">
        <v>4949</v>
      </c>
      <c r="O488" s="1">
        <v>5013</v>
      </c>
      <c r="P488" s="1">
        <v>64</v>
      </c>
      <c r="S488" s="1" t="s">
        <v>42</v>
      </c>
      <c r="T488" s="1" t="s">
        <v>228</v>
      </c>
      <c r="U488" s="1">
        <v>102</v>
      </c>
      <c r="V488" s="5">
        <v>44391</v>
      </c>
      <c r="W488" s="5">
        <v>44289</v>
      </c>
      <c r="X488" s="1">
        <v>5199000</v>
      </c>
      <c r="Z488" s="5">
        <v>44391</v>
      </c>
      <c r="AB488" s="1" t="s">
        <v>44</v>
      </c>
      <c r="AF488" s="1">
        <v>10001</v>
      </c>
      <c r="AJ488" s="1">
        <v>2018</v>
      </c>
      <c r="AK488" s="1" t="s">
        <v>49</v>
      </c>
      <c r="AL488" s="1">
        <v>285</v>
      </c>
    </row>
    <row r="489" spans="1:38" x14ac:dyDescent="0.2">
      <c r="A489" s="2" t="str">
        <f>HYPERLINK("https://www.compass.com/listing/200-east-94th-street-unit-1212-manhattan-ny-10128/785538706768483889/","200 E 94th St, Unit 1212")</f>
        <v>200 E 94th St, Unit 1212</v>
      </c>
      <c r="B489" s="2" t="str">
        <f t="shared" ref="B489:B491" si="69">HYPERLINK("https://www.compass.com/building/carnegie-park-condominium-manhattan-ny/282049797358118613/","Carnegie Park Condominium")</f>
        <v>Carnegie Park Condominium</v>
      </c>
      <c r="C489" s="1" t="s">
        <v>82</v>
      </c>
      <c r="D489" s="1" t="s">
        <v>41</v>
      </c>
      <c r="E489" s="3">
        <v>1055000</v>
      </c>
      <c r="F489" s="1">
        <v>1496.4539007092101</v>
      </c>
      <c r="G489" s="1">
        <v>3</v>
      </c>
      <c r="H489" s="1">
        <v>1</v>
      </c>
      <c r="I489" s="1">
        <v>1</v>
      </c>
      <c r="J489" s="1">
        <v>1</v>
      </c>
      <c r="K489" s="1">
        <v>1</v>
      </c>
      <c r="M489" s="1">
        <v>705</v>
      </c>
      <c r="N489" s="1">
        <v>841.83</v>
      </c>
      <c r="O489" s="1">
        <v>1711.83</v>
      </c>
      <c r="P489" s="1">
        <v>870</v>
      </c>
      <c r="S489" s="1" t="s">
        <v>42</v>
      </c>
      <c r="T489" s="1" t="s">
        <v>228</v>
      </c>
      <c r="U489" s="1">
        <v>71</v>
      </c>
      <c r="V489" s="5">
        <v>44407</v>
      </c>
      <c r="W489" s="5">
        <v>44336</v>
      </c>
      <c r="X489" s="1">
        <v>1095000</v>
      </c>
      <c r="Z489" s="5">
        <v>44407</v>
      </c>
      <c r="AB489" s="1" t="s">
        <v>44</v>
      </c>
      <c r="AF489" s="1">
        <v>10128</v>
      </c>
      <c r="AI489" s="1" t="s">
        <v>163</v>
      </c>
      <c r="AJ489" s="1">
        <v>1986</v>
      </c>
      <c r="AK489" s="1" t="s">
        <v>49</v>
      </c>
      <c r="AL489" s="1">
        <v>287</v>
      </c>
    </row>
    <row r="490" spans="1:38" x14ac:dyDescent="0.2">
      <c r="A490" s="2" t="str">
        <f>HYPERLINK("https://www.compass.com/listing/200-east-94th-street-unit-1609-manhattan-ny-10128/745726270767619969/","200 E 94th St, Unit 1609")</f>
        <v>200 E 94th St, Unit 1609</v>
      </c>
      <c r="B490" s="2" t="str">
        <f t="shared" si="69"/>
        <v>Carnegie Park Condominium</v>
      </c>
      <c r="C490" s="1" t="s">
        <v>82</v>
      </c>
      <c r="D490" s="1" t="s">
        <v>41</v>
      </c>
      <c r="E490" s="3">
        <v>2650000</v>
      </c>
      <c r="F490" s="1">
        <v>1681.47208121827</v>
      </c>
      <c r="G490" s="1">
        <v>5</v>
      </c>
      <c r="H490" s="1">
        <v>3</v>
      </c>
      <c r="I490" s="1">
        <v>2</v>
      </c>
      <c r="J490" s="1">
        <v>2</v>
      </c>
      <c r="K490" s="1">
        <v>2</v>
      </c>
      <c r="M490" s="4">
        <v>1576</v>
      </c>
      <c r="N490" s="1">
        <v>1799</v>
      </c>
      <c r="O490" s="1">
        <v>3613</v>
      </c>
      <c r="P490" s="1">
        <v>1814</v>
      </c>
      <c r="S490" s="1" t="s">
        <v>42</v>
      </c>
      <c r="T490" s="1" t="s">
        <v>228</v>
      </c>
      <c r="U490" s="1">
        <v>138</v>
      </c>
      <c r="V490" s="5">
        <v>44420</v>
      </c>
      <c r="W490" s="5">
        <v>44281</v>
      </c>
      <c r="X490" s="1">
        <v>2750000</v>
      </c>
      <c r="Z490" s="5">
        <v>44420</v>
      </c>
      <c r="AB490" s="1" t="s">
        <v>44</v>
      </c>
      <c r="AF490" s="1">
        <v>10128</v>
      </c>
      <c r="AI490" s="1" t="s">
        <v>163</v>
      </c>
      <c r="AJ490" s="1">
        <v>1986</v>
      </c>
      <c r="AK490" s="1" t="s">
        <v>46</v>
      </c>
      <c r="AL490" s="1">
        <v>287</v>
      </c>
    </row>
    <row r="491" spans="1:38" x14ac:dyDescent="0.2">
      <c r="A491" s="2" t="str">
        <f>HYPERLINK("https://www.compass.com/listing/200-east-94th-street-unit-217-manhattan-ny-10128/759320942074433321/","200 E 94th St, Unit 217")</f>
        <v>200 E 94th St, Unit 217</v>
      </c>
      <c r="B491" s="2" t="str">
        <f t="shared" si="69"/>
        <v>Carnegie Park Condominium</v>
      </c>
      <c r="C491" s="1" t="s">
        <v>82</v>
      </c>
      <c r="D491" s="1" t="s">
        <v>41</v>
      </c>
      <c r="E491" s="3">
        <v>1600000</v>
      </c>
      <c r="F491" s="1">
        <v>1496.72591206735</v>
      </c>
      <c r="G491" s="1">
        <v>6</v>
      </c>
      <c r="H491" s="1">
        <v>2</v>
      </c>
      <c r="I491" s="1">
        <v>2</v>
      </c>
      <c r="J491" s="1">
        <v>2</v>
      </c>
      <c r="K491" s="1">
        <v>2</v>
      </c>
      <c r="M491" s="4">
        <v>1069</v>
      </c>
      <c r="N491" s="1">
        <v>1226</v>
      </c>
      <c r="O491" s="1">
        <v>2437</v>
      </c>
      <c r="P491" s="1">
        <v>1211</v>
      </c>
      <c r="S491" s="1" t="s">
        <v>42</v>
      </c>
      <c r="T491" s="1" t="s">
        <v>228</v>
      </c>
      <c r="U491" s="1">
        <v>45</v>
      </c>
      <c r="V491" s="5">
        <v>44377</v>
      </c>
      <c r="W491" s="5">
        <v>44299</v>
      </c>
      <c r="X491" s="1">
        <v>1600000</v>
      </c>
      <c r="Z491" s="5">
        <v>44345</v>
      </c>
      <c r="AB491" s="1" t="s">
        <v>44</v>
      </c>
      <c r="AF491" s="1">
        <v>10128</v>
      </c>
      <c r="AI491" s="1" t="s">
        <v>163</v>
      </c>
      <c r="AJ491" s="1">
        <v>1986</v>
      </c>
      <c r="AK491" s="1" t="s">
        <v>49</v>
      </c>
      <c r="AL491" s="1">
        <v>287</v>
      </c>
    </row>
    <row r="492" spans="1:38" x14ac:dyDescent="0.2">
      <c r="A492" s="2" t="str">
        <f>HYPERLINK("https://www.compass.com/listing/88-lexington-avenue-unit-1202-manhattan-ny-10016/735580033899680713/","88 Lexington Ave, Unit 1202")</f>
        <v>88 Lexington Ave, Unit 1202</v>
      </c>
      <c r="B492" s="2" t="str">
        <f>HYPERLINK("https://www.compass.com/building/88-90-lexington-avenue-manhattan-ny/281903945159296309/","88 &amp; 90 Lexington Avenue")</f>
        <v>88 &amp; 90 Lexington Avenue</v>
      </c>
      <c r="C492" s="1" t="s">
        <v>40</v>
      </c>
      <c r="D492" s="1" t="s">
        <v>41</v>
      </c>
      <c r="E492" s="3">
        <v>3250000</v>
      </c>
      <c r="F492" s="1">
        <v>1735.18419647624</v>
      </c>
      <c r="G492" s="1">
        <v>5</v>
      </c>
      <c r="H492" s="1">
        <v>2</v>
      </c>
      <c r="I492" s="1">
        <v>3</v>
      </c>
      <c r="J492" s="1">
        <v>2.5</v>
      </c>
      <c r="K492" s="1">
        <v>2</v>
      </c>
      <c r="L492" s="1">
        <v>1</v>
      </c>
      <c r="M492" s="4">
        <v>1873</v>
      </c>
      <c r="N492" s="1">
        <v>2027.62</v>
      </c>
      <c r="O492" s="1">
        <v>5050.25</v>
      </c>
      <c r="P492" s="1">
        <v>3022.6666666666601</v>
      </c>
      <c r="S492" s="1" t="s">
        <v>42</v>
      </c>
      <c r="T492" s="1" t="s">
        <v>228</v>
      </c>
      <c r="U492" s="1">
        <v>53</v>
      </c>
      <c r="V492" s="5">
        <v>44352</v>
      </c>
      <c r="W492" s="5">
        <v>44298</v>
      </c>
      <c r="X492" s="1">
        <v>3250000</v>
      </c>
      <c r="Z492" s="5">
        <v>44352</v>
      </c>
      <c r="AB492" s="1" t="s">
        <v>44</v>
      </c>
      <c r="AF492" s="1">
        <v>10016</v>
      </c>
      <c r="AI492" s="1" t="s">
        <v>78</v>
      </c>
      <c r="AJ492" s="1">
        <v>1927</v>
      </c>
      <c r="AK492" s="1" t="s">
        <v>49</v>
      </c>
      <c r="AL492" s="1">
        <v>70</v>
      </c>
    </row>
    <row r="493" spans="1:38" x14ac:dyDescent="0.2">
      <c r="A493" s="2" t="str">
        <f>HYPERLINK("https://www.compass.com/listing/20-east-end-avenue-unit-9c-manhattan-ny-10028/572270988270682377/","20 E End Ave, Unit 9C")</f>
        <v>20 E End Ave, Unit 9C</v>
      </c>
      <c r="B493" s="2" t="str">
        <f>HYPERLINK("https://www.compass.com/building/20-e-end-ave-manhattan-ny-10028/281985490498985157/","20 E End Ave")</f>
        <v>20 E End Ave</v>
      </c>
      <c r="C493" s="1" t="s">
        <v>82</v>
      </c>
      <c r="D493" s="1" t="s">
        <v>41</v>
      </c>
      <c r="E493" s="3">
        <v>4995000</v>
      </c>
      <c r="F493" s="1">
        <v>2313.5710977304302</v>
      </c>
      <c r="G493" s="1">
        <v>5.5</v>
      </c>
      <c r="H493" s="1">
        <v>3</v>
      </c>
      <c r="I493" s="1">
        <v>4</v>
      </c>
      <c r="J493" s="1">
        <v>3.5</v>
      </c>
      <c r="K493" s="1">
        <v>3</v>
      </c>
      <c r="L493" s="1">
        <v>1</v>
      </c>
      <c r="M493" s="4">
        <v>2159</v>
      </c>
      <c r="N493" s="1">
        <v>3179</v>
      </c>
      <c r="O493" s="1">
        <v>6773</v>
      </c>
      <c r="P493" s="1">
        <v>3594</v>
      </c>
      <c r="S493" s="1" t="s">
        <v>42</v>
      </c>
      <c r="T493" s="1" t="s">
        <v>228</v>
      </c>
      <c r="U493" s="1">
        <v>308</v>
      </c>
      <c r="V493" s="5">
        <v>44392</v>
      </c>
      <c r="W493" s="5">
        <v>44041</v>
      </c>
      <c r="X493" s="1">
        <v>5400000</v>
      </c>
      <c r="Z493" s="5">
        <v>44351</v>
      </c>
      <c r="AB493" s="1" t="s">
        <v>44</v>
      </c>
      <c r="AF493" s="1">
        <v>10028</v>
      </c>
      <c r="AJ493" s="1">
        <v>2017</v>
      </c>
      <c r="AK493" s="1" t="s">
        <v>49</v>
      </c>
      <c r="AL493" s="1">
        <v>41</v>
      </c>
    </row>
    <row r="494" spans="1:38" x14ac:dyDescent="0.2">
      <c r="A494" s="2" t="str">
        <f>HYPERLINK("https://www.compass.com/listing/48-east-132nd-street-unit-3c-manhattan-ny-10037/740595414763323217/","48 E 132nd St, Unit 3C")</f>
        <v>48 E 132nd St, Unit 3C</v>
      </c>
      <c r="B494" s="2" t="str">
        <f>HYPERLINK("https://www.compass.com/building/48-e-132nd-st-manhattan-ny-10037/282028625274876293/","48 E 132nd St")</f>
        <v>48 E 132nd St</v>
      </c>
      <c r="C494" s="1" t="s">
        <v>84</v>
      </c>
      <c r="D494" s="1" t="s">
        <v>41</v>
      </c>
      <c r="E494" s="3">
        <v>435000</v>
      </c>
      <c r="F494" s="1">
        <v>1087.5</v>
      </c>
      <c r="G494" s="1">
        <v>3</v>
      </c>
      <c r="H494" s="1" t="s">
        <v>153</v>
      </c>
      <c r="I494" s="1">
        <v>1</v>
      </c>
      <c r="J494" s="1">
        <v>1</v>
      </c>
      <c r="K494" s="1">
        <v>1</v>
      </c>
      <c r="M494" s="1">
        <v>400</v>
      </c>
      <c r="N494" s="1">
        <v>395</v>
      </c>
      <c r="O494" s="1">
        <v>654</v>
      </c>
      <c r="P494" s="1">
        <v>259</v>
      </c>
      <c r="S494" s="1" t="s">
        <v>42</v>
      </c>
      <c r="T494" s="1" t="s">
        <v>228</v>
      </c>
      <c r="U494" s="1">
        <v>5</v>
      </c>
      <c r="V494" s="5">
        <v>44405</v>
      </c>
      <c r="W494" s="5">
        <v>44391</v>
      </c>
      <c r="X494" s="1">
        <v>435000</v>
      </c>
      <c r="Z494" s="5">
        <v>44405</v>
      </c>
      <c r="AB494" s="1" t="s">
        <v>44</v>
      </c>
      <c r="AF494" s="1">
        <v>10037</v>
      </c>
      <c r="AI494" s="1" t="s">
        <v>95</v>
      </c>
      <c r="AJ494" s="1">
        <v>2016</v>
      </c>
      <c r="AK494" s="1" t="s">
        <v>75</v>
      </c>
      <c r="AL494" s="1">
        <v>19</v>
      </c>
    </row>
    <row r="495" spans="1:38" x14ac:dyDescent="0.2">
      <c r="A495" s="2" t="str">
        <f>HYPERLINK("https://www.compass.com/listing/1-west-end-avenue-unit-28a-manhattan-ny-10069/804955117275287225/","1 W End Ave, Unit 28A")</f>
        <v>1 W End Ave, Unit 28A</v>
      </c>
      <c r="B495" s="2" t="str">
        <f>HYPERLINK("https://www.compass.com/building/1-w-end-ave-manhattan-ny-10069/455676159137755317/","1 W End Ave")</f>
        <v>1 W End Ave</v>
      </c>
      <c r="C495" s="1" t="s">
        <v>57</v>
      </c>
      <c r="D495" s="1" t="s">
        <v>41</v>
      </c>
      <c r="E495" s="3">
        <v>3495000</v>
      </c>
      <c r="F495" s="1">
        <v>1947.0752089136399</v>
      </c>
      <c r="G495" s="1">
        <v>4</v>
      </c>
      <c r="H495" s="1">
        <v>2</v>
      </c>
      <c r="I495" s="1">
        <v>3</v>
      </c>
      <c r="J495" s="1">
        <v>2.5</v>
      </c>
      <c r="K495" s="1">
        <v>2</v>
      </c>
      <c r="L495" s="1">
        <v>1</v>
      </c>
      <c r="M495" s="4">
        <v>1795</v>
      </c>
      <c r="N495" s="1">
        <v>2019</v>
      </c>
      <c r="O495" s="1">
        <v>2131</v>
      </c>
      <c r="P495" s="1">
        <v>112</v>
      </c>
      <c r="S495" s="1" t="s">
        <v>42</v>
      </c>
      <c r="T495" s="1" t="s">
        <v>228</v>
      </c>
      <c r="U495" s="1">
        <v>34</v>
      </c>
      <c r="V495" s="5">
        <v>44397</v>
      </c>
      <c r="W495" s="5">
        <v>44362</v>
      </c>
      <c r="X495" s="1">
        <v>3495000</v>
      </c>
      <c r="Z495" s="5">
        <v>44397</v>
      </c>
      <c r="AB495" s="1" t="s">
        <v>44</v>
      </c>
      <c r="AF495" s="1">
        <v>10069</v>
      </c>
      <c r="AI495" s="1" t="s">
        <v>205</v>
      </c>
      <c r="AJ495" s="1">
        <v>2017</v>
      </c>
      <c r="AK495" s="1" t="s">
        <v>49</v>
      </c>
      <c r="AL495" s="1">
        <v>246</v>
      </c>
    </row>
    <row r="496" spans="1:38" x14ac:dyDescent="0.2">
      <c r="A496" s="2" t="str">
        <f>HYPERLINK("https://www.compass.com/listing/325-lexington-avenue-unit-18e-manhattan-ny-10016/761032102085013537/","325 Lexington Ave, Unit 18E")</f>
        <v>325 Lexington Ave, Unit 18E</v>
      </c>
      <c r="B496" s="2" t="str">
        <f>HYPERLINK("https://www.compass.com/building/325-lex-condominium-manhattan-ny/281939882467713365/","325 Lex Condominium")</f>
        <v>325 Lex Condominium</v>
      </c>
      <c r="C496" s="1" t="s">
        <v>59</v>
      </c>
      <c r="D496" s="1" t="s">
        <v>41</v>
      </c>
      <c r="E496" s="3">
        <v>1129000</v>
      </c>
      <c r="F496" s="1">
        <v>1750.3875968992199</v>
      </c>
      <c r="G496" s="1">
        <v>2</v>
      </c>
      <c r="H496" s="1">
        <v>1</v>
      </c>
      <c r="I496" s="1">
        <v>1</v>
      </c>
      <c r="J496" s="1">
        <v>1</v>
      </c>
      <c r="K496" s="1">
        <v>1</v>
      </c>
      <c r="M496" s="1">
        <v>645</v>
      </c>
      <c r="N496" s="1">
        <v>1041</v>
      </c>
      <c r="O496" s="1">
        <v>1679</v>
      </c>
      <c r="P496" s="1">
        <v>638</v>
      </c>
      <c r="S496" s="1" t="s">
        <v>42</v>
      </c>
      <c r="T496" s="1" t="s">
        <v>228</v>
      </c>
      <c r="U496" s="1">
        <v>40</v>
      </c>
      <c r="V496" s="5">
        <v>44342</v>
      </c>
      <c r="W496" s="5">
        <v>44302</v>
      </c>
      <c r="X496" s="1">
        <v>1129000</v>
      </c>
      <c r="Z496" s="5">
        <v>44342</v>
      </c>
      <c r="AB496" s="1" t="s">
        <v>44</v>
      </c>
      <c r="AF496" s="1">
        <v>10016</v>
      </c>
      <c r="AI496" s="1" t="s">
        <v>60</v>
      </c>
      <c r="AJ496" s="1">
        <v>2014</v>
      </c>
      <c r="AK496" s="1" t="s">
        <v>49</v>
      </c>
      <c r="AL496" s="1">
        <v>125</v>
      </c>
    </row>
    <row r="497" spans="1:38" x14ac:dyDescent="0.2">
      <c r="A497" s="2" t="str">
        <f>HYPERLINK("https://www.compass.com/listing/416-west-52nd-street-unit-413-manhattan-ny-10019/771818040294349321/","416 W 52nd St, Unit 413")</f>
        <v>416 W 52nd St, Unit 413</v>
      </c>
      <c r="B497" s="2" t="str">
        <f>HYPERLINK("https://www.compass.com/building/nine52-manhattan-ny/281945622951555813/","Nine52")</f>
        <v>Nine52</v>
      </c>
      <c r="C497" s="1" t="s">
        <v>90</v>
      </c>
      <c r="D497" s="1" t="s">
        <v>41</v>
      </c>
      <c r="E497" s="3">
        <v>1395000</v>
      </c>
      <c r="G497" s="1">
        <v>4</v>
      </c>
      <c r="H497" s="1">
        <v>2</v>
      </c>
      <c r="I497" s="1">
        <v>2</v>
      </c>
      <c r="J497" s="1">
        <v>2</v>
      </c>
      <c r="K497" s="1">
        <v>2</v>
      </c>
      <c r="N497" s="1">
        <v>1031.5999999999999</v>
      </c>
      <c r="O497" s="1">
        <v>3067.66</v>
      </c>
      <c r="P497" s="1">
        <v>2036.0833333333301</v>
      </c>
      <c r="S497" s="1" t="s">
        <v>42</v>
      </c>
      <c r="T497" s="1" t="s">
        <v>228</v>
      </c>
      <c r="U497" s="1">
        <v>52</v>
      </c>
      <c r="V497" s="5">
        <v>44397</v>
      </c>
      <c r="W497" s="5">
        <v>44317</v>
      </c>
      <c r="X497" s="1">
        <v>1495000</v>
      </c>
      <c r="Z497" s="5">
        <v>44370</v>
      </c>
      <c r="AB497" s="1" t="s">
        <v>44</v>
      </c>
      <c r="AF497" s="1">
        <v>10019</v>
      </c>
      <c r="AI497" s="1" t="s">
        <v>48</v>
      </c>
      <c r="AJ497" s="1">
        <v>1940</v>
      </c>
      <c r="AK497" s="1" t="s">
        <v>55</v>
      </c>
      <c r="AL497" s="1">
        <v>155</v>
      </c>
    </row>
    <row r="498" spans="1:38" x14ac:dyDescent="0.2">
      <c r="A498" s="2" t="str">
        <f>HYPERLINK("https://www.compass.com/listing/135-west-52nd-street-unit-35a-manhattan-ny-10019/339129841999884801/","135 W 52nd St, Unit 35A")</f>
        <v>135 W 52nd St, Unit 35A</v>
      </c>
      <c r="B498" s="2" t="str">
        <f t="shared" ref="B498:B500" si="70">HYPERLINK("https://www.compass.com/building/135-w-52nd-st-manhattan-ny-10019/281943802548121109/","135 W 52nd St")</f>
        <v>135 W 52nd St</v>
      </c>
      <c r="C498" s="1" t="s">
        <v>139</v>
      </c>
      <c r="D498" s="1" t="s">
        <v>41</v>
      </c>
      <c r="E498" s="3">
        <v>5995000</v>
      </c>
      <c r="F498" s="1">
        <v>1608.9640365002599</v>
      </c>
      <c r="G498" s="1">
        <v>6</v>
      </c>
      <c r="H498" s="1">
        <v>4</v>
      </c>
      <c r="I498" s="1">
        <v>5</v>
      </c>
      <c r="J498" s="1">
        <v>4</v>
      </c>
      <c r="K498" s="1">
        <v>3</v>
      </c>
      <c r="L498" s="1">
        <v>2</v>
      </c>
      <c r="M498" s="4">
        <v>3726</v>
      </c>
      <c r="N498" s="1">
        <v>5153</v>
      </c>
      <c r="O498" s="1">
        <v>11688</v>
      </c>
      <c r="P498" s="1">
        <v>6535</v>
      </c>
      <c r="S498" s="1" t="s">
        <v>42</v>
      </c>
      <c r="T498" s="1" t="s">
        <v>228</v>
      </c>
      <c r="U498" s="1">
        <v>551</v>
      </c>
      <c r="V498" s="5">
        <v>44365</v>
      </c>
      <c r="W498" s="5">
        <v>43720</v>
      </c>
      <c r="X498" s="1">
        <v>7950000</v>
      </c>
      <c r="Z498" s="5">
        <v>44365</v>
      </c>
      <c r="AB498" s="1" t="s">
        <v>44</v>
      </c>
      <c r="AF498" s="1">
        <v>10019</v>
      </c>
      <c r="AI498" s="1" t="s">
        <v>231</v>
      </c>
      <c r="AJ498" s="1">
        <v>2016</v>
      </c>
      <c r="AK498" s="1" t="s">
        <v>46</v>
      </c>
      <c r="AL498" s="1">
        <v>109</v>
      </c>
    </row>
    <row r="499" spans="1:38" x14ac:dyDescent="0.2">
      <c r="A499" s="2" t="str">
        <f>HYPERLINK("https://www.compass.com/listing/135-west-52nd-street-unit-34a-35a-manhattan-ny-10019/454943350626862249/","135 W 52nd St, Unit 34A/35A")</f>
        <v>135 W 52nd St, Unit 34A/35A</v>
      </c>
      <c r="B499" s="2" t="str">
        <f t="shared" si="70"/>
        <v>135 W 52nd St</v>
      </c>
      <c r="C499" s="1" t="s">
        <v>139</v>
      </c>
      <c r="D499" s="1" t="s">
        <v>41</v>
      </c>
      <c r="E499" s="3">
        <v>11990000</v>
      </c>
      <c r="F499" s="1">
        <v>1608.9640365002599</v>
      </c>
      <c r="G499" s="1">
        <v>12</v>
      </c>
      <c r="H499" s="1">
        <v>8</v>
      </c>
      <c r="I499" s="1">
        <v>10</v>
      </c>
      <c r="J499" s="1">
        <v>8</v>
      </c>
      <c r="K499" s="1">
        <v>6</v>
      </c>
      <c r="L499" s="1">
        <v>4</v>
      </c>
      <c r="M499" s="4">
        <v>7452</v>
      </c>
      <c r="N499" s="1">
        <v>10320</v>
      </c>
      <c r="O499" s="1">
        <v>23390</v>
      </c>
      <c r="P499" s="1">
        <v>13070</v>
      </c>
      <c r="S499" s="1" t="s">
        <v>42</v>
      </c>
      <c r="T499" s="1" t="s">
        <v>228</v>
      </c>
      <c r="U499" s="1">
        <v>364</v>
      </c>
      <c r="V499" s="5">
        <v>44368</v>
      </c>
      <c r="W499" s="5">
        <v>43987</v>
      </c>
      <c r="X499" s="1">
        <v>13500000</v>
      </c>
      <c r="Z499" s="5">
        <v>44368</v>
      </c>
      <c r="AB499" s="1" t="s">
        <v>44</v>
      </c>
      <c r="AF499" s="1">
        <v>10019</v>
      </c>
      <c r="AI499" s="1" t="s">
        <v>232</v>
      </c>
      <c r="AJ499" s="1">
        <v>2016</v>
      </c>
      <c r="AK499" s="1" t="s">
        <v>49</v>
      </c>
      <c r="AL499" s="1">
        <v>109</v>
      </c>
    </row>
    <row r="500" spans="1:38" x14ac:dyDescent="0.2">
      <c r="A500" s="2" t="str">
        <f>HYPERLINK("https://www.compass.com/listing/135-west-52nd-street-unit-34a-manhattan-ny-10019/670189445533142425/","135 W 52nd St, Unit 34A")</f>
        <v>135 W 52nd St, Unit 34A</v>
      </c>
      <c r="B500" s="2" t="str">
        <f t="shared" si="70"/>
        <v>135 W 52nd St</v>
      </c>
      <c r="C500" s="1" t="s">
        <v>139</v>
      </c>
      <c r="D500" s="1" t="s">
        <v>41</v>
      </c>
      <c r="E500" s="3">
        <v>5995000</v>
      </c>
      <c r="F500" s="1">
        <v>1632.1807786550501</v>
      </c>
      <c r="G500" s="1">
        <v>6</v>
      </c>
      <c r="H500" s="1">
        <v>4</v>
      </c>
      <c r="I500" s="1">
        <v>5</v>
      </c>
      <c r="J500" s="1">
        <v>4</v>
      </c>
      <c r="K500" s="1">
        <v>3</v>
      </c>
      <c r="L500" s="1">
        <v>2</v>
      </c>
      <c r="M500" s="4">
        <v>3673</v>
      </c>
      <c r="N500" s="1">
        <v>5153</v>
      </c>
      <c r="O500" s="1">
        <v>11688</v>
      </c>
      <c r="P500" s="1">
        <v>6535</v>
      </c>
      <c r="S500" s="1" t="s">
        <v>42</v>
      </c>
      <c r="T500" s="1" t="s">
        <v>228</v>
      </c>
      <c r="U500" s="1">
        <v>160</v>
      </c>
      <c r="V500" s="5">
        <v>44337</v>
      </c>
      <c r="W500" s="5">
        <v>44177</v>
      </c>
      <c r="X500" s="1">
        <v>5995000</v>
      </c>
      <c r="Z500" s="5">
        <v>44337</v>
      </c>
      <c r="AB500" s="1" t="s">
        <v>44</v>
      </c>
      <c r="AF500" s="1">
        <v>10019</v>
      </c>
      <c r="AI500" s="1" t="s">
        <v>233</v>
      </c>
      <c r="AJ500" s="1">
        <v>2016</v>
      </c>
      <c r="AK500" s="1" t="s">
        <v>46</v>
      </c>
      <c r="AL500" s="1">
        <v>109</v>
      </c>
    </row>
    <row r="501" spans="1:38" x14ac:dyDescent="0.2">
      <c r="A501" s="2" t="str">
        <f>HYPERLINK("https://www.compass.com/listing/100-barclay-street-unit-28b-manhattan-ny-10007/849278543895808849/","100 Barclay St, Unit 28B")</f>
        <v>100 Barclay St, Unit 28B</v>
      </c>
      <c r="B501" s="2" t="str">
        <f>HYPERLINK("https://www.compass.com/building/100-barclay-manhattan-ny/281896670466155525/","100 Barclay")</f>
        <v>100 Barclay</v>
      </c>
      <c r="C501" s="1" t="s">
        <v>50</v>
      </c>
      <c r="D501" s="1" t="s">
        <v>41</v>
      </c>
      <c r="E501" s="3">
        <v>6950000</v>
      </c>
      <c r="F501" s="1">
        <v>2421.6027874564402</v>
      </c>
      <c r="G501" s="1">
        <v>6</v>
      </c>
      <c r="H501" s="1">
        <v>3</v>
      </c>
      <c r="I501" s="1">
        <v>4</v>
      </c>
      <c r="J501" s="1">
        <v>4</v>
      </c>
      <c r="K501" s="1">
        <v>4</v>
      </c>
      <c r="M501" s="4">
        <v>2870</v>
      </c>
      <c r="N501" s="1">
        <v>4138</v>
      </c>
      <c r="O501" s="1">
        <v>8884</v>
      </c>
      <c r="P501" s="1">
        <v>4746</v>
      </c>
      <c r="Q501" s="1" t="s">
        <v>42</v>
      </c>
      <c r="S501" s="1" t="s">
        <v>42</v>
      </c>
      <c r="T501" s="1" t="s">
        <v>228</v>
      </c>
      <c r="V501" s="5">
        <v>44424</v>
      </c>
      <c r="W501" s="5">
        <v>44423</v>
      </c>
      <c r="X501" s="1">
        <v>6950000</v>
      </c>
      <c r="Z501" s="5">
        <v>44424</v>
      </c>
      <c r="AB501" s="1" t="s">
        <v>44</v>
      </c>
      <c r="AF501" s="1">
        <v>10007</v>
      </c>
      <c r="AI501" s="1" t="s">
        <v>52</v>
      </c>
      <c r="AJ501" s="1">
        <v>1930</v>
      </c>
      <c r="AK501" s="1" t="s">
        <v>46</v>
      </c>
      <c r="AL501" s="1">
        <v>156</v>
      </c>
    </row>
    <row r="502" spans="1:38" x14ac:dyDescent="0.2">
      <c r="A502" s="2" t="str">
        <f>HYPERLINK("https://www.compass.com/listing/108-leonard-street-unit-10h-manhattan-ny-10013/850818645944272897/","108 Leonard St, Unit 10H")</f>
        <v>108 Leonard St, Unit 10H</v>
      </c>
      <c r="B502" s="2" t="str">
        <f>HYPERLINK("https://www.compass.com/building/108-leonard-st-manhattan-ny-10013/307456049610778277/","108 Leonard St")</f>
        <v>108 Leonard St</v>
      </c>
      <c r="C502" s="1" t="s">
        <v>113</v>
      </c>
      <c r="D502" s="1" t="s">
        <v>41</v>
      </c>
      <c r="E502" s="3">
        <v>3410000</v>
      </c>
      <c r="F502" s="1">
        <v>2158.22784810126</v>
      </c>
      <c r="G502" s="1">
        <v>4</v>
      </c>
      <c r="H502" s="1">
        <v>2</v>
      </c>
      <c r="I502" s="1">
        <v>3</v>
      </c>
      <c r="J502" s="1">
        <v>2.5</v>
      </c>
      <c r="K502" s="1">
        <v>2</v>
      </c>
      <c r="L502" s="1">
        <v>1</v>
      </c>
      <c r="M502" s="4">
        <v>1580</v>
      </c>
      <c r="N502" s="1">
        <v>1873</v>
      </c>
      <c r="O502" s="1">
        <v>4408</v>
      </c>
      <c r="P502" s="1">
        <v>2535</v>
      </c>
      <c r="Q502" s="1" t="s">
        <v>42</v>
      </c>
      <c r="S502" s="1" t="s">
        <v>42</v>
      </c>
      <c r="T502" s="1" t="s">
        <v>228</v>
      </c>
      <c r="V502" s="5">
        <v>44426</v>
      </c>
      <c r="W502" s="5">
        <v>44425</v>
      </c>
      <c r="X502" s="1">
        <v>3410000</v>
      </c>
      <c r="Z502" s="5">
        <v>44426</v>
      </c>
      <c r="AB502" s="1" t="s">
        <v>44</v>
      </c>
      <c r="AF502" s="1">
        <v>10013</v>
      </c>
      <c r="AI502" s="1" t="s">
        <v>78</v>
      </c>
      <c r="AJ502" s="1">
        <v>1899</v>
      </c>
      <c r="AK502" s="1" t="s">
        <v>115</v>
      </c>
      <c r="AL502" s="1">
        <v>167</v>
      </c>
    </row>
    <row r="503" spans="1:38" x14ac:dyDescent="0.2">
      <c r="A503" s="2" t="str">
        <f>HYPERLINK("https://www.compass.com/listing/100-barclay-street-unit-25a-manhattan-ny-10007/842739658950997953/","100 Barclay St, Unit 25A")</f>
        <v>100 Barclay St, Unit 25A</v>
      </c>
      <c r="B503" s="2" t="str">
        <f>HYPERLINK("https://www.compass.com/building/100-barclay-manhattan-ny/281896670466155525/","100 Barclay")</f>
        <v>100 Barclay</v>
      </c>
      <c r="C503" s="1" t="s">
        <v>50</v>
      </c>
      <c r="D503" s="1" t="s">
        <v>41</v>
      </c>
      <c r="E503" s="3">
        <v>6625000</v>
      </c>
      <c r="F503" s="1">
        <v>2226.89075630252</v>
      </c>
      <c r="G503" s="1">
        <v>7</v>
      </c>
      <c r="H503" s="1">
        <v>3</v>
      </c>
      <c r="I503" s="1">
        <v>4</v>
      </c>
      <c r="J503" s="1">
        <v>4</v>
      </c>
      <c r="K503" s="1">
        <v>4</v>
      </c>
      <c r="M503" s="4">
        <v>2975</v>
      </c>
      <c r="N503" s="1">
        <v>4289</v>
      </c>
      <c r="O503" s="1">
        <v>9208</v>
      </c>
      <c r="P503" s="1">
        <v>4919</v>
      </c>
      <c r="Q503" s="1" t="s">
        <v>42</v>
      </c>
      <c r="S503" s="1" t="s">
        <v>42</v>
      </c>
      <c r="T503" s="1" t="s">
        <v>228</v>
      </c>
      <c r="U503" s="1">
        <v>1</v>
      </c>
      <c r="V503" s="5">
        <v>44415</v>
      </c>
      <c r="W503" s="5">
        <v>44413</v>
      </c>
      <c r="X503" s="1">
        <v>6625000</v>
      </c>
      <c r="Z503" s="5">
        <v>44415</v>
      </c>
      <c r="AB503" s="1" t="s">
        <v>44</v>
      </c>
      <c r="AF503" s="1">
        <v>10007</v>
      </c>
      <c r="AI503" s="1" t="s">
        <v>52</v>
      </c>
      <c r="AJ503" s="1">
        <v>1930</v>
      </c>
      <c r="AK503" s="1" t="s">
        <v>46</v>
      </c>
      <c r="AL503" s="1">
        <v>156</v>
      </c>
    </row>
    <row r="504" spans="1:38" x14ac:dyDescent="0.2">
      <c r="A504" s="2" t="str">
        <f>HYPERLINK("https://www.compass.com/listing/565-broome-street-unit-s24b-manhattan-ny-10013/849984211074623321/","565 Broome St, Unit S24B")</f>
        <v>565 Broome St, Unit S24B</v>
      </c>
      <c r="B504" s="2" t="str">
        <f>HYPERLINK("https://www.compass.com/building/565-broome-soho-manhattan-ny/292813251698267109/","565 Broome Soho")</f>
        <v>565 Broome Soho</v>
      </c>
      <c r="C504" s="1" t="s">
        <v>53</v>
      </c>
      <c r="D504" s="1" t="s">
        <v>41</v>
      </c>
      <c r="E504" s="3">
        <v>5750000</v>
      </c>
      <c r="F504" s="1">
        <v>3001.0438413361098</v>
      </c>
      <c r="G504" s="1">
        <v>6</v>
      </c>
      <c r="H504" s="1">
        <v>3</v>
      </c>
      <c r="I504" s="1">
        <v>3</v>
      </c>
      <c r="J504" s="1">
        <v>3</v>
      </c>
      <c r="K504" s="1">
        <v>3</v>
      </c>
      <c r="M504" s="4">
        <v>1916</v>
      </c>
      <c r="N504" s="1">
        <v>3017</v>
      </c>
      <c r="O504" s="1">
        <v>5690</v>
      </c>
      <c r="P504" s="1">
        <v>2673</v>
      </c>
      <c r="Q504" s="1" t="s">
        <v>42</v>
      </c>
      <c r="S504" s="1" t="s">
        <v>42</v>
      </c>
      <c r="T504" s="1" t="s">
        <v>228</v>
      </c>
      <c r="V504" s="5">
        <v>44425</v>
      </c>
      <c r="W504" s="5">
        <v>44424</v>
      </c>
      <c r="X504" s="1">
        <v>5750000</v>
      </c>
      <c r="Z504" s="5">
        <v>44425</v>
      </c>
      <c r="AB504" s="1" t="s">
        <v>44</v>
      </c>
      <c r="AF504" s="1">
        <v>10013</v>
      </c>
      <c r="AI504" s="1" t="s">
        <v>48</v>
      </c>
      <c r="AJ504" s="1">
        <v>2019</v>
      </c>
      <c r="AK504" s="1" t="s">
        <v>49</v>
      </c>
      <c r="AL504" s="1">
        <v>115</v>
      </c>
    </row>
    <row r="505" spans="1:38" x14ac:dyDescent="0.2">
      <c r="A505" s="2" t="str">
        <f>HYPERLINK("https://www.compass.com/listing/15-east-30th-street-unit-25d-manhattan-ny-10016/851358978165206617/","15 E 30th St, Unit 25D")</f>
        <v>15 E 30th St, Unit 25D</v>
      </c>
      <c r="B505" s="2" t="str">
        <f>HYPERLINK("https://www.compass.com/building/madison-house-manhattan-ny/281937618113974565/","Madison House")</f>
        <v>Madison House</v>
      </c>
      <c r="C505" s="1" t="s">
        <v>40</v>
      </c>
      <c r="D505" s="1" t="s">
        <v>41</v>
      </c>
      <c r="E505" s="3">
        <v>3775000</v>
      </c>
      <c r="F505" s="1">
        <v>2327.3736128236701</v>
      </c>
      <c r="G505" s="1">
        <v>5</v>
      </c>
      <c r="H505" s="1">
        <v>2</v>
      </c>
      <c r="I505" s="1">
        <v>3</v>
      </c>
      <c r="J505" s="1">
        <v>2.5</v>
      </c>
      <c r="K505" s="1">
        <v>2</v>
      </c>
      <c r="L505" s="1">
        <v>1</v>
      </c>
      <c r="M505" s="4">
        <v>1622</v>
      </c>
      <c r="N505" s="1">
        <v>2265</v>
      </c>
      <c r="O505" s="1">
        <v>4986</v>
      </c>
      <c r="P505" s="1">
        <v>2721</v>
      </c>
      <c r="Q505" s="1" t="s">
        <v>42</v>
      </c>
      <c r="S505" s="1" t="s">
        <v>42</v>
      </c>
      <c r="T505" s="1" t="s">
        <v>228</v>
      </c>
      <c r="V505" s="5">
        <v>44427</v>
      </c>
      <c r="W505" s="5">
        <v>44426</v>
      </c>
      <c r="X505" s="1">
        <v>3775000</v>
      </c>
      <c r="Z505" s="5">
        <v>44426</v>
      </c>
      <c r="AB505" s="1" t="s">
        <v>44</v>
      </c>
      <c r="AF505" s="1">
        <v>10016</v>
      </c>
      <c r="AJ505" s="1">
        <v>2019</v>
      </c>
      <c r="AK505" s="1" t="s">
        <v>46</v>
      </c>
      <c r="AL505" s="1">
        <v>199</v>
      </c>
    </row>
    <row r="506" spans="1:38" x14ac:dyDescent="0.2">
      <c r="A506" s="2" t="str">
        <f>HYPERLINK("https://www.compass.com/listing/15-hudson-yards-unit-33h-manhattan-ny-10001/847843101668842049/","15 Hudson Yards, Unit 33H")</f>
        <v>15 Hudson Yards, Unit 33H</v>
      </c>
      <c r="B506" s="2" t="str">
        <f t="shared" ref="B506:B508" si="71">HYPERLINK("https://www.compass.com/building/fifteen-hudson-yards-manhattan-ny/282058587512011909/","Fifteen Hudson Yards")</f>
        <v>Fifteen Hudson Yards</v>
      </c>
      <c r="C506" s="1" t="s">
        <v>77</v>
      </c>
      <c r="D506" s="1" t="s">
        <v>41</v>
      </c>
      <c r="E506" s="3">
        <v>6530000</v>
      </c>
      <c r="F506" s="1">
        <v>2944.0937781785301</v>
      </c>
      <c r="G506" s="1">
        <v>5.5</v>
      </c>
      <c r="H506" s="1">
        <v>3</v>
      </c>
      <c r="I506" s="1">
        <v>4</v>
      </c>
      <c r="J506" s="1">
        <v>3.5</v>
      </c>
      <c r="K506" s="1">
        <v>3</v>
      </c>
      <c r="L506" s="1">
        <v>1</v>
      </c>
      <c r="M506" s="4">
        <v>2218</v>
      </c>
      <c r="N506" s="1">
        <v>5297</v>
      </c>
      <c r="O506" s="1">
        <v>5364</v>
      </c>
      <c r="P506" s="1">
        <v>67</v>
      </c>
      <c r="Q506" s="1" t="s">
        <v>42</v>
      </c>
      <c r="S506" s="1" t="s">
        <v>42</v>
      </c>
      <c r="T506" s="1" t="s">
        <v>228</v>
      </c>
      <c r="V506" s="5">
        <v>44422</v>
      </c>
      <c r="W506" s="5">
        <v>44421</v>
      </c>
      <c r="X506" s="1">
        <v>6530000</v>
      </c>
      <c r="Z506" s="5">
        <v>44422</v>
      </c>
      <c r="AB506" s="1" t="s">
        <v>44</v>
      </c>
      <c r="AF506" s="1">
        <v>10001</v>
      </c>
      <c r="AJ506" s="1">
        <v>2018</v>
      </c>
      <c r="AK506" s="1" t="s">
        <v>46</v>
      </c>
      <c r="AL506" s="1">
        <v>285</v>
      </c>
    </row>
    <row r="507" spans="1:38" x14ac:dyDescent="0.2">
      <c r="A507" s="2" t="str">
        <f>HYPERLINK("https://www.compass.com/listing/15-hudson-yards-unit-26h-manhattan-ny-10001/847039994291387545/","15 Hudson Yards, Unit 26H")</f>
        <v>15 Hudson Yards, Unit 26H</v>
      </c>
      <c r="B507" s="2" t="str">
        <f t="shared" si="71"/>
        <v>Fifteen Hudson Yards</v>
      </c>
      <c r="C507" s="1" t="s">
        <v>77</v>
      </c>
      <c r="D507" s="1" t="s">
        <v>41</v>
      </c>
      <c r="E507" s="3">
        <v>6390000</v>
      </c>
      <c r="F507" s="1">
        <v>2877.0823953174199</v>
      </c>
      <c r="G507" s="1">
        <v>5</v>
      </c>
      <c r="H507" s="1">
        <v>3</v>
      </c>
      <c r="I507" s="1">
        <v>3</v>
      </c>
      <c r="J507" s="1">
        <v>3</v>
      </c>
      <c r="K507" s="1">
        <v>3</v>
      </c>
      <c r="M507" s="4">
        <v>2221</v>
      </c>
      <c r="N507" s="1">
        <v>5267</v>
      </c>
      <c r="O507" s="1">
        <v>5333</v>
      </c>
      <c r="P507" s="1">
        <v>66</v>
      </c>
      <c r="Q507" s="1" t="s">
        <v>42</v>
      </c>
      <c r="S507" s="1" t="s">
        <v>42</v>
      </c>
      <c r="T507" s="1" t="s">
        <v>228</v>
      </c>
      <c r="U507" s="1">
        <v>3</v>
      </c>
      <c r="V507" s="5">
        <v>44421</v>
      </c>
      <c r="W507" s="5">
        <v>44417</v>
      </c>
      <c r="X507" s="1">
        <v>6390000</v>
      </c>
      <c r="Z507" s="5">
        <v>44421</v>
      </c>
      <c r="AB507" s="1" t="s">
        <v>44</v>
      </c>
      <c r="AF507" s="1">
        <v>10001</v>
      </c>
      <c r="AJ507" s="1">
        <v>2018</v>
      </c>
      <c r="AK507" s="1" t="s">
        <v>46</v>
      </c>
      <c r="AL507" s="1">
        <v>285</v>
      </c>
    </row>
    <row r="508" spans="1:38" x14ac:dyDescent="0.2">
      <c r="A508" s="2" t="str">
        <f>HYPERLINK("https://www.compass.com/listing/15-hudson-yards-unit-71d-manhattan-ny-10001/842690409156246017/","15 Hudson Yards, Unit 71D")</f>
        <v>15 Hudson Yards, Unit 71D</v>
      </c>
      <c r="B508" s="2" t="str">
        <f t="shared" si="71"/>
        <v>Fifteen Hudson Yards</v>
      </c>
      <c r="C508" s="1" t="s">
        <v>77</v>
      </c>
      <c r="D508" s="1" t="s">
        <v>41</v>
      </c>
      <c r="E508" s="3">
        <v>5350000</v>
      </c>
      <c r="F508" s="1">
        <v>3015.7835400225399</v>
      </c>
      <c r="G508" s="1">
        <v>4</v>
      </c>
      <c r="H508" s="1">
        <v>2</v>
      </c>
      <c r="I508" s="1">
        <v>3</v>
      </c>
      <c r="J508" s="1">
        <v>2.5</v>
      </c>
      <c r="K508" s="1">
        <v>2</v>
      </c>
      <c r="L508" s="1">
        <v>1</v>
      </c>
      <c r="M508" s="4">
        <v>1774</v>
      </c>
      <c r="N508" s="1">
        <v>4368</v>
      </c>
      <c r="O508" s="1">
        <v>4423</v>
      </c>
      <c r="P508" s="1">
        <v>55</v>
      </c>
      <c r="Q508" s="1" t="s">
        <v>42</v>
      </c>
      <c r="S508" s="1" t="s">
        <v>42</v>
      </c>
      <c r="T508" s="1" t="s">
        <v>228</v>
      </c>
      <c r="U508" s="1">
        <v>2</v>
      </c>
      <c r="V508" s="5">
        <v>44417</v>
      </c>
      <c r="W508" s="5">
        <v>44413</v>
      </c>
      <c r="X508" s="1">
        <v>5350000</v>
      </c>
      <c r="Z508" s="5">
        <v>44416</v>
      </c>
      <c r="AB508" s="1" t="s">
        <v>44</v>
      </c>
      <c r="AF508" s="1">
        <v>10001</v>
      </c>
      <c r="AJ508" s="1">
        <v>2018</v>
      </c>
      <c r="AK508" s="1" t="s">
        <v>46</v>
      </c>
      <c r="AL508" s="1">
        <v>285</v>
      </c>
    </row>
    <row r="509" spans="1:38" x14ac:dyDescent="0.2">
      <c r="A509" s="2" t="str">
        <f>HYPERLINK("https://www.compass.com/listing/15-east-30th-street-unit-23d-manhattan-ny-10016/845041550843135545/","15 E 30th St, Unit 23D")</f>
        <v>15 E 30th St, Unit 23D</v>
      </c>
      <c r="B509" s="2" t="str">
        <f>HYPERLINK("https://www.compass.com/building/madison-house-manhattan-ny/281937618113974565/","Madison House")</f>
        <v>Madison House</v>
      </c>
      <c r="C509" s="1" t="s">
        <v>40</v>
      </c>
      <c r="D509" s="1" t="s">
        <v>41</v>
      </c>
      <c r="E509" s="3">
        <v>3675000</v>
      </c>
      <c r="F509" s="1">
        <v>2265.7213316892698</v>
      </c>
      <c r="G509" s="1">
        <v>5.5</v>
      </c>
      <c r="H509" s="1">
        <v>2</v>
      </c>
      <c r="I509" s="1">
        <v>3</v>
      </c>
      <c r="J509" s="1">
        <v>2.5</v>
      </c>
      <c r="K509" s="1">
        <v>2</v>
      </c>
      <c r="L509" s="1">
        <v>1</v>
      </c>
      <c r="M509" s="4">
        <v>1622</v>
      </c>
      <c r="N509" s="1">
        <v>2265</v>
      </c>
      <c r="O509" s="1">
        <v>4986</v>
      </c>
      <c r="P509" s="1">
        <v>2721</v>
      </c>
      <c r="Q509" s="1" t="s">
        <v>42</v>
      </c>
      <c r="S509" s="1" t="s">
        <v>42</v>
      </c>
      <c r="T509" s="1" t="s">
        <v>228</v>
      </c>
      <c r="V509" s="5">
        <v>44418</v>
      </c>
      <c r="W509" s="5">
        <v>44417</v>
      </c>
      <c r="X509" s="1">
        <v>3675000</v>
      </c>
      <c r="Z509" s="5">
        <v>44418</v>
      </c>
      <c r="AB509" s="1" t="s">
        <v>44</v>
      </c>
      <c r="AF509" s="1">
        <v>10016</v>
      </c>
      <c r="AJ509" s="1">
        <v>2019</v>
      </c>
      <c r="AK509" s="1" t="s">
        <v>46</v>
      </c>
      <c r="AL509" s="1">
        <v>199</v>
      </c>
    </row>
    <row r="510" spans="1:38" x14ac:dyDescent="0.2">
      <c r="A510" s="2" t="str">
        <f>HYPERLINK("https://www.compass.com/listing/121-east-22nd-street-unit-s401-manhattan-ny-10010/820288682881173825/","121 E 22nd St, Unit S401")</f>
        <v>121 E 22nd St, Unit S401</v>
      </c>
      <c r="B510" s="2" t="str">
        <f>HYPERLINK("https://www.compass.com/building/121-e-22nd-manhattan-ny/292795784653461493/","121 E 22nd")</f>
        <v>121 E 22nd</v>
      </c>
      <c r="C510" s="1" t="s">
        <v>64</v>
      </c>
      <c r="D510" s="1" t="s">
        <v>41</v>
      </c>
      <c r="E510" s="3">
        <v>3425000</v>
      </c>
      <c r="F510" s="1">
        <v>2074.5003028467499</v>
      </c>
      <c r="G510" s="1">
        <v>3.5</v>
      </c>
      <c r="H510" s="1">
        <v>2</v>
      </c>
      <c r="I510" s="1">
        <v>3</v>
      </c>
      <c r="J510" s="1">
        <v>2.5</v>
      </c>
      <c r="K510" s="1">
        <v>2</v>
      </c>
      <c r="L510" s="1">
        <v>1</v>
      </c>
      <c r="M510" s="4">
        <v>1651</v>
      </c>
      <c r="N510" s="1">
        <v>1665</v>
      </c>
      <c r="O510" s="1">
        <v>5001</v>
      </c>
      <c r="P510" s="1">
        <v>3336</v>
      </c>
      <c r="Q510" s="1" t="s">
        <v>42</v>
      </c>
      <c r="S510" s="1" t="s">
        <v>42</v>
      </c>
      <c r="T510" s="1" t="s">
        <v>228</v>
      </c>
      <c r="U510" s="1">
        <v>13</v>
      </c>
      <c r="V510" s="5">
        <v>44405</v>
      </c>
      <c r="W510" s="5">
        <v>44384</v>
      </c>
      <c r="X510" s="1">
        <v>3425000</v>
      </c>
      <c r="Z510" s="5">
        <v>44397</v>
      </c>
      <c r="AB510" s="1" t="s">
        <v>44</v>
      </c>
      <c r="AF510" s="1">
        <v>10010</v>
      </c>
      <c r="AI510" s="1" t="s">
        <v>109</v>
      </c>
      <c r="AJ510" s="1">
        <v>2016</v>
      </c>
      <c r="AK510" s="1" t="s">
        <v>46</v>
      </c>
      <c r="AL510" s="1">
        <v>140</v>
      </c>
    </row>
    <row r="511" spans="1:38" x14ac:dyDescent="0.2">
      <c r="A511" s="2" t="str">
        <f>HYPERLINK("https://www.compass.com/listing/695-1st-avenue-unit-32h-manhattan-ny-10016/847115591469827953/","695 1st Ave, Unit 32H")</f>
        <v>695 1st Ave, Unit 32H</v>
      </c>
      <c r="B511" s="2" t="str">
        <f>HYPERLINK("https://www.compass.com/building/one-united-nations-park-manhattan-ny/282058773630059653/","One United Nations Park")</f>
        <v>One United Nations Park</v>
      </c>
      <c r="C511" s="1" t="s">
        <v>59</v>
      </c>
      <c r="D511" s="1" t="s">
        <v>41</v>
      </c>
      <c r="E511" s="3">
        <v>3960000</v>
      </c>
      <c r="F511" s="1">
        <v>2178.2178217821702</v>
      </c>
      <c r="G511" s="1">
        <v>4</v>
      </c>
      <c r="H511" s="1">
        <v>2</v>
      </c>
      <c r="I511" s="1">
        <v>3</v>
      </c>
      <c r="J511" s="1">
        <v>2.5</v>
      </c>
      <c r="K511" s="1">
        <v>2</v>
      </c>
      <c r="L511" s="1">
        <v>1</v>
      </c>
      <c r="M511" s="4">
        <v>1818</v>
      </c>
      <c r="N511" s="1">
        <v>2480</v>
      </c>
      <c r="O511" s="1">
        <v>5425</v>
      </c>
      <c r="P511" s="1">
        <v>2945</v>
      </c>
      <c r="Q511" s="1" t="s">
        <v>42</v>
      </c>
      <c r="S511" s="1" t="s">
        <v>42</v>
      </c>
      <c r="T511" s="1" t="s">
        <v>228</v>
      </c>
      <c r="U511" s="1">
        <v>2</v>
      </c>
      <c r="V511" s="5">
        <v>44421</v>
      </c>
      <c r="W511" s="5">
        <v>44418</v>
      </c>
      <c r="X511" s="1">
        <v>3960000</v>
      </c>
      <c r="Z511" s="5">
        <v>44421</v>
      </c>
      <c r="AB511" s="1" t="s">
        <v>44</v>
      </c>
      <c r="AF511" s="1">
        <v>10016</v>
      </c>
      <c r="AI511" s="1" t="s">
        <v>160</v>
      </c>
      <c r="AJ511" s="1">
        <v>2019</v>
      </c>
      <c r="AK511" s="1" t="s">
        <v>46</v>
      </c>
      <c r="AL511" s="1">
        <v>148</v>
      </c>
    </row>
    <row r="512" spans="1:38" x14ac:dyDescent="0.2">
      <c r="A512" s="2" t="str">
        <f>HYPERLINK("https://www.compass.com/listing/108-leonard-street-unit-12e-manhattan-ny-10013/832087135552148169/","108 Leonard St, Unit 12E")</f>
        <v>108 Leonard St, Unit 12E</v>
      </c>
      <c r="B512" s="2" t="str">
        <f>HYPERLINK("https://www.compass.com/building/108-leonard-st-manhattan-ny-10013/307456049610778277/","108 Leonard St")</f>
        <v>108 Leonard St</v>
      </c>
      <c r="C512" s="1" t="s">
        <v>113</v>
      </c>
      <c r="D512" s="1" t="s">
        <v>41</v>
      </c>
      <c r="E512" s="3">
        <v>2820000</v>
      </c>
      <c r="F512" s="1">
        <v>2160.9195402298801</v>
      </c>
      <c r="G512" s="1">
        <v>4.5</v>
      </c>
      <c r="H512" s="1">
        <v>2</v>
      </c>
      <c r="I512" s="1">
        <v>3</v>
      </c>
      <c r="J512" s="1">
        <v>2.5</v>
      </c>
      <c r="K512" s="1">
        <v>2</v>
      </c>
      <c r="L512" s="1">
        <v>1</v>
      </c>
      <c r="M512" s="4">
        <v>1305</v>
      </c>
      <c r="N512" s="1">
        <v>1547</v>
      </c>
      <c r="O512" s="1">
        <v>3640</v>
      </c>
      <c r="P512" s="1">
        <v>2093</v>
      </c>
      <c r="Q512" s="1" t="s">
        <v>42</v>
      </c>
      <c r="S512" s="1" t="s">
        <v>42</v>
      </c>
      <c r="T512" s="1" t="s">
        <v>228</v>
      </c>
      <c r="U512" s="1">
        <v>25</v>
      </c>
      <c r="V512" s="5">
        <v>44427</v>
      </c>
      <c r="W512" s="5">
        <v>44399</v>
      </c>
      <c r="X512" s="1">
        <v>2820000</v>
      </c>
      <c r="Z512" s="5">
        <v>44427</v>
      </c>
      <c r="AB512" s="1" t="s">
        <v>44</v>
      </c>
      <c r="AF512" s="1">
        <v>10013</v>
      </c>
      <c r="AI512" s="1" t="s">
        <v>78</v>
      </c>
      <c r="AJ512" s="1">
        <v>1899</v>
      </c>
      <c r="AK512" s="1" t="s">
        <v>115</v>
      </c>
      <c r="AL512" s="1">
        <v>167</v>
      </c>
    </row>
    <row r="513" spans="1:38" x14ac:dyDescent="0.2">
      <c r="A513" s="2" t="str">
        <f>HYPERLINK("https://www.compass.com/listing/15-hudson-yards-unit-76b-manhattan-ny-10001/851471381485476473/","15 Hudson Yards, Unit 76B")</f>
        <v>15 Hudson Yards, Unit 76B</v>
      </c>
      <c r="B513" s="2" t="str">
        <f>HYPERLINK("https://www.compass.com/building/fifteen-hudson-yards-manhattan-ny/282058587512011909/","Fifteen Hudson Yards")</f>
        <v>Fifteen Hudson Yards</v>
      </c>
      <c r="C513" s="1" t="s">
        <v>77</v>
      </c>
      <c r="D513" s="1" t="s">
        <v>41</v>
      </c>
      <c r="E513" s="3">
        <v>12030000</v>
      </c>
      <c r="F513" s="1">
        <v>4028.80107166778</v>
      </c>
      <c r="G513" s="1">
        <v>6</v>
      </c>
      <c r="H513" s="1">
        <v>4</v>
      </c>
      <c r="I513" s="1">
        <v>5</v>
      </c>
      <c r="J513" s="1">
        <v>4.5</v>
      </c>
      <c r="K513" s="1">
        <v>4</v>
      </c>
      <c r="L513" s="1">
        <v>1</v>
      </c>
      <c r="M513" s="4">
        <v>2986</v>
      </c>
      <c r="N513" s="1">
        <v>7768</v>
      </c>
      <c r="O513" s="1">
        <v>7865</v>
      </c>
      <c r="P513" s="1">
        <v>97</v>
      </c>
      <c r="Q513" s="1" t="s">
        <v>42</v>
      </c>
      <c r="S513" s="1" t="s">
        <v>42</v>
      </c>
      <c r="T513" s="1" t="s">
        <v>228</v>
      </c>
      <c r="U513" s="1">
        <v>2</v>
      </c>
      <c r="V513" s="5">
        <v>44427</v>
      </c>
      <c r="W513" s="5">
        <v>44424</v>
      </c>
      <c r="X513" s="1">
        <v>12030000</v>
      </c>
      <c r="Z513" s="5">
        <v>44427</v>
      </c>
      <c r="AB513" s="1" t="s">
        <v>44</v>
      </c>
      <c r="AF513" s="1">
        <v>10001</v>
      </c>
      <c r="AJ513" s="1">
        <v>2018</v>
      </c>
      <c r="AK513" s="1" t="s">
        <v>46</v>
      </c>
      <c r="AL513" s="1">
        <v>285</v>
      </c>
    </row>
    <row r="514" spans="1:38" x14ac:dyDescent="0.2">
      <c r="A514" s="2" t="str">
        <f>HYPERLINK("https://www.compass.com/listing/277-5th-avenue-unit-20d-manhattan-ny-10016/840610309181153457/","277 5th Ave, Unit 20D")</f>
        <v>277 5th Ave, Unit 20D</v>
      </c>
      <c r="B514" s="2" t="str">
        <f t="shared" ref="B514:B515" si="72">HYPERLINK("https://www.compass.com/building/277-fifth-avenue-manhattan-ny/281939285475645317/","277 FIFTH AVENUE")</f>
        <v>277 FIFTH AVENUE</v>
      </c>
      <c r="C514" s="1" t="s">
        <v>40</v>
      </c>
      <c r="D514" s="1" t="s">
        <v>41</v>
      </c>
      <c r="E514" s="3">
        <v>3325000</v>
      </c>
      <c r="G514" s="1">
        <v>4</v>
      </c>
      <c r="H514" s="1">
        <v>2</v>
      </c>
      <c r="I514" s="1">
        <v>2</v>
      </c>
      <c r="J514" s="1">
        <v>2</v>
      </c>
      <c r="K514" s="1">
        <v>2</v>
      </c>
      <c r="N514" s="1">
        <v>1976</v>
      </c>
      <c r="O514" s="1">
        <v>3786</v>
      </c>
      <c r="P514" s="1">
        <v>1810</v>
      </c>
      <c r="Q514" s="1" t="s">
        <v>42</v>
      </c>
      <c r="S514" s="1" t="s">
        <v>42</v>
      </c>
      <c r="T514" s="1" t="s">
        <v>228</v>
      </c>
      <c r="V514" s="5">
        <v>44426</v>
      </c>
      <c r="W514" s="5">
        <v>44411</v>
      </c>
      <c r="X514" s="1">
        <v>3325000</v>
      </c>
      <c r="Z514" s="5">
        <v>44412</v>
      </c>
      <c r="AB514" s="1" t="s">
        <v>44</v>
      </c>
      <c r="AF514" s="1">
        <v>10016</v>
      </c>
      <c r="AI514" s="1" t="s">
        <v>118</v>
      </c>
      <c r="AJ514" s="1">
        <v>2019</v>
      </c>
      <c r="AK514" s="1" t="s">
        <v>49</v>
      </c>
      <c r="AL514" s="1">
        <v>130</v>
      </c>
    </row>
    <row r="515" spans="1:38" x14ac:dyDescent="0.2">
      <c r="A515" s="2" t="str">
        <f>HYPERLINK("https://www.compass.com/listing/277-5th-avenue-unit-23d-manhattan-ny-10016/840640948420400985/","277 5th Ave, Unit 23D")</f>
        <v>277 5th Ave, Unit 23D</v>
      </c>
      <c r="B515" s="2" t="str">
        <f t="shared" si="72"/>
        <v>277 FIFTH AVENUE</v>
      </c>
      <c r="C515" s="1" t="s">
        <v>40</v>
      </c>
      <c r="D515" s="1" t="s">
        <v>41</v>
      </c>
      <c r="E515" s="3">
        <v>3430000</v>
      </c>
      <c r="F515" s="1">
        <v>2498.17916970138</v>
      </c>
      <c r="G515" s="1">
        <v>4</v>
      </c>
      <c r="H515" s="1">
        <v>2</v>
      </c>
      <c r="I515" s="1">
        <v>2</v>
      </c>
      <c r="J515" s="1">
        <v>2</v>
      </c>
      <c r="K515" s="1">
        <v>2</v>
      </c>
      <c r="M515" s="4">
        <v>1373</v>
      </c>
      <c r="N515" s="1">
        <v>1977</v>
      </c>
      <c r="O515" s="1">
        <v>3787</v>
      </c>
      <c r="P515" s="1">
        <v>1810</v>
      </c>
      <c r="Q515" s="1" t="s">
        <v>42</v>
      </c>
      <c r="S515" s="1" t="s">
        <v>42</v>
      </c>
      <c r="T515" s="1" t="s">
        <v>228</v>
      </c>
      <c r="V515" s="5">
        <v>44426</v>
      </c>
      <c r="W515" s="5">
        <v>44411</v>
      </c>
      <c r="X515" s="1">
        <v>3430000</v>
      </c>
      <c r="Z515" s="5">
        <v>44412</v>
      </c>
      <c r="AB515" s="1" t="s">
        <v>44</v>
      </c>
      <c r="AF515" s="1">
        <v>10016</v>
      </c>
      <c r="AI515" s="1" t="s">
        <v>118</v>
      </c>
      <c r="AJ515" s="1">
        <v>2019</v>
      </c>
      <c r="AK515" s="1" t="s">
        <v>49</v>
      </c>
      <c r="AL515" s="1">
        <v>130</v>
      </c>
    </row>
    <row r="516" spans="1:38" x14ac:dyDescent="0.2">
      <c r="A516" s="2" t="str">
        <f>HYPERLINK("https://www.compass.com/listing/77-charlton-street-unit-n7b-manhattan-ny-10014/831197078561469105/","77 Charlton St, Unit N7B")</f>
        <v>77 Charlton St, Unit N7B</v>
      </c>
      <c r="B516" s="2" t="str">
        <f>HYPERLINK("https://www.compass.com/building/77-charlton-st-manhattan-ny-10014/282058735872933093/","77 Charlton St")</f>
        <v>77 Charlton St</v>
      </c>
      <c r="C516" s="1" t="s">
        <v>53</v>
      </c>
      <c r="D516" s="1" t="s">
        <v>41</v>
      </c>
      <c r="E516" s="3">
        <v>1495000</v>
      </c>
      <c r="F516" s="1">
        <v>1982.7586206896499</v>
      </c>
      <c r="G516" s="1">
        <v>3</v>
      </c>
      <c r="H516" s="1">
        <v>1</v>
      </c>
      <c r="I516" s="1">
        <v>1</v>
      </c>
      <c r="J516" s="1">
        <v>1</v>
      </c>
      <c r="K516" s="1">
        <v>1</v>
      </c>
      <c r="M516" s="1">
        <v>754</v>
      </c>
      <c r="N516" s="1">
        <v>873</v>
      </c>
      <c r="O516" s="1">
        <v>2121</v>
      </c>
      <c r="P516" s="1">
        <v>1248</v>
      </c>
      <c r="Q516" s="1" t="s">
        <v>42</v>
      </c>
      <c r="S516" s="1" t="s">
        <v>42</v>
      </c>
      <c r="T516" s="1" t="s">
        <v>228</v>
      </c>
      <c r="U516" s="1">
        <v>19</v>
      </c>
      <c r="V516" s="5">
        <v>44419</v>
      </c>
      <c r="W516" s="5">
        <v>44399</v>
      </c>
      <c r="X516" s="1">
        <v>1495000</v>
      </c>
      <c r="Z516" s="5">
        <v>44418</v>
      </c>
      <c r="AB516" s="1" t="s">
        <v>44</v>
      </c>
      <c r="AF516" s="1">
        <v>10014</v>
      </c>
      <c r="AI516" s="1" t="s">
        <v>179</v>
      </c>
      <c r="AJ516" s="1">
        <v>2019</v>
      </c>
      <c r="AK516" s="1" t="s">
        <v>46</v>
      </c>
      <c r="AL516" s="1">
        <v>161</v>
      </c>
    </row>
    <row r="517" spans="1:38" x14ac:dyDescent="0.2">
      <c r="A517" s="2" t="str">
        <f>HYPERLINK("https://www.compass.com/listing/45-east-22nd-street-unit-33a-manhattan-ny-10010/628507379136392849/","45 E 22nd St, Unit 33A")</f>
        <v>45 E 22nd St, Unit 33A</v>
      </c>
      <c r="B517" s="2" t="str">
        <f>HYPERLINK("https://www.compass.com/building/madison-square-park-tower-manhattan-ny/281903584482705973/","Madison Square Park Tower")</f>
        <v>Madison Square Park Tower</v>
      </c>
      <c r="C517" s="1" t="s">
        <v>56</v>
      </c>
      <c r="D517" s="1" t="s">
        <v>41</v>
      </c>
      <c r="E517" s="3">
        <v>5950000</v>
      </c>
      <c r="G517" s="1">
        <v>4</v>
      </c>
      <c r="H517" s="1">
        <v>2</v>
      </c>
      <c r="I517" s="1">
        <v>2</v>
      </c>
      <c r="J517" s="1">
        <v>2</v>
      </c>
      <c r="K517" s="1">
        <v>2</v>
      </c>
      <c r="N517" s="1">
        <v>2540</v>
      </c>
      <c r="O517" s="1">
        <v>7490</v>
      </c>
      <c r="P517" s="1">
        <v>4950</v>
      </c>
      <c r="Q517" s="1" t="s">
        <v>42</v>
      </c>
      <c r="S517" s="1" t="s">
        <v>42</v>
      </c>
      <c r="T517" s="1" t="s">
        <v>228</v>
      </c>
      <c r="U517" s="1">
        <v>53</v>
      </c>
      <c r="V517" s="5">
        <v>44380</v>
      </c>
      <c r="W517" s="5">
        <v>44327</v>
      </c>
      <c r="X517" s="1">
        <v>5950000</v>
      </c>
      <c r="Z517" s="5">
        <v>44380</v>
      </c>
      <c r="AB517" s="1" t="s">
        <v>44</v>
      </c>
      <c r="AF517" s="1">
        <v>10010</v>
      </c>
      <c r="AI517" s="1" t="s">
        <v>48</v>
      </c>
      <c r="AJ517" s="1">
        <v>2016</v>
      </c>
      <c r="AK517" s="1" t="s">
        <v>46</v>
      </c>
      <c r="AL517" s="1">
        <v>83</v>
      </c>
    </row>
    <row r="518" spans="1:38" x14ac:dyDescent="0.2">
      <c r="A518" s="2" t="str">
        <f>HYPERLINK("https://www.compass.com/listing/30-warren-street-unit-2a-manhattan-ny-10007/29580277797879905/","30 Warren St, Unit 2A")</f>
        <v>30 Warren St, Unit 2A</v>
      </c>
      <c r="B518" s="2" t="str">
        <f>HYPERLINK("https://www.compass.com/building/30-warren-manhattan-ny/292789104075095813/","30 WARREN")</f>
        <v>30 WARREN</v>
      </c>
      <c r="C518" s="1" t="s">
        <v>50</v>
      </c>
      <c r="D518" s="1" t="s">
        <v>41</v>
      </c>
      <c r="E518" s="3">
        <v>2595000</v>
      </c>
      <c r="F518" s="1">
        <v>1654.9744897959099</v>
      </c>
      <c r="G518" s="1">
        <v>4</v>
      </c>
      <c r="H518" s="1">
        <v>2</v>
      </c>
      <c r="I518" s="1">
        <v>2</v>
      </c>
      <c r="J518" s="1">
        <v>2</v>
      </c>
      <c r="K518" s="1">
        <v>2</v>
      </c>
      <c r="M518" s="4">
        <v>1568</v>
      </c>
      <c r="N518" s="1">
        <v>2007.86</v>
      </c>
      <c r="O518" s="1">
        <v>4140.6499999999996</v>
      </c>
      <c r="P518" s="1">
        <v>2132.75</v>
      </c>
      <c r="Q518" s="1" t="s">
        <v>42</v>
      </c>
      <c r="S518" s="1" t="s">
        <v>42</v>
      </c>
      <c r="T518" s="1" t="s">
        <v>228</v>
      </c>
      <c r="U518" s="1">
        <v>1036</v>
      </c>
      <c r="V518" s="5">
        <v>44413</v>
      </c>
      <c r="W518" s="5">
        <v>43178</v>
      </c>
      <c r="X518" s="1">
        <v>2925000</v>
      </c>
      <c r="Z518" s="5">
        <v>44308</v>
      </c>
      <c r="AB518" s="1" t="s">
        <v>44</v>
      </c>
      <c r="AF518" s="1">
        <v>10007</v>
      </c>
      <c r="AJ518" s="1">
        <v>2017</v>
      </c>
      <c r="AK518" s="1" t="s">
        <v>125</v>
      </c>
      <c r="AL518" s="1">
        <v>23</v>
      </c>
    </row>
    <row r="519" spans="1:38" x14ac:dyDescent="0.2">
      <c r="A519" s="2" t="str">
        <f>HYPERLINK("https://www.compass.com/listing/100-barclay-street-unit-12a-manhattan-ny-10007/668392133026343353/","100 Barclay St, Unit 12A")</f>
        <v>100 Barclay St, Unit 12A</v>
      </c>
      <c r="B519" s="2" t="str">
        <f>HYPERLINK("https://www.compass.com/building/100-barclay-manhattan-ny/281896670466155525/","100 Barclay")</f>
        <v>100 Barclay</v>
      </c>
      <c r="C519" s="1" t="s">
        <v>50</v>
      </c>
      <c r="D519" s="1" t="s">
        <v>41</v>
      </c>
      <c r="E519" s="3">
        <v>5125000</v>
      </c>
      <c r="F519" s="1">
        <v>1884.8841485840301</v>
      </c>
      <c r="G519" s="1">
        <v>7</v>
      </c>
      <c r="H519" s="1">
        <v>4</v>
      </c>
      <c r="I519" s="1">
        <v>4</v>
      </c>
      <c r="J519" s="1">
        <v>4</v>
      </c>
      <c r="K519" s="1">
        <v>4</v>
      </c>
      <c r="M519" s="4">
        <v>2719</v>
      </c>
      <c r="N519" s="1">
        <v>3920</v>
      </c>
      <c r="O519" s="1">
        <v>8225.7900000000009</v>
      </c>
      <c r="P519" s="1">
        <v>4305.75</v>
      </c>
      <c r="Q519" s="1" t="s">
        <v>42</v>
      </c>
      <c r="S519" s="1" t="s">
        <v>42</v>
      </c>
      <c r="T519" s="1" t="s">
        <v>228</v>
      </c>
      <c r="U519" s="1">
        <v>149</v>
      </c>
      <c r="V519" s="5">
        <v>44417</v>
      </c>
      <c r="W519" s="5">
        <v>44173</v>
      </c>
      <c r="X519" s="1">
        <v>5125000</v>
      </c>
      <c r="Z519" s="5">
        <v>44323</v>
      </c>
      <c r="AB519" s="1" t="s">
        <v>44</v>
      </c>
      <c r="AF519" s="1">
        <v>10007</v>
      </c>
      <c r="AI519" s="1" t="s">
        <v>52</v>
      </c>
      <c r="AJ519" s="1">
        <v>1930</v>
      </c>
      <c r="AK519" s="1" t="s">
        <v>46</v>
      </c>
      <c r="AL519" s="1">
        <v>156</v>
      </c>
    </row>
    <row r="520" spans="1:38" x14ac:dyDescent="0.2">
      <c r="A520" s="2" t="str">
        <f>HYPERLINK("https://www.compass.com/listing/695-1st-avenue-unit-32e-manhattan-ny-10016/845875173046530033/","695 1st Ave, Unit 32E")</f>
        <v>695 1st Ave, Unit 32E</v>
      </c>
      <c r="B520" s="2" t="str">
        <f>HYPERLINK("https://www.compass.com/building/one-united-nations-park-manhattan-ny/282058773630059653/","One United Nations Park")</f>
        <v>One United Nations Park</v>
      </c>
      <c r="C520" s="1" t="s">
        <v>59</v>
      </c>
      <c r="D520" s="1" t="s">
        <v>41</v>
      </c>
      <c r="E520" s="3">
        <v>5060000</v>
      </c>
      <c r="F520" s="1">
        <v>2346.9387755101998</v>
      </c>
      <c r="G520" s="1">
        <v>5</v>
      </c>
      <c r="H520" s="1">
        <v>3</v>
      </c>
      <c r="I520" s="1">
        <v>4</v>
      </c>
      <c r="J520" s="1">
        <v>3.5</v>
      </c>
      <c r="K520" s="1">
        <v>3</v>
      </c>
      <c r="L520" s="1">
        <v>1</v>
      </c>
      <c r="M520" s="4">
        <v>2156</v>
      </c>
      <c r="N520" s="1">
        <v>2927</v>
      </c>
      <c r="O520" s="1">
        <v>6403</v>
      </c>
      <c r="P520" s="1">
        <v>3476</v>
      </c>
      <c r="Q520" s="1" t="s">
        <v>42</v>
      </c>
      <c r="S520" s="1" t="s">
        <v>42</v>
      </c>
      <c r="T520" s="1" t="s">
        <v>228</v>
      </c>
      <c r="V520" s="5">
        <v>44419</v>
      </c>
      <c r="W520" s="5">
        <v>44418</v>
      </c>
      <c r="X520" s="1">
        <v>5060000</v>
      </c>
      <c r="Z520" s="5">
        <v>44419</v>
      </c>
      <c r="AB520" s="1" t="s">
        <v>44</v>
      </c>
      <c r="AF520" s="1">
        <v>10016</v>
      </c>
      <c r="AI520" s="1" t="s">
        <v>63</v>
      </c>
      <c r="AJ520" s="1">
        <v>2019</v>
      </c>
      <c r="AK520" s="1" t="s">
        <v>46</v>
      </c>
      <c r="AL520" s="1">
        <v>148</v>
      </c>
    </row>
    <row r="521" spans="1:38" x14ac:dyDescent="0.2">
      <c r="A521" s="2" t="str">
        <f>HYPERLINK("https://www.compass.com/listing/225-west-17th-street-unit-ph2-manhattan-ny-10011/593467109634672569/","225 W 17th St, Unit PH2")</f>
        <v>225 W 17th St, Unit PH2</v>
      </c>
      <c r="B521" s="2" t="str">
        <f>HYPERLINK("https://www.compass.com/building/225-west-17th-street-manhattan-ny/292802090781141541/","225 West 17th Street")</f>
        <v>225 West 17th Street</v>
      </c>
      <c r="C521" s="1" t="s">
        <v>62</v>
      </c>
      <c r="D521" s="1" t="s">
        <v>41</v>
      </c>
      <c r="E521" s="3">
        <v>5950000</v>
      </c>
      <c r="F521" s="1">
        <v>2405.0121261115601</v>
      </c>
      <c r="G521" s="1">
        <v>6</v>
      </c>
      <c r="H521" s="1">
        <v>3</v>
      </c>
      <c r="I521" s="1">
        <v>4</v>
      </c>
      <c r="J521" s="1">
        <v>3.5</v>
      </c>
      <c r="K521" s="1">
        <v>3</v>
      </c>
      <c r="L521" s="1">
        <v>1</v>
      </c>
      <c r="M521" s="4">
        <v>2474</v>
      </c>
      <c r="N521" s="1">
        <v>1988</v>
      </c>
      <c r="O521" s="1">
        <v>5376</v>
      </c>
      <c r="P521" s="1">
        <v>3388</v>
      </c>
      <c r="Q521" s="1" t="s">
        <v>42</v>
      </c>
      <c r="S521" s="1" t="s">
        <v>42</v>
      </c>
      <c r="T521" s="1" t="s">
        <v>228</v>
      </c>
      <c r="U521" s="1">
        <v>101</v>
      </c>
      <c r="V521" s="5">
        <v>44425</v>
      </c>
      <c r="W521" s="5">
        <v>44219</v>
      </c>
      <c r="Z521" s="5">
        <v>44320</v>
      </c>
      <c r="AB521" s="1" t="s">
        <v>44</v>
      </c>
      <c r="AF521" s="1">
        <v>10011</v>
      </c>
      <c r="AI521" s="1" t="s">
        <v>216</v>
      </c>
      <c r="AJ521" s="1">
        <v>2018</v>
      </c>
      <c r="AK521" s="1" t="s">
        <v>146</v>
      </c>
      <c r="AL521" s="1">
        <v>14</v>
      </c>
    </row>
    <row r="522" spans="1:38" x14ac:dyDescent="0.2">
      <c r="A522" s="2" t="str">
        <f>HYPERLINK("https://www.compass.com/listing/45-east-22nd-street-unit-59-manhattan-ny-10010/386025219390317345/","45 E 22nd St, Unit 59")</f>
        <v>45 E 22nd St, Unit 59</v>
      </c>
      <c r="B522" s="2" t="str">
        <f>HYPERLINK("https://www.compass.com/building/madison-square-park-tower-manhattan-ny/281903584482705973/","Madison Square Park Tower")</f>
        <v>Madison Square Park Tower</v>
      </c>
      <c r="C522" s="1" t="s">
        <v>56</v>
      </c>
      <c r="D522" s="1" t="s">
        <v>41</v>
      </c>
      <c r="E522" s="3">
        <v>14250000</v>
      </c>
      <c r="F522" s="1">
        <v>3056.6280566280502</v>
      </c>
      <c r="G522" s="1">
        <v>10</v>
      </c>
      <c r="H522" s="1">
        <v>3</v>
      </c>
      <c r="I522" s="1">
        <v>4</v>
      </c>
      <c r="J522" s="1">
        <v>3.5</v>
      </c>
      <c r="K522" s="1">
        <v>3</v>
      </c>
      <c r="L522" s="1">
        <v>1</v>
      </c>
      <c r="M522" s="4">
        <v>4662</v>
      </c>
      <c r="N522" s="1">
        <v>6695</v>
      </c>
      <c r="O522" s="1">
        <v>20032</v>
      </c>
      <c r="P522" s="1">
        <v>13337</v>
      </c>
      <c r="Q522" s="1" t="s">
        <v>42</v>
      </c>
      <c r="S522" s="1" t="s">
        <v>42</v>
      </c>
      <c r="T522" s="1" t="s">
        <v>228</v>
      </c>
      <c r="U522" s="1">
        <v>471</v>
      </c>
      <c r="V522" s="5">
        <v>44427</v>
      </c>
      <c r="W522" s="5">
        <v>43783</v>
      </c>
      <c r="X522" s="1">
        <v>15000000</v>
      </c>
      <c r="Z522" s="5">
        <v>44352</v>
      </c>
      <c r="AB522" s="1" t="s">
        <v>44</v>
      </c>
      <c r="AF522" s="1">
        <v>10010</v>
      </c>
      <c r="AI522" s="1" t="s">
        <v>48</v>
      </c>
      <c r="AJ522" s="1">
        <v>2016</v>
      </c>
      <c r="AK522" s="1" t="s">
        <v>49</v>
      </c>
      <c r="AL522" s="1">
        <v>83</v>
      </c>
    </row>
    <row r="523" spans="1:38" x14ac:dyDescent="0.2">
      <c r="A523" s="2" t="str">
        <f>HYPERLINK("https://www.compass.com/listing/45-park-place-unit-6w-manhattan-ny-10007/29515080764849697/","45 Park Pl, Unit 6W")</f>
        <v>45 Park Pl, Unit 6W</v>
      </c>
      <c r="B523" s="2" t="str">
        <f t="shared" ref="B523:B527" si="73">HYPERLINK("https://www.compass.com/building/45-park-pl-manhattan-ny-10007/282067474101344021/","45 Park Pl")</f>
        <v>45 Park Pl</v>
      </c>
      <c r="C523" s="1" t="s">
        <v>50</v>
      </c>
      <c r="D523" s="1" t="s">
        <v>41</v>
      </c>
      <c r="E523" s="3">
        <v>1850000</v>
      </c>
      <c r="F523" s="1">
        <v>2102.2727272727202</v>
      </c>
      <c r="G523" s="1">
        <v>3</v>
      </c>
      <c r="H523" s="1">
        <v>1</v>
      </c>
      <c r="I523" s="1">
        <v>1</v>
      </c>
      <c r="J523" s="1">
        <v>1</v>
      </c>
      <c r="K523" s="1">
        <v>1</v>
      </c>
      <c r="M523" s="1">
        <v>880</v>
      </c>
      <c r="N523" s="1">
        <v>1092</v>
      </c>
      <c r="O523" s="1">
        <v>2240</v>
      </c>
      <c r="P523" s="1">
        <v>1148</v>
      </c>
      <c r="Q523" s="1" t="s">
        <v>42</v>
      </c>
      <c r="S523" s="1" t="s">
        <v>42</v>
      </c>
      <c r="T523" s="1" t="s">
        <v>228</v>
      </c>
      <c r="V523" s="5">
        <v>44419</v>
      </c>
      <c r="W523" s="5">
        <v>43103</v>
      </c>
      <c r="X523" s="1">
        <v>1850000</v>
      </c>
      <c r="Z523" s="5">
        <v>43104</v>
      </c>
      <c r="AB523" s="1" t="s">
        <v>44</v>
      </c>
      <c r="AF523" s="1">
        <v>10007</v>
      </c>
      <c r="AI523" s="1" t="s">
        <v>177</v>
      </c>
      <c r="AJ523" s="1">
        <v>2019</v>
      </c>
      <c r="AK523" s="1" t="s">
        <v>46</v>
      </c>
      <c r="AL523" s="1">
        <v>50</v>
      </c>
    </row>
    <row r="524" spans="1:38" x14ac:dyDescent="0.2">
      <c r="A524" s="2" t="str">
        <f>HYPERLINK("https://www.compass.com/listing/45-park-place-unit-11w-manhattan-ny-10007/29515081083548849/","45 Park Pl, Unit 11W")</f>
        <v>45 Park Pl, Unit 11W</v>
      </c>
      <c r="B524" s="2" t="str">
        <f t="shared" si="73"/>
        <v>45 Park Pl</v>
      </c>
      <c r="C524" s="1" t="s">
        <v>50</v>
      </c>
      <c r="D524" s="1" t="s">
        <v>41</v>
      </c>
      <c r="E524" s="3">
        <v>2025000</v>
      </c>
      <c r="F524" s="1">
        <v>2301.1363636363599</v>
      </c>
      <c r="G524" s="1">
        <v>3</v>
      </c>
      <c r="H524" s="1">
        <v>1</v>
      </c>
      <c r="I524" s="1">
        <v>1</v>
      </c>
      <c r="J524" s="1">
        <v>1</v>
      </c>
      <c r="K524" s="1">
        <v>1</v>
      </c>
      <c r="M524" s="1">
        <v>880</v>
      </c>
      <c r="N524" s="1">
        <v>1119</v>
      </c>
      <c r="O524" s="1">
        <v>2296</v>
      </c>
      <c r="P524" s="1">
        <v>1177</v>
      </c>
      <c r="Q524" s="1" t="s">
        <v>42</v>
      </c>
      <c r="S524" s="1" t="s">
        <v>42</v>
      </c>
      <c r="T524" s="1" t="s">
        <v>228</v>
      </c>
      <c r="V524" s="5">
        <v>44419</v>
      </c>
      <c r="W524" s="5">
        <v>43103</v>
      </c>
      <c r="X524" s="1">
        <v>2025000</v>
      </c>
      <c r="Z524" s="5">
        <v>43104</v>
      </c>
      <c r="AB524" s="1" t="s">
        <v>44</v>
      </c>
      <c r="AF524" s="1">
        <v>10007</v>
      </c>
      <c r="AI524" s="1" t="s">
        <v>177</v>
      </c>
      <c r="AJ524" s="1">
        <v>2019</v>
      </c>
      <c r="AK524" s="1" t="s">
        <v>46</v>
      </c>
      <c r="AL524" s="1">
        <v>50</v>
      </c>
    </row>
    <row r="525" spans="1:38" x14ac:dyDescent="0.2">
      <c r="A525" s="2" t="str">
        <f>HYPERLINK("https://www.compass.com/listing/45-park-place-unit-35-manhattan-ny-10007/29515084757759297/","45 Park Pl, Unit 35")</f>
        <v>45 Park Pl, Unit 35</v>
      </c>
      <c r="B525" s="2" t="str">
        <f t="shared" si="73"/>
        <v>45 Park Pl</v>
      </c>
      <c r="C525" s="1" t="s">
        <v>50</v>
      </c>
      <c r="D525" s="1" t="s">
        <v>41</v>
      </c>
      <c r="E525" s="3">
        <v>12050000</v>
      </c>
      <c r="F525" s="1">
        <v>3721.4329833230299</v>
      </c>
      <c r="G525" s="1">
        <v>5</v>
      </c>
      <c r="H525" s="1">
        <v>3</v>
      </c>
      <c r="I525" s="1">
        <v>4</v>
      </c>
      <c r="J525" s="1">
        <v>3.5</v>
      </c>
      <c r="K525" s="1">
        <v>3</v>
      </c>
      <c r="L525" s="1">
        <v>1</v>
      </c>
      <c r="M525" s="4">
        <v>3238</v>
      </c>
      <c r="N525" s="1">
        <v>4558</v>
      </c>
      <c r="O525" s="1">
        <v>9351</v>
      </c>
      <c r="P525" s="1">
        <v>4793</v>
      </c>
      <c r="Q525" s="1" t="s">
        <v>42</v>
      </c>
      <c r="S525" s="1" t="s">
        <v>42</v>
      </c>
      <c r="T525" s="1" t="s">
        <v>228</v>
      </c>
      <c r="V525" s="5">
        <v>44419</v>
      </c>
      <c r="W525" s="5">
        <v>43033</v>
      </c>
      <c r="X525" s="1">
        <v>12050000</v>
      </c>
      <c r="Z525" s="5">
        <v>43033</v>
      </c>
      <c r="AB525" s="1" t="s">
        <v>44</v>
      </c>
      <c r="AF525" s="1">
        <v>10007</v>
      </c>
      <c r="AI525" s="1" t="s">
        <v>177</v>
      </c>
      <c r="AJ525" s="1">
        <v>2019</v>
      </c>
      <c r="AK525" s="1" t="s">
        <v>46</v>
      </c>
      <c r="AL525" s="1">
        <v>50</v>
      </c>
    </row>
    <row r="526" spans="1:38" x14ac:dyDescent="0.2">
      <c r="A526" s="2" t="str">
        <f>HYPERLINK("https://www.compass.com/listing/45-park-place-unit-22w-manhattan-ny-10007/29515081360400145/","45 Park Pl, Unit 22W")</f>
        <v>45 Park Pl, Unit 22W</v>
      </c>
      <c r="B526" s="2" t="str">
        <f t="shared" si="73"/>
        <v>45 Park Pl</v>
      </c>
      <c r="C526" s="1" t="s">
        <v>50</v>
      </c>
      <c r="D526" s="1" t="s">
        <v>41</v>
      </c>
      <c r="E526" s="3">
        <v>4170000</v>
      </c>
      <c r="F526" s="1">
        <v>2664.5367412140499</v>
      </c>
      <c r="G526" s="1">
        <v>4</v>
      </c>
      <c r="H526" s="1">
        <v>2</v>
      </c>
      <c r="I526" s="1">
        <v>3</v>
      </c>
      <c r="J526" s="1">
        <v>2.5</v>
      </c>
      <c r="K526" s="1">
        <v>2</v>
      </c>
      <c r="L526" s="1">
        <v>1</v>
      </c>
      <c r="M526" s="4">
        <v>1565</v>
      </c>
      <c r="N526" s="1">
        <v>2077</v>
      </c>
      <c r="O526" s="1">
        <v>4261</v>
      </c>
      <c r="P526" s="1">
        <v>2184</v>
      </c>
      <c r="Q526" s="1" t="s">
        <v>42</v>
      </c>
      <c r="S526" s="1" t="s">
        <v>42</v>
      </c>
      <c r="T526" s="1" t="s">
        <v>228</v>
      </c>
      <c r="V526" s="5">
        <v>44419</v>
      </c>
      <c r="W526" s="5">
        <v>43068</v>
      </c>
      <c r="X526" s="1">
        <v>4170000</v>
      </c>
      <c r="Z526" s="5">
        <v>43068</v>
      </c>
      <c r="AB526" s="1" t="s">
        <v>44</v>
      </c>
      <c r="AF526" s="1">
        <v>10007</v>
      </c>
      <c r="AI526" s="1" t="s">
        <v>177</v>
      </c>
      <c r="AJ526" s="1">
        <v>2019</v>
      </c>
      <c r="AK526" s="1" t="s">
        <v>46</v>
      </c>
      <c r="AL526" s="1">
        <v>50</v>
      </c>
    </row>
    <row r="527" spans="1:38" x14ac:dyDescent="0.2">
      <c r="A527" s="2" t="str">
        <f>HYPERLINK("https://www.compass.com/listing/45-park-place-unit-17w-manhattan-ny-10007/29515082920654081/","45 Park Pl, Unit 17W")</f>
        <v>45 Park Pl, Unit 17W</v>
      </c>
      <c r="B527" s="2" t="str">
        <f t="shared" si="73"/>
        <v>45 Park Pl</v>
      </c>
      <c r="C527" s="1" t="s">
        <v>50</v>
      </c>
      <c r="D527" s="1" t="s">
        <v>41</v>
      </c>
      <c r="E527" s="3">
        <v>3795000</v>
      </c>
      <c r="F527" s="1">
        <v>2424.9201277955199</v>
      </c>
      <c r="G527" s="1">
        <v>4</v>
      </c>
      <c r="H527" s="1">
        <v>2</v>
      </c>
      <c r="I527" s="1">
        <v>3</v>
      </c>
      <c r="J527" s="1">
        <v>2.5</v>
      </c>
      <c r="K527" s="1">
        <v>2</v>
      </c>
      <c r="L527" s="1">
        <v>1</v>
      </c>
      <c r="M527" s="4">
        <v>1565</v>
      </c>
      <c r="N527" s="1">
        <v>2029</v>
      </c>
      <c r="O527" s="1">
        <v>4163</v>
      </c>
      <c r="P527" s="1">
        <v>2134</v>
      </c>
      <c r="Q527" s="1" t="s">
        <v>42</v>
      </c>
      <c r="S527" s="1" t="s">
        <v>42</v>
      </c>
      <c r="T527" s="1" t="s">
        <v>228</v>
      </c>
      <c r="V527" s="5">
        <v>44419</v>
      </c>
      <c r="W527" s="5">
        <v>43046</v>
      </c>
      <c r="X527" s="1">
        <v>3795000</v>
      </c>
      <c r="Z527" s="5">
        <v>43046</v>
      </c>
      <c r="AB527" s="1" t="s">
        <v>44</v>
      </c>
      <c r="AF527" s="1">
        <v>10007</v>
      </c>
      <c r="AI527" s="1" t="s">
        <v>177</v>
      </c>
      <c r="AJ527" s="1">
        <v>2019</v>
      </c>
      <c r="AK527" s="1" t="s">
        <v>46</v>
      </c>
      <c r="AL527" s="1">
        <v>50</v>
      </c>
    </row>
    <row r="528" spans="1:38" x14ac:dyDescent="0.2">
      <c r="A528" s="2" t="str">
        <f>HYPERLINK("https://www.compass.com/listing/100-barclay-street-unit-25c-manhattan-ny-10007/279530309211513697/","100 Barclay St, Unit 25C")</f>
        <v>100 Barclay St, Unit 25C</v>
      </c>
      <c r="B528" s="2" t="str">
        <f>HYPERLINK("https://www.compass.com/building/100-barclay-manhattan-ny/281896670466155525/","100 Barclay")</f>
        <v>100 Barclay</v>
      </c>
      <c r="C528" s="1" t="s">
        <v>50</v>
      </c>
      <c r="D528" s="1" t="s">
        <v>41</v>
      </c>
      <c r="E528" s="3">
        <v>6175000</v>
      </c>
      <c r="F528" s="1">
        <v>2276.9174041297902</v>
      </c>
      <c r="G528" s="1">
        <v>7</v>
      </c>
      <c r="H528" s="1">
        <v>4</v>
      </c>
      <c r="I528" s="1">
        <v>4</v>
      </c>
      <c r="J528" s="1">
        <v>4</v>
      </c>
      <c r="K528" s="1">
        <v>4</v>
      </c>
      <c r="M528" s="4">
        <v>2712</v>
      </c>
      <c r="N528" s="1">
        <v>3910</v>
      </c>
      <c r="O528" s="1">
        <v>8402.92</v>
      </c>
      <c r="P528" s="1">
        <v>4492.9166666666597</v>
      </c>
      <c r="Q528" s="1" t="s">
        <v>42</v>
      </c>
      <c r="S528" s="1" t="s">
        <v>42</v>
      </c>
      <c r="T528" s="1" t="s">
        <v>228</v>
      </c>
      <c r="U528" s="1">
        <v>423</v>
      </c>
      <c r="V528" s="5">
        <v>44419</v>
      </c>
      <c r="W528" s="5">
        <v>43887</v>
      </c>
      <c r="Z528" s="5">
        <v>44405</v>
      </c>
      <c r="AB528" s="1" t="s">
        <v>44</v>
      </c>
      <c r="AF528" s="1">
        <v>10007</v>
      </c>
      <c r="AI528" s="1" t="s">
        <v>52</v>
      </c>
      <c r="AJ528" s="1">
        <v>1930</v>
      </c>
      <c r="AK528" s="1" t="s">
        <v>46</v>
      </c>
      <c r="AL528" s="1">
        <v>156</v>
      </c>
    </row>
    <row r="529" spans="1:38" x14ac:dyDescent="0.2">
      <c r="A529" s="2" t="str">
        <f>HYPERLINK("https://www.compass.com/listing/45-park-place-unit-25-manhattan-ny-10007/29515083239448401/","45 Park Pl, Unit 25")</f>
        <v>45 Park Pl, Unit 25</v>
      </c>
      <c r="B529" s="2" t="str">
        <f t="shared" ref="B529:B530" si="74">HYPERLINK("https://www.compass.com/building/45-park-pl-manhattan-ny-10007/282067474101344021/","45 Park Pl")</f>
        <v>45 Park Pl</v>
      </c>
      <c r="C529" s="1" t="s">
        <v>50</v>
      </c>
      <c r="D529" s="1" t="s">
        <v>41</v>
      </c>
      <c r="E529" s="3">
        <v>11450000</v>
      </c>
      <c r="F529" s="1">
        <v>3214.48624368332</v>
      </c>
      <c r="G529" s="1">
        <v>6</v>
      </c>
      <c r="H529" s="1">
        <v>4</v>
      </c>
      <c r="I529" s="1">
        <v>5</v>
      </c>
      <c r="J529" s="1">
        <v>4.5</v>
      </c>
      <c r="K529" s="1">
        <v>4</v>
      </c>
      <c r="L529" s="1">
        <v>1</v>
      </c>
      <c r="M529" s="4">
        <v>3562</v>
      </c>
      <c r="N529" s="1">
        <v>4772</v>
      </c>
      <c r="O529" s="1">
        <v>9790</v>
      </c>
      <c r="P529" s="1">
        <v>5018</v>
      </c>
      <c r="Q529" s="1" t="s">
        <v>42</v>
      </c>
      <c r="S529" s="1" t="s">
        <v>42</v>
      </c>
      <c r="T529" s="1" t="s">
        <v>228</v>
      </c>
      <c r="V529" s="5">
        <v>44419</v>
      </c>
      <c r="W529" s="5">
        <v>43046</v>
      </c>
      <c r="X529" s="1">
        <v>11450000</v>
      </c>
      <c r="Z529" s="5">
        <v>43046</v>
      </c>
      <c r="AB529" s="1" t="s">
        <v>44</v>
      </c>
      <c r="AF529" s="1">
        <v>10007</v>
      </c>
      <c r="AI529" s="1" t="s">
        <v>177</v>
      </c>
      <c r="AJ529" s="1">
        <v>2019</v>
      </c>
      <c r="AK529" s="1" t="s">
        <v>46</v>
      </c>
      <c r="AL529" s="1">
        <v>50</v>
      </c>
    </row>
    <row r="530" spans="1:38" x14ac:dyDescent="0.2">
      <c r="A530" s="2" t="str">
        <f>HYPERLINK("https://www.compass.com/listing/45-park-place-unit-34-manhattan-ny-10007/801633262556088185/","45 Park Pl, Unit 34")</f>
        <v>45 Park Pl, Unit 34</v>
      </c>
      <c r="B530" s="2" t="str">
        <f t="shared" si="74"/>
        <v>45 Park Pl</v>
      </c>
      <c r="C530" s="1" t="s">
        <v>50</v>
      </c>
      <c r="D530" s="1" t="s">
        <v>41</v>
      </c>
      <c r="E530" s="3">
        <v>12300000</v>
      </c>
      <c r="F530" s="1">
        <v>3798.6411365040099</v>
      </c>
      <c r="G530" s="1">
        <v>6</v>
      </c>
      <c r="H530" s="1">
        <v>4</v>
      </c>
      <c r="I530" s="1">
        <v>5</v>
      </c>
      <c r="J530" s="1">
        <v>4.5</v>
      </c>
      <c r="K530" s="1">
        <v>4</v>
      </c>
      <c r="L530" s="1">
        <v>1</v>
      </c>
      <c r="M530" s="4">
        <v>3238</v>
      </c>
      <c r="N530" s="1">
        <v>4538</v>
      </c>
      <c r="O530" s="1">
        <v>9310</v>
      </c>
      <c r="P530" s="1">
        <v>4772</v>
      </c>
      <c r="Q530" s="1" t="s">
        <v>42</v>
      </c>
      <c r="S530" s="1" t="s">
        <v>42</v>
      </c>
      <c r="T530" s="1" t="s">
        <v>228</v>
      </c>
      <c r="V530" s="5">
        <v>44419</v>
      </c>
      <c r="W530" s="5">
        <v>43339</v>
      </c>
      <c r="X530" s="1">
        <v>12300000</v>
      </c>
      <c r="Z530" s="5">
        <v>43339</v>
      </c>
      <c r="AB530" s="1" t="s">
        <v>44</v>
      </c>
      <c r="AF530" s="1">
        <v>10007</v>
      </c>
      <c r="AI530" s="1" t="s">
        <v>177</v>
      </c>
      <c r="AJ530" s="1">
        <v>2019</v>
      </c>
      <c r="AK530" s="1" t="s">
        <v>46</v>
      </c>
      <c r="AL530" s="1">
        <v>50</v>
      </c>
    </row>
    <row r="531" spans="1:38" x14ac:dyDescent="0.2">
      <c r="A531" s="2" t="str">
        <f>HYPERLINK("https://www.compass.com/listing/100-barclay-street-unit-14p-manhattan-ny-10007/692992075415600857/","100 Barclay St, Unit 14P")</f>
        <v>100 Barclay St, Unit 14P</v>
      </c>
      <c r="B531" s="2" t="str">
        <f>HYPERLINK("https://www.compass.com/building/100-barclay-manhattan-ny/281896670466155525/","100 Barclay")</f>
        <v>100 Barclay</v>
      </c>
      <c r="C531" s="1" t="s">
        <v>50</v>
      </c>
      <c r="D531" s="1" t="s">
        <v>41</v>
      </c>
      <c r="E531" s="3">
        <v>6150000</v>
      </c>
      <c r="F531" s="1">
        <v>1917.0822942643299</v>
      </c>
      <c r="G531" s="1">
        <v>7.5</v>
      </c>
      <c r="H531" s="1">
        <v>4</v>
      </c>
      <c r="I531" s="1">
        <v>5</v>
      </c>
      <c r="J531" s="1">
        <v>5</v>
      </c>
      <c r="K531" s="1">
        <v>5</v>
      </c>
      <c r="M531" s="4">
        <v>3208</v>
      </c>
      <c r="N531" s="1">
        <v>4822</v>
      </c>
      <c r="O531" s="1">
        <v>10062</v>
      </c>
      <c r="P531" s="1">
        <v>5240</v>
      </c>
      <c r="Q531" s="1" t="s">
        <v>42</v>
      </c>
      <c r="S531" s="1" t="s">
        <v>42</v>
      </c>
      <c r="T531" s="1" t="s">
        <v>228</v>
      </c>
      <c r="U531" s="1">
        <v>179</v>
      </c>
      <c r="V531" s="5">
        <v>44420</v>
      </c>
      <c r="W531" s="5">
        <v>44207</v>
      </c>
      <c r="X531" s="1">
        <v>7100000</v>
      </c>
      <c r="Z531" s="5">
        <v>44391</v>
      </c>
      <c r="AB531" s="1" t="s">
        <v>44</v>
      </c>
      <c r="AF531" s="1">
        <v>10007</v>
      </c>
      <c r="AI531" s="1" t="s">
        <v>103</v>
      </c>
      <c r="AJ531" s="1">
        <v>1930</v>
      </c>
      <c r="AK531" s="1" t="s">
        <v>46</v>
      </c>
      <c r="AL531" s="1">
        <v>156</v>
      </c>
    </row>
    <row r="532" spans="1:38" x14ac:dyDescent="0.2">
      <c r="A532" s="2" t="str">
        <f>HYPERLINK("https://www.compass.com/listing/121-east-22nd-street-unit-n501-manhattan-ny-10010/763686996857777681/","121 E 22nd St, Unit N501")</f>
        <v>121 E 22nd St, Unit N501</v>
      </c>
      <c r="B532" s="2" t="str">
        <f t="shared" ref="B532:B534" si="75">HYPERLINK("https://www.compass.com/building/121-e-22nd-manhattan-ny/292795784653461493/","121 E 22nd")</f>
        <v>121 E 22nd</v>
      </c>
      <c r="C532" s="1" t="s">
        <v>64</v>
      </c>
      <c r="D532" s="1" t="s">
        <v>41</v>
      </c>
      <c r="E532" s="3">
        <v>2795000</v>
      </c>
      <c r="F532" s="1">
        <v>2071.9051148999201</v>
      </c>
      <c r="G532" s="1">
        <v>3.5</v>
      </c>
      <c r="H532" s="1">
        <v>2</v>
      </c>
      <c r="I532" s="1">
        <v>3</v>
      </c>
      <c r="J532" s="1">
        <v>2.5</v>
      </c>
      <c r="K532" s="1">
        <v>2</v>
      </c>
      <c r="L532" s="1">
        <v>1</v>
      </c>
      <c r="M532" s="4">
        <v>1349</v>
      </c>
      <c r="N532" s="1">
        <v>1435</v>
      </c>
      <c r="O532" s="1">
        <v>4125</v>
      </c>
      <c r="P532" s="1">
        <v>2690</v>
      </c>
      <c r="Q532" s="1" t="s">
        <v>42</v>
      </c>
      <c r="S532" s="1" t="s">
        <v>42</v>
      </c>
      <c r="T532" s="1" t="s">
        <v>228</v>
      </c>
      <c r="U532" s="1">
        <v>119</v>
      </c>
      <c r="V532" s="5">
        <v>44425</v>
      </c>
      <c r="W532" s="5">
        <v>44306</v>
      </c>
      <c r="X532" s="1">
        <v>2795000</v>
      </c>
      <c r="Z532" s="5">
        <v>44425</v>
      </c>
      <c r="AB532" s="1" t="s">
        <v>44</v>
      </c>
      <c r="AF532" s="1">
        <v>10010</v>
      </c>
      <c r="AI532" s="1" t="s">
        <v>109</v>
      </c>
      <c r="AJ532" s="1">
        <v>2016</v>
      </c>
      <c r="AK532" s="1" t="s">
        <v>46</v>
      </c>
      <c r="AL532" s="1">
        <v>140</v>
      </c>
    </row>
    <row r="533" spans="1:38" x14ac:dyDescent="0.2">
      <c r="A533" s="2" t="str">
        <f>HYPERLINK("https://www.compass.com/listing/121-east-22nd-street-unit-s201-manhattan-ny-10010/381154985944635585/","121 E 22nd St, Unit S201")</f>
        <v>121 E 22nd St, Unit S201</v>
      </c>
      <c r="B533" s="2" t="str">
        <f t="shared" si="75"/>
        <v>121 E 22nd</v>
      </c>
      <c r="C533" s="1" t="s">
        <v>64</v>
      </c>
      <c r="D533" s="1" t="s">
        <v>41</v>
      </c>
      <c r="E533" s="3">
        <v>2950000</v>
      </c>
      <c r="F533" s="1">
        <v>1778.17962628089</v>
      </c>
      <c r="G533" s="1">
        <v>3.5</v>
      </c>
      <c r="H533" s="1">
        <v>2</v>
      </c>
      <c r="I533" s="1">
        <v>3</v>
      </c>
      <c r="J533" s="1">
        <v>2.5</v>
      </c>
      <c r="K533" s="1">
        <v>2</v>
      </c>
      <c r="L533" s="1">
        <v>1</v>
      </c>
      <c r="M533" s="4">
        <v>1659</v>
      </c>
      <c r="N533" s="1">
        <v>1682</v>
      </c>
      <c r="O533" s="1">
        <v>5041</v>
      </c>
      <c r="P533" s="1">
        <v>3359</v>
      </c>
      <c r="Q533" s="1" t="s">
        <v>42</v>
      </c>
      <c r="S533" s="1" t="s">
        <v>42</v>
      </c>
      <c r="T533" s="1" t="s">
        <v>228</v>
      </c>
      <c r="U533" s="1">
        <v>513</v>
      </c>
      <c r="V533" s="5">
        <v>44404</v>
      </c>
      <c r="W533" s="5">
        <v>43778</v>
      </c>
      <c r="X533" s="1">
        <v>3360000</v>
      </c>
      <c r="Z533" s="5">
        <v>44386</v>
      </c>
      <c r="AB533" s="1" t="s">
        <v>44</v>
      </c>
      <c r="AF533" s="1">
        <v>10010</v>
      </c>
      <c r="AI533" s="1" t="s">
        <v>106</v>
      </c>
      <c r="AJ533" s="1">
        <v>2016</v>
      </c>
      <c r="AK533" s="1" t="s">
        <v>46</v>
      </c>
      <c r="AL533" s="1">
        <v>140</v>
      </c>
    </row>
    <row r="534" spans="1:38" x14ac:dyDescent="0.2">
      <c r="A534" s="2" t="str">
        <f>HYPERLINK("https://www.compass.com/listing/121-east-22nd-street-unit-n807-manhattan-ny-10010/754337451349418753/","121 E 22nd St, Unit N807")</f>
        <v>121 E 22nd St, Unit N807</v>
      </c>
      <c r="B534" s="2" t="str">
        <f t="shared" si="75"/>
        <v>121 E 22nd</v>
      </c>
      <c r="C534" s="1" t="s">
        <v>64</v>
      </c>
      <c r="D534" s="1" t="s">
        <v>41</v>
      </c>
      <c r="E534" s="3">
        <v>3675000</v>
      </c>
      <c r="F534" s="1">
        <v>2152.8998242530702</v>
      </c>
      <c r="G534" s="1">
        <v>4.5</v>
      </c>
      <c r="H534" s="1">
        <v>2</v>
      </c>
      <c r="I534" s="1">
        <v>3</v>
      </c>
      <c r="J534" s="1">
        <v>2.5</v>
      </c>
      <c r="K534" s="1">
        <v>2</v>
      </c>
      <c r="L534" s="1">
        <v>1</v>
      </c>
      <c r="M534" s="4">
        <v>1707</v>
      </c>
      <c r="N534" s="1">
        <v>1754</v>
      </c>
      <c r="O534" s="1">
        <v>5035</v>
      </c>
      <c r="P534" s="1">
        <v>3281</v>
      </c>
      <c r="Q534" s="1" t="s">
        <v>42</v>
      </c>
      <c r="S534" s="1" t="s">
        <v>42</v>
      </c>
      <c r="T534" s="1" t="s">
        <v>228</v>
      </c>
      <c r="U534" s="1">
        <v>116</v>
      </c>
      <c r="V534" s="5">
        <v>44410</v>
      </c>
      <c r="W534" s="5">
        <v>44293</v>
      </c>
      <c r="X534" s="1">
        <v>3675000</v>
      </c>
      <c r="Z534" s="5">
        <v>44410</v>
      </c>
      <c r="AB534" s="1" t="s">
        <v>44</v>
      </c>
      <c r="AF534" s="1">
        <v>10010</v>
      </c>
      <c r="AI534" s="1" t="s">
        <v>106</v>
      </c>
      <c r="AJ534" s="1">
        <v>2016</v>
      </c>
      <c r="AK534" s="1" t="s">
        <v>46</v>
      </c>
      <c r="AL534" s="1">
        <v>140</v>
      </c>
    </row>
    <row r="535" spans="1:38" x14ac:dyDescent="0.2">
      <c r="A535" s="2" t="str">
        <f>HYPERLINK("https://www.compass.com/listing/49-chambers-street-unit-6e-manhattan-ny-10007/461238607087292985/","49 Chambers St, Unit 6E")</f>
        <v>49 Chambers St, Unit 6E</v>
      </c>
      <c r="B535" s="2" t="str">
        <f>HYPERLINK("https://www.compass.com/building/49-chambers-manhattan-ny/282058733280852725/","49 Chambers")</f>
        <v>49 Chambers</v>
      </c>
      <c r="C535" s="1" t="s">
        <v>50</v>
      </c>
      <c r="D535" s="1" t="s">
        <v>41</v>
      </c>
      <c r="E535" s="3">
        <v>4500000</v>
      </c>
      <c r="F535" s="1">
        <v>1512.6050420168001</v>
      </c>
      <c r="G535" s="1">
        <v>6</v>
      </c>
      <c r="H535" s="1">
        <v>3</v>
      </c>
      <c r="I535" s="1">
        <v>4</v>
      </c>
      <c r="J535" s="1">
        <v>3.5</v>
      </c>
      <c r="K535" s="1">
        <v>3</v>
      </c>
      <c r="L535" s="1">
        <v>1</v>
      </c>
      <c r="M535" s="4">
        <v>2975</v>
      </c>
      <c r="N535" s="1">
        <v>2165</v>
      </c>
      <c r="O535" s="1">
        <v>6216</v>
      </c>
      <c r="P535" s="1">
        <v>4051</v>
      </c>
      <c r="Q535" s="1" t="s">
        <v>42</v>
      </c>
      <c r="S535" s="1" t="s">
        <v>42</v>
      </c>
      <c r="T535" s="1" t="s">
        <v>228</v>
      </c>
      <c r="U535" s="1">
        <v>314</v>
      </c>
      <c r="V535" s="5">
        <v>44427</v>
      </c>
      <c r="W535" s="5">
        <v>43887</v>
      </c>
      <c r="X535" s="1">
        <v>4500000</v>
      </c>
      <c r="Z535" s="5">
        <v>44296</v>
      </c>
      <c r="AB535" s="1" t="s">
        <v>44</v>
      </c>
      <c r="AF535" s="1">
        <v>10007</v>
      </c>
      <c r="AI535" s="1" t="s">
        <v>114</v>
      </c>
      <c r="AJ535" s="1">
        <v>1910</v>
      </c>
      <c r="AK535" s="1" t="s">
        <v>49</v>
      </c>
      <c r="AL535" s="1">
        <v>99</v>
      </c>
    </row>
    <row r="536" spans="1:38" x14ac:dyDescent="0.2">
      <c r="A536" s="2" t="str">
        <f>HYPERLINK("https://www.compass.com/listing/121-east-22nd-street-unit-n606-manhattan-ny-10010/348552882068109841/","121 E 22nd St, Unit N606")</f>
        <v>121 E 22nd St, Unit N606</v>
      </c>
      <c r="B536" s="2" t="str">
        <f>HYPERLINK("https://www.compass.com/building/121-e-22nd-manhattan-ny/292795784653461493/","121 E 22nd")</f>
        <v>121 E 22nd</v>
      </c>
      <c r="C536" s="1" t="s">
        <v>64</v>
      </c>
      <c r="D536" s="1" t="s">
        <v>41</v>
      </c>
      <c r="E536" s="3">
        <v>4990000</v>
      </c>
      <c r="F536" s="1">
        <v>1997.59807846277</v>
      </c>
      <c r="G536" s="1">
        <v>5</v>
      </c>
      <c r="H536" s="1">
        <v>3</v>
      </c>
      <c r="I536" s="1">
        <v>4</v>
      </c>
      <c r="J536" s="1">
        <v>3.5</v>
      </c>
      <c r="K536" s="1">
        <v>3</v>
      </c>
      <c r="L536" s="1">
        <v>1</v>
      </c>
      <c r="M536" s="4">
        <v>2498</v>
      </c>
      <c r="N536" s="1">
        <v>2512</v>
      </c>
      <c r="O536" s="1">
        <v>7528</v>
      </c>
      <c r="P536" s="1">
        <v>5016</v>
      </c>
      <c r="Q536" s="1" t="s">
        <v>42</v>
      </c>
      <c r="S536" s="1" t="s">
        <v>42</v>
      </c>
      <c r="T536" s="1" t="s">
        <v>228</v>
      </c>
      <c r="V536" s="5">
        <v>44404</v>
      </c>
      <c r="W536" s="5">
        <v>43733</v>
      </c>
      <c r="X536" s="1">
        <v>4990000</v>
      </c>
      <c r="Z536" s="5">
        <v>43733</v>
      </c>
      <c r="AB536" s="1" t="s">
        <v>44</v>
      </c>
      <c r="AF536" s="1">
        <v>10010</v>
      </c>
      <c r="AI536" s="1" t="s">
        <v>234</v>
      </c>
      <c r="AJ536" s="1">
        <v>2016</v>
      </c>
      <c r="AK536" s="1" t="s">
        <v>46</v>
      </c>
      <c r="AL536" s="1">
        <v>140</v>
      </c>
    </row>
    <row r="537" spans="1:38" x14ac:dyDescent="0.2">
      <c r="A537" s="2" t="str">
        <f>HYPERLINK("https://www.compass.com/listing/111-murray-street-unit-58east-manhattan-ny-10007/729852804757553521/","111 Murray St, Unit 58EAST")</f>
        <v>111 Murray St, Unit 58EAST</v>
      </c>
      <c r="B537" s="2" t="str">
        <f>HYPERLINK("https://www.compass.com/building/111-murray-st-manhattan-ny-10007/281896511862746053/","111 Murray St")</f>
        <v>111 Murray St</v>
      </c>
      <c r="C537" s="1" t="s">
        <v>50</v>
      </c>
      <c r="D537" s="1" t="s">
        <v>41</v>
      </c>
      <c r="E537" s="3">
        <v>7950000</v>
      </c>
      <c r="F537" s="1">
        <v>2656.1977948546601</v>
      </c>
      <c r="G537" s="1">
        <v>6</v>
      </c>
      <c r="H537" s="1">
        <v>3</v>
      </c>
      <c r="I537" s="1">
        <v>4</v>
      </c>
      <c r="J537" s="1">
        <v>3.5</v>
      </c>
      <c r="K537" s="1">
        <v>3</v>
      </c>
      <c r="L537" s="1">
        <v>1</v>
      </c>
      <c r="M537" s="4">
        <v>2993</v>
      </c>
      <c r="N537" s="1">
        <v>4062</v>
      </c>
      <c r="O537" s="1">
        <v>11463</v>
      </c>
      <c r="P537" s="1">
        <v>7401</v>
      </c>
      <c r="Q537" s="1" t="s">
        <v>42</v>
      </c>
      <c r="S537" s="1" t="s">
        <v>42</v>
      </c>
      <c r="T537" s="1" t="s">
        <v>228</v>
      </c>
      <c r="V537" s="5">
        <v>44427</v>
      </c>
      <c r="W537" s="5">
        <v>44258</v>
      </c>
      <c r="X537" s="1">
        <v>1</v>
      </c>
      <c r="Z537" s="5">
        <v>44258</v>
      </c>
      <c r="AB537" s="1" t="s">
        <v>44</v>
      </c>
      <c r="AF537" s="1">
        <v>10007</v>
      </c>
      <c r="AI537" s="1" t="s">
        <v>235</v>
      </c>
      <c r="AJ537" s="1">
        <v>2018</v>
      </c>
      <c r="AK537" s="1" t="s">
        <v>49</v>
      </c>
      <c r="AL537" s="1">
        <v>157</v>
      </c>
    </row>
    <row r="538" spans="1:38" x14ac:dyDescent="0.2">
      <c r="A538" s="2" t="str">
        <f>HYPERLINK("https://www.compass.com/listing/160-leroy-street-unit-8nc-manhattan-ny-10014/782651723016147777/","160 Leroy St, Unit 8NC")</f>
        <v>160 Leroy St, Unit 8NC</v>
      </c>
      <c r="B538" s="2" t="str">
        <f t="shared" ref="B538:B539" si="76">HYPERLINK("https://www.compass.com/building/160-leroy-st-manhattan-ny-10014/293418469918017093/","160 Leroy St")</f>
        <v>160 Leroy St</v>
      </c>
      <c r="C538" s="1" t="s">
        <v>67</v>
      </c>
      <c r="D538" s="1" t="s">
        <v>41</v>
      </c>
      <c r="E538" s="3">
        <v>4300000</v>
      </c>
      <c r="G538" s="1">
        <v>5</v>
      </c>
      <c r="H538" s="1">
        <v>2</v>
      </c>
      <c r="I538" s="1">
        <v>3</v>
      </c>
      <c r="J538" s="1">
        <v>2.5</v>
      </c>
      <c r="K538" s="1">
        <v>2</v>
      </c>
      <c r="L538" s="1">
        <v>1</v>
      </c>
      <c r="N538" s="1">
        <v>2745</v>
      </c>
      <c r="O538" s="1">
        <v>6370</v>
      </c>
      <c r="P538" s="1">
        <v>3625</v>
      </c>
      <c r="Q538" s="1" t="s">
        <v>42</v>
      </c>
      <c r="S538" s="1" t="s">
        <v>42</v>
      </c>
      <c r="T538" s="1" t="s">
        <v>228</v>
      </c>
      <c r="U538" s="1">
        <v>10</v>
      </c>
      <c r="V538" s="5">
        <v>44427</v>
      </c>
      <c r="W538" s="5">
        <v>44334</v>
      </c>
      <c r="X538" s="1">
        <v>4300000</v>
      </c>
      <c r="Z538" s="5">
        <v>44345</v>
      </c>
      <c r="AB538" s="1" t="s">
        <v>44</v>
      </c>
      <c r="AF538" s="1">
        <v>10014</v>
      </c>
      <c r="AI538" s="1" t="s">
        <v>178</v>
      </c>
      <c r="AJ538" s="1">
        <v>2017</v>
      </c>
      <c r="AK538" s="1" t="s">
        <v>121</v>
      </c>
      <c r="AL538" s="1">
        <v>57</v>
      </c>
    </row>
    <row r="539" spans="1:38" x14ac:dyDescent="0.2">
      <c r="A539" s="2" t="str">
        <f>HYPERLINK("https://www.compass.com/listing/160-leroy-street-unit-north5a-manhattan-ny-10014/726769857971860273/","160 Leroy St, Unit NORTH5A")</f>
        <v>160 Leroy St, Unit NORTH5A</v>
      </c>
      <c r="B539" s="2" t="str">
        <f t="shared" si="76"/>
        <v>160 Leroy St</v>
      </c>
      <c r="C539" s="1" t="s">
        <v>67</v>
      </c>
      <c r="D539" s="1" t="s">
        <v>41</v>
      </c>
      <c r="E539" s="3">
        <v>6495000</v>
      </c>
      <c r="F539" s="1">
        <v>3169.83894582723</v>
      </c>
      <c r="G539" s="1">
        <v>6</v>
      </c>
      <c r="H539" s="1">
        <v>3</v>
      </c>
      <c r="I539" s="1">
        <v>4</v>
      </c>
      <c r="J539" s="1">
        <v>3.5</v>
      </c>
      <c r="K539" s="1">
        <v>3</v>
      </c>
      <c r="L539" s="1">
        <v>1</v>
      </c>
      <c r="M539" s="4">
        <v>2049</v>
      </c>
      <c r="N539" s="1">
        <v>3149</v>
      </c>
      <c r="O539" s="1">
        <v>6931</v>
      </c>
      <c r="P539" s="1">
        <v>3782</v>
      </c>
      <c r="Q539" s="1" t="s">
        <v>42</v>
      </c>
      <c r="S539" s="1" t="s">
        <v>42</v>
      </c>
      <c r="T539" s="1" t="s">
        <v>228</v>
      </c>
      <c r="U539" s="1">
        <v>152</v>
      </c>
      <c r="V539" s="5">
        <v>44422</v>
      </c>
      <c r="W539" s="5">
        <v>44254</v>
      </c>
      <c r="X539" s="1">
        <v>6595000</v>
      </c>
      <c r="Z539" s="5">
        <v>44407</v>
      </c>
      <c r="AB539" s="1" t="s">
        <v>44</v>
      </c>
      <c r="AF539" s="1">
        <v>10014</v>
      </c>
      <c r="AI539" s="1" t="s">
        <v>65</v>
      </c>
      <c r="AJ539" s="1">
        <v>2017</v>
      </c>
      <c r="AK539" s="1" t="s">
        <v>155</v>
      </c>
      <c r="AL539" s="1">
        <v>57</v>
      </c>
    </row>
    <row r="540" spans="1:38" x14ac:dyDescent="0.2">
      <c r="A540" s="2" t="str">
        <f>HYPERLINK("https://www.compass.com/listing/49-chambers-street-unit-15a-manhattan-ny-10007/830453946163543393/","49 Chambers St, Unit 15A")</f>
        <v>49 Chambers St, Unit 15A</v>
      </c>
      <c r="B540" s="2" t="str">
        <f>HYPERLINK("https://www.compass.com/building/49-chambers-manhattan-ny/282058733280852725/","49 Chambers")</f>
        <v>49 Chambers</v>
      </c>
      <c r="C540" s="1" t="s">
        <v>113</v>
      </c>
      <c r="D540" s="1" t="s">
        <v>41</v>
      </c>
      <c r="E540" s="3">
        <v>3900000</v>
      </c>
      <c r="F540" s="1">
        <v>2138.1578947368398</v>
      </c>
      <c r="G540" s="1">
        <v>5</v>
      </c>
      <c r="H540" s="1">
        <v>2</v>
      </c>
      <c r="I540" s="1">
        <v>2</v>
      </c>
      <c r="J540" s="1">
        <v>2</v>
      </c>
      <c r="K540" s="1">
        <v>2</v>
      </c>
      <c r="M540" s="4">
        <v>1824</v>
      </c>
      <c r="N540" s="1">
        <v>1536</v>
      </c>
      <c r="O540" s="1">
        <v>4864</v>
      </c>
      <c r="P540" s="1">
        <v>3328</v>
      </c>
      <c r="Q540" s="1" t="s">
        <v>42</v>
      </c>
      <c r="S540" s="1" t="s">
        <v>42</v>
      </c>
      <c r="T540" s="1" t="s">
        <v>228</v>
      </c>
      <c r="U540" s="1">
        <v>13</v>
      </c>
      <c r="V540" s="5">
        <v>44398</v>
      </c>
      <c r="W540" s="5">
        <v>44384</v>
      </c>
      <c r="X540" s="1">
        <v>3900000</v>
      </c>
      <c r="Z540" s="5">
        <v>44398</v>
      </c>
      <c r="AB540" s="1" t="s">
        <v>44</v>
      </c>
      <c r="AF540" s="1">
        <v>10007</v>
      </c>
      <c r="AI540" s="1" t="s">
        <v>114</v>
      </c>
      <c r="AJ540" s="1">
        <v>1910</v>
      </c>
      <c r="AK540" s="1" t="s">
        <v>49</v>
      </c>
      <c r="AL540" s="1">
        <v>99</v>
      </c>
    </row>
    <row r="541" spans="1:38" x14ac:dyDescent="0.2">
      <c r="A541" s="2" t="str">
        <f>HYPERLINK("https://www.compass.com/listing/15-west-61st-street-unit-6g-manhattan-ny-10023/820188368299449825/","15 W 61st St, Unit 6G")</f>
        <v>15 W 61st St, Unit 6G</v>
      </c>
      <c r="B541" s="2" t="str">
        <f>HYPERLINK("https://www.compass.com/building/the-park-loggia-manhattan-ny/292861833130357557/","The Park Loggia")</f>
        <v>The Park Loggia</v>
      </c>
      <c r="C541" s="1" t="s">
        <v>57</v>
      </c>
      <c r="D541" s="1" t="s">
        <v>41</v>
      </c>
      <c r="E541" s="3">
        <v>1640000</v>
      </c>
      <c r="F541" s="1">
        <v>2363.1123919308302</v>
      </c>
      <c r="G541" s="1">
        <v>3</v>
      </c>
      <c r="H541" s="1">
        <v>1</v>
      </c>
      <c r="I541" s="1">
        <v>1</v>
      </c>
      <c r="J541" s="1">
        <v>1</v>
      </c>
      <c r="K541" s="1">
        <v>1</v>
      </c>
      <c r="M541" s="1">
        <v>694</v>
      </c>
      <c r="N541" s="1">
        <v>705</v>
      </c>
      <c r="O541" s="1">
        <v>1415</v>
      </c>
      <c r="P541" s="1">
        <v>710</v>
      </c>
      <c r="Q541" s="1" t="s">
        <v>42</v>
      </c>
      <c r="S541" s="1" t="s">
        <v>42</v>
      </c>
      <c r="T541" s="1" t="s">
        <v>228</v>
      </c>
      <c r="U541" s="1">
        <v>27</v>
      </c>
      <c r="V541" s="5">
        <v>44425</v>
      </c>
      <c r="W541" s="5">
        <v>44383</v>
      </c>
      <c r="X541" s="1">
        <v>1640000</v>
      </c>
      <c r="Z541" s="5">
        <v>44411</v>
      </c>
      <c r="AB541" s="1" t="s">
        <v>44</v>
      </c>
      <c r="AF541" s="1">
        <v>10023</v>
      </c>
      <c r="AI541" s="1" t="s">
        <v>65</v>
      </c>
      <c r="AJ541" s="1">
        <v>2019</v>
      </c>
      <c r="AK541" s="1" t="s">
        <v>108</v>
      </c>
      <c r="AL541" s="1">
        <v>172</v>
      </c>
    </row>
    <row r="542" spans="1:38" x14ac:dyDescent="0.2">
      <c r="A542" s="2" t="str">
        <f>HYPERLINK("https://www.compass.com/listing/49-chambers-street-unit-16a-manhattan-ny-10007/830453424283646377/","49 Chambers St, Unit 16A")</f>
        <v>49 Chambers St, Unit 16A</v>
      </c>
      <c r="B542" s="2" t="str">
        <f>HYPERLINK("https://www.compass.com/building/49-chambers-manhattan-ny/282058733280852725/","49 Chambers")</f>
        <v>49 Chambers</v>
      </c>
      <c r="C542" s="1" t="s">
        <v>113</v>
      </c>
      <c r="D542" s="1" t="s">
        <v>41</v>
      </c>
      <c r="E542" s="3">
        <v>3950000</v>
      </c>
      <c r="F542" s="1">
        <v>2165.57017543859</v>
      </c>
      <c r="G542" s="1">
        <v>5</v>
      </c>
      <c r="H542" s="1">
        <v>2</v>
      </c>
      <c r="I542" s="1">
        <v>2</v>
      </c>
      <c r="J542" s="1">
        <v>2</v>
      </c>
      <c r="K542" s="1">
        <v>2</v>
      </c>
      <c r="M542" s="4">
        <v>1824</v>
      </c>
      <c r="N542" s="1">
        <v>1545</v>
      </c>
      <c r="O542" s="1">
        <v>4913</v>
      </c>
      <c r="P542" s="1">
        <v>3368</v>
      </c>
      <c r="Q542" s="1" t="s">
        <v>42</v>
      </c>
      <c r="S542" s="1" t="s">
        <v>42</v>
      </c>
      <c r="T542" s="1" t="s">
        <v>228</v>
      </c>
      <c r="U542" s="1">
        <v>19</v>
      </c>
      <c r="V542" s="5">
        <v>44398</v>
      </c>
      <c r="W542" s="5">
        <v>44378</v>
      </c>
      <c r="X542" s="1">
        <v>3950000</v>
      </c>
      <c r="Z542" s="5">
        <v>44398</v>
      </c>
      <c r="AB542" s="1" t="s">
        <v>44</v>
      </c>
      <c r="AF542" s="1">
        <v>10007</v>
      </c>
      <c r="AI542" s="1" t="s">
        <v>114</v>
      </c>
      <c r="AJ542" s="1">
        <v>1910</v>
      </c>
      <c r="AK542" s="1" t="s">
        <v>49</v>
      </c>
      <c r="AL542" s="1">
        <v>99</v>
      </c>
    </row>
    <row r="543" spans="1:38" x14ac:dyDescent="0.2">
      <c r="A543" s="2" t="str">
        <f>HYPERLINK("https://www.compass.com/listing/498-west-end-avenue-unit-12a-manhattan-ny-10024/386258623096495665/","498 W End Ave, Unit 12A")</f>
        <v>498 W End Ave, Unit 12A</v>
      </c>
      <c r="B543" s="2" t="str">
        <f>HYPERLINK("https://www.compass.com/building/498-w-end-ave-manhattan-ny-10024/281925430842268789/","498 W End Ave")</f>
        <v>498 W End Ave</v>
      </c>
      <c r="C543" s="1" t="s">
        <v>57</v>
      </c>
      <c r="D543" s="1" t="s">
        <v>41</v>
      </c>
      <c r="E543" s="3">
        <v>10950000</v>
      </c>
      <c r="F543" s="1">
        <v>2657.7669902912598</v>
      </c>
      <c r="G543" s="1">
        <v>8</v>
      </c>
      <c r="H543" s="1">
        <v>5</v>
      </c>
      <c r="I543" s="1">
        <v>6</v>
      </c>
      <c r="J543" s="1">
        <v>5.5</v>
      </c>
      <c r="K543" s="1">
        <v>5</v>
      </c>
      <c r="L543" s="1">
        <v>1</v>
      </c>
      <c r="M543" s="4">
        <v>4120</v>
      </c>
      <c r="N543" s="1">
        <v>4264</v>
      </c>
      <c r="O543" s="1">
        <v>9104</v>
      </c>
      <c r="P543" s="1">
        <v>4840</v>
      </c>
      <c r="Q543" s="1" t="s">
        <v>42</v>
      </c>
      <c r="S543" s="1" t="s">
        <v>42</v>
      </c>
      <c r="T543" s="1" t="s">
        <v>228</v>
      </c>
      <c r="U543" s="1">
        <v>523</v>
      </c>
      <c r="V543" s="5">
        <v>44419</v>
      </c>
      <c r="W543" s="5">
        <v>43784</v>
      </c>
      <c r="X543" s="1">
        <v>11750000</v>
      </c>
      <c r="Z543" s="5">
        <v>44402</v>
      </c>
      <c r="AB543" s="1" t="s">
        <v>44</v>
      </c>
      <c r="AF543" s="1">
        <v>10024</v>
      </c>
      <c r="AJ543" s="1">
        <v>1912</v>
      </c>
      <c r="AK543" s="1" t="s">
        <v>46</v>
      </c>
      <c r="AL543" s="1">
        <v>19</v>
      </c>
    </row>
    <row r="544" spans="1:38" x14ac:dyDescent="0.2">
      <c r="A544" s="2" t="str">
        <f>HYPERLINK("https://www.compass.com/listing/277-5th-avenue-unit-12d-manhattan-ny-10016/832304471416779929/","277 5th Ave, Unit 12D")</f>
        <v>277 5th Ave, Unit 12D</v>
      </c>
      <c r="B544" s="2" t="str">
        <f>HYPERLINK("https://www.compass.com/building/277-fifth-avenue-manhattan-ny/281939285475645317/","277 FIFTH AVENUE")</f>
        <v>277 FIFTH AVENUE</v>
      </c>
      <c r="C544" s="1" t="s">
        <v>40</v>
      </c>
      <c r="D544" s="1" t="s">
        <v>41</v>
      </c>
      <c r="E544" s="3">
        <v>3080000</v>
      </c>
      <c r="F544" s="1">
        <v>2243.2629278951199</v>
      </c>
      <c r="G544" s="1">
        <v>4</v>
      </c>
      <c r="H544" s="1">
        <v>2</v>
      </c>
      <c r="I544" s="1">
        <v>2</v>
      </c>
      <c r="J544" s="1">
        <v>2</v>
      </c>
      <c r="K544" s="1">
        <v>2</v>
      </c>
      <c r="M544" s="4">
        <v>1373</v>
      </c>
      <c r="N544" s="1">
        <v>1980</v>
      </c>
      <c r="O544" s="1">
        <v>3733</v>
      </c>
      <c r="P544" s="1">
        <v>1753</v>
      </c>
      <c r="Q544" s="1" t="s">
        <v>42</v>
      </c>
      <c r="S544" s="1" t="s">
        <v>42</v>
      </c>
      <c r="T544" s="1" t="s">
        <v>228</v>
      </c>
      <c r="V544" s="5">
        <v>44414</v>
      </c>
      <c r="W544" s="5">
        <v>44399</v>
      </c>
      <c r="X544" s="1">
        <v>3080000</v>
      </c>
      <c r="Z544" s="5">
        <v>44400</v>
      </c>
      <c r="AB544" s="1" t="s">
        <v>44</v>
      </c>
      <c r="AF544" s="1">
        <v>10016</v>
      </c>
      <c r="AI544" s="1" t="s">
        <v>118</v>
      </c>
      <c r="AJ544" s="1">
        <v>2019</v>
      </c>
      <c r="AK544" s="1" t="s">
        <v>49</v>
      </c>
      <c r="AL544" s="1">
        <v>130</v>
      </c>
    </row>
    <row r="545" spans="1:38" x14ac:dyDescent="0.2">
      <c r="A545" s="2" t="str">
        <f>HYPERLINK("https://www.compass.com/listing/221-west-77th-street-unit-12e-manhattan-ny-10024/428814347545464985/","221 W 77th St, Unit 12E")</f>
        <v>221 W 77th St, Unit 12E</v>
      </c>
      <c r="B545" s="2" t="str">
        <f>HYPERLINK("https://www.compass.com/building/221-west-77th-street-manhattan-ny/292869344491294229/","221 West 77th Street")</f>
        <v>221 West 77th Street</v>
      </c>
      <c r="C545" s="1" t="s">
        <v>57</v>
      </c>
      <c r="D545" s="1" t="s">
        <v>41</v>
      </c>
      <c r="E545" s="3">
        <v>4995000</v>
      </c>
      <c r="F545" s="1">
        <v>2416.5457184325101</v>
      </c>
      <c r="G545" s="1">
        <v>5</v>
      </c>
      <c r="H545" s="1">
        <v>3</v>
      </c>
      <c r="I545" s="1">
        <v>4</v>
      </c>
      <c r="J545" s="1">
        <v>3.5</v>
      </c>
      <c r="K545" s="1">
        <v>3</v>
      </c>
      <c r="L545" s="1">
        <v>1</v>
      </c>
      <c r="M545" s="4">
        <v>2067</v>
      </c>
      <c r="N545" s="1">
        <v>2380</v>
      </c>
      <c r="O545" s="1">
        <v>5352</v>
      </c>
      <c r="P545" s="1">
        <v>2972</v>
      </c>
      <c r="Q545" s="1" t="s">
        <v>42</v>
      </c>
      <c r="S545" s="1" t="s">
        <v>42</v>
      </c>
      <c r="T545" s="1" t="s">
        <v>228</v>
      </c>
      <c r="U545" s="1">
        <v>23</v>
      </c>
      <c r="V545" s="5">
        <v>44425</v>
      </c>
      <c r="W545" s="5">
        <v>44313</v>
      </c>
      <c r="X545" s="1">
        <v>4995000</v>
      </c>
      <c r="Z545" s="5">
        <v>44337</v>
      </c>
      <c r="AB545" s="1" t="s">
        <v>44</v>
      </c>
      <c r="AF545" s="1">
        <v>10024</v>
      </c>
      <c r="AI545" s="1" t="s">
        <v>236</v>
      </c>
      <c r="AJ545" s="1">
        <v>2017</v>
      </c>
      <c r="AK545" s="1" t="s">
        <v>108</v>
      </c>
      <c r="AL545" s="1">
        <v>26</v>
      </c>
    </row>
    <row r="546" spans="1:38" x14ac:dyDescent="0.2">
      <c r="A546" s="2" t="str">
        <f>HYPERLINK("https://www.compass.com/listing/527-west-27th-street-unit-6b-manhattan-ny-10001/830354371800637257/","527 W 27th St, Unit 6B")</f>
        <v>527 W 27th St, Unit 6B</v>
      </c>
      <c r="B546" s="2" t="str">
        <f>HYPERLINK("https://www.compass.com/building/jardim-manhattan-ny/282062246220171157/","Jardim")</f>
        <v>Jardim</v>
      </c>
      <c r="C546" s="1" t="s">
        <v>62</v>
      </c>
      <c r="D546" s="1" t="s">
        <v>41</v>
      </c>
      <c r="E546" s="3">
        <v>3395000</v>
      </c>
      <c r="F546" s="1">
        <v>2205.9779077322901</v>
      </c>
      <c r="G546" s="1">
        <v>5.5</v>
      </c>
      <c r="H546" s="1">
        <v>2</v>
      </c>
      <c r="I546" s="1">
        <v>3</v>
      </c>
      <c r="J546" s="1">
        <v>2.5</v>
      </c>
      <c r="K546" s="1">
        <v>2</v>
      </c>
      <c r="L546" s="1">
        <v>1</v>
      </c>
      <c r="M546" s="4">
        <v>1539</v>
      </c>
      <c r="N546" s="1">
        <v>1666</v>
      </c>
      <c r="O546" s="1">
        <v>4222</v>
      </c>
      <c r="P546" s="1">
        <v>2556</v>
      </c>
      <c r="Q546" s="1" t="s">
        <v>42</v>
      </c>
      <c r="S546" s="1" t="s">
        <v>42</v>
      </c>
      <c r="T546" s="1" t="s">
        <v>228</v>
      </c>
      <c r="U546" s="1">
        <v>18</v>
      </c>
      <c r="V546" s="5">
        <v>44405</v>
      </c>
      <c r="W546" s="5">
        <v>44379</v>
      </c>
      <c r="X546" s="1">
        <v>3395000</v>
      </c>
      <c r="Z546" s="5">
        <v>44398</v>
      </c>
      <c r="AB546" s="1" t="s">
        <v>44</v>
      </c>
      <c r="AF546" s="1">
        <v>10001</v>
      </c>
      <c r="AI546" s="1" t="s">
        <v>178</v>
      </c>
      <c r="AJ546" s="1">
        <v>2017</v>
      </c>
      <c r="AK546" s="1" t="s">
        <v>46</v>
      </c>
      <c r="AL546" s="1">
        <v>36</v>
      </c>
    </row>
    <row r="547" spans="1:38" x14ac:dyDescent="0.2">
      <c r="A547" s="2" t="str">
        <f>HYPERLINK("https://www.compass.com/listing/207-west-79th-street-unit-thb-manhattan-ny-10024/786153799982095041/","207 W 79th St, Unit THB")</f>
        <v>207 W 79th St, Unit THB</v>
      </c>
      <c r="B547" s="2" t="str">
        <f>HYPERLINK("https://www.compass.com/building/207-west-79th-street-manhattan-ny/292869088261262661/","207 West 79th Street")</f>
        <v>207 West 79th Street</v>
      </c>
      <c r="C547" s="1" t="s">
        <v>57</v>
      </c>
      <c r="D547" s="1" t="s">
        <v>41</v>
      </c>
      <c r="E547" s="3">
        <v>12995000</v>
      </c>
      <c r="F547" s="1">
        <v>3169.5121951219498</v>
      </c>
      <c r="G547" s="1">
        <v>8</v>
      </c>
      <c r="H547" s="1">
        <v>6</v>
      </c>
      <c r="I547" s="1">
        <v>8</v>
      </c>
      <c r="J547" s="1">
        <v>8</v>
      </c>
      <c r="K547" s="1">
        <v>8</v>
      </c>
      <c r="M547" s="4">
        <v>4100</v>
      </c>
      <c r="N547" s="1">
        <v>5765</v>
      </c>
      <c r="O547" s="1">
        <v>12768</v>
      </c>
      <c r="P547" s="1">
        <v>7003</v>
      </c>
      <c r="Q547" s="1" t="s">
        <v>42</v>
      </c>
      <c r="S547" s="1" t="s">
        <v>42</v>
      </c>
      <c r="T547" s="1" t="s">
        <v>228</v>
      </c>
      <c r="U547" s="1">
        <v>65</v>
      </c>
      <c r="V547" s="5">
        <v>44409</v>
      </c>
      <c r="W547" s="5">
        <v>44336</v>
      </c>
      <c r="X547" s="1">
        <v>12995000</v>
      </c>
      <c r="Z547" s="5">
        <v>44402</v>
      </c>
      <c r="AB547" s="1" t="s">
        <v>44</v>
      </c>
      <c r="AF547" s="1">
        <v>10024</v>
      </c>
      <c r="AI547" s="1" t="s">
        <v>237</v>
      </c>
      <c r="AJ547" s="1">
        <v>2017</v>
      </c>
      <c r="AK547" s="1" t="s">
        <v>49</v>
      </c>
      <c r="AL547" s="1">
        <v>19</v>
      </c>
    </row>
    <row r="548" spans="1:38" x14ac:dyDescent="0.2">
      <c r="A548" s="2" t="str">
        <f>HYPERLINK("https://www.compass.com/listing/15-west-61st-street-unit-28a-manhattan-ny-10023/826184342074626553/","15 W 61st St, Unit 28A")</f>
        <v>15 W 61st St, Unit 28A</v>
      </c>
      <c r="B548" s="2" t="str">
        <f>HYPERLINK("https://www.compass.com/building/the-park-loggia-manhattan-ny/292861833130357557/","The Park Loggia")</f>
        <v>The Park Loggia</v>
      </c>
      <c r="C548" s="1" t="s">
        <v>57</v>
      </c>
      <c r="D548" s="1" t="s">
        <v>41</v>
      </c>
      <c r="E548" s="3">
        <v>7125000</v>
      </c>
      <c r="F548" s="1">
        <v>3718.6847599164898</v>
      </c>
      <c r="G548" s="1">
        <v>6</v>
      </c>
      <c r="H548" s="1">
        <v>3</v>
      </c>
      <c r="I548" s="1">
        <v>3</v>
      </c>
      <c r="J548" s="1">
        <v>2.5</v>
      </c>
      <c r="K548" s="1">
        <v>2</v>
      </c>
      <c r="L548" s="1">
        <v>1</v>
      </c>
      <c r="M548" s="4">
        <v>1916</v>
      </c>
      <c r="N548" s="1">
        <v>2038</v>
      </c>
      <c r="O548" s="1">
        <v>4087</v>
      </c>
      <c r="P548" s="1">
        <v>2049</v>
      </c>
      <c r="Q548" s="1" t="s">
        <v>42</v>
      </c>
      <c r="S548" s="1" t="s">
        <v>42</v>
      </c>
      <c r="T548" s="1" t="s">
        <v>228</v>
      </c>
      <c r="U548" s="1">
        <v>8</v>
      </c>
      <c r="V548" s="5">
        <v>44424</v>
      </c>
      <c r="W548" s="5">
        <v>44383</v>
      </c>
      <c r="X548" s="1">
        <v>7125000</v>
      </c>
      <c r="Z548" s="5">
        <v>44392</v>
      </c>
      <c r="AB548" s="1" t="s">
        <v>44</v>
      </c>
      <c r="AF548" s="1">
        <v>10023</v>
      </c>
      <c r="AI548" s="1" t="s">
        <v>159</v>
      </c>
      <c r="AJ548" s="1">
        <v>2019</v>
      </c>
      <c r="AK548" s="1" t="s">
        <v>108</v>
      </c>
      <c r="AL548" s="1">
        <v>172</v>
      </c>
    </row>
    <row r="549" spans="1:38" x14ac:dyDescent="0.2">
      <c r="A549" s="2" t="str">
        <f>HYPERLINK("https://www.compass.com/listing/456-west-167th-street-unit-6h-manhattan-ny-10032/836294659498346553/","456 W 167th St, Unit 6H")</f>
        <v>456 W 167th St, Unit 6H</v>
      </c>
      <c r="B549" s="2" t="str">
        <f>HYPERLINK("https://www.compass.com/building/edgecombe-parc-manhattan-ny/282005897969005013/","Edgecombe Parc")</f>
        <v>Edgecombe Parc</v>
      </c>
      <c r="C549" s="1" t="s">
        <v>93</v>
      </c>
      <c r="D549" s="1" t="s">
        <v>41</v>
      </c>
      <c r="E549" s="3">
        <v>499999</v>
      </c>
      <c r="F549" s="1">
        <v>990.09702970296996</v>
      </c>
      <c r="G549" s="1">
        <v>3</v>
      </c>
      <c r="H549" s="1">
        <v>1</v>
      </c>
      <c r="I549" s="1">
        <v>1</v>
      </c>
      <c r="J549" s="1">
        <v>1</v>
      </c>
      <c r="K549" s="1">
        <v>1</v>
      </c>
      <c r="M549" s="1">
        <v>505</v>
      </c>
      <c r="N549" s="1">
        <v>443</v>
      </c>
      <c r="O549" s="1">
        <v>943</v>
      </c>
      <c r="P549" s="1">
        <v>500</v>
      </c>
      <c r="Q549" s="1" t="s">
        <v>42</v>
      </c>
      <c r="S549" s="1" t="s">
        <v>42</v>
      </c>
      <c r="T549" s="1" t="s">
        <v>228</v>
      </c>
      <c r="U549" s="1">
        <v>15</v>
      </c>
      <c r="V549" s="5">
        <v>44426</v>
      </c>
      <c r="W549" s="5">
        <v>44410</v>
      </c>
      <c r="X549" s="1">
        <v>499000</v>
      </c>
      <c r="Z549" s="5">
        <v>44426</v>
      </c>
      <c r="AB549" s="1" t="s">
        <v>44</v>
      </c>
      <c r="AF549" s="1">
        <v>10032</v>
      </c>
      <c r="AI549" s="1" t="s">
        <v>238</v>
      </c>
      <c r="AJ549" s="1">
        <v>2014</v>
      </c>
      <c r="AK549" s="1" t="s">
        <v>115</v>
      </c>
      <c r="AL549" s="1">
        <v>49</v>
      </c>
    </row>
    <row r="550" spans="1:38" x14ac:dyDescent="0.2">
      <c r="A550" s="2" t="str">
        <f>HYPERLINK("https://www.compass.com/listing/505-513-west-43rd-street-unit-11a-manhattan-ny-10036/831154950254077265/","505-513 W 43rd St, Unit 11A")</f>
        <v>505-513 W 43rd St, Unit 11A</v>
      </c>
      <c r="B550" s="2" t="str">
        <f>HYPERLINK("https://www.compass.com/building/charlie-west-manhattan-ny/292918554372621509/","Charlie West")</f>
        <v>Charlie West</v>
      </c>
      <c r="C550" s="1" t="s">
        <v>90</v>
      </c>
      <c r="D550" s="1" t="s">
        <v>41</v>
      </c>
      <c r="E550" s="3">
        <v>2095000</v>
      </c>
      <c r="F550" s="1">
        <v>1798.28326180257</v>
      </c>
      <c r="G550" s="1">
        <v>5</v>
      </c>
      <c r="H550" s="1">
        <v>2</v>
      </c>
      <c r="I550" s="1">
        <v>2</v>
      </c>
      <c r="J550" s="1">
        <v>2</v>
      </c>
      <c r="K550" s="1">
        <v>2</v>
      </c>
      <c r="M550" s="4">
        <v>1165</v>
      </c>
      <c r="N550" s="1">
        <v>1250</v>
      </c>
      <c r="O550" s="1">
        <v>3763</v>
      </c>
      <c r="P550" s="1">
        <v>2513</v>
      </c>
      <c r="Q550" s="1" t="s">
        <v>42</v>
      </c>
      <c r="S550" s="1" t="s">
        <v>42</v>
      </c>
      <c r="T550" s="1" t="s">
        <v>228</v>
      </c>
      <c r="U550" s="1">
        <v>1</v>
      </c>
      <c r="V550" s="5">
        <v>44413</v>
      </c>
      <c r="W550" s="5">
        <v>44397</v>
      </c>
      <c r="X550" s="1">
        <v>2095000</v>
      </c>
      <c r="Z550" s="5">
        <v>44399</v>
      </c>
      <c r="AB550" s="1" t="s">
        <v>44</v>
      </c>
      <c r="AF550" s="1">
        <v>10036</v>
      </c>
      <c r="AI550" s="1" t="s">
        <v>118</v>
      </c>
      <c r="AJ550" s="1">
        <v>2019</v>
      </c>
      <c r="AK550" s="1" t="s">
        <v>46</v>
      </c>
      <c r="AL550" s="1">
        <v>123</v>
      </c>
    </row>
    <row r="551" spans="1:38" x14ac:dyDescent="0.2">
      <c r="A551" s="2" t="str">
        <f>HYPERLINK("https://www.compass.com/listing/565-broome-street-unit-s18a-manhattan-ny-10013/810885497397440457/","565 Broome St, Unit S18A")</f>
        <v>565 Broome St, Unit S18A</v>
      </c>
      <c r="B551" s="2" t="str">
        <f>HYPERLINK("https://www.compass.com/building/565-broome-soho-manhattan-ny/292813251698267109/","565 Broome Soho")</f>
        <v>565 Broome Soho</v>
      </c>
      <c r="C551" s="1" t="s">
        <v>53</v>
      </c>
      <c r="D551" s="1" t="s">
        <v>41</v>
      </c>
      <c r="E551" s="3">
        <v>5190000</v>
      </c>
      <c r="F551" s="1">
        <v>2549.1159135559901</v>
      </c>
      <c r="G551" s="1">
        <v>4</v>
      </c>
      <c r="H551" s="1">
        <v>2</v>
      </c>
      <c r="I551" s="1">
        <v>3</v>
      </c>
      <c r="J551" s="1">
        <v>2.5</v>
      </c>
      <c r="K551" s="1">
        <v>2</v>
      </c>
      <c r="L551" s="1">
        <v>1</v>
      </c>
      <c r="M551" s="4">
        <v>2036</v>
      </c>
      <c r="N551" s="1">
        <v>3230</v>
      </c>
      <c r="O551" s="1">
        <v>6299</v>
      </c>
      <c r="P551" s="1">
        <v>3069</v>
      </c>
      <c r="Q551" s="1" t="s">
        <v>42</v>
      </c>
      <c r="S551" s="1" t="s">
        <v>42</v>
      </c>
      <c r="T551" s="1" t="s">
        <v>228</v>
      </c>
      <c r="U551" s="1">
        <v>49</v>
      </c>
      <c r="V551" s="5">
        <v>44419</v>
      </c>
      <c r="W551" s="5">
        <v>44370</v>
      </c>
      <c r="X551" s="1">
        <v>5190000</v>
      </c>
      <c r="Z551" s="5">
        <v>44419</v>
      </c>
      <c r="AB551" s="1" t="s">
        <v>44</v>
      </c>
      <c r="AF551" s="1">
        <v>10013</v>
      </c>
      <c r="AI551" s="1" t="s">
        <v>48</v>
      </c>
      <c r="AJ551" s="1">
        <v>2019</v>
      </c>
      <c r="AK551" s="1" t="s">
        <v>46</v>
      </c>
      <c r="AL551" s="1">
        <v>115</v>
      </c>
    </row>
    <row r="552" spans="1:38" x14ac:dyDescent="0.2">
      <c r="A552" s="2" t="str">
        <f>HYPERLINK("https://www.compass.com/listing/49-chambers-street-unit-7e-manhattan-ny-10007/828180652099729953/","49 Chambers St, Unit 7E")</f>
        <v>49 Chambers St, Unit 7E</v>
      </c>
      <c r="B552" s="2" t="str">
        <f>HYPERLINK("https://www.compass.com/building/49-chambers-manhattan-ny/282058733280852725/","49 Chambers")</f>
        <v>49 Chambers</v>
      </c>
      <c r="C552" s="1" t="s">
        <v>113</v>
      </c>
      <c r="D552" s="1" t="s">
        <v>41</v>
      </c>
      <c r="E552" s="3">
        <v>4995000</v>
      </c>
      <c r="F552" s="1">
        <v>1678.99159663865</v>
      </c>
      <c r="G552" s="1">
        <v>8</v>
      </c>
      <c r="H552" s="1">
        <v>3</v>
      </c>
      <c r="I552" s="1">
        <v>4</v>
      </c>
      <c r="J552" s="1">
        <v>3.5</v>
      </c>
      <c r="K552" s="1">
        <v>3</v>
      </c>
      <c r="L552" s="1">
        <v>1</v>
      </c>
      <c r="M552" s="4">
        <v>2975</v>
      </c>
      <c r="N552" s="1">
        <v>2194</v>
      </c>
      <c r="O552" s="1">
        <v>6365</v>
      </c>
      <c r="P552" s="1">
        <v>4171</v>
      </c>
      <c r="Q552" s="1" t="s">
        <v>42</v>
      </c>
      <c r="S552" s="1" t="s">
        <v>42</v>
      </c>
      <c r="T552" s="1" t="s">
        <v>228</v>
      </c>
      <c r="U552" s="1">
        <v>45</v>
      </c>
      <c r="V552" s="5">
        <v>44400</v>
      </c>
      <c r="W552" s="5">
        <v>44355</v>
      </c>
      <c r="X552" s="1">
        <v>4995000</v>
      </c>
      <c r="Z552" s="5">
        <v>44400</v>
      </c>
      <c r="AB552" s="1" t="s">
        <v>44</v>
      </c>
      <c r="AF552" s="1">
        <v>10007</v>
      </c>
      <c r="AI552" s="1" t="s">
        <v>114</v>
      </c>
      <c r="AJ552" s="1">
        <v>1910</v>
      </c>
      <c r="AK552" s="1" t="s">
        <v>49</v>
      </c>
      <c r="AL552" s="1">
        <v>99</v>
      </c>
    </row>
    <row r="553" spans="1:38" x14ac:dyDescent="0.2">
      <c r="A553" s="2" t="str">
        <f>HYPERLINK("https://www.compass.com/listing/108-leonard-street-unit-3g-manhattan-ny-10013/850910244175362345/","108 Leonard St, Unit 3G")</f>
        <v>108 Leonard St, Unit 3G</v>
      </c>
      <c r="B553" s="2" t="str">
        <f>HYPERLINK("https://www.compass.com/building/108-leonard-st-manhattan-ny-10013/307456049610778277/","108 Leonard St")</f>
        <v>108 Leonard St</v>
      </c>
      <c r="C553" s="1" t="s">
        <v>113</v>
      </c>
      <c r="D553" s="1" t="s">
        <v>41</v>
      </c>
      <c r="E553" s="3">
        <v>3990000</v>
      </c>
      <c r="F553" s="1">
        <v>2107.76545166402</v>
      </c>
      <c r="G553" s="1">
        <v>6</v>
      </c>
      <c r="H553" s="1">
        <v>3</v>
      </c>
      <c r="I553" s="1">
        <v>3</v>
      </c>
      <c r="J553" s="1">
        <v>3</v>
      </c>
      <c r="K553" s="1">
        <v>3</v>
      </c>
      <c r="M553" s="4">
        <v>1893</v>
      </c>
      <c r="N553" s="1">
        <v>2243</v>
      </c>
      <c r="O553" s="1">
        <v>5279</v>
      </c>
      <c r="P553" s="1">
        <v>3036</v>
      </c>
      <c r="Q553" s="1" t="s">
        <v>42</v>
      </c>
      <c r="S553" s="1" t="s">
        <v>42</v>
      </c>
      <c r="T553" s="1" t="s">
        <v>228</v>
      </c>
      <c r="V553" s="5">
        <v>44426</v>
      </c>
      <c r="Z553" s="5">
        <v>44426</v>
      </c>
      <c r="AB553" s="1" t="s">
        <v>44</v>
      </c>
      <c r="AF553" s="1">
        <v>10013</v>
      </c>
      <c r="AI553" s="1" t="s">
        <v>78</v>
      </c>
      <c r="AJ553" s="1">
        <v>1899</v>
      </c>
      <c r="AK553" s="1" t="s">
        <v>239</v>
      </c>
      <c r="AL553" s="1">
        <v>167</v>
      </c>
    </row>
    <row r="554" spans="1:38" x14ac:dyDescent="0.2">
      <c r="A554" s="2" t="str">
        <f>HYPERLINK("https://www.compass.com/listing/77-charlton-street-unit-s8e-manhattan-ny-10014/811720593223357289/","77 Charlton St, Unit S8E")</f>
        <v>77 Charlton St, Unit S8E</v>
      </c>
      <c r="B554" s="2" t="str">
        <f>HYPERLINK("https://www.compass.com/building/77-charlton-st-manhattan-ny-10014/282058735872933093/","77 Charlton St")</f>
        <v>77 Charlton St</v>
      </c>
      <c r="C554" s="1" t="s">
        <v>53</v>
      </c>
      <c r="D554" s="1" t="s">
        <v>41</v>
      </c>
      <c r="E554" s="3">
        <v>1070000</v>
      </c>
      <c r="F554" s="1">
        <v>1877.19298245614</v>
      </c>
      <c r="G554" s="1">
        <v>1</v>
      </c>
      <c r="H554" s="1" t="s">
        <v>99</v>
      </c>
      <c r="I554" s="1">
        <v>1</v>
      </c>
      <c r="J554" s="1">
        <v>1</v>
      </c>
      <c r="K554" s="1">
        <v>1</v>
      </c>
      <c r="M554" s="1">
        <v>570</v>
      </c>
      <c r="N554" s="1">
        <v>674</v>
      </c>
      <c r="O554" s="1">
        <v>1637</v>
      </c>
      <c r="P554" s="1">
        <v>963</v>
      </c>
      <c r="Q554" s="1" t="s">
        <v>42</v>
      </c>
      <c r="S554" s="1" t="s">
        <v>42</v>
      </c>
      <c r="T554" s="1" t="s">
        <v>228</v>
      </c>
      <c r="U554" s="1">
        <v>32</v>
      </c>
      <c r="V554" s="5">
        <v>44405</v>
      </c>
      <c r="W554" s="5">
        <v>44372</v>
      </c>
      <c r="X554" s="1">
        <v>1070000</v>
      </c>
      <c r="Z554" s="5">
        <v>44404</v>
      </c>
      <c r="AB554" s="1" t="s">
        <v>44</v>
      </c>
      <c r="AF554" s="1">
        <v>10014</v>
      </c>
      <c r="AI554" s="1" t="s">
        <v>238</v>
      </c>
      <c r="AJ554" s="1">
        <v>2019</v>
      </c>
      <c r="AK554" s="1" t="s">
        <v>46</v>
      </c>
      <c r="AL554" s="1">
        <v>161</v>
      </c>
    </row>
    <row r="555" spans="1:38" x14ac:dyDescent="0.2">
      <c r="A555" s="2" t="str">
        <f>HYPERLINK("https://www.compass.com/listing/180-east-88th-street-unit-30b-manhattan-ny-10128/822091104583740273/","180 E 88th St, Unit 30B")</f>
        <v>180 E 88th St, Unit 30B</v>
      </c>
      <c r="B555" s="2" t="str">
        <f>HYPERLINK("https://www.compass.com/building/180-e-88th-st-manhattan-ny-10128/282058835781256373/","180 E 88th St")</f>
        <v>180 E 88th St</v>
      </c>
      <c r="C555" s="1" t="s">
        <v>82</v>
      </c>
      <c r="D555" s="1" t="s">
        <v>41</v>
      </c>
      <c r="E555" s="3">
        <v>7475000</v>
      </c>
      <c r="F555" s="1">
        <v>3130.2345058626402</v>
      </c>
      <c r="G555" s="1">
        <v>7.5</v>
      </c>
      <c r="H555" s="1">
        <v>4</v>
      </c>
      <c r="I555" s="1">
        <v>4</v>
      </c>
      <c r="J555" s="1">
        <v>3.5</v>
      </c>
      <c r="K555" s="1">
        <v>3</v>
      </c>
      <c r="L555" s="1">
        <v>1</v>
      </c>
      <c r="M555" s="4">
        <v>2388</v>
      </c>
      <c r="N555" s="1">
        <v>3892</v>
      </c>
      <c r="O555" s="1">
        <v>7506</v>
      </c>
      <c r="P555" s="1">
        <v>3614</v>
      </c>
      <c r="Q555" s="1" t="s">
        <v>42</v>
      </c>
      <c r="S555" s="1" t="s">
        <v>42</v>
      </c>
      <c r="T555" s="1" t="s">
        <v>228</v>
      </c>
      <c r="U555" s="1">
        <v>14</v>
      </c>
      <c r="V555" s="5">
        <v>44414</v>
      </c>
      <c r="W555" s="5">
        <v>44385</v>
      </c>
      <c r="X555" s="1">
        <v>7475000</v>
      </c>
      <c r="Z555" s="5">
        <v>44400</v>
      </c>
      <c r="AB555" s="1" t="s">
        <v>44</v>
      </c>
      <c r="AF555" s="1">
        <v>10128</v>
      </c>
      <c r="AJ555" s="1">
        <v>2019</v>
      </c>
      <c r="AK555" s="1" t="s">
        <v>49</v>
      </c>
      <c r="AL555" s="1">
        <v>48</v>
      </c>
    </row>
    <row r="556" spans="1:38" x14ac:dyDescent="0.2">
      <c r="A556" s="2" t="str">
        <f>HYPERLINK("https://www.compass.com/listing/15-east-30th-street-unit-26d-manhattan-ny-10016/825360129092439145/","15 E 30th St, Unit 26D")</f>
        <v>15 E 30th St, Unit 26D</v>
      </c>
      <c r="B556" s="2" t="str">
        <f>HYPERLINK("https://www.compass.com/building/madison-house-manhattan-ny/281937618113974565/","Madison House")</f>
        <v>Madison House</v>
      </c>
      <c r="C556" s="1" t="s">
        <v>40</v>
      </c>
      <c r="D556" s="1" t="s">
        <v>41</v>
      </c>
      <c r="E556" s="3">
        <v>3825000</v>
      </c>
      <c r="F556" s="1">
        <v>2358.1997533908698</v>
      </c>
      <c r="G556" s="1">
        <v>5</v>
      </c>
      <c r="H556" s="1">
        <v>2</v>
      </c>
      <c r="I556" s="1">
        <v>3</v>
      </c>
      <c r="J556" s="1">
        <v>2.5</v>
      </c>
      <c r="K556" s="1">
        <v>2</v>
      </c>
      <c r="L556" s="1">
        <v>1</v>
      </c>
      <c r="M556" s="4">
        <v>1622</v>
      </c>
      <c r="N556" s="1">
        <v>2265</v>
      </c>
      <c r="O556" s="1">
        <v>4986</v>
      </c>
      <c r="P556" s="1">
        <v>2721</v>
      </c>
      <c r="Q556" s="1" t="s">
        <v>42</v>
      </c>
      <c r="S556" s="1" t="s">
        <v>42</v>
      </c>
      <c r="T556" s="1" t="s">
        <v>228</v>
      </c>
      <c r="V556" s="5">
        <v>44391</v>
      </c>
      <c r="W556" s="5">
        <v>44390</v>
      </c>
      <c r="X556" s="1">
        <v>3825000</v>
      </c>
      <c r="Z556" s="5">
        <v>44391</v>
      </c>
      <c r="AB556" s="1" t="s">
        <v>44</v>
      </c>
      <c r="AF556" s="1">
        <v>10016</v>
      </c>
      <c r="AJ556" s="1">
        <v>2019</v>
      </c>
      <c r="AK556" s="1" t="s">
        <v>46</v>
      </c>
      <c r="AL556" s="1">
        <v>199</v>
      </c>
    </row>
    <row r="557" spans="1:38" x14ac:dyDescent="0.2">
      <c r="A557" s="2" t="str">
        <f>HYPERLINK("https://www.compass.com/listing/108-leonard-street-unit-7f-manhattan-ny-10013/363776533874104241/","108 Leonard St, Unit 7F")</f>
        <v>108 Leonard St, Unit 7F</v>
      </c>
      <c r="B557" s="2" t="str">
        <f>HYPERLINK("https://www.compass.com/building/108-leonard-st-manhattan-ny-10013/307456049610778277/","108 Leonard St")</f>
        <v>108 Leonard St</v>
      </c>
      <c r="C557" s="1" t="s">
        <v>50</v>
      </c>
      <c r="D557" s="1" t="s">
        <v>41</v>
      </c>
      <c r="E557" s="3">
        <v>3480000</v>
      </c>
      <c r="F557" s="1">
        <v>2265.625</v>
      </c>
      <c r="G557" s="1">
        <v>4</v>
      </c>
      <c r="H557" s="1">
        <v>2</v>
      </c>
      <c r="I557" s="1">
        <v>3</v>
      </c>
      <c r="J557" s="1">
        <v>2.5</v>
      </c>
      <c r="K557" s="1">
        <v>2</v>
      </c>
      <c r="L557" s="1">
        <v>1</v>
      </c>
      <c r="M557" s="4">
        <v>1536</v>
      </c>
      <c r="N557" s="1">
        <v>1821</v>
      </c>
      <c r="O557" s="1">
        <v>4285</v>
      </c>
      <c r="P557" s="1">
        <v>2464</v>
      </c>
      <c r="Q557" s="1" t="s">
        <v>42</v>
      </c>
      <c r="S557" s="1" t="s">
        <v>42</v>
      </c>
      <c r="T557" s="1" t="s">
        <v>228</v>
      </c>
      <c r="U557" s="1">
        <v>543</v>
      </c>
      <c r="V557" s="5">
        <v>44427</v>
      </c>
      <c r="W557" s="5">
        <v>43753</v>
      </c>
      <c r="X557" s="1">
        <v>3410000</v>
      </c>
      <c r="Z557" s="5">
        <v>44391</v>
      </c>
      <c r="AB557" s="1" t="s">
        <v>44</v>
      </c>
      <c r="AF557" s="1">
        <v>10013</v>
      </c>
      <c r="AI557" s="1" t="s">
        <v>78</v>
      </c>
      <c r="AJ557" s="1">
        <v>1899</v>
      </c>
      <c r="AK557" s="1" t="s">
        <v>115</v>
      </c>
      <c r="AL557" s="1">
        <v>167</v>
      </c>
    </row>
    <row r="558" spans="1:38" x14ac:dyDescent="0.2">
      <c r="A558" s="2" t="str">
        <f>HYPERLINK("https://www.compass.com/listing/100-franklin-street-unit-2n-manhattan-ny-10013/586827268436113257/","100 Franklin St, Unit 2N")</f>
        <v>100 Franklin St, Unit 2N</v>
      </c>
      <c r="B558" s="2" t="str">
        <f>HYPERLINK("https://www.compass.com/building/100-franklin-st-manhattan-ny-10013/282059575178329957/","100 Franklin St")</f>
        <v>100 Franklin St</v>
      </c>
      <c r="C558" s="1" t="s">
        <v>50</v>
      </c>
      <c r="D558" s="1" t="s">
        <v>41</v>
      </c>
      <c r="E558" s="3">
        <v>3945000</v>
      </c>
      <c r="F558" s="1">
        <v>2098.4042553191398</v>
      </c>
      <c r="G558" s="1">
        <v>5.5</v>
      </c>
      <c r="H558" s="1">
        <v>3</v>
      </c>
      <c r="I558" s="1">
        <v>3</v>
      </c>
      <c r="J558" s="1">
        <v>2.5</v>
      </c>
      <c r="K558" s="1">
        <v>2</v>
      </c>
      <c r="L558" s="1">
        <v>1</v>
      </c>
      <c r="M558" s="4">
        <v>1880</v>
      </c>
      <c r="N558" s="1">
        <v>2461</v>
      </c>
      <c r="O558" s="1">
        <v>5703</v>
      </c>
      <c r="P558" s="1">
        <v>3242</v>
      </c>
      <c r="Q558" s="1" t="s">
        <v>42</v>
      </c>
      <c r="S558" s="1" t="s">
        <v>42</v>
      </c>
      <c r="T558" s="1" t="s">
        <v>228</v>
      </c>
      <c r="U558" s="1">
        <v>27</v>
      </c>
      <c r="V558" s="5">
        <v>44427</v>
      </c>
      <c r="W558" s="5">
        <v>44056</v>
      </c>
      <c r="X558" s="1">
        <v>3945000</v>
      </c>
      <c r="Z558" s="5">
        <v>44084</v>
      </c>
      <c r="AB558" s="1" t="s">
        <v>44</v>
      </c>
      <c r="AF558" s="1">
        <v>10013</v>
      </c>
      <c r="AI558" s="1" t="s">
        <v>52</v>
      </c>
      <c r="AJ558" s="1">
        <v>2019</v>
      </c>
      <c r="AK558" s="1" t="s">
        <v>136</v>
      </c>
      <c r="AL558" s="1">
        <v>10</v>
      </c>
    </row>
    <row r="559" spans="1:38" x14ac:dyDescent="0.2">
      <c r="A559" s="2" t="str">
        <f>HYPERLINK("https://www.compass.com/listing/565-broome-street-unit-n26a-manhattan-ny-10013/805864601145364105/","565 Broome St, Unit N26A")</f>
        <v>565 Broome St, Unit N26A</v>
      </c>
      <c r="B559" s="2" t="str">
        <f>HYPERLINK("https://www.compass.com/building/565-broome-soho-manhattan-ny/292813251698267109/","565 Broome Soho")</f>
        <v>565 Broome Soho</v>
      </c>
      <c r="C559" s="1" t="s">
        <v>53</v>
      </c>
      <c r="D559" s="1" t="s">
        <v>41</v>
      </c>
      <c r="E559" s="3">
        <v>7800000</v>
      </c>
      <c r="F559" s="1">
        <v>3475.9358288769999</v>
      </c>
      <c r="G559" s="1">
        <v>5</v>
      </c>
      <c r="H559" s="1">
        <v>3</v>
      </c>
      <c r="I559" s="1">
        <v>4</v>
      </c>
      <c r="J559" s="1">
        <v>3.5</v>
      </c>
      <c r="K559" s="1">
        <v>3</v>
      </c>
      <c r="L559" s="1">
        <v>1</v>
      </c>
      <c r="M559" s="4">
        <v>2244</v>
      </c>
      <c r="N559" s="1">
        <v>3553</v>
      </c>
      <c r="O559" s="1">
        <v>7472</v>
      </c>
      <c r="P559" s="1">
        <v>3919</v>
      </c>
      <c r="Q559" s="1" t="s">
        <v>42</v>
      </c>
      <c r="S559" s="1" t="s">
        <v>42</v>
      </c>
      <c r="T559" s="1" t="s">
        <v>228</v>
      </c>
      <c r="V559" s="5">
        <v>44427</v>
      </c>
      <c r="W559" s="5">
        <v>44363</v>
      </c>
      <c r="X559" s="1">
        <v>1</v>
      </c>
      <c r="Z559" s="5">
        <v>44364</v>
      </c>
      <c r="AB559" s="1" t="s">
        <v>44</v>
      </c>
      <c r="AF559" s="1">
        <v>10013</v>
      </c>
      <c r="AI559" s="1" t="s">
        <v>48</v>
      </c>
      <c r="AJ559" s="1">
        <v>2019</v>
      </c>
      <c r="AK559" s="1" t="s">
        <v>46</v>
      </c>
      <c r="AL559" s="1">
        <v>115</v>
      </c>
    </row>
    <row r="560" spans="1:38" x14ac:dyDescent="0.2">
      <c r="A560" s="2" t="str">
        <f>HYPERLINK("https://www.compass.com/listing/100-franklin-street-unit-4s-manhattan-ny-10013/784058581450985665/","100 Franklin St, Unit 4S")</f>
        <v>100 Franklin St, Unit 4S</v>
      </c>
      <c r="B560" s="2" t="str">
        <f>HYPERLINK("https://www.compass.com/building/100-franklin-st-manhattan-ny-10013/282059575178329957/","100 Franklin St")</f>
        <v>100 Franklin St</v>
      </c>
      <c r="C560" s="1" t="s">
        <v>50</v>
      </c>
      <c r="D560" s="1" t="s">
        <v>41</v>
      </c>
      <c r="E560" s="3">
        <v>2300000</v>
      </c>
      <c r="F560" s="1">
        <v>1611.7729502452601</v>
      </c>
      <c r="G560" s="1">
        <v>4</v>
      </c>
      <c r="H560" s="1">
        <v>2</v>
      </c>
      <c r="I560" s="1">
        <v>2</v>
      </c>
      <c r="J560" s="1">
        <v>2</v>
      </c>
      <c r="K560" s="1">
        <v>2</v>
      </c>
      <c r="M560" s="4">
        <v>1427</v>
      </c>
      <c r="N560" s="1">
        <v>1886</v>
      </c>
      <c r="O560" s="1">
        <v>4372</v>
      </c>
      <c r="P560" s="1">
        <v>2486</v>
      </c>
      <c r="Q560" s="1" t="s">
        <v>42</v>
      </c>
      <c r="S560" s="1" t="s">
        <v>42</v>
      </c>
      <c r="T560" s="1" t="s">
        <v>228</v>
      </c>
      <c r="U560" s="1">
        <v>5</v>
      </c>
      <c r="V560" s="5">
        <v>44427</v>
      </c>
      <c r="W560" s="5">
        <v>44244</v>
      </c>
      <c r="X560" s="1">
        <v>2300000</v>
      </c>
      <c r="Z560" s="5">
        <v>44249</v>
      </c>
      <c r="AB560" s="1" t="s">
        <v>44</v>
      </c>
      <c r="AF560" s="1">
        <v>10013</v>
      </c>
      <c r="AI560" s="1" t="s">
        <v>52</v>
      </c>
      <c r="AJ560" s="1">
        <v>2019</v>
      </c>
      <c r="AK560" s="1" t="s">
        <v>136</v>
      </c>
      <c r="AL560" s="1">
        <v>10</v>
      </c>
    </row>
    <row r="561" spans="1:38" x14ac:dyDescent="0.2">
      <c r="A561" s="2" t="str">
        <f>HYPERLINK("https://www.compass.com/listing/360-east-89th-street-unit-8a-manhattan-ny-10128/816664193121737697/","360 E 89th St, Unit 8A")</f>
        <v>360 E 89th St, Unit 8A</v>
      </c>
      <c r="B561" s="2" t="str">
        <f>HYPERLINK("https://www.compass.com/building/citizen360-manhattan-ny/282052027553444853/","Citizen360")</f>
        <v>Citizen360</v>
      </c>
      <c r="C561" s="1" t="s">
        <v>82</v>
      </c>
      <c r="D561" s="1" t="s">
        <v>41</v>
      </c>
      <c r="E561" s="3">
        <v>5498000</v>
      </c>
      <c r="F561" s="1">
        <v>2474.3474347434699</v>
      </c>
      <c r="G561" s="1">
        <v>5</v>
      </c>
      <c r="H561" s="1">
        <v>3</v>
      </c>
      <c r="I561" s="1">
        <v>4</v>
      </c>
      <c r="J561" s="1">
        <v>3.5</v>
      </c>
      <c r="K561" s="1">
        <v>3</v>
      </c>
      <c r="L561" s="1">
        <v>1</v>
      </c>
      <c r="M561" s="4">
        <v>2222</v>
      </c>
      <c r="N561" s="1">
        <v>2755</v>
      </c>
      <c r="O561" s="1">
        <v>4390</v>
      </c>
      <c r="P561" s="1">
        <v>1635</v>
      </c>
      <c r="Q561" s="1" t="s">
        <v>42</v>
      </c>
      <c r="S561" s="1" t="s">
        <v>42</v>
      </c>
      <c r="T561" s="1" t="s">
        <v>228</v>
      </c>
      <c r="U561" s="1">
        <v>25</v>
      </c>
      <c r="V561" s="5">
        <v>44425</v>
      </c>
      <c r="W561" s="5">
        <v>44378</v>
      </c>
      <c r="X561" s="1">
        <v>5498000</v>
      </c>
      <c r="Z561" s="5">
        <v>44404</v>
      </c>
      <c r="AB561" s="1" t="s">
        <v>44</v>
      </c>
      <c r="AF561" s="1">
        <v>10128</v>
      </c>
      <c r="AI561" s="1" t="s">
        <v>220</v>
      </c>
      <c r="AJ561" s="1">
        <v>2017</v>
      </c>
      <c r="AK561" s="1" t="s">
        <v>46</v>
      </c>
      <c r="AL561" s="1">
        <v>82</v>
      </c>
    </row>
    <row r="562" spans="1:38" x14ac:dyDescent="0.2">
      <c r="A562" s="2" t="str">
        <f>HYPERLINK("https://www.compass.com/listing/100-franklin-street-unit-2s-manhattan-ny-10013/801630292703833465/","100 Franklin St, Unit 2S")</f>
        <v>100 Franklin St, Unit 2S</v>
      </c>
      <c r="B562" s="2" t="str">
        <f>HYPERLINK("https://www.compass.com/building/100-franklin-st-manhattan-ny-10013/282059575178329957/","100 Franklin St")</f>
        <v>100 Franklin St</v>
      </c>
      <c r="C562" s="1" t="s">
        <v>50</v>
      </c>
      <c r="D562" s="1" t="s">
        <v>41</v>
      </c>
      <c r="E562" s="3">
        <v>2200000</v>
      </c>
      <c r="F562" s="1">
        <v>1541.6958654519899</v>
      </c>
      <c r="G562" s="1">
        <v>5</v>
      </c>
      <c r="H562" s="1">
        <v>2</v>
      </c>
      <c r="I562" s="1">
        <v>2</v>
      </c>
      <c r="J562" s="1">
        <v>2</v>
      </c>
      <c r="K562" s="1">
        <v>2</v>
      </c>
      <c r="M562" s="4">
        <v>1427</v>
      </c>
      <c r="N562" s="1">
        <v>1868</v>
      </c>
      <c r="O562" s="1">
        <v>4328</v>
      </c>
      <c r="P562" s="1">
        <v>2460</v>
      </c>
      <c r="Q562" s="1" t="s">
        <v>42</v>
      </c>
      <c r="S562" s="1" t="s">
        <v>42</v>
      </c>
      <c r="T562" s="1" t="s">
        <v>228</v>
      </c>
      <c r="V562" s="5">
        <v>44427</v>
      </c>
      <c r="W562" s="5">
        <v>44236</v>
      </c>
      <c r="X562" s="1">
        <v>2200000</v>
      </c>
      <c r="Z562" s="5">
        <v>44236</v>
      </c>
      <c r="AB562" s="1" t="s">
        <v>44</v>
      </c>
      <c r="AF562" s="1">
        <v>10013</v>
      </c>
      <c r="AI562" s="1" t="s">
        <v>52</v>
      </c>
      <c r="AJ562" s="1">
        <v>2019</v>
      </c>
      <c r="AK562" s="1" t="s">
        <v>136</v>
      </c>
      <c r="AL562" s="1">
        <v>10</v>
      </c>
    </row>
    <row r="563" spans="1:38" x14ac:dyDescent="0.2">
      <c r="A563" s="2" t="str">
        <f>HYPERLINK("https://www.compass.com/listing/180-east-88th-street-unit-3a-manhattan-ny-10128/821112820768240049/","180 E 88th St, Unit 3A")</f>
        <v>180 E 88th St, Unit 3A</v>
      </c>
      <c r="B563" s="2" t="str">
        <f>HYPERLINK("https://www.compass.com/building/180-e-88th-st-manhattan-ny-10128/282058835781256373/","180 E 88th St")</f>
        <v>180 E 88th St</v>
      </c>
      <c r="C563" s="1" t="s">
        <v>82</v>
      </c>
      <c r="D563" s="1" t="s">
        <v>41</v>
      </c>
      <c r="E563" s="3">
        <v>3215000</v>
      </c>
      <c r="F563" s="1">
        <v>1858.3815028901699</v>
      </c>
      <c r="G563" s="1">
        <v>4.5</v>
      </c>
      <c r="H563" s="1">
        <v>2</v>
      </c>
      <c r="I563" s="1">
        <v>3</v>
      </c>
      <c r="J563" s="1">
        <v>2.5</v>
      </c>
      <c r="K563" s="1">
        <v>2</v>
      </c>
      <c r="L563" s="1">
        <v>1</v>
      </c>
      <c r="M563" s="4">
        <v>1730</v>
      </c>
      <c r="N563" s="1">
        <v>2508</v>
      </c>
      <c r="O563" s="1">
        <v>4837</v>
      </c>
      <c r="P563" s="1">
        <v>2329</v>
      </c>
      <c r="Q563" s="1" t="s">
        <v>42</v>
      </c>
      <c r="S563" s="1" t="s">
        <v>42</v>
      </c>
      <c r="T563" s="1" t="s">
        <v>228</v>
      </c>
      <c r="U563" s="1">
        <v>1</v>
      </c>
      <c r="V563" s="5">
        <v>44418</v>
      </c>
      <c r="W563" s="5">
        <v>44384</v>
      </c>
      <c r="X563" s="1">
        <v>3215000</v>
      </c>
      <c r="Z563" s="5">
        <v>44386</v>
      </c>
      <c r="AB563" s="1" t="s">
        <v>44</v>
      </c>
      <c r="AF563" s="1">
        <v>10128</v>
      </c>
      <c r="AJ563" s="1">
        <v>2019</v>
      </c>
      <c r="AK563" s="1" t="s">
        <v>49</v>
      </c>
      <c r="AL563" s="1">
        <v>48</v>
      </c>
    </row>
    <row r="564" spans="1:38" x14ac:dyDescent="0.2">
      <c r="A564" s="2" t="str">
        <f>HYPERLINK("https://www.compass.com/listing/49-chambers-street-unit-16f-manhattan-ny-10007/765295450762061169/","49 Chambers St, Unit 16F")</f>
        <v>49 Chambers St, Unit 16F</v>
      </c>
      <c r="B564" s="2" t="str">
        <f>HYPERLINK("https://www.compass.com/building/49-chambers-manhattan-ny/282058733280852725/","49 Chambers")</f>
        <v>49 Chambers</v>
      </c>
      <c r="C564" s="1" t="s">
        <v>113</v>
      </c>
      <c r="D564" s="1" t="s">
        <v>41</v>
      </c>
      <c r="E564" s="3">
        <v>1830000</v>
      </c>
      <c r="F564" s="1">
        <v>1890.49586776859</v>
      </c>
      <c r="G564" s="1">
        <v>3</v>
      </c>
      <c r="H564" s="1">
        <v>1</v>
      </c>
      <c r="I564" s="1">
        <v>1</v>
      </c>
      <c r="J564" s="1">
        <v>1</v>
      </c>
      <c r="K564" s="1">
        <v>1</v>
      </c>
      <c r="M564" s="1">
        <v>968</v>
      </c>
      <c r="N564" s="1">
        <v>811</v>
      </c>
      <c r="O564" s="1">
        <v>2564</v>
      </c>
      <c r="P564" s="1">
        <v>1753</v>
      </c>
      <c r="Q564" s="1" t="s">
        <v>42</v>
      </c>
      <c r="S564" s="1" t="s">
        <v>42</v>
      </c>
      <c r="T564" s="1" t="s">
        <v>228</v>
      </c>
      <c r="U564" s="1">
        <v>26</v>
      </c>
      <c r="V564" s="5">
        <v>44325</v>
      </c>
      <c r="W564" s="5">
        <v>44298</v>
      </c>
      <c r="X564" s="1">
        <v>1830000</v>
      </c>
      <c r="Z564" s="5">
        <v>44324</v>
      </c>
      <c r="AB564" s="1" t="s">
        <v>44</v>
      </c>
      <c r="AF564" s="1">
        <v>10007</v>
      </c>
      <c r="AI564" s="1" t="s">
        <v>114</v>
      </c>
      <c r="AJ564" s="1">
        <v>1910</v>
      </c>
      <c r="AK564" s="1" t="s">
        <v>49</v>
      </c>
      <c r="AL564" s="1">
        <v>99</v>
      </c>
    </row>
    <row r="565" spans="1:38" x14ac:dyDescent="0.2">
      <c r="A565" s="2" t="str">
        <f>HYPERLINK("https://www.compass.com/listing/30-east-31st-street-unit-23-manhattan-ny-10016/825501425907942329/","30 E 31st St, Unit 23")</f>
        <v>30 E 31st St, Unit 23</v>
      </c>
      <c r="B565" s="2" t="str">
        <f>HYPERLINK("https://www.compass.com/building/30-east-31st-street-manhattan-ny/281939352542566357/","30 East 31st Street")</f>
        <v>30 East 31st Street</v>
      </c>
      <c r="C565" s="1" t="s">
        <v>40</v>
      </c>
      <c r="D565" s="1" t="s">
        <v>41</v>
      </c>
      <c r="E565" s="3">
        <v>4100000</v>
      </c>
      <c r="F565" s="1">
        <v>2444.8419797257002</v>
      </c>
      <c r="G565" s="1">
        <v>4</v>
      </c>
      <c r="H565" s="1">
        <v>2</v>
      </c>
      <c r="I565" s="1">
        <v>3</v>
      </c>
      <c r="J565" s="1">
        <v>2.5</v>
      </c>
      <c r="K565" s="1">
        <v>2</v>
      </c>
      <c r="L565" s="1">
        <v>1</v>
      </c>
      <c r="M565" s="4">
        <v>1677</v>
      </c>
      <c r="N565" s="1">
        <v>2735.98</v>
      </c>
      <c r="O565" s="1">
        <v>6535.91</v>
      </c>
      <c r="P565" s="1">
        <v>3799.9166666666601</v>
      </c>
      <c r="Q565" s="1" t="s">
        <v>42</v>
      </c>
      <c r="S565" s="1" t="s">
        <v>42</v>
      </c>
      <c r="T565" s="1" t="s">
        <v>228</v>
      </c>
      <c r="V565" s="5">
        <v>44409</v>
      </c>
      <c r="W565" s="5">
        <v>44390</v>
      </c>
      <c r="Z565" s="5">
        <v>44390</v>
      </c>
      <c r="AB565" s="1" t="s">
        <v>44</v>
      </c>
      <c r="AF565" s="1">
        <v>10016</v>
      </c>
      <c r="AJ565" s="1">
        <v>2018</v>
      </c>
      <c r="AK565" s="1" t="s">
        <v>46</v>
      </c>
      <c r="AL565" s="1">
        <v>42</v>
      </c>
    </row>
    <row r="566" spans="1:38" x14ac:dyDescent="0.2">
      <c r="A566" s="2" t="str">
        <f>HYPERLINK("https://www.compass.com/listing/261-west-25th-street-unit-4a-manhattan-ny-10001/779684218362613873/","261 W 25th St, Unit 4A")</f>
        <v>261 W 25th St, Unit 4A</v>
      </c>
      <c r="B566" s="2" t="str">
        <f>HYPERLINK("https://www.compass.com/building/the-seymour-manhattan-ny/281883155990840165/","The Seymour")</f>
        <v>The Seymour</v>
      </c>
      <c r="C566" s="1" t="s">
        <v>62</v>
      </c>
      <c r="D566" s="1" t="s">
        <v>41</v>
      </c>
      <c r="E566" s="3">
        <v>1225000</v>
      </c>
      <c r="F566" s="1">
        <v>1701.38888888888</v>
      </c>
      <c r="G566" s="1">
        <v>3</v>
      </c>
      <c r="H566" s="1">
        <v>1</v>
      </c>
      <c r="I566" s="1">
        <v>1</v>
      </c>
      <c r="J566" s="1">
        <v>1</v>
      </c>
      <c r="K566" s="1">
        <v>1</v>
      </c>
      <c r="M566" s="1">
        <v>720</v>
      </c>
      <c r="N566" s="1">
        <v>933</v>
      </c>
      <c r="O566" s="1">
        <v>2266</v>
      </c>
      <c r="P566" s="1">
        <v>1333</v>
      </c>
      <c r="Q566" s="1" t="s">
        <v>42</v>
      </c>
      <c r="S566" s="1" t="s">
        <v>42</v>
      </c>
      <c r="T566" s="1" t="s">
        <v>228</v>
      </c>
      <c r="U566" s="1">
        <v>71</v>
      </c>
      <c r="V566" s="5">
        <v>44399</v>
      </c>
      <c r="W566" s="5">
        <v>44327</v>
      </c>
      <c r="X566" s="1">
        <v>1295000</v>
      </c>
      <c r="Z566" s="5">
        <v>44399</v>
      </c>
      <c r="AB566" s="1" t="s">
        <v>44</v>
      </c>
      <c r="AF566" s="1">
        <v>10001</v>
      </c>
      <c r="AI566" s="1" t="s">
        <v>163</v>
      </c>
      <c r="AJ566" s="1">
        <v>2015</v>
      </c>
      <c r="AK566" s="1" t="s">
        <v>46</v>
      </c>
      <c r="AL566" s="1">
        <v>49</v>
      </c>
    </row>
    <row r="567" spans="1:38" x14ac:dyDescent="0.2">
      <c r="A567" s="2" t="str">
        <f>HYPERLINK("https://www.compass.com/listing/15-east-30th-street-unit-27b-manhattan-ny-10016/824635437304246745/","15 E 30th St, Unit 27B")</f>
        <v>15 E 30th St, Unit 27B</v>
      </c>
      <c r="B567" s="2" t="str">
        <f>HYPERLINK("https://www.compass.com/building/madison-house-manhattan-ny/281937618113974565/","Madison House")</f>
        <v>Madison House</v>
      </c>
      <c r="C567" s="1" t="s">
        <v>40</v>
      </c>
      <c r="D567" s="1" t="s">
        <v>41</v>
      </c>
      <c r="E567" s="3">
        <v>2965000</v>
      </c>
      <c r="F567" s="1">
        <v>2321.8480814408699</v>
      </c>
      <c r="G567" s="1">
        <v>5</v>
      </c>
      <c r="H567" s="1">
        <v>2</v>
      </c>
      <c r="I567" s="1">
        <v>2</v>
      </c>
      <c r="J567" s="1">
        <v>2</v>
      </c>
      <c r="K567" s="1">
        <v>2</v>
      </c>
      <c r="M567" s="4">
        <v>1277</v>
      </c>
      <c r="N567" s="1">
        <v>1783</v>
      </c>
      <c r="O567" s="1">
        <v>3925</v>
      </c>
      <c r="P567" s="1">
        <v>2142</v>
      </c>
      <c r="Q567" s="1" t="s">
        <v>42</v>
      </c>
      <c r="S567" s="1" t="s">
        <v>42</v>
      </c>
      <c r="T567" s="1" t="s">
        <v>228</v>
      </c>
      <c r="U567" s="1">
        <v>3</v>
      </c>
      <c r="V567" s="5">
        <v>44427</v>
      </c>
      <c r="W567" s="5">
        <v>44386</v>
      </c>
      <c r="X567" s="1">
        <v>1</v>
      </c>
      <c r="Z567" s="5">
        <v>44390</v>
      </c>
      <c r="AB567" s="1" t="s">
        <v>44</v>
      </c>
      <c r="AF567" s="1">
        <v>10016</v>
      </c>
      <c r="AJ567" s="1">
        <v>2019</v>
      </c>
      <c r="AK567" s="1" t="s">
        <v>46</v>
      </c>
      <c r="AL567" s="1">
        <v>199</v>
      </c>
    </row>
    <row r="568" spans="1:38" x14ac:dyDescent="0.2">
      <c r="A568" s="2" t="str">
        <f>HYPERLINK("https://www.compass.com/listing/77-charlton-street-unit-n13d-manhattan-ny-10014/700154027066841537/","77 Charlton St, Unit N13D")</f>
        <v>77 Charlton St, Unit N13D</v>
      </c>
      <c r="B568" s="2" t="str">
        <f t="shared" ref="B568:B586" si="77">HYPERLINK("https://www.compass.com/building/77-charlton-st-manhattan-ny-10014/282058735872933093/","77 Charlton St")</f>
        <v>77 Charlton St</v>
      </c>
      <c r="C568" s="1" t="s">
        <v>53</v>
      </c>
      <c r="D568" s="1" t="s">
        <v>41</v>
      </c>
      <c r="E568" s="3">
        <v>1455000</v>
      </c>
      <c r="F568" s="1">
        <v>2127.1929824561398</v>
      </c>
      <c r="G568" s="1">
        <v>2</v>
      </c>
      <c r="H568" s="1">
        <v>1</v>
      </c>
      <c r="I568" s="1">
        <v>1</v>
      </c>
      <c r="J568" s="1">
        <v>1</v>
      </c>
      <c r="K568" s="1">
        <v>1</v>
      </c>
      <c r="M568" s="1">
        <v>684</v>
      </c>
      <c r="N568" s="1">
        <v>837</v>
      </c>
      <c r="O568" s="1">
        <v>2034</v>
      </c>
      <c r="P568" s="1">
        <v>1197</v>
      </c>
      <c r="Q568" s="1" t="s">
        <v>42</v>
      </c>
      <c r="S568" s="1" t="s">
        <v>42</v>
      </c>
      <c r="T568" s="1" t="s">
        <v>228</v>
      </c>
      <c r="V568" s="5">
        <v>44404</v>
      </c>
      <c r="W568" s="5">
        <v>44218</v>
      </c>
      <c r="X568" s="1">
        <v>1455000</v>
      </c>
      <c r="Z568" s="5">
        <v>44218</v>
      </c>
      <c r="AB568" s="1" t="s">
        <v>44</v>
      </c>
      <c r="AF568" s="1">
        <v>10014</v>
      </c>
      <c r="AI568" s="1" t="s">
        <v>179</v>
      </c>
      <c r="AJ568" s="1">
        <v>2019</v>
      </c>
      <c r="AK568" s="1" t="s">
        <v>46</v>
      </c>
      <c r="AL568" s="1">
        <v>161</v>
      </c>
    </row>
    <row r="569" spans="1:38" x14ac:dyDescent="0.2">
      <c r="A569" s="2" t="str">
        <f>HYPERLINK("https://www.compass.com/listing/77-charlton-street-unit-n8f-manhattan-ny-10014/430442289769805937/","77 Charlton St, Unit N8F")</f>
        <v>77 Charlton St, Unit N8F</v>
      </c>
      <c r="B569" s="2" t="str">
        <f t="shared" si="77"/>
        <v>77 Charlton St</v>
      </c>
      <c r="C569" s="1" t="s">
        <v>53</v>
      </c>
      <c r="D569" s="1" t="s">
        <v>41</v>
      </c>
      <c r="E569" s="3">
        <v>1270000</v>
      </c>
      <c r="F569" s="1">
        <v>2022.29299363057</v>
      </c>
      <c r="G569" s="1">
        <v>3</v>
      </c>
      <c r="H569" s="1">
        <v>1</v>
      </c>
      <c r="I569" s="1">
        <v>1</v>
      </c>
      <c r="J569" s="1">
        <v>1</v>
      </c>
      <c r="K569" s="1">
        <v>1</v>
      </c>
      <c r="M569" s="1">
        <v>628</v>
      </c>
      <c r="N569" s="1">
        <v>750</v>
      </c>
      <c r="O569" s="1">
        <v>1822</v>
      </c>
      <c r="P569" s="1">
        <v>1072</v>
      </c>
      <c r="Q569" s="1" t="s">
        <v>42</v>
      </c>
      <c r="S569" s="1" t="s">
        <v>42</v>
      </c>
      <c r="T569" s="1" t="s">
        <v>228</v>
      </c>
      <c r="V569" s="5">
        <v>44404</v>
      </c>
      <c r="W569" s="5">
        <v>43846</v>
      </c>
      <c r="X569" s="1">
        <v>1270000</v>
      </c>
      <c r="Z569" s="5">
        <v>43846</v>
      </c>
      <c r="AB569" s="1" t="s">
        <v>44</v>
      </c>
      <c r="AF569" s="1">
        <v>10014</v>
      </c>
      <c r="AI569" s="1" t="s">
        <v>238</v>
      </c>
      <c r="AJ569" s="1">
        <v>2019</v>
      </c>
      <c r="AK569" s="1" t="s">
        <v>46</v>
      </c>
      <c r="AL569" s="1">
        <v>161</v>
      </c>
    </row>
    <row r="570" spans="1:38" x14ac:dyDescent="0.2">
      <c r="A570" s="2" t="str">
        <f>HYPERLINK("https://www.compass.com/listing/77-charlton-street-unit-n9f-manhattan-ny-10014/430442291111492889/","77 Charlton St, Unit N9F")</f>
        <v>77 Charlton St, Unit N9F</v>
      </c>
      <c r="B570" s="2" t="str">
        <f t="shared" si="77"/>
        <v>77 Charlton St</v>
      </c>
      <c r="C570" s="1" t="s">
        <v>53</v>
      </c>
      <c r="D570" s="1" t="s">
        <v>41</v>
      </c>
      <c r="E570" s="3">
        <v>1290000</v>
      </c>
      <c r="F570" s="1">
        <v>2054.1401273885299</v>
      </c>
      <c r="G570" s="1">
        <v>3</v>
      </c>
      <c r="H570" s="1">
        <v>1</v>
      </c>
      <c r="I570" s="1">
        <v>1</v>
      </c>
      <c r="J570" s="1">
        <v>1</v>
      </c>
      <c r="K570" s="1">
        <v>1</v>
      </c>
      <c r="M570" s="1">
        <v>628</v>
      </c>
      <c r="N570" s="1">
        <v>757</v>
      </c>
      <c r="O570" s="1">
        <v>1839</v>
      </c>
      <c r="P570" s="1">
        <v>1082</v>
      </c>
      <c r="Q570" s="1" t="s">
        <v>42</v>
      </c>
      <c r="S570" s="1" t="s">
        <v>42</v>
      </c>
      <c r="T570" s="1" t="s">
        <v>228</v>
      </c>
      <c r="V570" s="5">
        <v>44404</v>
      </c>
      <c r="W570" s="5">
        <v>43846</v>
      </c>
      <c r="X570" s="1">
        <v>1290000</v>
      </c>
      <c r="Z570" s="5">
        <v>43846</v>
      </c>
      <c r="AB570" s="1" t="s">
        <v>44</v>
      </c>
      <c r="AF570" s="1">
        <v>10014</v>
      </c>
      <c r="AI570" s="1" t="s">
        <v>238</v>
      </c>
      <c r="AJ570" s="1">
        <v>2019</v>
      </c>
      <c r="AK570" s="1" t="s">
        <v>46</v>
      </c>
      <c r="AL570" s="1">
        <v>161</v>
      </c>
    </row>
    <row r="571" spans="1:38" x14ac:dyDescent="0.2">
      <c r="A571" s="2" t="str">
        <f>HYPERLINK("https://www.compass.com/listing/77-charlton-street-unit-n5f-manhattan-ny-10014/430442292252549089/","77 Charlton St, Unit N5F")</f>
        <v>77 Charlton St, Unit N5F</v>
      </c>
      <c r="B571" s="2" t="str">
        <f t="shared" si="77"/>
        <v>77 Charlton St</v>
      </c>
      <c r="C571" s="1" t="s">
        <v>53</v>
      </c>
      <c r="D571" s="1" t="s">
        <v>41</v>
      </c>
      <c r="E571" s="3">
        <v>1210000</v>
      </c>
      <c r="F571" s="1">
        <v>1926.75159235668</v>
      </c>
      <c r="G571" s="1">
        <v>3</v>
      </c>
      <c r="H571" s="1">
        <v>1</v>
      </c>
      <c r="I571" s="1">
        <v>1</v>
      </c>
      <c r="J571" s="1">
        <v>1</v>
      </c>
      <c r="K571" s="1">
        <v>1</v>
      </c>
      <c r="M571" s="1">
        <v>628</v>
      </c>
      <c r="N571" s="1">
        <v>728</v>
      </c>
      <c r="O571" s="1">
        <v>1769</v>
      </c>
      <c r="P571" s="1">
        <v>1041</v>
      </c>
      <c r="Q571" s="1" t="s">
        <v>42</v>
      </c>
      <c r="S571" s="1" t="s">
        <v>42</v>
      </c>
      <c r="T571" s="1" t="s">
        <v>228</v>
      </c>
      <c r="V571" s="5">
        <v>44404</v>
      </c>
      <c r="W571" s="5">
        <v>43846</v>
      </c>
      <c r="X571" s="1">
        <v>1210000</v>
      </c>
      <c r="Z571" s="5">
        <v>43846</v>
      </c>
      <c r="AB571" s="1" t="s">
        <v>44</v>
      </c>
      <c r="AF571" s="1">
        <v>10014</v>
      </c>
      <c r="AI571" s="1" t="s">
        <v>238</v>
      </c>
      <c r="AJ571" s="1">
        <v>2019</v>
      </c>
      <c r="AK571" s="1" t="s">
        <v>46</v>
      </c>
      <c r="AL571" s="1">
        <v>161</v>
      </c>
    </row>
    <row r="572" spans="1:38" x14ac:dyDescent="0.2">
      <c r="A572" s="2" t="str">
        <f>HYPERLINK("https://www.compass.com/listing/77-charlton-street-unit-s10g-manhattan-ny-10014/322248962433711937/","77 Charlton St, Unit S10G")</f>
        <v>77 Charlton St, Unit S10G</v>
      </c>
      <c r="B572" s="2" t="str">
        <f t="shared" si="77"/>
        <v>77 Charlton St</v>
      </c>
      <c r="C572" s="1" t="s">
        <v>53</v>
      </c>
      <c r="D572" s="1" t="s">
        <v>41</v>
      </c>
      <c r="E572" s="3">
        <v>1415000</v>
      </c>
      <c r="F572" s="1">
        <v>2093.1952662721801</v>
      </c>
      <c r="G572" s="1">
        <v>3</v>
      </c>
      <c r="H572" s="1">
        <v>1</v>
      </c>
      <c r="I572" s="1">
        <v>1</v>
      </c>
      <c r="J572" s="1">
        <v>1</v>
      </c>
      <c r="K572" s="1">
        <v>1</v>
      </c>
      <c r="M572" s="1">
        <v>676</v>
      </c>
      <c r="N572" s="1">
        <v>805</v>
      </c>
      <c r="O572" s="1">
        <v>1956</v>
      </c>
      <c r="P572" s="1">
        <v>1151</v>
      </c>
      <c r="Q572" s="1" t="s">
        <v>42</v>
      </c>
      <c r="S572" s="1" t="s">
        <v>42</v>
      </c>
      <c r="T572" s="1" t="s">
        <v>228</v>
      </c>
      <c r="U572" s="1">
        <v>555</v>
      </c>
      <c r="V572" s="5">
        <v>44404</v>
      </c>
      <c r="W572" s="5">
        <v>43696</v>
      </c>
      <c r="X572" s="1">
        <v>1365000</v>
      </c>
      <c r="Z572" s="5">
        <v>44376</v>
      </c>
      <c r="AB572" s="1" t="s">
        <v>44</v>
      </c>
      <c r="AF572" s="1">
        <v>10014</v>
      </c>
      <c r="AI572" s="1" t="s">
        <v>48</v>
      </c>
      <c r="AJ572" s="1">
        <v>2019</v>
      </c>
      <c r="AK572" s="1" t="s">
        <v>46</v>
      </c>
      <c r="AL572" s="1">
        <v>161</v>
      </c>
    </row>
    <row r="573" spans="1:38" x14ac:dyDescent="0.2">
      <c r="A573" s="2" t="str">
        <f>HYPERLINK("https://www.compass.com/listing/77-charlton-street-unit-n9b-manhattan-ny-10014/470257852305901073/","77 Charlton St, Unit N9B")</f>
        <v>77 Charlton St, Unit N9B</v>
      </c>
      <c r="B573" s="2" t="str">
        <f t="shared" si="77"/>
        <v>77 Charlton St</v>
      </c>
      <c r="C573" s="1" t="s">
        <v>53</v>
      </c>
      <c r="D573" s="1" t="s">
        <v>41</v>
      </c>
      <c r="E573" s="3">
        <v>1535000</v>
      </c>
      <c r="F573" s="1">
        <v>2035.8090185676299</v>
      </c>
      <c r="G573" s="1">
        <v>3</v>
      </c>
      <c r="H573" s="1">
        <v>1</v>
      </c>
      <c r="I573" s="1">
        <v>1</v>
      </c>
      <c r="J573" s="1">
        <v>1</v>
      </c>
      <c r="K573" s="1">
        <v>1</v>
      </c>
      <c r="M573" s="1">
        <v>754</v>
      </c>
      <c r="N573" s="1">
        <v>890</v>
      </c>
      <c r="O573" s="1">
        <v>2162</v>
      </c>
      <c r="P573" s="1">
        <v>1272</v>
      </c>
      <c r="Q573" s="1" t="s">
        <v>42</v>
      </c>
      <c r="S573" s="1" t="s">
        <v>42</v>
      </c>
      <c r="T573" s="1" t="s">
        <v>228</v>
      </c>
      <c r="U573" s="1">
        <v>402</v>
      </c>
      <c r="V573" s="5">
        <v>44404</v>
      </c>
      <c r="W573" s="5">
        <v>43901</v>
      </c>
      <c r="X573" s="1">
        <v>1535000</v>
      </c>
      <c r="Z573" s="5">
        <v>44397</v>
      </c>
      <c r="AB573" s="1" t="s">
        <v>44</v>
      </c>
      <c r="AF573" s="1">
        <v>10014</v>
      </c>
      <c r="AI573" s="1" t="s">
        <v>48</v>
      </c>
      <c r="AJ573" s="1">
        <v>2019</v>
      </c>
      <c r="AK573" s="1" t="s">
        <v>46</v>
      </c>
      <c r="AL573" s="1">
        <v>161</v>
      </c>
    </row>
    <row r="574" spans="1:38" x14ac:dyDescent="0.2">
      <c r="A574" s="2" t="str">
        <f>HYPERLINK("https://www.compass.com/listing/77-charlton-street-unit-s10b-manhattan-ny-10014/430453013103099273/","77 Charlton St, Unit S10B")</f>
        <v>77 Charlton St, Unit S10B</v>
      </c>
      <c r="B574" s="2" t="str">
        <f t="shared" si="77"/>
        <v>77 Charlton St</v>
      </c>
      <c r="C574" s="1" t="s">
        <v>53</v>
      </c>
      <c r="D574" s="1" t="s">
        <v>41</v>
      </c>
      <c r="E574" s="3">
        <v>1565000</v>
      </c>
      <c r="F574" s="1">
        <v>2075.59681697612</v>
      </c>
      <c r="G574" s="1">
        <v>3</v>
      </c>
      <c r="H574" s="1">
        <v>1</v>
      </c>
      <c r="I574" s="1">
        <v>1</v>
      </c>
      <c r="J574" s="1">
        <v>1</v>
      </c>
      <c r="K574" s="1">
        <v>1</v>
      </c>
      <c r="M574" s="1">
        <v>754</v>
      </c>
      <c r="N574" s="1">
        <v>899</v>
      </c>
      <c r="O574" s="1">
        <v>2184</v>
      </c>
      <c r="P574" s="1">
        <v>1285</v>
      </c>
      <c r="Q574" s="1" t="s">
        <v>42</v>
      </c>
      <c r="S574" s="1" t="s">
        <v>42</v>
      </c>
      <c r="T574" s="1" t="s">
        <v>228</v>
      </c>
      <c r="V574" s="5">
        <v>44404</v>
      </c>
      <c r="W574" s="5">
        <v>43846</v>
      </c>
      <c r="X574" s="1">
        <v>1565000</v>
      </c>
      <c r="Z574" s="5">
        <v>43846</v>
      </c>
      <c r="AB574" s="1" t="s">
        <v>44</v>
      </c>
      <c r="AF574" s="1">
        <v>10014</v>
      </c>
      <c r="AI574" s="1" t="s">
        <v>48</v>
      </c>
      <c r="AJ574" s="1">
        <v>2019</v>
      </c>
      <c r="AK574" s="1" t="s">
        <v>46</v>
      </c>
      <c r="AL574" s="1">
        <v>161</v>
      </c>
    </row>
    <row r="575" spans="1:38" x14ac:dyDescent="0.2">
      <c r="A575" s="2" t="str">
        <f>HYPERLINK("https://www.compass.com/listing/77-charlton-street-unit-s7f-manhattan-ny-10014/430453006434155721/","77 Charlton St, Unit S7F")</f>
        <v>77 Charlton St, Unit S7F</v>
      </c>
      <c r="B575" s="2" t="str">
        <f t="shared" si="77"/>
        <v>77 Charlton St</v>
      </c>
      <c r="C575" s="1" t="s">
        <v>53</v>
      </c>
      <c r="D575" s="1" t="s">
        <v>41</v>
      </c>
      <c r="E575" s="3">
        <v>1250000</v>
      </c>
      <c r="F575" s="1">
        <v>1990.4458598726101</v>
      </c>
      <c r="G575" s="1">
        <v>3</v>
      </c>
      <c r="H575" s="1">
        <v>1</v>
      </c>
      <c r="I575" s="1">
        <v>1</v>
      </c>
      <c r="J575" s="1">
        <v>1</v>
      </c>
      <c r="K575" s="1">
        <v>1</v>
      </c>
      <c r="M575" s="1">
        <v>628</v>
      </c>
      <c r="N575" s="1">
        <v>740</v>
      </c>
      <c r="O575" s="1">
        <v>1798</v>
      </c>
      <c r="P575" s="1">
        <v>1058</v>
      </c>
      <c r="Q575" s="1" t="s">
        <v>42</v>
      </c>
      <c r="S575" s="1" t="s">
        <v>42</v>
      </c>
      <c r="T575" s="1" t="s">
        <v>228</v>
      </c>
      <c r="V575" s="5">
        <v>44404</v>
      </c>
      <c r="W575" s="5">
        <v>43846</v>
      </c>
      <c r="X575" s="1">
        <v>1250000</v>
      </c>
      <c r="Z575" s="5">
        <v>43846</v>
      </c>
      <c r="AB575" s="1" t="s">
        <v>44</v>
      </c>
      <c r="AF575" s="1">
        <v>10014</v>
      </c>
      <c r="AI575" s="1" t="s">
        <v>238</v>
      </c>
      <c r="AJ575" s="1">
        <v>2019</v>
      </c>
      <c r="AK575" s="1" t="s">
        <v>46</v>
      </c>
      <c r="AL575" s="1">
        <v>161</v>
      </c>
    </row>
    <row r="576" spans="1:38" x14ac:dyDescent="0.2">
      <c r="A576" s="2" t="str">
        <f>HYPERLINK("https://www.compass.com/listing/77-charlton-street-unit-s8a-manhattan-ny-10014/576802052242833969/","77 Charlton St, Unit S8A")</f>
        <v>77 Charlton St, Unit S8A</v>
      </c>
      <c r="B576" s="2" t="str">
        <f t="shared" si="77"/>
        <v>77 Charlton St</v>
      </c>
      <c r="C576" s="1" t="s">
        <v>53</v>
      </c>
      <c r="D576" s="1" t="s">
        <v>41</v>
      </c>
      <c r="E576" s="3">
        <v>2215000</v>
      </c>
      <c r="F576" s="1">
        <v>2009.98185117967</v>
      </c>
      <c r="G576" s="1">
        <v>4</v>
      </c>
      <c r="H576" s="1">
        <v>2</v>
      </c>
      <c r="I576" s="1">
        <v>2</v>
      </c>
      <c r="J576" s="1">
        <v>2</v>
      </c>
      <c r="K576" s="1">
        <v>2</v>
      </c>
      <c r="M576" s="4">
        <v>1102</v>
      </c>
      <c r="N576" s="1">
        <v>1288</v>
      </c>
      <c r="O576" s="1">
        <v>3129</v>
      </c>
      <c r="P576" s="1">
        <v>1841</v>
      </c>
      <c r="Q576" s="1" t="s">
        <v>42</v>
      </c>
      <c r="S576" s="1" t="s">
        <v>42</v>
      </c>
      <c r="T576" s="1" t="s">
        <v>228</v>
      </c>
      <c r="U576" s="1">
        <v>324</v>
      </c>
      <c r="V576" s="5">
        <v>44404</v>
      </c>
      <c r="W576" s="5">
        <v>44048</v>
      </c>
      <c r="X576" s="1">
        <v>2215000</v>
      </c>
      <c r="Z576" s="5">
        <v>44372</v>
      </c>
      <c r="AB576" s="1" t="s">
        <v>44</v>
      </c>
      <c r="AF576" s="1">
        <v>10014</v>
      </c>
      <c r="AI576" s="1" t="s">
        <v>179</v>
      </c>
      <c r="AJ576" s="1">
        <v>2019</v>
      </c>
      <c r="AK576" s="1" t="s">
        <v>46</v>
      </c>
      <c r="AL576" s="1">
        <v>161</v>
      </c>
    </row>
    <row r="577" spans="1:38" x14ac:dyDescent="0.2">
      <c r="A577" s="2" t="str">
        <f>HYPERLINK("https://www.compass.com/listing/77-charlton-street-unit-n4d-manhattan-ny-10014/576815082116738593/","77 Charlton St, Unit N4D")</f>
        <v>77 Charlton St, Unit N4D</v>
      </c>
      <c r="B577" s="2" t="str">
        <f t="shared" si="77"/>
        <v>77 Charlton St</v>
      </c>
      <c r="C577" s="1" t="s">
        <v>53</v>
      </c>
      <c r="D577" s="1" t="s">
        <v>41</v>
      </c>
      <c r="E577" s="3">
        <v>2240000</v>
      </c>
      <c r="F577" s="1">
        <v>1931.03448275862</v>
      </c>
      <c r="G577" s="1">
        <v>4.5</v>
      </c>
      <c r="H577" s="1">
        <v>2</v>
      </c>
      <c r="I577" s="1">
        <v>3</v>
      </c>
      <c r="J577" s="1">
        <v>2.5</v>
      </c>
      <c r="K577" s="1">
        <v>2</v>
      </c>
      <c r="L577" s="1">
        <v>1</v>
      </c>
      <c r="M577" s="4">
        <v>1160</v>
      </c>
      <c r="N577" s="1">
        <v>1305</v>
      </c>
      <c r="O577" s="1">
        <v>3170</v>
      </c>
      <c r="P577" s="1">
        <v>1865</v>
      </c>
      <c r="Q577" s="1" t="s">
        <v>42</v>
      </c>
      <c r="S577" s="1" t="s">
        <v>42</v>
      </c>
      <c r="T577" s="1" t="s">
        <v>228</v>
      </c>
      <c r="U577" s="1">
        <v>290</v>
      </c>
      <c r="V577" s="5">
        <v>44404</v>
      </c>
      <c r="W577" s="5">
        <v>44048</v>
      </c>
      <c r="X577" s="1">
        <v>2240000</v>
      </c>
      <c r="Z577" s="5">
        <v>44339</v>
      </c>
      <c r="AB577" s="1" t="s">
        <v>44</v>
      </c>
      <c r="AF577" s="1">
        <v>10014</v>
      </c>
      <c r="AI577" s="1" t="s">
        <v>48</v>
      </c>
      <c r="AJ577" s="1">
        <v>2019</v>
      </c>
      <c r="AK577" s="1" t="s">
        <v>46</v>
      </c>
      <c r="AL577" s="1">
        <v>161</v>
      </c>
    </row>
    <row r="578" spans="1:38" x14ac:dyDescent="0.2">
      <c r="A578" s="2" t="str">
        <f>HYPERLINK("https://www.compass.com/listing/77-charlton-street-unit-n5g-manhattan-ny-10014/430442297780959417/","77 Charlton St, Unit N5G")</f>
        <v>77 Charlton St, Unit N5G</v>
      </c>
      <c r="B578" s="2" t="str">
        <f t="shared" si="77"/>
        <v>77 Charlton St</v>
      </c>
      <c r="C578" s="1" t="s">
        <v>53</v>
      </c>
      <c r="D578" s="1" t="s">
        <v>41</v>
      </c>
      <c r="E578" s="3">
        <v>1265000</v>
      </c>
      <c r="F578" s="1">
        <v>1871.3017751479199</v>
      </c>
      <c r="G578" s="1">
        <v>3</v>
      </c>
      <c r="H578" s="1">
        <v>1</v>
      </c>
      <c r="I578" s="1">
        <v>1</v>
      </c>
      <c r="J578" s="1">
        <v>1</v>
      </c>
      <c r="K578" s="1">
        <v>1</v>
      </c>
      <c r="M578" s="1">
        <v>676</v>
      </c>
      <c r="N578" s="1">
        <v>767</v>
      </c>
      <c r="O578" s="1">
        <v>1863</v>
      </c>
      <c r="P578" s="1">
        <v>1096</v>
      </c>
      <c r="Q578" s="1" t="s">
        <v>42</v>
      </c>
      <c r="S578" s="1" t="s">
        <v>42</v>
      </c>
      <c r="T578" s="1" t="s">
        <v>228</v>
      </c>
      <c r="V578" s="5">
        <v>44404</v>
      </c>
      <c r="W578" s="5">
        <v>43846</v>
      </c>
      <c r="X578" s="1">
        <v>1265000</v>
      </c>
      <c r="Z578" s="5">
        <v>43846</v>
      </c>
      <c r="AB578" s="1" t="s">
        <v>44</v>
      </c>
      <c r="AF578" s="1">
        <v>10014</v>
      </c>
      <c r="AI578" s="1" t="s">
        <v>48</v>
      </c>
      <c r="AJ578" s="1">
        <v>2019</v>
      </c>
      <c r="AK578" s="1" t="s">
        <v>46</v>
      </c>
      <c r="AL578" s="1">
        <v>161</v>
      </c>
    </row>
    <row r="579" spans="1:38" x14ac:dyDescent="0.2">
      <c r="A579" s="2" t="str">
        <f>HYPERLINK("https://www.compass.com/listing/77-charlton-street-unit-n3g-manhattan-ny-10014/430996832458491817/","77 Charlton St, Unit N3G")</f>
        <v>77 Charlton St, Unit N3G</v>
      </c>
      <c r="B579" s="2" t="str">
        <f t="shared" si="77"/>
        <v>77 Charlton St</v>
      </c>
      <c r="C579" s="1" t="s">
        <v>53</v>
      </c>
      <c r="D579" s="1" t="s">
        <v>41</v>
      </c>
      <c r="E579" s="3">
        <v>1225000</v>
      </c>
      <c r="F579" s="1">
        <v>1812.1301775147899</v>
      </c>
      <c r="G579" s="1">
        <v>3</v>
      </c>
      <c r="H579" s="1">
        <v>1</v>
      </c>
      <c r="I579" s="1">
        <v>1</v>
      </c>
      <c r="J579" s="1">
        <v>1</v>
      </c>
      <c r="K579" s="1">
        <v>1</v>
      </c>
      <c r="M579" s="1">
        <v>676</v>
      </c>
      <c r="N579" s="1">
        <v>752</v>
      </c>
      <c r="O579" s="1">
        <v>1827</v>
      </c>
      <c r="P579" s="1">
        <v>1075</v>
      </c>
      <c r="Q579" s="1" t="s">
        <v>42</v>
      </c>
      <c r="S579" s="1" t="s">
        <v>42</v>
      </c>
      <c r="T579" s="1" t="s">
        <v>228</v>
      </c>
      <c r="V579" s="5">
        <v>44404</v>
      </c>
      <c r="W579" s="5">
        <v>43846</v>
      </c>
      <c r="X579" s="1">
        <v>1225000</v>
      </c>
      <c r="Z579" s="5">
        <v>43846</v>
      </c>
      <c r="AB579" s="1" t="s">
        <v>44</v>
      </c>
      <c r="AF579" s="1">
        <v>10014</v>
      </c>
      <c r="AI579" s="1" t="s">
        <v>48</v>
      </c>
      <c r="AJ579" s="1">
        <v>2019</v>
      </c>
      <c r="AK579" s="1" t="s">
        <v>46</v>
      </c>
      <c r="AL579" s="1">
        <v>161</v>
      </c>
    </row>
    <row r="580" spans="1:38" x14ac:dyDescent="0.2">
      <c r="A580" s="2" t="str">
        <f>HYPERLINK("https://www.compass.com/listing/77-charlton-street-unit-n14c-manhattan-ny-10014/430442296044484785/","77 Charlton St, Unit N14C")</f>
        <v>77 Charlton St, Unit N14C</v>
      </c>
      <c r="B580" s="2" t="str">
        <f t="shared" si="77"/>
        <v>77 Charlton St</v>
      </c>
      <c r="C580" s="1" t="s">
        <v>53</v>
      </c>
      <c r="D580" s="1" t="s">
        <v>41</v>
      </c>
      <c r="E580" s="3">
        <v>2395000</v>
      </c>
      <c r="F580" s="1">
        <v>2117.5950486295301</v>
      </c>
      <c r="G580" s="1">
        <v>4.5</v>
      </c>
      <c r="H580" s="1">
        <v>2</v>
      </c>
      <c r="I580" s="1">
        <v>3</v>
      </c>
      <c r="J580" s="1">
        <v>2.5</v>
      </c>
      <c r="K580" s="1">
        <v>2</v>
      </c>
      <c r="L580" s="1">
        <v>1</v>
      </c>
      <c r="M580" s="4">
        <v>1131</v>
      </c>
      <c r="N580" s="1">
        <v>1400</v>
      </c>
      <c r="O580" s="1">
        <v>3401</v>
      </c>
      <c r="P580" s="1">
        <v>2001</v>
      </c>
      <c r="Q580" s="1" t="s">
        <v>42</v>
      </c>
      <c r="S580" s="1" t="s">
        <v>42</v>
      </c>
      <c r="T580" s="1" t="s">
        <v>228</v>
      </c>
      <c r="V580" s="5">
        <v>44404</v>
      </c>
      <c r="W580" s="5">
        <v>43846</v>
      </c>
      <c r="X580" s="1">
        <v>2395000</v>
      </c>
      <c r="Z580" s="5">
        <v>43846</v>
      </c>
      <c r="AB580" s="1" t="s">
        <v>44</v>
      </c>
      <c r="AF580" s="1">
        <v>10014</v>
      </c>
      <c r="AI580" s="1" t="s">
        <v>48</v>
      </c>
      <c r="AJ580" s="1">
        <v>2019</v>
      </c>
      <c r="AK580" s="1" t="s">
        <v>46</v>
      </c>
      <c r="AL580" s="1">
        <v>161</v>
      </c>
    </row>
    <row r="581" spans="1:38" x14ac:dyDescent="0.2">
      <c r="A581" s="2" t="str">
        <f>HYPERLINK("https://www.compass.com/listing/77-charlton-street-unit-s7e-manhattan-ny-10014/790533243344696905/","77 Charlton St, Unit S7E")</f>
        <v>77 Charlton St, Unit S7E</v>
      </c>
      <c r="B581" s="2" t="str">
        <f t="shared" si="77"/>
        <v>77 Charlton St</v>
      </c>
      <c r="C581" s="1" t="s">
        <v>53</v>
      </c>
      <c r="D581" s="1" t="s">
        <v>41</v>
      </c>
      <c r="E581" s="3">
        <v>1055000</v>
      </c>
      <c r="F581" s="1">
        <v>1850.87719298245</v>
      </c>
      <c r="G581" s="1">
        <v>2</v>
      </c>
      <c r="H581" s="1" t="s">
        <v>99</v>
      </c>
      <c r="I581" s="1">
        <v>1</v>
      </c>
      <c r="J581" s="1">
        <v>1</v>
      </c>
      <c r="K581" s="1">
        <v>1</v>
      </c>
      <c r="M581" s="1">
        <v>570</v>
      </c>
      <c r="N581" s="1">
        <v>668</v>
      </c>
      <c r="O581" s="1">
        <v>1622</v>
      </c>
      <c r="P581" s="1">
        <v>954</v>
      </c>
      <c r="Q581" s="1" t="s">
        <v>42</v>
      </c>
      <c r="S581" s="1" t="s">
        <v>42</v>
      </c>
      <c r="T581" s="1" t="s">
        <v>228</v>
      </c>
      <c r="U581" s="1">
        <v>29</v>
      </c>
      <c r="V581" s="5">
        <v>44405</v>
      </c>
      <c r="W581" s="5">
        <v>44343</v>
      </c>
      <c r="X581" s="1">
        <v>1055000</v>
      </c>
      <c r="Z581" s="5">
        <v>44372</v>
      </c>
      <c r="AB581" s="1" t="s">
        <v>44</v>
      </c>
      <c r="AF581" s="1">
        <v>10014</v>
      </c>
      <c r="AI581" s="1" t="s">
        <v>238</v>
      </c>
      <c r="AJ581" s="1">
        <v>2019</v>
      </c>
      <c r="AK581" s="1" t="s">
        <v>46</v>
      </c>
      <c r="AL581" s="1">
        <v>161</v>
      </c>
    </row>
    <row r="582" spans="1:38" x14ac:dyDescent="0.2">
      <c r="A582" s="2" t="str">
        <f>HYPERLINK("https://www.compass.com/listing/77-charlton-street-unit-s13b-manhattan-ny-10014/252135395574190241/","77 Charlton St, Unit S13B")</f>
        <v>77 Charlton St, Unit S13B</v>
      </c>
      <c r="B582" s="2" t="str">
        <f t="shared" si="77"/>
        <v>77 Charlton St</v>
      </c>
      <c r="C582" s="1" t="s">
        <v>53</v>
      </c>
      <c r="D582" s="1" t="s">
        <v>41</v>
      </c>
      <c r="E582" s="3">
        <v>2750000</v>
      </c>
      <c r="F582" s="1">
        <v>2228.5251215559101</v>
      </c>
      <c r="G582" s="1">
        <v>4</v>
      </c>
      <c r="H582" s="1">
        <v>2</v>
      </c>
      <c r="I582" s="1">
        <v>3</v>
      </c>
      <c r="J582" s="1">
        <v>2.5</v>
      </c>
      <c r="K582" s="1">
        <v>2</v>
      </c>
      <c r="L582" s="1">
        <v>1</v>
      </c>
      <c r="M582" s="4">
        <v>1234</v>
      </c>
      <c r="N582" s="1">
        <v>1512</v>
      </c>
      <c r="O582" s="1">
        <v>3672</v>
      </c>
      <c r="P582" s="1">
        <v>2160</v>
      </c>
      <c r="Q582" s="1" t="s">
        <v>42</v>
      </c>
      <c r="S582" s="1" t="s">
        <v>42</v>
      </c>
      <c r="T582" s="1" t="s">
        <v>228</v>
      </c>
      <c r="V582" s="5">
        <v>44404</v>
      </c>
      <c r="W582" s="5">
        <v>43600</v>
      </c>
      <c r="X582" s="1">
        <v>2750000</v>
      </c>
      <c r="Z582" s="5">
        <v>43600</v>
      </c>
      <c r="AB582" s="1" t="s">
        <v>44</v>
      </c>
      <c r="AF582" s="1">
        <v>10014</v>
      </c>
      <c r="AI582" s="1" t="s">
        <v>48</v>
      </c>
      <c r="AJ582" s="1">
        <v>2019</v>
      </c>
      <c r="AK582" s="1" t="s">
        <v>46</v>
      </c>
      <c r="AL582" s="1">
        <v>161</v>
      </c>
    </row>
    <row r="583" spans="1:38" x14ac:dyDescent="0.2">
      <c r="A583" s="2" t="str">
        <f>HYPERLINK("https://www.compass.com/listing/77-charlton-street-unit-s12c-manhattan-ny-10014/535514625142467921/","77 Charlton St, Unit S12C")</f>
        <v>77 Charlton St, Unit S12C</v>
      </c>
      <c r="B583" s="2" t="str">
        <f t="shared" si="77"/>
        <v>77 Charlton St</v>
      </c>
      <c r="C583" s="1" t="s">
        <v>53</v>
      </c>
      <c r="D583" s="1" t="s">
        <v>41</v>
      </c>
      <c r="E583" s="3">
        <v>3695000</v>
      </c>
      <c r="F583" s="1">
        <v>2290.7625542467399</v>
      </c>
      <c r="G583" s="1">
        <v>5</v>
      </c>
      <c r="H583" s="1">
        <v>3</v>
      </c>
      <c r="I583" s="1">
        <v>4</v>
      </c>
      <c r="J583" s="1">
        <v>3.5</v>
      </c>
      <c r="K583" s="1">
        <v>3</v>
      </c>
      <c r="L583" s="1">
        <v>1</v>
      </c>
      <c r="M583" s="4">
        <v>1613</v>
      </c>
      <c r="N583" s="1">
        <v>2004</v>
      </c>
      <c r="O583" s="1">
        <v>4868</v>
      </c>
      <c r="P583" s="1">
        <v>2864</v>
      </c>
      <c r="Q583" s="1" t="s">
        <v>42</v>
      </c>
      <c r="S583" s="1" t="s">
        <v>42</v>
      </c>
      <c r="T583" s="1" t="s">
        <v>228</v>
      </c>
      <c r="V583" s="5">
        <v>44404</v>
      </c>
      <c r="W583" s="5">
        <v>43990</v>
      </c>
      <c r="X583" s="1">
        <v>3695000</v>
      </c>
      <c r="Z583" s="5">
        <v>43990</v>
      </c>
      <c r="AB583" s="1" t="s">
        <v>44</v>
      </c>
      <c r="AF583" s="1">
        <v>10014</v>
      </c>
      <c r="AI583" s="1" t="s">
        <v>211</v>
      </c>
      <c r="AJ583" s="1">
        <v>2019</v>
      </c>
      <c r="AK583" s="1" t="s">
        <v>46</v>
      </c>
      <c r="AL583" s="1">
        <v>161</v>
      </c>
    </row>
    <row r="584" spans="1:38" x14ac:dyDescent="0.2">
      <c r="A584" s="2" t="str">
        <f>HYPERLINK("https://www.compass.com/listing/77-charlton-street-unit-s13a-manhattan-ny-10014/739814974972563737/","77 Charlton St, Unit S13A")</f>
        <v>77 Charlton St, Unit S13A</v>
      </c>
      <c r="B584" s="2" t="str">
        <f t="shared" si="77"/>
        <v>77 Charlton St</v>
      </c>
      <c r="C584" s="1" t="s">
        <v>53</v>
      </c>
      <c r="D584" s="1" t="s">
        <v>41</v>
      </c>
      <c r="E584" s="3">
        <v>4125000</v>
      </c>
      <c r="F584" s="1">
        <v>2300.6134969325099</v>
      </c>
      <c r="G584" s="1">
        <v>5.5</v>
      </c>
      <c r="H584" s="1">
        <v>3</v>
      </c>
      <c r="I584" s="1">
        <v>4</v>
      </c>
      <c r="J584" s="1">
        <v>3.5</v>
      </c>
      <c r="K584" s="1">
        <v>3</v>
      </c>
      <c r="L584" s="1">
        <v>1</v>
      </c>
      <c r="M584" s="4">
        <v>1793</v>
      </c>
      <c r="N584" s="1">
        <v>2217</v>
      </c>
      <c r="O584" s="1">
        <v>5386</v>
      </c>
      <c r="P584" s="1">
        <v>3169</v>
      </c>
      <c r="Q584" s="1" t="s">
        <v>42</v>
      </c>
      <c r="S584" s="1" t="s">
        <v>42</v>
      </c>
      <c r="T584" s="1" t="s">
        <v>228</v>
      </c>
      <c r="U584" s="1">
        <v>112</v>
      </c>
      <c r="V584" s="5">
        <v>44405</v>
      </c>
      <c r="W584" s="5">
        <v>44273</v>
      </c>
      <c r="X584" s="1">
        <v>4125000</v>
      </c>
      <c r="Z584" s="5">
        <v>44385</v>
      </c>
      <c r="AB584" s="1" t="s">
        <v>44</v>
      </c>
      <c r="AF584" s="1">
        <v>10014</v>
      </c>
      <c r="AI584" s="1" t="s">
        <v>211</v>
      </c>
      <c r="AJ584" s="1">
        <v>2019</v>
      </c>
      <c r="AK584" s="1" t="s">
        <v>46</v>
      </c>
      <c r="AL584" s="1">
        <v>161</v>
      </c>
    </row>
    <row r="585" spans="1:38" x14ac:dyDescent="0.2">
      <c r="A585" s="2" t="str">
        <f>HYPERLINK("https://www.compass.com/listing/77-charlton-street-unit-spha-manhattan-ny-10014/404409652780455265/","77 Charlton St, Unit SPHA")</f>
        <v>77 Charlton St, Unit SPHA</v>
      </c>
      <c r="B585" s="2" t="str">
        <f t="shared" si="77"/>
        <v>77 Charlton St</v>
      </c>
      <c r="C585" s="1" t="s">
        <v>53</v>
      </c>
      <c r="D585" s="1" t="s">
        <v>41</v>
      </c>
      <c r="E585" s="3">
        <v>3995000</v>
      </c>
      <c r="F585" s="1">
        <v>2421.2121212121201</v>
      </c>
      <c r="G585" s="1">
        <v>3.5</v>
      </c>
      <c r="H585" s="1">
        <v>2</v>
      </c>
      <c r="I585" s="1">
        <v>3</v>
      </c>
      <c r="J585" s="1">
        <v>2.5</v>
      </c>
      <c r="K585" s="1">
        <v>2</v>
      </c>
      <c r="L585" s="1">
        <v>1</v>
      </c>
      <c r="M585" s="4">
        <v>1650</v>
      </c>
      <c r="N585" s="1">
        <v>2276</v>
      </c>
      <c r="O585" s="1">
        <v>5529</v>
      </c>
      <c r="P585" s="1">
        <v>3253</v>
      </c>
      <c r="Q585" s="1" t="s">
        <v>42</v>
      </c>
      <c r="S585" s="1" t="s">
        <v>42</v>
      </c>
      <c r="T585" s="1" t="s">
        <v>228</v>
      </c>
      <c r="V585" s="5">
        <v>44404</v>
      </c>
      <c r="W585" s="5">
        <v>43810</v>
      </c>
      <c r="X585" s="1">
        <v>3995000</v>
      </c>
      <c r="Z585" s="5">
        <v>43810</v>
      </c>
      <c r="AB585" s="1" t="s">
        <v>44</v>
      </c>
      <c r="AF585" s="1">
        <v>10014</v>
      </c>
      <c r="AI585" s="1" t="s">
        <v>240</v>
      </c>
      <c r="AJ585" s="1">
        <v>2019</v>
      </c>
      <c r="AK585" s="1" t="s">
        <v>46</v>
      </c>
      <c r="AL585" s="1">
        <v>161</v>
      </c>
    </row>
    <row r="586" spans="1:38" x14ac:dyDescent="0.2">
      <c r="A586" s="2" t="str">
        <f>HYPERLINK("https://www.compass.com/listing/77-charlton-street-unit-s2a-manhattan-ny-10014/430423325224285241/","77 Charlton St, Unit S2A")</f>
        <v>77 Charlton St, Unit S2A</v>
      </c>
      <c r="B586" s="2" t="str">
        <f t="shared" si="77"/>
        <v>77 Charlton St</v>
      </c>
      <c r="C586" s="1" t="s">
        <v>53</v>
      </c>
      <c r="D586" s="1" t="s">
        <v>41</v>
      </c>
      <c r="E586" s="3">
        <v>3625000</v>
      </c>
      <c r="F586" s="1">
        <v>1959.45945945945</v>
      </c>
      <c r="G586" s="1">
        <v>5</v>
      </c>
      <c r="H586" s="1">
        <v>3</v>
      </c>
      <c r="I586" s="1">
        <v>4</v>
      </c>
      <c r="J586" s="1">
        <v>3.5</v>
      </c>
      <c r="K586" s="1">
        <v>3</v>
      </c>
      <c r="L586" s="1">
        <v>1</v>
      </c>
      <c r="M586" s="4">
        <v>1850</v>
      </c>
      <c r="N586" s="1">
        <v>2043</v>
      </c>
      <c r="O586" s="1">
        <v>5047</v>
      </c>
      <c r="P586" s="1">
        <v>3004</v>
      </c>
      <c r="Q586" s="1" t="s">
        <v>42</v>
      </c>
      <c r="S586" s="1" t="s">
        <v>42</v>
      </c>
      <c r="T586" s="1" t="s">
        <v>228</v>
      </c>
      <c r="V586" s="5">
        <v>44404</v>
      </c>
      <c r="W586" s="5">
        <v>43846</v>
      </c>
      <c r="X586" s="1">
        <v>3625000</v>
      </c>
      <c r="Z586" s="5">
        <v>43846</v>
      </c>
      <c r="AB586" s="1" t="s">
        <v>44</v>
      </c>
      <c r="AF586" s="1">
        <v>10014</v>
      </c>
      <c r="AI586" s="1" t="s">
        <v>211</v>
      </c>
      <c r="AJ586" s="1">
        <v>2019</v>
      </c>
      <c r="AK586" s="1" t="s">
        <v>46</v>
      </c>
      <c r="AL586" s="1">
        <v>161</v>
      </c>
    </row>
    <row r="587" spans="1:38" x14ac:dyDescent="0.2">
      <c r="A587" s="2" t="str">
        <f>HYPERLINK("https://www.compass.com/listing/180-east-88th-street-unit-4a-manhattan-ny-10128/816268262777977529/","180 E 88th St, Unit 4A")</f>
        <v>180 E 88th St, Unit 4A</v>
      </c>
      <c r="B587" s="2" t="str">
        <f>HYPERLINK("https://www.compass.com/building/180-e-88th-st-manhattan-ny-10128/282058835781256373/","180 E 88th St")</f>
        <v>180 E 88th St</v>
      </c>
      <c r="C587" s="1" t="s">
        <v>82</v>
      </c>
      <c r="D587" s="1" t="s">
        <v>41</v>
      </c>
      <c r="E587" s="3">
        <v>3450000</v>
      </c>
      <c r="F587" s="1">
        <v>1994.2196531791899</v>
      </c>
      <c r="G587" s="1">
        <v>4.5</v>
      </c>
      <c r="H587" s="1">
        <v>2</v>
      </c>
      <c r="I587" s="1">
        <v>3</v>
      </c>
      <c r="J587" s="1">
        <v>2.5</v>
      </c>
      <c r="K587" s="1">
        <v>2</v>
      </c>
      <c r="L587" s="1">
        <v>1</v>
      </c>
      <c r="M587" s="4">
        <v>1730</v>
      </c>
      <c r="N587" s="1">
        <v>2520</v>
      </c>
      <c r="O587" s="1">
        <v>4860</v>
      </c>
      <c r="P587" s="1">
        <v>2340</v>
      </c>
      <c r="Q587" s="1" t="s">
        <v>42</v>
      </c>
      <c r="S587" s="1" t="s">
        <v>42</v>
      </c>
      <c r="T587" s="1" t="s">
        <v>228</v>
      </c>
      <c r="U587" s="1">
        <v>8</v>
      </c>
      <c r="V587" s="5">
        <v>44415</v>
      </c>
      <c r="W587" s="5">
        <v>44377</v>
      </c>
      <c r="X587" s="1">
        <v>3450000</v>
      </c>
      <c r="Z587" s="5">
        <v>44386</v>
      </c>
      <c r="AB587" s="1" t="s">
        <v>44</v>
      </c>
      <c r="AF587" s="1">
        <v>10128</v>
      </c>
      <c r="AJ587" s="1">
        <v>2019</v>
      </c>
      <c r="AK587" s="1" t="s">
        <v>49</v>
      </c>
      <c r="AL587" s="1">
        <v>48</v>
      </c>
    </row>
    <row r="588" spans="1:38" x14ac:dyDescent="0.2">
      <c r="A588" s="2" t="str">
        <f>HYPERLINK("https://www.compass.com/listing/15-east-30th-street-unit-22d-manhattan-ny-10016/820473622763745817/","15 E 30th St, Unit 22D")</f>
        <v>15 E 30th St, Unit 22D</v>
      </c>
      <c r="B588" s="2" t="str">
        <f>HYPERLINK("https://www.compass.com/building/madison-house-manhattan-ny/281937618113974565/","Madison House")</f>
        <v>Madison House</v>
      </c>
      <c r="C588" s="1" t="s">
        <v>40</v>
      </c>
      <c r="D588" s="1" t="s">
        <v>41</v>
      </c>
      <c r="E588" s="3">
        <v>3625000</v>
      </c>
      <c r="F588" s="1">
        <v>2234.8951911220702</v>
      </c>
      <c r="G588" s="1">
        <v>5</v>
      </c>
      <c r="H588" s="1">
        <v>2</v>
      </c>
      <c r="I588" s="1">
        <v>2</v>
      </c>
      <c r="J588" s="1">
        <v>2</v>
      </c>
      <c r="K588" s="1">
        <v>2</v>
      </c>
      <c r="M588" s="4">
        <v>1622</v>
      </c>
      <c r="N588" s="1">
        <v>2265</v>
      </c>
      <c r="O588" s="1">
        <v>4986</v>
      </c>
      <c r="P588" s="1">
        <v>2721</v>
      </c>
      <c r="Q588" s="1" t="s">
        <v>42</v>
      </c>
      <c r="S588" s="1" t="s">
        <v>42</v>
      </c>
      <c r="T588" s="1" t="s">
        <v>228</v>
      </c>
      <c r="V588" s="5">
        <v>44427</v>
      </c>
      <c r="W588" s="5">
        <v>44383</v>
      </c>
      <c r="X588" s="1">
        <v>3625000</v>
      </c>
      <c r="Z588" s="5">
        <v>44384</v>
      </c>
      <c r="AB588" s="1" t="s">
        <v>44</v>
      </c>
      <c r="AF588" s="1">
        <v>10016</v>
      </c>
      <c r="AJ588" s="1">
        <v>2019</v>
      </c>
      <c r="AK588" s="1" t="s">
        <v>46</v>
      </c>
      <c r="AL588" s="1">
        <v>199</v>
      </c>
    </row>
    <row r="589" spans="1:38" x14ac:dyDescent="0.2">
      <c r="A589" s="2" t="str">
        <f>HYPERLINK("https://www.compass.com/listing/70-charlton-street-unit-21d-manhattan-ny-10014/799684110262671257/","70 Charlton St, Unit 21D")</f>
        <v>70 Charlton St, Unit 21D</v>
      </c>
      <c r="B589" s="2" t="str">
        <f>HYPERLINK("https://www.compass.com/building/70-charlton-street-manhattan-ny/292835639240484293/","70 Charlton Street")</f>
        <v>70 Charlton Street</v>
      </c>
      <c r="C589" s="1" t="s">
        <v>53</v>
      </c>
      <c r="D589" s="1" t="s">
        <v>41</v>
      </c>
      <c r="E589" s="3">
        <v>1795000</v>
      </c>
      <c r="F589" s="1">
        <v>2160.0481347773698</v>
      </c>
      <c r="G589" s="1">
        <v>3</v>
      </c>
      <c r="H589" s="1">
        <v>1</v>
      </c>
      <c r="J589" s="1">
        <v>1</v>
      </c>
      <c r="M589" s="1">
        <v>831</v>
      </c>
      <c r="N589" s="1">
        <v>2045</v>
      </c>
      <c r="O589" s="1">
        <v>2045</v>
      </c>
      <c r="S589" s="1" t="s">
        <v>181</v>
      </c>
      <c r="T589" s="1" t="s">
        <v>228</v>
      </c>
      <c r="V589" s="5">
        <v>44355</v>
      </c>
      <c r="W589" s="5">
        <v>44354</v>
      </c>
      <c r="X589" s="1">
        <v>1795000</v>
      </c>
      <c r="Z589" s="5">
        <v>44354</v>
      </c>
      <c r="AB589" s="1" t="s">
        <v>44</v>
      </c>
      <c r="AF589" s="1">
        <v>10014</v>
      </c>
      <c r="AI589" s="1" t="s">
        <v>80</v>
      </c>
      <c r="AJ589" s="1">
        <v>2016</v>
      </c>
      <c r="AK589" s="1" t="s">
        <v>49</v>
      </c>
      <c r="AL589" s="1">
        <v>92</v>
      </c>
    </row>
    <row r="590" spans="1:38" x14ac:dyDescent="0.2">
      <c r="A590" s="2" t="str">
        <f>HYPERLINK("https://www.compass.com/listing/15-hudson-yards-unit-71c-manhattan-ny-10001/801632582240132329/","15 Hudson Yards, Unit 71C")</f>
        <v>15 Hudson Yards, Unit 71C</v>
      </c>
      <c r="B590" s="2" t="str">
        <f>HYPERLINK("https://www.compass.com/building/fifteen-hudson-yards-manhattan-ny/282058587512011909/","Fifteen Hudson Yards")</f>
        <v>Fifteen Hudson Yards</v>
      </c>
      <c r="C590" s="1" t="s">
        <v>77</v>
      </c>
      <c r="D590" s="1" t="s">
        <v>41</v>
      </c>
      <c r="E590" s="3">
        <v>2950000</v>
      </c>
      <c r="F590" s="1">
        <v>2534.3642611683799</v>
      </c>
      <c r="G590" s="1">
        <v>3</v>
      </c>
      <c r="H590" s="1">
        <v>1</v>
      </c>
      <c r="I590" s="1">
        <v>2</v>
      </c>
      <c r="J590" s="1">
        <v>1.5</v>
      </c>
      <c r="K590" s="1">
        <v>1</v>
      </c>
      <c r="L590" s="1">
        <v>1</v>
      </c>
      <c r="M590" s="4">
        <v>1164</v>
      </c>
      <c r="N590" s="1">
        <v>2850</v>
      </c>
      <c r="O590" s="1">
        <v>2886</v>
      </c>
      <c r="P590" s="1">
        <v>36</v>
      </c>
      <c r="Q590" s="1" t="s">
        <v>42</v>
      </c>
      <c r="S590" s="1" t="s">
        <v>42</v>
      </c>
      <c r="T590" s="1" t="s">
        <v>228</v>
      </c>
      <c r="U590" s="1">
        <v>1</v>
      </c>
      <c r="V590" s="5">
        <v>44418</v>
      </c>
      <c r="W590" s="5">
        <v>44327</v>
      </c>
      <c r="X590" s="1">
        <v>2950000</v>
      </c>
      <c r="Z590" s="5">
        <v>44404</v>
      </c>
      <c r="AB590" s="1" t="s">
        <v>44</v>
      </c>
      <c r="AF590" s="1">
        <v>10001</v>
      </c>
      <c r="AJ590" s="1">
        <v>2018</v>
      </c>
      <c r="AK590" s="1" t="s">
        <v>46</v>
      </c>
      <c r="AL590" s="1">
        <v>285</v>
      </c>
    </row>
    <row r="591" spans="1:38" x14ac:dyDescent="0.2">
      <c r="A591" s="2" t="str">
        <f>HYPERLINK("https://www.compass.com/listing/15-east-30th-street-unit-45a-manhattan-ny-10016/817375729710329825/","15 E 30th St, Unit 45A")</f>
        <v>15 E 30th St, Unit 45A</v>
      </c>
      <c r="B591" s="2" t="str">
        <f>HYPERLINK("https://www.compass.com/building/madison-house-manhattan-ny/281937618113974565/","Madison House")</f>
        <v>Madison House</v>
      </c>
      <c r="C591" s="1" t="s">
        <v>40</v>
      </c>
      <c r="D591" s="1" t="s">
        <v>41</v>
      </c>
      <c r="E591" s="3">
        <v>2200000</v>
      </c>
      <c r="F591" s="1">
        <v>2335.4564755838601</v>
      </c>
      <c r="G591" s="1">
        <v>3</v>
      </c>
      <c r="H591" s="1">
        <v>1</v>
      </c>
      <c r="I591" s="1">
        <v>1</v>
      </c>
      <c r="J591" s="1">
        <v>1</v>
      </c>
      <c r="K591" s="1">
        <v>1</v>
      </c>
      <c r="M591" s="1">
        <v>942</v>
      </c>
      <c r="N591" s="1">
        <v>1315</v>
      </c>
      <c r="O591" s="1">
        <v>2895</v>
      </c>
      <c r="P591" s="1">
        <v>1580</v>
      </c>
      <c r="Q591" s="1" t="s">
        <v>42</v>
      </c>
      <c r="S591" s="1" t="s">
        <v>42</v>
      </c>
      <c r="T591" s="1" t="s">
        <v>228</v>
      </c>
      <c r="V591" s="5">
        <v>44427</v>
      </c>
      <c r="W591" s="5">
        <v>44379</v>
      </c>
      <c r="X591" s="1">
        <v>2200000</v>
      </c>
      <c r="Z591" s="5">
        <v>44380</v>
      </c>
      <c r="AB591" s="1" t="s">
        <v>44</v>
      </c>
      <c r="AF591" s="1">
        <v>10016</v>
      </c>
      <c r="AJ591" s="1">
        <v>2019</v>
      </c>
      <c r="AK591" s="1" t="s">
        <v>46</v>
      </c>
      <c r="AL591" s="1">
        <v>199</v>
      </c>
    </row>
    <row r="592" spans="1:38" x14ac:dyDescent="0.2">
      <c r="A592" s="2" t="str">
        <f>HYPERLINK("https://www.compass.com/listing/565-broome-street-unit-n11e-manhattan-ny-10013/762391229794522817/","565 Broome St, Unit N11E")</f>
        <v>565 Broome St, Unit N11E</v>
      </c>
      <c r="B592" s="2" t="str">
        <f t="shared" ref="B592:B598" si="78">HYPERLINK("https://www.compass.com/building/565-broome-soho-manhattan-ny/292813251698267109/","565 Broome Soho")</f>
        <v>565 Broome Soho</v>
      </c>
      <c r="C592" s="1" t="s">
        <v>53</v>
      </c>
      <c r="D592" s="1" t="s">
        <v>41</v>
      </c>
      <c r="E592" s="3">
        <v>5900000</v>
      </c>
      <c r="F592" s="1">
        <v>2503.18201103097</v>
      </c>
      <c r="G592" s="1">
        <v>4.5</v>
      </c>
      <c r="H592" s="1">
        <v>3</v>
      </c>
      <c r="I592" s="1">
        <v>4</v>
      </c>
      <c r="J592" s="1">
        <v>3.5</v>
      </c>
      <c r="K592" s="1">
        <v>3</v>
      </c>
      <c r="L592" s="1">
        <v>1</v>
      </c>
      <c r="M592" s="4">
        <v>2357</v>
      </c>
      <c r="N592" s="1">
        <v>3527</v>
      </c>
      <c r="O592" s="1">
        <v>6653</v>
      </c>
      <c r="P592" s="1">
        <v>3126</v>
      </c>
      <c r="Q592" s="1" t="s">
        <v>42</v>
      </c>
      <c r="S592" s="1" t="s">
        <v>42</v>
      </c>
      <c r="T592" s="1" t="s">
        <v>228</v>
      </c>
      <c r="U592" s="1">
        <v>77</v>
      </c>
      <c r="V592" s="5">
        <v>44427</v>
      </c>
      <c r="W592" s="5">
        <v>44302</v>
      </c>
      <c r="X592" s="1">
        <v>5900000</v>
      </c>
      <c r="Z592" s="5">
        <v>44380</v>
      </c>
      <c r="AB592" s="1" t="s">
        <v>44</v>
      </c>
      <c r="AF592" s="1">
        <v>10013</v>
      </c>
      <c r="AI592" s="1" t="s">
        <v>48</v>
      </c>
      <c r="AJ592" s="1">
        <v>2019</v>
      </c>
      <c r="AK592" s="1" t="s">
        <v>46</v>
      </c>
      <c r="AL592" s="1">
        <v>115</v>
      </c>
    </row>
    <row r="593" spans="1:38" x14ac:dyDescent="0.2">
      <c r="A593" s="2" t="str">
        <f>HYPERLINK("https://www.compass.com/listing/565-broome-street-unit-southphb-manhattan-ny-10013/614266720336795425/","565 Broome St, Unit SOUTHPHB")</f>
        <v>565 Broome St, Unit SOUTHPHB</v>
      </c>
      <c r="B593" s="2" t="str">
        <f t="shared" si="78"/>
        <v>565 Broome Soho</v>
      </c>
      <c r="C593" s="1" t="s">
        <v>53</v>
      </c>
      <c r="D593" s="1" t="s">
        <v>41</v>
      </c>
      <c r="E593" s="3">
        <v>30000000</v>
      </c>
      <c r="F593" s="1">
        <v>6772.0090293453704</v>
      </c>
      <c r="G593" s="1">
        <v>8</v>
      </c>
      <c r="H593" s="1">
        <v>4</v>
      </c>
      <c r="I593" s="1">
        <v>5</v>
      </c>
      <c r="J593" s="1">
        <v>4.5</v>
      </c>
      <c r="K593" s="1">
        <v>4</v>
      </c>
      <c r="L593" s="1">
        <v>1</v>
      </c>
      <c r="M593" s="4">
        <v>4430</v>
      </c>
      <c r="N593" s="1">
        <v>8527</v>
      </c>
      <c r="O593" s="1">
        <v>16083</v>
      </c>
      <c r="P593" s="1">
        <v>7556</v>
      </c>
      <c r="Q593" s="1" t="s">
        <v>42</v>
      </c>
      <c r="S593" s="1" t="s">
        <v>42</v>
      </c>
      <c r="T593" s="1" t="s">
        <v>228</v>
      </c>
      <c r="U593" s="1">
        <v>1</v>
      </c>
      <c r="V593" s="5">
        <v>44427</v>
      </c>
      <c r="W593" s="5">
        <v>44098</v>
      </c>
      <c r="X593" s="1">
        <v>30000000</v>
      </c>
      <c r="Z593" s="5">
        <v>44100</v>
      </c>
      <c r="AB593" s="1" t="s">
        <v>44</v>
      </c>
      <c r="AF593" s="1">
        <v>10013</v>
      </c>
      <c r="AI593" s="1" t="s">
        <v>48</v>
      </c>
      <c r="AJ593" s="1">
        <v>2019</v>
      </c>
      <c r="AK593" s="1" t="s">
        <v>49</v>
      </c>
      <c r="AL593" s="1">
        <v>115</v>
      </c>
    </row>
    <row r="594" spans="1:38" x14ac:dyDescent="0.2">
      <c r="A594" s="2" t="str">
        <f>HYPERLINK("https://www.compass.com/listing/565-broome-street-unit-n28a-manhattan-ny-10013/226207070779679297/","565 Broome St, Unit N28A")</f>
        <v>565 Broome St, Unit N28A</v>
      </c>
      <c r="B594" s="2" t="str">
        <f t="shared" si="78"/>
        <v>565 Broome Soho</v>
      </c>
      <c r="C594" s="1" t="s">
        <v>53</v>
      </c>
      <c r="D594" s="1" t="s">
        <v>41</v>
      </c>
      <c r="E594" s="3">
        <v>16950000</v>
      </c>
      <c r="F594" s="1">
        <v>3620.2477573686401</v>
      </c>
      <c r="G594" s="1">
        <v>9</v>
      </c>
      <c r="H594" s="1">
        <v>4</v>
      </c>
      <c r="I594" s="1">
        <v>6</v>
      </c>
      <c r="J594" s="1">
        <v>5.5</v>
      </c>
      <c r="K594" s="1">
        <v>5</v>
      </c>
      <c r="L594" s="1">
        <v>1</v>
      </c>
      <c r="M594" s="4">
        <v>4682</v>
      </c>
      <c r="N594" s="1">
        <v>7480</v>
      </c>
      <c r="O594" s="1">
        <v>14108</v>
      </c>
      <c r="P594" s="1">
        <v>6628</v>
      </c>
      <c r="Q594" s="1" t="s">
        <v>42</v>
      </c>
      <c r="S594" s="1" t="s">
        <v>42</v>
      </c>
      <c r="T594" s="1" t="s">
        <v>228</v>
      </c>
      <c r="U594" s="1">
        <v>1628</v>
      </c>
      <c r="V594" s="5">
        <v>44427</v>
      </c>
      <c r="W594" s="5">
        <v>42612</v>
      </c>
      <c r="X594" s="1">
        <v>19950000</v>
      </c>
      <c r="Z594" s="5">
        <v>44335</v>
      </c>
      <c r="AB594" s="1" t="s">
        <v>44</v>
      </c>
      <c r="AF594" s="1">
        <v>10013</v>
      </c>
      <c r="AI594" s="1" t="s">
        <v>48</v>
      </c>
      <c r="AJ594" s="1">
        <v>2019</v>
      </c>
      <c r="AK594" s="1" t="s">
        <v>46</v>
      </c>
      <c r="AL594" s="1">
        <v>115</v>
      </c>
    </row>
    <row r="595" spans="1:38" x14ac:dyDescent="0.2">
      <c r="A595" s="2" t="str">
        <f>HYPERLINK("https://www.compass.com/listing/565-broome-street-unit-s22a-manhattan-ny-10013/29515000192266561/","565 Broome St, Unit S22A")</f>
        <v>565 Broome St, Unit S22A</v>
      </c>
      <c r="B595" s="2" t="str">
        <f t="shared" si="78"/>
        <v>565 Broome Soho</v>
      </c>
      <c r="C595" s="1" t="s">
        <v>53</v>
      </c>
      <c r="D595" s="1" t="s">
        <v>41</v>
      </c>
      <c r="E595" s="3">
        <v>7150000</v>
      </c>
      <c r="F595" s="1">
        <v>2838.4279475982498</v>
      </c>
      <c r="G595" s="1">
        <v>7</v>
      </c>
      <c r="H595" s="1">
        <v>4</v>
      </c>
      <c r="I595" s="1">
        <v>4</v>
      </c>
      <c r="J595" s="1">
        <v>3.5</v>
      </c>
      <c r="K595" s="1">
        <v>3</v>
      </c>
      <c r="L595" s="1">
        <v>1</v>
      </c>
      <c r="M595" s="4">
        <v>2519</v>
      </c>
      <c r="N595" s="1">
        <v>3904</v>
      </c>
      <c r="O595" s="1">
        <v>7364</v>
      </c>
      <c r="P595" s="1">
        <v>3460</v>
      </c>
      <c r="Q595" s="1" t="s">
        <v>42</v>
      </c>
      <c r="S595" s="1" t="s">
        <v>42</v>
      </c>
      <c r="T595" s="1" t="s">
        <v>228</v>
      </c>
      <c r="U595" s="1">
        <v>773</v>
      </c>
      <c r="V595" s="5">
        <v>44419</v>
      </c>
      <c r="W595" s="5">
        <v>43474</v>
      </c>
      <c r="Z595" s="5">
        <v>44342</v>
      </c>
      <c r="AB595" s="1" t="s">
        <v>44</v>
      </c>
      <c r="AF595" s="1">
        <v>10013</v>
      </c>
      <c r="AI595" s="1" t="s">
        <v>48</v>
      </c>
      <c r="AJ595" s="1">
        <v>2019</v>
      </c>
      <c r="AK595" s="1" t="s">
        <v>46</v>
      </c>
      <c r="AL595" s="1">
        <v>115</v>
      </c>
    </row>
    <row r="596" spans="1:38" x14ac:dyDescent="0.2">
      <c r="A596" s="2" t="str">
        <f>HYPERLINK("https://www.compass.com/listing/565-broome-street-unit-s16a-manhattan-ny-10013/29514990788595617/","565 Broome St, Unit S16A")</f>
        <v>565 Broome St, Unit S16A</v>
      </c>
      <c r="B596" s="2" t="str">
        <f t="shared" si="78"/>
        <v>565 Broome Soho</v>
      </c>
      <c r="C596" s="1" t="s">
        <v>53</v>
      </c>
      <c r="D596" s="1" t="s">
        <v>41</v>
      </c>
      <c r="E596" s="3">
        <v>13500000</v>
      </c>
      <c r="F596" s="1">
        <v>3974.0947895201598</v>
      </c>
      <c r="G596" s="1">
        <v>6</v>
      </c>
      <c r="H596" s="1">
        <v>3</v>
      </c>
      <c r="I596" s="1">
        <v>4</v>
      </c>
      <c r="J596" s="1">
        <v>3.5</v>
      </c>
      <c r="K596" s="1">
        <v>3</v>
      </c>
      <c r="L596" s="1">
        <v>1</v>
      </c>
      <c r="M596" s="4">
        <v>3397</v>
      </c>
      <c r="N596" s="1">
        <v>5992</v>
      </c>
      <c r="O596" s="1">
        <v>12601</v>
      </c>
      <c r="P596" s="1">
        <v>6609</v>
      </c>
      <c r="Q596" s="1" t="s">
        <v>42</v>
      </c>
      <c r="S596" s="1" t="s">
        <v>42</v>
      </c>
      <c r="T596" s="1" t="s">
        <v>228</v>
      </c>
      <c r="U596" s="1">
        <v>128</v>
      </c>
      <c r="V596" s="5">
        <v>44427</v>
      </c>
      <c r="W596" s="5">
        <v>42612</v>
      </c>
      <c r="X596" s="1">
        <v>13500000</v>
      </c>
      <c r="Z596" s="5">
        <v>42741</v>
      </c>
      <c r="AB596" s="1" t="s">
        <v>44</v>
      </c>
      <c r="AF596" s="1">
        <v>10013</v>
      </c>
      <c r="AI596" s="1" t="s">
        <v>241</v>
      </c>
      <c r="AJ596" s="1">
        <v>2019</v>
      </c>
      <c r="AK596" s="1" t="s">
        <v>46</v>
      </c>
      <c r="AL596" s="1">
        <v>115</v>
      </c>
    </row>
    <row r="597" spans="1:38" x14ac:dyDescent="0.2">
      <c r="A597" s="2" t="str">
        <f>HYPERLINK("https://www.compass.com/listing/565-broome-street-unit-s11e-manhattan-ny-10013/29514996861948081/","565 Broome St, Unit S11E")</f>
        <v>565 Broome St, Unit S11E</v>
      </c>
      <c r="B597" s="2" t="str">
        <f t="shared" si="78"/>
        <v>565 Broome Soho</v>
      </c>
      <c r="C597" s="1" t="s">
        <v>53</v>
      </c>
      <c r="D597" s="1" t="s">
        <v>41</v>
      </c>
      <c r="E597" s="3">
        <v>5800000</v>
      </c>
      <c r="F597" s="1">
        <v>2519.54821894005</v>
      </c>
      <c r="G597" s="1">
        <v>6</v>
      </c>
      <c r="H597" s="1">
        <v>3</v>
      </c>
      <c r="I597" s="1">
        <v>4</v>
      </c>
      <c r="J597" s="1">
        <v>3.5</v>
      </c>
      <c r="K597" s="1">
        <v>3</v>
      </c>
      <c r="L597" s="1">
        <v>1</v>
      </c>
      <c r="M597" s="4">
        <v>2302</v>
      </c>
      <c r="N597" s="1">
        <v>3428</v>
      </c>
      <c r="O597" s="1">
        <v>7209</v>
      </c>
      <c r="P597" s="1">
        <v>3781</v>
      </c>
      <c r="Q597" s="1" t="s">
        <v>42</v>
      </c>
      <c r="S597" s="1" t="s">
        <v>42</v>
      </c>
      <c r="T597" s="1" t="s">
        <v>228</v>
      </c>
      <c r="U597" s="1">
        <v>51</v>
      </c>
      <c r="V597" s="5">
        <v>44427</v>
      </c>
      <c r="W597" s="5">
        <v>42612</v>
      </c>
      <c r="X597" s="1">
        <v>5800000</v>
      </c>
      <c r="Z597" s="5">
        <v>42664</v>
      </c>
      <c r="AB597" s="1" t="s">
        <v>44</v>
      </c>
      <c r="AF597" s="1">
        <v>10013</v>
      </c>
      <c r="AI597" s="1" t="s">
        <v>242</v>
      </c>
      <c r="AJ597" s="1">
        <v>2019</v>
      </c>
      <c r="AK597" s="1" t="s">
        <v>46</v>
      </c>
      <c r="AL597" s="1">
        <v>115</v>
      </c>
    </row>
    <row r="598" spans="1:38" x14ac:dyDescent="0.2">
      <c r="A598" s="2" t="str">
        <f>HYPERLINK("https://www.compass.com/listing/565-broome-street-unit-s20b-manhattan-ny-10013/430328275785988689/","565 Broome St, Unit S20B")</f>
        <v>565 Broome St, Unit S20B</v>
      </c>
      <c r="B598" s="2" t="str">
        <f t="shared" si="78"/>
        <v>565 Broome Soho</v>
      </c>
      <c r="C598" s="1" t="s">
        <v>53</v>
      </c>
      <c r="D598" s="1" t="s">
        <v>41</v>
      </c>
      <c r="E598" s="3">
        <v>6550000</v>
      </c>
      <c r="F598" s="1">
        <v>2730.3042934556001</v>
      </c>
      <c r="G598" s="1">
        <v>6.5</v>
      </c>
      <c r="H598" s="1">
        <v>3</v>
      </c>
      <c r="I598" s="1">
        <v>4</v>
      </c>
      <c r="J598" s="1">
        <v>3.5</v>
      </c>
      <c r="K598" s="1">
        <v>3</v>
      </c>
      <c r="L598" s="1">
        <v>1</v>
      </c>
      <c r="M598" s="4">
        <v>2399</v>
      </c>
      <c r="N598" s="1">
        <v>3694</v>
      </c>
      <c r="O598" s="1">
        <v>6967</v>
      </c>
      <c r="P598" s="1">
        <v>3273</v>
      </c>
      <c r="Q598" s="1" t="s">
        <v>42</v>
      </c>
      <c r="S598" s="1" t="s">
        <v>42</v>
      </c>
      <c r="T598" s="1" t="s">
        <v>228</v>
      </c>
      <c r="U598" s="1">
        <v>1707</v>
      </c>
      <c r="V598" s="5">
        <v>44414</v>
      </c>
      <c r="W598" s="5">
        <v>42612</v>
      </c>
      <c r="X598" s="1">
        <v>6550000</v>
      </c>
      <c r="Z598" s="5">
        <v>44414</v>
      </c>
      <c r="AB598" s="1" t="s">
        <v>44</v>
      </c>
      <c r="AF598" s="1">
        <v>10013</v>
      </c>
      <c r="AI598" s="1" t="s">
        <v>48</v>
      </c>
      <c r="AJ598" s="1">
        <v>2019</v>
      </c>
      <c r="AK598" s="1" t="s">
        <v>46</v>
      </c>
      <c r="AL598" s="1">
        <v>115</v>
      </c>
    </row>
    <row r="599" spans="1:38" x14ac:dyDescent="0.2">
      <c r="A599" s="2" t="str">
        <f>HYPERLINK("https://www.compass.com/listing/505-513-west-43rd-street-unit-4l-manhattan-ny-10036/817598819296265001/","505-513 W 43rd St, Unit 4L")</f>
        <v>505-513 W 43rd St, Unit 4L</v>
      </c>
      <c r="B599" s="2" t="str">
        <f>HYPERLINK("https://www.compass.com/building/charlie-west-manhattan-ny/292918554372621509/","Charlie West")</f>
        <v>Charlie West</v>
      </c>
      <c r="C599" s="1" t="s">
        <v>90</v>
      </c>
      <c r="D599" s="1" t="s">
        <v>41</v>
      </c>
      <c r="E599" s="3">
        <v>995000</v>
      </c>
      <c r="F599" s="1">
        <v>1512.1580547112401</v>
      </c>
      <c r="G599" s="1">
        <v>3</v>
      </c>
      <c r="H599" s="1">
        <v>1</v>
      </c>
      <c r="I599" s="1">
        <v>1</v>
      </c>
      <c r="J599" s="1">
        <v>1</v>
      </c>
      <c r="K599" s="1">
        <v>1</v>
      </c>
      <c r="M599" s="1">
        <v>658</v>
      </c>
      <c r="N599" s="1">
        <v>690.02</v>
      </c>
      <c r="O599" s="1">
        <v>2077.35</v>
      </c>
      <c r="P599" s="1">
        <v>1387.3333333333301</v>
      </c>
      <c r="Q599" s="1" t="s">
        <v>42</v>
      </c>
      <c r="S599" s="1" t="s">
        <v>42</v>
      </c>
      <c r="T599" s="1" t="s">
        <v>228</v>
      </c>
      <c r="U599" s="1">
        <v>33</v>
      </c>
      <c r="V599" s="5">
        <v>44413</v>
      </c>
      <c r="W599" s="5">
        <v>44379</v>
      </c>
      <c r="X599" s="1">
        <v>995000</v>
      </c>
      <c r="Z599" s="5">
        <v>44413</v>
      </c>
      <c r="AB599" s="1" t="s">
        <v>44</v>
      </c>
      <c r="AF599" s="1">
        <v>10036</v>
      </c>
      <c r="AI599" s="1" t="s">
        <v>118</v>
      </c>
      <c r="AJ599" s="1">
        <v>2019</v>
      </c>
      <c r="AK599" s="1" t="s">
        <v>46</v>
      </c>
      <c r="AL599" s="1">
        <v>123</v>
      </c>
    </row>
    <row r="600" spans="1:38" x14ac:dyDescent="0.2">
      <c r="A600" s="2" t="str">
        <f>HYPERLINK("https://www.compass.com/listing/235-west-75th-street-unit-1020-manhattan-ny-10023/536807789379625817/","235 W 75th St, Unit 1020")</f>
        <v>235 W 75th St, Unit 1020</v>
      </c>
      <c r="B600" s="2" t="str">
        <f>HYPERLINK("https://www.compass.com/building/the-astor-manhattan-ny/281958704155269925/","The Astor")</f>
        <v>The Astor</v>
      </c>
      <c r="C600" s="1" t="s">
        <v>57</v>
      </c>
      <c r="D600" s="1" t="s">
        <v>41</v>
      </c>
      <c r="E600" s="3">
        <v>3999000</v>
      </c>
      <c r="F600" s="1">
        <v>2092.6216640502298</v>
      </c>
      <c r="G600" s="1">
        <v>4</v>
      </c>
      <c r="H600" s="1">
        <v>3</v>
      </c>
      <c r="I600" s="1">
        <v>3</v>
      </c>
      <c r="J600" s="1">
        <v>3</v>
      </c>
      <c r="K600" s="1">
        <v>3</v>
      </c>
      <c r="M600" s="4">
        <v>1911</v>
      </c>
      <c r="N600" s="1">
        <v>2560</v>
      </c>
      <c r="O600" s="1">
        <v>5885</v>
      </c>
      <c r="P600" s="1">
        <v>3325</v>
      </c>
      <c r="Q600" s="1" t="s">
        <v>42</v>
      </c>
      <c r="S600" s="1" t="s">
        <v>42</v>
      </c>
      <c r="T600" s="1" t="s">
        <v>228</v>
      </c>
      <c r="U600" s="1">
        <v>260</v>
      </c>
      <c r="V600" s="5">
        <v>44427</v>
      </c>
      <c r="W600" s="5">
        <v>43990</v>
      </c>
      <c r="X600" s="1">
        <v>4995000</v>
      </c>
      <c r="Z600" s="5">
        <v>44357</v>
      </c>
      <c r="AB600" s="1" t="s">
        <v>44</v>
      </c>
      <c r="AF600" s="1">
        <v>10023</v>
      </c>
      <c r="AI600" s="1" t="s">
        <v>182</v>
      </c>
      <c r="AJ600" s="1">
        <v>2018</v>
      </c>
      <c r="AK600" s="1" t="s">
        <v>49</v>
      </c>
      <c r="AL600" s="1">
        <v>98</v>
      </c>
    </row>
    <row r="601" spans="1:38" x14ac:dyDescent="0.2">
      <c r="A601" s="2" t="str">
        <f>HYPERLINK("https://www.compass.com/listing/565-broome-street-unit-s26b-manhattan-ny-10013/226207071727601393/","565 Broome St, Unit S26B")</f>
        <v>565 Broome St, Unit S26B</v>
      </c>
      <c r="B601" s="2" t="str">
        <f>HYPERLINK("https://www.compass.com/building/565-broome-soho-manhattan-ny/292813251698267109/","565 Broome Soho")</f>
        <v>565 Broome Soho</v>
      </c>
      <c r="C601" s="1" t="s">
        <v>53</v>
      </c>
      <c r="D601" s="1" t="s">
        <v>41</v>
      </c>
      <c r="E601" s="3">
        <v>5995000</v>
      </c>
      <c r="F601" s="1">
        <v>2736.1935189411201</v>
      </c>
      <c r="G601" s="1">
        <v>4</v>
      </c>
      <c r="H601" s="1">
        <v>2</v>
      </c>
      <c r="I601" s="1">
        <v>3</v>
      </c>
      <c r="J601" s="1">
        <v>2.5</v>
      </c>
      <c r="K601" s="1">
        <v>2</v>
      </c>
      <c r="L601" s="1">
        <v>1</v>
      </c>
      <c r="M601" s="4">
        <v>2191</v>
      </c>
      <c r="N601" s="1">
        <v>3469</v>
      </c>
      <c r="O601" s="1">
        <v>6543</v>
      </c>
      <c r="P601" s="1">
        <v>3074</v>
      </c>
      <c r="Q601" s="1" t="s">
        <v>42</v>
      </c>
      <c r="S601" s="1" t="s">
        <v>42</v>
      </c>
      <c r="T601" s="1" t="s">
        <v>228</v>
      </c>
      <c r="U601" s="1">
        <v>922</v>
      </c>
      <c r="V601" s="5">
        <v>44427</v>
      </c>
      <c r="W601" s="5">
        <v>43354</v>
      </c>
      <c r="X601" s="1">
        <v>6300000</v>
      </c>
      <c r="Z601" s="5">
        <v>44371</v>
      </c>
      <c r="AB601" s="1" t="s">
        <v>44</v>
      </c>
      <c r="AF601" s="1">
        <v>10013</v>
      </c>
      <c r="AI601" s="1" t="s">
        <v>48</v>
      </c>
      <c r="AJ601" s="1">
        <v>2019</v>
      </c>
      <c r="AK601" s="1" t="s">
        <v>46</v>
      </c>
      <c r="AL601" s="1">
        <v>115</v>
      </c>
    </row>
    <row r="602" spans="1:38" x14ac:dyDescent="0.2">
      <c r="A602" s="2" t="str">
        <f>HYPERLINK("https://www.compass.com/listing/77-charlton-street-unit-n9e-manhattan-ny-10014/570986621024261145/","77 Charlton St, Unit N9E")</f>
        <v>77 Charlton St, Unit N9E</v>
      </c>
      <c r="B602" s="2" t="str">
        <f t="shared" ref="B602:B603" si="79">HYPERLINK("https://www.compass.com/building/77-charlton-st-manhattan-ny-10014/282058735872933093/","77 Charlton St")</f>
        <v>77 Charlton St</v>
      </c>
      <c r="C602" s="1" t="s">
        <v>53</v>
      </c>
      <c r="D602" s="1" t="s">
        <v>41</v>
      </c>
      <c r="E602" s="3">
        <v>1085000</v>
      </c>
      <c r="F602" s="1">
        <v>1896.8531468531401</v>
      </c>
      <c r="G602" s="1">
        <v>1</v>
      </c>
      <c r="H602" s="1" t="s">
        <v>99</v>
      </c>
      <c r="I602" s="1">
        <v>1</v>
      </c>
      <c r="J602" s="1">
        <v>1</v>
      </c>
      <c r="K602" s="1">
        <v>1</v>
      </c>
      <c r="M602" s="1">
        <v>572</v>
      </c>
      <c r="N602" s="1">
        <v>683</v>
      </c>
      <c r="O602" s="1">
        <v>1660</v>
      </c>
      <c r="P602" s="1">
        <v>977</v>
      </c>
      <c r="Q602" s="1" t="s">
        <v>42</v>
      </c>
      <c r="S602" s="1" t="s">
        <v>42</v>
      </c>
      <c r="T602" s="1" t="s">
        <v>228</v>
      </c>
      <c r="U602" s="1">
        <v>302</v>
      </c>
      <c r="V602" s="5">
        <v>44404</v>
      </c>
      <c r="W602" s="5">
        <v>44040</v>
      </c>
      <c r="X602" s="1">
        <v>1085000</v>
      </c>
      <c r="Z602" s="5">
        <v>44343</v>
      </c>
      <c r="AB602" s="1" t="s">
        <v>44</v>
      </c>
      <c r="AF602" s="1">
        <v>10014</v>
      </c>
      <c r="AI602" s="1" t="s">
        <v>238</v>
      </c>
      <c r="AJ602" s="1">
        <v>2019</v>
      </c>
      <c r="AK602" s="1" t="s">
        <v>46</v>
      </c>
      <c r="AL602" s="1">
        <v>161</v>
      </c>
    </row>
    <row r="603" spans="1:38" x14ac:dyDescent="0.2">
      <c r="A603" s="2" t="str">
        <f>HYPERLINK("https://www.compass.com/listing/77-charlton-street-unit-n5e-manhattan-ny-10014/430442290549789689/","77 Charlton St, Unit N5E")</f>
        <v>77 Charlton St, Unit N5E</v>
      </c>
      <c r="B603" s="2" t="str">
        <f t="shared" si="79"/>
        <v>77 Charlton St</v>
      </c>
      <c r="C603" s="1" t="s">
        <v>53</v>
      </c>
      <c r="D603" s="1" t="s">
        <v>41</v>
      </c>
      <c r="E603" s="3">
        <v>1025000</v>
      </c>
      <c r="F603" s="1">
        <v>1791.95804195804</v>
      </c>
      <c r="G603" s="1">
        <v>1</v>
      </c>
      <c r="H603" s="1" t="s">
        <v>99</v>
      </c>
      <c r="I603" s="1">
        <v>1</v>
      </c>
      <c r="J603" s="1">
        <v>1</v>
      </c>
      <c r="K603" s="1">
        <v>1</v>
      </c>
      <c r="M603" s="1">
        <v>572</v>
      </c>
      <c r="N603" s="1">
        <v>658</v>
      </c>
      <c r="O603" s="1">
        <v>1598</v>
      </c>
      <c r="P603" s="1">
        <v>940</v>
      </c>
      <c r="Q603" s="1" t="s">
        <v>42</v>
      </c>
      <c r="S603" s="1" t="s">
        <v>42</v>
      </c>
      <c r="T603" s="1" t="s">
        <v>228</v>
      </c>
      <c r="V603" s="5">
        <v>44404</v>
      </c>
      <c r="W603" s="5">
        <v>43846</v>
      </c>
      <c r="X603" s="1">
        <v>1025000</v>
      </c>
      <c r="Z603" s="5">
        <v>43846</v>
      </c>
      <c r="AB603" s="1" t="s">
        <v>44</v>
      </c>
      <c r="AF603" s="1">
        <v>10014</v>
      </c>
      <c r="AI603" s="1" t="s">
        <v>238</v>
      </c>
      <c r="AJ603" s="1">
        <v>2019</v>
      </c>
      <c r="AK603" s="1" t="s">
        <v>46</v>
      </c>
      <c r="AL603" s="1">
        <v>161</v>
      </c>
    </row>
    <row r="604" spans="1:38" x14ac:dyDescent="0.2">
      <c r="A604" s="2" t="str">
        <f>HYPERLINK("https://www.compass.com/listing/15-east-30th-street-unit-31b-manhattan-ny-10016/816710432111629761/","15 E 30th St, Unit 31B")</f>
        <v>15 E 30th St, Unit 31B</v>
      </c>
      <c r="B604" s="2" t="str">
        <f>HYPERLINK("https://www.compass.com/building/madison-house-manhattan-ny/281937618113974565/","Madison House")</f>
        <v>Madison House</v>
      </c>
      <c r="C604" s="1" t="s">
        <v>40</v>
      </c>
      <c r="D604" s="1" t="s">
        <v>41</v>
      </c>
      <c r="E604" s="3">
        <v>3760000</v>
      </c>
      <c r="F604" s="1">
        <v>2944.4009397024201</v>
      </c>
      <c r="G604" s="1">
        <v>5</v>
      </c>
      <c r="H604" s="1">
        <v>2</v>
      </c>
      <c r="I604" s="1">
        <v>2</v>
      </c>
      <c r="J604" s="1">
        <v>2</v>
      </c>
      <c r="K604" s="1">
        <v>2</v>
      </c>
      <c r="M604" s="4">
        <v>1277</v>
      </c>
      <c r="N604" s="1">
        <v>1783</v>
      </c>
      <c r="O604" s="1">
        <v>3925</v>
      </c>
      <c r="P604" s="1">
        <v>2142</v>
      </c>
      <c r="Q604" s="1" t="s">
        <v>42</v>
      </c>
      <c r="S604" s="1" t="s">
        <v>42</v>
      </c>
      <c r="T604" s="1" t="s">
        <v>228</v>
      </c>
      <c r="V604" s="5">
        <v>44427</v>
      </c>
      <c r="W604" s="5">
        <v>44378</v>
      </c>
      <c r="X604" s="1">
        <v>3760000</v>
      </c>
      <c r="Z604" s="5">
        <v>44379</v>
      </c>
      <c r="AB604" s="1" t="s">
        <v>44</v>
      </c>
      <c r="AF604" s="1">
        <v>10016</v>
      </c>
      <c r="AJ604" s="1">
        <v>2019</v>
      </c>
      <c r="AK604" s="1" t="s">
        <v>46</v>
      </c>
      <c r="AL604" s="1">
        <v>199</v>
      </c>
    </row>
    <row r="605" spans="1:38" x14ac:dyDescent="0.2">
      <c r="A605" s="2" t="str">
        <f>HYPERLINK("https://www.compass.com/listing/527-west-27th-street-unit-11s-manhattan-ny-10001/709542401776796209/","527 W 27th St, Unit 11S")</f>
        <v>527 W 27th St, Unit 11S</v>
      </c>
      <c r="B605" s="2" t="str">
        <f>HYPERLINK("https://www.compass.com/building/jardim-manhattan-ny/282062246220171157/","Jardim")</f>
        <v>Jardim</v>
      </c>
      <c r="C605" s="1" t="s">
        <v>62</v>
      </c>
      <c r="D605" s="1" t="s">
        <v>41</v>
      </c>
      <c r="E605" s="3">
        <v>10400000</v>
      </c>
      <c r="F605" s="1">
        <v>3734.2908438060999</v>
      </c>
      <c r="G605" s="1">
        <v>5</v>
      </c>
      <c r="H605" s="1">
        <v>3</v>
      </c>
      <c r="I605" s="1">
        <v>4</v>
      </c>
      <c r="J605" s="1">
        <v>3.5</v>
      </c>
      <c r="K605" s="1">
        <v>3</v>
      </c>
      <c r="L605" s="1">
        <v>1</v>
      </c>
      <c r="M605" s="4">
        <v>2785</v>
      </c>
      <c r="N605" s="1">
        <v>3696</v>
      </c>
      <c r="O605" s="1">
        <v>9632</v>
      </c>
      <c r="P605" s="1">
        <v>5936</v>
      </c>
      <c r="Q605" s="1" t="s">
        <v>42</v>
      </c>
      <c r="S605" s="1" t="s">
        <v>42</v>
      </c>
      <c r="T605" s="1" t="s">
        <v>228</v>
      </c>
      <c r="V605" s="5">
        <v>44427</v>
      </c>
      <c r="W605" s="5">
        <v>44230</v>
      </c>
      <c r="X605" s="1">
        <v>10400000</v>
      </c>
      <c r="Z605" s="5">
        <v>44231</v>
      </c>
      <c r="AB605" s="1" t="s">
        <v>44</v>
      </c>
      <c r="AF605" s="1">
        <v>10001</v>
      </c>
      <c r="AI605" s="1" t="s">
        <v>159</v>
      </c>
      <c r="AJ605" s="1">
        <v>2017</v>
      </c>
      <c r="AK605" s="1" t="s">
        <v>49</v>
      </c>
      <c r="AL605" s="1">
        <v>36</v>
      </c>
    </row>
    <row r="606" spans="1:38" x14ac:dyDescent="0.2">
      <c r="A606" s="2" t="str">
        <f>HYPERLINK("https://www.compass.com/listing/77-charlton-street-unit-n6e-manhattan-ny-10014/430471383743533425/","77 Charlton St, Unit N6E")</f>
        <v>77 Charlton St, Unit N6E</v>
      </c>
      <c r="B606" s="2" t="str">
        <f>HYPERLINK("https://www.compass.com/building/77-charlton-st-manhattan-ny-10014/282058735872933093/","77 Charlton St")</f>
        <v>77 Charlton St</v>
      </c>
      <c r="C606" s="1" t="s">
        <v>53</v>
      </c>
      <c r="D606" s="1" t="s">
        <v>41</v>
      </c>
      <c r="E606" s="3">
        <v>1040000</v>
      </c>
      <c r="F606" s="1">
        <v>1818.1818181818101</v>
      </c>
      <c r="G606" s="1">
        <v>1</v>
      </c>
      <c r="H606" s="1" t="s">
        <v>99</v>
      </c>
      <c r="I606" s="1">
        <v>1</v>
      </c>
      <c r="J606" s="1">
        <v>1</v>
      </c>
      <c r="K606" s="1">
        <v>1</v>
      </c>
      <c r="M606" s="1">
        <v>572</v>
      </c>
      <c r="N606" s="1">
        <v>664</v>
      </c>
      <c r="O606" s="1">
        <v>1613</v>
      </c>
      <c r="P606" s="1">
        <v>949</v>
      </c>
      <c r="Q606" s="1" t="s">
        <v>42</v>
      </c>
      <c r="S606" s="1" t="s">
        <v>42</v>
      </c>
      <c r="T606" s="1" t="s">
        <v>228</v>
      </c>
      <c r="V606" s="5">
        <v>44404</v>
      </c>
      <c r="W606" s="5">
        <v>43846</v>
      </c>
      <c r="X606" s="1">
        <v>1040000</v>
      </c>
      <c r="Z606" s="5">
        <v>43846</v>
      </c>
      <c r="AB606" s="1" t="s">
        <v>44</v>
      </c>
      <c r="AF606" s="1">
        <v>10014</v>
      </c>
      <c r="AI606" s="1" t="s">
        <v>238</v>
      </c>
      <c r="AJ606" s="1">
        <v>2019</v>
      </c>
      <c r="AK606" s="1" t="s">
        <v>46</v>
      </c>
      <c r="AL606" s="1">
        <v>161</v>
      </c>
    </row>
    <row r="607" spans="1:38" x14ac:dyDescent="0.2">
      <c r="A607" s="2" t="str">
        <f>HYPERLINK("https://www.compass.com/listing/15-east-30th-street-unit-26b-manhattan-ny-10016/816042711044957865/","15 E 30th St, Unit 26B")</f>
        <v>15 E 30th St, Unit 26B</v>
      </c>
      <c r="B607" s="2" t="str">
        <f>HYPERLINK("https://www.compass.com/building/madison-house-manhattan-ny/281937618113974565/","Madison House")</f>
        <v>Madison House</v>
      </c>
      <c r="C607" s="1" t="s">
        <v>40</v>
      </c>
      <c r="D607" s="1" t="s">
        <v>41</v>
      </c>
      <c r="E607" s="3">
        <v>2935000</v>
      </c>
      <c r="F607" s="1">
        <v>2298.3555207517602</v>
      </c>
      <c r="G607" s="1">
        <v>5</v>
      </c>
      <c r="H607" s="1">
        <v>2</v>
      </c>
      <c r="I607" s="1">
        <v>2</v>
      </c>
      <c r="J607" s="1">
        <v>2</v>
      </c>
      <c r="K607" s="1">
        <v>2</v>
      </c>
      <c r="M607" s="4">
        <v>1277</v>
      </c>
      <c r="N607" s="1">
        <v>1783</v>
      </c>
      <c r="O607" s="1">
        <v>3925</v>
      </c>
      <c r="P607" s="1">
        <v>2142</v>
      </c>
      <c r="Q607" s="1" t="s">
        <v>42</v>
      </c>
      <c r="S607" s="1" t="s">
        <v>42</v>
      </c>
      <c r="T607" s="1" t="s">
        <v>228</v>
      </c>
      <c r="V607" s="5">
        <v>44427</v>
      </c>
      <c r="W607" s="5">
        <v>44377</v>
      </c>
      <c r="X607" s="1">
        <v>2935000</v>
      </c>
      <c r="Z607" s="5">
        <v>44378</v>
      </c>
      <c r="AB607" s="1" t="s">
        <v>44</v>
      </c>
      <c r="AF607" s="1">
        <v>10016</v>
      </c>
      <c r="AJ607" s="1">
        <v>2019</v>
      </c>
      <c r="AK607" s="1" t="s">
        <v>46</v>
      </c>
      <c r="AL607" s="1">
        <v>199</v>
      </c>
    </row>
    <row r="608" spans="1:38" x14ac:dyDescent="0.2">
      <c r="A608" s="2" t="str">
        <f>HYPERLINK("https://www.compass.com/listing/565-broome-street-unit-s10a-manhattan-ny-10013/29515001525987201/","565 Broome St, Unit S10A")</f>
        <v>565 Broome St, Unit S10A</v>
      </c>
      <c r="B608" s="2" t="str">
        <f>HYPERLINK("https://www.compass.com/building/565-broome-soho-manhattan-ny/292813251698267109/","565 Broome Soho")</f>
        <v>565 Broome Soho</v>
      </c>
      <c r="C608" s="1" t="s">
        <v>53</v>
      </c>
      <c r="D608" s="1" t="s">
        <v>41</v>
      </c>
      <c r="E608" s="3">
        <v>2375000</v>
      </c>
      <c r="F608" s="1">
        <v>2398.9898989898902</v>
      </c>
      <c r="G608" s="1">
        <v>3</v>
      </c>
      <c r="H608" s="1">
        <v>1</v>
      </c>
      <c r="I608" s="1">
        <v>2</v>
      </c>
      <c r="J608" s="1">
        <v>1.5</v>
      </c>
      <c r="K608" s="1">
        <v>1</v>
      </c>
      <c r="L608" s="1">
        <v>1</v>
      </c>
      <c r="M608" s="1">
        <v>990</v>
      </c>
      <c r="N608" s="1">
        <v>1467</v>
      </c>
      <c r="O608" s="1">
        <v>1467</v>
      </c>
      <c r="Q608" s="1" t="s">
        <v>42</v>
      </c>
      <c r="S608" s="1" t="s">
        <v>42</v>
      </c>
      <c r="T608" s="1" t="s">
        <v>228</v>
      </c>
      <c r="V608" s="5">
        <v>44427</v>
      </c>
      <c r="W608" s="5">
        <v>42978</v>
      </c>
      <c r="X608" s="1">
        <v>2375000</v>
      </c>
      <c r="Z608" s="5">
        <v>42978</v>
      </c>
      <c r="AB608" s="1" t="s">
        <v>44</v>
      </c>
      <c r="AF608" s="1">
        <v>10013</v>
      </c>
      <c r="AI608" s="1" t="s">
        <v>242</v>
      </c>
      <c r="AJ608" s="1">
        <v>2019</v>
      </c>
      <c r="AK608" s="1" t="s">
        <v>46</v>
      </c>
      <c r="AL608" s="1">
        <v>115</v>
      </c>
    </row>
    <row r="609" spans="1:38" x14ac:dyDescent="0.2">
      <c r="A609" s="2" t="str">
        <f>HYPERLINK("https://www.compass.com/listing/527-west-27th-street-unit-10a-manhattan-ny-10001/338226707366151825/","527 W 27th St, Unit 10A")</f>
        <v>527 W 27th St, Unit 10A</v>
      </c>
      <c r="B609" s="2" t="str">
        <f>HYPERLINK("https://www.compass.com/building/jardim-manhattan-ny/282062246220171157/","Jardim")</f>
        <v>Jardim</v>
      </c>
      <c r="C609" s="1" t="s">
        <v>62</v>
      </c>
      <c r="D609" s="1" t="s">
        <v>41</v>
      </c>
      <c r="E609" s="3">
        <v>8975000</v>
      </c>
      <c r="F609" s="1">
        <v>2881.21990369181</v>
      </c>
      <c r="G609" s="1">
        <v>7.5</v>
      </c>
      <c r="H609" s="1">
        <v>4</v>
      </c>
      <c r="I609" s="1">
        <v>4</v>
      </c>
      <c r="J609" s="1">
        <v>3.5</v>
      </c>
      <c r="K609" s="1">
        <v>3</v>
      </c>
      <c r="L609" s="1">
        <v>1</v>
      </c>
      <c r="M609" s="4">
        <v>3115</v>
      </c>
      <c r="N609" s="1">
        <v>3480</v>
      </c>
      <c r="O609" s="1">
        <v>9169</v>
      </c>
      <c r="P609" s="1">
        <v>5689</v>
      </c>
      <c r="Q609" s="1" t="s">
        <v>42</v>
      </c>
      <c r="S609" s="1" t="s">
        <v>42</v>
      </c>
      <c r="T609" s="1" t="s">
        <v>228</v>
      </c>
      <c r="U609" s="1">
        <v>1806</v>
      </c>
      <c r="V609" s="5">
        <v>44427</v>
      </c>
      <c r="W609" s="5">
        <v>42489</v>
      </c>
      <c r="X609" s="1">
        <v>8975000</v>
      </c>
      <c r="Z609" s="5">
        <v>44390</v>
      </c>
      <c r="AB609" s="1" t="s">
        <v>44</v>
      </c>
      <c r="AF609" s="1">
        <v>10001</v>
      </c>
      <c r="AI609" s="1" t="s">
        <v>243</v>
      </c>
      <c r="AJ609" s="1">
        <v>2017</v>
      </c>
      <c r="AK609" s="1" t="s">
        <v>49</v>
      </c>
      <c r="AL609" s="1">
        <v>36</v>
      </c>
    </row>
    <row r="610" spans="1:38" x14ac:dyDescent="0.2">
      <c r="A610" s="2" t="str">
        <f>HYPERLINK("https://www.compass.com/listing/15-hudson-yards-unit-67e-manhattan-ny-10001/752194761730240849/","15 Hudson Yards, Unit 67E")</f>
        <v>15 Hudson Yards, Unit 67E</v>
      </c>
      <c r="B610" s="2" t="str">
        <f>HYPERLINK("https://www.compass.com/building/fifteen-hudson-yards-manhattan-ny/282058587512011909/","Fifteen Hudson Yards")</f>
        <v>Fifteen Hudson Yards</v>
      </c>
      <c r="C610" s="1" t="s">
        <v>77</v>
      </c>
      <c r="D610" s="1" t="s">
        <v>41</v>
      </c>
      <c r="E610" s="3">
        <v>6800000</v>
      </c>
      <c r="F610" s="1">
        <v>2723.2679215058001</v>
      </c>
      <c r="G610" s="1">
        <v>4</v>
      </c>
      <c r="H610" s="1">
        <v>2</v>
      </c>
      <c r="I610" s="1">
        <v>3</v>
      </c>
      <c r="J610" s="1">
        <v>2.5</v>
      </c>
      <c r="K610" s="1">
        <v>2</v>
      </c>
      <c r="L610" s="1">
        <v>1</v>
      </c>
      <c r="M610" s="4">
        <v>2497</v>
      </c>
      <c r="N610" s="1">
        <v>5980</v>
      </c>
      <c r="O610" s="1">
        <v>6055</v>
      </c>
      <c r="P610" s="1">
        <v>75</v>
      </c>
      <c r="Q610" s="1" t="s">
        <v>42</v>
      </c>
      <c r="S610" s="1" t="s">
        <v>42</v>
      </c>
      <c r="T610" s="1" t="s">
        <v>228</v>
      </c>
      <c r="U610" s="1">
        <v>91</v>
      </c>
      <c r="V610" s="5">
        <v>44416</v>
      </c>
      <c r="W610" s="5">
        <v>44295</v>
      </c>
      <c r="X610" s="1">
        <v>6800000</v>
      </c>
      <c r="Z610" s="5">
        <v>44387</v>
      </c>
      <c r="AB610" s="1" t="s">
        <v>44</v>
      </c>
      <c r="AF610" s="1">
        <v>10001</v>
      </c>
      <c r="AJ610" s="1">
        <v>2018</v>
      </c>
      <c r="AK610" s="1" t="s">
        <v>46</v>
      </c>
      <c r="AL610" s="1">
        <v>285</v>
      </c>
    </row>
    <row r="611" spans="1:38" x14ac:dyDescent="0.2">
      <c r="A611" s="2" t="str">
        <f>HYPERLINK("https://www.compass.com/listing/360-east-89th-street-unit-20a-manhattan-ny-10128/794923580752346777/","360 E 89th St, Unit 20A")</f>
        <v>360 E 89th St, Unit 20A</v>
      </c>
      <c r="B611" s="2" t="str">
        <f>HYPERLINK("https://www.compass.com/building/citizen360-manhattan-ny/282052027553444853/","Citizen360")</f>
        <v>Citizen360</v>
      </c>
      <c r="C611" s="1" t="s">
        <v>82</v>
      </c>
      <c r="D611" s="1" t="s">
        <v>41</v>
      </c>
      <c r="E611" s="3">
        <v>4000000</v>
      </c>
      <c r="F611" s="1">
        <v>1952.1717911176099</v>
      </c>
      <c r="G611" s="1">
        <v>5.5</v>
      </c>
      <c r="H611" s="1">
        <v>3</v>
      </c>
      <c r="I611" s="1">
        <v>4</v>
      </c>
      <c r="J611" s="1">
        <v>3.5</v>
      </c>
      <c r="K611" s="1">
        <v>3</v>
      </c>
      <c r="L611" s="1">
        <v>1</v>
      </c>
      <c r="M611" s="4">
        <v>2049</v>
      </c>
      <c r="N611" s="1">
        <v>2094</v>
      </c>
      <c r="O611" s="1">
        <v>3587</v>
      </c>
      <c r="P611" s="1">
        <v>1493</v>
      </c>
      <c r="Q611" s="1" t="s">
        <v>42</v>
      </c>
      <c r="S611" s="1" t="s">
        <v>42</v>
      </c>
      <c r="T611" s="1" t="s">
        <v>228</v>
      </c>
      <c r="U611" s="1">
        <v>42</v>
      </c>
      <c r="V611" s="5">
        <v>44391</v>
      </c>
      <c r="W611" s="5">
        <v>44348</v>
      </c>
      <c r="X611" s="1">
        <v>4000000</v>
      </c>
      <c r="Z611" s="5">
        <v>44391</v>
      </c>
      <c r="AB611" s="1" t="s">
        <v>44</v>
      </c>
      <c r="AF611" s="1">
        <v>10128</v>
      </c>
      <c r="AJ611" s="1">
        <v>2017</v>
      </c>
      <c r="AK611" s="1" t="s">
        <v>108</v>
      </c>
      <c r="AL611" s="1">
        <v>82</v>
      </c>
    </row>
    <row r="612" spans="1:38" x14ac:dyDescent="0.2">
      <c r="A612" s="2" t="str">
        <f>HYPERLINK("https://www.compass.com/listing/15-hudson-yards-unit-30g-manhattan-ny-10001/27574652381486257/","15 Hudson Yards, Unit 30G")</f>
        <v>15 Hudson Yards, Unit 30G</v>
      </c>
      <c r="B612" s="2" t="str">
        <f t="shared" ref="B612:B613" si="80">HYPERLINK("https://www.compass.com/building/fifteen-hudson-yards-manhattan-ny/282058587512011909/","Fifteen Hudson Yards")</f>
        <v>Fifteen Hudson Yards</v>
      </c>
      <c r="C612" s="1" t="s">
        <v>77</v>
      </c>
      <c r="D612" s="1" t="s">
        <v>41</v>
      </c>
      <c r="E612" s="3">
        <v>3850000</v>
      </c>
      <c r="F612" s="1">
        <v>2629.7814207650199</v>
      </c>
      <c r="G612" s="1">
        <v>4</v>
      </c>
      <c r="H612" s="1">
        <v>2</v>
      </c>
      <c r="I612" s="1">
        <v>3</v>
      </c>
      <c r="J612" s="1">
        <v>2.5</v>
      </c>
      <c r="K612" s="1">
        <v>2</v>
      </c>
      <c r="L612" s="1">
        <v>1</v>
      </c>
      <c r="M612" s="4">
        <v>1464</v>
      </c>
      <c r="N612" s="1">
        <v>3590</v>
      </c>
      <c r="O612" s="1">
        <v>3635</v>
      </c>
      <c r="P612" s="1">
        <v>45</v>
      </c>
      <c r="Q612" s="1" t="s">
        <v>42</v>
      </c>
      <c r="S612" s="1" t="s">
        <v>42</v>
      </c>
      <c r="T612" s="1" t="s">
        <v>228</v>
      </c>
      <c r="U612" s="1">
        <v>353</v>
      </c>
      <c r="V612" s="5">
        <v>44413</v>
      </c>
      <c r="W612" s="5">
        <v>43547</v>
      </c>
      <c r="Z612" s="5">
        <v>44279</v>
      </c>
      <c r="AB612" s="1" t="s">
        <v>44</v>
      </c>
      <c r="AF612" s="1">
        <v>10001</v>
      </c>
      <c r="AJ612" s="1">
        <v>2018</v>
      </c>
      <c r="AK612" s="1" t="s">
        <v>46</v>
      </c>
      <c r="AL612" s="1">
        <v>285</v>
      </c>
    </row>
    <row r="613" spans="1:38" x14ac:dyDescent="0.2">
      <c r="A613" s="2" t="str">
        <f>HYPERLINK("https://www.compass.com/listing/15-hudson-yards-unit-79e-manhattan-ny-10001/470776860113298201/","15 Hudson Yards, Unit 79E")</f>
        <v>15 Hudson Yards, Unit 79E</v>
      </c>
      <c r="B613" s="2" t="str">
        <f t="shared" si="80"/>
        <v>Fifteen Hudson Yards</v>
      </c>
      <c r="C613" s="1" t="s">
        <v>77</v>
      </c>
      <c r="D613" s="1" t="s">
        <v>41</v>
      </c>
      <c r="E613" s="3">
        <v>5995000</v>
      </c>
      <c r="F613" s="1">
        <v>2685.93189964157</v>
      </c>
      <c r="G613" s="1">
        <v>5.5</v>
      </c>
      <c r="H613" s="1">
        <v>3</v>
      </c>
      <c r="I613" s="1">
        <v>4</v>
      </c>
      <c r="J613" s="1">
        <v>3.5</v>
      </c>
      <c r="K613" s="1">
        <v>3</v>
      </c>
      <c r="L613" s="1">
        <v>1</v>
      </c>
      <c r="M613" s="4">
        <v>2232</v>
      </c>
      <c r="N613" s="1">
        <v>5612</v>
      </c>
      <c r="O613" s="1">
        <v>5683</v>
      </c>
      <c r="P613" s="1">
        <v>71</v>
      </c>
      <c r="Q613" s="1" t="s">
        <v>42</v>
      </c>
      <c r="S613" s="1" t="s">
        <v>42</v>
      </c>
      <c r="T613" s="1" t="s">
        <v>228</v>
      </c>
      <c r="U613" s="1">
        <v>1</v>
      </c>
      <c r="V613" s="5">
        <v>44413</v>
      </c>
      <c r="W613" s="5">
        <v>44257</v>
      </c>
      <c r="X613" s="1">
        <v>5995000</v>
      </c>
      <c r="Z613" s="5">
        <v>44264</v>
      </c>
      <c r="AB613" s="1" t="s">
        <v>44</v>
      </c>
      <c r="AF613" s="1">
        <v>10001</v>
      </c>
      <c r="AI613" s="1" t="s">
        <v>182</v>
      </c>
      <c r="AJ613" s="1">
        <v>2018</v>
      </c>
      <c r="AK613" s="1" t="s">
        <v>46</v>
      </c>
      <c r="AL613" s="1">
        <v>285</v>
      </c>
    </row>
    <row r="614" spans="1:38" x14ac:dyDescent="0.2">
      <c r="A614" s="2" t="str">
        <f>HYPERLINK("https://www.compass.com/listing/12-east-88th-street-unit-th1-manhattan-ny-10128/388460187800190897/","12 E 88th St, Unit TH1")</f>
        <v>12 E 88th St, Unit TH1</v>
      </c>
      <c r="B614" s="2" t="str">
        <f t="shared" ref="B614:B615" si="81">HYPERLINK("https://www.compass.com/building/12-e-88th-st-manhattan-ny-10128/282046316798827461/","12 E 88th St")</f>
        <v>12 E 88th St</v>
      </c>
      <c r="C614" s="1" t="s">
        <v>82</v>
      </c>
      <c r="D614" s="1" t="s">
        <v>41</v>
      </c>
      <c r="E614" s="3">
        <v>2200000</v>
      </c>
      <c r="F614" s="1">
        <v>1388.88888888888</v>
      </c>
      <c r="G614" s="1">
        <v>4</v>
      </c>
      <c r="H614" s="1">
        <v>2</v>
      </c>
      <c r="I614" s="1">
        <v>3</v>
      </c>
      <c r="J614" s="1">
        <v>2.5</v>
      </c>
      <c r="K614" s="1">
        <v>2</v>
      </c>
      <c r="L614" s="1">
        <v>1</v>
      </c>
      <c r="M614" s="4">
        <v>1584</v>
      </c>
      <c r="N614" s="1">
        <v>2045</v>
      </c>
      <c r="O614" s="1">
        <v>4260</v>
      </c>
      <c r="P614" s="1">
        <v>2215</v>
      </c>
      <c r="Q614" s="1" t="s">
        <v>42</v>
      </c>
      <c r="S614" s="1" t="s">
        <v>42</v>
      </c>
      <c r="T614" s="1" t="s">
        <v>228</v>
      </c>
      <c r="U614" s="1">
        <v>450</v>
      </c>
      <c r="V614" s="5">
        <v>44412</v>
      </c>
      <c r="W614" s="5">
        <v>43783</v>
      </c>
      <c r="X614" s="1">
        <v>2950000</v>
      </c>
      <c r="Z614" s="5">
        <v>44359</v>
      </c>
      <c r="AB614" s="1" t="s">
        <v>44</v>
      </c>
      <c r="AF614" s="1">
        <v>10128</v>
      </c>
      <c r="AI614" s="1" t="s">
        <v>177</v>
      </c>
      <c r="AJ614" s="1">
        <v>1931</v>
      </c>
      <c r="AK614" s="1" t="s">
        <v>175</v>
      </c>
      <c r="AL614" s="1">
        <v>39</v>
      </c>
    </row>
    <row r="615" spans="1:38" x14ac:dyDescent="0.2">
      <c r="A615" s="2" t="str">
        <f>HYPERLINK("https://www.compass.com/listing/12-east-88th-street-unit-th1-manhattan-ny-10128/801617468057234257/","12 E 88th St, Unit TH1")</f>
        <v>12 E 88th St, Unit TH1</v>
      </c>
      <c r="B615" s="2" t="str">
        <f t="shared" si="81"/>
        <v>12 E 88th St</v>
      </c>
      <c r="C615" s="1" t="s">
        <v>82</v>
      </c>
      <c r="D615" s="1" t="s">
        <v>41</v>
      </c>
      <c r="E615" s="3">
        <v>2200000</v>
      </c>
      <c r="F615" s="1">
        <v>1388.88888888888</v>
      </c>
      <c r="G615" s="1">
        <v>4.5</v>
      </c>
      <c r="H615" s="1">
        <v>2</v>
      </c>
      <c r="I615" s="1">
        <v>3</v>
      </c>
      <c r="J615" s="1">
        <v>2.5</v>
      </c>
      <c r="K615" s="1">
        <v>2</v>
      </c>
      <c r="L615" s="1">
        <v>1</v>
      </c>
      <c r="M615" s="4">
        <v>1584</v>
      </c>
      <c r="N615" s="1">
        <v>2044</v>
      </c>
      <c r="O615" s="1">
        <v>4874</v>
      </c>
      <c r="P615" s="1">
        <v>2830</v>
      </c>
      <c r="Q615" s="1" t="s">
        <v>42</v>
      </c>
      <c r="S615" s="1" t="s">
        <v>42</v>
      </c>
      <c r="T615" s="1" t="s">
        <v>228</v>
      </c>
      <c r="U615" s="1">
        <v>516</v>
      </c>
      <c r="V615" s="5">
        <v>44404</v>
      </c>
      <c r="W615" s="5">
        <v>43788</v>
      </c>
      <c r="X615" s="1">
        <v>2950000</v>
      </c>
      <c r="Z615" s="5">
        <v>44398</v>
      </c>
      <c r="AB615" s="1" t="s">
        <v>44</v>
      </c>
      <c r="AF615" s="1">
        <v>10128</v>
      </c>
      <c r="AI615" s="1" t="s">
        <v>197</v>
      </c>
      <c r="AJ615" s="1">
        <v>1931</v>
      </c>
      <c r="AK615" s="1" t="s">
        <v>46</v>
      </c>
      <c r="AL615" s="1">
        <v>39</v>
      </c>
    </row>
    <row r="616" spans="1:38" x14ac:dyDescent="0.2">
      <c r="A616" s="2" t="str">
        <f>HYPERLINK("https://www.compass.com/listing/15-hudson-yards-unit-35h-manhattan-ny-10001/470769561011223353/","15 Hudson Yards, Unit 35H")</f>
        <v>15 Hudson Yards, Unit 35H</v>
      </c>
      <c r="B616" s="2" t="str">
        <f t="shared" ref="B616:B617" si="82">HYPERLINK("https://www.compass.com/building/fifteen-hudson-yards-manhattan-ny/282058587512011909/","Fifteen Hudson Yards")</f>
        <v>Fifteen Hudson Yards</v>
      </c>
      <c r="C616" s="1" t="s">
        <v>77</v>
      </c>
      <c r="D616" s="1" t="s">
        <v>41</v>
      </c>
      <c r="E616" s="3">
        <v>5495000</v>
      </c>
      <c r="F616" s="1">
        <v>2480.8126410835198</v>
      </c>
      <c r="G616" s="1">
        <v>5</v>
      </c>
      <c r="H616" s="1">
        <v>3</v>
      </c>
      <c r="I616" s="1">
        <v>3</v>
      </c>
      <c r="J616" s="1">
        <v>3</v>
      </c>
      <c r="K616" s="1">
        <v>3</v>
      </c>
      <c r="M616" s="4">
        <v>2215</v>
      </c>
      <c r="N616" s="1">
        <v>5303</v>
      </c>
      <c r="O616" s="1">
        <v>5370</v>
      </c>
      <c r="P616" s="1">
        <v>67</v>
      </c>
      <c r="Q616" s="1" t="s">
        <v>42</v>
      </c>
      <c r="S616" s="1" t="s">
        <v>42</v>
      </c>
      <c r="T616" s="1" t="s">
        <v>228</v>
      </c>
      <c r="U616" s="1">
        <v>350</v>
      </c>
      <c r="V616" s="5">
        <v>44414</v>
      </c>
      <c r="W616" s="5">
        <v>43901</v>
      </c>
      <c r="X616" s="1">
        <v>6570000</v>
      </c>
      <c r="Z616" s="5">
        <v>44385</v>
      </c>
      <c r="AB616" s="1" t="s">
        <v>44</v>
      </c>
      <c r="AF616" s="1">
        <v>10001</v>
      </c>
      <c r="AJ616" s="1">
        <v>2018</v>
      </c>
      <c r="AK616" s="1" t="s">
        <v>46</v>
      </c>
      <c r="AL616" s="1">
        <v>285</v>
      </c>
    </row>
    <row r="617" spans="1:38" x14ac:dyDescent="0.2">
      <c r="A617" s="2" t="str">
        <f>HYPERLINK("https://www.compass.com/listing/15-hudson-yards-unit-ph84d-manhattan-ny-10001/165867154736958049/","15 Hudson Yards, Unit PH84D")</f>
        <v>15 Hudson Yards, Unit PH84D</v>
      </c>
      <c r="B617" s="2" t="str">
        <f t="shared" si="82"/>
        <v>Fifteen Hudson Yards</v>
      </c>
      <c r="C617" s="1" t="s">
        <v>77</v>
      </c>
      <c r="D617" s="1" t="s">
        <v>41</v>
      </c>
      <c r="E617" s="3">
        <v>8435000</v>
      </c>
      <c r="F617" s="1">
        <v>3323.4830575256101</v>
      </c>
      <c r="G617" s="1">
        <v>6</v>
      </c>
      <c r="H617" s="1">
        <v>3</v>
      </c>
      <c r="I617" s="1">
        <v>4</v>
      </c>
      <c r="J617" s="1">
        <v>3.5</v>
      </c>
      <c r="K617" s="1">
        <v>3</v>
      </c>
      <c r="L617" s="1">
        <v>1</v>
      </c>
      <c r="M617" s="4">
        <v>2538</v>
      </c>
      <c r="N617" s="1">
        <v>6249</v>
      </c>
      <c r="O617" s="1">
        <v>6328</v>
      </c>
      <c r="P617" s="1">
        <v>79</v>
      </c>
      <c r="Q617" s="1" t="s">
        <v>42</v>
      </c>
      <c r="S617" s="1" t="s">
        <v>42</v>
      </c>
      <c r="T617" s="1" t="s">
        <v>228</v>
      </c>
      <c r="U617" s="1">
        <v>127</v>
      </c>
      <c r="V617" s="5">
        <v>44426</v>
      </c>
      <c r="W617" s="5">
        <v>44257</v>
      </c>
      <c r="Z617" s="5">
        <v>44396</v>
      </c>
      <c r="AB617" s="1" t="s">
        <v>44</v>
      </c>
      <c r="AF617" s="1">
        <v>10001</v>
      </c>
      <c r="AI617" s="1" t="s">
        <v>177</v>
      </c>
      <c r="AJ617" s="1">
        <v>2018</v>
      </c>
      <c r="AK617" s="1" t="s">
        <v>46</v>
      </c>
      <c r="AL617" s="1">
        <v>285</v>
      </c>
    </row>
    <row r="618" spans="1:38" x14ac:dyDescent="0.2">
      <c r="A618" s="2" t="str">
        <f>HYPERLINK("https://www.compass.com/listing/200-east-94th-street-unit-1914-manhattan-ny-10128/775551744023324449/","200 E 94th St, Unit 1914")</f>
        <v>200 E 94th St, Unit 1914</v>
      </c>
      <c r="B618" s="2" t="str">
        <f>HYPERLINK("https://www.compass.com/building/carnegie-park-condominium-manhattan-ny/282049797358118613/","Carnegie Park Condominium")</f>
        <v>Carnegie Park Condominium</v>
      </c>
      <c r="C618" s="1" t="s">
        <v>82</v>
      </c>
      <c r="D618" s="1" t="s">
        <v>41</v>
      </c>
      <c r="E618" s="3">
        <v>1745000</v>
      </c>
      <c r="F618" s="1">
        <v>1638.4976525821501</v>
      </c>
      <c r="G618" s="1">
        <v>4.5</v>
      </c>
      <c r="H618" s="1">
        <v>2</v>
      </c>
      <c r="I618" s="1">
        <v>2</v>
      </c>
      <c r="J618" s="1">
        <v>2</v>
      </c>
      <c r="K618" s="1">
        <v>2</v>
      </c>
      <c r="M618" s="4">
        <v>1065</v>
      </c>
      <c r="N618" s="1">
        <v>1258</v>
      </c>
      <c r="O618" s="1">
        <v>2579</v>
      </c>
      <c r="P618" s="1">
        <v>1321</v>
      </c>
      <c r="Q618" s="1" t="s">
        <v>42</v>
      </c>
      <c r="S618" s="1" t="s">
        <v>42</v>
      </c>
      <c r="T618" s="1" t="s">
        <v>228</v>
      </c>
      <c r="U618" s="1">
        <v>41</v>
      </c>
      <c r="V618" s="5">
        <v>44415</v>
      </c>
      <c r="W618" s="5">
        <v>44321</v>
      </c>
      <c r="X618" s="1">
        <v>1745000</v>
      </c>
      <c r="Z618" s="5">
        <v>44362</v>
      </c>
      <c r="AB618" s="1" t="s">
        <v>44</v>
      </c>
      <c r="AF618" s="1">
        <v>10128</v>
      </c>
      <c r="AI618" s="1" t="s">
        <v>185</v>
      </c>
      <c r="AJ618" s="1">
        <v>1986</v>
      </c>
      <c r="AK618" s="1" t="s">
        <v>108</v>
      </c>
      <c r="AL618" s="1">
        <v>287</v>
      </c>
    </row>
    <row r="619" spans="1:38" x14ac:dyDescent="0.2">
      <c r="A619" s="2" t="str">
        <f>HYPERLINK("https://www.compass.com/listing/15-east-30th-street-unit-28b-manhattan-ny-10016/810218414376203089/","15 E 30th St, Unit 28B")</f>
        <v>15 E 30th St, Unit 28B</v>
      </c>
      <c r="B619" s="2" t="str">
        <f>HYPERLINK("https://www.compass.com/building/madison-house-manhattan-ny/281937618113974565/","Madison House")</f>
        <v>Madison House</v>
      </c>
      <c r="C619" s="1" t="s">
        <v>40</v>
      </c>
      <c r="D619" s="1" t="s">
        <v>41</v>
      </c>
      <c r="E619" s="3">
        <v>2995000</v>
      </c>
      <c r="F619" s="1">
        <v>2345.3406421299901</v>
      </c>
      <c r="G619" s="1">
        <v>5</v>
      </c>
      <c r="H619" s="1">
        <v>2</v>
      </c>
      <c r="I619" s="1">
        <v>2</v>
      </c>
      <c r="J619" s="1">
        <v>2</v>
      </c>
      <c r="K619" s="1">
        <v>2</v>
      </c>
      <c r="M619" s="4">
        <v>1277</v>
      </c>
      <c r="N619" s="1">
        <v>1783</v>
      </c>
      <c r="O619" s="1">
        <v>3925</v>
      </c>
      <c r="P619" s="1">
        <v>2142</v>
      </c>
      <c r="Q619" s="1" t="s">
        <v>42</v>
      </c>
      <c r="S619" s="1" t="s">
        <v>42</v>
      </c>
      <c r="T619" s="1" t="s">
        <v>228</v>
      </c>
      <c r="V619" s="5">
        <v>44427</v>
      </c>
      <c r="W619" s="5">
        <v>44369</v>
      </c>
      <c r="X619" s="1">
        <v>2995000</v>
      </c>
      <c r="Z619" s="5">
        <v>44370</v>
      </c>
      <c r="AB619" s="1" t="s">
        <v>44</v>
      </c>
      <c r="AF619" s="1">
        <v>10016</v>
      </c>
      <c r="AJ619" s="1">
        <v>2019</v>
      </c>
      <c r="AK619" s="1" t="s">
        <v>46</v>
      </c>
      <c r="AL619" s="1">
        <v>199</v>
      </c>
    </row>
    <row r="620" spans="1:38" x14ac:dyDescent="0.2">
      <c r="A620" s="2" t="str">
        <f>HYPERLINK("https://www.compass.com/listing/15-hudson-yards-unit-34g-manhattan-ny-10001/836925159523436785/","15 Hudson Yards, Unit 34G")</f>
        <v>15 Hudson Yards, Unit 34G</v>
      </c>
      <c r="B620" s="2" t="str">
        <f>HYPERLINK("https://www.compass.com/building/fifteen-hudson-yards-manhattan-ny/282058587512011909/","Fifteen Hudson Yards")</f>
        <v>Fifteen Hudson Yards</v>
      </c>
      <c r="C620" s="1" t="s">
        <v>77</v>
      </c>
      <c r="D620" s="1" t="s">
        <v>41</v>
      </c>
      <c r="E620" s="3">
        <v>4420000</v>
      </c>
      <c r="F620" s="1">
        <v>3027.39726027397</v>
      </c>
      <c r="G620" s="1">
        <v>4.5</v>
      </c>
      <c r="H620" s="1">
        <v>2</v>
      </c>
      <c r="I620" s="1">
        <v>3</v>
      </c>
      <c r="J620" s="1">
        <v>3</v>
      </c>
      <c r="K620" s="1">
        <v>3</v>
      </c>
      <c r="M620" s="4">
        <v>1460</v>
      </c>
      <c r="N620" s="1">
        <v>3600</v>
      </c>
      <c r="O620" s="1">
        <v>3645</v>
      </c>
      <c r="P620" s="1">
        <v>45</v>
      </c>
      <c r="Q620" s="1" t="s">
        <v>42</v>
      </c>
      <c r="S620" s="1" t="s">
        <v>42</v>
      </c>
      <c r="T620" s="1" t="s">
        <v>228</v>
      </c>
      <c r="U620" s="1">
        <v>1</v>
      </c>
      <c r="V620" s="5">
        <v>44418</v>
      </c>
      <c r="W620" s="5">
        <v>44406</v>
      </c>
      <c r="X620" s="1">
        <v>4420000</v>
      </c>
      <c r="Z620" s="5">
        <v>44418</v>
      </c>
      <c r="AB620" s="1" t="s">
        <v>44</v>
      </c>
      <c r="AF620" s="1">
        <v>10001</v>
      </c>
      <c r="AI620" s="1" t="s">
        <v>182</v>
      </c>
      <c r="AJ620" s="1">
        <v>2018</v>
      </c>
      <c r="AK620" s="1" t="s">
        <v>46</v>
      </c>
      <c r="AL620" s="1">
        <v>285</v>
      </c>
    </row>
    <row r="621" spans="1:38" x14ac:dyDescent="0.2">
      <c r="A621" s="2" t="str">
        <f>HYPERLINK("https://www.compass.com/listing/88-lexington-avenue-unit-ph2-manhattan-ny-10016/784154779691988265/","88 Lexington Ave, Unit PH2")</f>
        <v>88 Lexington Ave, Unit PH2</v>
      </c>
      <c r="B621" s="2" t="str">
        <f>HYPERLINK("https://www.compass.com/building/88-90-lexington-avenue-manhattan-ny/281903945159296309/","88 &amp; 90 Lexington Avenue")</f>
        <v>88 &amp; 90 Lexington Avenue</v>
      </c>
      <c r="C621" s="1" t="s">
        <v>40</v>
      </c>
      <c r="D621" s="1" t="s">
        <v>41</v>
      </c>
      <c r="E621" s="3">
        <v>9000000</v>
      </c>
      <c r="F621" s="1">
        <v>2997.00299700299</v>
      </c>
      <c r="G621" s="1">
        <v>7.5</v>
      </c>
      <c r="H621" s="1">
        <v>4</v>
      </c>
      <c r="I621" s="1">
        <v>5</v>
      </c>
      <c r="J621" s="1">
        <v>4.5</v>
      </c>
      <c r="K621" s="1">
        <v>4</v>
      </c>
      <c r="L621" s="1">
        <v>1</v>
      </c>
      <c r="M621" s="4">
        <v>3003</v>
      </c>
      <c r="N621" s="1">
        <v>3903</v>
      </c>
      <c r="O621" s="1">
        <v>11511</v>
      </c>
      <c r="P621" s="1">
        <v>7608</v>
      </c>
      <c r="Q621" s="1" t="s">
        <v>42</v>
      </c>
      <c r="S621" s="1" t="s">
        <v>42</v>
      </c>
      <c r="T621" s="1" t="s">
        <v>228</v>
      </c>
      <c r="U621" s="1">
        <v>1</v>
      </c>
      <c r="V621" s="5">
        <v>44424</v>
      </c>
      <c r="W621" s="5">
        <v>44333</v>
      </c>
      <c r="X621" s="1">
        <v>9000000</v>
      </c>
      <c r="Z621" s="5">
        <v>44335</v>
      </c>
      <c r="AB621" s="1" t="s">
        <v>44</v>
      </c>
      <c r="AF621" s="1">
        <v>10016</v>
      </c>
      <c r="AI621" s="1" t="s">
        <v>244</v>
      </c>
      <c r="AJ621" s="1">
        <v>1927</v>
      </c>
      <c r="AK621" s="1" t="s">
        <v>46</v>
      </c>
      <c r="AL621" s="1">
        <v>70</v>
      </c>
    </row>
    <row r="622" spans="1:38" x14ac:dyDescent="0.2">
      <c r="A622" s="2" t="str">
        <f>HYPERLINK("https://www.compass.com/listing/15-west-61st-street-unit-3d-manhattan-ny-10023/620293412071159457/","15 W 61st St, Unit 3D")</f>
        <v>15 W 61st St, Unit 3D</v>
      </c>
      <c r="B622" s="2" t="str">
        <f>HYPERLINK("https://www.compass.com/building/the-park-loggia-manhattan-ny/292861833130357557/","The Park Loggia")</f>
        <v>The Park Loggia</v>
      </c>
      <c r="C622" s="1" t="s">
        <v>57</v>
      </c>
      <c r="D622" s="1" t="s">
        <v>41</v>
      </c>
      <c r="E622" s="3">
        <v>1385000</v>
      </c>
      <c r="F622" s="1">
        <v>2108.0669710806601</v>
      </c>
      <c r="G622" s="1">
        <v>2</v>
      </c>
      <c r="H622" s="1" t="s">
        <v>99</v>
      </c>
      <c r="I622" s="1">
        <v>1</v>
      </c>
      <c r="J622" s="1">
        <v>1</v>
      </c>
      <c r="K622" s="1">
        <v>1</v>
      </c>
      <c r="M622" s="1">
        <v>657</v>
      </c>
      <c r="N622" s="1">
        <v>725</v>
      </c>
      <c r="O622" s="1">
        <v>1454</v>
      </c>
      <c r="P622" s="1">
        <v>729</v>
      </c>
      <c r="Q622" s="1" t="s">
        <v>42</v>
      </c>
      <c r="S622" s="1" t="s">
        <v>42</v>
      </c>
      <c r="T622" s="1" t="s">
        <v>228</v>
      </c>
      <c r="U622" s="1">
        <v>303</v>
      </c>
      <c r="V622" s="5">
        <v>44425</v>
      </c>
      <c r="W622" s="5">
        <v>44107</v>
      </c>
      <c r="X622" s="1">
        <v>1385000</v>
      </c>
      <c r="Z622" s="5">
        <v>44411</v>
      </c>
      <c r="AB622" s="1" t="s">
        <v>44</v>
      </c>
      <c r="AF622" s="1">
        <v>10023</v>
      </c>
      <c r="AI622" s="1" t="s">
        <v>159</v>
      </c>
      <c r="AJ622" s="1">
        <v>2019</v>
      </c>
      <c r="AK622" s="1" t="s">
        <v>108</v>
      </c>
      <c r="AL622" s="1">
        <v>172</v>
      </c>
    </row>
    <row r="623" spans="1:38" x14ac:dyDescent="0.2">
      <c r="A623" s="2" t="str">
        <f>HYPERLINK("https://www.compass.com/listing/15-hudson-yards-unit-73c-manhattan-ny-10001/836588841899154945/","15 Hudson Yards, Unit 73C")</f>
        <v>15 Hudson Yards, Unit 73C</v>
      </c>
      <c r="B623" s="2" t="str">
        <f>HYPERLINK("https://www.compass.com/building/fifteen-hudson-yards-manhattan-ny/282058587512011909/","Fifteen Hudson Yards")</f>
        <v>Fifteen Hudson Yards</v>
      </c>
      <c r="C623" s="1" t="s">
        <v>77</v>
      </c>
      <c r="D623" s="1" t="s">
        <v>41</v>
      </c>
      <c r="E623" s="3">
        <v>3420000</v>
      </c>
      <c r="F623" s="1">
        <v>2963.6048526863001</v>
      </c>
      <c r="G623" s="1">
        <v>3.5</v>
      </c>
      <c r="H623" s="1">
        <v>1</v>
      </c>
      <c r="I623" s="1">
        <v>3</v>
      </c>
      <c r="J623" s="1">
        <v>2.5</v>
      </c>
      <c r="K623" s="1">
        <v>2</v>
      </c>
      <c r="L623" s="1">
        <v>1</v>
      </c>
      <c r="M623" s="4">
        <v>1154</v>
      </c>
      <c r="N623" s="1">
        <v>2852</v>
      </c>
      <c r="O623" s="1">
        <v>2888</v>
      </c>
      <c r="P623" s="1">
        <v>36</v>
      </c>
      <c r="Q623" s="1" t="s">
        <v>42</v>
      </c>
      <c r="S623" s="1" t="s">
        <v>42</v>
      </c>
      <c r="T623" s="1" t="s">
        <v>228</v>
      </c>
      <c r="U623" s="1">
        <v>1</v>
      </c>
      <c r="V623" s="5">
        <v>44420</v>
      </c>
      <c r="W623" s="5">
        <v>44405</v>
      </c>
      <c r="X623" s="1">
        <v>3420000</v>
      </c>
      <c r="Z623" s="5">
        <v>44406</v>
      </c>
      <c r="AB623" s="1" t="s">
        <v>44</v>
      </c>
      <c r="AF623" s="1">
        <v>10001</v>
      </c>
      <c r="AJ623" s="1">
        <v>2018</v>
      </c>
      <c r="AK623" s="1" t="s">
        <v>46</v>
      </c>
      <c r="AL623" s="1">
        <v>285</v>
      </c>
    </row>
    <row r="624" spans="1:38" x14ac:dyDescent="0.2">
      <c r="A624" s="2" t="str">
        <f>HYPERLINK("https://www.compass.com/listing/15-west-61st-street-unit-6c-manhattan-ny-10023/620322207488788569/","15 W 61st St, Unit 6C")</f>
        <v>15 W 61st St, Unit 6C</v>
      </c>
      <c r="B624" s="2" t="str">
        <f>HYPERLINK("https://www.compass.com/building/the-park-loggia-manhattan-ny/292861833130357557/","The Park Loggia")</f>
        <v>The Park Loggia</v>
      </c>
      <c r="C624" s="1" t="s">
        <v>57</v>
      </c>
      <c r="D624" s="1" t="s">
        <v>41</v>
      </c>
      <c r="E624" s="3">
        <v>2860000</v>
      </c>
      <c r="F624" s="1">
        <v>2397.3176865046098</v>
      </c>
      <c r="G624" s="1">
        <v>4.5</v>
      </c>
      <c r="H624" s="1">
        <v>2</v>
      </c>
      <c r="I624" s="1">
        <v>3</v>
      </c>
      <c r="J624" s="1">
        <v>2.5</v>
      </c>
      <c r="K624" s="1">
        <v>2</v>
      </c>
      <c r="L624" s="1">
        <v>1</v>
      </c>
      <c r="M624" s="4">
        <v>1193</v>
      </c>
      <c r="N624" s="1">
        <v>1212</v>
      </c>
      <c r="O624" s="1">
        <v>2431</v>
      </c>
      <c r="P624" s="1">
        <v>1219</v>
      </c>
      <c r="Q624" s="1" t="s">
        <v>42</v>
      </c>
      <c r="S624" s="1" t="s">
        <v>42</v>
      </c>
      <c r="T624" s="1" t="s">
        <v>228</v>
      </c>
      <c r="U624" s="1">
        <v>294</v>
      </c>
      <c r="V624" s="5">
        <v>44416</v>
      </c>
      <c r="W624" s="5">
        <v>44107</v>
      </c>
      <c r="X624" s="1">
        <v>2860000</v>
      </c>
      <c r="Z624" s="5">
        <v>44402</v>
      </c>
      <c r="AB624" s="1" t="s">
        <v>44</v>
      </c>
      <c r="AF624" s="1">
        <v>10023</v>
      </c>
      <c r="AI624" s="1" t="s">
        <v>65</v>
      </c>
      <c r="AJ624" s="1">
        <v>2019</v>
      </c>
      <c r="AK624" s="1" t="s">
        <v>108</v>
      </c>
      <c r="AL624" s="1">
        <v>172</v>
      </c>
    </row>
    <row r="625" spans="1:38" x14ac:dyDescent="0.2">
      <c r="A625" s="2" t="str">
        <f>HYPERLINK("https://www.compass.com/listing/200-east-94th-street-unit-1511-manhattan-ny-10128/753106823562477633/","200 E 94th St, Unit 1511")</f>
        <v>200 E 94th St, Unit 1511</v>
      </c>
      <c r="B625" s="2" t="str">
        <f>HYPERLINK("https://www.compass.com/building/carnegie-park-condominium-manhattan-ny/282049797358118613/","Carnegie Park Condominium")</f>
        <v>Carnegie Park Condominium</v>
      </c>
      <c r="C625" s="1" t="s">
        <v>82</v>
      </c>
      <c r="D625" s="1" t="s">
        <v>41</v>
      </c>
      <c r="E625" s="3">
        <v>1249999</v>
      </c>
      <c r="F625" s="1">
        <v>1463.69906323185</v>
      </c>
      <c r="G625" s="1">
        <v>3</v>
      </c>
      <c r="H625" s="1">
        <v>1</v>
      </c>
      <c r="I625" s="1">
        <v>1</v>
      </c>
      <c r="J625" s="1">
        <v>1</v>
      </c>
      <c r="K625" s="1">
        <v>1</v>
      </c>
      <c r="M625" s="1">
        <v>854</v>
      </c>
      <c r="N625" s="1">
        <v>1018</v>
      </c>
      <c r="O625" s="1">
        <v>1871</v>
      </c>
      <c r="P625" s="1">
        <v>853</v>
      </c>
      <c r="Q625" s="1" t="s">
        <v>42</v>
      </c>
      <c r="S625" s="1" t="s">
        <v>42</v>
      </c>
      <c r="T625" s="1" t="s">
        <v>228</v>
      </c>
      <c r="U625" s="1">
        <v>46</v>
      </c>
      <c r="V625" s="5">
        <v>44338</v>
      </c>
      <c r="W625" s="5">
        <v>44291</v>
      </c>
      <c r="X625" s="1">
        <v>1249999</v>
      </c>
      <c r="Z625" s="5">
        <v>44338</v>
      </c>
      <c r="AB625" s="1" t="s">
        <v>44</v>
      </c>
      <c r="AF625" s="1">
        <v>10128</v>
      </c>
      <c r="AI625" s="1" t="s">
        <v>245</v>
      </c>
      <c r="AJ625" s="1">
        <v>1986</v>
      </c>
      <c r="AK625" s="1" t="s">
        <v>46</v>
      </c>
      <c r="AL625" s="1">
        <v>287</v>
      </c>
    </row>
    <row r="626" spans="1:38" x14ac:dyDescent="0.2">
      <c r="A626" s="2" t="str">
        <f>HYPERLINK("https://www.compass.com/listing/88-lexington-avenue-unit-307-manhattan-ny-10016/21054385220068081/","88 Lexington Ave, Unit 307")</f>
        <v>88 Lexington Ave, Unit 307</v>
      </c>
      <c r="B626" s="2" t="str">
        <f>HYPERLINK("https://www.compass.com/building/88-90-lexington-avenue-manhattan-ny/281903945159296309/","88 &amp; 90 Lexington Avenue")</f>
        <v>88 &amp; 90 Lexington Avenue</v>
      </c>
      <c r="C626" s="1" t="s">
        <v>40</v>
      </c>
      <c r="D626" s="1" t="s">
        <v>41</v>
      </c>
      <c r="E626" s="3">
        <v>3995000</v>
      </c>
      <c r="F626" s="1">
        <v>1722.72531263475</v>
      </c>
      <c r="G626" s="1">
        <v>5.5</v>
      </c>
      <c r="H626" s="1">
        <v>3</v>
      </c>
      <c r="I626" s="1">
        <v>4</v>
      </c>
      <c r="J626" s="1">
        <v>3.5</v>
      </c>
      <c r="K626" s="1">
        <v>3</v>
      </c>
      <c r="L626" s="1">
        <v>1</v>
      </c>
      <c r="M626" s="4">
        <v>2319</v>
      </c>
      <c r="N626" s="1">
        <v>2374</v>
      </c>
      <c r="O626" s="1">
        <v>7015</v>
      </c>
      <c r="P626" s="1">
        <v>4641</v>
      </c>
      <c r="Q626" s="1" t="s">
        <v>42</v>
      </c>
      <c r="S626" s="1" t="s">
        <v>42</v>
      </c>
      <c r="T626" s="1" t="s">
        <v>228</v>
      </c>
      <c r="U626" s="1">
        <v>82</v>
      </c>
      <c r="V626" s="5">
        <v>44424</v>
      </c>
      <c r="W626" s="5">
        <v>44280</v>
      </c>
      <c r="Z626" s="5">
        <v>44363</v>
      </c>
      <c r="AB626" s="1" t="s">
        <v>44</v>
      </c>
      <c r="AF626" s="1">
        <v>10016</v>
      </c>
      <c r="AI626" s="1" t="s">
        <v>174</v>
      </c>
      <c r="AJ626" s="1">
        <v>1927</v>
      </c>
      <c r="AK626" s="1" t="s">
        <v>46</v>
      </c>
      <c r="AL626" s="1">
        <v>70</v>
      </c>
    </row>
    <row r="627" spans="1:38" x14ac:dyDescent="0.2">
      <c r="A627" s="2" t="str">
        <f>HYPERLINK("https://www.compass.com/listing/15-west-61st-street-unit-27a-manhattan-ny-10023/820214152196453729/","15 W 61st St, Unit 27A")</f>
        <v>15 W 61st St, Unit 27A</v>
      </c>
      <c r="B627" s="2" t="str">
        <f>HYPERLINK("https://www.compass.com/building/the-park-loggia-manhattan-ny/292861833130357557/","The Park Loggia")</f>
        <v>The Park Loggia</v>
      </c>
      <c r="C627" s="1" t="s">
        <v>57</v>
      </c>
      <c r="D627" s="1" t="s">
        <v>41</v>
      </c>
      <c r="E627" s="3">
        <v>7075000</v>
      </c>
      <c r="F627" s="1">
        <v>3692.5887265135698</v>
      </c>
      <c r="G627" s="1">
        <v>5.5</v>
      </c>
      <c r="H627" s="1">
        <v>3</v>
      </c>
      <c r="I627" s="1">
        <v>3</v>
      </c>
      <c r="J627" s="1">
        <v>2.5</v>
      </c>
      <c r="K627" s="1">
        <v>2</v>
      </c>
      <c r="L627" s="1">
        <v>1</v>
      </c>
      <c r="M627" s="4">
        <v>1916</v>
      </c>
      <c r="N627" s="1">
        <v>2038</v>
      </c>
      <c r="O627" s="1">
        <v>4087</v>
      </c>
      <c r="P627" s="1">
        <v>2049</v>
      </c>
      <c r="Q627" s="1" t="s">
        <v>42</v>
      </c>
      <c r="S627" s="1" t="s">
        <v>42</v>
      </c>
      <c r="T627" s="1" t="s">
        <v>228</v>
      </c>
      <c r="U627" s="1">
        <v>46</v>
      </c>
      <c r="V627" s="5">
        <v>44420</v>
      </c>
      <c r="W627" s="5">
        <v>44337</v>
      </c>
      <c r="X627" s="1">
        <v>7075000</v>
      </c>
      <c r="Z627" s="5">
        <v>44384</v>
      </c>
      <c r="AB627" s="1" t="s">
        <v>44</v>
      </c>
      <c r="AF627" s="1">
        <v>10023</v>
      </c>
      <c r="AI627" s="1" t="s">
        <v>178</v>
      </c>
      <c r="AJ627" s="1">
        <v>2019</v>
      </c>
      <c r="AK627" s="1" t="s">
        <v>108</v>
      </c>
      <c r="AL627" s="1">
        <v>172</v>
      </c>
    </row>
    <row r="628" spans="1:38" x14ac:dyDescent="0.2">
      <c r="A628" s="2" t="str">
        <f>HYPERLINK("https://www.compass.com/listing/90-lexington-avenue-unit-3b-manhattan-ny-10016/644874426076428881/","90 Lexington Ave, Unit 3B")</f>
        <v>90 Lexington Ave, Unit 3B</v>
      </c>
      <c r="B628" s="2" t="str">
        <f>HYPERLINK("https://www.compass.com/building/88-90-lexington-avenue-manhattan-ny/281941431524842901/","88 &amp; 90 Lexington Avenue")</f>
        <v>88 &amp; 90 Lexington Avenue</v>
      </c>
      <c r="C628" s="1" t="s">
        <v>40</v>
      </c>
      <c r="D628" s="1" t="s">
        <v>41</v>
      </c>
      <c r="E628" s="3">
        <v>2695000</v>
      </c>
      <c r="F628" s="1">
        <v>1738.7096774193501</v>
      </c>
      <c r="G628" s="1">
        <v>5</v>
      </c>
      <c r="H628" s="1">
        <v>2</v>
      </c>
      <c r="I628" s="1">
        <v>3</v>
      </c>
      <c r="J628" s="1">
        <v>2.5</v>
      </c>
      <c r="K628" s="1">
        <v>2</v>
      </c>
      <c r="L628" s="1">
        <v>1</v>
      </c>
      <c r="M628" s="4">
        <v>1550</v>
      </c>
      <c r="N628" s="1">
        <v>1737</v>
      </c>
      <c r="O628" s="1">
        <v>4237</v>
      </c>
      <c r="P628" s="1">
        <v>2500</v>
      </c>
      <c r="Q628" s="1" t="s">
        <v>42</v>
      </c>
      <c r="S628" s="1" t="s">
        <v>42</v>
      </c>
      <c r="T628" s="1" t="s">
        <v>228</v>
      </c>
      <c r="U628" s="1">
        <v>262</v>
      </c>
      <c r="V628" s="5">
        <v>44404</v>
      </c>
      <c r="W628" s="5">
        <v>44142</v>
      </c>
      <c r="X628" s="1">
        <v>2795000</v>
      </c>
      <c r="Z628" s="5">
        <v>44404</v>
      </c>
      <c r="AB628" s="1" t="s">
        <v>44</v>
      </c>
      <c r="AF628" s="1">
        <v>10016</v>
      </c>
      <c r="AI628" s="1" t="s">
        <v>196</v>
      </c>
      <c r="AJ628" s="1">
        <v>1957</v>
      </c>
      <c r="AK628" s="1" t="s">
        <v>46</v>
      </c>
      <c r="AL628" s="1">
        <v>49</v>
      </c>
    </row>
    <row r="629" spans="1:38" x14ac:dyDescent="0.2">
      <c r="A629" s="2" t="str">
        <f>HYPERLINK("https://www.compass.com/listing/88-lexington-avenue-unit-407-manhattan-ny-10016/319591233231601457/","88 Lexington Ave, Unit 407")</f>
        <v>88 Lexington Ave, Unit 407</v>
      </c>
      <c r="B629" s="2" t="str">
        <f>HYPERLINK("https://www.compass.com/building/88-90-lexington-avenue-manhattan-ny/281903945159296309/","88 &amp; 90 Lexington Avenue")</f>
        <v>88 &amp; 90 Lexington Avenue</v>
      </c>
      <c r="C629" s="1" t="s">
        <v>40</v>
      </c>
      <c r="D629" s="1" t="s">
        <v>41</v>
      </c>
      <c r="E629" s="3">
        <v>2995000</v>
      </c>
      <c r="F629" s="1">
        <v>1800.9621166566401</v>
      </c>
      <c r="G629" s="1">
        <v>4</v>
      </c>
      <c r="H629" s="1">
        <v>2</v>
      </c>
      <c r="I629" s="1">
        <v>2</v>
      </c>
      <c r="J629" s="1">
        <v>2</v>
      </c>
      <c r="K629" s="1">
        <v>2</v>
      </c>
      <c r="M629" s="4">
        <v>1663</v>
      </c>
      <c r="N629" s="1">
        <v>1682</v>
      </c>
      <c r="O629" s="1">
        <v>4903</v>
      </c>
      <c r="P629" s="1">
        <v>3221</v>
      </c>
      <c r="Q629" s="1" t="s">
        <v>42</v>
      </c>
      <c r="S629" s="1" t="s">
        <v>42</v>
      </c>
      <c r="T629" s="1" t="s">
        <v>228</v>
      </c>
      <c r="U629" s="1">
        <v>140</v>
      </c>
      <c r="V629" s="5">
        <v>44421</v>
      </c>
      <c r="W629" s="5">
        <v>44280</v>
      </c>
      <c r="Z629" s="5">
        <v>44421</v>
      </c>
      <c r="AB629" s="1" t="s">
        <v>44</v>
      </c>
      <c r="AF629" s="1">
        <v>10016</v>
      </c>
      <c r="AI629" s="1" t="s">
        <v>114</v>
      </c>
      <c r="AJ629" s="1">
        <v>1927</v>
      </c>
      <c r="AK629" s="1" t="s">
        <v>46</v>
      </c>
      <c r="AL629" s="1">
        <v>70</v>
      </c>
    </row>
    <row r="630" spans="1:38" x14ac:dyDescent="0.2">
      <c r="A630" s="2" t="str">
        <f>HYPERLINK("https://www.compass.com/listing/15-west-61st-street-unit-6j-manhattan-ny-10023/620417400464310177/","15 W 61st St, Unit 6J")</f>
        <v>15 W 61st St, Unit 6J</v>
      </c>
      <c r="B630" s="2" t="str">
        <f>HYPERLINK("https://www.compass.com/building/the-park-loggia-manhattan-ny/292861833130357557/","The Park Loggia")</f>
        <v>The Park Loggia</v>
      </c>
      <c r="C630" s="1" t="s">
        <v>57</v>
      </c>
      <c r="D630" s="1" t="s">
        <v>41</v>
      </c>
      <c r="E630" s="3">
        <v>3800000</v>
      </c>
      <c r="F630" s="1">
        <v>2724.0143369175598</v>
      </c>
      <c r="G630" s="1">
        <v>4</v>
      </c>
      <c r="H630" s="1">
        <v>2</v>
      </c>
      <c r="I630" s="1">
        <v>2</v>
      </c>
      <c r="J630" s="1">
        <v>2</v>
      </c>
      <c r="K630" s="1">
        <v>2</v>
      </c>
      <c r="M630" s="4">
        <v>1395</v>
      </c>
      <c r="N630" s="1">
        <v>1418</v>
      </c>
      <c r="O630" s="1">
        <v>2843</v>
      </c>
      <c r="P630" s="1">
        <v>1425</v>
      </c>
      <c r="Q630" s="1" t="s">
        <v>42</v>
      </c>
      <c r="S630" s="1" t="s">
        <v>42</v>
      </c>
      <c r="T630" s="1" t="s">
        <v>228</v>
      </c>
      <c r="U630" s="1">
        <v>265</v>
      </c>
      <c r="V630" s="5">
        <v>44417</v>
      </c>
      <c r="W630" s="5">
        <v>44107</v>
      </c>
      <c r="X630" s="1">
        <v>3800000</v>
      </c>
      <c r="Z630" s="5">
        <v>44373</v>
      </c>
      <c r="AB630" s="1" t="s">
        <v>44</v>
      </c>
      <c r="AF630" s="1">
        <v>10023</v>
      </c>
      <c r="AI630" s="1" t="s">
        <v>65</v>
      </c>
      <c r="AJ630" s="1">
        <v>2019</v>
      </c>
      <c r="AK630" s="1" t="s">
        <v>108</v>
      </c>
      <c r="AL630" s="1">
        <v>172</v>
      </c>
    </row>
    <row r="631" spans="1:38" x14ac:dyDescent="0.2">
      <c r="A631" s="2" t="str">
        <f>HYPERLINK("https://www.compass.com/listing/15-east-30th-street-unit-49a-manhattan-ny-10016/800667577671188537/","15 E 30th St, Unit 49A")</f>
        <v>15 E 30th St, Unit 49A</v>
      </c>
      <c r="B631" s="2" t="str">
        <f>HYPERLINK("https://www.compass.com/building/madison-house-manhattan-ny/281937618113974565/","Madison House")</f>
        <v>Madison House</v>
      </c>
      <c r="C631" s="1" t="s">
        <v>40</v>
      </c>
      <c r="D631" s="1" t="s">
        <v>41</v>
      </c>
      <c r="E631" s="3">
        <v>4750000</v>
      </c>
      <c r="F631" s="1">
        <v>2877.04421562689</v>
      </c>
      <c r="G631" s="1">
        <v>5.5</v>
      </c>
      <c r="H631" s="1">
        <v>2</v>
      </c>
      <c r="I631" s="1">
        <v>3</v>
      </c>
      <c r="J631" s="1">
        <v>2.5</v>
      </c>
      <c r="K631" s="1">
        <v>2</v>
      </c>
      <c r="L631" s="1">
        <v>1</v>
      </c>
      <c r="M631" s="4">
        <v>1651</v>
      </c>
      <c r="N631" s="1">
        <v>2305</v>
      </c>
      <c r="O631" s="1">
        <v>5074</v>
      </c>
      <c r="P631" s="1">
        <v>2769</v>
      </c>
      <c r="Q631" s="1" t="s">
        <v>42</v>
      </c>
      <c r="S631" s="1" t="s">
        <v>42</v>
      </c>
      <c r="T631" s="1" t="s">
        <v>228</v>
      </c>
      <c r="U631" s="1">
        <v>40</v>
      </c>
      <c r="V631" s="5">
        <v>44427</v>
      </c>
      <c r="W631" s="5">
        <v>44356</v>
      </c>
      <c r="X631" s="1">
        <v>4750000</v>
      </c>
      <c r="Z631" s="5">
        <v>44397</v>
      </c>
      <c r="AB631" s="1" t="s">
        <v>44</v>
      </c>
      <c r="AF631" s="1">
        <v>10016</v>
      </c>
      <c r="AJ631" s="1">
        <v>2019</v>
      </c>
      <c r="AK631" s="1" t="s">
        <v>46</v>
      </c>
      <c r="AL631" s="1">
        <v>199</v>
      </c>
    </row>
    <row r="632" spans="1:38" x14ac:dyDescent="0.2">
      <c r="A632" s="2" t="str">
        <f>HYPERLINK("https://www.compass.com/listing/88-lexington-avenue-unit-m2-manhattan-ny-10016/278980543700323393/","88 Lexington Ave, Unit M2")</f>
        <v>88 Lexington Ave, Unit M2</v>
      </c>
      <c r="B632" s="2" t="str">
        <f>HYPERLINK("https://www.compass.com/building/88-90-lexington-avenue-manhattan-ny/281903945159296309/","88 &amp; 90 Lexington Avenue")</f>
        <v>88 &amp; 90 Lexington Avenue</v>
      </c>
      <c r="C632" s="1" t="s">
        <v>40</v>
      </c>
      <c r="D632" s="1" t="s">
        <v>41</v>
      </c>
      <c r="E632" s="3">
        <v>5450000</v>
      </c>
      <c r="F632" s="1">
        <v>1627.8375149342801</v>
      </c>
      <c r="G632" s="1">
        <v>7</v>
      </c>
      <c r="H632" s="1">
        <v>4</v>
      </c>
      <c r="I632" s="1">
        <v>5</v>
      </c>
      <c r="J632" s="1">
        <v>4.5</v>
      </c>
      <c r="K632" s="1">
        <v>4</v>
      </c>
      <c r="L632" s="1">
        <v>1</v>
      </c>
      <c r="M632" s="4">
        <v>3348</v>
      </c>
      <c r="N632" s="1">
        <v>3335</v>
      </c>
      <c r="O632" s="1">
        <v>9723</v>
      </c>
      <c r="P632" s="1">
        <v>6388</v>
      </c>
      <c r="Q632" s="1" t="s">
        <v>42</v>
      </c>
      <c r="S632" s="1" t="s">
        <v>42</v>
      </c>
      <c r="T632" s="1" t="s">
        <v>228</v>
      </c>
      <c r="U632" s="1">
        <v>640</v>
      </c>
      <c r="V632" s="5">
        <v>44415</v>
      </c>
      <c r="W632" s="5">
        <v>43636</v>
      </c>
      <c r="X632" s="1">
        <v>5450000</v>
      </c>
      <c r="Z632" s="5">
        <v>44370</v>
      </c>
      <c r="AB632" s="1" t="s">
        <v>44</v>
      </c>
      <c r="AF632" s="1">
        <v>10016</v>
      </c>
      <c r="AI632" s="1" t="s">
        <v>114</v>
      </c>
      <c r="AJ632" s="1">
        <v>1927</v>
      </c>
      <c r="AK632" s="1" t="s">
        <v>46</v>
      </c>
      <c r="AL632" s="1">
        <v>70</v>
      </c>
    </row>
    <row r="633" spans="1:38" x14ac:dyDescent="0.2">
      <c r="A633" s="2" t="str">
        <f>HYPERLINK("https://www.compass.com/listing/200-east-94th-street-unit-602-manhattan-ny-10128/744182366658260401/","200 E 94th St, Unit 602")</f>
        <v>200 E 94th St, Unit 602</v>
      </c>
      <c r="B633" s="2" t="str">
        <f>HYPERLINK("https://www.compass.com/building/carnegie-park-condominium-manhattan-ny/282049797358118613/","Carnegie Park Condominium")</f>
        <v>Carnegie Park Condominium</v>
      </c>
      <c r="C633" s="1" t="s">
        <v>82</v>
      </c>
      <c r="D633" s="1" t="s">
        <v>41</v>
      </c>
      <c r="E633" s="3">
        <v>1150000</v>
      </c>
      <c r="F633" s="1">
        <v>1487.71021992238</v>
      </c>
      <c r="G633" s="1">
        <v>3</v>
      </c>
      <c r="H633" s="1">
        <v>1</v>
      </c>
      <c r="I633" s="1">
        <v>1</v>
      </c>
      <c r="J633" s="1">
        <v>1</v>
      </c>
      <c r="K633" s="1">
        <v>1</v>
      </c>
      <c r="M633" s="1">
        <v>773</v>
      </c>
      <c r="N633" s="1">
        <v>906.37</v>
      </c>
      <c r="O633" s="1">
        <v>1843.59</v>
      </c>
      <c r="P633" s="1">
        <v>937.25</v>
      </c>
      <c r="Q633" s="1" t="s">
        <v>42</v>
      </c>
      <c r="S633" s="1" t="s">
        <v>42</v>
      </c>
      <c r="T633" s="1" t="s">
        <v>228</v>
      </c>
      <c r="V633" s="5">
        <v>44415</v>
      </c>
      <c r="W633" s="5">
        <v>44278</v>
      </c>
      <c r="X633" s="1">
        <v>1150000</v>
      </c>
      <c r="Z633" s="5">
        <v>44279</v>
      </c>
      <c r="AB633" s="1" t="s">
        <v>44</v>
      </c>
      <c r="AF633" s="1">
        <v>10128</v>
      </c>
      <c r="AI633" s="1" t="s">
        <v>163</v>
      </c>
      <c r="AJ633" s="1">
        <v>1986</v>
      </c>
      <c r="AK633" s="1" t="s">
        <v>108</v>
      </c>
      <c r="AL633" s="1">
        <v>287</v>
      </c>
    </row>
    <row r="634" spans="1:38" x14ac:dyDescent="0.2">
      <c r="A634" s="2" t="str">
        <f>HYPERLINK("https://www.compass.com/listing/15-east-30th-street-unit-28d-manhattan-ny-10016/799265605322486169/","15 E 30th St, Unit 28D")</f>
        <v>15 E 30th St, Unit 28D</v>
      </c>
      <c r="B634" s="2" t="str">
        <f>HYPERLINK("https://www.compass.com/building/madison-house-manhattan-ny/281937618113974565/","Madison House")</f>
        <v>Madison House</v>
      </c>
      <c r="C634" s="1" t="s">
        <v>40</v>
      </c>
      <c r="D634" s="1" t="s">
        <v>41</v>
      </c>
      <c r="E634" s="3">
        <v>3925000</v>
      </c>
      <c r="F634" s="1">
        <v>2419.85203452527</v>
      </c>
      <c r="G634" s="1">
        <v>5</v>
      </c>
      <c r="H634" s="1">
        <v>2</v>
      </c>
      <c r="I634" s="1">
        <v>2</v>
      </c>
      <c r="J634" s="1">
        <v>2</v>
      </c>
      <c r="K634" s="1">
        <v>2</v>
      </c>
      <c r="M634" s="4">
        <v>1622</v>
      </c>
      <c r="N634" s="1">
        <v>2265</v>
      </c>
      <c r="O634" s="1">
        <v>4986</v>
      </c>
      <c r="P634" s="1">
        <v>2721</v>
      </c>
      <c r="Q634" s="1" t="s">
        <v>42</v>
      </c>
      <c r="S634" s="1" t="s">
        <v>42</v>
      </c>
      <c r="T634" s="1" t="s">
        <v>228</v>
      </c>
      <c r="V634" s="5">
        <v>44427</v>
      </c>
      <c r="W634" s="5">
        <v>44354</v>
      </c>
      <c r="X634" s="1">
        <v>3925000</v>
      </c>
      <c r="Z634" s="5">
        <v>44355</v>
      </c>
      <c r="AB634" s="1" t="s">
        <v>44</v>
      </c>
      <c r="AF634" s="1">
        <v>10016</v>
      </c>
      <c r="AJ634" s="1">
        <v>2019</v>
      </c>
      <c r="AK634" s="1" t="s">
        <v>46</v>
      </c>
      <c r="AL634" s="1">
        <v>199</v>
      </c>
    </row>
    <row r="635" spans="1:38" x14ac:dyDescent="0.2">
      <c r="A635" s="2" t="str">
        <f>HYPERLINK("https://www.compass.com/listing/252-south-street-unit-19e-manhattan-ny-10002/845688854243764873/","252 South St, Unit 19E")</f>
        <v>252 South St, Unit 19E</v>
      </c>
      <c r="B635" s="2" t="str">
        <f>HYPERLINK("https://www.compass.com/building/one-manhattan-square-manhattan-ny/294844950218926165/","One Manhattan Square")</f>
        <v>One Manhattan Square</v>
      </c>
      <c r="C635" s="1" t="s">
        <v>47</v>
      </c>
      <c r="D635" s="1" t="s">
        <v>41</v>
      </c>
      <c r="E635" s="3">
        <v>1985000</v>
      </c>
      <c r="F635" s="1">
        <v>1767.58682101513</v>
      </c>
      <c r="G635" s="1">
        <v>4</v>
      </c>
      <c r="H635" s="1">
        <v>2</v>
      </c>
      <c r="I635" s="1">
        <v>2</v>
      </c>
      <c r="J635" s="1">
        <v>2</v>
      </c>
      <c r="K635" s="1">
        <v>2</v>
      </c>
      <c r="M635" s="4">
        <v>1123</v>
      </c>
      <c r="N635" s="1">
        <v>1258</v>
      </c>
      <c r="O635" s="1">
        <v>1278</v>
      </c>
      <c r="P635" s="1">
        <v>20</v>
      </c>
      <c r="Q635" s="1" t="s">
        <v>42</v>
      </c>
      <c r="S635" s="1" t="s">
        <v>42</v>
      </c>
      <c r="T635" s="1" t="s">
        <v>228</v>
      </c>
      <c r="U635" s="1">
        <v>6</v>
      </c>
      <c r="V635" s="5">
        <v>44426</v>
      </c>
      <c r="W635" s="5">
        <v>44419</v>
      </c>
      <c r="X635" s="1">
        <v>1985000</v>
      </c>
      <c r="Z635" s="5">
        <v>44426</v>
      </c>
      <c r="AB635" s="1" t="s">
        <v>44</v>
      </c>
      <c r="AF635" s="1">
        <v>10002</v>
      </c>
      <c r="AI635" s="1" t="s">
        <v>246</v>
      </c>
      <c r="AJ635" s="1">
        <v>2019</v>
      </c>
      <c r="AK635" s="1" t="s">
        <v>46</v>
      </c>
      <c r="AL635" s="1">
        <v>787</v>
      </c>
    </row>
    <row r="636" spans="1:38" x14ac:dyDescent="0.2">
      <c r="A636" s="2" t="str">
        <f>HYPERLINK("https://www.compass.com/listing/15-east-30th-street-unit-41c-manhattan-ny-10016/786142317605826857/","15 E 30th St, Unit 41C")</f>
        <v>15 E 30th St, Unit 41C</v>
      </c>
      <c r="B636" s="2" t="str">
        <f>HYPERLINK("https://www.compass.com/building/madison-house-manhattan-ny/281937618113974565/","Madison House")</f>
        <v>Madison House</v>
      </c>
      <c r="C636" s="1" t="s">
        <v>40</v>
      </c>
      <c r="D636" s="1" t="s">
        <v>41</v>
      </c>
      <c r="E636" s="3">
        <v>2375000</v>
      </c>
      <c r="F636" s="1">
        <v>2159.0909090908999</v>
      </c>
      <c r="G636" s="1">
        <v>3.5</v>
      </c>
      <c r="H636" s="1">
        <v>1</v>
      </c>
      <c r="I636" s="1">
        <v>2</v>
      </c>
      <c r="J636" s="1">
        <v>1.5</v>
      </c>
      <c r="K636" s="1">
        <v>1</v>
      </c>
      <c r="L636" s="1">
        <v>1</v>
      </c>
      <c r="M636" s="4">
        <v>1100</v>
      </c>
      <c r="N636" s="1">
        <v>1536</v>
      </c>
      <c r="O636" s="1">
        <v>3381</v>
      </c>
      <c r="P636" s="1">
        <v>1845</v>
      </c>
      <c r="Q636" s="1" t="s">
        <v>42</v>
      </c>
      <c r="S636" s="1" t="s">
        <v>42</v>
      </c>
      <c r="T636" s="1" t="s">
        <v>228</v>
      </c>
      <c r="U636" s="1">
        <v>6</v>
      </c>
      <c r="V636" s="5">
        <v>44427</v>
      </c>
      <c r="W636" s="5">
        <v>44336</v>
      </c>
      <c r="X636" s="1">
        <v>2375000</v>
      </c>
      <c r="Z636" s="5">
        <v>44342</v>
      </c>
      <c r="AB636" s="1" t="s">
        <v>44</v>
      </c>
      <c r="AF636" s="1">
        <v>10016</v>
      </c>
      <c r="AJ636" s="1">
        <v>2019</v>
      </c>
      <c r="AK636" s="1" t="s">
        <v>46</v>
      </c>
      <c r="AL636" s="1">
        <v>199</v>
      </c>
    </row>
    <row r="637" spans="1:38" x14ac:dyDescent="0.2">
      <c r="A637" s="2" t="str">
        <f>HYPERLINK("https://www.compass.com/listing/30-east-31st-street-unit-22-manhattan-ny-10016/801474791625336977/","30 E 31st St, Unit 22")</f>
        <v>30 E 31st St, Unit 22</v>
      </c>
      <c r="B637" s="2" t="str">
        <f>HYPERLINK("https://www.compass.com/building/30-east-31st-street-manhattan-ny/281939352542566357/","30 East 31st Street")</f>
        <v>30 East 31st Street</v>
      </c>
      <c r="C637" s="1" t="s">
        <v>40</v>
      </c>
      <c r="D637" s="1" t="s">
        <v>41</v>
      </c>
      <c r="E637" s="3">
        <v>4050000</v>
      </c>
      <c r="F637" s="1">
        <v>2415.0268336314798</v>
      </c>
      <c r="G637" s="1">
        <v>3</v>
      </c>
      <c r="H637" s="1">
        <v>2</v>
      </c>
      <c r="I637" s="1">
        <v>3</v>
      </c>
      <c r="J637" s="1">
        <v>2.5</v>
      </c>
      <c r="K637" s="1">
        <v>2</v>
      </c>
      <c r="L637" s="1">
        <v>1</v>
      </c>
      <c r="M637" s="4">
        <v>1677</v>
      </c>
      <c r="N637" s="1">
        <v>2703</v>
      </c>
      <c r="O637" s="1">
        <v>6458</v>
      </c>
      <c r="P637" s="1">
        <v>3755</v>
      </c>
      <c r="Q637" s="1" t="s">
        <v>42</v>
      </c>
      <c r="S637" s="1" t="s">
        <v>42</v>
      </c>
      <c r="T637" s="1" t="s">
        <v>228</v>
      </c>
      <c r="V637" s="5">
        <v>44409</v>
      </c>
      <c r="W637" s="5">
        <v>44357</v>
      </c>
      <c r="X637" s="1">
        <v>4050000</v>
      </c>
      <c r="Z637" s="5">
        <v>44357</v>
      </c>
      <c r="AB637" s="1" t="s">
        <v>44</v>
      </c>
      <c r="AF637" s="1">
        <v>10016</v>
      </c>
      <c r="AJ637" s="1">
        <v>2018</v>
      </c>
      <c r="AK637" s="1" t="s">
        <v>46</v>
      </c>
      <c r="AL637" s="1">
        <v>42</v>
      </c>
    </row>
    <row r="638" spans="1:38" x14ac:dyDescent="0.2">
      <c r="A638" s="2" t="str">
        <f>HYPERLINK("https://www.compass.com/listing/15-east-30th-street-unit-22c-manhattan-ny-10016/789886124526793897/","15 E 30th St, Unit 22C")</f>
        <v>15 E 30th St, Unit 22C</v>
      </c>
      <c r="B638" s="2" t="str">
        <f t="shared" ref="B638:B639" si="83">HYPERLINK("https://www.compass.com/building/madison-house-manhattan-ny/281937618113974565/","Madison House")</f>
        <v>Madison House</v>
      </c>
      <c r="C638" s="1" t="s">
        <v>40</v>
      </c>
      <c r="D638" s="1" t="s">
        <v>41</v>
      </c>
      <c r="E638" s="3">
        <v>2950000</v>
      </c>
      <c r="F638" s="1">
        <v>2151.7140773158198</v>
      </c>
      <c r="G638" s="1">
        <v>5</v>
      </c>
      <c r="H638" s="1">
        <v>2</v>
      </c>
      <c r="I638" s="1">
        <v>2</v>
      </c>
      <c r="J638" s="1">
        <v>2</v>
      </c>
      <c r="K638" s="1">
        <v>2</v>
      </c>
      <c r="M638" s="4">
        <v>1371</v>
      </c>
      <c r="N638" s="1">
        <v>1914</v>
      </c>
      <c r="O638" s="1">
        <v>4214</v>
      </c>
      <c r="P638" s="1">
        <v>2300</v>
      </c>
      <c r="Q638" s="1" t="s">
        <v>42</v>
      </c>
      <c r="S638" s="1" t="s">
        <v>42</v>
      </c>
      <c r="T638" s="1" t="s">
        <v>228</v>
      </c>
      <c r="U638" s="1">
        <v>72</v>
      </c>
      <c r="V638" s="5">
        <v>44418</v>
      </c>
      <c r="W638" s="5">
        <v>44341</v>
      </c>
      <c r="X638" s="1">
        <v>2950000</v>
      </c>
      <c r="Z638" s="5">
        <v>44413</v>
      </c>
      <c r="AB638" s="1" t="s">
        <v>44</v>
      </c>
      <c r="AF638" s="1">
        <v>10016</v>
      </c>
      <c r="AJ638" s="1">
        <v>2019</v>
      </c>
      <c r="AK638" s="1" t="s">
        <v>46</v>
      </c>
      <c r="AL638" s="1">
        <v>199</v>
      </c>
    </row>
    <row r="639" spans="1:38" x14ac:dyDescent="0.2">
      <c r="A639" s="2" t="str">
        <f>HYPERLINK("https://www.compass.com/listing/15-east-30th-street-unit-30d-manhattan-ny-10016/791879413712801753/","15 E 30th St, Unit 30D")</f>
        <v>15 E 30th St, Unit 30D</v>
      </c>
      <c r="B639" s="2" t="str">
        <f t="shared" si="83"/>
        <v>Madison House</v>
      </c>
      <c r="C639" s="1" t="s">
        <v>40</v>
      </c>
      <c r="D639" s="1" t="s">
        <v>41</v>
      </c>
      <c r="E639" s="3">
        <v>4025000</v>
      </c>
      <c r="F639" s="1">
        <v>2481.5043156596698</v>
      </c>
      <c r="G639" s="1">
        <v>5</v>
      </c>
      <c r="H639" s="1">
        <v>2</v>
      </c>
      <c r="I639" s="1">
        <v>2</v>
      </c>
      <c r="J639" s="1">
        <v>2</v>
      </c>
      <c r="K639" s="1">
        <v>2</v>
      </c>
      <c r="M639" s="4">
        <v>1622</v>
      </c>
      <c r="N639" s="1">
        <v>2265</v>
      </c>
      <c r="O639" s="1">
        <v>4986</v>
      </c>
      <c r="P639" s="1">
        <v>2721</v>
      </c>
      <c r="Q639" s="1" t="s">
        <v>42</v>
      </c>
      <c r="S639" s="1" t="s">
        <v>42</v>
      </c>
      <c r="T639" s="1" t="s">
        <v>228</v>
      </c>
      <c r="V639" s="5">
        <v>44427</v>
      </c>
      <c r="W639" s="5">
        <v>44344</v>
      </c>
      <c r="X639" s="1">
        <v>4025000</v>
      </c>
      <c r="Z639" s="5">
        <v>44344</v>
      </c>
      <c r="AB639" s="1" t="s">
        <v>44</v>
      </c>
      <c r="AF639" s="1">
        <v>10016</v>
      </c>
      <c r="AJ639" s="1">
        <v>2019</v>
      </c>
      <c r="AK639" s="1" t="s">
        <v>46</v>
      </c>
      <c r="AL639" s="1">
        <v>199</v>
      </c>
    </row>
    <row r="640" spans="1:38" x14ac:dyDescent="0.2">
      <c r="A640" s="2" t="str">
        <f>HYPERLINK("https://www.compass.com/listing/30-east-31st-street-unit-6b-manhattan-ny-10016/29514260300197409/","30 E 31st St, Unit 6B")</f>
        <v>30 E 31st St, Unit 6B</v>
      </c>
      <c r="B640" s="2" t="str">
        <f t="shared" ref="B640:B641" si="84">HYPERLINK("https://www.compass.com/building/30-east-31st-street-manhattan-ny/281939352542566357/","30 East 31st Street")</f>
        <v>30 East 31st Street</v>
      </c>
      <c r="C640" s="1" t="s">
        <v>40</v>
      </c>
      <c r="D640" s="1" t="s">
        <v>41</v>
      </c>
      <c r="E640" s="3">
        <v>1725000</v>
      </c>
      <c r="F640" s="1">
        <v>1991.9168591224</v>
      </c>
      <c r="G640" s="1">
        <v>3</v>
      </c>
      <c r="H640" s="1">
        <v>1</v>
      </c>
      <c r="I640" s="1">
        <v>1</v>
      </c>
      <c r="J640" s="1">
        <v>1</v>
      </c>
      <c r="K640" s="1">
        <v>1</v>
      </c>
      <c r="M640" s="1">
        <v>866</v>
      </c>
      <c r="N640" s="1">
        <v>1181</v>
      </c>
      <c r="O640" s="1">
        <v>1358</v>
      </c>
      <c r="P640" s="1">
        <v>177</v>
      </c>
      <c r="Q640" s="1" t="s">
        <v>42</v>
      </c>
      <c r="S640" s="1" t="s">
        <v>42</v>
      </c>
      <c r="T640" s="1" t="s">
        <v>228</v>
      </c>
      <c r="U640" s="1">
        <v>51</v>
      </c>
      <c r="V640" s="5">
        <v>44427</v>
      </c>
      <c r="W640" s="5">
        <v>42996</v>
      </c>
      <c r="X640" s="1">
        <v>1725000</v>
      </c>
      <c r="Z640" s="5">
        <v>43047</v>
      </c>
      <c r="AB640" s="1" t="s">
        <v>44</v>
      </c>
      <c r="AF640" s="1">
        <v>10016</v>
      </c>
      <c r="AJ640" s="1">
        <v>2018</v>
      </c>
      <c r="AK640" s="1" t="s">
        <v>125</v>
      </c>
      <c r="AL640" s="1">
        <v>42</v>
      </c>
    </row>
    <row r="641" spans="1:38" x14ac:dyDescent="0.2">
      <c r="A641" s="2" t="str">
        <f>HYPERLINK("https://www.compass.com/listing/30-east-31st-street-unit-3b-manhattan-ny-10016/781254640639216217/","30 E 31st St, Unit 3B")</f>
        <v>30 E 31st St, Unit 3B</v>
      </c>
      <c r="B641" s="2" t="str">
        <f t="shared" si="84"/>
        <v>30 East 31st Street</v>
      </c>
      <c r="C641" s="1" t="s">
        <v>40</v>
      </c>
      <c r="D641" s="1" t="s">
        <v>41</v>
      </c>
      <c r="E641" s="3">
        <v>1650000</v>
      </c>
      <c r="F641" s="1">
        <v>1905.3117782909901</v>
      </c>
      <c r="G641" s="1">
        <v>2</v>
      </c>
      <c r="H641" s="1">
        <v>1</v>
      </c>
      <c r="I641" s="1">
        <v>1</v>
      </c>
      <c r="J641" s="1">
        <v>1</v>
      </c>
      <c r="K641" s="1">
        <v>1</v>
      </c>
      <c r="M641" s="1">
        <v>866</v>
      </c>
      <c r="N641" s="1">
        <v>1130</v>
      </c>
      <c r="O641" s="1">
        <v>1130</v>
      </c>
      <c r="Q641" s="1" t="s">
        <v>42</v>
      </c>
      <c r="S641" s="1" t="s">
        <v>42</v>
      </c>
      <c r="T641" s="1" t="s">
        <v>228</v>
      </c>
      <c r="U641" s="1">
        <v>1</v>
      </c>
      <c r="V641" s="5">
        <v>44427</v>
      </c>
      <c r="W641" s="5">
        <v>43237</v>
      </c>
      <c r="X641" s="1">
        <v>1650000</v>
      </c>
      <c r="Z641" s="5">
        <v>43239</v>
      </c>
      <c r="AB641" s="1" t="s">
        <v>44</v>
      </c>
      <c r="AF641" s="1">
        <v>10016</v>
      </c>
      <c r="AJ641" s="1">
        <v>2018</v>
      </c>
      <c r="AK641" s="1" t="s">
        <v>125</v>
      </c>
      <c r="AL641" s="1">
        <v>42</v>
      </c>
    </row>
    <row r="642" spans="1:38" x14ac:dyDescent="0.2">
      <c r="A642" s="2" t="str">
        <f>HYPERLINK("https://www.compass.com/listing/15-east-30th-street-unit-20c-manhattan-ny-10016/787047732172846049/","15 E 30th St, Unit 20C")</f>
        <v>15 E 30th St, Unit 20C</v>
      </c>
      <c r="B642" s="2" t="str">
        <f>HYPERLINK("https://www.compass.com/building/madison-house-manhattan-ny/281937618113974565/","Madison House")</f>
        <v>Madison House</v>
      </c>
      <c r="C642" s="1" t="s">
        <v>40</v>
      </c>
      <c r="D642" s="1" t="s">
        <v>41</v>
      </c>
      <c r="E642" s="3">
        <v>2890000</v>
      </c>
      <c r="F642" s="1">
        <v>2107.9504011670301</v>
      </c>
      <c r="G642" s="1">
        <v>4</v>
      </c>
      <c r="H642" s="1">
        <v>2</v>
      </c>
      <c r="I642" s="1">
        <v>2</v>
      </c>
      <c r="J642" s="1">
        <v>2</v>
      </c>
      <c r="K642" s="1">
        <v>2</v>
      </c>
      <c r="M642" s="4">
        <v>1371</v>
      </c>
      <c r="N642" s="1">
        <v>1914</v>
      </c>
      <c r="O642" s="1">
        <v>4214</v>
      </c>
      <c r="P642" s="1">
        <v>2300</v>
      </c>
      <c r="Q642" s="1" t="s">
        <v>42</v>
      </c>
      <c r="S642" s="1" t="s">
        <v>42</v>
      </c>
      <c r="T642" s="1" t="s">
        <v>228</v>
      </c>
      <c r="V642" s="5">
        <v>44427</v>
      </c>
      <c r="W642" s="5">
        <v>44337</v>
      </c>
      <c r="X642" s="1">
        <v>2890000</v>
      </c>
      <c r="Z642" s="5">
        <v>44338</v>
      </c>
      <c r="AB642" s="1" t="s">
        <v>44</v>
      </c>
      <c r="AF642" s="1">
        <v>10016</v>
      </c>
      <c r="AJ642" s="1">
        <v>2019</v>
      </c>
      <c r="AK642" s="1" t="s">
        <v>46</v>
      </c>
      <c r="AL642" s="1">
        <v>199</v>
      </c>
    </row>
    <row r="643" spans="1:38" x14ac:dyDescent="0.2">
      <c r="A643" s="2" t="str">
        <f>HYPERLINK("https://www.compass.com/listing/30-east-31st-street-unit-7a-manhattan-ny-10016/801631331238370337/","30 E 31st St, Unit 7A")</f>
        <v>30 E 31st St, Unit 7A</v>
      </c>
      <c r="B643" s="2" t="str">
        <f>HYPERLINK("https://www.compass.com/building/30-east-31st-street-manhattan-ny/281939352542566357/","30 East 31st Street")</f>
        <v>30 East 31st Street</v>
      </c>
      <c r="C643" s="1" t="s">
        <v>40</v>
      </c>
      <c r="D643" s="1" t="s">
        <v>41</v>
      </c>
      <c r="E643" s="3">
        <v>2025000</v>
      </c>
      <c r="F643" s="1">
        <v>2049.5951417003998</v>
      </c>
      <c r="G643" s="1">
        <v>2</v>
      </c>
      <c r="H643" s="1">
        <v>1</v>
      </c>
      <c r="I643" s="1">
        <v>2</v>
      </c>
      <c r="J643" s="1">
        <v>1.5</v>
      </c>
      <c r="K643" s="1">
        <v>1</v>
      </c>
      <c r="L643" s="1">
        <v>1</v>
      </c>
      <c r="M643" s="1">
        <v>988</v>
      </c>
      <c r="N643" s="1">
        <v>1386</v>
      </c>
      <c r="O643" s="1">
        <v>1593</v>
      </c>
      <c r="P643" s="1">
        <v>207</v>
      </c>
      <c r="Q643" s="1" t="s">
        <v>42</v>
      </c>
      <c r="S643" s="1" t="s">
        <v>42</v>
      </c>
      <c r="T643" s="1" t="s">
        <v>228</v>
      </c>
      <c r="U643" s="1">
        <v>55</v>
      </c>
      <c r="V643" s="5">
        <v>44427</v>
      </c>
      <c r="W643" s="5">
        <v>42992</v>
      </c>
      <c r="X643" s="1">
        <v>2025000</v>
      </c>
      <c r="Z643" s="5">
        <v>43047</v>
      </c>
      <c r="AB643" s="1" t="s">
        <v>44</v>
      </c>
      <c r="AF643" s="1">
        <v>10016</v>
      </c>
      <c r="AJ643" s="1">
        <v>2018</v>
      </c>
      <c r="AK643" s="1" t="s">
        <v>125</v>
      </c>
      <c r="AL643" s="1">
        <v>42</v>
      </c>
    </row>
    <row r="644" spans="1:38" x14ac:dyDescent="0.2">
      <c r="A644" s="2" t="str">
        <f>HYPERLINK("https://www.compass.com/listing/15-east-30th-street-unit-49c-manhattan-ny-10016/562271596491195993/","15 E 30th St, Unit 49C")</f>
        <v>15 E 30th St, Unit 49C</v>
      </c>
      <c r="B644" s="2" t="str">
        <f t="shared" ref="B644:B668" si="85">HYPERLINK("https://www.compass.com/building/madison-house-manhattan-ny/281937618113974565/","Madison House")</f>
        <v>Madison House</v>
      </c>
      <c r="C644" s="1" t="s">
        <v>40</v>
      </c>
      <c r="D644" s="1" t="s">
        <v>41</v>
      </c>
      <c r="E644" s="3">
        <v>3200000</v>
      </c>
      <c r="F644" s="1">
        <v>2591.0931174089001</v>
      </c>
      <c r="G644" s="1">
        <v>3.5</v>
      </c>
      <c r="H644" s="1">
        <v>1</v>
      </c>
      <c r="I644" s="1">
        <v>2</v>
      </c>
      <c r="J644" s="1">
        <v>1.5</v>
      </c>
      <c r="K644" s="1">
        <v>1</v>
      </c>
      <c r="L644" s="1">
        <v>1</v>
      </c>
      <c r="M644" s="4">
        <v>1235</v>
      </c>
      <c r="N644" s="1">
        <v>1724</v>
      </c>
      <c r="O644" s="1">
        <v>3796</v>
      </c>
      <c r="P644" s="1">
        <v>2072</v>
      </c>
      <c r="Q644" s="1" t="s">
        <v>42</v>
      </c>
      <c r="S644" s="1" t="s">
        <v>42</v>
      </c>
      <c r="T644" s="1" t="s">
        <v>228</v>
      </c>
      <c r="U644" s="1">
        <v>267</v>
      </c>
      <c r="V644" s="5">
        <v>44427</v>
      </c>
      <c r="W644" s="5">
        <v>43666</v>
      </c>
      <c r="X644" s="1">
        <v>3200000</v>
      </c>
      <c r="Z644" s="5">
        <v>44028</v>
      </c>
      <c r="AB644" s="1" t="s">
        <v>44</v>
      </c>
      <c r="AF644" s="1">
        <v>10016</v>
      </c>
      <c r="AJ644" s="1">
        <v>2019</v>
      </c>
      <c r="AK644" s="1" t="s">
        <v>46</v>
      </c>
      <c r="AL644" s="1">
        <v>199</v>
      </c>
    </row>
    <row r="645" spans="1:38" x14ac:dyDescent="0.2">
      <c r="A645" s="2" t="str">
        <f>HYPERLINK("https://www.compass.com/listing/15-east-30th-street-unit-48c-manhattan-ny-10016/562271638593373457/","15 E 30th St, Unit 48C")</f>
        <v>15 E 30th St, Unit 48C</v>
      </c>
      <c r="B645" s="2" t="str">
        <f t="shared" si="85"/>
        <v>Madison House</v>
      </c>
      <c r="C645" s="1" t="s">
        <v>40</v>
      </c>
      <c r="D645" s="1" t="s">
        <v>41</v>
      </c>
      <c r="E645" s="3">
        <v>3175000</v>
      </c>
      <c r="F645" s="1">
        <v>2570.8502024291402</v>
      </c>
      <c r="G645" s="1">
        <v>3.5</v>
      </c>
      <c r="H645" s="1">
        <v>1</v>
      </c>
      <c r="I645" s="1">
        <v>2</v>
      </c>
      <c r="J645" s="1">
        <v>1.5</v>
      </c>
      <c r="K645" s="1">
        <v>1</v>
      </c>
      <c r="L645" s="1">
        <v>1</v>
      </c>
      <c r="M645" s="4">
        <v>1235</v>
      </c>
      <c r="N645" s="1">
        <v>1724</v>
      </c>
      <c r="O645" s="1">
        <v>3796</v>
      </c>
      <c r="P645" s="1">
        <v>2072</v>
      </c>
      <c r="Q645" s="1" t="s">
        <v>42</v>
      </c>
      <c r="S645" s="1" t="s">
        <v>42</v>
      </c>
      <c r="T645" s="1" t="s">
        <v>228</v>
      </c>
      <c r="U645" s="1">
        <v>343</v>
      </c>
      <c r="V645" s="5">
        <v>44427</v>
      </c>
      <c r="W645" s="5">
        <v>43590</v>
      </c>
      <c r="X645" s="1">
        <v>3175000</v>
      </c>
      <c r="Z645" s="5">
        <v>44028</v>
      </c>
      <c r="AB645" s="1" t="s">
        <v>44</v>
      </c>
      <c r="AF645" s="1">
        <v>10016</v>
      </c>
      <c r="AJ645" s="1">
        <v>2019</v>
      </c>
      <c r="AK645" s="1" t="s">
        <v>46</v>
      </c>
      <c r="AL645" s="1">
        <v>199</v>
      </c>
    </row>
    <row r="646" spans="1:38" x14ac:dyDescent="0.2">
      <c r="A646" s="2" t="str">
        <f>HYPERLINK("https://www.compass.com/listing/15-east-30th-street-unit-51c-manhattan-ny-10016/562271644600063425/","15 E 30th St, Unit 51C")</f>
        <v>15 E 30th St, Unit 51C</v>
      </c>
      <c r="B646" s="2" t="str">
        <f t="shared" si="85"/>
        <v>Madison House</v>
      </c>
      <c r="C646" s="1" t="s">
        <v>40</v>
      </c>
      <c r="D646" s="1" t="s">
        <v>41</v>
      </c>
      <c r="E646" s="3">
        <v>3275000</v>
      </c>
      <c r="F646" s="1">
        <v>2651.8218623481698</v>
      </c>
      <c r="G646" s="1">
        <v>3.5</v>
      </c>
      <c r="H646" s="1">
        <v>1</v>
      </c>
      <c r="I646" s="1">
        <v>2</v>
      </c>
      <c r="J646" s="1">
        <v>1.5</v>
      </c>
      <c r="K646" s="1">
        <v>1</v>
      </c>
      <c r="L646" s="1">
        <v>1</v>
      </c>
      <c r="M646" s="4">
        <v>1235</v>
      </c>
      <c r="N646" s="1">
        <v>1724</v>
      </c>
      <c r="O646" s="1">
        <v>3796</v>
      </c>
      <c r="P646" s="1">
        <v>2072</v>
      </c>
      <c r="Q646" s="1" t="s">
        <v>42</v>
      </c>
      <c r="S646" s="1" t="s">
        <v>42</v>
      </c>
      <c r="T646" s="1" t="s">
        <v>228</v>
      </c>
      <c r="U646" s="1">
        <v>69</v>
      </c>
      <c r="V646" s="5">
        <v>44427</v>
      </c>
      <c r="W646" s="5">
        <v>43864</v>
      </c>
      <c r="X646" s="1">
        <v>3275000</v>
      </c>
      <c r="Z646" s="5">
        <v>44028</v>
      </c>
      <c r="AB646" s="1" t="s">
        <v>44</v>
      </c>
      <c r="AF646" s="1">
        <v>10016</v>
      </c>
      <c r="AJ646" s="1">
        <v>2019</v>
      </c>
      <c r="AK646" s="1" t="s">
        <v>46</v>
      </c>
      <c r="AL646" s="1">
        <v>199</v>
      </c>
    </row>
    <row r="647" spans="1:38" x14ac:dyDescent="0.2">
      <c r="A647" s="2" t="str">
        <f>HYPERLINK("https://www.compass.com/listing/15-east-30th-street-unit-16e-manhattan-ny-10016/719624110174486745/","15 E 30th St, Unit 16E")</f>
        <v>15 E 30th St, Unit 16E</v>
      </c>
      <c r="B647" s="2" t="str">
        <f t="shared" si="85"/>
        <v>Madison House</v>
      </c>
      <c r="C647" s="1" t="s">
        <v>40</v>
      </c>
      <c r="D647" s="1" t="s">
        <v>41</v>
      </c>
      <c r="E647" s="3">
        <v>1750000</v>
      </c>
      <c r="F647" s="1">
        <v>1694.09486931268</v>
      </c>
      <c r="G647" s="1">
        <v>3</v>
      </c>
      <c r="H647" s="1">
        <v>1</v>
      </c>
      <c r="I647" s="1">
        <v>1</v>
      </c>
      <c r="J647" s="1">
        <v>1</v>
      </c>
      <c r="K647" s="1">
        <v>1</v>
      </c>
      <c r="M647" s="4">
        <v>1033</v>
      </c>
      <c r="N647" s="1">
        <v>1442</v>
      </c>
      <c r="O647" s="1">
        <v>3175</v>
      </c>
      <c r="P647" s="1">
        <v>1733</v>
      </c>
      <c r="Q647" s="1" t="s">
        <v>42</v>
      </c>
      <c r="S647" s="1" t="s">
        <v>42</v>
      </c>
      <c r="T647" s="1" t="s">
        <v>228</v>
      </c>
      <c r="V647" s="5">
        <v>44427</v>
      </c>
      <c r="W647" s="5">
        <v>44244</v>
      </c>
      <c r="Z647" s="5">
        <v>44244</v>
      </c>
      <c r="AB647" s="1" t="s">
        <v>44</v>
      </c>
      <c r="AF647" s="1">
        <v>10016</v>
      </c>
      <c r="AJ647" s="1">
        <v>2019</v>
      </c>
      <c r="AK647" s="1" t="s">
        <v>46</v>
      </c>
      <c r="AL647" s="1">
        <v>199</v>
      </c>
    </row>
    <row r="648" spans="1:38" x14ac:dyDescent="0.2">
      <c r="A648" s="2" t="str">
        <f>HYPERLINK("https://www.compass.com/listing/15-east-30th-street-unit-18e-manhattan-ny-10016/721106564828487249/","15 E 30th St, Unit 18E")</f>
        <v>15 E 30th St, Unit 18E</v>
      </c>
      <c r="B648" s="2" t="str">
        <f t="shared" si="85"/>
        <v>Madison House</v>
      </c>
      <c r="C648" s="1" t="s">
        <v>40</v>
      </c>
      <c r="D648" s="1" t="s">
        <v>41</v>
      </c>
      <c r="E648" s="3">
        <v>1730000</v>
      </c>
      <c r="F648" s="1">
        <v>1674.73378509196</v>
      </c>
      <c r="G648" s="1">
        <v>3</v>
      </c>
      <c r="H648" s="1">
        <v>1</v>
      </c>
      <c r="I648" s="1">
        <v>1</v>
      </c>
      <c r="J648" s="1">
        <v>1</v>
      </c>
      <c r="K648" s="1">
        <v>1</v>
      </c>
      <c r="M648" s="4">
        <v>1033</v>
      </c>
      <c r="N648" s="1">
        <v>1442</v>
      </c>
      <c r="O648" s="1">
        <v>3175</v>
      </c>
      <c r="P648" s="1">
        <v>1733</v>
      </c>
      <c r="Q648" s="1" t="s">
        <v>42</v>
      </c>
      <c r="S648" s="1" t="s">
        <v>42</v>
      </c>
      <c r="T648" s="1" t="s">
        <v>228</v>
      </c>
      <c r="U648" s="1">
        <v>5</v>
      </c>
      <c r="V648" s="5">
        <v>44427</v>
      </c>
      <c r="W648" s="5">
        <v>44241</v>
      </c>
      <c r="X648" s="1">
        <v>1730000</v>
      </c>
      <c r="Z648" s="5">
        <v>44247</v>
      </c>
      <c r="AB648" s="1" t="s">
        <v>44</v>
      </c>
      <c r="AF648" s="1">
        <v>10016</v>
      </c>
      <c r="AJ648" s="1">
        <v>2019</v>
      </c>
      <c r="AK648" s="1" t="s">
        <v>46</v>
      </c>
      <c r="AL648" s="1">
        <v>199</v>
      </c>
    </row>
    <row r="649" spans="1:38" x14ac:dyDescent="0.2">
      <c r="A649" s="2" t="str">
        <f>HYPERLINK("https://www.compass.com/listing/15-east-30th-street-unit-17e-manhattan-ny-10016/720403117812383001/","15 E 30th St, Unit 17E")</f>
        <v>15 E 30th St, Unit 17E</v>
      </c>
      <c r="B649" s="2" t="str">
        <f t="shared" si="85"/>
        <v>Madison House</v>
      </c>
      <c r="C649" s="1" t="s">
        <v>40</v>
      </c>
      <c r="D649" s="1" t="s">
        <v>41</v>
      </c>
      <c r="E649" s="3">
        <v>1715000</v>
      </c>
      <c r="F649" s="1">
        <v>1660.2129719264201</v>
      </c>
      <c r="G649" s="1">
        <v>4</v>
      </c>
      <c r="H649" s="1">
        <v>1</v>
      </c>
      <c r="I649" s="1">
        <v>1</v>
      </c>
      <c r="J649" s="1">
        <v>1</v>
      </c>
      <c r="K649" s="1">
        <v>1</v>
      </c>
      <c r="M649" s="4">
        <v>1033</v>
      </c>
      <c r="N649" s="1">
        <v>1442</v>
      </c>
      <c r="O649" s="1">
        <v>3175</v>
      </c>
      <c r="P649" s="1">
        <v>1733</v>
      </c>
      <c r="Q649" s="1" t="s">
        <v>42</v>
      </c>
      <c r="S649" s="1" t="s">
        <v>42</v>
      </c>
      <c r="T649" s="1" t="s">
        <v>228</v>
      </c>
      <c r="U649" s="1">
        <v>5</v>
      </c>
      <c r="V649" s="5">
        <v>44427</v>
      </c>
      <c r="W649" s="5">
        <v>44240</v>
      </c>
      <c r="X649" s="1">
        <v>1715000</v>
      </c>
      <c r="Z649" s="5">
        <v>44246</v>
      </c>
      <c r="AB649" s="1" t="s">
        <v>44</v>
      </c>
      <c r="AF649" s="1">
        <v>10016</v>
      </c>
      <c r="AJ649" s="1">
        <v>2019</v>
      </c>
      <c r="AK649" s="1" t="s">
        <v>46</v>
      </c>
      <c r="AL649" s="1">
        <v>199</v>
      </c>
    </row>
    <row r="650" spans="1:38" x14ac:dyDescent="0.2">
      <c r="A650" s="2" t="str">
        <f>HYPERLINK("https://www.compass.com/listing/15-east-30th-street-unit-20e-manhattan-ny-10016/714544347134292065/","15 E 30th St, Unit 20E")</f>
        <v>15 E 30th St, Unit 20E</v>
      </c>
      <c r="B650" s="2" t="str">
        <f t="shared" si="85"/>
        <v>Madison House</v>
      </c>
      <c r="C650" s="1" t="s">
        <v>40</v>
      </c>
      <c r="D650" s="1" t="s">
        <v>41</v>
      </c>
      <c r="E650" s="3">
        <v>1760000</v>
      </c>
      <c r="F650" s="1">
        <v>1703.7754114230299</v>
      </c>
      <c r="G650" s="1">
        <v>3</v>
      </c>
      <c r="H650" s="1">
        <v>1</v>
      </c>
      <c r="I650" s="1">
        <v>1</v>
      </c>
      <c r="J650" s="1">
        <v>1</v>
      </c>
      <c r="K650" s="1">
        <v>1</v>
      </c>
      <c r="M650" s="4">
        <v>1033</v>
      </c>
      <c r="N650" s="1">
        <v>1442</v>
      </c>
      <c r="O650" s="1">
        <v>3175</v>
      </c>
      <c r="P650" s="1">
        <v>1733</v>
      </c>
      <c r="Q650" s="1" t="s">
        <v>42</v>
      </c>
      <c r="S650" s="1" t="s">
        <v>42</v>
      </c>
      <c r="T650" s="1" t="s">
        <v>228</v>
      </c>
      <c r="U650" s="1">
        <v>5</v>
      </c>
      <c r="V650" s="5">
        <v>44427</v>
      </c>
      <c r="W650" s="5">
        <v>44232</v>
      </c>
      <c r="X650" s="1">
        <v>1760000</v>
      </c>
      <c r="Z650" s="5">
        <v>44238</v>
      </c>
      <c r="AB650" s="1" t="s">
        <v>44</v>
      </c>
      <c r="AF650" s="1">
        <v>10016</v>
      </c>
      <c r="AJ650" s="1">
        <v>2019</v>
      </c>
      <c r="AK650" s="1" t="s">
        <v>46</v>
      </c>
      <c r="AL650" s="1">
        <v>199</v>
      </c>
    </row>
    <row r="651" spans="1:38" x14ac:dyDescent="0.2">
      <c r="A651" s="2" t="str">
        <f>HYPERLINK("https://www.compass.com/listing/15-east-30th-street-unit-33a-manhattan-ny-10016/715973340719036665/","15 E 30th St, Unit 33A")</f>
        <v>15 E 30th St, Unit 33A</v>
      </c>
      <c r="B651" s="2" t="str">
        <f t="shared" si="85"/>
        <v>Madison House</v>
      </c>
      <c r="C651" s="1" t="s">
        <v>40</v>
      </c>
      <c r="D651" s="1" t="s">
        <v>41</v>
      </c>
      <c r="E651" s="3">
        <v>1825000</v>
      </c>
      <c r="F651" s="1">
        <v>1937.3673036093401</v>
      </c>
      <c r="G651" s="1">
        <v>3</v>
      </c>
      <c r="H651" s="1">
        <v>1</v>
      </c>
      <c r="I651" s="1">
        <v>1</v>
      </c>
      <c r="J651" s="1">
        <v>1</v>
      </c>
      <c r="K651" s="1">
        <v>1</v>
      </c>
      <c r="M651" s="1">
        <v>942</v>
      </c>
      <c r="N651" s="1">
        <v>1315</v>
      </c>
      <c r="O651" s="1">
        <v>2895</v>
      </c>
      <c r="P651" s="1">
        <v>1580</v>
      </c>
      <c r="Q651" s="1" t="s">
        <v>42</v>
      </c>
      <c r="S651" s="1" t="s">
        <v>42</v>
      </c>
      <c r="T651" s="1" t="s">
        <v>228</v>
      </c>
      <c r="U651" s="1">
        <v>7</v>
      </c>
      <c r="V651" s="5">
        <v>44427</v>
      </c>
      <c r="W651" s="5">
        <v>44232</v>
      </c>
      <c r="X651" s="1">
        <v>1825000</v>
      </c>
      <c r="Z651" s="5">
        <v>44240</v>
      </c>
      <c r="AB651" s="1" t="s">
        <v>44</v>
      </c>
      <c r="AF651" s="1">
        <v>10016</v>
      </c>
      <c r="AJ651" s="1">
        <v>2019</v>
      </c>
      <c r="AK651" s="1" t="s">
        <v>46</v>
      </c>
      <c r="AL651" s="1">
        <v>199</v>
      </c>
    </row>
    <row r="652" spans="1:38" x14ac:dyDescent="0.2">
      <c r="A652" s="2" t="str">
        <f>HYPERLINK("https://www.compass.com/listing/15-east-30th-street-unit-18a-manhattan-ny-10016/699628322516013913/","15 E 30th St, Unit 18A")</f>
        <v>15 E 30th St, Unit 18A</v>
      </c>
      <c r="B652" s="2" t="str">
        <f t="shared" si="85"/>
        <v>Madison House</v>
      </c>
      <c r="C652" s="1" t="s">
        <v>40</v>
      </c>
      <c r="D652" s="1" t="s">
        <v>41</v>
      </c>
      <c r="E652" s="3">
        <v>1600000</v>
      </c>
      <c r="F652" s="1">
        <v>1705.75692963752</v>
      </c>
      <c r="G652" s="1">
        <v>3</v>
      </c>
      <c r="H652" s="1">
        <v>1</v>
      </c>
      <c r="I652" s="1">
        <v>1</v>
      </c>
      <c r="J652" s="1">
        <v>1</v>
      </c>
      <c r="K652" s="1">
        <v>1</v>
      </c>
      <c r="M652" s="1">
        <v>938</v>
      </c>
      <c r="N652" s="1">
        <v>1310</v>
      </c>
      <c r="O652" s="1">
        <v>2883</v>
      </c>
      <c r="P652" s="1">
        <v>1573</v>
      </c>
      <c r="Q652" s="1" t="s">
        <v>42</v>
      </c>
      <c r="S652" s="1" t="s">
        <v>42</v>
      </c>
      <c r="T652" s="1" t="s">
        <v>228</v>
      </c>
      <c r="U652" s="1">
        <v>29</v>
      </c>
      <c r="V652" s="5">
        <v>44427</v>
      </c>
      <c r="W652" s="5">
        <v>44215</v>
      </c>
      <c r="X652" s="1">
        <v>1600000</v>
      </c>
      <c r="Z652" s="5">
        <v>44244</v>
      </c>
      <c r="AB652" s="1" t="s">
        <v>44</v>
      </c>
      <c r="AF652" s="1">
        <v>10016</v>
      </c>
      <c r="AJ652" s="1">
        <v>2019</v>
      </c>
      <c r="AK652" s="1" t="s">
        <v>46</v>
      </c>
      <c r="AL652" s="1">
        <v>199</v>
      </c>
    </row>
    <row r="653" spans="1:38" x14ac:dyDescent="0.2">
      <c r="A653" s="2" t="str">
        <f>HYPERLINK("https://www.compass.com/listing/15-east-30th-street-unit-31e-manhattan-ny-10016/682732234150796425/","15 E 30th St, Unit 31E")</f>
        <v>15 E 30th St, Unit 31E</v>
      </c>
      <c r="B653" s="2" t="str">
        <f t="shared" si="85"/>
        <v>Madison House</v>
      </c>
      <c r="C653" s="1" t="s">
        <v>40</v>
      </c>
      <c r="D653" s="1" t="s">
        <v>41</v>
      </c>
      <c r="E653" s="3">
        <v>2135000</v>
      </c>
      <c r="F653" s="1">
        <v>2066.7957405614702</v>
      </c>
      <c r="G653" s="1">
        <v>3</v>
      </c>
      <c r="H653" s="1">
        <v>1</v>
      </c>
      <c r="I653" s="1">
        <v>1</v>
      </c>
      <c r="J653" s="1">
        <v>1</v>
      </c>
      <c r="K653" s="1">
        <v>1</v>
      </c>
      <c r="M653" s="4">
        <v>1033</v>
      </c>
      <c r="N653" s="1">
        <v>1442</v>
      </c>
      <c r="O653" s="1">
        <v>3175</v>
      </c>
      <c r="P653" s="1">
        <v>1733</v>
      </c>
      <c r="Q653" s="1" t="s">
        <v>42</v>
      </c>
      <c r="S653" s="1" t="s">
        <v>42</v>
      </c>
      <c r="T653" s="1" t="s">
        <v>228</v>
      </c>
      <c r="U653" s="1">
        <v>1</v>
      </c>
      <c r="V653" s="5">
        <v>44427</v>
      </c>
      <c r="W653" s="5">
        <v>44193</v>
      </c>
      <c r="X653" s="1">
        <v>2135000</v>
      </c>
      <c r="Z653" s="5">
        <v>44195</v>
      </c>
      <c r="AB653" s="1" t="s">
        <v>44</v>
      </c>
      <c r="AF653" s="1">
        <v>10016</v>
      </c>
      <c r="AJ653" s="1">
        <v>2019</v>
      </c>
      <c r="AK653" s="1" t="s">
        <v>46</v>
      </c>
      <c r="AL653" s="1">
        <v>199</v>
      </c>
    </row>
    <row r="654" spans="1:38" x14ac:dyDescent="0.2">
      <c r="A654" s="2" t="str">
        <f>HYPERLINK("https://www.compass.com/listing/15-east-30th-street-unit-16a-manhattan-ny-10016/673969106277490073/","15 E 30th St, Unit 16A")</f>
        <v>15 E 30th St, Unit 16A</v>
      </c>
      <c r="B654" s="2" t="str">
        <f t="shared" si="85"/>
        <v>Madison House</v>
      </c>
      <c r="C654" s="1" t="s">
        <v>40</v>
      </c>
      <c r="D654" s="1" t="s">
        <v>41</v>
      </c>
      <c r="E654" s="3">
        <v>1495000</v>
      </c>
      <c r="F654" s="1">
        <v>1593.8166311300599</v>
      </c>
      <c r="G654" s="1">
        <v>3</v>
      </c>
      <c r="H654" s="1">
        <v>1</v>
      </c>
      <c r="I654" s="1">
        <v>1</v>
      </c>
      <c r="J654" s="1">
        <v>1</v>
      </c>
      <c r="K654" s="1">
        <v>1</v>
      </c>
      <c r="M654" s="1">
        <v>938</v>
      </c>
      <c r="N654" s="1">
        <v>1310</v>
      </c>
      <c r="O654" s="1">
        <v>2883</v>
      </c>
      <c r="P654" s="1">
        <v>1573</v>
      </c>
      <c r="Q654" s="1" t="s">
        <v>42</v>
      </c>
      <c r="S654" s="1" t="s">
        <v>42</v>
      </c>
      <c r="T654" s="1" t="s">
        <v>228</v>
      </c>
      <c r="U654" s="1">
        <v>34</v>
      </c>
      <c r="V654" s="5">
        <v>44427</v>
      </c>
      <c r="W654" s="5">
        <v>44181</v>
      </c>
      <c r="X654" s="1">
        <v>1495000</v>
      </c>
      <c r="Z654" s="5">
        <v>44216</v>
      </c>
      <c r="AB654" s="1" t="s">
        <v>44</v>
      </c>
      <c r="AF654" s="1">
        <v>10016</v>
      </c>
      <c r="AJ654" s="1">
        <v>2019</v>
      </c>
      <c r="AK654" s="1" t="s">
        <v>46</v>
      </c>
      <c r="AL654" s="1">
        <v>199</v>
      </c>
    </row>
    <row r="655" spans="1:38" x14ac:dyDescent="0.2">
      <c r="A655" s="2" t="str">
        <f>HYPERLINK("https://www.compass.com/listing/15-east-30th-street-unit-19e-manhattan-ny-10016/664450282065702801/","15 E 30th St, Unit 19E")</f>
        <v>15 E 30th St, Unit 19E</v>
      </c>
      <c r="B655" s="2" t="str">
        <f t="shared" si="85"/>
        <v>Madison House</v>
      </c>
      <c r="C655" s="1" t="s">
        <v>40</v>
      </c>
      <c r="D655" s="1" t="s">
        <v>41</v>
      </c>
      <c r="E655" s="3">
        <v>1745000</v>
      </c>
      <c r="F655" s="1">
        <v>1689.2545982575</v>
      </c>
      <c r="G655" s="1">
        <v>3</v>
      </c>
      <c r="H655" s="1">
        <v>1</v>
      </c>
      <c r="I655" s="1">
        <v>1</v>
      </c>
      <c r="J655" s="1">
        <v>1</v>
      </c>
      <c r="K655" s="1">
        <v>1</v>
      </c>
      <c r="M655" s="4">
        <v>1033</v>
      </c>
      <c r="N655" s="1">
        <v>1442</v>
      </c>
      <c r="O655" s="1">
        <v>3175</v>
      </c>
      <c r="P655" s="1">
        <v>1733</v>
      </c>
      <c r="Q655" s="1" t="s">
        <v>42</v>
      </c>
      <c r="S655" s="1" t="s">
        <v>42</v>
      </c>
      <c r="T655" s="1" t="s">
        <v>228</v>
      </c>
      <c r="U655" s="1">
        <v>77</v>
      </c>
      <c r="V655" s="5">
        <v>44427</v>
      </c>
      <c r="W655" s="5">
        <v>44168</v>
      </c>
      <c r="X655" s="1">
        <v>1620000</v>
      </c>
      <c r="Z655" s="5">
        <v>44245</v>
      </c>
      <c r="AB655" s="1" t="s">
        <v>44</v>
      </c>
      <c r="AF655" s="1">
        <v>10016</v>
      </c>
      <c r="AJ655" s="1">
        <v>2019</v>
      </c>
      <c r="AK655" s="1" t="s">
        <v>46</v>
      </c>
      <c r="AL655" s="1">
        <v>199</v>
      </c>
    </row>
    <row r="656" spans="1:38" x14ac:dyDescent="0.2">
      <c r="A656" s="2" t="str">
        <f>HYPERLINK("https://www.compass.com/listing/15-east-30th-street-unit-42c-manhattan-ny-10016/654798064906505753/","15 E 30th St, Unit 42C")</f>
        <v>15 E 30th St, Unit 42C</v>
      </c>
      <c r="B656" s="2" t="str">
        <f t="shared" si="85"/>
        <v>Madison House</v>
      </c>
      <c r="C656" s="1" t="s">
        <v>40</v>
      </c>
      <c r="D656" s="1" t="s">
        <v>41</v>
      </c>
      <c r="E656" s="3">
        <v>2400000</v>
      </c>
      <c r="F656" s="1">
        <v>2181.8181818181802</v>
      </c>
      <c r="G656" s="1">
        <v>3.5</v>
      </c>
      <c r="H656" s="1">
        <v>1</v>
      </c>
      <c r="I656" s="1">
        <v>2</v>
      </c>
      <c r="J656" s="1">
        <v>1.5</v>
      </c>
      <c r="K656" s="1">
        <v>1</v>
      </c>
      <c r="L656" s="1">
        <v>1</v>
      </c>
      <c r="M656" s="4">
        <v>1100</v>
      </c>
      <c r="N656" s="1">
        <v>1536</v>
      </c>
      <c r="O656" s="1">
        <v>3381</v>
      </c>
      <c r="P656" s="1">
        <v>1845</v>
      </c>
      <c r="Q656" s="1" t="s">
        <v>42</v>
      </c>
      <c r="S656" s="1" t="s">
        <v>42</v>
      </c>
      <c r="T656" s="1" t="s">
        <v>228</v>
      </c>
      <c r="U656" s="1">
        <v>90</v>
      </c>
      <c r="V656" s="5">
        <v>44427</v>
      </c>
      <c r="W656" s="5">
        <v>44154</v>
      </c>
      <c r="X656" s="1">
        <v>2300000</v>
      </c>
      <c r="Z656" s="5">
        <v>44244</v>
      </c>
      <c r="AB656" s="1" t="s">
        <v>44</v>
      </c>
      <c r="AF656" s="1">
        <v>10016</v>
      </c>
      <c r="AJ656" s="1">
        <v>2019</v>
      </c>
      <c r="AK656" s="1" t="s">
        <v>46</v>
      </c>
      <c r="AL656" s="1">
        <v>199</v>
      </c>
    </row>
    <row r="657" spans="1:38" x14ac:dyDescent="0.2">
      <c r="A657" s="2" t="str">
        <f>HYPERLINK("https://www.compass.com/listing/15-east-30th-street-unit-22e-manhattan-ny-10016/623941139590000217/","15 E 30th St, Unit 22E")</f>
        <v>15 E 30th St, Unit 22E</v>
      </c>
      <c r="B657" s="2" t="str">
        <f t="shared" si="85"/>
        <v>Madison House</v>
      </c>
      <c r="C657" s="1" t="s">
        <v>40</v>
      </c>
      <c r="D657" s="1" t="s">
        <v>41</v>
      </c>
      <c r="E657" s="3">
        <v>1665000</v>
      </c>
      <c r="F657" s="1">
        <v>1611.81026137463</v>
      </c>
      <c r="G657" s="1">
        <v>3</v>
      </c>
      <c r="H657" s="1">
        <v>1</v>
      </c>
      <c r="I657" s="1">
        <v>1</v>
      </c>
      <c r="J657" s="1">
        <v>1</v>
      </c>
      <c r="K657" s="1">
        <v>1</v>
      </c>
      <c r="M657" s="4">
        <v>1033</v>
      </c>
      <c r="N657" s="1">
        <v>1442</v>
      </c>
      <c r="O657" s="1">
        <v>3175</v>
      </c>
      <c r="P657" s="1">
        <v>1733</v>
      </c>
      <c r="Q657" s="1" t="s">
        <v>42</v>
      </c>
      <c r="S657" s="1" t="s">
        <v>42</v>
      </c>
      <c r="T657" s="1" t="s">
        <v>228</v>
      </c>
      <c r="U657" s="1">
        <v>61</v>
      </c>
      <c r="V657" s="5">
        <v>44427</v>
      </c>
      <c r="W657" s="5">
        <v>44112</v>
      </c>
      <c r="X657" s="1">
        <v>1665000</v>
      </c>
      <c r="Z657" s="5">
        <v>44174</v>
      </c>
      <c r="AB657" s="1" t="s">
        <v>44</v>
      </c>
      <c r="AF657" s="1">
        <v>10016</v>
      </c>
      <c r="AJ657" s="1">
        <v>2019</v>
      </c>
      <c r="AK657" s="1" t="s">
        <v>46</v>
      </c>
      <c r="AL657" s="1">
        <v>199</v>
      </c>
    </row>
    <row r="658" spans="1:38" x14ac:dyDescent="0.2">
      <c r="A658" s="2" t="str">
        <f>HYPERLINK("https://www.compass.com/listing/15-east-30th-street-unit-33b-manhattan-ny-10016/562255889124594889/","15 E 30th St, Unit 33B")</f>
        <v>15 E 30th St, Unit 33B</v>
      </c>
      <c r="B658" s="2" t="str">
        <f t="shared" si="85"/>
        <v>Madison House</v>
      </c>
      <c r="C658" s="1" t="s">
        <v>40</v>
      </c>
      <c r="D658" s="1" t="s">
        <v>41</v>
      </c>
      <c r="E658" s="3">
        <v>2075000</v>
      </c>
      <c r="F658" s="1">
        <v>1847.7292965271499</v>
      </c>
      <c r="G658" s="1">
        <v>3.5</v>
      </c>
      <c r="H658" s="1">
        <v>1</v>
      </c>
      <c r="I658" s="1">
        <v>2</v>
      </c>
      <c r="J658" s="1">
        <v>1.5</v>
      </c>
      <c r="K658" s="1">
        <v>1</v>
      </c>
      <c r="L658" s="1">
        <v>1</v>
      </c>
      <c r="M658" s="4">
        <v>1123</v>
      </c>
      <c r="N658" s="1">
        <v>1568</v>
      </c>
      <c r="O658" s="1">
        <v>3452</v>
      </c>
      <c r="P658" s="1">
        <v>1884</v>
      </c>
      <c r="Q658" s="1" t="s">
        <v>42</v>
      </c>
      <c r="S658" s="1" t="s">
        <v>42</v>
      </c>
      <c r="T658" s="1" t="s">
        <v>228</v>
      </c>
      <c r="U658" s="1">
        <v>183</v>
      </c>
      <c r="V658" s="5">
        <v>44427</v>
      </c>
      <c r="W658" s="5">
        <v>43750</v>
      </c>
      <c r="X658" s="1">
        <v>2075000</v>
      </c>
      <c r="Z658" s="5">
        <v>44028</v>
      </c>
      <c r="AB658" s="1" t="s">
        <v>44</v>
      </c>
      <c r="AF658" s="1">
        <v>10016</v>
      </c>
      <c r="AJ658" s="1">
        <v>2019</v>
      </c>
      <c r="AK658" s="1" t="s">
        <v>46</v>
      </c>
      <c r="AL658" s="1">
        <v>199</v>
      </c>
    </row>
    <row r="659" spans="1:38" x14ac:dyDescent="0.2">
      <c r="A659" s="2" t="str">
        <f>HYPERLINK("https://www.compass.com/listing/15-east-30th-street-unit-36b-manhattan-ny-10016/562255890315777297/","15 E 30th St, Unit 36B")</f>
        <v>15 E 30th St, Unit 36B</v>
      </c>
      <c r="B659" s="2" t="str">
        <f t="shared" si="85"/>
        <v>Madison House</v>
      </c>
      <c r="C659" s="1" t="s">
        <v>40</v>
      </c>
      <c r="D659" s="1" t="s">
        <v>41</v>
      </c>
      <c r="E659" s="3">
        <v>2225000</v>
      </c>
      <c r="F659" s="1">
        <v>1981.3000890471901</v>
      </c>
      <c r="G659" s="1">
        <v>3.5</v>
      </c>
      <c r="H659" s="1">
        <v>1</v>
      </c>
      <c r="I659" s="1">
        <v>2</v>
      </c>
      <c r="J659" s="1">
        <v>1.5</v>
      </c>
      <c r="K659" s="1">
        <v>1</v>
      </c>
      <c r="L659" s="1">
        <v>1</v>
      </c>
      <c r="M659" s="4">
        <v>1123</v>
      </c>
      <c r="N659" s="1">
        <v>1568</v>
      </c>
      <c r="O659" s="1">
        <v>3452</v>
      </c>
      <c r="P659" s="1">
        <v>1884</v>
      </c>
      <c r="Q659" s="1" t="s">
        <v>42</v>
      </c>
      <c r="S659" s="1" t="s">
        <v>42</v>
      </c>
      <c r="T659" s="1" t="s">
        <v>228</v>
      </c>
      <c r="U659" s="1">
        <v>75</v>
      </c>
      <c r="V659" s="5">
        <v>44427</v>
      </c>
      <c r="W659" s="5">
        <v>43858</v>
      </c>
      <c r="X659" s="1">
        <v>2225000</v>
      </c>
      <c r="Z659" s="5">
        <v>44028</v>
      </c>
      <c r="AB659" s="1" t="s">
        <v>44</v>
      </c>
      <c r="AF659" s="1">
        <v>10016</v>
      </c>
      <c r="AJ659" s="1">
        <v>2019</v>
      </c>
      <c r="AK659" s="1" t="s">
        <v>46</v>
      </c>
      <c r="AL659" s="1">
        <v>199</v>
      </c>
    </row>
    <row r="660" spans="1:38" x14ac:dyDescent="0.2">
      <c r="A660" s="2" t="str">
        <f>HYPERLINK("https://www.compass.com/listing/15-east-30th-street-unit-38b-manhattan-ny-10016/562255926252753537/","15 E 30th St, Unit 38B")</f>
        <v>15 E 30th St, Unit 38B</v>
      </c>
      <c r="B660" s="2" t="str">
        <f t="shared" si="85"/>
        <v>Madison House</v>
      </c>
      <c r="C660" s="1" t="s">
        <v>40</v>
      </c>
      <c r="D660" s="1" t="s">
        <v>41</v>
      </c>
      <c r="E660" s="3">
        <v>2275000</v>
      </c>
      <c r="F660" s="1">
        <v>2025.8236865538699</v>
      </c>
      <c r="G660" s="1">
        <v>3.5</v>
      </c>
      <c r="H660" s="1">
        <v>1</v>
      </c>
      <c r="I660" s="1">
        <v>2</v>
      </c>
      <c r="J660" s="1">
        <v>1.5</v>
      </c>
      <c r="K660" s="1">
        <v>1</v>
      </c>
      <c r="L660" s="1">
        <v>1</v>
      </c>
      <c r="M660" s="4">
        <v>1123</v>
      </c>
      <c r="N660" s="1">
        <v>1568</v>
      </c>
      <c r="O660" s="1">
        <v>3452</v>
      </c>
      <c r="P660" s="1">
        <v>1884</v>
      </c>
      <c r="Q660" s="1" t="s">
        <v>42</v>
      </c>
      <c r="S660" s="1" t="s">
        <v>42</v>
      </c>
      <c r="T660" s="1" t="s">
        <v>228</v>
      </c>
      <c r="U660" s="1">
        <v>49</v>
      </c>
      <c r="V660" s="5">
        <v>44427</v>
      </c>
      <c r="W660" s="5">
        <v>43884</v>
      </c>
      <c r="X660" s="1">
        <v>2275000</v>
      </c>
      <c r="Z660" s="5">
        <v>44028</v>
      </c>
      <c r="AB660" s="1" t="s">
        <v>44</v>
      </c>
      <c r="AF660" s="1">
        <v>10016</v>
      </c>
      <c r="AJ660" s="1">
        <v>2019</v>
      </c>
      <c r="AK660" s="1" t="s">
        <v>46</v>
      </c>
      <c r="AL660" s="1">
        <v>199</v>
      </c>
    </row>
    <row r="661" spans="1:38" x14ac:dyDescent="0.2">
      <c r="A661" s="2" t="str">
        <f>HYPERLINK("https://www.compass.com/listing/15-east-30th-street-unit-35b-manhattan-ny-10016/562256010734561385/","15 E 30th St, Unit 35B")</f>
        <v>15 E 30th St, Unit 35B</v>
      </c>
      <c r="B661" s="2" t="str">
        <f t="shared" si="85"/>
        <v>Madison House</v>
      </c>
      <c r="C661" s="1" t="s">
        <v>40</v>
      </c>
      <c r="D661" s="1" t="s">
        <v>41</v>
      </c>
      <c r="E661" s="3">
        <v>2200000</v>
      </c>
      <c r="F661" s="1">
        <v>1959.03829029385</v>
      </c>
      <c r="G661" s="1">
        <v>4.5</v>
      </c>
      <c r="H661" s="1">
        <v>1</v>
      </c>
      <c r="I661" s="1">
        <v>2</v>
      </c>
      <c r="J661" s="1">
        <v>1.5</v>
      </c>
      <c r="K661" s="1">
        <v>1</v>
      </c>
      <c r="L661" s="1">
        <v>1</v>
      </c>
      <c r="M661" s="4">
        <v>1123</v>
      </c>
      <c r="N661" s="1">
        <v>1568</v>
      </c>
      <c r="O661" s="1">
        <v>3452</v>
      </c>
      <c r="P661" s="1">
        <v>1884</v>
      </c>
      <c r="Q661" s="1" t="s">
        <v>42</v>
      </c>
      <c r="S661" s="1" t="s">
        <v>42</v>
      </c>
      <c r="T661" s="1" t="s">
        <v>228</v>
      </c>
      <c r="U661" s="1">
        <v>23</v>
      </c>
      <c r="V661" s="5">
        <v>44427</v>
      </c>
      <c r="W661" s="5">
        <v>43995</v>
      </c>
      <c r="X661" s="1">
        <v>2200000</v>
      </c>
      <c r="Z661" s="5">
        <v>44028</v>
      </c>
      <c r="AB661" s="1" t="s">
        <v>44</v>
      </c>
      <c r="AF661" s="1">
        <v>10016</v>
      </c>
      <c r="AJ661" s="1">
        <v>2019</v>
      </c>
      <c r="AK661" s="1" t="s">
        <v>46</v>
      </c>
      <c r="AL661" s="1">
        <v>199</v>
      </c>
    </row>
    <row r="662" spans="1:38" x14ac:dyDescent="0.2">
      <c r="A662" s="2" t="str">
        <f>HYPERLINK("https://www.compass.com/listing/15-east-30th-street-unit-39b-manhattan-ny-10016/562271533299696641/","15 E 30th St, Unit 39B")</f>
        <v>15 E 30th St, Unit 39B</v>
      </c>
      <c r="B662" s="2" t="str">
        <f t="shared" si="85"/>
        <v>Madison House</v>
      </c>
      <c r="C662" s="1" t="s">
        <v>40</v>
      </c>
      <c r="D662" s="1" t="s">
        <v>41</v>
      </c>
      <c r="E662" s="3">
        <v>2300000</v>
      </c>
      <c r="F662" s="1">
        <v>2048.0854853072101</v>
      </c>
      <c r="G662" s="1">
        <v>3.5</v>
      </c>
      <c r="H662" s="1">
        <v>1</v>
      </c>
      <c r="I662" s="1">
        <v>2</v>
      </c>
      <c r="J662" s="1">
        <v>1.5</v>
      </c>
      <c r="K662" s="1">
        <v>1</v>
      </c>
      <c r="L662" s="1">
        <v>1</v>
      </c>
      <c r="M662" s="4">
        <v>1123</v>
      </c>
      <c r="N662" s="1">
        <v>1568</v>
      </c>
      <c r="O662" s="1">
        <v>3452</v>
      </c>
      <c r="P662" s="1">
        <v>1884</v>
      </c>
      <c r="Q662" s="1" t="s">
        <v>42</v>
      </c>
      <c r="S662" s="1" t="s">
        <v>42</v>
      </c>
      <c r="T662" s="1" t="s">
        <v>228</v>
      </c>
      <c r="U662" s="1">
        <v>133</v>
      </c>
      <c r="V662" s="5">
        <v>44427</v>
      </c>
      <c r="W662" s="5">
        <v>43800</v>
      </c>
      <c r="X662" s="1">
        <v>2300000</v>
      </c>
      <c r="Z662" s="5">
        <v>44028</v>
      </c>
      <c r="AB662" s="1" t="s">
        <v>44</v>
      </c>
      <c r="AF662" s="1">
        <v>10016</v>
      </c>
      <c r="AJ662" s="1">
        <v>2019</v>
      </c>
      <c r="AK662" s="1" t="s">
        <v>46</v>
      </c>
      <c r="AL662" s="1">
        <v>199</v>
      </c>
    </row>
    <row r="663" spans="1:38" x14ac:dyDescent="0.2">
      <c r="A663" s="2" t="str">
        <f>HYPERLINK("https://www.compass.com/listing/15-east-30th-street-unit-44b-manhattan-ny-10016/562271632780200129/","15 E 30th St, Unit 44B")</f>
        <v>15 E 30th St, Unit 44B</v>
      </c>
      <c r="B663" s="2" t="str">
        <f t="shared" si="85"/>
        <v>Madison House</v>
      </c>
      <c r="C663" s="1" t="s">
        <v>40</v>
      </c>
      <c r="D663" s="1" t="s">
        <v>41</v>
      </c>
      <c r="E663" s="3">
        <v>2425000</v>
      </c>
      <c r="F663" s="1">
        <v>2159.3944790739001</v>
      </c>
      <c r="G663" s="1">
        <v>3.5</v>
      </c>
      <c r="H663" s="1">
        <v>1</v>
      </c>
      <c r="I663" s="1">
        <v>2</v>
      </c>
      <c r="J663" s="1">
        <v>1.5</v>
      </c>
      <c r="K663" s="1">
        <v>1</v>
      </c>
      <c r="L663" s="1">
        <v>1</v>
      </c>
      <c r="M663" s="4">
        <v>1123</v>
      </c>
      <c r="N663" s="1">
        <v>1568</v>
      </c>
      <c r="O663" s="1">
        <v>3452</v>
      </c>
      <c r="P663" s="1">
        <v>1884</v>
      </c>
      <c r="Q663" s="1" t="s">
        <v>42</v>
      </c>
      <c r="S663" s="1" t="s">
        <v>42</v>
      </c>
      <c r="T663" s="1" t="s">
        <v>228</v>
      </c>
      <c r="U663" s="1">
        <v>79</v>
      </c>
      <c r="V663" s="5">
        <v>44427</v>
      </c>
      <c r="W663" s="5">
        <v>43854</v>
      </c>
      <c r="X663" s="1">
        <v>2425000</v>
      </c>
      <c r="Z663" s="5">
        <v>44028</v>
      </c>
      <c r="AB663" s="1" t="s">
        <v>44</v>
      </c>
      <c r="AF663" s="1">
        <v>10016</v>
      </c>
      <c r="AJ663" s="1">
        <v>2019</v>
      </c>
      <c r="AK663" s="1" t="s">
        <v>46</v>
      </c>
      <c r="AL663" s="1">
        <v>199</v>
      </c>
    </row>
    <row r="664" spans="1:38" x14ac:dyDescent="0.2">
      <c r="A664" s="2" t="str">
        <f>HYPERLINK("https://www.compass.com/listing/15-east-30th-street-unit-45b-manhattan-ny-10016/562271645673490841/","15 E 30th St, Unit 45B")</f>
        <v>15 E 30th St, Unit 45B</v>
      </c>
      <c r="B664" s="2" t="str">
        <f t="shared" si="85"/>
        <v>Madison House</v>
      </c>
      <c r="C664" s="1" t="s">
        <v>40</v>
      </c>
      <c r="D664" s="1" t="s">
        <v>41</v>
      </c>
      <c r="E664" s="3">
        <v>2450000</v>
      </c>
      <c r="F664" s="1">
        <v>2181.65627782724</v>
      </c>
      <c r="G664" s="1">
        <v>3.5</v>
      </c>
      <c r="H664" s="1">
        <v>1</v>
      </c>
      <c r="I664" s="1">
        <v>2</v>
      </c>
      <c r="J664" s="1">
        <v>1.5</v>
      </c>
      <c r="K664" s="1">
        <v>1</v>
      </c>
      <c r="L664" s="1">
        <v>1</v>
      </c>
      <c r="M664" s="4">
        <v>1123</v>
      </c>
      <c r="N664" s="1">
        <v>1568</v>
      </c>
      <c r="O664" s="1">
        <v>3452</v>
      </c>
      <c r="P664" s="1">
        <v>1884</v>
      </c>
      <c r="Q664" s="1" t="s">
        <v>42</v>
      </c>
      <c r="S664" s="1" t="s">
        <v>42</v>
      </c>
      <c r="T664" s="1" t="s">
        <v>228</v>
      </c>
      <c r="U664" s="1">
        <v>98</v>
      </c>
      <c r="V664" s="5">
        <v>44427</v>
      </c>
      <c r="W664" s="5">
        <v>43835</v>
      </c>
      <c r="X664" s="1">
        <v>2450000</v>
      </c>
      <c r="Z664" s="5">
        <v>44028</v>
      </c>
      <c r="AB664" s="1" t="s">
        <v>44</v>
      </c>
      <c r="AF664" s="1">
        <v>10016</v>
      </c>
      <c r="AJ664" s="1">
        <v>2019</v>
      </c>
      <c r="AK664" s="1" t="s">
        <v>46</v>
      </c>
      <c r="AL664" s="1">
        <v>199</v>
      </c>
    </row>
    <row r="665" spans="1:38" x14ac:dyDescent="0.2">
      <c r="A665" s="2" t="str">
        <f>HYPERLINK("https://www.compass.com/listing/15-east-30th-street-unit-42b-manhattan-ny-10016/562271730314660865/","15 E 30th St, Unit 42B")</f>
        <v>15 E 30th St, Unit 42B</v>
      </c>
      <c r="B665" s="2" t="str">
        <f t="shared" si="85"/>
        <v>Madison House</v>
      </c>
      <c r="C665" s="1" t="s">
        <v>40</v>
      </c>
      <c r="D665" s="1" t="s">
        <v>41</v>
      </c>
      <c r="E665" s="3">
        <v>2375000</v>
      </c>
      <c r="F665" s="1">
        <v>2114.8708815672298</v>
      </c>
      <c r="G665" s="1">
        <v>3.5</v>
      </c>
      <c r="H665" s="1">
        <v>1</v>
      </c>
      <c r="I665" s="1">
        <v>2</v>
      </c>
      <c r="J665" s="1">
        <v>1.5</v>
      </c>
      <c r="K665" s="1">
        <v>1</v>
      </c>
      <c r="L665" s="1">
        <v>1</v>
      </c>
      <c r="M665" s="4">
        <v>1123</v>
      </c>
      <c r="N665" s="1">
        <v>1568</v>
      </c>
      <c r="O665" s="1">
        <v>3452</v>
      </c>
      <c r="P665" s="1">
        <v>1884</v>
      </c>
      <c r="Q665" s="1" t="s">
        <v>42</v>
      </c>
      <c r="S665" s="1" t="s">
        <v>42</v>
      </c>
      <c r="T665" s="1" t="s">
        <v>228</v>
      </c>
      <c r="U665" s="1">
        <v>67</v>
      </c>
      <c r="V665" s="5">
        <v>44427</v>
      </c>
      <c r="W665" s="5">
        <v>43866</v>
      </c>
      <c r="X665" s="1">
        <v>2375000</v>
      </c>
      <c r="Z665" s="5">
        <v>44028</v>
      </c>
      <c r="AB665" s="1" t="s">
        <v>44</v>
      </c>
      <c r="AF665" s="1">
        <v>10016</v>
      </c>
      <c r="AJ665" s="1">
        <v>2019</v>
      </c>
      <c r="AK665" s="1" t="s">
        <v>46</v>
      </c>
      <c r="AL665" s="1">
        <v>199</v>
      </c>
    </row>
    <row r="666" spans="1:38" x14ac:dyDescent="0.2">
      <c r="A666" s="2" t="str">
        <f>HYPERLINK("https://www.compass.com/listing/15-east-30th-street-unit-34b-manhattan-ny-10016/562976919040425545/","15 E 30th St, Unit 34B")</f>
        <v>15 E 30th St, Unit 34B</v>
      </c>
      <c r="B666" s="2" t="str">
        <f t="shared" si="85"/>
        <v>Madison House</v>
      </c>
      <c r="C666" s="1" t="s">
        <v>40</v>
      </c>
      <c r="D666" s="1" t="s">
        <v>41</v>
      </c>
      <c r="E666" s="3">
        <v>2175000</v>
      </c>
      <c r="F666" s="1">
        <v>1936.7764915405101</v>
      </c>
      <c r="G666" s="1">
        <v>3.5</v>
      </c>
      <c r="H666" s="1">
        <v>1</v>
      </c>
      <c r="I666" s="1">
        <v>2</v>
      </c>
      <c r="J666" s="1">
        <v>1.5</v>
      </c>
      <c r="K666" s="1">
        <v>1</v>
      </c>
      <c r="L666" s="1">
        <v>1</v>
      </c>
      <c r="M666" s="4">
        <v>1123</v>
      </c>
      <c r="N666" s="1">
        <v>1568</v>
      </c>
      <c r="O666" s="1">
        <v>3452</v>
      </c>
      <c r="P666" s="1">
        <v>1884</v>
      </c>
      <c r="Q666" s="1" t="s">
        <v>42</v>
      </c>
      <c r="S666" s="1" t="s">
        <v>42</v>
      </c>
      <c r="T666" s="1" t="s">
        <v>228</v>
      </c>
      <c r="V666" s="5">
        <v>44427</v>
      </c>
      <c r="W666" s="5">
        <v>44028</v>
      </c>
      <c r="X666" s="1">
        <v>2175000</v>
      </c>
      <c r="Z666" s="5">
        <v>44028</v>
      </c>
      <c r="AB666" s="1" t="s">
        <v>44</v>
      </c>
      <c r="AF666" s="1">
        <v>10016</v>
      </c>
      <c r="AI666" s="1" t="s">
        <v>78</v>
      </c>
      <c r="AJ666" s="1">
        <v>2019</v>
      </c>
      <c r="AK666" s="1" t="s">
        <v>46</v>
      </c>
      <c r="AL666" s="1">
        <v>199</v>
      </c>
    </row>
    <row r="667" spans="1:38" x14ac:dyDescent="0.2">
      <c r="A667" s="2" t="str">
        <f>HYPERLINK("https://www.compass.com/listing/15-east-30th-street-unit-40b-manhattan-ny-10016/573127496311350537/","15 E 30th St, Unit 40B")</f>
        <v>15 E 30th St, Unit 40B</v>
      </c>
      <c r="B667" s="2" t="str">
        <f t="shared" si="85"/>
        <v>Madison House</v>
      </c>
      <c r="C667" s="1" t="s">
        <v>40</v>
      </c>
      <c r="D667" s="1" t="s">
        <v>41</v>
      </c>
      <c r="E667" s="3">
        <v>2325000</v>
      </c>
      <c r="F667" s="1">
        <v>2070.34728406055</v>
      </c>
      <c r="G667" s="1">
        <v>3.5</v>
      </c>
      <c r="H667" s="1">
        <v>1</v>
      </c>
      <c r="I667" s="1">
        <v>2</v>
      </c>
      <c r="J667" s="1">
        <v>1.5</v>
      </c>
      <c r="K667" s="1">
        <v>1</v>
      </c>
      <c r="L667" s="1">
        <v>1</v>
      </c>
      <c r="M667" s="4">
        <v>1123</v>
      </c>
      <c r="N667" s="1">
        <v>1568</v>
      </c>
      <c r="O667" s="1">
        <v>3452</v>
      </c>
      <c r="P667" s="1">
        <v>1884</v>
      </c>
      <c r="Q667" s="1" t="s">
        <v>42</v>
      </c>
      <c r="S667" s="1" t="s">
        <v>42</v>
      </c>
      <c r="T667" s="1" t="s">
        <v>228</v>
      </c>
      <c r="U667" s="1">
        <v>20</v>
      </c>
      <c r="V667" s="5">
        <v>44427</v>
      </c>
      <c r="W667" s="5">
        <v>44022</v>
      </c>
      <c r="X667" s="1">
        <v>2325000</v>
      </c>
      <c r="Z667" s="5">
        <v>44043</v>
      </c>
      <c r="AB667" s="1" t="s">
        <v>44</v>
      </c>
      <c r="AF667" s="1">
        <v>10016</v>
      </c>
      <c r="AJ667" s="1">
        <v>2019</v>
      </c>
      <c r="AK667" s="1" t="s">
        <v>46</v>
      </c>
      <c r="AL667" s="1">
        <v>199</v>
      </c>
    </row>
    <row r="668" spans="1:38" x14ac:dyDescent="0.2">
      <c r="A668" s="2" t="str">
        <f>HYPERLINK("https://www.compass.com/listing/15-east-30th-street-unit-41b-manhattan-ny-10016/575964890656052665/","15 E 30th St, Unit 41B")</f>
        <v>15 E 30th St, Unit 41B</v>
      </c>
      <c r="B668" s="2" t="str">
        <f t="shared" si="85"/>
        <v>Madison House</v>
      </c>
      <c r="C668" s="1" t="s">
        <v>40</v>
      </c>
      <c r="D668" s="1" t="s">
        <v>41</v>
      </c>
      <c r="E668" s="3">
        <v>2350000</v>
      </c>
      <c r="F668" s="1">
        <v>2092.6090828138899</v>
      </c>
      <c r="G668" s="1">
        <v>3.5</v>
      </c>
      <c r="H668" s="1">
        <v>1</v>
      </c>
      <c r="I668" s="1">
        <v>2</v>
      </c>
      <c r="J668" s="1">
        <v>1.5</v>
      </c>
      <c r="K668" s="1">
        <v>1</v>
      </c>
      <c r="L668" s="1">
        <v>1</v>
      </c>
      <c r="M668" s="4">
        <v>1123</v>
      </c>
      <c r="N668" s="1">
        <v>1568</v>
      </c>
      <c r="O668" s="1">
        <v>3452</v>
      </c>
      <c r="P668" s="1">
        <v>1884</v>
      </c>
      <c r="Q668" s="1" t="s">
        <v>42</v>
      </c>
      <c r="S668" s="1" t="s">
        <v>42</v>
      </c>
      <c r="T668" s="1" t="s">
        <v>228</v>
      </c>
      <c r="U668" s="1">
        <v>11</v>
      </c>
      <c r="V668" s="5">
        <v>44427</v>
      </c>
      <c r="W668" s="5">
        <v>44035</v>
      </c>
      <c r="X668" s="1">
        <v>2350000</v>
      </c>
      <c r="Z668" s="5">
        <v>44047</v>
      </c>
      <c r="AB668" s="1" t="s">
        <v>44</v>
      </c>
      <c r="AF668" s="1">
        <v>10016</v>
      </c>
      <c r="AJ668" s="1">
        <v>2019</v>
      </c>
      <c r="AK668" s="1" t="s">
        <v>46</v>
      </c>
      <c r="AL668" s="1">
        <v>199</v>
      </c>
    </row>
    <row r="669" spans="1:38" x14ac:dyDescent="0.2">
      <c r="A669" s="2" t="str">
        <f>HYPERLINK("https://www.compass.com/listing/505-513-west-43rd-street-unit-6j-manhattan-ny-10036/785564854664131233/","505-513 W 43rd St, Unit 6J")</f>
        <v>505-513 W 43rd St, Unit 6J</v>
      </c>
      <c r="B669" s="2" t="str">
        <f>HYPERLINK("https://www.compass.com/building/charlie-west-manhattan-ny/292918554372621509/","Charlie West")</f>
        <v>Charlie West</v>
      </c>
      <c r="C669" s="1" t="s">
        <v>90</v>
      </c>
      <c r="D669" s="1" t="s">
        <v>41</v>
      </c>
      <c r="E669" s="3">
        <v>740000</v>
      </c>
      <c r="F669" s="1">
        <v>1471.17296222664</v>
      </c>
      <c r="G669" s="1">
        <v>1</v>
      </c>
      <c r="H669" s="1" t="s">
        <v>99</v>
      </c>
      <c r="I669" s="1">
        <v>1</v>
      </c>
      <c r="J669" s="1">
        <v>1</v>
      </c>
      <c r="K669" s="1">
        <v>1</v>
      </c>
      <c r="M669" s="1">
        <v>503</v>
      </c>
      <c r="N669" s="1">
        <v>486</v>
      </c>
      <c r="O669" s="1">
        <v>1223</v>
      </c>
      <c r="P669" s="1">
        <v>737</v>
      </c>
      <c r="S669" s="1" t="s">
        <v>42</v>
      </c>
      <c r="T669" s="1" t="s">
        <v>228</v>
      </c>
      <c r="U669" s="1">
        <v>80</v>
      </c>
      <c r="V669" s="5">
        <v>44418</v>
      </c>
      <c r="W669" s="5">
        <v>44334</v>
      </c>
      <c r="X669" s="1">
        <v>910000</v>
      </c>
      <c r="Z669" s="5">
        <v>44414</v>
      </c>
      <c r="AB669" s="1" t="s">
        <v>44</v>
      </c>
      <c r="AF669" s="1">
        <v>10036</v>
      </c>
      <c r="AI669" s="1" t="s">
        <v>118</v>
      </c>
      <c r="AJ669" s="1">
        <v>2019</v>
      </c>
      <c r="AK669" s="1" t="s">
        <v>49</v>
      </c>
      <c r="AL669" s="1">
        <v>123</v>
      </c>
    </row>
    <row r="670" spans="1:38" x14ac:dyDescent="0.2">
      <c r="A670" s="2" t="str">
        <f>HYPERLINK("https://www.compass.com/listing/277-5th-avenue-unit-35a-manhattan-ny-10016/797971512551154905/","277 5th Ave, Unit 35A")</f>
        <v>277 5th Ave, Unit 35A</v>
      </c>
      <c r="B670" s="2" t="str">
        <f>HYPERLINK("https://www.compass.com/building/277-fifth-avenue-manhattan-ny/281939285475645317/","277 FIFTH AVENUE")</f>
        <v>277 FIFTH AVENUE</v>
      </c>
      <c r="C670" s="1" t="s">
        <v>40</v>
      </c>
      <c r="D670" s="1" t="s">
        <v>41</v>
      </c>
      <c r="E670" s="3">
        <v>5700000</v>
      </c>
      <c r="F670" s="1">
        <v>3195.0672645739901</v>
      </c>
      <c r="G670" s="1">
        <v>5</v>
      </c>
      <c r="H670" s="1">
        <v>3</v>
      </c>
      <c r="I670" s="1">
        <v>3</v>
      </c>
      <c r="J670" s="1">
        <v>3</v>
      </c>
      <c r="K670" s="1">
        <v>3</v>
      </c>
      <c r="M670" s="4">
        <v>1784</v>
      </c>
      <c r="N670" s="1">
        <v>2568</v>
      </c>
      <c r="O670" s="1">
        <v>4919.6099999999997</v>
      </c>
      <c r="P670" s="1">
        <v>2351.5833333333298</v>
      </c>
      <c r="Q670" s="1" t="s">
        <v>42</v>
      </c>
      <c r="S670" s="1" t="s">
        <v>42</v>
      </c>
      <c r="T670" s="1" t="s">
        <v>228</v>
      </c>
      <c r="U670" s="1">
        <v>60</v>
      </c>
      <c r="V670" s="5">
        <v>44427</v>
      </c>
      <c r="W670" s="5">
        <v>44352</v>
      </c>
      <c r="X670" s="1">
        <v>5700000</v>
      </c>
      <c r="Z670" s="5">
        <v>44413</v>
      </c>
      <c r="AB670" s="1" t="s">
        <v>44</v>
      </c>
      <c r="AF670" s="1">
        <v>10016</v>
      </c>
      <c r="AI670" s="1" t="s">
        <v>118</v>
      </c>
      <c r="AJ670" s="1">
        <v>2019</v>
      </c>
      <c r="AK670" s="1" t="s">
        <v>49</v>
      </c>
      <c r="AL670" s="1">
        <v>130</v>
      </c>
    </row>
    <row r="671" spans="1:38" x14ac:dyDescent="0.2">
      <c r="A671" s="2" t="str">
        <f>HYPERLINK("https://www.compass.com/listing/15-east-30th-street-unit-46b-manhattan-ny-10016/721046576483128937/","15 E 30th St, Unit 46B")</f>
        <v>15 E 30th St, Unit 46B</v>
      </c>
      <c r="B671" s="2" t="str">
        <f t="shared" ref="B671:B727" si="86">HYPERLINK("https://www.compass.com/building/madison-house-manhattan-ny/281937618113974565/","Madison House")</f>
        <v>Madison House</v>
      </c>
      <c r="C671" s="1" t="s">
        <v>40</v>
      </c>
      <c r="D671" s="1" t="s">
        <v>41</v>
      </c>
      <c r="E671" s="3">
        <v>3100000</v>
      </c>
      <c r="F671" s="1">
        <v>2760.4630454140602</v>
      </c>
      <c r="G671" s="1">
        <v>4</v>
      </c>
      <c r="H671" s="1">
        <v>1</v>
      </c>
      <c r="I671" s="1">
        <v>2</v>
      </c>
      <c r="J671" s="1">
        <v>1.5</v>
      </c>
      <c r="K671" s="1">
        <v>1</v>
      </c>
      <c r="L671" s="1">
        <v>1</v>
      </c>
      <c r="M671" s="4">
        <v>1123</v>
      </c>
      <c r="N671" s="1">
        <v>1568</v>
      </c>
      <c r="O671" s="1">
        <v>3452</v>
      </c>
      <c r="P671" s="1">
        <v>1884</v>
      </c>
      <c r="Q671" s="1" t="s">
        <v>42</v>
      </c>
      <c r="S671" s="1" t="s">
        <v>42</v>
      </c>
      <c r="T671" s="1" t="s">
        <v>228</v>
      </c>
      <c r="V671" s="5">
        <v>44427</v>
      </c>
      <c r="W671" s="5">
        <v>44246</v>
      </c>
      <c r="Z671" s="5">
        <v>44246</v>
      </c>
      <c r="AB671" s="1" t="s">
        <v>44</v>
      </c>
      <c r="AF671" s="1">
        <v>10016</v>
      </c>
      <c r="AJ671" s="1">
        <v>2019</v>
      </c>
      <c r="AK671" s="1" t="s">
        <v>46</v>
      </c>
      <c r="AL671" s="1">
        <v>199</v>
      </c>
    </row>
    <row r="672" spans="1:38" x14ac:dyDescent="0.2">
      <c r="A672" s="2" t="str">
        <f>HYPERLINK("https://www.compass.com/listing/15-east-30th-street-unit-45c-manhattan-ny-10016/718809756574945649/","15 E 30th St, Unit 45C")</f>
        <v>15 E 30th St, Unit 45C</v>
      </c>
      <c r="B672" s="2" t="str">
        <f t="shared" si="86"/>
        <v>Madison House</v>
      </c>
      <c r="C672" s="1" t="s">
        <v>40</v>
      </c>
      <c r="D672" s="1" t="s">
        <v>41</v>
      </c>
      <c r="E672" s="3">
        <v>2475000</v>
      </c>
      <c r="F672" s="1">
        <v>2250</v>
      </c>
      <c r="G672" s="1">
        <v>4</v>
      </c>
      <c r="H672" s="1">
        <v>1</v>
      </c>
      <c r="I672" s="1">
        <v>2</v>
      </c>
      <c r="J672" s="1">
        <v>1.5</v>
      </c>
      <c r="K672" s="1">
        <v>1</v>
      </c>
      <c r="L672" s="1">
        <v>1</v>
      </c>
      <c r="M672" s="4">
        <v>1100</v>
      </c>
      <c r="N672" s="1">
        <v>1536</v>
      </c>
      <c r="O672" s="1">
        <v>3381</v>
      </c>
      <c r="P672" s="1">
        <v>1845</v>
      </c>
      <c r="Q672" s="1" t="s">
        <v>42</v>
      </c>
      <c r="S672" s="1" t="s">
        <v>42</v>
      </c>
      <c r="T672" s="1" t="s">
        <v>228</v>
      </c>
      <c r="U672" s="1">
        <v>93</v>
      </c>
      <c r="V672" s="5">
        <v>44427</v>
      </c>
      <c r="W672" s="5">
        <v>44243</v>
      </c>
      <c r="X672" s="1">
        <v>2475000</v>
      </c>
      <c r="Z672" s="5">
        <v>44336</v>
      </c>
      <c r="AB672" s="1" t="s">
        <v>44</v>
      </c>
      <c r="AF672" s="1">
        <v>10016</v>
      </c>
      <c r="AJ672" s="1">
        <v>2019</v>
      </c>
      <c r="AK672" s="1" t="s">
        <v>46</v>
      </c>
      <c r="AL672" s="1">
        <v>199</v>
      </c>
    </row>
    <row r="673" spans="1:38" x14ac:dyDescent="0.2">
      <c r="A673" s="2" t="str">
        <f>HYPERLINK("https://www.compass.com/listing/15-east-30th-street-unit-20a-manhattan-ny-10016/709362454055632329/","15 E 30th St, Unit 20A")</f>
        <v>15 E 30th St, Unit 20A</v>
      </c>
      <c r="B673" s="2" t="str">
        <f t="shared" si="86"/>
        <v>Madison House</v>
      </c>
      <c r="C673" s="1" t="s">
        <v>40</v>
      </c>
      <c r="D673" s="1" t="s">
        <v>41</v>
      </c>
      <c r="E673" s="3">
        <v>1630000</v>
      </c>
      <c r="F673" s="1">
        <v>1737.7398720682299</v>
      </c>
      <c r="G673" s="1">
        <v>3</v>
      </c>
      <c r="H673" s="1">
        <v>1</v>
      </c>
      <c r="I673" s="1">
        <v>1</v>
      </c>
      <c r="J673" s="1">
        <v>1</v>
      </c>
      <c r="K673" s="1">
        <v>1</v>
      </c>
      <c r="M673" s="1">
        <v>938</v>
      </c>
      <c r="N673" s="1">
        <v>1310</v>
      </c>
      <c r="O673" s="1">
        <v>2883</v>
      </c>
      <c r="P673" s="1">
        <v>1573</v>
      </c>
      <c r="Q673" s="1" t="s">
        <v>42</v>
      </c>
      <c r="S673" s="1" t="s">
        <v>42</v>
      </c>
      <c r="T673" s="1" t="s">
        <v>228</v>
      </c>
      <c r="U673" s="1">
        <v>5</v>
      </c>
      <c r="V673" s="5">
        <v>44427</v>
      </c>
      <c r="W673" s="5">
        <v>44225</v>
      </c>
      <c r="X673" s="1">
        <v>1630000</v>
      </c>
      <c r="Z673" s="5">
        <v>44231</v>
      </c>
      <c r="AB673" s="1" t="s">
        <v>44</v>
      </c>
      <c r="AF673" s="1">
        <v>10016</v>
      </c>
      <c r="AJ673" s="1">
        <v>2019</v>
      </c>
      <c r="AK673" s="1" t="s">
        <v>46</v>
      </c>
      <c r="AL673" s="1">
        <v>199</v>
      </c>
    </row>
    <row r="674" spans="1:38" x14ac:dyDescent="0.2">
      <c r="A674" s="2" t="str">
        <f>HYPERLINK("https://www.compass.com/listing/15-east-30th-street-unit-17a-manhattan-ny-10016/704380530051967705/","15 E 30th St, Unit 17A")</f>
        <v>15 E 30th St, Unit 17A</v>
      </c>
      <c r="B674" s="2" t="str">
        <f t="shared" si="86"/>
        <v>Madison House</v>
      </c>
      <c r="C674" s="1" t="s">
        <v>40</v>
      </c>
      <c r="D674" s="1" t="s">
        <v>41</v>
      </c>
      <c r="E674" s="3">
        <v>1510000</v>
      </c>
      <c r="F674" s="1">
        <v>1609.8081023454099</v>
      </c>
      <c r="G674" s="1">
        <v>3</v>
      </c>
      <c r="H674" s="1">
        <v>1</v>
      </c>
      <c r="I674" s="1">
        <v>1</v>
      </c>
      <c r="J674" s="1">
        <v>1</v>
      </c>
      <c r="K674" s="1">
        <v>1</v>
      </c>
      <c r="M674" s="1">
        <v>938</v>
      </c>
      <c r="N674" s="1">
        <v>1310</v>
      </c>
      <c r="O674" s="1">
        <v>2883</v>
      </c>
      <c r="P674" s="1">
        <v>1573</v>
      </c>
      <c r="Q674" s="1" t="s">
        <v>42</v>
      </c>
      <c r="S674" s="1" t="s">
        <v>42</v>
      </c>
      <c r="T674" s="1" t="s">
        <v>228</v>
      </c>
      <c r="U674" s="1">
        <v>7</v>
      </c>
      <c r="V674" s="5">
        <v>44427</v>
      </c>
      <c r="W674" s="5">
        <v>44216</v>
      </c>
      <c r="X674" s="1">
        <v>1510000</v>
      </c>
      <c r="Z674" s="5">
        <v>44224</v>
      </c>
      <c r="AB674" s="1" t="s">
        <v>44</v>
      </c>
      <c r="AF674" s="1">
        <v>10016</v>
      </c>
      <c r="AJ674" s="1">
        <v>2019</v>
      </c>
      <c r="AK674" s="1" t="s">
        <v>46</v>
      </c>
      <c r="AL674" s="1">
        <v>199</v>
      </c>
    </row>
    <row r="675" spans="1:38" x14ac:dyDescent="0.2">
      <c r="A675" s="2" t="str">
        <f>HYPERLINK("https://www.compass.com/listing/15-east-30th-street-unit-25e-manhattan-ny-10016/673969841052325825/","15 E 30th St, Unit 25E")</f>
        <v>15 E 30th St, Unit 25E</v>
      </c>
      <c r="B675" s="2" t="str">
        <f t="shared" si="86"/>
        <v>Madison House</v>
      </c>
      <c r="C675" s="1" t="s">
        <v>40</v>
      </c>
      <c r="D675" s="1" t="s">
        <v>41</v>
      </c>
      <c r="E675" s="3">
        <v>1710000</v>
      </c>
      <c r="F675" s="1">
        <v>1655.3727008712401</v>
      </c>
      <c r="G675" s="1">
        <v>3</v>
      </c>
      <c r="H675" s="1">
        <v>1</v>
      </c>
      <c r="I675" s="1">
        <v>1</v>
      </c>
      <c r="J675" s="1">
        <v>1</v>
      </c>
      <c r="K675" s="1">
        <v>1</v>
      </c>
      <c r="M675" s="4">
        <v>1033</v>
      </c>
      <c r="N675" s="1">
        <v>1442</v>
      </c>
      <c r="O675" s="1">
        <v>3175</v>
      </c>
      <c r="P675" s="1">
        <v>1733</v>
      </c>
      <c r="Q675" s="1" t="s">
        <v>42</v>
      </c>
      <c r="S675" s="1" t="s">
        <v>42</v>
      </c>
      <c r="T675" s="1" t="s">
        <v>228</v>
      </c>
      <c r="U675" s="1">
        <v>10</v>
      </c>
      <c r="V675" s="5">
        <v>44427</v>
      </c>
      <c r="W675" s="5">
        <v>44171</v>
      </c>
      <c r="X675" s="1">
        <v>1710000</v>
      </c>
      <c r="Z675" s="5">
        <v>44182</v>
      </c>
      <c r="AB675" s="1" t="s">
        <v>44</v>
      </c>
      <c r="AF675" s="1">
        <v>10016</v>
      </c>
      <c r="AJ675" s="1">
        <v>2019</v>
      </c>
      <c r="AK675" s="1" t="s">
        <v>46</v>
      </c>
      <c r="AL675" s="1">
        <v>199</v>
      </c>
    </row>
    <row r="676" spans="1:38" x14ac:dyDescent="0.2">
      <c r="A676" s="2" t="str">
        <f>HYPERLINK("https://www.compass.com/listing/15-east-30th-street-unit-25a-manhattan-ny-10016/664475359658398641/","15 E 30th St, Unit 25A")</f>
        <v>15 E 30th St, Unit 25A</v>
      </c>
      <c r="B676" s="2" t="str">
        <f t="shared" si="86"/>
        <v>Madison House</v>
      </c>
      <c r="C676" s="1" t="s">
        <v>40</v>
      </c>
      <c r="D676" s="1" t="s">
        <v>41</v>
      </c>
      <c r="E676" s="3">
        <v>1600000</v>
      </c>
      <c r="F676" s="1">
        <v>1705.75692963752</v>
      </c>
      <c r="G676" s="1">
        <v>3</v>
      </c>
      <c r="H676" s="1">
        <v>1</v>
      </c>
      <c r="I676" s="1">
        <v>1</v>
      </c>
      <c r="J676" s="1">
        <v>1</v>
      </c>
      <c r="K676" s="1">
        <v>1</v>
      </c>
      <c r="M676" s="1">
        <v>938</v>
      </c>
      <c r="N676" s="1">
        <v>1310</v>
      </c>
      <c r="O676" s="1">
        <v>2883</v>
      </c>
      <c r="P676" s="1">
        <v>1573</v>
      </c>
      <c r="Q676" s="1" t="s">
        <v>42</v>
      </c>
      <c r="S676" s="1" t="s">
        <v>42</v>
      </c>
      <c r="T676" s="1" t="s">
        <v>228</v>
      </c>
      <c r="U676" s="1">
        <v>6</v>
      </c>
      <c r="V676" s="5">
        <v>44427</v>
      </c>
      <c r="W676" s="5">
        <v>44162</v>
      </c>
      <c r="X676" s="1">
        <v>1600000</v>
      </c>
      <c r="Z676" s="5">
        <v>44169</v>
      </c>
      <c r="AB676" s="1" t="s">
        <v>44</v>
      </c>
      <c r="AF676" s="1">
        <v>10016</v>
      </c>
      <c r="AJ676" s="1">
        <v>2019</v>
      </c>
      <c r="AK676" s="1" t="s">
        <v>46</v>
      </c>
      <c r="AL676" s="1">
        <v>199</v>
      </c>
    </row>
    <row r="677" spans="1:38" x14ac:dyDescent="0.2">
      <c r="A677" s="2" t="str">
        <f>HYPERLINK("https://www.compass.com/listing/15-east-30th-street-unit-40c-manhattan-ny-10016/642533304682263337/","15 E 30th St, Unit 40C")</f>
        <v>15 E 30th St, Unit 40C</v>
      </c>
      <c r="B677" s="2" t="str">
        <f t="shared" si="86"/>
        <v>Madison House</v>
      </c>
      <c r="C677" s="1" t="s">
        <v>40</v>
      </c>
      <c r="D677" s="1" t="s">
        <v>41</v>
      </c>
      <c r="E677" s="3">
        <v>2250000</v>
      </c>
      <c r="F677" s="1">
        <v>2045.45454545454</v>
      </c>
      <c r="G677" s="1">
        <v>4</v>
      </c>
      <c r="H677" s="1">
        <v>1</v>
      </c>
      <c r="I677" s="1">
        <v>2</v>
      </c>
      <c r="J677" s="1">
        <v>1.5</v>
      </c>
      <c r="K677" s="1">
        <v>1</v>
      </c>
      <c r="L677" s="1">
        <v>1</v>
      </c>
      <c r="M677" s="4">
        <v>1100</v>
      </c>
      <c r="N677" s="1">
        <v>1536</v>
      </c>
      <c r="O677" s="1">
        <v>3381</v>
      </c>
      <c r="P677" s="1">
        <v>1845</v>
      </c>
      <c r="Q677" s="1" t="s">
        <v>42</v>
      </c>
      <c r="S677" s="1" t="s">
        <v>42</v>
      </c>
      <c r="T677" s="1" t="s">
        <v>228</v>
      </c>
      <c r="U677" s="1">
        <v>17</v>
      </c>
      <c r="V677" s="5">
        <v>44427</v>
      </c>
      <c r="W677" s="5">
        <v>44137</v>
      </c>
      <c r="X677" s="1">
        <v>2250000</v>
      </c>
      <c r="Z677" s="5">
        <v>44154</v>
      </c>
      <c r="AB677" s="1" t="s">
        <v>44</v>
      </c>
      <c r="AF677" s="1">
        <v>10016</v>
      </c>
      <c r="AJ677" s="1">
        <v>2019</v>
      </c>
      <c r="AK677" s="1" t="s">
        <v>46</v>
      </c>
      <c r="AL677" s="1">
        <v>199</v>
      </c>
    </row>
    <row r="678" spans="1:38" x14ac:dyDescent="0.2">
      <c r="A678" s="2" t="str">
        <f>HYPERLINK("https://www.compass.com/listing/15-east-30th-street-unit-27e-manhattan-ny-10016/639804369296393625/","15 E 30th St, Unit 27E")</f>
        <v>15 E 30th St, Unit 27E</v>
      </c>
      <c r="B678" s="2" t="str">
        <f t="shared" si="86"/>
        <v>Madison House</v>
      </c>
      <c r="C678" s="1" t="s">
        <v>40</v>
      </c>
      <c r="D678" s="1" t="s">
        <v>41</v>
      </c>
      <c r="E678" s="3">
        <v>1740000</v>
      </c>
      <c r="F678" s="1">
        <v>1684.41432720232</v>
      </c>
      <c r="G678" s="1">
        <v>3</v>
      </c>
      <c r="H678" s="1">
        <v>1</v>
      </c>
      <c r="I678" s="1">
        <v>1</v>
      </c>
      <c r="J678" s="1">
        <v>1</v>
      </c>
      <c r="K678" s="1">
        <v>1</v>
      </c>
      <c r="M678" s="4">
        <v>1033</v>
      </c>
      <c r="N678" s="1">
        <v>1442</v>
      </c>
      <c r="O678" s="1">
        <v>3175</v>
      </c>
      <c r="P678" s="1">
        <v>1733</v>
      </c>
      <c r="Q678" s="1" t="s">
        <v>42</v>
      </c>
      <c r="S678" s="1" t="s">
        <v>42</v>
      </c>
      <c r="T678" s="1" t="s">
        <v>228</v>
      </c>
      <c r="U678" s="1">
        <v>45</v>
      </c>
      <c r="V678" s="5">
        <v>44427</v>
      </c>
      <c r="W678" s="5">
        <v>44128</v>
      </c>
      <c r="X678" s="1">
        <v>1740000</v>
      </c>
      <c r="Z678" s="5">
        <v>44173</v>
      </c>
      <c r="AB678" s="1" t="s">
        <v>44</v>
      </c>
      <c r="AF678" s="1">
        <v>10016</v>
      </c>
      <c r="AJ678" s="1">
        <v>2019</v>
      </c>
      <c r="AK678" s="1" t="s">
        <v>46</v>
      </c>
      <c r="AL678" s="1">
        <v>199</v>
      </c>
    </row>
    <row r="679" spans="1:38" x14ac:dyDescent="0.2">
      <c r="A679" s="2" t="str">
        <f>HYPERLINK("https://www.compass.com/listing/15-east-30th-street-unit-26e-manhattan-ny-10016/628379617323266545/","15 E 30th St, Unit 26E")</f>
        <v>15 E 30th St, Unit 26E</v>
      </c>
      <c r="B679" s="2" t="str">
        <f t="shared" si="86"/>
        <v>Madison House</v>
      </c>
      <c r="C679" s="1" t="s">
        <v>40</v>
      </c>
      <c r="D679" s="1" t="s">
        <v>41</v>
      </c>
      <c r="E679" s="3">
        <v>1725000</v>
      </c>
      <c r="F679" s="1">
        <v>1669.8935140367801</v>
      </c>
      <c r="G679" s="1">
        <v>3</v>
      </c>
      <c r="H679" s="1">
        <v>1</v>
      </c>
      <c r="I679" s="1">
        <v>1</v>
      </c>
      <c r="J679" s="1">
        <v>1</v>
      </c>
      <c r="K679" s="1">
        <v>1</v>
      </c>
      <c r="M679" s="4">
        <v>1033</v>
      </c>
      <c r="N679" s="1">
        <v>1442</v>
      </c>
      <c r="O679" s="1">
        <v>3175</v>
      </c>
      <c r="P679" s="1">
        <v>1733</v>
      </c>
      <c r="Q679" s="1" t="s">
        <v>42</v>
      </c>
      <c r="S679" s="1" t="s">
        <v>42</v>
      </c>
      <c r="T679" s="1" t="s">
        <v>228</v>
      </c>
      <c r="U679" s="1">
        <v>5</v>
      </c>
      <c r="V679" s="5">
        <v>44427</v>
      </c>
      <c r="W679" s="5">
        <v>44113</v>
      </c>
      <c r="X679" s="1">
        <v>1725000</v>
      </c>
      <c r="Z679" s="5">
        <v>44119</v>
      </c>
      <c r="AB679" s="1" t="s">
        <v>44</v>
      </c>
      <c r="AF679" s="1">
        <v>10016</v>
      </c>
      <c r="AJ679" s="1">
        <v>2019</v>
      </c>
      <c r="AK679" s="1" t="s">
        <v>46</v>
      </c>
      <c r="AL679" s="1">
        <v>199</v>
      </c>
    </row>
    <row r="680" spans="1:38" x14ac:dyDescent="0.2">
      <c r="A680" s="2" t="str">
        <f>HYPERLINK("https://www.compass.com/listing/15-east-30th-street-unit-36c-manhattan-ny-10016/623939109129730545/","15 E 30th St, Unit 36C")</f>
        <v>15 E 30th St, Unit 36C</v>
      </c>
      <c r="B680" s="2" t="str">
        <f t="shared" si="86"/>
        <v>Madison House</v>
      </c>
      <c r="C680" s="1" t="s">
        <v>40</v>
      </c>
      <c r="D680" s="1" t="s">
        <v>41</v>
      </c>
      <c r="E680" s="3">
        <v>2150000</v>
      </c>
      <c r="F680" s="1">
        <v>1954.54545454545</v>
      </c>
      <c r="G680" s="1">
        <v>3.5</v>
      </c>
      <c r="H680" s="1">
        <v>1</v>
      </c>
      <c r="I680" s="1">
        <v>2</v>
      </c>
      <c r="J680" s="1">
        <v>1.5</v>
      </c>
      <c r="K680" s="1">
        <v>1</v>
      </c>
      <c r="L680" s="1">
        <v>1</v>
      </c>
      <c r="M680" s="4">
        <v>1100</v>
      </c>
      <c r="N680" s="1">
        <v>1536</v>
      </c>
      <c r="O680" s="1">
        <v>3381</v>
      </c>
      <c r="P680" s="1">
        <v>1845</v>
      </c>
      <c r="Q680" s="1" t="s">
        <v>42</v>
      </c>
      <c r="S680" s="1" t="s">
        <v>42</v>
      </c>
      <c r="T680" s="1" t="s">
        <v>228</v>
      </c>
      <c r="U680" s="1">
        <v>25</v>
      </c>
      <c r="V680" s="5">
        <v>44427</v>
      </c>
      <c r="W680" s="5">
        <v>44112</v>
      </c>
      <c r="X680" s="1">
        <v>2150000</v>
      </c>
      <c r="Z680" s="5">
        <v>44138</v>
      </c>
      <c r="AB680" s="1" t="s">
        <v>44</v>
      </c>
      <c r="AF680" s="1">
        <v>10016</v>
      </c>
      <c r="AJ680" s="1">
        <v>2019</v>
      </c>
      <c r="AK680" s="1" t="s">
        <v>46</v>
      </c>
      <c r="AL680" s="1">
        <v>199</v>
      </c>
    </row>
    <row r="681" spans="1:38" x14ac:dyDescent="0.2">
      <c r="A681" s="2" t="str">
        <f>HYPERLINK("https://www.compass.com/listing/15-east-30th-street-unit-32a-manhattan-ny-10016/623942399726712289/","15 E 30th St, Unit 32A")</f>
        <v>15 E 30th St, Unit 32A</v>
      </c>
      <c r="B681" s="2" t="str">
        <f t="shared" si="86"/>
        <v>Madison House</v>
      </c>
      <c r="C681" s="1" t="s">
        <v>40</v>
      </c>
      <c r="D681" s="1" t="s">
        <v>41</v>
      </c>
      <c r="E681" s="3">
        <v>1800000</v>
      </c>
      <c r="F681" s="1">
        <v>1910.8280254777001</v>
      </c>
      <c r="G681" s="1">
        <v>3</v>
      </c>
      <c r="H681" s="1">
        <v>1</v>
      </c>
      <c r="I681" s="1">
        <v>1</v>
      </c>
      <c r="J681" s="1">
        <v>1</v>
      </c>
      <c r="K681" s="1">
        <v>1</v>
      </c>
      <c r="M681" s="1">
        <v>942</v>
      </c>
      <c r="N681" s="1">
        <v>1315</v>
      </c>
      <c r="O681" s="1">
        <v>2895</v>
      </c>
      <c r="P681" s="1">
        <v>1580</v>
      </c>
      <c r="Q681" s="1" t="s">
        <v>42</v>
      </c>
      <c r="S681" s="1" t="s">
        <v>42</v>
      </c>
      <c r="T681" s="1" t="s">
        <v>228</v>
      </c>
      <c r="U681" s="1">
        <v>133</v>
      </c>
      <c r="V681" s="5">
        <v>44427</v>
      </c>
      <c r="W681" s="5">
        <v>44112</v>
      </c>
      <c r="X681" s="1">
        <v>1800000</v>
      </c>
      <c r="Z681" s="5">
        <v>44245</v>
      </c>
      <c r="AB681" s="1" t="s">
        <v>44</v>
      </c>
      <c r="AF681" s="1">
        <v>10016</v>
      </c>
      <c r="AJ681" s="1">
        <v>2019</v>
      </c>
      <c r="AK681" s="1" t="s">
        <v>46</v>
      </c>
      <c r="AL681" s="1">
        <v>199</v>
      </c>
    </row>
    <row r="682" spans="1:38" x14ac:dyDescent="0.2">
      <c r="A682" s="2" t="str">
        <f>HYPERLINK("https://www.compass.com/listing/15-east-30th-street-unit-34c-manhattan-ny-10016/460200319805423225/","15 E 30th St, Unit 34C")</f>
        <v>15 E 30th St, Unit 34C</v>
      </c>
      <c r="B682" s="2" t="str">
        <f t="shared" si="86"/>
        <v>Madison House</v>
      </c>
      <c r="C682" s="1" t="s">
        <v>40</v>
      </c>
      <c r="D682" s="1" t="s">
        <v>41</v>
      </c>
      <c r="E682" s="3">
        <v>2100000</v>
      </c>
      <c r="F682" s="1">
        <v>1909.0909090908999</v>
      </c>
      <c r="G682" s="1">
        <v>3</v>
      </c>
      <c r="H682" s="1">
        <v>1</v>
      </c>
      <c r="I682" s="1">
        <v>2</v>
      </c>
      <c r="J682" s="1">
        <v>1.5</v>
      </c>
      <c r="K682" s="1">
        <v>1</v>
      </c>
      <c r="L682" s="1">
        <v>1</v>
      </c>
      <c r="M682" s="4">
        <v>1100</v>
      </c>
      <c r="N682" s="1">
        <v>1536</v>
      </c>
      <c r="O682" s="1">
        <v>3381</v>
      </c>
      <c r="P682" s="1">
        <v>1845</v>
      </c>
      <c r="Q682" s="1" t="s">
        <v>42</v>
      </c>
      <c r="S682" s="1" t="s">
        <v>42</v>
      </c>
      <c r="T682" s="1" t="s">
        <v>228</v>
      </c>
      <c r="U682" s="1">
        <v>132</v>
      </c>
      <c r="V682" s="5">
        <v>44427</v>
      </c>
      <c r="W682" s="5">
        <v>43886</v>
      </c>
      <c r="X682" s="1">
        <v>2100000</v>
      </c>
      <c r="Z682" s="5">
        <v>44112</v>
      </c>
      <c r="AB682" s="1" t="s">
        <v>44</v>
      </c>
      <c r="AF682" s="1">
        <v>10016</v>
      </c>
      <c r="AJ682" s="1">
        <v>2019</v>
      </c>
      <c r="AK682" s="1" t="s">
        <v>46</v>
      </c>
      <c r="AL682" s="1">
        <v>199</v>
      </c>
    </row>
    <row r="683" spans="1:38" x14ac:dyDescent="0.2">
      <c r="A683" s="2" t="str">
        <f>HYPERLINK("https://www.compass.com/listing/15-east-30th-street-unit-29a-manhattan-ny-10016/562072565559103321/","15 E 30th St, Unit 29A")</f>
        <v>15 E 30th St, Unit 29A</v>
      </c>
      <c r="B683" s="2" t="str">
        <f t="shared" si="86"/>
        <v>Madison House</v>
      </c>
      <c r="C683" s="1" t="s">
        <v>40</v>
      </c>
      <c r="D683" s="1" t="s">
        <v>41</v>
      </c>
      <c r="E683" s="3">
        <v>1690000</v>
      </c>
      <c r="F683" s="1">
        <v>1801.7057569296301</v>
      </c>
      <c r="G683" s="1">
        <v>3</v>
      </c>
      <c r="H683" s="1">
        <v>1</v>
      </c>
      <c r="I683" s="1">
        <v>1</v>
      </c>
      <c r="J683" s="1">
        <v>1</v>
      </c>
      <c r="K683" s="1">
        <v>1</v>
      </c>
      <c r="M683" s="1">
        <v>938</v>
      </c>
      <c r="N683" s="1">
        <v>1310</v>
      </c>
      <c r="O683" s="1">
        <v>2883</v>
      </c>
      <c r="P683" s="1">
        <v>1573</v>
      </c>
      <c r="Q683" s="1" t="s">
        <v>42</v>
      </c>
      <c r="S683" s="1" t="s">
        <v>42</v>
      </c>
      <c r="T683" s="1" t="s">
        <v>228</v>
      </c>
      <c r="U683" s="1">
        <v>23</v>
      </c>
      <c r="V683" s="5">
        <v>44427</v>
      </c>
      <c r="W683" s="5">
        <v>43975</v>
      </c>
      <c r="X683" s="1">
        <v>1690000</v>
      </c>
      <c r="Z683" s="5">
        <v>44027</v>
      </c>
      <c r="AB683" s="1" t="s">
        <v>44</v>
      </c>
      <c r="AF683" s="1">
        <v>10016</v>
      </c>
      <c r="AJ683" s="1">
        <v>2019</v>
      </c>
      <c r="AK683" s="1" t="s">
        <v>46</v>
      </c>
      <c r="AL683" s="1">
        <v>199</v>
      </c>
    </row>
    <row r="684" spans="1:38" x14ac:dyDescent="0.2">
      <c r="A684" s="2" t="str">
        <f>HYPERLINK("https://www.compass.com/listing/15-east-30th-street-unit-23a-manhattan-ny-10016/562072601739037257/","15 E 30th St, Unit 23A")</f>
        <v>15 E 30th St, Unit 23A</v>
      </c>
      <c r="B684" s="2" t="str">
        <f t="shared" si="86"/>
        <v>Madison House</v>
      </c>
      <c r="C684" s="1" t="s">
        <v>40</v>
      </c>
      <c r="D684" s="1" t="s">
        <v>41</v>
      </c>
      <c r="E684" s="3">
        <v>1505000</v>
      </c>
      <c r="F684" s="1">
        <v>1604.47761194029</v>
      </c>
      <c r="G684" s="1">
        <v>3</v>
      </c>
      <c r="H684" s="1">
        <v>1</v>
      </c>
      <c r="I684" s="1">
        <v>1</v>
      </c>
      <c r="J684" s="1">
        <v>1</v>
      </c>
      <c r="K684" s="1">
        <v>1</v>
      </c>
      <c r="M684" s="1">
        <v>938</v>
      </c>
      <c r="N684" s="1">
        <v>1310</v>
      </c>
      <c r="O684" s="1">
        <v>2883</v>
      </c>
      <c r="P684" s="1">
        <v>1573</v>
      </c>
      <c r="Q684" s="1" t="s">
        <v>42</v>
      </c>
      <c r="S684" s="1" t="s">
        <v>42</v>
      </c>
      <c r="T684" s="1" t="s">
        <v>228</v>
      </c>
      <c r="U684" s="1">
        <v>171</v>
      </c>
      <c r="V684" s="5">
        <v>44427</v>
      </c>
      <c r="W684" s="5">
        <v>43762</v>
      </c>
      <c r="X684" s="1">
        <v>1505000</v>
      </c>
      <c r="Z684" s="5">
        <v>44027</v>
      </c>
      <c r="AB684" s="1" t="s">
        <v>44</v>
      </c>
      <c r="AF684" s="1">
        <v>10016</v>
      </c>
      <c r="AJ684" s="1">
        <v>2019</v>
      </c>
      <c r="AK684" s="1" t="s">
        <v>46</v>
      </c>
      <c r="AL684" s="1">
        <v>199</v>
      </c>
    </row>
    <row r="685" spans="1:38" x14ac:dyDescent="0.2">
      <c r="A685" s="2" t="str">
        <f>HYPERLINK("https://www.compass.com/listing/15-east-30th-street-unit-23e-manhattan-ny-10016/562072601747730681/","15 E 30th St, Unit 23E")</f>
        <v>15 E 30th St, Unit 23E</v>
      </c>
      <c r="B685" s="2" t="str">
        <f t="shared" si="86"/>
        <v>Madison House</v>
      </c>
      <c r="C685" s="1" t="s">
        <v>40</v>
      </c>
      <c r="D685" s="1" t="s">
        <v>41</v>
      </c>
      <c r="E685" s="3">
        <v>1680000</v>
      </c>
      <c r="F685" s="1">
        <v>1626.33107454017</v>
      </c>
      <c r="G685" s="1">
        <v>3</v>
      </c>
      <c r="H685" s="1">
        <v>1</v>
      </c>
      <c r="I685" s="1">
        <v>1</v>
      </c>
      <c r="J685" s="1">
        <v>1</v>
      </c>
      <c r="K685" s="1">
        <v>1</v>
      </c>
      <c r="M685" s="4">
        <v>1033</v>
      </c>
      <c r="N685" s="1">
        <v>1442</v>
      </c>
      <c r="O685" s="1">
        <v>3175</v>
      </c>
      <c r="P685" s="1">
        <v>1733</v>
      </c>
      <c r="Q685" s="1" t="s">
        <v>42</v>
      </c>
      <c r="S685" s="1" t="s">
        <v>42</v>
      </c>
      <c r="T685" s="1" t="s">
        <v>228</v>
      </c>
      <c r="U685" s="1">
        <v>65</v>
      </c>
      <c r="V685" s="5">
        <v>44427</v>
      </c>
      <c r="W685" s="5">
        <v>43868</v>
      </c>
      <c r="X685" s="1">
        <v>1680000</v>
      </c>
      <c r="Z685" s="5">
        <v>44027</v>
      </c>
      <c r="AB685" s="1" t="s">
        <v>44</v>
      </c>
      <c r="AF685" s="1">
        <v>10016</v>
      </c>
      <c r="AJ685" s="1">
        <v>2019</v>
      </c>
      <c r="AK685" s="1" t="s">
        <v>46</v>
      </c>
      <c r="AL685" s="1">
        <v>199</v>
      </c>
    </row>
    <row r="686" spans="1:38" x14ac:dyDescent="0.2">
      <c r="A686" s="2" t="str">
        <f>HYPERLINK("https://www.compass.com/listing/15-east-30th-street-unit-30e-manhattan-ny-10016/562072603819547337/","15 E 30th St, Unit 30E")</f>
        <v>15 E 30th St, Unit 30E</v>
      </c>
      <c r="B686" s="2" t="str">
        <f t="shared" si="86"/>
        <v>Madison House</v>
      </c>
      <c r="C686" s="1" t="s">
        <v>40</v>
      </c>
      <c r="D686" s="1" t="s">
        <v>41</v>
      </c>
      <c r="E686" s="3">
        <v>1785000</v>
      </c>
      <c r="F686" s="1">
        <v>1727.9767666989301</v>
      </c>
      <c r="G686" s="1">
        <v>3</v>
      </c>
      <c r="H686" s="1">
        <v>1</v>
      </c>
      <c r="I686" s="1">
        <v>1</v>
      </c>
      <c r="J686" s="1">
        <v>1</v>
      </c>
      <c r="K686" s="1">
        <v>1</v>
      </c>
      <c r="M686" s="4">
        <v>1033</v>
      </c>
      <c r="N686" s="1">
        <v>1442</v>
      </c>
      <c r="O686" s="1">
        <v>3175</v>
      </c>
      <c r="P686" s="1">
        <v>1733</v>
      </c>
      <c r="Q686" s="1" t="s">
        <v>42</v>
      </c>
      <c r="S686" s="1" t="s">
        <v>42</v>
      </c>
      <c r="T686" s="1" t="s">
        <v>228</v>
      </c>
      <c r="U686" s="1">
        <v>219</v>
      </c>
      <c r="V686" s="5">
        <v>44427</v>
      </c>
      <c r="W686" s="5">
        <v>43714</v>
      </c>
      <c r="X686" s="1">
        <v>1785000</v>
      </c>
      <c r="Z686" s="5">
        <v>44027</v>
      </c>
      <c r="AB686" s="1" t="s">
        <v>44</v>
      </c>
      <c r="AF686" s="1">
        <v>10016</v>
      </c>
      <c r="AJ686" s="1">
        <v>2019</v>
      </c>
      <c r="AK686" s="1" t="s">
        <v>46</v>
      </c>
      <c r="AL686" s="1">
        <v>199</v>
      </c>
    </row>
    <row r="687" spans="1:38" x14ac:dyDescent="0.2">
      <c r="A687" s="2" t="str">
        <f>HYPERLINK("https://www.compass.com/listing/15-east-30th-street-unit-24a-manhattan-ny-10016/562072648933782489/","15 E 30th St, Unit 24A")</f>
        <v>15 E 30th St, Unit 24A</v>
      </c>
      <c r="B687" s="2" t="str">
        <f t="shared" si="86"/>
        <v>Madison House</v>
      </c>
      <c r="C687" s="1" t="s">
        <v>40</v>
      </c>
      <c r="D687" s="1" t="s">
        <v>41</v>
      </c>
      <c r="E687" s="3">
        <v>1585000</v>
      </c>
      <c r="F687" s="1">
        <v>1689.76545842217</v>
      </c>
      <c r="G687" s="1">
        <v>3</v>
      </c>
      <c r="H687" s="1">
        <v>1</v>
      </c>
      <c r="I687" s="1">
        <v>1</v>
      </c>
      <c r="J687" s="1">
        <v>1</v>
      </c>
      <c r="K687" s="1">
        <v>1</v>
      </c>
      <c r="M687" s="1">
        <v>938</v>
      </c>
      <c r="N687" s="1">
        <v>1310</v>
      </c>
      <c r="O687" s="1">
        <v>2883</v>
      </c>
      <c r="P687" s="1">
        <v>1573</v>
      </c>
      <c r="Q687" s="1" t="s">
        <v>42</v>
      </c>
      <c r="S687" s="1" t="s">
        <v>42</v>
      </c>
      <c r="T687" s="1" t="s">
        <v>228</v>
      </c>
      <c r="U687" s="1">
        <v>53</v>
      </c>
      <c r="V687" s="5">
        <v>44427</v>
      </c>
      <c r="W687" s="5">
        <v>43880</v>
      </c>
      <c r="X687" s="1">
        <v>1585000</v>
      </c>
      <c r="Z687" s="5">
        <v>44027</v>
      </c>
      <c r="AB687" s="1" t="s">
        <v>44</v>
      </c>
      <c r="AF687" s="1">
        <v>10016</v>
      </c>
      <c r="AJ687" s="1">
        <v>2019</v>
      </c>
      <c r="AK687" s="1" t="s">
        <v>46</v>
      </c>
      <c r="AL687" s="1">
        <v>199</v>
      </c>
    </row>
    <row r="688" spans="1:38" x14ac:dyDescent="0.2">
      <c r="A688" s="2" t="str">
        <f>HYPERLINK("https://www.compass.com/listing/15-east-30th-street-unit-27a-manhattan-ny-10016/562072664796513097/","15 E 30th St, Unit 27A")</f>
        <v>15 E 30th St, Unit 27A</v>
      </c>
      <c r="B688" s="2" t="str">
        <f t="shared" si="86"/>
        <v>Madison House</v>
      </c>
      <c r="C688" s="1" t="s">
        <v>40</v>
      </c>
      <c r="D688" s="1" t="s">
        <v>41</v>
      </c>
      <c r="E688" s="3">
        <v>1630000</v>
      </c>
      <c r="F688" s="1">
        <v>1737.7398720682299</v>
      </c>
      <c r="G688" s="1">
        <v>3</v>
      </c>
      <c r="H688" s="1">
        <v>1</v>
      </c>
      <c r="I688" s="1">
        <v>1</v>
      </c>
      <c r="J688" s="1">
        <v>1</v>
      </c>
      <c r="K688" s="1">
        <v>1</v>
      </c>
      <c r="M688" s="1">
        <v>938</v>
      </c>
      <c r="N688" s="1">
        <v>1310</v>
      </c>
      <c r="O688" s="1">
        <v>2883</v>
      </c>
      <c r="P688" s="1">
        <v>1573</v>
      </c>
      <c r="Q688" s="1" t="s">
        <v>42</v>
      </c>
      <c r="S688" s="1" t="s">
        <v>42</v>
      </c>
      <c r="T688" s="1" t="s">
        <v>228</v>
      </c>
      <c r="U688" s="1">
        <v>130</v>
      </c>
      <c r="V688" s="5">
        <v>44427</v>
      </c>
      <c r="W688" s="5">
        <v>43803</v>
      </c>
      <c r="X688" s="1">
        <v>1630000</v>
      </c>
      <c r="Z688" s="5">
        <v>44027</v>
      </c>
      <c r="AB688" s="1" t="s">
        <v>44</v>
      </c>
      <c r="AF688" s="1">
        <v>10016</v>
      </c>
      <c r="AJ688" s="1">
        <v>2019</v>
      </c>
      <c r="AK688" s="1" t="s">
        <v>46</v>
      </c>
      <c r="AL688" s="1">
        <v>199</v>
      </c>
    </row>
    <row r="689" spans="1:38" x14ac:dyDescent="0.2">
      <c r="A689" s="2" t="str">
        <f>HYPERLINK("https://www.compass.com/listing/15-east-30th-street-unit-26a-manhattan-ny-10016/562072682874092689/","15 E 30th St, Unit 26A")</f>
        <v>15 E 30th St, Unit 26A</v>
      </c>
      <c r="B689" s="2" t="str">
        <f t="shared" si="86"/>
        <v>Madison House</v>
      </c>
      <c r="C689" s="1" t="s">
        <v>40</v>
      </c>
      <c r="D689" s="1" t="s">
        <v>41</v>
      </c>
      <c r="E689" s="3">
        <v>1615000</v>
      </c>
      <c r="F689" s="1">
        <v>1721.74840085287</v>
      </c>
      <c r="G689" s="1">
        <v>3</v>
      </c>
      <c r="H689" s="1">
        <v>1</v>
      </c>
      <c r="I689" s="1">
        <v>1</v>
      </c>
      <c r="J689" s="1">
        <v>1</v>
      </c>
      <c r="K689" s="1">
        <v>1</v>
      </c>
      <c r="M689" s="1">
        <v>938</v>
      </c>
      <c r="N689" s="1">
        <v>1310</v>
      </c>
      <c r="O689" s="1">
        <v>2883</v>
      </c>
      <c r="P689" s="1">
        <v>1573</v>
      </c>
      <c r="Q689" s="1" t="s">
        <v>42</v>
      </c>
      <c r="S689" s="1" t="s">
        <v>42</v>
      </c>
      <c r="T689" s="1" t="s">
        <v>228</v>
      </c>
      <c r="U689" s="1">
        <v>23</v>
      </c>
      <c r="V689" s="5">
        <v>44427</v>
      </c>
      <c r="W689" s="5">
        <v>44000</v>
      </c>
      <c r="X689" s="1">
        <v>1615000</v>
      </c>
      <c r="Z689" s="5">
        <v>44027</v>
      </c>
      <c r="AB689" s="1" t="s">
        <v>44</v>
      </c>
      <c r="AF689" s="1">
        <v>10016</v>
      </c>
      <c r="AJ689" s="1">
        <v>2019</v>
      </c>
      <c r="AK689" s="1" t="s">
        <v>46</v>
      </c>
      <c r="AL689" s="1">
        <v>199</v>
      </c>
    </row>
    <row r="690" spans="1:38" x14ac:dyDescent="0.2">
      <c r="A690" s="2" t="str">
        <f>HYPERLINK("https://www.compass.com/listing/15-east-30th-street-unit-30a-manhattan-ny-10016/562072712678690321/","15 E 30th St, Unit 30A")</f>
        <v>15 E 30th St, Unit 30A</v>
      </c>
      <c r="B690" s="2" t="str">
        <f t="shared" si="86"/>
        <v>Madison House</v>
      </c>
      <c r="C690" s="1" t="s">
        <v>40</v>
      </c>
      <c r="D690" s="1" t="s">
        <v>41</v>
      </c>
      <c r="E690" s="3">
        <v>1640000</v>
      </c>
      <c r="F690" s="1">
        <v>1748.40085287846</v>
      </c>
      <c r="G690" s="1">
        <v>3</v>
      </c>
      <c r="H690" s="1">
        <v>1</v>
      </c>
      <c r="I690" s="1">
        <v>1</v>
      </c>
      <c r="J690" s="1">
        <v>1</v>
      </c>
      <c r="K690" s="1">
        <v>1</v>
      </c>
      <c r="M690" s="1">
        <v>938</v>
      </c>
      <c r="N690" s="1">
        <v>1310</v>
      </c>
      <c r="O690" s="1">
        <v>2883</v>
      </c>
      <c r="P690" s="1">
        <v>1573</v>
      </c>
      <c r="Q690" s="1" t="s">
        <v>42</v>
      </c>
      <c r="S690" s="1" t="s">
        <v>42</v>
      </c>
      <c r="T690" s="1" t="s">
        <v>228</v>
      </c>
      <c r="U690" s="1">
        <v>186</v>
      </c>
      <c r="V690" s="5">
        <v>44427</v>
      </c>
      <c r="W690" s="5">
        <v>43747</v>
      </c>
      <c r="X690" s="1">
        <v>1640000</v>
      </c>
      <c r="Z690" s="5">
        <v>44027</v>
      </c>
      <c r="AB690" s="1" t="s">
        <v>44</v>
      </c>
      <c r="AF690" s="1">
        <v>10016</v>
      </c>
      <c r="AJ690" s="1">
        <v>2019</v>
      </c>
      <c r="AK690" s="1" t="s">
        <v>46</v>
      </c>
      <c r="AL690" s="1">
        <v>199</v>
      </c>
    </row>
    <row r="691" spans="1:38" x14ac:dyDescent="0.2">
      <c r="A691" s="2" t="str">
        <f>HYPERLINK("https://www.compass.com/listing/15-east-30th-street-unit-28a-manhattan-ny-10016/562072828072515513/","15 E 30th St, Unit 28A")</f>
        <v>15 E 30th St, Unit 28A</v>
      </c>
      <c r="B691" s="2" t="str">
        <f t="shared" si="86"/>
        <v>Madison House</v>
      </c>
      <c r="C691" s="1" t="s">
        <v>40</v>
      </c>
      <c r="D691" s="1" t="s">
        <v>41</v>
      </c>
      <c r="E691" s="3">
        <v>1675000</v>
      </c>
      <c r="F691" s="1">
        <v>1785.7142857142801</v>
      </c>
      <c r="G691" s="1">
        <v>3</v>
      </c>
      <c r="H691" s="1">
        <v>1</v>
      </c>
      <c r="I691" s="1">
        <v>1</v>
      </c>
      <c r="J691" s="1">
        <v>1</v>
      </c>
      <c r="K691" s="1">
        <v>1</v>
      </c>
      <c r="M691" s="1">
        <v>938</v>
      </c>
      <c r="N691" s="1">
        <v>1310</v>
      </c>
      <c r="O691" s="1">
        <v>2883</v>
      </c>
      <c r="P691" s="1">
        <v>1573</v>
      </c>
      <c r="Q691" s="1" t="s">
        <v>42</v>
      </c>
      <c r="S691" s="1" t="s">
        <v>42</v>
      </c>
      <c r="T691" s="1" t="s">
        <v>228</v>
      </c>
      <c r="U691" s="1">
        <v>23</v>
      </c>
      <c r="V691" s="5">
        <v>44427</v>
      </c>
      <c r="W691" s="5">
        <v>43972</v>
      </c>
      <c r="X691" s="1">
        <v>1675000</v>
      </c>
      <c r="Z691" s="5">
        <v>44027</v>
      </c>
      <c r="AB691" s="1" t="s">
        <v>44</v>
      </c>
      <c r="AF691" s="1">
        <v>10016</v>
      </c>
      <c r="AJ691" s="1">
        <v>2019</v>
      </c>
      <c r="AK691" s="1" t="s">
        <v>46</v>
      </c>
      <c r="AL691" s="1">
        <v>199</v>
      </c>
    </row>
    <row r="692" spans="1:38" x14ac:dyDescent="0.2">
      <c r="A692" s="2" t="str">
        <f>HYPERLINK("https://www.compass.com/listing/15-east-30th-street-unit-32c-manhattan-ny-10016/562255951393233017/","15 E 30th St, Unit 32C")</f>
        <v>15 E 30th St, Unit 32C</v>
      </c>
      <c r="B692" s="2" t="str">
        <f t="shared" si="86"/>
        <v>Madison House</v>
      </c>
      <c r="C692" s="1" t="s">
        <v>40</v>
      </c>
      <c r="D692" s="1" t="s">
        <v>41</v>
      </c>
      <c r="E692" s="3">
        <v>2050000</v>
      </c>
      <c r="F692" s="1">
        <v>1863.6363636363601</v>
      </c>
      <c r="G692" s="1">
        <v>3.5</v>
      </c>
      <c r="H692" s="1">
        <v>1</v>
      </c>
      <c r="I692" s="1">
        <v>2</v>
      </c>
      <c r="J692" s="1">
        <v>1.5</v>
      </c>
      <c r="K692" s="1">
        <v>1</v>
      </c>
      <c r="L692" s="1">
        <v>1</v>
      </c>
      <c r="M692" s="4">
        <v>1100</v>
      </c>
      <c r="N692" s="1">
        <v>1536</v>
      </c>
      <c r="O692" s="1">
        <v>3381</v>
      </c>
      <c r="P692" s="1">
        <v>1845</v>
      </c>
      <c r="Q692" s="1" t="s">
        <v>42</v>
      </c>
      <c r="S692" s="1" t="s">
        <v>42</v>
      </c>
      <c r="T692" s="1" t="s">
        <v>228</v>
      </c>
      <c r="U692" s="1">
        <v>53</v>
      </c>
      <c r="V692" s="5">
        <v>44427</v>
      </c>
      <c r="W692" s="5">
        <v>43880</v>
      </c>
      <c r="X692" s="1">
        <v>2050000</v>
      </c>
      <c r="Z692" s="5">
        <v>44028</v>
      </c>
      <c r="AB692" s="1" t="s">
        <v>44</v>
      </c>
      <c r="AF692" s="1">
        <v>10016</v>
      </c>
      <c r="AJ692" s="1">
        <v>2019</v>
      </c>
      <c r="AK692" s="1" t="s">
        <v>46</v>
      </c>
      <c r="AL692" s="1">
        <v>199</v>
      </c>
    </row>
    <row r="693" spans="1:38" x14ac:dyDescent="0.2">
      <c r="A693" s="2" t="str">
        <f>HYPERLINK("https://www.compass.com/listing/15-east-30th-street-unit-24e-manhattan-ny-10016/563706181343356249/","15 E 30th St, Unit 24E")</f>
        <v>15 E 30th St, Unit 24E</v>
      </c>
      <c r="B693" s="2" t="str">
        <f t="shared" si="86"/>
        <v>Madison House</v>
      </c>
      <c r="C693" s="1" t="s">
        <v>40</v>
      </c>
      <c r="D693" s="1" t="s">
        <v>41</v>
      </c>
      <c r="E693" s="3">
        <v>1695000</v>
      </c>
      <c r="F693" s="1">
        <v>1640.8518877057099</v>
      </c>
      <c r="G693" s="1">
        <v>3</v>
      </c>
      <c r="H693" s="1">
        <v>1</v>
      </c>
      <c r="I693" s="1">
        <v>1</v>
      </c>
      <c r="J693" s="1">
        <v>1</v>
      </c>
      <c r="K693" s="1">
        <v>1</v>
      </c>
      <c r="M693" s="4">
        <v>1033</v>
      </c>
      <c r="N693" s="1">
        <v>1443</v>
      </c>
      <c r="O693" s="1">
        <v>3176</v>
      </c>
      <c r="P693" s="1">
        <v>1733</v>
      </c>
      <c r="Q693" s="1" t="s">
        <v>42</v>
      </c>
      <c r="S693" s="1" t="s">
        <v>42</v>
      </c>
      <c r="T693" s="1" t="s">
        <v>228</v>
      </c>
      <c r="U693" s="1">
        <v>25</v>
      </c>
      <c r="V693" s="5">
        <v>44427</v>
      </c>
      <c r="W693" s="5">
        <v>43923</v>
      </c>
      <c r="X693" s="1">
        <v>1695000</v>
      </c>
      <c r="Z693" s="5">
        <v>44030</v>
      </c>
      <c r="AB693" s="1" t="s">
        <v>44</v>
      </c>
      <c r="AF693" s="1">
        <v>10016</v>
      </c>
      <c r="AJ693" s="1">
        <v>2019</v>
      </c>
      <c r="AK693" s="1" t="s">
        <v>46</v>
      </c>
      <c r="AL693" s="1">
        <v>199</v>
      </c>
    </row>
    <row r="694" spans="1:38" x14ac:dyDescent="0.2">
      <c r="A694" s="2" t="str">
        <f>HYPERLINK("https://www.compass.com/listing/15-east-30th-street-unit-22a-manhattan-ny-10016/567947085788682777/","15 E 30th St, Unit 22A")</f>
        <v>15 E 30th St, Unit 22A</v>
      </c>
      <c r="B694" s="2" t="str">
        <f t="shared" si="86"/>
        <v>Madison House</v>
      </c>
      <c r="C694" s="1" t="s">
        <v>40</v>
      </c>
      <c r="D694" s="1" t="s">
        <v>41</v>
      </c>
      <c r="E694" s="3">
        <v>1555000</v>
      </c>
      <c r="F694" s="1">
        <v>1657.7825159914701</v>
      </c>
      <c r="G694" s="1">
        <v>3</v>
      </c>
      <c r="H694" s="1">
        <v>1</v>
      </c>
      <c r="I694" s="1">
        <v>1</v>
      </c>
      <c r="J694" s="1">
        <v>1</v>
      </c>
      <c r="K694" s="1">
        <v>1</v>
      </c>
      <c r="M694" s="1">
        <v>938</v>
      </c>
      <c r="N694" s="1">
        <v>1310</v>
      </c>
      <c r="O694" s="1">
        <v>2883</v>
      </c>
      <c r="P694" s="1">
        <v>1573</v>
      </c>
      <c r="Q694" s="1" t="s">
        <v>42</v>
      </c>
      <c r="S694" s="1" t="s">
        <v>42</v>
      </c>
      <c r="T694" s="1" t="s">
        <v>228</v>
      </c>
      <c r="U694" s="1">
        <v>200</v>
      </c>
      <c r="V694" s="5">
        <v>44427</v>
      </c>
      <c r="W694" s="5">
        <v>43741</v>
      </c>
      <c r="X694" s="1">
        <v>1555000</v>
      </c>
      <c r="Z694" s="5">
        <v>44035</v>
      </c>
      <c r="AB694" s="1" t="s">
        <v>44</v>
      </c>
      <c r="AF694" s="1">
        <v>10016</v>
      </c>
      <c r="AJ694" s="1">
        <v>2019</v>
      </c>
      <c r="AK694" s="1" t="s">
        <v>46</v>
      </c>
      <c r="AL694" s="1">
        <v>199</v>
      </c>
    </row>
    <row r="695" spans="1:38" x14ac:dyDescent="0.2">
      <c r="A695" s="2" t="str">
        <f>HYPERLINK("https://www.compass.com/listing/15-east-30th-street-unit-37b-manhattan-ny-10016/573187123828836953/","15 E 30th St, Unit 37B")</f>
        <v>15 E 30th St, Unit 37B</v>
      </c>
      <c r="B695" s="2" t="str">
        <f t="shared" si="86"/>
        <v>Madison House</v>
      </c>
      <c r="C695" s="1" t="s">
        <v>40</v>
      </c>
      <c r="D695" s="1" t="s">
        <v>41</v>
      </c>
      <c r="E695" s="3">
        <v>2250000</v>
      </c>
      <c r="F695" s="1">
        <v>2003.56188780053</v>
      </c>
      <c r="G695" s="1">
        <v>3.5</v>
      </c>
      <c r="H695" s="1">
        <v>1</v>
      </c>
      <c r="I695" s="1">
        <v>2</v>
      </c>
      <c r="J695" s="1">
        <v>1.5</v>
      </c>
      <c r="K695" s="1">
        <v>1</v>
      </c>
      <c r="L695" s="1">
        <v>1</v>
      </c>
      <c r="M695" s="4">
        <v>1123</v>
      </c>
      <c r="N695" s="1">
        <v>1569</v>
      </c>
      <c r="O695" s="1">
        <v>3453</v>
      </c>
      <c r="P695" s="1">
        <v>1884</v>
      </c>
      <c r="Q695" s="1" t="s">
        <v>42</v>
      </c>
      <c r="S695" s="1" t="s">
        <v>42</v>
      </c>
      <c r="T695" s="1" t="s">
        <v>228</v>
      </c>
      <c r="U695" s="1">
        <v>13</v>
      </c>
      <c r="V695" s="5">
        <v>44427</v>
      </c>
      <c r="W695" s="5">
        <v>44029</v>
      </c>
      <c r="X695" s="1">
        <v>2250000</v>
      </c>
      <c r="Z695" s="5">
        <v>44043</v>
      </c>
      <c r="AB695" s="1" t="s">
        <v>44</v>
      </c>
      <c r="AF695" s="1">
        <v>10016</v>
      </c>
      <c r="AJ695" s="1">
        <v>2019</v>
      </c>
      <c r="AK695" s="1" t="s">
        <v>46</v>
      </c>
      <c r="AL695" s="1">
        <v>199</v>
      </c>
    </row>
    <row r="696" spans="1:38" x14ac:dyDescent="0.2">
      <c r="A696" s="2" t="str">
        <f>HYPERLINK("https://www.compass.com/listing/15-east-30th-street-unit-33c-manhattan-ny-10016/573861538602408521/","15 E 30th St, Unit 33C")</f>
        <v>15 E 30th St, Unit 33C</v>
      </c>
      <c r="B696" s="2" t="str">
        <f t="shared" si="86"/>
        <v>Madison House</v>
      </c>
      <c r="C696" s="1" t="s">
        <v>40</v>
      </c>
      <c r="D696" s="1" t="s">
        <v>41</v>
      </c>
      <c r="E696" s="3">
        <v>2075000</v>
      </c>
      <c r="F696" s="1">
        <v>1886.3636363636299</v>
      </c>
      <c r="G696" s="1">
        <v>3.5</v>
      </c>
      <c r="H696" s="1">
        <v>1</v>
      </c>
      <c r="I696" s="1">
        <v>2</v>
      </c>
      <c r="J696" s="1">
        <v>1.5</v>
      </c>
      <c r="K696" s="1">
        <v>1</v>
      </c>
      <c r="L696" s="1">
        <v>1</v>
      </c>
      <c r="M696" s="4">
        <v>1100</v>
      </c>
      <c r="N696" s="1">
        <v>1536</v>
      </c>
      <c r="O696" s="1">
        <v>3381</v>
      </c>
      <c r="P696" s="1">
        <v>1845</v>
      </c>
      <c r="Q696" s="1" t="s">
        <v>42</v>
      </c>
      <c r="S696" s="1" t="s">
        <v>42</v>
      </c>
      <c r="T696" s="1" t="s">
        <v>228</v>
      </c>
      <c r="U696" s="1">
        <v>46</v>
      </c>
      <c r="V696" s="5">
        <v>44427</v>
      </c>
      <c r="W696" s="5">
        <v>44034</v>
      </c>
      <c r="X696" s="1">
        <v>2075000</v>
      </c>
      <c r="Z696" s="5">
        <v>44080</v>
      </c>
      <c r="AB696" s="1" t="s">
        <v>44</v>
      </c>
      <c r="AF696" s="1">
        <v>10016</v>
      </c>
      <c r="AJ696" s="1">
        <v>2019</v>
      </c>
      <c r="AK696" s="1" t="s">
        <v>46</v>
      </c>
      <c r="AL696" s="1">
        <v>199</v>
      </c>
    </row>
    <row r="697" spans="1:38" x14ac:dyDescent="0.2">
      <c r="A697" s="2" t="str">
        <f>HYPERLINK("https://www.compass.com/listing/15-east-30th-street-unit-29e-manhattan-ny-10016/575950097094115761/","15 E 30th St, Unit 29E")</f>
        <v>15 E 30th St, Unit 29E</v>
      </c>
      <c r="B697" s="2" t="str">
        <f t="shared" si="86"/>
        <v>Madison House</v>
      </c>
      <c r="C697" s="1" t="s">
        <v>40</v>
      </c>
      <c r="D697" s="1" t="s">
        <v>41</v>
      </c>
      <c r="E697" s="3">
        <v>1770000</v>
      </c>
      <c r="F697" s="1">
        <v>1713.4559535333899</v>
      </c>
      <c r="G697" s="1">
        <v>3</v>
      </c>
      <c r="H697" s="1">
        <v>1</v>
      </c>
      <c r="I697" s="1">
        <v>1</v>
      </c>
      <c r="J697" s="1">
        <v>1</v>
      </c>
      <c r="K697" s="1">
        <v>1</v>
      </c>
      <c r="M697" s="4">
        <v>1033</v>
      </c>
      <c r="N697" s="1">
        <v>1442</v>
      </c>
      <c r="O697" s="1">
        <v>3175</v>
      </c>
      <c r="P697" s="1">
        <v>1733</v>
      </c>
      <c r="Q697" s="1" t="s">
        <v>42</v>
      </c>
      <c r="S697" s="1" t="s">
        <v>42</v>
      </c>
      <c r="T697" s="1" t="s">
        <v>228</v>
      </c>
      <c r="U697" s="1">
        <v>11</v>
      </c>
      <c r="V697" s="5">
        <v>44427</v>
      </c>
      <c r="W697" s="5">
        <v>44035</v>
      </c>
      <c r="X697" s="1">
        <v>1770000</v>
      </c>
      <c r="Z697" s="5">
        <v>44046</v>
      </c>
      <c r="AB697" s="1" t="s">
        <v>44</v>
      </c>
      <c r="AF697" s="1">
        <v>10016</v>
      </c>
      <c r="AJ697" s="1">
        <v>2019</v>
      </c>
      <c r="AK697" s="1" t="s">
        <v>46</v>
      </c>
      <c r="AL697" s="1">
        <v>199</v>
      </c>
    </row>
    <row r="698" spans="1:38" x14ac:dyDescent="0.2">
      <c r="A698" s="2" t="str">
        <f>HYPERLINK("https://www.compass.com/listing/15-east-30th-street-unit-28e-manhattan-ny-10016/583327397448195257/","15 E 30th St, Unit 28E")</f>
        <v>15 E 30th St, Unit 28E</v>
      </c>
      <c r="B698" s="2" t="str">
        <f t="shared" si="86"/>
        <v>Madison House</v>
      </c>
      <c r="C698" s="1" t="s">
        <v>40</v>
      </c>
      <c r="D698" s="1" t="s">
        <v>41</v>
      </c>
      <c r="E698" s="3">
        <v>1755000</v>
      </c>
      <c r="F698" s="1">
        <v>1698.93514036786</v>
      </c>
      <c r="G698" s="1">
        <v>3</v>
      </c>
      <c r="H698" s="1">
        <v>1</v>
      </c>
      <c r="I698" s="1">
        <v>1</v>
      </c>
      <c r="J698" s="1">
        <v>1</v>
      </c>
      <c r="K698" s="1">
        <v>1</v>
      </c>
      <c r="M698" s="4">
        <v>1033</v>
      </c>
      <c r="N698" s="1">
        <v>1442</v>
      </c>
      <c r="O698" s="1">
        <v>3175</v>
      </c>
      <c r="P698" s="1">
        <v>1733</v>
      </c>
      <c r="Q698" s="1" t="s">
        <v>42</v>
      </c>
      <c r="S698" s="1" t="s">
        <v>42</v>
      </c>
      <c r="T698" s="1" t="s">
        <v>228</v>
      </c>
      <c r="U698" s="1">
        <v>11</v>
      </c>
      <c r="V698" s="5">
        <v>44427</v>
      </c>
      <c r="W698" s="5">
        <v>44045</v>
      </c>
      <c r="X698" s="1">
        <v>1755000</v>
      </c>
      <c r="Z698" s="5">
        <v>44057</v>
      </c>
      <c r="AB698" s="1" t="s">
        <v>44</v>
      </c>
      <c r="AF698" s="1">
        <v>10016</v>
      </c>
      <c r="AJ698" s="1">
        <v>2019</v>
      </c>
      <c r="AK698" s="1" t="s">
        <v>46</v>
      </c>
      <c r="AL698" s="1">
        <v>199</v>
      </c>
    </row>
    <row r="699" spans="1:38" x14ac:dyDescent="0.2">
      <c r="A699" s="2" t="str">
        <f>HYPERLINK("https://www.compass.com/listing/15-east-30th-street-unit-34a-manhattan-ny-10016/749911532077055353/","15 E 30th St, Unit 34A")</f>
        <v>15 E 30th St, Unit 34A</v>
      </c>
      <c r="B699" s="2" t="str">
        <f t="shared" si="86"/>
        <v>Madison House</v>
      </c>
      <c r="C699" s="1" t="s">
        <v>40</v>
      </c>
      <c r="D699" s="1" t="s">
        <v>41</v>
      </c>
      <c r="E699" s="3">
        <v>1925000</v>
      </c>
      <c r="F699" s="1">
        <v>2043.5244161358801</v>
      </c>
      <c r="G699" s="1">
        <v>3</v>
      </c>
      <c r="H699" s="1">
        <v>1</v>
      </c>
      <c r="I699" s="1">
        <v>1</v>
      </c>
      <c r="J699" s="1">
        <v>1</v>
      </c>
      <c r="K699" s="1">
        <v>1</v>
      </c>
      <c r="M699" s="1">
        <v>942</v>
      </c>
      <c r="N699" s="1">
        <v>1315</v>
      </c>
      <c r="O699" s="1">
        <v>2895</v>
      </c>
      <c r="P699" s="1">
        <v>1580</v>
      </c>
      <c r="Q699" s="1" t="s">
        <v>42</v>
      </c>
      <c r="S699" s="1" t="s">
        <v>42</v>
      </c>
      <c r="T699" s="1" t="s">
        <v>228</v>
      </c>
      <c r="U699" s="1">
        <v>494</v>
      </c>
      <c r="V699" s="5">
        <v>44427</v>
      </c>
      <c r="W699" s="5">
        <v>43741</v>
      </c>
      <c r="X699" s="1">
        <v>1925000</v>
      </c>
      <c r="Z699" s="5">
        <v>44329</v>
      </c>
      <c r="AB699" s="1" t="s">
        <v>44</v>
      </c>
      <c r="AF699" s="1">
        <v>10016</v>
      </c>
      <c r="AJ699" s="1">
        <v>2019</v>
      </c>
      <c r="AK699" s="1" t="s">
        <v>46</v>
      </c>
      <c r="AL699" s="1">
        <v>199</v>
      </c>
    </row>
    <row r="700" spans="1:38" x14ac:dyDescent="0.2">
      <c r="A700" s="2" t="str">
        <f>HYPERLINK("https://www.compass.com/listing/15-east-30th-street-unit-43c-manhattan-ny-10016/801620281948864745/","15 E 30th St, Unit 43C")</f>
        <v>15 E 30th St, Unit 43C</v>
      </c>
      <c r="B700" s="2" t="str">
        <f t="shared" si="86"/>
        <v>Madison House</v>
      </c>
      <c r="C700" s="1" t="s">
        <v>40</v>
      </c>
      <c r="D700" s="1" t="s">
        <v>41</v>
      </c>
      <c r="E700" s="3">
        <v>2425000</v>
      </c>
      <c r="F700" s="1">
        <v>2204.54545454545</v>
      </c>
      <c r="G700" s="1">
        <v>3</v>
      </c>
      <c r="H700" s="1">
        <v>1</v>
      </c>
      <c r="I700" s="1">
        <v>2</v>
      </c>
      <c r="J700" s="1">
        <v>1.5</v>
      </c>
      <c r="K700" s="1">
        <v>1</v>
      </c>
      <c r="L700" s="1">
        <v>1</v>
      </c>
      <c r="M700" s="4">
        <v>1100</v>
      </c>
      <c r="N700" s="1">
        <v>1536</v>
      </c>
      <c r="O700" s="1">
        <v>3381</v>
      </c>
      <c r="P700" s="1">
        <v>1845</v>
      </c>
      <c r="Q700" s="1" t="s">
        <v>42</v>
      </c>
      <c r="S700" s="1" t="s">
        <v>42</v>
      </c>
      <c r="T700" s="1" t="s">
        <v>228</v>
      </c>
      <c r="V700" s="5">
        <v>44427</v>
      </c>
      <c r="W700" s="5">
        <v>43714</v>
      </c>
      <c r="Z700" s="5">
        <v>43714</v>
      </c>
      <c r="AB700" s="1" t="s">
        <v>44</v>
      </c>
      <c r="AF700" s="1">
        <v>10016</v>
      </c>
      <c r="AJ700" s="1">
        <v>2019</v>
      </c>
      <c r="AK700" s="1" t="s">
        <v>46</v>
      </c>
      <c r="AL700" s="1">
        <v>199</v>
      </c>
    </row>
    <row r="701" spans="1:38" x14ac:dyDescent="0.2">
      <c r="A701" s="2" t="str">
        <f>HYPERLINK("https://www.compass.com/listing/15-east-30th-street-unit-48a-manhattan-ny-10016/781866404901903961/","15 E 30th St, Unit 48A")</f>
        <v>15 E 30th St, Unit 48A</v>
      </c>
      <c r="B701" s="2" t="str">
        <f t="shared" si="86"/>
        <v>Madison House</v>
      </c>
      <c r="C701" s="1" t="s">
        <v>40</v>
      </c>
      <c r="D701" s="1" t="s">
        <v>41</v>
      </c>
      <c r="E701" s="3">
        <v>4700000</v>
      </c>
      <c r="F701" s="1">
        <v>2846.7595396729198</v>
      </c>
      <c r="G701" s="1">
        <v>5</v>
      </c>
      <c r="H701" s="1">
        <v>2</v>
      </c>
      <c r="I701" s="1">
        <v>3</v>
      </c>
      <c r="J701" s="1">
        <v>2.5</v>
      </c>
      <c r="K701" s="1">
        <v>2</v>
      </c>
      <c r="L701" s="1">
        <v>1</v>
      </c>
      <c r="M701" s="4">
        <v>1651</v>
      </c>
      <c r="N701" s="1">
        <v>2305</v>
      </c>
      <c r="O701" s="1">
        <v>5074</v>
      </c>
      <c r="P701" s="1">
        <v>2769</v>
      </c>
      <c r="Q701" s="1" t="s">
        <v>42</v>
      </c>
      <c r="S701" s="1" t="s">
        <v>42</v>
      </c>
      <c r="T701" s="1" t="s">
        <v>228</v>
      </c>
      <c r="U701" s="1">
        <v>26</v>
      </c>
      <c r="V701" s="5">
        <v>44427</v>
      </c>
      <c r="W701" s="5">
        <v>44330</v>
      </c>
      <c r="X701" s="1">
        <v>4700000</v>
      </c>
      <c r="Z701" s="5">
        <v>44357</v>
      </c>
      <c r="AB701" s="1" t="s">
        <v>44</v>
      </c>
      <c r="AF701" s="1">
        <v>10016</v>
      </c>
      <c r="AJ701" s="1">
        <v>2019</v>
      </c>
      <c r="AK701" s="1" t="s">
        <v>46</v>
      </c>
      <c r="AL701" s="1">
        <v>199</v>
      </c>
    </row>
    <row r="702" spans="1:38" x14ac:dyDescent="0.2">
      <c r="A702" s="2" t="str">
        <f>HYPERLINK("https://www.compass.com/listing/15-east-30th-street-unit-19c-manhattan-ny-10016/773878519972047273/","15 E 30th St, Unit 19C")</f>
        <v>15 E 30th St, Unit 19C</v>
      </c>
      <c r="B702" s="2" t="str">
        <f t="shared" si="86"/>
        <v>Madison House</v>
      </c>
      <c r="C702" s="1" t="s">
        <v>40</v>
      </c>
      <c r="D702" s="1" t="s">
        <v>41</v>
      </c>
      <c r="E702" s="3">
        <v>2860000</v>
      </c>
      <c r="F702" s="1">
        <v>2086.06856309263</v>
      </c>
      <c r="G702" s="1">
        <v>5</v>
      </c>
      <c r="H702" s="1">
        <v>2</v>
      </c>
      <c r="I702" s="1">
        <v>2</v>
      </c>
      <c r="J702" s="1">
        <v>2</v>
      </c>
      <c r="K702" s="1">
        <v>2</v>
      </c>
      <c r="M702" s="4">
        <v>1371</v>
      </c>
      <c r="N702" s="1">
        <v>1914</v>
      </c>
      <c r="O702" s="1">
        <v>4214</v>
      </c>
      <c r="P702" s="1">
        <v>2300</v>
      </c>
      <c r="Q702" s="1" t="s">
        <v>42</v>
      </c>
      <c r="S702" s="1" t="s">
        <v>42</v>
      </c>
      <c r="T702" s="1" t="s">
        <v>228</v>
      </c>
      <c r="V702" s="5">
        <v>44427</v>
      </c>
      <c r="W702" s="5">
        <v>44319</v>
      </c>
      <c r="X702" s="1">
        <v>2860000</v>
      </c>
      <c r="Z702" s="5">
        <v>44320</v>
      </c>
      <c r="AB702" s="1" t="s">
        <v>44</v>
      </c>
      <c r="AF702" s="1">
        <v>10016</v>
      </c>
      <c r="AJ702" s="1">
        <v>2019</v>
      </c>
      <c r="AK702" s="1" t="s">
        <v>46</v>
      </c>
      <c r="AL702" s="1">
        <v>199</v>
      </c>
    </row>
    <row r="703" spans="1:38" x14ac:dyDescent="0.2">
      <c r="A703" s="2" t="str">
        <f>HYPERLINK("https://www.compass.com/listing/15-east-30th-street-unit-39c-manhattan-ny-10016/682639992689969937/","15 E 30th St, Unit 39C")</f>
        <v>15 E 30th St, Unit 39C</v>
      </c>
      <c r="B703" s="2" t="str">
        <f t="shared" si="86"/>
        <v>Madison House</v>
      </c>
      <c r="C703" s="1" t="s">
        <v>40</v>
      </c>
      <c r="D703" s="1" t="s">
        <v>41</v>
      </c>
      <c r="E703" s="3">
        <v>2225000</v>
      </c>
      <c r="F703" s="1">
        <v>2022.72727272727</v>
      </c>
      <c r="G703" s="1">
        <v>3.5</v>
      </c>
      <c r="H703" s="1">
        <v>1</v>
      </c>
      <c r="I703" s="1">
        <v>2</v>
      </c>
      <c r="J703" s="1">
        <v>1.5</v>
      </c>
      <c r="K703" s="1">
        <v>1</v>
      </c>
      <c r="L703" s="1">
        <v>1</v>
      </c>
      <c r="M703" s="4">
        <v>1100</v>
      </c>
      <c r="N703" s="1">
        <v>1536</v>
      </c>
      <c r="O703" s="1">
        <v>3381</v>
      </c>
      <c r="P703" s="1">
        <v>1845</v>
      </c>
      <c r="Q703" s="1" t="s">
        <v>42</v>
      </c>
      <c r="S703" s="1" t="s">
        <v>42</v>
      </c>
      <c r="T703" s="1" t="s">
        <v>228</v>
      </c>
      <c r="U703" s="1">
        <v>10</v>
      </c>
      <c r="V703" s="5">
        <v>44427</v>
      </c>
      <c r="W703" s="5">
        <v>44183</v>
      </c>
      <c r="X703" s="1">
        <v>2225000</v>
      </c>
      <c r="Z703" s="5">
        <v>44194</v>
      </c>
      <c r="AB703" s="1" t="s">
        <v>44</v>
      </c>
      <c r="AF703" s="1">
        <v>10016</v>
      </c>
      <c r="AJ703" s="1">
        <v>2019</v>
      </c>
      <c r="AK703" s="1" t="s">
        <v>46</v>
      </c>
      <c r="AL703" s="1">
        <v>199</v>
      </c>
    </row>
    <row r="704" spans="1:38" x14ac:dyDescent="0.2">
      <c r="A704" s="2" t="str">
        <f>HYPERLINK("https://www.compass.com/listing/15-east-30th-street-unit-38c-manhattan-ny-10016/659173855560492617/","15 E 30th St, Unit 38C")</f>
        <v>15 E 30th St, Unit 38C</v>
      </c>
      <c r="B704" s="2" t="str">
        <f t="shared" si="86"/>
        <v>Madison House</v>
      </c>
      <c r="C704" s="1" t="s">
        <v>40</v>
      </c>
      <c r="D704" s="1" t="s">
        <v>41</v>
      </c>
      <c r="E704" s="3">
        <v>2200000</v>
      </c>
      <c r="F704" s="1">
        <v>2000</v>
      </c>
      <c r="G704" s="1">
        <v>4</v>
      </c>
      <c r="H704" s="1">
        <v>1</v>
      </c>
      <c r="I704" s="1">
        <v>2</v>
      </c>
      <c r="J704" s="1">
        <v>1.5</v>
      </c>
      <c r="K704" s="1">
        <v>1</v>
      </c>
      <c r="L704" s="1">
        <v>1</v>
      </c>
      <c r="M704" s="4">
        <v>1100</v>
      </c>
      <c r="N704" s="1">
        <v>1536</v>
      </c>
      <c r="O704" s="1">
        <v>3381</v>
      </c>
      <c r="P704" s="1">
        <v>1845</v>
      </c>
      <c r="Q704" s="1" t="s">
        <v>42</v>
      </c>
      <c r="S704" s="1" t="s">
        <v>42</v>
      </c>
      <c r="T704" s="1" t="s">
        <v>228</v>
      </c>
      <c r="V704" s="5">
        <v>44427</v>
      </c>
      <c r="W704" s="5">
        <v>44150</v>
      </c>
      <c r="X704" s="1">
        <v>2200000</v>
      </c>
      <c r="Z704" s="5">
        <v>44150</v>
      </c>
      <c r="AB704" s="1" t="s">
        <v>44</v>
      </c>
      <c r="AF704" s="1">
        <v>10016</v>
      </c>
      <c r="AJ704" s="1">
        <v>2019</v>
      </c>
      <c r="AK704" s="1" t="s">
        <v>46</v>
      </c>
      <c r="AL704" s="1">
        <v>199</v>
      </c>
    </row>
    <row r="705" spans="1:38" x14ac:dyDescent="0.2">
      <c r="A705" s="2" t="str">
        <f>HYPERLINK("https://www.compass.com/listing/15-east-30th-street-unit-44c-manhattan-ny-10016/644707991164262065/","15 E 30th St, Unit 44C")</f>
        <v>15 E 30th St, Unit 44C</v>
      </c>
      <c r="B705" s="2" t="str">
        <f t="shared" si="86"/>
        <v>Madison House</v>
      </c>
      <c r="C705" s="1" t="s">
        <v>40</v>
      </c>
      <c r="D705" s="1" t="s">
        <v>41</v>
      </c>
      <c r="E705" s="3">
        <v>2350000</v>
      </c>
      <c r="F705" s="1">
        <v>2136.3636363636301</v>
      </c>
      <c r="G705" s="1">
        <v>4</v>
      </c>
      <c r="H705" s="1">
        <v>1</v>
      </c>
      <c r="I705" s="1">
        <v>2</v>
      </c>
      <c r="J705" s="1">
        <v>1.5</v>
      </c>
      <c r="K705" s="1">
        <v>1</v>
      </c>
      <c r="L705" s="1">
        <v>1</v>
      </c>
      <c r="M705" s="4">
        <v>1100</v>
      </c>
      <c r="N705" s="1">
        <v>1536</v>
      </c>
      <c r="O705" s="1">
        <v>3381</v>
      </c>
      <c r="P705" s="1">
        <v>1845</v>
      </c>
      <c r="Q705" s="1" t="s">
        <v>42</v>
      </c>
      <c r="S705" s="1" t="s">
        <v>42</v>
      </c>
      <c r="T705" s="1" t="s">
        <v>228</v>
      </c>
      <c r="U705" s="1">
        <v>33</v>
      </c>
      <c r="V705" s="5">
        <v>44427</v>
      </c>
      <c r="W705" s="5">
        <v>44134</v>
      </c>
      <c r="X705" s="1">
        <v>2350000</v>
      </c>
      <c r="Z705" s="5">
        <v>44167</v>
      </c>
      <c r="AB705" s="1" t="s">
        <v>44</v>
      </c>
      <c r="AF705" s="1">
        <v>10016</v>
      </c>
      <c r="AI705" s="1" t="s">
        <v>247</v>
      </c>
      <c r="AJ705" s="1">
        <v>2019</v>
      </c>
      <c r="AK705" s="1" t="s">
        <v>46</v>
      </c>
      <c r="AL705" s="1">
        <v>199</v>
      </c>
    </row>
    <row r="706" spans="1:38" x14ac:dyDescent="0.2">
      <c r="A706" s="2" t="str">
        <f>HYPERLINK("https://www.compass.com/listing/15-east-30th-street-unit-35c-manhattan-ny-10016/634554550126307353/","15 E 30th St, Unit 35C")</f>
        <v>15 E 30th St, Unit 35C</v>
      </c>
      <c r="B706" s="2" t="str">
        <f t="shared" si="86"/>
        <v>Madison House</v>
      </c>
      <c r="C706" s="1" t="s">
        <v>40</v>
      </c>
      <c r="D706" s="1" t="s">
        <v>41</v>
      </c>
      <c r="E706" s="3">
        <v>2125000</v>
      </c>
      <c r="F706" s="1">
        <v>1931.8181818181799</v>
      </c>
      <c r="G706" s="1">
        <v>4</v>
      </c>
      <c r="H706" s="1">
        <v>1</v>
      </c>
      <c r="I706" s="1">
        <v>2</v>
      </c>
      <c r="J706" s="1">
        <v>1.5</v>
      </c>
      <c r="K706" s="1">
        <v>1</v>
      </c>
      <c r="L706" s="1">
        <v>1</v>
      </c>
      <c r="M706" s="4">
        <v>1100</v>
      </c>
      <c r="N706" s="1">
        <v>1536</v>
      </c>
      <c r="O706" s="1">
        <v>3381</v>
      </c>
      <c r="P706" s="1">
        <v>1845</v>
      </c>
      <c r="Q706" s="1" t="s">
        <v>42</v>
      </c>
      <c r="S706" s="1" t="s">
        <v>42</v>
      </c>
      <c r="T706" s="1" t="s">
        <v>228</v>
      </c>
      <c r="V706" s="5">
        <v>44427</v>
      </c>
      <c r="W706" s="5">
        <v>44126</v>
      </c>
      <c r="X706" s="1">
        <v>2125000</v>
      </c>
      <c r="Z706" s="5">
        <v>44126</v>
      </c>
      <c r="AB706" s="1" t="s">
        <v>44</v>
      </c>
      <c r="AF706" s="1">
        <v>10016</v>
      </c>
      <c r="AI706" s="1" t="s">
        <v>248</v>
      </c>
      <c r="AJ706" s="1">
        <v>2019</v>
      </c>
      <c r="AK706" s="1" t="s">
        <v>46</v>
      </c>
      <c r="AL706" s="1">
        <v>199</v>
      </c>
    </row>
    <row r="707" spans="1:38" x14ac:dyDescent="0.2">
      <c r="A707" s="2" t="str">
        <f>HYPERLINK("https://www.compass.com/listing/15-east-30th-street-unit-37c-manhattan-ny-10016/628327202859628817/","15 E 30th St, Unit 37C")</f>
        <v>15 E 30th St, Unit 37C</v>
      </c>
      <c r="B707" s="2" t="str">
        <f t="shared" si="86"/>
        <v>Madison House</v>
      </c>
      <c r="C707" s="1" t="s">
        <v>40</v>
      </c>
      <c r="D707" s="1" t="s">
        <v>41</v>
      </c>
      <c r="E707" s="3">
        <v>2175000</v>
      </c>
      <c r="F707" s="1">
        <v>1977.27272727272</v>
      </c>
      <c r="G707" s="1">
        <v>4</v>
      </c>
      <c r="H707" s="1">
        <v>1</v>
      </c>
      <c r="I707" s="1">
        <v>2</v>
      </c>
      <c r="J707" s="1">
        <v>1.5</v>
      </c>
      <c r="K707" s="1">
        <v>1</v>
      </c>
      <c r="L707" s="1">
        <v>1</v>
      </c>
      <c r="M707" s="4">
        <v>1100</v>
      </c>
      <c r="N707" s="1">
        <v>1536</v>
      </c>
      <c r="O707" s="1">
        <v>3381</v>
      </c>
      <c r="P707" s="1">
        <v>1845</v>
      </c>
      <c r="Q707" s="1" t="s">
        <v>42</v>
      </c>
      <c r="S707" s="1" t="s">
        <v>42</v>
      </c>
      <c r="T707" s="1" t="s">
        <v>228</v>
      </c>
      <c r="U707" s="1">
        <v>11</v>
      </c>
      <c r="V707" s="5">
        <v>44427</v>
      </c>
      <c r="W707" s="5">
        <v>44107</v>
      </c>
      <c r="X707" s="1">
        <v>2175000</v>
      </c>
      <c r="Z707" s="5">
        <v>44119</v>
      </c>
      <c r="AB707" s="1" t="s">
        <v>44</v>
      </c>
      <c r="AF707" s="1">
        <v>10016</v>
      </c>
      <c r="AJ707" s="1">
        <v>2019</v>
      </c>
      <c r="AK707" s="1" t="s">
        <v>46</v>
      </c>
      <c r="AL707" s="1">
        <v>199</v>
      </c>
    </row>
    <row r="708" spans="1:38" x14ac:dyDescent="0.2">
      <c r="A708" s="2" t="str">
        <f>HYPERLINK("https://www.compass.com/listing/15-east-30th-street-unit-21c-manhattan-ny-10016/766049241637690641/","15 E 30th St, Unit 21C")</f>
        <v>15 E 30th St, Unit 21C</v>
      </c>
      <c r="B708" s="2" t="str">
        <f t="shared" si="86"/>
        <v>Madison House</v>
      </c>
      <c r="C708" s="1" t="s">
        <v>40</v>
      </c>
      <c r="D708" s="1" t="s">
        <v>41</v>
      </c>
      <c r="E708" s="3">
        <v>2920000</v>
      </c>
      <c r="F708" s="1">
        <v>2129.8322392414202</v>
      </c>
      <c r="G708" s="1">
        <v>4</v>
      </c>
      <c r="H708" s="1">
        <v>2</v>
      </c>
      <c r="I708" s="1">
        <v>2</v>
      </c>
      <c r="J708" s="1">
        <v>2</v>
      </c>
      <c r="K708" s="1">
        <v>2</v>
      </c>
      <c r="M708" s="4">
        <v>1371</v>
      </c>
      <c r="N708" s="1">
        <v>1914</v>
      </c>
      <c r="O708" s="1">
        <v>4214</v>
      </c>
      <c r="P708" s="1">
        <v>2300</v>
      </c>
      <c r="Q708" s="1" t="s">
        <v>42</v>
      </c>
      <c r="S708" s="1" t="s">
        <v>42</v>
      </c>
      <c r="T708" s="1" t="s">
        <v>228</v>
      </c>
      <c r="U708" s="1">
        <v>35</v>
      </c>
      <c r="V708" s="5">
        <v>44427</v>
      </c>
      <c r="W708" s="5">
        <v>44307</v>
      </c>
      <c r="X708" s="1">
        <v>2920000</v>
      </c>
      <c r="Z708" s="5">
        <v>44342</v>
      </c>
      <c r="AB708" s="1" t="s">
        <v>44</v>
      </c>
      <c r="AF708" s="1">
        <v>10016</v>
      </c>
      <c r="AJ708" s="1">
        <v>2019</v>
      </c>
      <c r="AK708" s="1" t="s">
        <v>46</v>
      </c>
      <c r="AL708" s="1">
        <v>199</v>
      </c>
    </row>
    <row r="709" spans="1:38" x14ac:dyDescent="0.2">
      <c r="A709" s="2" t="str">
        <f>HYPERLINK("https://www.compass.com/listing/15-east-30th-street-unit-27d-manhattan-ny-10016/769671550443438153/","15 E 30th St, Unit 27D")</f>
        <v>15 E 30th St, Unit 27D</v>
      </c>
      <c r="B709" s="2" t="str">
        <f t="shared" si="86"/>
        <v>Madison House</v>
      </c>
      <c r="C709" s="1" t="s">
        <v>40</v>
      </c>
      <c r="D709" s="1" t="s">
        <v>41</v>
      </c>
      <c r="E709" s="3">
        <v>3875000</v>
      </c>
      <c r="F709" s="1">
        <v>2389.0258939580699</v>
      </c>
      <c r="G709" s="1">
        <v>5</v>
      </c>
      <c r="H709" s="1">
        <v>2</v>
      </c>
      <c r="I709" s="1">
        <v>2</v>
      </c>
      <c r="J709" s="1">
        <v>2</v>
      </c>
      <c r="K709" s="1">
        <v>2</v>
      </c>
      <c r="M709" s="4">
        <v>1622</v>
      </c>
      <c r="N709" s="1">
        <v>2265</v>
      </c>
      <c r="O709" s="1">
        <v>4986</v>
      </c>
      <c r="P709" s="1">
        <v>2721</v>
      </c>
      <c r="Q709" s="1" t="s">
        <v>42</v>
      </c>
      <c r="S709" s="1" t="s">
        <v>42</v>
      </c>
      <c r="T709" s="1" t="s">
        <v>228</v>
      </c>
      <c r="V709" s="5">
        <v>44427</v>
      </c>
      <c r="W709" s="5">
        <v>44313</v>
      </c>
      <c r="X709" s="1">
        <v>3875000</v>
      </c>
      <c r="Z709" s="5">
        <v>44314</v>
      </c>
      <c r="AB709" s="1" t="s">
        <v>44</v>
      </c>
      <c r="AF709" s="1">
        <v>10016</v>
      </c>
      <c r="AJ709" s="1">
        <v>2019</v>
      </c>
      <c r="AK709" s="1" t="s">
        <v>46</v>
      </c>
      <c r="AL709" s="1">
        <v>199</v>
      </c>
    </row>
    <row r="710" spans="1:38" x14ac:dyDescent="0.2">
      <c r="A710" s="2" t="str">
        <f>HYPERLINK("https://www.compass.com/listing/15-east-30th-street-unit-32b-manhattan-ny-10016/562072672136486273/","15 E 30th St, Unit 32B")</f>
        <v>15 E 30th St, Unit 32B</v>
      </c>
      <c r="B710" s="2" t="str">
        <f t="shared" si="86"/>
        <v>Madison House</v>
      </c>
      <c r="C710" s="1" t="s">
        <v>40</v>
      </c>
      <c r="D710" s="1" t="s">
        <v>41</v>
      </c>
      <c r="E710" s="3">
        <v>2125000</v>
      </c>
      <c r="F710" s="1">
        <v>1892.25289403383</v>
      </c>
      <c r="G710" s="1">
        <v>3.5</v>
      </c>
      <c r="H710" s="1">
        <v>1</v>
      </c>
      <c r="I710" s="1">
        <v>3</v>
      </c>
      <c r="J710" s="1">
        <v>2.5</v>
      </c>
      <c r="K710" s="1">
        <v>2</v>
      </c>
      <c r="L710" s="1">
        <v>1</v>
      </c>
      <c r="M710" s="4">
        <v>1123</v>
      </c>
      <c r="N710" s="1">
        <v>1568</v>
      </c>
      <c r="O710" s="1">
        <v>3452</v>
      </c>
      <c r="P710" s="1">
        <v>1884</v>
      </c>
      <c r="Q710" s="1" t="s">
        <v>42</v>
      </c>
      <c r="S710" s="1" t="s">
        <v>42</v>
      </c>
      <c r="T710" s="1" t="s">
        <v>228</v>
      </c>
      <c r="U710" s="1">
        <v>136</v>
      </c>
      <c r="V710" s="5">
        <v>44427</v>
      </c>
      <c r="W710" s="5">
        <v>43797</v>
      </c>
      <c r="X710" s="1">
        <v>2125000</v>
      </c>
      <c r="Z710" s="5">
        <v>44027</v>
      </c>
      <c r="AB710" s="1" t="s">
        <v>44</v>
      </c>
      <c r="AF710" s="1">
        <v>10016</v>
      </c>
      <c r="AJ710" s="1">
        <v>2019</v>
      </c>
      <c r="AK710" s="1" t="s">
        <v>46</v>
      </c>
      <c r="AL710" s="1">
        <v>199</v>
      </c>
    </row>
    <row r="711" spans="1:38" x14ac:dyDescent="0.2">
      <c r="A711" s="2" t="str">
        <f>HYPERLINK("https://www.compass.com/listing/15-east-30th-street-unit-17c-manhattan-ny-10016/734811466405231225/","15 E 30th St, Unit 17C")</f>
        <v>15 E 30th St, Unit 17C</v>
      </c>
      <c r="B711" s="2" t="str">
        <f t="shared" si="86"/>
        <v>Madison House</v>
      </c>
      <c r="C711" s="1" t="s">
        <v>40</v>
      </c>
      <c r="D711" s="1" t="s">
        <v>41</v>
      </c>
      <c r="E711" s="3">
        <v>2800000</v>
      </c>
      <c r="F711" s="1">
        <v>2042.3048869438301</v>
      </c>
      <c r="G711" s="1">
        <v>5</v>
      </c>
      <c r="H711" s="1">
        <v>2</v>
      </c>
      <c r="I711" s="1">
        <v>2</v>
      </c>
      <c r="J711" s="1">
        <v>2</v>
      </c>
      <c r="K711" s="1">
        <v>2</v>
      </c>
      <c r="M711" s="4">
        <v>1371</v>
      </c>
      <c r="N711" s="1">
        <v>1914</v>
      </c>
      <c r="O711" s="1">
        <v>4214</v>
      </c>
      <c r="P711" s="1">
        <v>2300</v>
      </c>
      <c r="Q711" s="1" t="s">
        <v>42</v>
      </c>
      <c r="S711" s="1" t="s">
        <v>42</v>
      </c>
      <c r="T711" s="1" t="s">
        <v>228</v>
      </c>
      <c r="V711" s="5">
        <v>44427</v>
      </c>
      <c r="W711" s="5">
        <v>44264</v>
      </c>
      <c r="X711" s="1">
        <v>2800000</v>
      </c>
      <c r="Z711" s="5">
        <v>44264</v>
      </c>
      <c r="AB711" s="1" t="s">
        <v>44</v>
      </c>
      <c r="AF711" s="1">
        <v>10016</v>
      </c>
      <c r="AI711" s="1" t="s">
        <v>101</v>
      </c>
      <c r="AJ711" s="1">
        <v>2019</v>
      </c>
      <c r="AK711" s="1" t="s">
        <v>46</v>
      </c>
      <c r="AL711" s="1">
        <v>199</v>
      </c>
    </row>
    <row r="712" spans="1:38" x14ac:dyDescent="0.2">
      <c r="A712" s="2" t="str">
        <f>HYPERLINK("https://www.compass.com/listing/15-east-30th-street-unit-23c-manhattan-ny-10016/664225120099733697/","15 E 30th St, Unit 23C")</f>
        <v>15 E 30th St, Unit 23C</v>
      </c>
      <c r="B712" s="2" t="str">
        <f t="shared" si="86"/>
        <v>Madison House</v>
      </c>
      <c r="C712" s="1" t="s">
        <v>40</v>
      </c>
      <c r="D712" s="1" t="s">
        <v>41</v>
      </c>
      <c r="E712" s="3">
        <v>2805000</v>
      </c>
      <c r="F712" s="1">
        <v>2045.95185995623</v>
      </c>
      <c r="G712" s="1">
        <v>5</v>
      </c>
      <c r="H712" s="1">
        <v>2</v>
      </c>
      <c r="I712" s="1">
        <v>2</v>
      </c>
      <c r="J712" s="1">
        <v>2</v>
      </c>
      <c r="K712" s="1">
        <v>2</v>
      </c>
      <c r="M712" s="4">
        <v>1371</v>
      </c>
      <c r="N712" s="1">
        <v>1914</v>
      </c>
      <c r="O712" s="1">
        <v>4214</v>
      </c>
      <c r="P712" s="1">
        <v>2300</v>
      </c>
      <c r="Q712" s="1" t="s">
        <v>42</v>
      </c>
      <c r="S712" s="1" t="s">
        <v>42</v>
      </c>
      <c r="T712" s="1" t="s">
        <v>228</v>
      </c>
      <c r="U712" s="1">
        <v>19</v>
      </c>
      <c r="V712" s="5">
        <v>44427</v>
      </c>
      <c r="W712" s="5">
        <v>44149</v>
      </c>
      <c r="X712" s="1">
        <v>2805000</v>
      </c>
      <c r="Z712" s="5">
        <v>44168</v>
      </c>
      <c r="AB712" s="1" t="s">
        <v>44</v>
      </c>
      <c r="AF712" s="1">
        <v>10016</v>
      </c>
      <c r="AJ712" s="1">
        <v>2019</v>
      </c>
      <c r="AK712" s="1" t="s">
        <v>46</v>
      </c>
      <c r="AL712" s="1">
        <v>199</v>
      </c>
    </row>
    <row r="713" spans="1:38" x14ac:dyDescent="0.2">
      <c r="A713" s="2" t="str">
        <f>HYPERLINK("https://www.compass.com/listing/15-east-30th-street-unit-29b-manhattan-ny-10016/797699117646149425/","15 E 30th St, Unit 29B")</f>
        <v>15 E 30th St, Unit 29B</v>
      </c>
      <c r="B713" s="2" t="str">
        <f t="shared" si="86"/>
        <v>Madison House</v>
      </c>
      <c r="C713" s="1" t="s">
        <v>40</v>
      </c>
      <c r="D713" s="1" t="s">
        <v>41</v>
      </c>
      <c r="E713" s="3">
        <v>3025000</v>
      </c>
      <c r="F713" s="1">
        <v>2368.8332028190998</v>
      </c>
      <c r="G713" s="1">
        <v>5</v>
      </c>
      <c r="H713" s="1">
        <v>2</v>
      </c>
      <c r="I713" s="1">
        <v>2</v>
      </c>
      <c r="J713" s="1">
        <v>2</v>
      </c>
      <c r="K713" s="1">
        <v>2</v>
      </c>
      <c r="M713" s="4">
        <v>1277</v>
      </c>
      <c r="N713" s="1">
        <v>1783</v>
      </c>
      <c r="O713" s="1">
        <v>3925</v>
      </c>
      <c r="P713" s="1">
        <v>2142</v>
      </c>
      <c r="Q713" s="1" t="s">
        <v>42</v>
      </c>
      <c r="S713" s="1" t="s">
        <v>42</v>
      </c>
      <c r="T713" s="1" t="s">
        <v>228</v>
      </c>
      <c r="U713" s="1">
        <v>478</v>
      </c>
      <c r="V713" s="5">
        <v>44427</v>
      </c>
      <c r="W713" s="5">
        <v>43714</v>
      </c>
      <c r="X713" s="1">
        <v>3025000</v>
      </c>
      <c r="Z713" s="5">
        <v>44287</v>
      </c>
      <c r="AB713" s="1" t="s">
        <v>44</v>
      </c>
      <c r="AF713" s="1">
        <v>10016</v>
      </c>
      <c r="AI713" s="1" t="s">
        <v>101</v>
      </c>
      <c r="AJ713" s="1">
        <v>2019</v>
      </c>
      <c r="AK713" s="1" t="s">
        <v>46</v>
      </c>
      <c r="AL713" s="1">
        <v>199</v>
      </c>
    </row>
    <row r="714" spans="1:38" x14ac:dyDescent="0.2">
      <c r="A714" s="2" t="str">
        <f>HYPERLINK("https://www.compass.com/listing/15-east-30th-street-unit-18c-manhattan-ny-10016/801620341977335417/","15 E 30th St, Unit 18C")</f>
        <v>15 E 30th St, Unit 18C</v>
      </c>
      <c r="B714" s="2" t="str">
        <f t="shared" si="86"/>
        <v>Madison House</v>
      </c>
      <c r="C714" s="1" t="s">
        <v>40</v>
      </c>
      <c r="D714" s="1" t="s">
        <v>41</v>
      </c>
      <c r="E714" s="3">
        <v>2830000</v>
      </c>
      <c r="F714" s="1">
        <v>2064.1867250182299</v>
      </c>
      <c r="G714" s="1">
        <v>4</v>
      </c>
      <c r="H714" s="1">
        <v>2</v>
      </c>
      <c r="I714" s="1">
        <v>2</v>
      </c>
      <c r="J714" s="1">
        <v>2</v>
      </c>
      <c r="K714" s="1">
        <v>2</v>
      </c>
      <c r="M714" s="4">
        <v>1371</v>
      </c>
      <c r="N714" s="1">
        <v>1914</v>
      </c>
      <c r="O714" s="1">
        <v>4214</v>
      </c>
      <c r="P714" s="1">
        <v>2300</v>
      </c>
      <c r="Q714" s="1" t="s">
        <v>42</v>
      </c>
      <c r="S714" s="1" t="s">
        <v>42</v>
      </c>
      <c r="T714" s="1" t="s">
        <v>228</v>
      </c>
      <c r="U714" s="1">
        <v>499</v>
      </c>
      <c r="V714" s="5">
        <v>44427</v>
      </c>
      <c r="W714" s="5">
        <v>43714</v>
      </c>
      <c r="X714" s="1">
        <v>2830000</v>
      </c>
      <c r="Z714" s="5">
        <v>44307</v>
      </c>
      <c r="AB714" s="1" t="s">
        <v>44</v>
      </c>
      <c r="AF714" s="1">
        <v>10016</v>
      </c>
      <c r="AJ714" s="1">
        <v>2019</v>
      </c>
      <c r="AK714" s="1" t="s">
        <v>46</v>
      </c>
      <c r="AL714" s="1">
        <v>199</v>
      </c>
    </row>
    <row r="715" spans="1:38" x14ac:dyDescent="0.2">
      <c r="A715" s="2" t="str">
        <f>HYPERLINK("https://www.compass.com/listing/15-east-30th-street-unit-28c-manhattan-ny-10016/628327474943852393/","15 E 30th St, Unit 28C")</f>
        <v>15 E 30th St, Unit 28C</v>
      </c>
      <c r="B715" s="2" t="str">
        <f t="shared" si="86"/>
        <v>Madison House</v>
      </c>
      <c r="C715" s="1" t="s">
        <v>40</v>
      </c>
      <c r="D715" s="1" t="s">
        <v>41</v>
      </c>
      <c r="E715" s="3">
        <v>2955000</v>
      </c>
      <c r="F715" s="1">
        <v>2155.3610503282198</v>
      </c>
      <c r="G715" s="1">
        <v>5</v>
      </c>
      <c r="H715" s="1">
        <v>2</v>
      </c>
      <c r="I715" s="1">
        <v>2</v>
      </c>
      <c r="J715" s="1">
        <v>2</v>
      </c>
      <c r="K715" s="1">
        <v>2</v>
      </c>
      <c r="M715" s="4">
        <v>1371</v>
      </c>
      <c r="N715" s="1">
        <v>1914</v>
      </c>
      <c r="O715" s="1">
        <v>4214</v>
      </c>
      <c r="P715" s="1">
        <v>2300</v>
      </c>
      <c r="Q715" s="1" t="s">
        <v>42</v>
      </c>
      <c r="S715" s="1" t="s">
        <v>42</v>
      </c>
      <c r="T715" s="1" t="s">
        <v>228</v>
      </c>
      <c r="U715" s="1">
        <v>12</v>
      </c>
      <c r="V715" s="5">
        <v>44427</v>
      </c>
      <c r="W715" s="5">
        <v>44106</v>
      </c>
      <c r="X715" s="1">
        <v>2955000</v>
      </c>
      <c r="Z715" s="5">
        <v>44119</v>
      </c>
      <c r="AB715" s="1" t="s">
        <v>44</v>
      </c>
      <c r="AF715" s="1">
        <v>10016</v>
      </c>
      <c r="AJ715" s="1">
        <v>2019</v>
      </c>
      <c r="AK715" s="1" t="s">
        <v>46</v>
      </c>
      <c r="AL715" s="1">
        <v>199</v>
      </c>
    </row>
    <row r="716" spans="1:38" x14ac:dyDescent="0.2">
      <c r="A716" s="2" t="str">
        <f>HYPERLINK("https://www.compass.com/listing/15-east-30th-street-unit-26c-manhattan-ny-10016/562072574123872817/","15 E 30th St, Unit 26C")</f>
        <v>15 E 30th St, Unit 26C</v>
      </c>
      <c r="B716" s="2" t="str">
        <f t="shared" si="86"/>
        <v>Madison House</v>
      </c>
      <c r="C716" s="1" t="s">
        <v>40</v>
      </c>
      <c r="D716" s="1" t="s">
        <v>41</v>
      </c>
      <c r="E716" s="3">
        <v>2895000</v>
      </c>
      <c r="F716" s="1">
        <v>2111.5973741794301</v>
      </c>
      <c r="G716" s="1">
        <v>5</v>
      </c>
      <c r="H716" s="1">
        <v>2</v>
      </c>
      <c r="I716" s="1">
        <v>2</v>
      </c>
      <c r="J716" s="1">
        <v>2</v>
      </c>
      <c r="K716" s="1">
        <v>2</v>
      </c>
      <c r="M716" s="4">
        <v>1371</v>
      </c>
      <c r="N716" s="1">
        <v>1914</v>
      </c>
      <c r="O716" s="1">
        <v>4214</v>
      </c>
      <c r="P716" s="1">
        <v>2300</v>
      </c>
      <c r="Q716" s="1" t="s">
        <v>42</v>
      </c>
      <c r="S716" s="1" t="s">
        <v>42</v>
      </c>
      <c r="T716" s="1" t="s">
        <v>228</v>
      </c>
      <c r="U716" s="1">
        <v>53</v>
      </c>
      <c r="V716" s="5">
        <v>44427</v>
      </c>
      <c r="W716" s="5">
        <v>43880</v>
      </c>
      <c r="X716" s="1">
        <v>2895000</v>
      </c>
      <c r="Z716" s="5">
        <v>44027</v>
      </c>
      <c r="AB716" s="1" t="s">
        <v>44</v>
      </c>
      <c r="AF716" s="1">
        <v>10016</v>
      </c>
      <c r="AJ716" s="1">
        <v>2019</v>
      </c>
      <c r="AK716" s="1" t="s">
        <v>46</v>
      </c>
      <c r="AL716" s="1">
        <v>199</v>
      </c>
    </row>
    <row r="717" spans="1:38" x14ac:dyDescent="0.2">
      <c r="A717" s="2" t="str">
        <f>HYPERLINK("https://www.compass.com/listing/15-east-30th-street-unit-30b-manhattan-ny-10016/562072620404124769/","15 E 30th St, Unit 30B")</f>
        <v>15 E 30th St, Unit 30B</v>
      </c>
      <c r="B717" s="2" t="str">
        <f t="shared" si="86"/>
        <v>Madison House</v>
      </c>
      <c r="C717" s="1" t="s">
        <v>40</v>
      </c>
      <c r="D717" s="1" t="s">
        <v>41</v>
      </c>
      <c r="E717" s="3">
        <v>2950000</v>
      </c>
      <c r="F717" s="1">
        <v>2310.1018010963098</v>
      </c>
      <c r="G717" s="1">
        <v>5</v>
      </c>
      <c r="H717" s="1">
        <v>2</v>
      </c>
      <c r="I717" s="1">
        <v>2</v>
      </c>
      <c r="J717" s="1">
        <v>2</v>
      </c>
      <c r="K717" s="1">
        <v>2</v>
      </c>
      <c r="M717" s="4">
        <v>1277</v>
      </c>
      <c r="N717" s="1">
        <v>1783</v>
      </c>
      <c r="O717" s="1">
        <v>3925</v>
      </c>
      <c r="P717" s="1">
        <v>2142</v>
      </c>
      <c r="Q717" s="1" t="s">
        <v>42</v>
      </c>
      <c r="S717" s="1" t="s">
        <v>42</v>
      </c>
      <c r="T717" s="1" t="s">
        <v>228</v>
      </c>
      <c r="U717" s="1">
        <v>197</v>
      </c>
      <c r="V717" s="5">
        <v>44427</v>
      </c>
      <c r="W717" s="5">
        <v>43736</v>
      </c>
      <c r="X717" s="1">
        <v>2950000</v>
      </c>
      <c r="Z717" s="5">
        <v>44027</v>
      </c>
      <c r="AB717" s="1" t="s">
        <v>44</v>
      </c>
      <c r="AF717" s="1">
        <v>10016</v>
      </c>
      <c r="AJ717" s="1">
        <v>2019</v>
      </c>
      <c r="AK717" s="1" t="s">
        <v>46</v>
      </c>
      <c r="AL717" s="1">
        <v>199</v>
      </c>
    </row>
    <row r="718" spans="1:38" x14ac:dyDescent="0.2">
      <c r="A718" s="2" t="str">
        <f>HYPERLINK("https://www.compass.com/listing/15-east-30th-street-unit-52b-manhattan-ny-10016/649035042017415009/","15 E 30th St, Unit 52B")</f>
        <v>15 E 30th St, Unit 52B</v>
      </c>
      <c r="B718" s="2" t="str">
        <f t="shared" si="86"/>
        <v>Madison House</v>
      </c>
      <c r="C718" s="1" t="s">
        <v>40</v>
      </c>
      <c r="D718" s="1" t="s">
        <v>41</v>
      </c>
      <c r="E718" s="3">
        <v>5750000</v>
      </c>
      <c r="F718" s="1">
        <v>2835.3057199210998</v>
      </c>
      <c r="G718" s="1">
        <v>5</v>
      </c>
      <c r="H718" s="1">
        <v>2</v>
      </c>
      <c r="I718" s="1">
        <v>3</v>
      </c>
      <c r="J718" s="1">
        <v>2.5</v>
      </c>
      <c r="K718" s="1">
        <v>2</v>
      </c>
      <c r="L718" s="1">
        <v>1</v>
      </c>
      <c r="M718" s="4">
        <v>2028</v>
      </c>
      <c r="N718" s="1">
        <v>2832</v>
      </c>
      <c r="O718" s="1">
        <v>6234</v>
      </c>
      <c r="P718" s="1">
        <v>3402</v>
      </c>
      <c r="Q718" s="1" t="s">
        <v>42</v>
      </c>
      <c r="S718" s="1" t="s">
        <v>42</v>
      </c>
      <c r="T718" s="1" t="s">
        <v>228</v>
      </c>
      <c r="U718" s="1">
        <v>27</v>
      </c>
      <c r="V718" s="5">
        <v>44427</v>
      </c>
      <c r="W718" s="5">
        <v>44140</v>
      </c>
      <c r="X718" s="1">
        <v>5750000</v>
      </c>
      <c r="Z718" s="5">
        <v>44167</v>
      </c>
      <c r="AB718" s="1" t="s">
        <v>44</v>
      </c>
      <c r="AF718" s="1">
        <v>10016</v>
      </c>
      <c r="AJ718" s="1">
        <v>2019</v>
      </c>
      <c r="AK718" s="1" t="s">
        <v>46</v>
      </c>
      <c r="AL718" s="1">
        <v>199</v>
      </c>
    </row>
    <row r="719" spans="1:38" x14ac:dyDescent="0.2">
      <c r="A719" s="2" t="str">
        <f>HYPERLINK("https://www.compass.com/listing/15-east-30th-street-unit-47a-manhattan-ny-10016/623939205304827129/","15 E 30th St, Unit 47A")</f>
        <v>15 E 30th St, Unit 47A</v>
      </c>
      <c r="B719" s="2" t="str">
        <f t="shared" si="86"/>
        <v>Madison House</v>
      </c>
      <c r="C719" s="1" t="s">
        <v>40</v>
      </c>
      <c r="D719" s="1" t="s">
        <v>41</v>
      </c>
      <c r="E719" s="3">
        <v>4650000</v>
      </c>
      <c r="F719" s="1">
        <v>2816.47486371895</v>
      </c>
      <c r="G719" s="1">
        <v>6.5</v>
      </c>
      <c r="H719" s="1">
        <v>2</v>
      </c>
      <c r="I719" s="1">
        <v>3</v>
      </c>
      <c r="J719" s="1">
        <v>2.5</v>
      </c>
      <c r="K719" s="1">
        <v>2</v>
      </c>
      <c r="L719" s="1">
        <v>1</v>
      </c>
      <c r="M719" s="4">
        <v>1651</v>
      </c>
      <c r="N719" s="1">
        <v>2305</v>
      </c>
      <c r="O719" s="1">
        <v>5074</v>
      </c>
      <c r="P719" s="1">
        <v>2769</v>
      </c>
      <c r="Q719" s="1" t="s">
        <v>42</v>
      </c>
      <c r="S719" s="1" t="s">
        <v>42</v>
      </c>
      <c r="T719" s="1" t="s">
        <v>228</v>
      </c>
      <c r="U719" s="1">
        <v>218</v>
      </c>
      <c r="V719" s="5">
        <v>44427</v>
      </c>
      <c r="W719" s="5">
        <v>44112</v>
      </c>
      <c r="X719" s="1">
        <v>4650000</v>
      </c>
      <c r="Z719" s="5">
        <v>44331</v>
      </c>
      <c r="AB719" s="1" t="s">
        <v>44</v>
      </c>
      <c r="AF719" s="1">
        <v>10016</v>
      </c>
      <c r="AJ719" s="1">
        <v>2019</v>
      </c>
      <c r="AK719" s="1" t="s">
        <v>46</v>
      </c>
      <c r="AL719" s="1">
        <v>199</v>
      </c>
    </row>
    <row r="720" spans="1:38" x14ac:dyDescent="0.2">
      <c r="A720" s="2" t="str">
        <f>HYPERLINK("https://www.compass.com/listing/15-east-30th-street-unit-32d-manhattan-ny-10016/751408930749605929/","15 E 30th St, Unit 32D")</f>
        <v>15 E 30th St, Unit 32D</v>
      </c>
      <c r="B720" s="2" t="str">
        <f t="shared" si="86"/>
        <v>Madison House</v>
      </c>
      <c r="C720" s="1" t="s">
        <v>40</v>
      </c>
      <c r="D720" s="1" t="s">
        <v>41</v>
      </c>
      <c r="E720" s="3">
        <v>4100000</v>
      </c>
      <c r="F720" s="1">
        <v>2449.2234169653502</v>
      </c>
      <c r="G720" s="1">
        <v>6.5</v>
      </c>
      <c r="H720" s="1">
        <v>2</v>
      </c>
      <c r="I720" s="1">
        <v>3</v>
      </c>
      <c r="J720" s="1">
        <v>2.5</v>
      </c>
      <c r="K720" s="1">
        <v>2</v>
      </c>
      <c r="L720" s="1">
        <v>1</v>
      </c>
      <c r="M720" s="4">
        <v>1674</v>
      </c>
      <c r="N720" s="1">
        <v>2337</v>
      </c>
      <c r="O720" s="1">
        <v>5145</v>
      </c>
      <c r="P720" s="1">
        <v>2808</v>
      </c>
      <c r="Q720" s="1" t="s">
        <v>42</v>
      </c>
      <c r="S720" s="1" t="s">
        <v>42</v>
      </c>
      <c r="T720" s="1" t="s">
        <v>228</v>
      </c>
      <c r="U720" s="1">
        <v>176</v>
      </c>
      <c r="V720" s="5">
        <v>44427</v>
      </c>
      <c r="W720" s="5">
        <v>44112</v>
      </c>
      <c r="X720" s="1">
        <v>4100000</v>
      </c>
      <c r="Z720" s="5">
        <v>44289</v>
      </c>
      <c r="AB720" s="1" t="s">
        <v>44</v>
      </c>
      <c r="AF720" s="1">
        <v>10016</v>
      </c>
      <c r="AJ720" s="1">
        <v>2019</v>
      </c>
      <c r="AK720" s="1" t="s">
        <v>46</v>
      </c>
      <c r="AL720" s="1">
        <v>199</v>
      </c>
    </row>
    <row r="721" spans="1:38" x14ac:dyDescent="0.2">
      <c r="A721" s="2" t="str">
        <f>HYPERLINK("https://www.compass.com/listing/15-east-30th-street-unit-52a-manhattan-ny-10016/398559573657648545/","15 E 30th St, Unit 52A")</f>
        <v>15 E 30th St, Unit 52A</v>
      </c>
      <c r="B721" s="2" t="str">
        <f t="shared" si="86"/>
        <v>Madison House</v>
      </c>
      <c r="C721" s="1" t="s">
        <v>40</v>
      </c>
      <c r="D721" s="1" t="s">
        <v>41</v>
      </c>
      <c r="E721" s="3">
        <v>7250000</v>
      </c>
      <c r="F721" s="1">
        <v>2917.5050301810802</v>
      </c>
      <c r="G721" s="1">
        <v>6.5</v>
      </c>
      <c r="H721" s="1">
        <v>3</v>
      </c>
      <c r="I721" s="1">
        <v>4</v>
      </c>
      <c r="J721" s="1">
        <v>3.5</v>
      </c>
      <c r="K721" s="1">
        <v>3</v>
      </c>
      <c r="L721" s="1">
        <v>1</v>
      </c>
      <c r="M721" s="4">
        <v>2485</v>
      </c>
      <c r="N721" s="1">
        <v>3470</v>
      </c>
      <c r="O721" s="1">
        <v>7638</v>
      </c>
      <c r="P721" s="1">
        <v>4168</v>
      </c>
      <c r="Q721" s="1" t="s">
        <v>42</v>
      </c>
      <c r="S721" s="1" t="s">
        <v>42</v>
      </c>
      <c r="T721" s="1" t="s">
        <v>228</v>
      </c>
      <c r="U721" s="1">
        <v>281</v>
      </c>
      <c r="V721" s="5">
        <v>44427</v>
      </c>
      <c r="W721" s="5">
        <v>43801</v>
      </c>
      <c r="X721" s="1">
        <v>7250000</v>
      </c>
      <c r="Z721" s="5">
        <v>44177</v>
      </c>
      <c r="AB721" s="1" t="s">
        <v>44</v>
      </c>
      <c r="AF721" s="1">
        <v>10016</v>
      </c>
      <c r="AJ721" s="1">
        <v>2019</v>
      </c>
      <c r="AK721" s="1" t="s">
        <v>46</v>
      </c>
      <c r="AL721" s="1">
        <v>199</v>
      </c>
    </row>
    <row r="722" spans="1:38" x14ac:dyDescent="0.2">
      <c r="A722" s="2" t="str">
        <f>HYPERLINK("https://www.compass.com/listing/15-east-30th-street-unit-19d-manhattan-ny-10016/398559575107416209/","15 E 30th St, Unit 19D")</f>
        <v>15 E 30th St, Unit 19D</v>
      </c>
      <c r="B722" s="2" t="str">
        <f t="shared" si="86"/>
        <v>Madison House</v>
      </c>
      <c r="C722" s="1" t="s">
        <v>40</v>
      </c>
      <c r="D722" s="1" t="s">
        <v>41</v>
      </c>
      <c r="E722" s="3">
        <v>3475000</v>
      </c>
      <c r="F722" s="1">
        <v>2142.4167694204598</v>
      </c>
      <c r="G722" s="1">
        <v>6.5</v>
      </c>
      <c r="H722" s="1">
        <v>2</v>
      </c>
      <c r="I722" s="1">
        <v>3</v>
      </c>
      <c r="J722" s="1">
        <v>2.5</v>
      </c>
      <c r="K722" s="1">
        <v>2</v>
      </c>
      <c r="L722" s="1">
        <v>1</v>
      </c>
      <c r="M722" s="4">
        <v>1622</v>
      </c>
      <c r="N722" s="1">
        <v>2265</v>
      </c>
      <c r="O722" s="1">
        <v>4986</v>
      </c>
      <c r="P722" s="1">
        <v>2721</v>
      </c>
      <c r="Q722" s="1" t="s">
        <v>42</v>
      </c>
      <c r="S722" s="1" t="s">
        <v>42</v>
      </c>
      <c r="T722" s="1" t="s">
        <v>228</v>
      </c>
      <c r="V722" s="5">
        <v>44427</v>
      </c>
      <c r="W722" s="5">
        <v>43801</v>
      </c>
      <c r="X722" s="1">
        <v>3475000</v>
      </c>
      <c r="Z722" s="5">
        <v>43801</v>
      </c>
      <c r="AB722" s="1" t="s">
        <v>44</v>
      </c>
      <c r="AF722" s="1">
        <v>10016</v>
      </c>
      <c r="AJ722" s="1">
        <v>2019</v>
      </c>
      <c r="AK722" s="1" t="s">
        <v>46</v>
      </c>
      <c r="AL722" s="1">
        <v>199</v>
      </c>
    </row>
    <row r="723" spans="1:38" x14ac:dyDescent="0.2">
      <c r="A723" s="2" t="str">
        <f>HYPERLINK("https://www.compass.com/listing/15-east-30th-street-unit-29d-manhattan-ny-10016/562072672119896657/","15 E 30th St, Unit 29D")</f>
        <v>15 E 30th St, Unit 29D</v>
      </c>
      <c r="B723" s="2" t="str">
        <f t="shared" si="86"/>
        <v>Madison House</v>
      </c>
      <c r="C723" s="1" t="s">
        <v>40</v>
      </c>
      <c r="D723" s="1" t="s">
        <v>41</v>
      </c>
      <c r="E723" s="3">
        <v>3975000</v>
      </c>
      <c r="F723" s="1">
        <v>2450.6781750924702</v>
      </c>
      <c r="G723" s="1">
        <v>5.5</v>
      </c>
      <c r="H723" s="1">
        <v>2</v>
      </c>
      <c r="I723" s="1">
        <v>3</v>
      </c>
      <c r="J723" s="1">
        <v>2.5</v>
      </c>
      <c r="K723" s="1">
        <v>2</v>
      </c>
      <c r="L723" s="1">
        <v>1</v>
      </c>
      <c r="M723" s="4">
        <v>1622</v>
      </c>
      <c r="N723" s="1">
        <v>2265</v>
      </c>
      <c r="O723" s="1">
        <v>4986</v>
      </c>
      <c r="P723" s="1">
        <v>2721</v>
      </c>
      <c r="Q723" s="1" t="s">
        <v>42</v>
      </c>
      <c r="S723" s="1" t="s">
        <v>42</v>
      </c>
      <c r="T723" s="1" t="s">
        <v>228</v>
      </c>
      <c r="U723" s="1">
        <v>84</v>
      </c>
      <c r="V723" s="5">
        <v>44427</v>
      </c>
      <c r="W723" s="5">
        <v>43849</v>
      </c>
      <c r="X723" s="1">
        <v>3975000</v>
      </c>
      <c r="Z723" s="5">
        <v>44027</v>
      </c>
      <c r="AB723" s="1" t="s">
        <v>44</v>
      </c>
      <c r="AF723" s="1">
        <v>10016</v>
      </c>
      <c r="AJ723" s="1">
        <v>2019</v>
      </c>
      <c r="AK723" s="1" t="s">
        <v>46</v>
      </c>
      <c r="AL723" s="1">
        <v>199</v>
      </c>
    </row>
    <row r="724" spans="1:38" x14ac:dyDescent="0.2">
      <c r="A724" s="2" t="str">
        <f>HYPERLINK("https://www.compass.com/listing/15-east-30th-street-unit-24d-manhattan-ny-10016/562072699055718225/","15 E 30th St, Unit 24D")</f>
        <v>15 E 30th St, Unit 24D</v>
      </c>
      <c r="B724" s="2" t="str">
        <f t="shared" si="86"/>
        <v>Madison House</v>
      </c>
      <c r="C724" s="1" t="s">
        <v>40</v>
      </c>
      <c r="D724" s="1" t="s">
        <v>41</v>
      </c>
      <c r="E724" s="3">
        <v>3725000</v>
      </c>
      <c r="F724" s="1">
        <v>2296.54747225647</v>
      </c>
      <c r="G724" s="1">
        <v>5.5</v>
      </c>
      <c r="H724" s="1">
        <v>2</v>
      </c>
      <c r="I724" s="1">
        <v>3</v>
      </c>
      <c r="J724" s="1">
        <v>2.5</v>
      </c>
      <c r="K724" s="1">
        <v>2</v>
      </c>
      <c r="L724" s="1">
        <v>1</v>
      </c>
      <c r="M724" s="4">
        <v>1622</v>
      </c>
      <c r="N724" s="1">
        <v>2265</v>
      </c>
      <c r="O724" s="1">
        <v>4986</v>
      </c>
      <c r="P724" s="1">
        <v>2721</v>
      </c>
      <c r="Q724" s="1" t="s">
        <v>42</v>
      </c>
      <c r="S724" s="1" t="s">
        <v>42</v>
      </c>
      <c r="T724" s="1" t="s">
        <v>228</v>
      </c>
      <c r="U724" s="1">
        <v>102</v>
      </c>
      <c r="V724" s="5">
        <v>44427</v>
      </c>
      <c r="W724" s="5">
        <v>43831</v>
      </c>
      <c r="X724" s="1">
        <v>3725000</v>
      </c>
      <c r="Z724" s="5">
        <v>44027</v>
      </c>
      <c r="AB724" s="1" t="s">
        <v>44</v>
      </c>
      <c r="AF724" s="1">
        <v>10016</v>
      </c>
      <c r="AJ724" s="1">
        <v>2019</v>
      </c>
      <c r="AK724" s="1" t="s">
        <v>46</v>
      </c>
      <c r="AL724" s="1">
        <v>199</v>
      </c>
    </row>
    <row r="725" spans="1:38" x14ac:dyDescent="0.2">
      <c r="A725" s="2" t="str">
        <f>HYPERLINK("https://www.compass.com/listing/15-east-30th-street-unit-47d-manhattan-ny-10016/562271690938420201/","15 E 30th St, Unit 47D")</f>
        <v>15 E 30th St, Unit 47D</v>
      </c>
      <c r="B725" s="2" t="str">
        <f t="shared" si="86"/>
        <v>Madison House</v>
      </c>
      <c r="C725" s="1" t="s">
        <v>40</v>
      </c>
      <c r="D725" s="1" t="s">
        <v>41</v>
      </c>
      <c r="E725" s="3">
        <v>4950000</v>
      </c>
      <c r="F725" s="1">
        <v>2661.2903225806399</v>
      </c>
      <c r="G725" s="1">
        <v>7</v>
      </c>
      <c r="H725" s="1">
        <v>3</v>
      </c>
      <c r="I725" s="1">
        <v>3</v>
      </c>
      <c r="J725" s="1">
        <v>3</v>
      </c>
      <c r="K725" s="1">
        <v>3</v>
      </c>
      <c r="M725" s="4">
        <v>1860</v>
      </c>
      <c r="N725" s="1">
        <v>2597</v>
      </c>
      <c r="O725" s="1">
        <v>5717</v>
      </c>
      <c r="P725" s="1">
        <v>3120</v>
      </c>
      <c r="Q725" s="1" t="s">
        <v>42</v>
      </c>
      <c r="S725" s="1" t="s">
        <v>42</v>
      </c>
      <c r="T725" s="1" t="s">
        <v>228</v>
      </c>
      <c r="U725" s="1">
        <v>43</v>
      </c>
      <c r="V725" s="5">
        <v>44427</v>
      </c>
      <c r="W725" s="5">
        <v>43890</v>
      </c>
      <c r="X725" s="1">
        <v>4950000</v>
      </c>
      <c r="Z725" s="5">
        <v>44028</v>
      </c>
      <c r="AB725" s="1" t="s">
        <v>44</v>
      </c>
      <c r="AF725" s="1">
        <v>10016</v>
      </c>
      <c r="AJ725" s="1">
        <v>2019</v>
      </c>
      <c r="AK725" s="1" t="s">
        <v>46</v>
      </c>
      <c r="AL725" s="1">
        <v>199</v>
      </c>
    </row>
    <row r="726" spans="1:38" x14ac:dyDescent="0.2">
      <c r="A726" s="2" t="str">
        <f>HYPERLINK("https://www.compass.com/listing/15-east-30th-street-unit-21d-manhattan-ny-10016/753660054887783433/","15 E 30th St, Unit 21D")</f>
        <v>15 E 30th St, Unit 21D</v>
      </c>
      <c r="B726" s="2" t="str">
        <f t="shared" si="86"/>
        <v>Madison House</v>
      </c>
      <c r="C726" s="1" t="s">
        <v>40</v>
      </c>
      <c r="D726" s="1" t="s">
        <v>41</v>
      </c>
      <c r="E726" s="3">
        <v>3575000</v>
      </c>
      <c r="F726" s="1">
        <v>2204.06905055487</v>
      </c>
      <c r="G726" s="1">
        <v>5.5</v>
      </c>
      <c r="H726" s="1">
        <v>2</v>
      </c>
      <c r="I726" s="1">
        <v>3</v>
      </c>
      <c r="J726" s="1">
        <v>2.5</v>
      </c>
      <c r="K726" s="1">
        <v>2</v>
      </c>
      <c r="L726" s="1">
        <v>1</v>
      </c>
      <c r="M726" s="4">
        <v>1622</v>
      </c>
      <c r="N726" s="1">
        <v>2265</v>
      </c>
      <c r="O726" s="1">
        <v>4986</v>
      </c>
      <c r="P726" s="1">
        <v>2721</v>
      </c>
      <c r="Q726" s="1" t="s">
        <v>42</v>
      </c>
      <c r="S726" s="1" t="s">
        <v>42</v>
      </c>
      <c r="T726" s="1" t="s">
        <v>228</v>
      </c>
      <c r="U726" s="1">
        <v>514</v>
      </c>
      <c r="V726" s="5">
        <v>44427</v>
      </c>
      <c r="W726" s="5">
        <v>43714</v>
      </c>
      <c r="X726" s="1">
        <v>3575000</v>
      </c>
      <c r="Z726" s="5">
        <v>44323</v>
      </c>
      <c r="AB726" s="1" t="s">
        <v>44</v>
      </c>
      <c r="AF726" s="1">
        <v>10016</v>
      </c>
      <c r="AJ726" s="1">
        <v>2019</v>
      </c>
      <c r="AK726" s="1" t="s">
        <v>46</v>
      </c>
      <c r="AL726" s="1">
        <v>199</v>
      </c>
    </row>
    <row r="727" spans="1:38" x14ac:dyDescent="0.2">
      <c r="A727" s="2" t="str">
        <f>HYPERLINK("https://www.compass.com/listing/15-east-30th-street-unit-20d-manhattan-ny-10016/755104832028171745/","15 E 30th St, Unit 20D")</f>
        <v>15 E 30th St, Unit 20D</v>
      </c>
      <c r="B727" s="2" t="str">
        <f t="shared" si="86"/>
        <v>Madison House</v>
      </c>
      <c r="C727" s="1" t="s">
        <v>40</v>
      </c>
      <c r="D727" s="1" t="s">
        <v>41</v>
      </c>
      <c r="E727" s="3">
        <v>3525000</v>
      </c>
      <c r="F727" s="1">
        <v>2173.2429099876599</v>
      </c>
      <c r="G727" s="1">
        <v>5.5</v>
      </c>
      <c r="H727" s="1">
        <v>2</v>
      </c>
      <c r="I727" s="1">
        <v>3</v>
      </c>
      <c r="J727" s="1">
        <v>2.5</v>
      </c>
      <c r="K727" s="1">
        <v>2</v>
      </c>
      <c r="L727" s="1">
        <v>1</v>
      </c>
      <c r="M727" s="4">
        <v>1622</v>
      </c>
      <c r="N727" s="1">
        <v>2265</v>
      </c>
      <c r="O727" s="1">
        <v>4986</v>
      </c>
      <c r="P727" s="1">
        <v>2721</v>
      </c>
      <c r="Q727" s="1" t="s">
        <v>42</v>
      </c>
      <c r="S727" s="1" t="s">
        <v>42</v>
      </c>
      <c r="T727" s="1" t="s">
        <v>228</v>
      </c>
      <c r="U727" s="1">
        <v>514</v>
      </c>
      <c r="V727" s="5">
        <v>44427</v>
      </c>
      <c r="W727" s="5">
        <v>43714</v>
      </c>
      <c r="X727" s="1">
        <v>3525000</v>
      </c>
      <c r="Z727" s="5">
        <v>44323</v>
      </c>
      <c r="AB727" s="1" t="s">
        <v>44</v>
      </c>
      <c r="AF727" s="1">
        <v>10016</v>
      </c>
      <c r="AJ727" s="1">
        <v>2019</v>
      </c>
      <c r="AK727" s="1" t="s">
        <v>46</v>
      </c>
      <c r="AL727" s="1">
        <v>199</v>
      </c>
    </row>
    <row r="728" spans="1:38" x14ac:dyDescent="0.2">
      <c r="A728" s="2" t="str">
        <f>HYPERLINK("https://www.compass.com/listing/30-east-31st-street-unit-19-manhattan-ny-10016/781254476657549313/","30 E 31st St, Unit 19")</f>
        <v>30 E 31st St, Unit 19</v>
      </c>
      <c r="B728" s="2" t="str">
        <f t="shared" ref="B728:B731" si="87">HYPERLINK("https://www.compass.com/building/30-east-31st-street-manhattan-ny/281939352542566357/","30 East 31st Street")</f>
        <v>30 East 31st Street</v>
      </c>
      <c r="C728" s="1" t="s">
        <v>40</v>
      </c>
      <c r="D728" s="1" t="s">
        <v>41</v>
      </c>
      <c r="E728" s="3">
        <v>3150000</v>
      </c>
      <c r="F728" s="1">
        <v>1878.35420393559</v>
      </c>
      <c r="G728" s="1">
        <v>4</v>
      </c>
      <c r="H728" s="1">
        <v>2</v>
      </c>
      <c r="I728" s="1">
        <v>3</v>
      </c>
      <c r="J728" s="1">
        <v>2.5</v>
      </c>
      <c r="K728" s="1">
        <v>2</v>
      </c>
      <c r="L728" s="1">
        <v>1</v>
      </c>
      <c r="M728" s="4">
        <v>1677</v>
      </c>
      <c r="N728" s="1">
        <v>2509</v>
      </c>
      <c r="O728" s="1">
        <v>2908</v>
      </c>
      <c r="P728" s="1">
        <v>399</v>
      </c>
      <c r="Q728" s="1" t="s">
        <v>42</v>
      </c>
      <c r="S728" s="1" t="s">
        <v>42</v>
      </c>
      <c r="T728" s="1" t="s">
        <v>228</v>
      </c>
      <c r="U728" s="1">
        <v>77</v>
      </c>
      <c r="V728" s="5">
        <v>44427</v>
      </c>
      <c r="W728" s="5">
        <v>43538</v>
      </c>
      <c r="X728" s="1">
        <v>3150000</v>
      </c>
      <c r="Z728" s="5">
        <v>43616</v>
      </c>
      <c r="AB728" s="1" t="s">
        <v>44</v>
      </c>
      <c r="AF728" s="1">
        <v>10016</v>
      </c>
      <c r="AJ728" s="1">
        <v>2018</v>
      </c>
      <c r="AK728" s="1" t="s">
        <v>125</v>
      </c>
      <c r="AL728" s="1">
        <v>42</v>
      </c>
    </row>
    <row r="729" spans="1:38" x14ac:dyDescent="0.2">
      <c r="A729" s="2" t="str">
        <f>HYPERLINK("https://www.compass.com/listing/30-east-31st-street-unit-25-manhattan-ny-10016/689316716501146017/","30 E 31st St, Unit 25")</f>
        <v>30 E 31st St, Unit 25</v>
      </c>
      <c r="B729" s="2" t="str">
        <f t="shared" si="87"/>
        <v>30 East 31st Street</v>
      </c>
      <c r="C729" s="1" t="s">
        <v>40</v>
      </c>
      <c r="D729" s="1" t="s">
        <v>41</v>
      </c>
      <c r="E729" s="3">
        <v>2725000</v>
      </c>
      <c r="F729" s="1">
        <v>1624.92546213476</v>
      </c>
      <c r="G729" s="1">
        <v>4</v>
      </c>
      <c r="H729" s="1">
        <v>2</v>
      </c>
      <c r="I729" s="1">
        <v>3</v>
      </c>
      <c r="J729" s="1">
        <v>2.5</v>
      </c>
      <c r="K729" s="1">
        <v>2</v>
      </c>
      <c r="L729" s="1">
        <v>1</v>
      </c>
      <c r="M729" s="4">
        <v>1677</v>
      </c>
      <c r="N729" s="1">
        <v>2803</v>
      </c>
      <c r="O729" s="1">
        <v>6696</v>
      </c>
      <c r="P729" s="1">
        <v>3893</v>
      </c>
      <c r="Q729" s="1" t="s">
        <v>42</v>
      </c>
      <c r="S729" s="1" t="s">
        <v>42</v>
      </c>
      <c r="T729" s="1" t="s">
        <v>228</v>
      </c>
      <c r="U729" s="1">
        <v>197</v>
      </c>
      <c r="V729" s="5">
        <v>44421</v>
      </c>
      <c r="W729" s="5">
        <v>44202</v>
      </c>
      <c r="X729" s="1">
        <v>2725000</v>
      </c>
      <c r="Z729" s="5">
        <v>44406</v>
      </c>
      <c r="AB729" s="1" t="s">
        <v>44</v>
      </c>
      <c r="AF729" s="1">
        <v>10016</v>
      </c>
      <c r="AJ729" s="1">
        <v>2018</v>
      </c>
      <c r="AK729" s="1" t="s">
        <v>46</v>
      </c>
      <c r="AL729" s="1">
        <v>42</v>
      </c>
    </row>
    <row r="730" spans="1:38" x14ac:dyDescent="0.2">
      <c r="A730" s="2" t="str">
        <f>HYPERLINK("https://www.compass.com/listing/30-east-31st-street-unit-12-manhattan-ny-10016/689521013255912217/","30 E 31st St, Unit 12")</f>
        <v>30 E 31st St, Unit 12</v>
      </c>
      <c r="B730" s="2" t="str">
        <f t="shared" si="87"/>
        <v>30 East 31st Street</v>
      </c>
      <c r="C730" s="1" t="s">
        <v>40</v>
      </c>
      <c r="D730" s="1" t="s">
        <v>41</v>
      </c>
      <c r="E730" s="3">
        <v>2235000</v>
      </c>
      <c r="G730" s="1">
        <v>4</v>
      </c>
      <c r="H730" s="1">
        <v>2</v>
      </c>
      <c r="I730" s="1">
        <v>3</v>
      </c>
      <c r="J730" s="1">
        <v>2.5</v>
      </c>
      <c r="K730" s="1">
        <v>2</v>
      </c>
      <c r="L730" s="1">
        <v>1</v>
      </c>
      <c r="N730" s="1">
        <v>2402.4</v>
      </c>
      <c r="O730" s="1">
        <v>5739.03</v>
      </c>
      <c r="P730" s="1">
        <v>3336.6666666666601</v>
      </c>
      <c r="Q730" s="1" t="s">
        <v>42</v>
      </c>
      <c r="S730" s="1" t="s">
        <v>42</v>
      </c>
      <c r="T730" s="1" t="s">
        <v>228</v>
      </c>
      <c r="U730" s="1">
        <v>197</v>
      </c>
      <c r="V730" s="5">
        <v>44427</v>
      </c>
      <c r="W730" s="5">
        <v>44202</v>
      </c>
      <c r="Z730" s="5">
        <v>44427</v>
      </c>
      <c r="AB730" s="1" t="s">
        <v>44</v>
      </c>
      <c r="AF730" s="1">
        <v>10016</v>
      </c>
      <c r="AJ730" s="1">
        <v>2018</v>
      </c>
      <c r="AK730" s="1" t="s">
        <v>46</v>
      </c>
      <c r="AL730" s="1">
        <v>42</v>
      </c>
    </row>
    <row r="731" spans="1:38" x14ac:dyDescent="0.2">
      <c r="A731" s="2" t="str">
        <f>HYPERLINK("https://www.compass.com/listing/30-east-31st-street-unit-24-manhattan-ny-10016/801631348242644049/","30 E 31st St, Unit 24")</f>
        <v>30 E 31st St, Unit 24</v>
      </c>
      <c r="B731" s="2" t="str">
        <f t="shared" si="87"/>
        <v>30 East 31st Street</v>
      </c>
      <c r="C731" s="1" t="s">
        <v>40</v>
      </c>
      <c r="D731" s="1" t="s">
        <v>41</v>
      </c>
      <c r="E731" s="3">
        <v>2660000</v>
      </c>
      <c r="F731" s="1">
        <v>1586.16577221228</v>
      </c>
      <c r="G731" s="1">
        <v>4</v>
      </c>
      <c r="H731" s="1">
        <v>2</v>
      </c>
      <c r="I731" s="1">
        <v>3</v>
      </c>
      <c r="J731" s="1">
        <v>2.5</v>
      </c>
      <c r="K731" s="1">
        <v>2</v>
      </c>
      <c r="L731" s="1">
        <v>1</v>
      </c>
      <c r="M731" s="4">
        <v>1677</v>
      </c>
      <c r="N731" s="1">
        <v>2747.02</v>
      </c>
      <c r="O731" s="1">
        <v>6425.94</v>
      </c>
      <c r="P731" s="1">
        <v>3678.9166666666601</v>
      </c>
      <c r="Q731" s="1" t="s">
        <v>42</v>
      </c>
      <c r="S731" s="1" t="s">
        <v>42</v>
      </c>
      <c r="T731" s="1" t="s">
        <v>228</v>
      </c>
      <c r="U731" s="1">
        <v>484</v>
      </c>
      <c r="V731" s="5">
        <v>44409</v>
      </c>
      <c r="W731" s="5">
        <v>43630</v>
      </c>
      <c r="X731" s="1">
        <v>3735000</v>
      </c>
      <c r="Z731" s="5">
        <v>44208</v>
      </c>
      <c r="AB731" s="1" t="s">
        <v>44</v>
      </c>
      <c r="AF731" s="1">
        <v>10016</v>
      </c>
      <c r="AJ731" s="1">
        <v>2018</v>
      </c>
      <c r="AK731" s="1" t="s">
        <v>46</v>
      </c>
      <c r="AL731" s="1">
        <v>42</v>
      </c>
    </row>
    <row r="732" spans="1:38" x14ac:dyDescent="0.2">
      <c r="A732" s="2" t="str">
        <f>HYPERLINK("https://www.compass.com/listing/505-513-west-43rd-street-unit-3j-manhattan-ny-10036/29514248816287953/","505-513 W 43rd St, Unit 3J")</f>
        <v>505-513 W 43rd St, Unit 3J</v>
      </c>
      <c r="B732" s="2" t="str">
        <f>HYPERLINK("https://www.compass.com/building/charlie-west-manhattan-ny/292918554372621509/","Charlie West")</f>
        <v>Charlie West</v>
      </c>
      <c r="C732" s="1" t="s">
        <v>90</v>
      </c>
      <c r="D732" s="1" t="s">
        <v>41</v>
      </c>
      <c r="E732" s="3">
        <v>925000</v>
      </c>
      <c r="F732" s="1">
        <v>1838.9662027833001</v>
      </c>
      <c r="G732" s="1">
        <v>2</v>
      </c>
      <c r="H732" s="1" t="s">
        <v>99</v>
      </c>
      <c r="I732" s="1">
        <v>1</v>
      </c>
      <c r="J732" s="1">
        <v>1</v>
      </c>
      <c r="K732" s="1">
        <v>1</v>
      </c>
      <c r="M732" s="1">
        <v>503</v>
      </c>
      <c r="N732" s="1">
        <v>517</v>
      </c>
      <c r="O732" s="1">
        <v>974</v>
      </c>
      <c r="P732" s="1">
        <v>457</v>
      </c>
      <c r="Q732" s="1" t="s">
        <v>249</v>
      </c>
      <c r="S732" s="1" t="s">
        <v>250</v>
      </c>
      <c r="T732" s="1" t="s">
        <v>228</v>
      </c>
      <c r="U732" s="1">
        <v>84</v>
      </c>
      <c r="V732" s="5">
        <v>44427</v>
      </c>
      <c r="W732" s="5">
        <v>43039</v>
      </c>
      <c r="X732" s="1">
        <v>925000</v>
      </c>
      <c r="Z732" s="5">
        <v>43124</v>
      </c>
      <c r="AB732" s="1" t="s">
        <v>44</v>
      </c>
      <c r="AF732" s="1">
        <v>10036</v>
      </c>
      <c r="AI732" s="1" t="s">
        <v>118</v>
      </c>
      <c r="AJ732" s="1">
        <v>2019</v>
      </c>
      <c r="AK732" s="1" t="s">
        <v>49</v>
      </c>
      <c r="AL732" s="1">
        <v>123</v>
      </c>
    </row>
    <row r="733" spans="1:38" x14ac:dyDescent="0.2">
      <c r="A733" s="2" t="str">
        <f>HYPERLINK("https://www.compass.com/listing/88-lexington-avenue-unit-1606-manhattan-ny-10016/29507142625104369/","88 Lexington Ave, Unit 1606")</f>
        <v>88 Lexington Ave, Unit 1606</v>
      </c>
      <c r="B733" s="2" t="str">
        <f>HYPERLINK("https://www.compass.com/building/88-90-lexington-avenue-manhattan-ny/281903945159296309/","88 &amp; 90 Lexington Avenue")</f>
        <v>88 &amp; 90 Lexington Avenue</v>
      </c>
      <c r="C733" s="1" t="s">
        <v>198</v>
      </c>
      <c r="D733" s="1" t="s">
        <v>41</v>
      </c>
      <c r="E733" s="3">
        <v>4995000</v>
      </c>
      <c r="F733" s="1">
        <v>2556.2947799385802</v>
      </c>
      <c r="G733" s="1">
        <v>5</v>
      </c>
      <c r="H733" s="1">
        <v>3</v>
      </c>
      <c r="I733" s="1">
        <v>4</v>
      </c>
      <c r="J733" s="1">
        <v>3.5</v>
      </c>
      <c r="K733" s="1">
        <v>3</v>
      </c>
      <c r="L733" s="1">
        <v>1</v>
      </c>
      <c r="M733" s="4">
        <v>1954</v>
      </c>
      <c r="N733" s="1">
        <v>2219</v>
      </c>
      <c r="O733" s="1">
        <v>6469</v>
      </c>
      <c r="P733" s="1">
        <v>4250</v>
      </c>
      <c r="Q733" s="1" t="s">
        <v>42</v>
      </c>
      <c r="S733" s="1" t="s">
        <v>42</v>
      </c>
      <c r="T733" s="1" t="s">
        <v>228</v>
      </c>
      <c r="U733" s="1">
        <v>85</v>
      </c>
      <c r="V733" s="5">
        <v>44425</v>
      </c>
      <c r="W733" s="5">
        <v>44280</v>
      </c>
      <c r="Z733" s="5">
        <v>44366</v>
      </c>
      <c r="AB733" s="1" t="s">
        <v>44</v>
      </c>
      <c r="AF733" s="1">
        <v>10016</v>
      </c>
      <c r="AI733" s="1" t="s">
        <v>244</v>
      </c>
      <c r="AJ733" s="1">
        <v>1927</v>
      </c>
      <c r="AK733" s="1" t="s">
        <v>46</v>
      </c>
      <c r="AL733" s="1">
        <v>70</v>
      </c>
    </row>
    <row r="734" spans="1:38" x14ac:dyDescent="0.2">
      <c r="A734" s="2" t="str">
        <f>HYPERLINK("https://www.compass.com/listing/130-william-street-unit-23a-manhattan-ny-10038/841393969795211993/","130 William St, Unit 23A")</f>
        <v>130 William St, Unit 23A</v>
      </c>
      <c r="B734" s="2" t="str">
        <f t="shared" ref="B734:B735" si="88">HYPERLINK("https://www.compass.com/building/130-william-st-manhattan-ny-10038/282029682239486757/","130 William St")</f>
        <v>130 William St</v>
      </c>
      <c r="C734" s="1" t="s">
        <v>96</v>
      </c>
      <c r="D734" s="1" t="s">
        <v>41</v>
      </c>
      <c r="E734" s="3">
        <v>1515990</v>
      </c>
      <c r="F734" s="1">
        <v>1738.52064220183</v>
      </c>
      <c r="G734" s="1">
        <v>3</v>
      </c>
      <c r="H734" s="1">
        <v>1</v>
      </c>
      <c r="I734" s="1">
        <v>1</v>
      </c>
      <c r="J734" s="1">
        <v>1</v>
      </c>
      <c r="K734" s="1">
        <v>1</v>
      </c>
      <c r="M734" s="1">
        <v>872</v>
      </c>
      <c r="N734" s="1">
        <v>598</v>
      </c>
      <c r="O734" s="1">
        <v>1756</v>
      </c>
      <c r="P734" s="1">
        <v>1158</v>
      </c>
      <c r="Q734" s="1" t="s">
        <v>42</v>
      </c>
      <c r="S734" s="1" t="s">
        <v>42</v>
      </c>
      <c r="T734" s="1" t="s">
        <v>228</v>
      </c>
      <c r="U734" s="1">
        <v>1</v>
      </c>
      <c r="V734" s="5">
        <v>44427</v>
      </c>
      <c r="W734" s="5">
        <v>44411</v>
      </c>
      <c r="X734" s="1">
        <v>1515990</v>
      </c>
      <c r="Z734" s="5">
        <v>44413</v>
      </c>
      <c r="AB734" s="1" t="s">
        <v>44</v>
      </c>
      <c r="AF734" s="1">
        <v>10038</v>
      </c>
      <c r="AI734" s="1" t="s">
        <v>111</v>
      </c>
      <c r="AJ734" s="1">
        <v>2020</v>
      </c>
      <c r="AK734" s="1" t="s">
        <v>46</v>
      </c>
      <c r="AL734" s="1">
        <v>244</v>
      </c>
    </row>
    <row r="735" spans="1:38" x14ac:dyDescent="0.2">
      <c r="A735" s="2" t="str">
        <f>HYPERLINK("https://www.compass.com/listing/130-william-street-unit-12d-manhattan-ny-10038/841420560005497073/","130 William St, Unit 12D")</f>
        <v>130 William St, Unit 12D</v>
      </c>
      <c r="B735" s="2" t="str">
        <f t="shared" si="88"/>
        <v>130 William St</v>
      </c>
      <c r="C735" s="1" t="s">
        <v>96</v>
      </c>
      <c r="D735" s="1" t="s">
        <v>41</v>
      </c>
      <c r="E735" s="3">
        <v>1295990</v>
      </c>
      <c r="F735" s="1">
        <v>1530.0944510035399</v>
      </c>
      <c r="G735" s="1">
        <v>3</v>
      </c>
      <c r="H735" s="1">
        <v>1</v>
      </c>
      <c r="I735" s="1">
        <v>1</v>
      </c>
      <c r="J735" s="1">
        <v>1</v>
      </c>
      <c r="K735" s="1">
        <v>1</v>
      </c>
      <c r="M735" s="1">
        <v>847</v>
      </c>
      <c r="N735" s="1">
        <v>567</v>
      </c>
      <c r="O735" s="1">
        <v>1666</v>
      </c>
      <c r="P735" s="1">
        <v>1099</v>
      </c>
      <c r="Q735" s="1" t="s">
        <v>42</v>
      </c>
      <c r="S735" s="1" t="s">
        <v>42</v>
      </c>
      <c r="T735" s="1" t="s">
        <v>228</v>
      </c>
      <c r="U735" s="1">
        <v>2</v>
      </c>
      <c r="V735" s="5">
        <v>44427</v>
      </c>
      <c r="W735" s="5">
        <v>44410</v>
      </c>
      <c r="X735" s="1">
        <v>1295990</v>
      </c>
      <c r="Z735" s="5">
        <v>44413</v>
      </c>
      <c r="AB735" s="1" t="s">
        <v>44</v>
      </c>
      <c r="AF735" s="1">
        <v>10038</v>
      </c>
      <c r="AI735" s="1" t="s">
        <v>111</v>
      </c>
      <c r="AJ735" s="1">
        <v>2020</v>
      </c>
      <c r="AK735" s="1" t="s">
        <v>46</v>
      </c>
      <c r="AL735" s="1">
        <v>244</v>
      </c>
    </row>
    <row r="736" spans="1:38" x14ac:dyDescent="0.2">
      <c r="A736" s="2" t="str">
        <f>HYPERLINK("https://www.compass.com/listing/505-513-west-43rd-street-unit-5f-manhattan-ny-10036/29514249411822481/","505-513 W 43rd St, Unit 5F")</f>
        <v>505-513 W 43rd St, Unit 5F</v>
      </c>
      <c r="B736" s="2" t="str">
        <f t="shared" ref="B736:B737" si="89">HYPERLINK("https://www.compass.com/building/charlie-west-manhattan-ny/292918554372621509/","Charlie West")</f>
        <v>Charlie West</v>
      </c>
      <c r="C736" s="1" t="s">
        <v>90</v>
      </c>
      <c r="D736" s="1" t="s">
        <v>41</v>
      </c>
      <c r="E736" s="3">
        <v>2000000</v>
      </c>
      <c r="F736" s="1">
        <v>1921.2295869356301</v>
      </c>
      <c r="G736" s="1">
        <v>4</v>
      </c>
      <c r="H736" s="1">
        <v>2</v>
      </c>
      <c r="I736" s="1">
        <v>2</v>
      </c>
      <c r="J736" s="1">
        <v>2</v>
      </c>
      <c r="K736" s="1">
        <v>2</v>
      </c>
      <c r="M736" s="4">
        <v>1041</v>
      </c>
      <c r="N736" s="1">
        <v>1118</v>
      </c>
      <c r="O736" s="1">
        <v>2105</v>
      </c>
      <c r="P736" s="1">
        <v>987</v>
      </c>
      <c r="Q736" s="1" t="s">
        <v>249</v>
      </c>
      <c r="S736" s="1" t="s">
        <v>250</v>
      </c>
      <c r="T736" s="1" t="s">
        <v>228</v>
      </c>
      <c r="U736" s="1">
        <v>57</v>
      </c>
      <c r="V736" s="5">
        <v>44427</v>
      </c>
      <c r="W736" s="5">
        <v>43039</v>
      </c>
      <c r="X736" s="1">
        <v>2000000</v>
      </c>
      <c r="Z736" s="5">
        <v>43097</v>
      </c>
      <c r="AB736" s="1" t="s">
        <v>44</v>
      </c>
      <c r="AF736" s="1">
        <v>10036</v>
      </c>
      <c r="AI736" s="1" t="s">
        <v>183</v>
      </c>
      <c r="AJ736" s="1">
        <v>2019</v>
      </c>
      <c r="AK736" s="1" t="s">
        <v>49</v>
      </c>
      <c r="AL736" s="1">
        <v>123</v>
      </c>
    </row>
    <row r="737" spans="1:38" x14ac:dyDescent="0.2">
      <c r="A737" s="2" t="str">
        <f>HYPERLINK("https://www.compass.com/listing/505-513-west-43rd-street-unit-3m-manhattan-ny-10036/447771365968317425/","505-513 W 43rd St, Unit 3M")</f>
        <v>505-513 W 43rd St, Unit 3M</v>
      </c>
      <c r="B737" s="2" t="str">
        <f t="shared" si="89"/>
        <v>Charlie West</v>
      </c>
      <c r="C737" s="1" t="s">
        <v>90</v>
      </c>
      <c r="D737" s="1" t="s">
        <v>41</v>
      </c>
      <c r="E737" s="3">
        <v>1775000</v>
      </c>
      <c r="F737" s="1">
        <v>1703.4548944337801</v>
      </c>
      <c r="G737" s="1">
        <v>5</v>
      </c>
      <c r="H737" s="1">
        <v>2</v>
      </c>
      <c r="I737" s="1">
        <v>2</v>
      </c>
      <c r="J737" s="1">
        <v>2</v>
      </c>
      <c r="K737" s="1">
        <v>2</v>
      </c>
      <c r="M737" s="4">
        <v>1042</v>
      </c>
      <c r="N737" s="1">
        <v>1119</v>
      </c>
      <c r="O737" s="1">
        <v>2065</v>
      </c>
      <c r="P737" s="1">
        <v>946</v>
      </c>
      <c r="Q737" s="1" t="s">
        <v>249</v>
      </c>
      <c r="S737" s="1" t="s">
        <v>250</v>
      </c>
      <c r="T737" s="1" t="s">
        <v>228</v>
      </c>
      <c r="U737" s="1">
        <v>20</v>
      </c>
      <c r="V737" s="5">
        <v>44427</v>
      </c>
      <c r="W737" s="5">
        <v>43868</v>
      </c>
      <c r="X737" s="1">
        <v>1695000</v>
      </c>
      <c r="Z737" s="5">
        <v>43889</v>
      </c>
      <c r="AB737" s="1" t="s">
        <v>44</v>
      </c>
      <c r="AF737" s="1">
        <v>10036</v>
      </c>
      <c r="AI737" s="1" t="s">
        <v>251</v>
      </c>
      <c r="AJ737" s="1">
        <v>2019</v>
      </c>
      <c r="AK737" s="1" t="s">
        <v>49</v>
      </c>
      <c r="AL737" s="1">
        <v>123</v>
      </c>
    </row>
    <row r="738" spans="1:38" x14ac:dyDescent="0.2">
      <c r="A738" s="2" t="str">
        <f>HYPERLINK("https://www.compass.com/listing/15-hudson-yards-unit-38h-manhattan-ny-10001/752192462447579729/","15 Hudson Yards, Unit 38H")</f>
        <v>15 Hudson Yards, Unit 38H</v>
      </c>
      <c r="B738" s="2" t="str">
        <f t="shared" ref="B738:B739" si="90">HYPERLINK("https://www.compass.com/building/fifteen-hudson-yards-manhattan-ny/282058587512011909/","Fifteen Hudson Yards")</f>
        <v>Fifteen Hudson Yards</v>
      </c>
      <c r="D738" s="1" t="s">
        <v>41</v>
      </c>
      <c r="E738" s="3">
        <v>5495000</v>
      </c>
      <c r="F738" s="1">
        <v>2485.3007688828502</v>
      </c>
      <c r="G738" s="1">
        <v>7</v>
      </c>
      <c r="H738" s="1">
        <v>3</v>
      </c>
      <c r="I738" s="1">
        <v>3</v>
      </c>
      <c r="J738" s="1">
        <v>3</v>
      </c>
      <c r="K738" s="1">
        <v>3</v>
      </c>
      <c r="M738" s="4">
        <v>2211</v>
      </c>
      <c r="N738" s="1">
        <v>5311</v>
      </c>
      <c r="O738" s="1">
        <v>5378</v>
      </c>
      <c r="P738" s="1">
        <v>67</v>
      </c>
      <c r="Q738" s="1" t="s">
        <v>42</v>
      </c>
      <c r="S738" s="1" t="s">
        <v>42</v>
      </c>
      <c r="T738" s="1" t="s">
        <v>228</v>
      </c>
      <c r="U738" s="1">
        <v>26</v>
      </c>
      <c r="V738" s="5">
        <v>44426</v>
      </c>
      <c r="W738" s="5">
        <v>44295</v>
      </c>
      <c r="X738" s="1">
        <v>5495000</v>
      </c>
      <c r="Z738" s="5">
        <v>44321</v>
      </c>
      <c r="AB738" s="1" t="s">
        <v>44</v>
      </c>
      <c r="AF738" s="1">
        <v>10001</v>
      </c>
      <c r="AJ738" s="1">
        <v>2018</v>
      </c>
      <c r="AK738" s="1" t="s">
        <v>46</v>
      </c>
      <c r="AL738" s="1">
        <v>285</v>
      </c>
    </row>
    <row r="739" spans="1:38" x14ac:dyDescent="0.2">
      <c r="A739" s="2" t="str">
        <f>HYPERLINK("https://www.compass.com/listing/15-hudson-yards-unit-78e-manhattan-ny-10001/687581479928454849/","15 Hudson Yards, Unit 78E")</f>
        <v>15 Hudson Yards, Unit 78E</v>
      </c>
      <c r="B739" s="2" t="str">
        <f t="shared" si="90"/>
        <v>Fifteen Hudson Yards</v>
      </c>
      <c r="D739" s="1" t="s">
        <v>41</v>
      </c>
      <c r="E739" s="3">
        <v>5995000</v>
      </c>
      <c r="F739" s="1">
        <v>2675.1450245426099</v>
      </c>
      <c r="G739" s="1">
        <v>5.5</v>
      </c>
      <c r="H739" s="1">
        <v>3</v>
      </c>
      <c r="I739" s="1">
        <v>4</v>
      </c>
      <c r="J739" s="1">
        <v>3.5</v>
      </c>
      <c r="K739" s="1">
        <v>3</v>
      </c>
      <c r="L739" s="1">
        <v>1</v>
      </c>
      <c r="M739" s="4">
        <v>2241</v>
      </c>
      <c r="N739" s="1">
        <v>5621</v>
      </c>
      <c r="O739" s="1">
        <v>5692</v>
      </c>
      <c r="P739" s="1">
        <v>71</v>
      </c>
      <c r="Q739" s="1" t="s">
        <v>42</v>
      </c>
      <c r="S739" s="1" t="s">
        <v>42</v>
      </c>
      <c r="T739" s="1" t="s">
        <v>228</v>
      </c>
      <c r="V739" s="5">
        <v>44415</v>
      </c>
      <c r="W739" s="5">
        <v>44200</v>
      </c>
      <c r="X739" s="1">
        <v>5995000</v>
      </c>
      <c r="Z739" s="5">
        <v>44200</v>
      </c>
      <c r="AB739" s="1" t="s">
        <v>44</v>
      </c>
      <c r="AF739" s="1">
        <v>10001</v>
      </c>
      <c r="AJ739" s="1">
        <v>2018</v>
      </c>
      <c r="AK739" s="1" t="s">
        <v>46</v>
      </c>
      <c r="AL739" s="1">
        <v>285</v>
      </c>
    </row>
    <row r="740" spans="1:38" x14ac:dyDescent="0.2">
      <c r="A740" s="2" t="str">
        <f>HYPERLINK("https://www.compass.com/listing/325-lexington-avenue-unit-25c-manhattan-ny-10016/805419748305534457/","325 Lexington Ave, Unit 25C")</f>
        <v>325 Lexington Ave, Unit 25C</v>
      </c>
      <c r="B740" s="2" t="str">
        <f>HYPERLINK("https://www.compass.com/building/325-lex-condominium-manhattan-ny/281939882467713365/","325 Lex Condominium")</f>
        <v>325 Lex Condominium</v>
      </c>
      <c r="C740" s="1" t="s">
        <v>59</v>
      </c>
      <c r="D740" s="1" t="s">
        <v>41</v>
      </c>
      <c r="E740" s="3">
        <v>2295000</v>
      </c>
      <c r="F740" s="1">
        <v>2016.69595782073</v>
      </c>
      <c r="G740" s="1">
        <v>4</v>
      </c>
      <c r="H740" s="1">
        <v>2</v>
      </c>
      <c r="I740" s="1">
        <v>2</v>
      </c>
      <c r="J740" s="1">
        <v>2</v>
      </c>
      <c r="K740" s="1">
        <v>2</v>
      </c>
      <c r="M740" s="4">
        <v>1138</v>
      </c>
      <c r="N740" s="1">
        <v>1897</v>
      </c>
      <c r="O740" s="1">
        <v>3062</v>
      </c>
      <c r="P740" s="1">
        <v>1165</v>
      </c>
      <c r="Q740" s="1" t="s">
        <v>42</v>
      </c>
      <c r="S740" s="1" t="s">
        <v>42</v>
      </c>
      <c r="T740" s="1" t="s">
        <v>228</v>
      </c>
      <c r="U740" s="1">
        <v>33</v>
      </c>
      <c r="V740" s="5">
        <v>44397</v>
      </c>
      <c r="W740" s="5">
        <v>44363</v>
      </c>
      <c r="X740" s="1">
        <v>2295000</v>
      </c>
      <c r="Z740" s="5">
        <v>44397</v>
      </c>
      <c r="AB740" s="1" t="s">
        <v>44</v>
      </c>
      <c r="AF740" s="1">
        <v>10016</v>
      </c>
      <c r="AI740" s="1" t="s">
        <v>60</v>
      </c>
      <c r="AJ740" s="1">
        <v>2014</v>
      </c>
      <c r="AK740" s="1" t="s">
        <v>55</v>
      </c>
      <c r="AL740" s="1">
        <v>125</v>
      </c>
    </row>
    <row r="741" spans="1:38" x14ac:dyDescent="0.2">
      <c r="A741" s="2" t="str">
        <f>HYPERLINK("https://www.compass.com/listing/15-hudson-yards-unit-33f-manhattan-ny-10001/765128955592684193/","15 Hudson Yards, Unit 33F")</f>
        <v>15 Hudson Yards, Unit 33F</v>
      </c>
      <c r="B741" s="2" t="str">
        <f>HYPERLINK("https://www.compass.com/building/fifteen-hudson-yards-manhattan-ny/282058587512011909/","Fifteen Hudson Yards")</f>
        <v>Fifteen Hudson Yards</v>
      </c>
      <c r="C741" s="1" t="s">
        <v>77</v>
      </c>
      <c r="D741" s="1" t="s">
        <v>41</v>
      </c>
      <c r="E741" s="3">
        <v>2250000</v>
      </c>
      <c r="F741" s="1">
        <v>2155.1724137931001</v>
      </c>
      <c r="G741" s="1">
        <v>3</v>
      </c>
      <c r="H741" s="1">
        <v>1</v>
      </c>
      <c r="I741" s="1">
        <v>1</v>
      </c>
      <c r="J741" s="1">
        <v>1</v>
      </c>
      <c r="K741" s="1">
        <v>1</v>
      </c>
      <c r="M741" s="4">
        <v>1044</v>
      </c>
      <c r="N741" s="1">
        <v>2676</v>
      </c>
      <c r="O741" s="1">
        <v>2709</v>
      </c>
      <c r="P741" s="1">
        <v>33</v>
      </c>
      <c r="S741" s="1" t="s">
        <v>42</v>
      </c>
      <c r="T741" s="1" t="s">
        <v>228</v>
      </c>
      <c r="U741" s="1">
        <v>242</v>
      </c>
      <c r="V741" s="5">
        <v>44337</v>
      </c>
      <c r="W741" s="5">
        <v>44093</v>
      </c>
      <c r="X741" s="1">
        <v>2400000</v>
      </c>
      <c r="Z741" s="5">
        <v>44335</v>
      </c>
      <c r="AB741" s="1" t="s">
        <v>44</v>
      </c>
      <c r="AF741" s="1">
        <v>10001</v>
      </c>
      <c r="AI741" s="1" t="s">
        <v>114</v>
      </c>
      <c r="AJ741" s="1">
        <v>2018</v>
      </c>
      <c r="AK741" s="1" t="s">
        <v>49</v>
      </c>
      <c r="AL741" s="1">
        <v>285</v>
      </c>
    </row>
    <row r="742" spans="1:38" x14ac:dyDescent="0.2">
      <c r="A742" s="2" t="str">
        <f>HYPERLINK("https://www.compass.com/listing/1-west-end-avenue-unit-21d-manhattan-ny-10069/750828575894099569/","1 W End Ave, Unit 21D")</f>
        <v>1 W End Ave, Unit 21D</v>
      </c>
      <c r="B742" s="2" t="str">
        <f>HYPERLINK("https://www.compass.com/building/1-w-end-ave-manhattan-ny-10069/455676159137755317/","1 W End Ave")</f>
        <v>1 W End Ave</v>
      </c>
      <c r="C742" s="1" t="s">
        <v>57</v>
      </c>
      <c r="D742" s="1" t="s">
        <v>41</v>
      </c>
      <c r="E742" s="3">
        <v>2490000</v>
      </c>
      <c r="F742" s="1">
        <v>1782.39083750894</v>
      </c>
      <c r="G742" s="1">
        <v>4</v>
      </c>
      <c r="H742" s="1">
        <v>2</v>
      </c>
      <c r="I742" s="1">
        <v>2</v>
      </c>
      <c r="J742" s="1">
        <v>1.5</v>
      </c>
      <c r="K742" s="1">
        <v>1</v>
      </c>
      <c r="L742" s="1">
        <v>1</v>
      </c>
      <c r="M742" s="4">
        <v>1397</v>
      </c>
      <c r="N742" s="1">
        <v>1690</v>
      </c>
      <c r="O742" s="1">
        <v>1787</v>
      </c>
      <c r="P742" s="1">
        <v>97</v>
      </c>
      <c r="Q742" s="1" t="s">
        <v>42</v>
      </c>
      <c r="S742" s="1" t="s">
        <v>42</v>
      </c>
      <c r="T742" s="1" t="s">
        <v>228</v>
      </c>
      <c r="U742" s="1">
        <v>62</v>
      </c>
      <c r="V742" s="5">
        <v>44427</v>
      </c>
      <c r="W742" s="5">
        <v>44287</v>
      </c>
      <c r="X742" s="1">
        <v>2490000</v>
      </c>
      <c r="Z742" s="5">
        <v>44350</v>
      </c>
      <c r="AB742" s="1" t="s">
        <v>44</v>
      </c>
      <c r="AF742" s="1">
        <v>10069</v>
      </c>
      <c r="AI742" s="1" t="s">
        <v>60</v>
      </c>
      <c r="AJ742" s="1">
        <v>2017</v>
      </c>
      <c r="AK742" s="1" t="s">
        <v>55</v>
      </c>
      <c r="AL742" s="1">
        <v>246</v>
      </c>
    </row>
    <row r="743" spans="1:38" x14ac:dyDescent="0.2">
      <c r="A743" s="2" t="str">
        <f>HYPERLINK("https://www.compass.com/listing/35-hudson-yards-unit-5503-manhattan-ny-10001/763501663508888433/","35 Hudson Yards, Unit 5503")</f>
        <v>35 Hudson Yards, Unit 5503</v>
      </c>
      <c r="B743" s="2" t="str">
        <f>HYPERLINK("https://www.compass.com/building/35-hudson-yards-manhattan-ny/292773408544917349/","35 Hudson Yards")</f>
        <v>35 Hudson Yards</v>
      </c>
      <c r="C743" s="1" t="s">
        <v>77</v>
      </c>
      <c r="D743" s="1" t="s">
        <v>41</v>
      </c>
      <c r="E743" s="3">
        <v>5050000</v>
      </c>
      <c r="F743" s="1">
        <v>2669.1331923890002</v>
      </c>
      <c r="G743" s="1">
        <v>4.5</v>
      </c>
      <c r="H743" s="1">
        <v>2</v>
      </c>
      <c r="I743" s="1">
        <v>5</v>
      </c>
      <c r="J743" s="1">
        <v>4.5</v>
      </c>
      <c r="K743" s="1">
        <v>4</v>
      </c>
      <c r="L743" s="1">
        <v>1</v>
      </c>
      <c r="M743" s="4">
        <v>1892</v>
      </c>
      <c r="N743" s="1">
        <v>5366</v>
      </c>
      <c r="O743" s="1">
        <v>5740</v>
      </c>
      <c r="P743" s="1">
        <v>374</v>
      </c>
      <c r="Q743" s="1" t="s">
        <v>42</v>
      </c>
      <c r="S743" s="1" t="s">
        <v>42</v>
      </c>
      <c r="T743" s="1" t="s">
        <v>228</v>
      </c>
      <c r="V743" s="5">
        <v>44417</v>
      </c>
      <c r="W743" s="5">
        <v>44303</v>
      </c>
      <c r="X743" s="1">
        <v>5050000</v>
      </c>
      <c r="Z743" s="5">
        <v>44303</v>
      </c>
      <c r="AB743" s="1" t="s">
        <v>44</v>
      </c>
      <c r="AF743" s="1">
        <v>10001</v>
      </c>
      <c r="AI743" s="1" t="s">
        <v>111</v>
      </c>
      <c r="AJ743" s="1">
        <v>2019</v>
      </c>
      <c r="AK743" s="1" t="s">
        <v>108</v>
      </c>
      <c r="AL743" s="1">
        <v>143</v>
      </c>
    </row>
    <row r="744" spans="1:38" x14ac:dyDescent="0.2">
      <c r="A744" s="2" t="str">
        <f>HYPERLINK("https://www.compass.com/listing/416-west-52nd-street-unit-513-manhattan-ny-10019/168084860554976945/","416 W 52nd St, Unit 513")</f>
        <v>416 W 52nd St, Unit 513</v>
      </c>
      <c r="B744" s="2" t="str">
        <f>HYPERLINK("https://www.compass.com/building/nine52-manhattan-ny/281945622951555813/","Nine52")</f>
        <v>Nine52</v>
      </c>
      <c r="C744" s="1" t="s">
        <v>90</v>
      </c>
      <c r="D744" s="1" t="s">
        <v>41</v>
      </c>
      <c r="E744" s="3">
        <v>1599000</v>
      </c>
      <c r="F744" s="1">
        <v>1292.64349232012</v>
      </c>
      <c r="G744" s="1">
        <v>4</v>
      </c>
      <c r="H744" s="1">
        <v>2</v>
      </c>
      <c r="I744" s="1">
        <v>2</v>
      </c>
      <c r="J744" s="1">
        <v>2</v>
      </c>
      <c r="K744" s="1">
        <v>2</v>
      </c>
      <c r="M744" s="4">
        <v>1237</v>
      </c>
      <c r="N744" s="1">
        <v>967</v>
      </c>
      <c r="O744" s="1">
        <v>2958</v>
      </c>
      <c r="P744" s="1">
        <v>1991</v>
      </c>
      <c r="Q744" s="1" t="s">
        <v>105</v>
      </c>
      <c r="S744" s="1" t="s">
        <v>105</v>
      </c>
      <c r="T744" s="1" t="s">
        <v>228</v>
      </c>
      <c r="U744" s="1">
        <v>731</v>
      </c>
      <c r="V744" s="5">
        <v>44427</v>
      </c>
      <c r="W744" s="5">
        <v>43482</v>
      </c>
      <c r="X744" s="1">
        <v>1650000</v>
      </c>
      <c r="Z744" s="5">
        <v>44397</v>
      </c>
      <c r="AB744" s="1" t="s">
        <v>44</v>
      </c>
      <c r="AF744" s="1">
        <v>10019</v>
      </c>
      <c r="AI744" s="1" t="s">
        <v>252</v>
      </c>
      <c r="AJ744" s="1">
        <v>1940</v>
      </c>
      <c r="AK744" s="1" t="s">
        <v>108</v>
      </c>
      <c r="AL744" s="1">
        <v>155</v>
      </c>
    </row>
    <row r="745" spans="1:38" x14ac:dyDescent="0.2">
      <c r="A745" s="2" t="str">
        <f>HYPERLINK("https://www.compass.com/listing/1-west-end-avenue-unit-25b-manhattan-ny-10069/764307312946108305/","1 W End Ave, Unit 25B")</f>
        <v>1 W End Ave, Unit 25B</v>
      </c>
      <c r="B745" s="2" t="str">
        <f>HYPERLINK("https://www.compass.com/building/1-w-end-ave-manhattan-ny-10069/455676159137755317/","1 W End Ave")</f>
        <v>1 W End Ave</v>
      </c>
      <c r="C745" s="1" t="s">
        <v>57</v>
      </c>
      <c r="D745" s="1" t="s">
        <v>41</v>
      </c>
      <c r="E745" s="3">
        <v>3700000</v>
      </c>
      <c r="F745" s="1">
        <v>2194.5432977461401</v>
      </c>
      <c r="G745" s="1">
        <v>5</v>
      </c>
      <c r="H745" s="1">
        <v>3</v>
      </c>
      <c r="I745" s="1">
        <v>3</v>
      </c>
      <c r="J745" s="1">
        <v>3</v>
      </c>
      <c r="K745" s="1">
        <v>3</v>
      </c>
      <c r="M745" s="4">
        <v>1686</v>
      </c>
      <c r="N745" s="1">
        <v>2154</v>
      </c>
      <c r="O745" s="1">
        <v>2277</v>
      </c>
      <c r="P745" s="1">
        <v>123</v>
      </c>
      <c r="Q745" s="1" t="s">
        <v>129</v>
      </c>
      <c r="S745" s="1" t="s">
        <v>42</v>
      </c>
      <c r="T745" s="1" t="s">
        <v>228</v>
      </c>
      <c r="U745" s="1">
        <v>111</v>
      </c>
      <c r="V745" s="5">
        <v>44420</v>
      </c>
      <c r="W745" s="5">
        <v>44306</v>
      </c>
      <c r="X745" s="1">
        <v>3700000</v>
      </c>
      <c r="Z745" s="5">
        <v>44418</v>
      </c>
      <c r="AB745" s="1" t="s">
        <v>44</v>
      </c>
      <c r="AF745" s="1">
        <v>10069</v>
      </c>
      <c r="AI745" s="1" t="s">
        <v>97</v>
      </c>
      <c r="AJ745" s="1">
        <v>2017</v>
      </c>
      <c r="AK745" s="1" t="s">
        <v>108</v>
      </c>
      <c r="AL745" s="1">
        <v>246</v>
      </c>
    </row>
    <row r="746" spans="1:38" x14ac:dyDescent="0.2">
      <c r="A746" s="2" t="str">
        <f>HYPERLINK("https://www.compass.com/listing/695-1st-avenue-unit-32c-manhattan-ny-10016/781099021673285089/","695 1st Ave, Unit 32C")</f>
        <v>695 1st Ave, Unit 32C</v>
      </c>
      <c r="B746" s="2" t="str">
        <f>HYPERLINK("https://www.compass.com/building/one-united-nations-park-manhattan-ny/282058773630059653/","One United Nations Park")</f>
        <v>One United Nations Park</v>
      </c>
      <c r="C746" s="1" t="s">
        <v>59</v>
      </c>
      <c r="D746" s="1" t="s">
        <v>41</v>
      </c>
      <c r="E746" s="3">
        <v>1265000</v>
      </c>
      <c r="F746" s="1">
        <v>1664.4736842105201</v>
      </c>
      <c r="G746" s="1">
        <v>3</v>
      </c>
      <c r="H746" s="1">
        <v>1</v>
      </c>
      <c r="I746" s="1">
        <v>1</v>
      </c>
      <c r="J746" s="1">
        <v>1</v>
      </c>
      <c r="K746" s="1">
        <v>1</v>
      </c>
      <c r="M746" s="1">
        <v>760</v>
      </c>
      <c r="N746" s="1">
        <v>1019</v>
      </c>
      <c r="O746" s="1">
        <v>2229</v>
      </c>
      <c r="P746" s="1">
        <v>1210</v>
      </c>
      <c r="Q746" s="1" t="s">
        <v>42</v>
      </c>
      <c r="S746" s="1" t="s">
        <v>42</v>
      </c>
      <c r="T746" s="1" t="s">
        <v>228</v>
      </c>
      <c r="U746" s="1">
        <v>2</v>
      </c>
      <c r="V746" s="5">
        <v>44418</v>
      </c>
      <c r="W746" s="5">
        <v>44327</v>
      </c>
      <c r="X746" s="1">
        <v>1265000</v>
      </c>
      <c r="Z746" s="5">
        <v>44330</v>
      </c>
      <c r="AB746" s="1" t="s">
        <v>44</v>
      </c>
      <c r="AF746" s="1">
        <v>10016</v>
      </c>
      <c r="AJ746" s="1">
        <v>2019</v>
      </c>
      <c r="AK746" s="1" t="s">
        <v>46</v>
      </c>
      <c r="AL746" s="1">
        <v>148</v>
      </c>
    </row>
    <row r="747" spans="1:38" x14ac:dyDescent="0.2">
      <c r="A747" s="2" t="str">
        <f>HYPERLINK("https://www.compass.com/listing/325-lexington-avenue-unit-29a-manhattan-ny-10016/584137898772120633/","325 Lexington Ave, Unit 29A")</f>
        <v>325 Lexington Ave, Unit 29A</v>
      </c>
      <c r="B747" s="2" t="str">
        <f>HYPERLINK("https://www.compass.com/building/325-lex-condominium-manhattan-ny/281939882467713365/","325 Lex Condominium")</f>
        <v>325 Lex Condominium</v>
      </c>
      <c r="C747" s="1" t="s">
        <v>59</v>
      </c>
      <c r="D747" s="1" t="s">
        <v>41</v>
      </c>
      <c r="E747" s="3">
        <v>2395000</v>
      </c>
      <c r="F747" s="1">
        <v>2169.38405797101</v>
      </c>
      <c r="G747" s="1">
        <v>3</v>
      </c>
      <c r="H747" s="1">
        <v>1</v>
      </c>
      <c r="I747" s="1">
        <v>2</v>
      </c>
      <c r="J747" s="1">
        <v>2</v>
      </c>
      <c r="K747" s="1">
        <v>2</v>
      </c>
      <c r="M747" s="4">
        <v>1104</v>
      </c>
      <c r="N747" s="1">
        <v>1836.25</v>
      </c>
      <c r="O747" s="1">
        <v>3023.42</v>
      </c>
      <c r="P747" s="1">
        <v>1187.1666666666599</v>
      </c>
      <c r="Q747" s="1" t="s">
        <v>42</v>
      </c>
      <c r="S747" s="1" t="s">
        <v>42</v>
      </c>
      <c r="T747" s="1" t="s">
        <v>228</v>
      </c>
      <c r="U747" s="1">
        <v>349</v>
      </c>
      <c r="V747" s="5">
        <v>44425</v>
      </c>
      <c r="W747" s="5">
        <v>44057</v>
      </c>
      <c r="X747" s="1">
        <v>2575000</v>
      </c>
      <c r="Z747" s="5">
        <v>44410</v>
      </c>
      <c r="AB747" s="1" t="s">
        <v>44</v>
      </c>
      <c r="AF747" s="1">
        <v>10016</v>
      </c>
      <c r="AI747" s="1" t="s">
        <v>253</v>
      </c>
      <c r="AJ747" s="1">
        <v>2014</v>
      </c>
      <c r="AK747" s="1" t="s">
        <v>108</v>
      </c>
      <c r="AL747" s="1">
        <v>125</v>
      </c>
    </row>
    <row r="748" spans="1:38" x14ac:dyDescent="0.2">
      <c r="A748" s="2" t="str">
        <f>HYPERLINK("https://www.compass.com/listing/695-1st-avenue-unit-36k-manhattan-ny-10016/781070598210005617/","695 1st Ave, Unit 36K")</f>
        <v>695 1st Ave, Unit 36K</v>
      </c>
      <c r="B748" s="2" t="str">
        <f>HYPERLINK("https://www.compass.com/building/one-united-nations-park-manhattan-ny/282058773630059653/","One United Nations Park")</f>
        <v>One United Nations Park</v>
      </c>
      <c r="C748" s="1" t="s">
        <v>59</v>
      </c>
      <c r="D748" s="1" t="s">
        <v>41</v>
      </c>
      <c r="E748" s="3">
        <v>2350000</v>
      </c>
      <c r="F748" s="1">
        <v>1618.4573002754801</v>
      </c>
      <c r="G748" s="1">
        <v>4</v>
      </c>
      <c r="H748" s="1">
        <v>2</v>
      </c>
      <c r="J748" s="1">
        <v>1</v>
      </c>
      <c r="K748" s="1">
        <v>1</v>
      </c>
      <c r="M748" s="4">
        <v>1452</v>
      </c>
      <c r="N748" s="1">
        <v>1946</v>
      </c>
      <c r="O748" s="1">
        <v>4257</v>
      </c>
      <c r="P748" s="1">
        <v>2311</v>
      </c>
      <c r="Q748" s="1" t="s">
        <v>42</v>
      </c>
      <c r="S748" s="1" t="s">
        <v>42</v>
      </c>
      <c r="T748" s="1" t="s">
        <v>228</v>
      </c>
      <c r="U748" s="1">
        <v>82</v>
      </c>
      <c r="V748" s="5">
        <v>44426</v>
      </c>
      <c r="W748" s="5">
        <v>44329</v>
      </c>
      <c r="X748" s="1">
        <v>2350000</v>
      </c>
      <c r="Z748" s="5">
        <v>44412</v>
      </c>
      <c r="AB748" s="1" t="s">
        <v>44</v>
      </c>
      <c r="AF748" s="1">
        <v>10016</v>
      </c>
      <c r="AJ748" s="1">
        <v>2019</v>
      </c>
      <c r="AK748" s="1" t="s">
        <v>46</v>
      </c>
      <c r="AL748" s="1">
        <v>148</v>
      </c>
    </row>
    <row r="749" spans="1:38" x14ac:dyDescent="0.2">
      <c r="A749" s="2" t="str">
        <f>HYPERLINK("https://www.compass.com/listing/285-west-110th-street-unit-4a-manhattan-ny-10026/429014030674672817/","285 W 110th St, Unit 4A")</f>
        <v>285 W 110th St, Unit 4A</v>
      </c>
      <c r="B749" s="2" t="str">
        <f>HYPERLINK("https://www.compass.com/building/circa-central-park-manhattan-ny/282059072692321269/","Circa Central Park")</f>
        <v>Circa Central Park</v>
      </c>
      <c r="C749" s="1" t="s">
        <v>85</v>
      </c>
      <c r="D749" s="1" t="s">
        <v>41</v>
      </c>
      <c r="E749" s="3">
        <v>2895000</v>
      </c>
      <c r="F749" s="1">
        <v>1835.7641090678501</v>
      </c>
      <c r="G749" s="1">
        <v>5.5</v>
      </c>
      <c r="H749" s="1">
        <v>3</v>
      </c>
      <c r="I749" s="1">
        <v>3</v>
      </c>
      <c r="J749" s="1">
        <v>3</v>
      </c>
      <c r="K749" s="1">
        <v>3</v>
      </c>
      <c r="M749" s="4">
        <v>1577</v>
      </c>
      <c r="N749" s="1">
        <v>1440.98</v>
      </c>
      <c r="O749" s="1">
        <v>1629.76</v>
      </c>
      <c r="P749" s="1">
        <v>188.75</v>
      </c>
      <c r="Q749" s="1" t="s">
        <v>42</v>
      </c>
      <c r="S749" s="1" t="s">
        <v>42</v>
      </c>
      <c r="T749" s="1" t="s">
        <v>228</v>
      </c>
      <c r="U749" s="1">
        <v>348</v>
      </c>
      <c r="V749" s="5">
        <v>44421</v>
      </c>
      <c r="W749" s="5">
        <v>43843</v>
      </c>
      <c r="X749" s="1">
        <v>3300000</v>
      </c>
      <c r="Z749" s="5">
        <v>44359</v>
      </c>
      <c r="AB749" s="1" t="s">
        <v>44</v>
      </c>
      <c r="AF749" s="1">
        <v>10026</v>
      </c>
      <c r="AI749" s="1" t="s">
        <v>48</v>
      </c>
      <c r="AJ749" s="1">
        <v>2017</v>
      </c>
      <c r="AK749" s="1" t="s">
        <v>46</v>
      </c>
      <c r="AL749" s="1">
        <v>38</v>
      </c>
    </row>
    <row r="750" spans="1:38" x14ac:dyDescent="0.2">
      <c r="A750" s="2" t="str">
        <f>HYPERLINK("https://www.compass.com/listing/252-south-street-unit-23g-manhattan-ny-10002/839811089175519945/","252 South St, Unit 23G")</f>
        <v>252 South St, Unit 23G</v>
      </c>
      <c r="B750" s="2" t="str">
        <f>HYPERLINK("https://www.compass.com/building/one-manhattan-square-manhattan-ny/294844950218926165/","One Manhattan Square")</f>
        <v>One Manhattan Square</v>
      </c>
      <c r="C750" s="1" t="s">
        <v>47</v>
      </c>
      <c r="D750" s="1" t="s">
        <v>41</v>
      </c>
      <c r="E750" s="3">
        <v>1316000</v>
      </c>
      <c r="F750" s="1">
        <v>1820.1936376210199</v>
      </c>
      <c r="G750" s="1">
        <v>3</v>
      </c>
      <c r="H750" s="1">
        <v>1</v>
      </c>
      <c r="I750" s="1">
        <v>1</v>
      </c>
      <c r="J750" s="1">
        <v>1</v>
      </c>
      <c r="K750" s="1">
        <v>1</v>
      </c>
      <c r="M750" s="1">
        <v>723</v>
      </c>
      <c r="N750" s="1">
        <v>829</v>
      </c>
      <c r="O750" s="1">
        <v>842</v>
      </c>
      <c r="P750" s="1">
        <v>13</v>
      </c>
      <c r="Q750" s="1" t="s">
        <v>42</v>
      </c>
      <c r="S750" s="1" t="s">
        <v>42</v>
      </c>
      <c r="T750" s="1" t="s">
        <v>228</v>
      </c>
      <c r="U750" s="1">
        <v>3</v>
      </c>
      <c r="V750" s="5">
        <v>44411</v>
      </c>
      <c r="W750" s="5">
        <v>44407</v>
      </c>
      <c r="X750" s="1">
        <v>1316000</v>
      </c>
      <c r="Z750" s="5">
        <v>44411</v>
      </c>
      <c r="AB750" s="1" t="s">
        <v>44</v>
      </c>
      <c r="AF750" s="1">
        <v>10002</v>
      </c>
      <c r="AI750" s="1" t="s">
        <v>246</v>
      </c>
      <c r="AJ750" s="1">
        <v>2019</v>
      </c>
      <c r="AK750" s="1" t="s">
        <v>46</v>
      </c>
      <c r="AL750" s="1">
        <v>787</v>
      </c>
    </row>
    <row r="751" spans="1:38" x14ac:dyDescent="0.2">
      <c r="A751" s="2" t="str">
        <f>HYPERLINK("https://www.compass.com/listing/695-1st-avenue-unit-31c-manhattan-ny-10016/754478285612904465/","695 1st Ave, Unit 31C")</f>
        <v>695 1st Ave, Unit 31C</v>
      </c>
      <c r="B751" s="2" t="str">
        <f>HYPERLINK("https://www.compass.com/building/one-united-nations-park-manhattan-ny/282058773630059653/","One United Nations Park")</f>
        <v>One United Nations Park</v>
      </c>
      <c r="C751" s="1" t="s">
        <v>59</v>
      </c>
      <c r="D751" s="1" t="s">
        <v>41</v>
      </c>
      <c r="E751" s="3">
        <v>1250000</v>
      </c>
      <c r="F751" s="1">
        <v>1644.7368421052599</v>
      </c>
      <c r="G751" s="1">
        <v>3</v>
      </c>
      <c r="H751" s="1">
        <v>1</v>
      </c>
      <c r="J751" s="1">
        <v>1</v>
      </c>
      <c r="K751" s="1">
        <v>1</v>
      </c>
      <c r="M751" s="1">
        <v>760</v>
      </c>
      <c r="N751" s="1">
        <v>1019</v>
      </c>
      <c r="O751" s="1">
        <v>2229</v>
      </c>
      <c r="P751" s="1">
        <v>1210</v>
      </c>
      <c r="Q751" s="1" t="s">
        <v>42</v>
      </c>
      <c r="S751" s="1" t="s">
        <v>42</v>
      </c>
      <c r="T751" s="1" t="s">
        <v>228</v>
      </c>
      <c r="U751" s="1">
        <v>107</v>
      </c>
      <c r="V751" s="5">
        <v>44415</v>
      </c>
      <c r="W751" s="5">
        <v>44292</v>
      </c>
      <c r="X751" s="1">
        <v>1250000</v>
      </c>
      <c r="Z751" s="5">
        <v>44400</v>
      </c>
      <c r="AB751" s="1" t="s">
        <v>44</v>
      </c>
      <c r="AF751" s="1">
        <v>10016</v>
      </c>
      <c r="AJ751" s="1">
        <v>2019</v>
      </c>
      <c r="AK751" s="1" t="s">
        <v>46</v>
      </c>
      <c r="AL751" s="1">
        <v>148</v>
      </c>
    </row>
    <row r="752" spans="1:38" x14ac:dyDescent="0.2">
      <c r="A752" s="2" t="str">
        <f>HYPERLINK("https://www.compass.com/listing/252-south-street-unit-43c-manhattan-ny-10002/836999934240510649/","252 South St, Unit 43C")</f>
        <v>252 South St, Unit 43C</v>
      </c>
      <c r="B752" s="2" t="str">
        <f t="shared" ref="B752:B753" si="91">HYPERLINK("https://www.compass.com/building/one-manhattan-square-manhattan-ny/294844950218926165/","One Manhattan Square")</f>
        <v>One Manhattan Square</v>
      </c>
      <c r="C752" s="1" t="s">
        <v>47</v>
      </c>
      <c r="D752" s="1" t="s">
        <v>41</v>
      </c>
      <c r="E752" s="3">
        <v>3240000</v>
      </c>
      <c r="F752" s="1">
        <v>2178.8836583725601</v>
      </c>
      <c r="G752" s="1">
        <v>5</v>
      </c>
      <c r="H752" s="1">
        <v>3</v>
      </c>
      <c r="I752" s="1">
        <v>3</v>
      </c>
      <c r="J752" s="1">
        <v>3</v>
      </c>
      <c r="K752" s="1">
        <v>3</v>
      </c>
      <c r="M752" s="4">
        <v>1487</v>
      </c>
      <c r="N752" s="1">
        <v>1864</v>
      </c>
      <c r="O752" s="1">
        <v>1893</v>
      </c>
      <c r="P752" s="1">
        <v>29</v>
      </c>
      <c r="Q752" s="1" t="s">
        <v>42</v>
      </c>
      <c r="S752" s="1" t="s">
        <v>42</v>
      </c>
      <c r="T752" s="1" t="s">
        <v>228</v>
      </c>
      <c r="V752" s="5">
        <v>44407</v>
      </c>
      <c r="W752" s="5">
        <v>44407</v>
      </c>
      <c r="X752" s="1">
        <v>3240000</v>
      </c>
      <c r="Z752" s="5">
        <v>44407</v>
      </c>
      <c r="AB752" s="1" t="s">
        <v>44</v>
      </c>
      <c r="AF752" s="1">
        <v>10002</v>
      </c>
      <c r="AI752" s="1" t="s">
        <v>246</v>
      </c>
      <c r="AJ752" s="1">
        <v>2019</v>
      </c>
      <c r="AK752" s="1" t="s">
        <v>46</v>
      </c>
      <c r="AL752" s="1">
        <v>787</v>
      </c>
    </row>
    <row r="753" spans="1:38" x14ac:dyDescent="0.2">
      <c r="A753" s="2" t="str">
        <f>HYPERLINK("https://www.compass.com/listing/252-south-street-unit-27m-manhattan-ny-10002/839810698736070001/","252 South St, Unit 27M")</f>
        <v>252 South St, Unit 27M</v>
      </c>
      <c r="B753" s="2" t="str">
        <f t="shared" si="91"/>
        <v>One Manhattan Square</v>
      </c>
      <c r="C753" s="1" t="s">
        <v>47</v>
      </c>
      <c r="D753" s="1" t="s">
        <v>41</v>
      </c>
      <c r="E753" s="3">
        <v>2483000</v>
      </c>
      <c r="F753" s="1">
        <v>2211.04185218165</v>
      </c>
      <c r="G753" s="1">
        <v>4</v>
      </c>
      <c r="H753" s="1">
        <v>2</v>
      </c>
      <c r="I753" s="1">
        <v>2</v>
      </c>
      <c r="J753" s="1">
        <v>2</v>
      </c>
      <c r="K753" s="1">
        <v>2</v>
      </c>
      <c r="M753" s="4">
        <v>1123</v>
      </c>
      <c r="N753" s="1">
        <v>1312</v>
      </c>
      <c r="O753" s="1">
        <v>1333</v>
      </c>
      <c r="P753" s="1">
        <v>21</v>
      </c>
      <c r="Q753" s="1" t="s">
        <v>42</v>
      </c>
      <c r="S753" s="1" t="s">
        <v>42</v>
      </c>
      <c r="T753" s="1" t="s">
        <v>228</v>
      </c>
      <c r="U753" s="1">
        <v>3</v>
      </c>
      <c r="V753" s="5">
        <v>44411</v>
      </c>
      <c r="W753" s="5">
        <v>44407</v>
      </c>
      <c r="X753" s="1">
        <v>2483000</v>
      </c>
      <c r="Z753" s="5">
        <v>44411</v>
      </c>
      <c r="AB753" s="1" t="s">
        <v>44</v>
      </c>
      <c r="AF753" s="1">
        <v>10002</v>
      </c>
      <c r="AI753" s="1" t="s">
        <v>246</v>
      </c>
      <c r="AJ753" s="1">
        <v>2019</v>
      </c>
      <c r="AK753" s="1" t="s">
        <v>46</v>
      </c>
      <c r="AL753" s="1">
        <v>787</v>
      </c>
    </row>
    <row r="754" spans="1:38" x14ac:dyDescent="0.2">
      <c r="A754" s="2" t="str">
        <f>HYPERLINK("https://www.compass.com/listing/16-west-40th-street-unit-21d-manhattan-ny-10018/26452763219158017/","16 W 40th St, Unit 21D")</f>
        <v>16 W 40th St, Unit 21D</v>
      </c>
      <c r="B754" s="2" t="str">
        <f>HYPERLINK("https://www.compass.com/building/the-bryant-manhattan-ny/281942863485395813/","The Bryant")</f>
        <v>The Bryant</v>
      </c>
      <c r="C754" s="1" t="s">
        <v>126</v>
      </c>
      <c r="D754" s="1" t="s">
        <v>41</v>
      </c>
      <c r="E754" s="3">
        <v>2385000</v>
      </c>
      <c r="F754" s="1">
        <v>2235.2389878162999</v>
      </c>
      <c r="G754" s="1">
        <v>3</v>
      </c>
      <c r="H754" s="1">
        <v>1</v>
      </c>
      <c r="I754" s="1">
        <v>1</v>
      </c>
      <c r="J754" s="1">
        <v>1</v>
      </c>
      <c r="K754" s="1">
        <v>1</v>
      </c>
      <c r="M754" s="4">
        <v>1067</v>
      </c>
      <c r="N754" s="1">
        <v>2031</v>
      </c>
      <c r="O754" s="1">
        <v>3874</v>
      </c>
      <c r="P754" s="1">
        <v>1843</v>
      </c>
      <c r="Q754" s="1" t="s">
        <v>42</v>
      </c>
      <c r="S754" s="1" t="s">
        <v>42</v>
      </c>
      <c r="T754" s="1" t="s">
        <v>228</v>
      </c>
      <c r="U754" s="1">
        <v>795</v>
      </c>
      <c r="V754" s="5">
        <v>44418</v>
      </c>
      <c r="W754" s="5">
        <v>43362</v>
      </c>
      <c r="Z754" s="5">
        <v>44251</v>
      </c>
      <c r="AB754" s="1" t="s">
        <v>44</v>
      </c>
      <c r="AF754" s="1">
        <v>10018</v>
      </c>
      <c r="AI754" s="1" t="s">
        <v>58</v>
      </c>
      <c r="AJ754" s="1">
        <v>2017</v>
      </c>
      <c r="AK754" s="1" t="s">
        <v>46</v>
      </c>
      <c r="AL754" s="1">
        <v>57</v>
      </c>
    </row>
    <row r="755" spans="1:38" x14ac:dyDescent="0.2">
      <c r="A755" s="2" t="str">
        <f>HYPERLINK("https://www.compass.com/listing/695-1st-avenue-unit-33j-manhattan-ny-10016/126011963837812593/","695 1st Ave, Unit 33J")</f>
        <v>695 1st Ave, Unit 33J</v>
      </c>
      <c r="B755" s="2" t="str">
        <f t="shared" ref="B755:B759" si="92">HYPERLINK("https://www.compass.com/building/one-united-nations-park-manhattan-ny/282058773630059653/","One United Nations Park")</f>
        <v>One United Nations Park</v>
      </c>
      <c r="C755" s="1" t="s">
        <v>59</v>
      </c>
      <c r="D755" s="1" t="s">
        <v>41</v>
      </c>
      <c r="E755" s="3">
        <v>1750000</v>
      </c>
      <c r="F755" s="1">
        <v>2450.98039215686</v>
      </c>
      <c r="G755" s="1">
        <v>3</v>
      </c>
      <c r="H755" s="1">
        <v>1</v>
      </c>
      <c r="I755" s="1">
        <v>1</v>
      </c>
      <c r="J755" s="1">
        <v>1</v>
      </c>
      <c r="K755" s="1">
        <v>1</v>
      </c>
      <c r="M755" s="1">
        <v>714</v>
      </c>
      <c r="N755" s="1">
        <v>957</v>
      </c>
      <c r="O755" s="1">
        <v>2138</v>
      </c>
      <c r="P755" s="1">
        <v>1181</v>
      </c>
      <c r="Q755" s="1" t="s">
        <v>42</v>
      </c>
      <c r="S755" s="1" t="s">
        <v>42</v>
      </c>
      <c r="T755" s="1" t="s">
        <v>228</v>
      </c>
      <c r="V755" s="5">
        <v>44422</v>
      </c>
      <c r="W755" s="5">
        <v>43425</v>
      </c>
      <c r="X755" s="1">
        <v>1750000</v>
      </c>
      <c r="Z755" s="5">
        <v>44237</v>
      </c>
      <c r="AB755" s="1" t="s">
        <v>44</v>
      </c>
      <c r="AF755" s="1">
        <v>10016</v>
      </c>
      <c r="AJ755" s="1">
        <v>2019</v>
      </c>
      <c r="AK755" s="1" t="s">
        <v>46</v>
      </c>
      <c r="AL755" s="1">
        <v>148</v>
      </c>
    </row>
    <row r="756" spans="1:38" x14ac:dyDescent="0.2">
      <c r="A756" s="2" t="str">
        <f>HYPERLINK("https://www.compass.com/listing/695-1st-avenue-unit-33a-manhattan-ny-10016/797021449250956089/","695 1st Ave, Unit 33A")</f>
        <v>695 1st Ave, Unit 33A</v>
      </c>
      <c r="B756" s="2" t="str">
        <f t="shared" si="92"/>
        <v>One United Nations Park</v>
      </c>
      <c r="C756" s="1" t="s">
        <v>59</v>
      </c>
      <c r="D756" s="1" t="s">
        <v>41</v>
      </c>
      <c r="E756" s="3">
        <v>1415000</v>
      </c>
      <c r="F756" s="1">
        <v>1816.43132220795</v>
      </c>
      <c r="G756" s="1">
        <v>3</v>
      </c>
      <c r="H756" s="1">
        <v>1</v>
      </c>
      <c r="I756" s="1">
        <v>1</v>
      </c>
      <c r="J756" s="1">
        <v>1</v>
      </c>
      <c r="K756" s="1">
        <v>1</v>
      </c>
      <c r="M756" s="1">
        <v>779</v>
      </c>
      <c r="N756" s="1">
        <v>1044</v>
      </c>
      <c r="O756" s="1">
        <v>2284</v>
      </c>
      <c r="P756" s="1">
        <v>1240</v>
      </c>
      <c r="Q756" s="1" t="s">
        <v>42</v>
      </c>
      <c r="S756" s="1" t="s">
        <v>42</v>
      </c>
      <c r="T756" s="1" t="s">
        <v>228</v>
      </c>
      <c r="U756" s="1">
        <v>239</v>
      </c>
      <c r="V756" s="5">
        <v>44426</v>
      </c>
      <c r="W756" s="5">
        <v>44172</v>
      </c>
      <c r="X756" s="1">
        <v>1415000</v>
      </c>
      <c r="Z756" s="5">
        <v>44412</v>
      </c>
      <c r="AB756" s="1" t="s">
        <v>44</v>
      </c>
      <c r="AF756" s="1">
        <v>10016</v>
      </c>
      <c r="AJ756" s="1">
        <v>2019</v>
      </c>
      <c r="AK756" s="1" t="s">
        <v>46</v>
      </c>
      <c r="AL756" s="1">
        <v>148</v>
      </c>
    </row>
    <row r="757" spans="1:38" x14ac:dyDescent="0.2">
      <c r="A757" s="2" t="str">
        <f>HYPERLINK("https://www.compass.com/listing/695-1st-avenue-unit-29l-manhattan-ny-10016/207905477890157985/","695 1st Ave, Unit 29L")</f>
        <v>695 1st Ave, Unit 29L</v>
      </c>
      <c r="B757" s="2" t="str">
        <f t="shared" si="92"/>
        <v>One United Nations Park</v>
      </c>
      <c r="C757" s="1" t="s">
        <v>59</v>
      </c>
      <c r="D757" s="1" t="s">
        <v>41</v>
      </c>
      <c r="E757" s="3">
        <v>1395000</v>
      </c>
      <c r="F757" s="1">
        <v>1835.5263157894699</v>
      </c>
      <c r="G757" s="1">
        <v>3</v>
      </c>
      <c r="H757" s="1">
        <v>1</v>
      </c>
      <c r="I757" s="1">
        <v>1</v>
      </c>
      <c r="J757" s="1">
        <v>1</v>
      </c>
      <c r="K757" s="1">
        <v>1</v>
      </c>
      <c r="M757" s="1">
        <v>760</v>
      </c>
      <c r="N757" s="1">
        <v>1019</v>
      </c>
      <c r="O757" s="1">
        <v>2276</v>
      </c>
      <c r="P757" s="1">
        <v>1257</v>
      </c>
      <c r="Q757" s="1" t="s">
        <v>42</v>
      </c>
      <c r="S757" s="1" t="s">
        <v>42</v>
      </c>
      <c r="T757" s="1" t="s">
        <v>228</v>
      </c>
      <c r="U757" s="1">
        <v>217</v>
      </c>
      <c r="V757" s="5">
        <v>44422</v>
      </c>
      <c r="W757" s="5">
        <v>43536</v>
      </c>
      <c r="X757" s="1">
        <v>1520000</v>
      </c>
      <c r="Z757" s="5">
        <v>43753</v>
      </c>
      <c r="AB757" s="1" t="s">
        <v>44</v>
      </c>
      <c r="AF757" s="1">
        <v>10016</v>
      </c>
      <c r="AI757" s="1" t="s">
        <v>231</v>
      </c>
      <c r="AJ757" s="1">
        <v>2019</v>
      </c>
      <c r="AK757" s="1" t="s">
        <v>46</v>
      </c>
      <c r="AL757" s="1">
        <v>148</v>
      </c>
    </row>
    <row r="758" spans="1:38" x14ac:dyDescent="0.2">
      <c r="A758" s="2" t="str">
        <f>HYPERLINK("https://www.compass.com/listing/695-1st-avenue-unit-30a-manhattan-ny-10016/350679650787278497/","695 1st Ave, Unit 30A")</f>
        <v>695 1st Ave, Unit 30A</v>
      </c>
      <c r="B758" s="2" t="str">
        <f t="shared" si="92"/>
        <v>One United Nations Park</v>
      </c>
      <c r="C758" s="1" t="s">
        <v>59</v>
      </c>
      <c r="D758" s="1" t="s">
        <v>41</v>
      </c>
      <c r="E758" s="3">
        <v>1550000</v>
      </c>
      <c r="F758" s="1">
        <v>1989.73042362002</v>
      </c>
      <c r="G758" s="1">
        <v>3</v>
      </c>
      <c r="H758" s="1">
        <v>1</v>
      </c>
      <c r="I758" s="1">
        <v>1</v>
      </c>
      <c r="J758" s="1">
        <v>1</v>
      </c>
      <c r="K758" s="1">
        <v>1</v>
      </c>
      <c r="M758" s="1">
        <v>779</v>
      </c>
      <c r="N758" s="1">
        <v>1044</v>
      </c>
      <c r="O758" s="1">
        <v>2284</v>
      </c>
      <c r="P758" s="1">
        <v>1240</v>
      </c>
      <c r="Q758" s="1" t="s">
        <v>42</v>
      </c>
      <c r="S758" s="1" t="s">
        <v>42</v>
      </c>
      <c r="T758" s="1" t="s">
        <v>228</v>
      </c>
      <c r="V758" s="5">
        <v>44422</v>
      </c>
      <c r="W758" s="5">
        <v>43732</v>
      </c>
      <c r="X758" s="1">
        <v>1550000</v>
      </c>
      <c r="Z758" s="5">
        <v>44174</v>
      </c>
      <c r="AB758" s="1" t="s">
        <v>44</v>
      </c>
      <c r="AF758" s="1">
        <v>10016</v>
      </c>
      <c r="AJ758" s="1">
        <v>2019</v>
      </c>
      <c r="AK758" s="1" t="s">
        <v>46</v>
      </c>
      <c r="AL758" s="1">
        <v>148</v>
      </c>
    </row>
    <row r="759" spans="1:38" x14ac:dyDescent="0.2">
      <c r="A759" s="2" t="str">
        <f>HYPERLINK("https://www.compass.com/listing/695-1st-avenue-unit-30c-manhattan-ny-10016/355731371038272673/","695 1st Ave, Unit 30C")</f>
        <v>695 1st Ave, Unit 30C</v>
      </c>
      <c r="B759" s="2" t="str">
        <f t="shared" si="92"/>
        <v>One United Nations Park</v>
      </c>
      <c r="C759" s="1" t="s">
        <v>59</v>
      </c>
      <c r="D759" s="1" t="s">
        <v>41</v>
      </c>
      <c r="E759" s="3">
        <v>1385000</v>
      </c>
      <c r="F759" s="1">
        <v>1822.3684210526301</v>
      </c>
      <c r="G759" s="1">
        <v>3</v>
      </c>
      <c r="H759" s="1">
        <v>1</v>
      </c>
      <c r="I759" s="1">
        <v>1</v>
      </c>
      <c r="J759" s="1">
        <v>1</v>
      </c>
      <c r="K759" s="1">
        <v>1</v>
      </c>
      <c r="M759" s="1">
        <v>760</v>
      </c>
      <c r="N759" s="1">
        <v>1019</v>
      </c>
      <c r="O759" s="1">
        <v>2229</v>
      </c>
      <c r="P759" s="1">
        <v>1210</v>
      </c>
      <c r="Q759" s="1" t="s">
        <v>42</v>
      </c>
      <c r="S759" s="1" t="s">
        <v>42</v>
      </c>
      <c r="T759" s="1" t="s">
        <v>228</v>
      </c>
      <c r="V759" s="5">
        <v>44422</v>
      </c>
      <c r="W759" s="5">
        <v>43586</v>
      </c>
      <c r="X759" s="1">
        <v>1625000</v>
      </c>
      <c r="Z759" s="5">
        <v>44174</v>
      </c>
      <c r="AB759" s="1" t="s">
        <v>44</v>
      </c>
      <c r="AF759" s="1">
        <v>10016</v>
      </c>
      <c r="AJ759" s="1">
        <v>2019</v>
      </c>
      <c r="AK759" s="1" t="s">
        <v>46</v>
      </c>
      <c r="AL759" s="1">
        <v>148</v>
      </c>
    </row>
    <row r="760" spans="1:38" x14ac:dyDescent="0.2">
      <c r="A760" s="2" t="str">
        <f>HYPERLINK("https://www.compass.com/listing/252-south-street-unit-46d-manhattan-ny-10002/836999591800919577/","252 South St, Unit 46D")</f>
        <v>252 South St, Unit 46D</v>
      </c>
      <c r="B760" s="2" t="str">
        <f t="shared" ref="B760:B761" si="93">HYPERLINK("https://www.compass.com/building/one-manhattan-square-manhattan-ny/294844950218926165/","One Manhattan Square")</f>
        <v>One Manhattan Square</v>
      </c>
      <c r="C760" s="1" t="s">
        <v>47</v>
      </c>
      <c r="D760" s="1" t="s">
        <v>41</v>
      </c>
      <c r="E760" s="3">
        <v>2680000</v>
      </c>
      <c r="F760" s="1">
        <v>2302.4054982817802</v>
      </c>
      <c r="G760" s="1">
        <v>4</v>
      </c>
      <c r="H760" s="1">
        <v>2</v>
      </c>
      <c r="I760" s="1">
        <v>2</v>
      </c>
      <c r="J760" s="1">
        <v>2</v>
      </c>
      <c r="K760" s="1">
        <v>2</v>
      </c>
      <c r="M760" s="4">
        <v>1164</v>
      </c>
      <c r="N760" s="1">
        <v>1471</v>
      </c>
      <c r="O760" s="1">
        <v>1494</v>
      </c>
      <c r="P760" s="1">
        <v>23</v>
      </c>
      <c r="Q760" s="1" t="s">
        <v>42</v>
      </c>
      <c r="S760" s="1" t="s">
        <v>42</v>
      </c>
      <c r="T760" s="1" t="s">
        <v>228</v>
      </c>
      <c r="V760" s="5">
        <v>44407</v>
      </c>
      <c r="W760" s="5">
        <v>44406</v>
      </c>
      <c r="X760" s="1">
        <v>2680000</v>
      </c>
      <c r="Z760" s="5">
        <v>44407</v>
      </c>
      <c r="AB760" s="1" t="s">
        <v>44</v>
      </c>
      <c r="AF760" s="1">
        <v>10002</v>
      </c>
      <c r="AI760" s="1" t="s">
        <v>246</v>
      </c>
      <c r="AJ760" s="1">
        <v>2019</v>
      </c>
      <c r="AK760" s="1" t="s">
        <v>46</v>
      </c>
      <c r="AL760" s="1">
        <v>787</v>
      </c>
    </row>
    <row r="761" spans="1:38" x14ac:dyDescent="0.2">
      <c r="A761" s="2" t="str">
        <f>HYPERLINK("https://www.compass.com/listing/252-south-street-unit-76j-manhattan-ny-10002/837000025777535377/","252 South St, Unit 76J")</f>
        <v>252 South St, Unit 76J</v>
      </c>
      <c r="B761" s="2" t="str">
        <f t="shared" si="93"/>
        <v>One Manhattan Square</v>
      </c>
      <c r="C761" s="1" t="s">
        <v>47</v>
      </c>
      <c r="D761" s="1" t="s">
        <v>41</v>
      </c>
      <c r="E761" s="3">
        <v>6843000</v>
      </c>
      <c r="F761" s="1">
        <v>2915.6369833830399</v>
      </c>
      <c r="G761" s="1">
        <v>5.5</v>
      </c>
      <c r="H761" s="1">
        <v>3</v>
      </c>
      <c r="I761" s="1">
        <v>4</v>
      </c>
      <c r="J761" s="1">
        <v>3.5</v>
      </c>
      <c r="K761" s="1">
        <v>3</v>
      </c>
      <c r="L761" s="1">
        <v>1</v>
      </c>
      <c r="M761" s="4">
        <v>2347</v>
      </c>
      <c r="N761" s="1">
        <v>3375</v>
      </c>
      <c r="O761" s="1">
        <v>3428</v>
      </c>
      <c r="P761" s="1">
        <v>53</v>
      </c>
      <c r="Q761" s="1" t="s">
        <v>42</v>
      </c>
      <c r="S761" s="1" t="s">
        <v>42</v>
      </c>
      <c r="T761" s="1" t="s">
        <v>228</v>
      </c>
      <c r="V761" s="5">
        <v>44407</v>
      </c>
      <c r="W761" s="5">
        <v>44406</v>
      </c>
      <c r="X761" s="1">
        <v>6843000</v>
      </c>
      <c r="Z761" s="5">
        <v>44407</v>
      </c>
      <c r="AB761" s="1" t="s">
        <v>44</v>
      </c>
      <c r="AF761" s="1">
        <v>10002</v>
      </c>
      <c r="AI761" s="1" t="s">
        <v>246</v>
      </c>
      <c r="AJ761" s="1">
        <v>2019</v>
      </c>
      <c r="AK761" s="1" t="s">
        <v>46</v>
      </c>
      <c r="AL761" s="1">
        <v>787</v>
      </c>
    </row>
    <row r="762" spans="1:38" x14ac:dyDescent="0.2">
      <c r="A762" s="2" t="str">
        <f>HYPERLINK("https://www.compass.com/listing/16-west-40th-street-unit-25a-manhattan-ny-10018/29514371331915185/","16 W 40th St, Unit 25A")</f>
        <v>16 W 40th St, Unit 25A</v>
      </c>
      <c r="B762" s="2" t="str">
        <f t="shared" ref="B762:B763" si="94">HYPERLINK("https://www.compass.com/building/the-bryant-manhattan-ny/281942863485395813/","The Bryant")</f>
        <v>The Bryant</v>
      </c>
      <c r="C762" s="1" t="s">
        <v>126</v>
      </c>
      <c r="D762" s="1" t="s">
        <v>41</v>
      </c>
      <c r="E762" s="3">
        <v>4980000</v>
      </c>
      <c r="F762" s="1">
        <v>3018.1818181818098</v>
      </c>
      <c r="G762" s="1">
        <v>3.5</v>
      </c>
      <c r="H762" s="1">
        <v>2</v>
      </c>
      <c r="I762" s="1">
        <v>3</v>
      </c>
      <c r="J762" s="1">
        <v>2.5</v>
      </c>
      <c r="K762" s="1">
        <v>2</v>
      </c>
      <c r="L762" s="1">
        <v>1</v>
      </c>
      <c r="M762" s="4">
        <v>1650</v>
      </c>
      <c r="N762" s="1">
        <v>2955</v>
      </c>
      <c r="O762" s="1">
        <v>5502</v>
      </c>
      <c r="P762" s="1">
        <v>2547</v>
      </c>
      <c r="Q762" s="1" t="s">
        <v>42</v>
      </c>
      <c r="S762" s="1" t="s">
        <v>42</v>
      </c>
      <c r="T762" s="1" t="s">
        <v>228</v>
      </c>
      <c r="U762" s="1">
        <v>10</v>
      </c>
      <c r="V762" s="5">
        <v>44423</v>
      </c>
      <c r="W762" s="5">
        <v>43172</v>
      </c>
      <c r="X762" s="1">
        <v>4980000</v>
      </c>
      <c r="Z762" s="5">
        <v>43183</v>
      </c>
      <c r="AB762" s="1" t="s">
        <v>44</v>
      </c>
      <c r="AF762" s="1">
        <v>10018</v>
      </c>
      <c r="AI762" s="1" t="s">
        <v>254</v>
      </c>
      <c r="AJ762" s="1">
        <v>2017</v>
      </c>
      <c r="AK762" s="1" t="s">
        <v>46</v>
      </c>
      <c r="AL762" s="1">
        <v>57</v>
      </c>
    </row>
    <row r="763" spans="1:38" x14ac:dyDescent="0.2">
      <c r="A763" s="2" t="str">
        <f>HYPERLINK("https://www.compass.com/listing/16-west-40th-street-unit-27a-manhattan-ny-10018/29514372573332801/","16 W 40th St, Unit 27A")</f>
        <v>16 W 40th St, Unit 27A</v>
      </c>
      <c r="B763" s="2" t="str">
        <f t="shared" si="94"/>
        <v>The Bryant</v>
      </c>
      <c r="C763" s="1" t="s">
        <v>126</v>
      </c>
      <c r="D763" s="1" t="s">
        <v>41</v>
      </c>
      <c r="E763" s="3">
        <v>5245000</v>
      </c>
      <c r="F763" s="1">
        <v>3178.7878787878699</v>
      </c>
      <c r="G763" s="1">
        <v>3.5</v>
      </c>
      <c r="H763" s="1">
        <v>2</v>
      </c>
      <c r="I763" s="1">
        <v>3</v>
      </c>
      <c r="J763" s="1">
        <v>2.5</v>
      </c>
      <c r="K763" s="1">
        <v>2</v>
      </c>
      <c r="L763" s="1">
        <v>1</v>
      </c>
      <c r="M763" s="4">
        <v>1650</v>
      </c>
      <c r="N763" s="1">
        <v>2983</v>
      </c>
      <c r="O763" s="1">
        <v>5554</v>
      </c>
      <c r="P763" s="1">
        <v>2571</v>
      </c>
      <c r="Q763" s="1" t="s">
        <v>42</v>
      </c>
      <c r="S763" s="1" t="s">
        <v>42</v>
      </c>
      <c r="T763" s="1" t="s">
        <v>228</v>
      </c>
      <c r="V763" s="5">
        <v>44414</v>
      </c>
      <c r="W763" s="5">
        <v>43172</v>
      </c>
      <c r="X763" s="1">
        <v>5245000</v>
      </c>
      <c r="Z763" s="5">
        <v>43172</v>
      </c>
      <c r="AB763" s="1" t="s">
        <v>44</v>
      </c>
      <c r="AF763" s="1">
        <v>10018</v>
      </c>
      <c r="AI763" s="1" t="s">
        <v>48</v>
      </c>
      <c r="AJ763" s="1">
        <v>2017</v>
      </c>
      <c r="AK763" s="1" t="s">
        <v>46</v>
      </c>
      <c r="AL763" s="1">
        <v>57</v>
      </c>
    </row>
    <row r="764" spans="1:38" x14ac:dyDescent="0.2">
      <c r="A764" s="2" t="str">
        <f>HYPERLINK("https://www.compass.com/listing/805-9th-avenue-unit-2-manhattan-ny-10019/723848910607188289/","805 9th Ave, Unit 2")</f>
        <v>805 9th Ave, Unit 2</v>
      </c>
      <c r="B764" s="2" t="str">
        <f t="shared" ref="B764:B767" si="95">HYPERLINK("https://www.compass.com/building/805-9th-ave-manhattan-ny-10019/281947160365297701/","805 9th Ave")</f>
        <v>805 9th Ave</v>
      </c>
      <c r="C764" s="1" t="s">
        <v>90</v>
      </c>
      <c r="D764" s="1" t="s">
        <v>41</v>
      </c>
      <c r="E764" s="3">
        <v>2325000</v>
      </c>
      <c r="F764" s="1">
        <v>1744.1860465116199</v>
      </c>
      <c r="G764" s="1">
        <v>5</v>
      </c>
      <c r="H764" s="1">
        <v>3</v>
      </c>
      <c r="I764" s="1">
        <v>2</v>
      </c>
      <c r="J764" s="1">
        <v>2</v>
      </c>
      <c r="K764" s="1">
        <v>2</v>
      </c>
      <c r="M764" s="4">
        <v>1333</v>
      </c>
      <c r="N764" s="1">
        <v>745</v>
      </c>
      <c r="O764" s="1">
        <v>2417</v>
      </c>
      <c r="P764" s="1">
        <v>1672</v>
      </c>
      <c r="Q764" s="1" t="s">
        <v>42</v>
      </c>
      <c r="S764" s="1" t="s">
        <v>42</v>
      </c>
      <c r="T764" s="1" t="s">
        <v>228</v>
      </c>
      <c r="U764" s="1">
        <v>120</v>
      </c>
      <c r="V764" s="5">
        <v>44375</v>
      </c>
      <c r="W764" s="5">
        <v>44250</v>
      </c>
      <c r="X764" s="1">
        <v>2325000</v>
      </c>
      <c r="Z764" s="5">
        <v>44370</v>
      </c>
      <c r="AB764" s="1" t="s">
        <v>44</v>
      </c>
      <c r="AF764" s="1">
        <v>10019</v>
      </c>
      <c r="AI764" s="1" t="s">
        <v>156</v>
      </c>
      <c r="AJ764" s="1">
        <v>2015</v>
      </c>
      <c r="AK764" s="1" t="s">
        <v>108</v>
      </c>
      <c r="AL764" s="1">
        <v>5</v>
      </c>
    </row>
    <row r="765" spans="1:38" x14ac:dyDescent="0.2">
      <c r="A765" s="2" t="str">
        <f>HYPERLINK("https://www.compass.com/listing/805-9th-avenue-unit-5-manhattan-ny-10019/703616971143111377/","805 9th Ave, Unit 5")</f>
        <v>805 9th Ave, Unit 5</v>
      </c>
      <c r="B765" s="2" t="str">
        <f t="shared" si="95"/>
        <v>805 9th Ave</v>
      </c>
      <c r="C765" s="1" t="s">
        <v>90</v>
      </c>
      <c r="D765" s="1" t="s">
        <v>41</v>
      </c>
      <c r="E765" s="3">
        <v>2395000</v>
      </c>
      <c r="F765" s="1">
        <v>1796.69917479369</v>
      </c>
      <c r="G765" s="1">
        <v>5</v>
      </c>
      <c r="H765" s="1">
        <v>3</v>
      </c>
      <c r="I765" s="1">
        <v>2</v>
      </c>
      <c r="J765" s="1">
        <v>2</v>
      </c>
      <c r="K765" s="1">
        <v>2</v>
      </c>
      <c r="M765" s="4">
        <v>1333</v>
      </c>
      <c r="N765" s="1">
        <v>817</v>
      </c>
      <c r="O765" s="1">
        <v>2640</v>
      </c>
      <c r="P765" s="1">
        <v>1823</v>
      </c>
      <c r="Q765" s="1" t="s">
        <v>42</v>
      </c>
      <c r="S765" s="1" t="s">
        <v>42</v>
      </c>
      <c r="T765" s="1" t="s">
        <v>228</v>
      </c>
      <c r="U765" s="1">
        <v>76</v>
      </c>
      <c r="V765" s="5">
        <v>44420</v>
      </c>
      <c r="W765" s="5">
        <v>44222</v>
      </c>
      <c r="X765" s="1">
        <v>2395000</v>
      </c>
      <c r="Z765" s="5">
        <v>44299</v>
      </c>
      <c r="AB765" s="1" t="s">
        <v>44</v>
      </c>
      <c r="AF765" s="1">
        <v>10019</v>
      </c>
      <c r="AI765" s="1" t="s">
        <v>255</v>
      </c>
      <c r="AJ765" s="1">
        <v>2015</v>
      </c>
      <c r="AK765" s="1" t="s">
        <v>108</v>
      </c>
      <c r="AL765" s="1">
        <v>5</v>
      </c>
    </row>
    <row r="766" spans="1:38" x14ac:dyDescent="0.2">
      <c r="A766" s="2" t="str">
        <f>HYPERLINK("https://www.compass.com/listing/805-9th-avenue-unit-ph-manhattan-ny-10019/622455573369456729/","805 9th Ave, Unit PH")</f>
        <v>805 9th Ave, Unit PH</v>
      </c>
      <c r="B766" s="2" t="str">
        <f t="shared" si="95"/>
        <v>805 9th Ave</v>
      </c>
      <c r="C766" s="1" t="s">
        <v>90</v>
      </c>
      <c r="D766" s="1" t="s">
        <v>41</v>
      </c>
      <c r="E766" s="3">
        <v>3295000</v>
      </c>
      <c r="F766" s="1">
        <v>1800.54644808743</v>
      </c>
      <c r="G766" s="1">
        <v>5</v>
      </c>
      <c r="H766" s="1">
        <v>3</v>
      </c>
      <c r="I766" s="1">
        <v>2</v>
      </c>
      <c r="J766" s="1">
        <v>2</v>
      </c>
      <c r="K766" s="1">
        <v>2</v>
      </c>
      <c r="M766" s="4">
        <v>1830</v>
      </c>
      <c r="N766" s="1">
        <v>999</v>
      </c>
      <c r="O766" s="1">
        <v>3241</v>
      </c>
      <c r="P766" s="1">
        <v>2242</v>
      </c>
      <c r="Q766" s="1" t="s">
        <v>42</v>
      </c>
      <c r="S766" s="1" t="s">
        <v>42</v>
      </c>
      <c r="T766" s="1" t="s">
        <v>228</v>
      </c>
      <c r="U766" s="1">
        <v>137</v>
      </c>
      <c r="V766" s="5">
        <v>44372</v>
      </c>
      <c r="W766" s="5">
        <v>44109</v>
      </c>
      <c r="X766" s="1">
        <v>3295000</v>
      </c>
      <c r="Z766" s="5">
        <v>44251</v>
      </c>
      <c r="AB766" s="1" t="s">
        <v>44</v>
      </c>
      <c r="AF766" s="1">
        <v>10019</v>
      </c>
      <c r="AI766" s="1" t="s">
        <v>256</v>
      </c>
      <c r="AJ766" s="1">
        <v>2015</v>
      </c>
      <c r="AK766" s="1" t="s">
        <v>257</v>
      </c>
      <c r="AL766" s="1">
        <v>5</v>
      </c>
    </row>
    <row r="767" spans="1:38" x14ac:dyDescent="0.2">
      <c r="A767" s="2" t="str">
        <f>HYPERLINK("https://www.compass.com/listing/805-9th-avenue-unit-4-manhattan-ny-10019/622457716642010905/","805 9th Ave, Unit 4")</f>
        <v>805 9th Ave, Unit 4</v>
      </c>
      <c r="B767" s="2" t="str">
        <f t="shared" si="95"/>
        <v>805 9th Ave</v>
      </c>
      <c r="C767" s="1" t="s">
        <v>90</v>
      </c>
      <c r="D767" s="1" t="s">
        <v>41</v>
      </c>
      <c r="E767" s="3">
        <v>2195000</v>
      </c>
      <c r="F767" s="1">
        <v>1646.6616654163499</v>
      </c>
      <c r="G767" s="1">
        <v>5</v>
      </c>
      <c r="H767" s="1">
        <v>3</v>
      </c>
      <c r="I767" s="1">
        <v>2</v>
      </c>
      <c r="J767" s="1">
        <v>2</v>
      </c>
      <c r="K767" s="1">
        <v>2</v>
      </c>
      <c r="M767" s="4">
        <v>1333</v>
      </c>
      <c r="N767" s="1">
        <v>703</v>
      </c>
      <c r="O767" s="1">
        <v>2279</v>
      </c>
      <c r="P767" s="1">
        <v>1576</v>
      </c>
      <c r="Q767" s="1" t="s">
        <v>42</v>
      </c>
      <c r="S767" s="1" t="s">
        <v>42</v>
      </c>
      <c r="T767" s="1" t="s">
        <v>228</v>
      </c>
      <c r="U767" s="1">
        <v>188</v>
      </c>
      <c r="V767" s="5">
        <v>44423</v>
      </c>
      <c r="W767" s="5">
        <v>44109</v>
      </c>
      <c r="X767" s="1">
        <v>2275000</v>
      </c>
      <c r="Z767" s="5">
        <v>44302</v>
      </c>
      <c r="AB767" s="1" t="s">
        <v>44</v>
      </c>
      <c r="AF767" s="1">
        <v>10019</v>
      </c>
      <c r="AI767" s="1" t="s">
        <v>258</v>
      </c>
      <c r="AJ767" s="1">
        <v>2015</v>
      </c>
      <c r="AK767" s="1" t="s">
        <v>108</v>
      </c>
      <c r="AL767" s="1">
        <v>5</v>
      </c>
    </row>
    <row r="768" spans="1:38" x14ac:dyDescent="0.2">
      <c r="A768" s="2" t="str">
        <f>HYPERLINK("https://www.compass.com/listing/695-1st-avenue-unit-36d-manhattan-ny-10016/759429445563714953/","695 1st Ave, Unit 36D")</f>
        <v>695 1st Ave, Unit 36D</v>
      </c>
      <c r="B768" s="2" t="str">
        <f>HYPERLINK("https://www.compass.com/building/one-united-nations-park-manhattan-ny/282058773630059653/","One United Nations Park")</f>
        <v>One United Nations Park</v>
      </c>
      <c r="C768" s="1" t="s">
        <v>59</v>
      </c>
      <c r="D768" s="1" t="s">
        <v>41</v>
      </c>
      <c r="E768" s="3">
        <v>3115000</v>
      </c>
      <c r="F768" s="1">
        <v>1991.6879795396401</v>
      </c>
      <c r="G768" s="1">
        <v>4</v>
      </c>
      <c r="H768" s="1">
        <v>2</v>
      </c>
      <c r="I768" s="1">
        <v>3</v>
      </c>
      <c r="J768" s="1">
        <v>2.5</v>
      </c>
      <c r="K768" s="1">
        <v>2</v>
      </c>
      <c r="L768" s="1">
        <v>1</v>
      </c>
      <c r="M768" s="4">
        <v>1564</v>
      </c>
      <c r="N768" s="1">
        <v>2097</v>
      </c>
      <c r="O768" s="1">
        <v>4587</v>
      </c>
      <c r="P768" s="1">
        <v>2490</v>
      </c>
      <c r="Q768" s="1" t="s">
        <v>42</v>
      </c>
      <c r="S768" s="1" t="s">
        <v>42</v>
      </c>
      <c r="T768" s="1" t="s">
        <v>228</v>
      </c>
      <c r="V768" s="5">
        <v>44420</v>
      </c>
      <c r="W768" s="5">
        <v>44299</v>
      </c>
      <c r="X768" s="1">
        <v>3115000</v>
      </c>
      <c r="Z768" s="5">
        <v>44300</v>
      </c>
      <c r="AB768" s="1" t="s">
        <v>44</v>
      </c>
      <c r="AF768" s="1">
        <v>10016</v>
      </c>
      <c r="AJ768" s="1">
        <v>2019</v>
      </c>
      <c r="AK768" s="1" t="s">
        <v>46</v>
      </c>
      <c r="AL768" s="1">
        <v>148</v>
      </c>
    </row>
    <row r="769" spans="1:38" x14ac:dyDescent="0.2">
      <c r="A769" s="2" t="str">
        <f>HYPERLINK("https://www.compass.com/listing/138-east-50th-street-unit-46b-manhattan-ny-10022/774044661462098265/","138 E 50th St, Unit 46B")</f>
        <v>138 E 50th St, Unit 46B</v>
      </c>
      <c r="B769" s="2" t="str">
        <f t="shared" ref="B769:B771" si="96">HYPERLINK("https://www.compass.com/building/the-centrale-manhattan-ny/281941497232811621/","The Centrale")</f>
        <v>The Centrale</v>
      </c>
      <c r="C769" s="1" t="s">
        <v>116</v>
      </c>
      <c r="D769" s="1" t="s">
        <v>41</v>
      </c>
      <c r="E769" s="3">
        <v>2715000</v>
      </c>
      <c r="F769" s="1">
        <v>2281.5126050420099</v>
      </c>
      <c r="G769" s="1">
        <v>3</v>
      </c>
      <c r="H769" s="1">
        <v>1</v>
      </c>
      <c r="I769" s="1">
        <v>2</v>
      </c>
      <c r="J769" s="1">
        <v>1.5</v>
      </c>
      <c r="K769" s="1">
        <v>1</v>
      </c>
      <c r="L769" s="1">
        <v>1</v>
      </c>
      <c r="M769" s="4">
        <v>1190</v>
      </c>
      <c r="N769" s="1">
        <v>1337</v>
      </c>
      <c r="O769" s="1">
        <v>3328</v>
      </c>
      <c r="P769" s="1">
        <v>1991</v>
      </c>
      <c r="Q769" s="1" t="s">
        <v>42</v>
      </c>
      <c r="S769" s="1" t="s">
        <v>42</v>
      </c>
      <c r="T769" s="1" t="s">
        <v>228</v>
      </c>
      <c r="U769" s="1">
        <v>101</v>
      </c>
      <c r="V769" s="5">
        <v>44425</v>
      </c>
      <c r="W769" s="5">
        <v>44319</v>
      </c>
      <c r="X769" s="1">
        <v>1</v>
      </c>
      <c r="Z769" s="5">
        <v>44421</v>
      </c>
      <c r="AB769" s="1" t="s">
        <v>44</v>
      </c>
      <c r="AF769" s="1">
        <v>10022</v>
      </c>
      <c r="AI769" s="1" t="s">
        <v>48</v>
      </c>
      <c r="AJ769" s="1">
        <v>2019</v>
      </c>
      <c r="AK769" s="1" t="s">
        <v>55</v>
      </c>
      <c r="AL769" s="1">
        <v>124</v>
      </c>
    </row>
    <row r="770" spans="1:38" x14ac:dyDescent="0.2">
      <c r="A770" s="2" t="str">
        <f>HYPERLINK("https://www.compass.com/listing/138-east-50th-street-unit-12b-manhattan-ny-10022/801634799038972457/","138 E 50th St, Unit 12B")</f>
        <v>138 E 50th St, Unit 12B</v>
      </c>
      <c r="B770" s="2" t="str">
        <f t="shared" si="96"/>
        <v>The Centrale</v>
      </c>
      <c r="C770" s="1" t="s">
        <v>116</v>
      </c>
      <c r="D770" s="1" t="s">
        <v>41</v>
      </c>
      <c r="E770" s="3">
        <v>1725000</v>
      </c>
      <c r="F770" s="1">
        <v>2036.59976387249</v>
      </c>
      <c r="G770" s="1">
        <v>3.5</v>
      </c>
      <c r="H770" s="1">
        <v>1</v>
      </c>
      <c r="I770" s="1">
        <v>2</v>
      </c>
      <c r="J770" s="1">
        <v>1.5</v>
      </c>
      <c r="K770" s="1">
        <v>1</v>
      </c>
      <c r="L770" s="1">
        <v>1</v>
      </c>
      <c r="M770" s="1">
        <v>847</v>
      </c>
      <c r="N770" s="1">
        <v>834</v>
      </c>
      <c r="O770" s="1">
        <v>2076</v>
      </c>
      <c r="P770" s="1">
        <v>1242</v>
      </c>
      <c r="Q770" s="1" t="s">
        <v>42</v>
      </c>
      <c r="S770" s="1" t="s">
        <v>42</v>
      </c>
      <c r="T770" s="1" t="s">
        <v>228</v>
      </c>
      <c r="U770" s="1">
        <v>86</v>
      </c>
      <c r="V770" s="5">
        <v>44425</v>
      </c>
      <c r="W770" s="5">
        <v>44321</v>
      </c>
      <c r="X770" s="1">
        <v>1</v>
      </c>
      <c r="Z770" s="5">
        <v>44408</v>
      </c>
      <c r="AB770" s="1" t="s">
        <v>44</v>
      </c>
      <c r="AF770" s="1">
        <v>10022</v>
      </c>
      <c r="AI770" s="1" t="s">
        <v>48</v>
      </c>
      <c r="AJ770" s="1">
        <v>2019</v>
      </c>
      <c r="AK770" s="1" t="s">
        <v>55</v>
      </c>
      <c r="AL770" s="1">
        <v>124</v>
      </c>
    </row>
    <row r="771" spans="1:38" x14ac:dyDescent="0.2">
      <c r="A771" s="2" t="str">
        <f>HYPERLINK("https://www.compass.com/listing/138-east-50th-street-unit-12b-manhattan-ny-10022/797709431108916153/","138 E 50th St, Unit 12B")</f>
        <v>138 E 50th St, Unit 12B</v>
      </c>
      <c r="B771" s="2" t="str">
        <f t="shared" si="96"/>
        <v>The Centrale</v>
      </c>
      <c r="C771" s="1" t="s">
        <v>116</v>
      </c>
      <c r="D771" s="1" t="s">
        <v>41</v>
      </c>
      <c r="E771" s="3">
        <v>1725000</v>
      </c>
      <c r="F771" s="1">
        <v>2036.59976387249</v>
      </c>
      <c r="G771" s="1">
        <v>3</v>
      </c>
      <c r="H771" s="1">
        <v>1</v>
      </c>
      <c r="J771" s="1">
        <v>1.5</v>
      </c>
      <c r="M771" s="1">
        <v>847</v>
      </c>
      <c r="N771" s="1">
        <v>834</v>
      </c>
      <c r="O771" s="1">
        <v>2076</v>
      </c>
      <c r="P771" s="1">
        <v>1242</v>
      </c>
      <c r="S771" s="1" t="s">
        <v>42</v>
      </c>
      <c r="T771" s="1" t="s">
        <v>228</v>
      </c>
      <c r="U771" s="1">
        <v>86</v>
      </c>
      <c r="V771" s="5">
        <v>44412</v>
      </c>
      <c r="W771" s="5">
        <v>44321</v>
      </c>
      <c r="X771" s="1">
        <v>1725000</v>
      </c>
      <c r="Z771" s="5">
        <v>44407</v>
      </c>
      <c r="AB771" s="1" t="s">
        <v>44</v>
      </c>
      <c r="AF771" s="1">
        <v>10022</v>
      </c>
      <c r="AI771" s="1" t="s">
        <v>259</v>
      </c>
      <c r="AJ771" s="1">
        <v>2019</v>
      </c>
      <c r="AK771" s="1" t="s">
        <v>46</v>
      </c>
      <c r="AL771" s="1">
        <v>124</v>
      </c>
    </row>
    <row r="772" spans="1:38" x14ac:dyDescent="0.2">
      <c r="A772" s="2" t="str">
        <f>HYPERLINK("https://www.compass.com/listing/695-1st-avenue-unit-31k-manhattan-ny-10016/804183371386988665/","695 1st Ave, Unit 31K")</f>
        <v>695 1st Ave, Unit 31K</v>
      </c>
      <c r="B772" s="2" t="str">
        <f t="shared" ref="B772:B776" si="97">HYPERLINK("https://www.compass.com/building/one-united-nations-park-manhattan-ny/282058773630059653/","One United Nations Park")</f>
        <v>One United Nations Park</v>
      </c>
      <c r="C772" s="1" t="s">
        <v>59</v>
      </c>
      <c r="D772" s="1" t="s">
        <v>41</v>
      </c>
      <c r="E772" s="3">
        <v>2120000</v>
      </c>
      <c r="F772" s="1">
        <v>1460.05509641873</v>
      </c>
      <c r="G772" s="1">
        <v>4</v>
      </c>
      <c r="H772" s="1">
        <v>2</v>
      </c>
      <c r="I772" s="1">
        <v>3</v>
      </c>
      <c r="J772" s="1">
        <v>2.5</v>
      </c>
      <c r="K772" s="1">
        <v>2</v>
      </c>
      <c r="L772" s="1">
        <v>1</v>
      </c>
      <c r="M772" s="4">
        <v>1452</v>
      </c>
      <c r="N772" s="1">
        <v>1946</v>
      </c>
      <c r="O772" s="1">
        <v>4257</v>
      </c>
      <c r="P772" s="1">
        <v>2311</v>
      </c>
      <c r="Q772" s="1" t="s">
        <v>42</v>
      </c>
      <c r="S772" s="1" t="s">
        <v>42</v>
      </c>
      <c r="T772" s="1" t="s">
        <v>228</v>
      </c>
      <c r="V772" s="5">
        <v>44426</v>
      </c>
      <c r="W772" s="5">
        <v>44207</v>
      </c>
      <c r="X772" s="1">
        <v>2120000</v>
      </c>
      <c r="Z772" s="5">
        <v>44207</v>
      </c>
      <c r="AB772" s="1" t="s">
        <v>44</v>
      </c>
      <c r="AF772" s="1">
        <v>10016</v>
      </c>
      <c r="AJ772" s="1">
        <v>2019</v>
      </c>
      <c r="AK772" s="1" t="s">
        <v>46</v>
      </c>
      <c r="AL772" s="1">
        <v>148</v>
      </c>
    </row>
    <row r="773" spans="1:38" x14ac:dyDescent="0.2">
      <c r="A773" s="2" t="str">
        <f>HYPERLINK("https://www.compass.com/listing/695-1st-avenue-unit-30k-manhattan-ny-10016/804184005087850185/","695 1st Ave, Unit 30K")</f>
        <v>695 1st Ave, Unit 30K</v>
      </c>
      <c r="B773" s="2" t="str">
        <f t="shared" si="97"/>
        <v>One United Nations Park</v>
      </c>
      <c r="C773" s="1" t="s">
        <v>59</v>
      </c>
      <c r="D773" s="1" t="s">
        <v>41</v>
      </c>
      <c r="E773" s="3">
        <v>2100000</v>
      </c>
      <c r="F773" s="1">
        <v>1446.2809917355301</v>
      </c>
      <c r="G773" s="1">
        <v>4</v>
      </c>
      <c r="H773" s="1">
        <v>2</v>
      </c>
      <c r="I773" s="1">
        <v>2</v>
      </c>
      <c r="J773" s="1">
        <v>2</v>
      </c>
      <c r="K773" s="1">
        <v>2</v>
      </c>
      <c r="M773" s="4">
        <v>1452</v>
      </c>
      <c r="N773" s="1">
        <v>1946</v>
      </c>
      <c r="O773" s="1">
        <v>4257</v>
      </c>
      <c r="P773" s="1">
        <v>2311</v>
      </c>
      <c r="Q773" s="1" t="s">
        <v>42</v>
      </c>
      <c r="S773" s="1" t="s">
        <v>42</v>
      </c>
      <c r="T773" s="1" t="s">
        <v>228</v>
      </c>
      <c r="V773" s="5">
        <v>44422</v>
      </c>
      <c r="W773" s="5">
        <v>44139</v>
      </c>
      <c r="X773" s="1">
        <v>2100000</v>
      </c>
      <c r="Z773" s="5">
        <v>44139</v>
      </c>
      <c r="AB773" s="1" t="s">
        <v>44</v>
      </c>
      <c r="AF773" s="1">
        <v>10016</v>
      </c>
      <c r="AJ773" s="1">
        <v>2019</v>
      </c>
      <c r="AK773" s="1" t="s">
        <v>46</v>
      </c>
      <c r="AL773" s="1">
        <v>148</v>
      </c>
    </row>
    <row r="774" spans="1:38" x14ac:dyDescent="0.2">
      <c r="A774" s="2" t="str">
        <f>HYPERLINK("https://www.compass.com/listing/695-1st-avenue-unit-30d-manhattan-ny-10016/345664160373019169/","695 1st Ave, Unit 30D")</f>
        <v>695 1st Ave, Unit 30D</v>
      </c>
      <c r="B774" s="2" t="str">
        <f t="shared" si="97"/>
        <v>One United Nations Park</v>
      </c>
      <c r="C774" s="1" t="s">
        <v>59</v>
      </c>
      <c r="D774" s="1" t="s">
        <v>41</v>
      </c>
      <c r="E774" s="3">
        <v>2500000</v>
      </c>
      <c r="F774" s="1">
        <v>1598.4654731457799</v>
      </c>
      <c r="G774" s="1">
        <v>4</v>
      </c>
      <c r="H774" s="1">
        <v>2</v>
      </c>
      <c r="I774" s="1">
        <v>3</v>
      </c>
      <c r="J774" s="1">
        <v>2.5</v>
      </c>
      <c r="K774" s="1">
        <v>2</v>
      </c>
      <c r="L774" s="1">
        <v>1</v>
      </c>
      <c r="M774" s="4">
        <v>1564</v>
      </c>
      <c r="N774" s="1">
        <v>2097</v>
      </c>
      <c r="O774" s="1">
        <v>4587</v>
      </c>
      <c r="P774" s="1">
        <v>2490</v>
      </c>
      <c r="Q774" s="1" t="s">
        <v>42</v>
      </c>
      <c r="S774" s="1" t="s">
        <v>42</v>
      </c>
      <c r="T774" s="1" t="s">
        <v>228</v>
      </c>
      <c r="U774" s="1">
        <v>119</v>
      </c>
      <c r="V774" s="5">
        <v>44422</v>
      </c>
      <c r="W774" s="5">
        <v>44140</v>
      </c>
      <c r="X774" s="1">
        <v>2500000</v>
      </c>
      <c r="Z774" s="5">
        <v>44260</v>
      </c>
      <c r="AB774" s="1" t="s">
        <v>44</v>
      </c>
      <c r="AF774" s="1">
        <v>10016</v>
      </c>
      <c r="AI774" s="1" t="s">
        <v>231</v>
      </c>
      <c r="AJ774" s="1">
        <v>2019</v>
      </c>
      <c r="AK774" s="1" t="s">
        <v>46</v>
      </c>
      <c r="AL774" s="1">
        <v>148</v>
      </c>
    </row>
    <row r="775" spans="1:38" x14ac:dyDescent="0.2">
      <c r="A775" s="2" t="str">
        <f>HYPERLINK("https://www.compass.com/listing/695-1st-avenue-unit-32b-manhattan-ny-10016/623264053517186137/","695 1st Ave, Unit 32B")</f>
        <v>695 1st Ave, Unit 32B</v>
      </c>
      <c r="B775" s="2" t="str">
        <f t="shared" si="97"/>
        <v>One United Nations Park</v>
      </c>
      <c r="C775" s="1" t="s">
        <v>59</v>
      </c>
      <c r="D775" s="1" t="s">
        <v>41</v>
      </c>
      <c r="E775" s="3">
        <v>2995000</v>
      </c>
      <c r="F775" s="1">
        <v>1900.3807106598899</v>
      </c>
      <c r="G775" s="1">
        <v>4</v>
      </c>
      <c r="H775" s="1">
        <v>2</v>
      </c>
      <c r="I775" s="1">
        <v>3</v>
      </c>
      <c r="J775" s="1">
        <v>2.5</v>
      </c>
      <c r="K775" s="1">
        <v>2</v>
      </c>
      <c r="L775" s="1">
        <v>1</v>
      </c>
      <c r="M775" s="4">
        <v>1576</v>
      </c>
      <c r="N775" s="1">
        <v>2113</v>
      </c>
      <c r="O775" s="1">
        <v>4622</v>
      </c>
      <c r="P775" s="1">
        <v>2509</v>
      </c>
      <c r="Q775" s="1" t="s">
        <v>42</v>
      </c>
      <c r="S775" s="1" t="s">
        <v>42</v>
      </c>
      <c r="T775" s="1" t="s">
        <v>228</v>
      </c>
      <c r="U775" s="1">
        <v>288</v>
      </c>
      <c r="V775" s="5">
        <v>44419</v>
      </c>
      <c r="W775" s="5">
        <v>44111</v>
      </c>
      <c r="X775" s="1">
        <v>2995000</v>
      </c>
      <c r="Z775" s="5">
        <v>44419</v>
      </c>
      <c r="AB775" s="1" t="s">
        <v>44</v>
      </c>
      <c r="AF775" s="1">
        <v>10016</v>
      </c>
      <c r="AJ775" s="1">
        <v>2019</v>
      </c>
      <c r="AK775" s="1" t="s">
        <v>46</v>
      </c>
      <c r="AL775" s="1">
        <v>148</v>
      </c>
    </row>
    <row r="776" spans="1:38" x14ac:dyDescent="0.2">
      <c r="A776" s="2" t="str">
        <f>HYPERLINK("https://www.compass.com/listing/695-1st-avenue-unit-31e-manhattan-ny-10016/546391181255573985/","695 1st Ave, Unit 31E")</f>
        <v>695 1st Ave, Unit 31E</v>
      </c>
      <c r="B776" s="2" t="str">
        <f t="shared" si="97"/>
        <v>One United Nations Park</v>
      </c>
      <c r="C776" s="1" t="s">
        <v>59</v>
      </c>
      <c r="D776" s="1" t="s">
        <v>41</v>
      </c>
      <c r="E776" s="3">
        <v>3725000</v>
      </c>
      <c r="F776" s="1">
        <v>1727.7365491651201</v>
      </c>
      <c r="G776" s="1">
        <v>5</v>
      </c>
      <c r="H776" s="1">
        <v>3</v>
      </c>
      <c r="I776" s="1">
        <v>4</v>
      </c>
      <c r="J776" s="1">
        <v>3.5</v>
      </c>
      <c r="K776" s="1">
        <v>3</v>
      </c>
      <c r="L776" s="1">
        <v>1</v>
      </c>
      <c r="M776" s="4">
        <v>2156</v>
      </c>
      <c r="N776" s="1">
        <v>2927</v>
      </c>
      <c r="O776" s="1">
        <v>6403</v>
      </c>
      <c r="P776" s="1">
        <v>3476</v>
      </c>
      <c r="Q776" s="1" t="s">
        <v>42</v>
      </c>
      <c r="S776" s="1" t="s">
        <v>42</v>
      </c>
      <c r="T776" s="1" t="s">
        <v>228</v>
      </c>
      <c r="U776" s="1">
        <v>363</v>
      </c>
      <c r="V776" s="5">
        <v>44413</v>
      </c>
      <c r="W776" s="5">
        <v>44005</v>
      </c>
      <c r="X776" s="1">
        <v>4805000</v>
      </c>
      <c r="Z776" s="5">
        <v>44368</v>
      </c>
      <c r="AB776" s="1" t="s">
        <v>44</v>
      </c>
      <c r="AF776" s="1">
        <v>10016</v>
      </c>
      <c r="AI776" s="1" t="s">
        <v>131</v>
      </c>
      <c r="AJ776" s="1">
        <v>2019</v>
      </c>
      <c r="AK776" s="1" t="s">
        <v>46</v>
      </c>
      <c r="AL776" s="1">
        <v>148</v>
      </c>
    </row>
    <row r="777" spans="1:38" x14ac:dyDescent="0.2">
      <c r="A777" s="2" t="str">
        <f>HYPERLINK("https://www.compass.com/listing/196-orchard-street-unit-5h-manhattan-ny-10002/820278565096571481/","196 Orchard St, Unit 5H")</f>
        <v>196 Orchard St, Unit 5H</v>
      </c>
      <c r="B777" s="2" t="str">
        <f>HYPERLINK("https://www.compass.com/building/196-orchard-st-manhattan-ny-10002/281886194713760485/","196 Orchard St")</f>
        <v>196 Orchard St</v>
      </c>
      <c r="C777" s="1" t="s">
        <v>47</v>
      </c>
      <c r="D777" s="1" t="s">
        <v>41</v>
      </c>
      <c r="E777" s="3">
        <v>3075000</v>
      </c>
      <c r="F777" s="1">
        <v>2261.0294117646999</v>
      </c>
      <c r="G777" s="1">
        <v>4</v>
      </c>
      <c r="H777" s="1">
        <v>2</v>
      </c>
      <c r="I777" s="1">
        <v>2</v>
      </c>
      <c r="J777" s="1">
        <v>2</v>
      </c>
      <c r="K777" s="1">
        <v>2</v>
      </c>
      <c r="M777" s="4">
        <v>1360</v>
      </c>
      <c r="N777" s="1">
        <v>1806</v>
      </c>
      <c r="O777" s="1">
        <v>4031</v>
      </c>
      <c r="P777" s="1">
        <v>2225</v>
      </c>
      <c r="S777" s="1" t="s">
        <v>42</v>
      </c>
      <c r="T777" s="1" t="s">
        <v>228</v>
      </c>
      <c r="V777" s="5">
        <v>44405</v>
      </c>
      <c r="W777" s="5">
        <v>44384</v>
      </c>
      <c r="X777" s="1">
        <v>3075000</v>
      </c>
      <c r="Z777" s="5">
        <v>44384</v>
      </c>
      <c r="AB777" s="1" t="s">
        <v>44</v>
      </c>
      <c r="AF777" s="1">
        <v>10002</v>
      </c>
      <c r="AI777" s="1" t="s">
        <v>165</v>
      </c>
      <c r="AJ777" s="1">
        <v>2018</v>
      </c>
      <c r="AK777" s="1" t="s">
        <v>202</v>
      </c>
      <c r="AL777" s="1">
        <v>89</v>
      </c>
    </row>
    <row r="778" spans="1:38" x14ac:dyDescent="0.2">
      <c r="A778" s="2" t="str">
        <f>HYPERLINK("https://www.compass.com/listing/130-william-street-unit-29b-manhattan-ny-10038/825463179501310977/","130 William St, Unit 29B")</f>
        <v>130 William St, Unit 29B</v>
      </c>
      <c r="B778" s="2" t="str">
        <f t="shared" ref="B778:B779" si="98">HYPERLINK("https://www.compass.com/building/130-william-st-manhattan-ny-10038/282029682239486757/","130 William St")</f>
        <v>130 William St</v>
      </c>
      <c r="C778" s="1" t="s">
        <v>96</v>
      </c>
      <c r="D778" s="1" t="s">
        <v>41</v>
      </c>
      <c r="E778" s="3">
        <v>3215990</v>
      </c>
      <c r="F778" s="1">
        <v>2205.7544581618599</v>
      </c>
      <c r="G778" s="1">
        <v>4</v>
      </c>
      <c r="H778" s="1">
        <v>2</v>
      </c>
      <c r="I778" s="1">
        <v>2</v>
      </c>
      <c r="J778" s="1">
        <v>2</v>
      </c>
      <c r="K778" s="1">
        <v>2</v>
      </c>
      <c r="M778" s="4">
        <v>1458</v>
      </c>
      <c r="N778" s="1">
        <v>1045</v>
      </c>
      <c r="O778" s="1">
        <v>3069</v>
      </c>
      <c r="P778" s="1">
        <v>2024</v>
      </c>
      <c r="Q778" s="1" t="s">
        <v>42</v>
      </c>
      <c r="S778" s="1" t="s">
        <v>42</v>
      </c>
      <c r="T778" s="1" t="s">
        <v>228</v>
      </c>
      <c r="U778" s="1">
        <v>2</v>
      </c>
      <c r="V778" s="5">
        <v>44426</v>
      </c>
      <c r="W778" s="5">
        <v>44391</v>
      </c>
      <c r="X778" s="1">
        <v>3215990</v>
      </c>
      <c r="Z778" s="5">
        <v>44394</v>
      </c>
      <c r="AB778" s="1" t="s">
        <v>44</v>
      </c>
      <c r="AF778" s="1">
        <v>10038</v>
      </c>
      <c r="AI778" s="1" t="s">
        <v>111</v>
      </c>
      <c r="AJ778" s="1">
        <v>2020</v>
      </c>
      <c r="AK778" s="1" t="s">
        <v>46</v>
      </c>
      <c r="AL778" s="1">
        <v>244</v>
      </c>
    </row>
    <row r="779" spans="1:38" x14ac:dyDescent="0.2">
      <c r="A779" s="2" t="str">
        <f>HYPERLINK("https://www.compass.com/listing/130-william-street-unit-47b-manhattan-ny-10038/841313075823421361/","130 William St, Unit 47B")</f>
        <v>130 William St, Unit 47B</v>
      </c>
      <c r="B779" s="2" t="str">
        <f t="shared" si="98"/>
        <v>130 William St</v>
      </c>
      <c r="C779" s="1" t="s">
        <v>96</v>
      </c>
      <c r="D779" s="1" t="s">
        <v>41</v>
      </c>
      <c r="E779" s="3">
        <v>3235990</v>
      </c>
      <c r="F779" s="1">
        <v>2283.6908962596999</v>
      </c>
      <c r="G779" s="1">
        <v>4.5</v>
      </c>
      <c r="H779" s="1">
        <v>2</v>
      </c>
      <c r="I779" s="1">
        <v>3</v>
      </c>
      <c r="J779" s="1">
        <v>2.5</v>
      </c>
      <c r="K779" s="1">
        <v>2</v>
      </c>
      <c r="L779" s="1">
        <v>1</v>
      </c>
      <c r="M779" s="4">
        <v>1417</v>
      </c>
      <c r="N779" s="1">
        <v>1046</v>
      </c>
      <c r="O779" s="1">
        <v>3073</v>
      </c>
      <c r="P779" s="1">
        <v>2027</v>
      </c>
      <c r="Q779" s="1" t="s">
        <v>42</v>
      </c>
      <c r="S779" s="1" t="s">
        <v>42</v>
      </c>
      <c r="T779" s="1" t="s">
        <v>228</v>
      </c>
      <c r="U779" s="1">
        <v>22</v>
      </c>
      <c r="V779" s="5">
        <v>44414</v>
      </c>
      <c r="W779" s="5">
        <v>44391</v>
      </c>
      <c r="X779" s="1">
        <v>3235990</v>
      </c>
      <c r="Z779" s="5">
        <v>44413</v>
      </c>
      <c r="AB779" s="1" t="s">
        <v>44</v>
      </c>
      <c r="AF779" s="1">
        <v>10038</v>
      </c>
      <c r="AI779" s="1" t="s">
        <v>111</v>
      </c>
      <c r="AJ779" s="1">
        <v>2020</v>
      </c>
      <c r="AK779" s="1" t="s">
        <v>46</v>
      </c>
      <c r="AL779" s="1">
        <v>244</v>
      </c>
    </row>
    <row r="780" spans="1:38" x14ac:dyDescent="0.2">
      <c r="A780" s="2" t="str">
        <f>HYPERLINK("https://www.compass.com/listing/35-hudson-yards-unit-6702-manhattan-ny-10001/789953747201600601/","35 Hudson Yards, Unit 6702")</f>
        <v>35 Hudson Yards, Unit 6702</v>
      </c>
      <c r="B780" s="2" t="str">
        <f>HYPERLINK("https://www.compass.com/building/35-hudson-yards-manhattan-ny/292773408544917349/","35 Hudson Yards")</f>
        <v>35 Hudson Yards</v>
      </c>
      <c r="C780" s="1" t="s">
        <v>77</v>
      </c>
      <c r="D780" s="1" t="s">
        <v>41</v>
      </c>
      <c r="E780" s="3">
        <v>4950000</v>
      </c>
      <c r="F780" s="1">
        <v>2448.0712166172102</v>
      </c>
      <c r="G780" s="1">
        <v>6.5</v>
      </c>
      <c r="H780" s="1">
        <v>2</v>
      </c>
      <c r="I780" s="1">
        <v>3</v>
      </c>
      <c r="J780" s="1">
        <v>2.5</v>
      </c>
      <c r="K780" s="1">
        <v>2</v>
      </c>
      <c r="L780" s="1">
        <v>1</v>
      </c>
      <c r="M780" s="4">
        <v>2022</v>
      </c>
      <c r="N780" s="1">
        <v>5839</v>
      </c>
      <c r="O780" s="1">
        <v>6246</v>
      </c>
      <c r="P780" s="1">
        <v>407</v>
      </c>
      <c r="Q780" s="1" t="s">
        <v>42</v>
      </c>
      <c r="S780" s="1" t="s">
        <v>42</v>
      </c>
      <c r="T780" s="1" t="s">
        <v>228</v>
      </c>
      <c r="U780" s="1">
        <v>5</v>
      </c>
      <c r="V780" s="5">
        <v>44416</v>
      </c>
      <c r="W780" s="5">
        <v>44336</v>
      </c>
      <c r="X780" s="1">
        <v>4950000</v>
      </c>
      <c r="Z780" s="5">
        <v>44342</v>
      </c>
      <c r="AB780" s="1" t="s">
        <v>44</v>
      </c>
      <c r="AF780" s="1">
        <v>10001</v>
      </c>
      <c r="AI780" s="1" t="s">
        <v>48</v>
      </c>
      <c r="AJ780" s="1">
        <v>2019</v>
      </c>
      <c r="AK780" s="1" t="s">
        <v>108</v>
      </c>
      <c r="AL780" s="1">
        <v>143</v>
      </c>
    </row>
    <row r="781" spans="1:38" x14ac:dyDescent="0.2">
      <c r="A781" s="2" t="str">
        <f>HYPERLINK("https://www.compass.com/listing/138-east-50th-street-unit-40a-manhattan-ny-10022/851590876064974953/","138 E 50th St, Unit 40A")</f>
        <v>138 E 50th St, Unit 40A</v>
      </c>
      <c r="B781" s="2" t="str">
        <f>HYPERLINK("https://www.compass.com/building/the-centrale-manhattan-ny/281941497232811621/","The Centrale")</f>
        <v>The Centrale</v>
      </c>
      <c r="C781" s="1" t="s">
        <v>116</v>
      </c>
      <c r="D781" s="1" t="s">
        <v>41</v>
      </c>
      <c r="E781" s="3">
        <v>3850000</v>
      </c>
      <c r="F781" s="1">
        <v>2738.2645803698401</v>
      </c>
      <c r="G781" s="1">
        <v>4</v>
      </c>
      <c r="H781" s="1">
        <v>2</v>
      </c>
      <c r="I781" s="1">
        <v>2</v>
      </c>
      <c r="J781" s="1">
        <v>2</v>
      </c>
      <c r="K781" s="1">
        <v>2</v>
      </c>
      <c r="M781" s="4">
        <v>1406</v>
      </c>
      <c r="N781" s="1">
        <v>1638</v>
      </c>
      <c r="O781" s="1">
        <v>4077</v>
      </c>
      <c r="P781" s="1">
        <v>2439</v>
      </c>
      <c r="Q781" s="1" t="s">
        <v>42</v>
      </c>
      <c r="S781" s="1" t="s">
        <v>42</v>
      </c>
      <c r="T781" s="1" t="s">
        <v>228</v>
      </c>
      <c r="U781" s="1">
        <v>82</v>
      </c>
      <c r="V781" s="5">
        <v>44427</v>
      </c>
      <c r="W781" s="5">
        <v>44344</v>
      </c>
      <c r="X781" s="1">
        <v>1</v>
      </c>
      <c r="Z781" s="5">
        <v>44427</v>
      </c>
      <c r="AB781" s="1" t="s">
        <v>44</v>
      </c>
      <c r="AF781" s="1">
        <v>10022</v>
      </c>
      <c r="AI781" s="1" t="s">
        <v>196</v>
      </c>
      <c r="AJ781" s="1">
        <v>2019</v>
      </c>
      <c r="AK781" s="1" t="s">
        <v>55</v>
      </c>
      <c r="AL781" s="1">
        <v>124</v>
      </c>
    </row>
    <row r="782" spans="1:38" x14ac:dyDescent="0.2">
      <c r="A782" s="2" t="str">
        <f>HYPERLINK("https://www.compass.com/listing/15-hudson-yards-unit-70e-manhattan-ny-10001/53541236367272209/","15 Hudson Yards, Unit 70E")</f>
        <v>15 Hudson Yards, Unit 70E</v>
      </c>
      <c r="B782" s="2" t="str">
        <f t="shared" ref="B782:B783" si="99">HYPERLINK("https://www.compass.com/building/fifteen-hudson-yards-manhattan-ny/282058587512011909/","Fifteen Hudson Yards")</f>
        <v>Fifteen Hudson Yards</v>
      </c>
      <c r="C782" s="1" t="s">
        <v>77</v>
      </c>
      <c r="D782" s="1" t="s">
        <v>41</v>
      </c>
      <c r="E782" s="3">
        <v>7550000</v>
      </c>
      <c r="F782" s="1">
        <v>3285.46562228024</v>
      </c>
      <c r="G782" s="1">
        <v>5</v>
      </c>
      <c r="H782" s="1">
        <v>3</v>
      </c>
      <c r="I782" s="1">
        <v>4</v>
      </c>
      <c r="J782" s="1">
        <v>3.5</v>
      </c>
      <c r="K782" s="1">
        <v>3</v>
      </c>
      <c r="L782" s="1">
        <v>1</v>
      </c>
      <c r="M782" s="4">
        <v>2298</v>
      </c>
      <c r="N782" s="1">
        <v>5669</v>
      </c>
      <c r="O782" s="1">
        <v>5740</v>
      </c>
      <c r="P782" s="1">
        <v>71</v>
      </c>
      <c r="Q782" s="1" t="s">
        <v>42</v>
      </c>
      <c r="S782" s="1" t="s">
        <v>42</v>
      </c>
      <c r="T782" s="1" t="s">
        <v>228</v>
      </c>
      <c r="U782" s="1">
        <v>81</v>
      </c>
      <c r="V782" s="5">
        <v>44417</v>
      </c>
      <c r="W782" s="5">
        <v>43325</v>
      </c>
      <c r="X782" s="1">
        <v>7550000</v>
      </c>
      <c r="Z782" s="5">
        <v>44223</v>
      </c>
      <c r="AB782" s="1" t="s">
        <v>44</v>
      </c>
      <c r="AF782" s="1">
        <v>10001</v>
      </c>
      <c r="AI782" s="1" t="s">
        <v>182</v>
      </c>
      <c r="AJ782" s="1">
        <v>2018</v>
      </c>
      <c r="AK782" s="1" t="s">
        <v>46</v>
      </c>
      <c r="AL782" s="1">
        <v>285</v>
      </c>
    </row>
    <row r="783" spans="1:38" x14ac:dyDescent="0.2">
      <c r="A783" s="2" t="str">
        <f>HYPERLINK("https://www.compass.com/listing/15-hudson-yards-unit-66d-manhattan-ny-10001/29359443976155585/","15 Hudson Yards, Unit 66D")</f>
        <v>15 Hudson Yards, Unit 66D</v>
      </c>
      <c r="B783" s="2" t="str">
        <f t="shared" si="99"/>
        <v>Fifteen Hudson Yards</v>
      </c>
      <c r="C783" s="1" t="s">
        <v>77</v>
      </c>
      <c r="D783" s="1" t="s">
        <v>41</v>
      </c>
      <c r="E783" s="3">
        <v>5475000</v>
      </c>
      <c r="F783" s="1">
        <v>2723.8805970149201</v>
      </c>
      <c r="G783" s="1">
        <v>4</v>
      </c>
      <c r="H783" s="1">
        <v>2</v>
      </c>
      <c r="I783" s="1">
        <v>3</v>
      </c>
      <c r="J783" s="1">
        <v>2.5</v>
      </c>
      <c r="K783" s="1">
        <v>2</v>
      </c>
      <c r="L783" s="1">
        <v>1</v>
      </c>
      <c r="M783" s="4">
        <v>2010</v>
      </c>
      <c r="N783" s="1">
        <v>4718</v>
      </c>
      <c r="O783" s="1">
        <v>4779</v>
      </c>
      <c r="P783" s="1">
        <v>61</v>
      </c>
      <c r="Q783" s="1" t="s">
        <v>42</v>
      </c>
      <c r="S783" s="1" t="s">
        <v>42</v>
      </c>
      <c r="T783" s="1" t="s">
        <v>228</v>
      </c>
      <c r="U783" s="1">
        <v>698</v>
      </c>
      <c r="V783" s="5">
        <v>44421</v>
      </c>
      <c r="W783" s="5">
        <v>43609</v>
      </c>
      <c r="Z783" s="5">
        <v>44421</v>
      </c>
      <c r="AB783" s="1" t="s">
        <v>44</v>
      </c>
      <c r="AF783" s="1">
        <v>10001</v>
      </c>
      <c r="AJ783" s="1">
        <v>2018</v>
      </c>
      <c r="AK783" s="1" t="s">
        <v>46</v>
      </c>
      <c r="AL783" s="1">
        <v>285</v>
      </c>
    </row>
    <row r="784" spans="1:38" x14ac:dyDescent="0.2">
      <c r="A784" s="2" t="str">
        <f>HYPERLINK("https://www.compass.com/listing/77-greenwich-street-unit-16c-manhattan-ny-10006/825256224637929009/","77 Greenwich St, Unit 16C")</f>
        <v>77 Greenwich St, Unit 16C</v>
      </c>
      <c r="B784" s="2" t="str">
        <f>HYPERLINK("https://www.compass.com/building/jolie-manhattan-ny/282060129363328789/","Jolie")</f>
        <v>Jolie</v>
      </c>
      <c r="C784" s="1" t="s">
        <v>96</v>
      </c>
      <c r="D784" s="1" t="s">
        <v>41</v>
      </c>
      <c r="E784" s="3">
        <v>2495000</v>
      </c>
      <c r="F784" s="1">
        <v>1878.7650602409601</v>
      </c>
      <c r="G784" s="1">
        <v>4</v>
      </c>
      <c r="H784" s="1">
        <v>2</v>
      </c>
      <c r="I784" s="1">
        <v>3</v>
      </c>
      <c r="J784" s="1">
        <v>2.5</v>
      </c>
      <c r="K784" s="1">
        <v>2</v>
      </c>
      <c r="L784" s="1">
        <v>1</v>
      </c>
      <c r="M784" s="4">
        <v>1328</v>
      </c>
      <c r="N784" s="1">
        <v>1423</v>
      </c>
      <c r="O784" s="1">
        <v>3724</v>
      </c>
      <c r="P784" s="1">
        <v>2301</v>
      </c>
      <c r="Q784" s="1" t="s">
        <v>42</v>
      </c>
      <c r="S784" s="1" t="s">
        <v>42</v>
      </c>
      <c r="T784" s="1" t="s">
        <v>228</v>
      </c>
      <c r="V784" s="5">
        <v>44405</v>
      </c>
      <c r="W784" s="5">
        <v>44391</v>
      </c>
      <c r="X784" s="1">
        <v>2495000</v>
      </c>
      <c r="Z784" s="5">
        <v>44391</v>
      </c>
      <c r="AB784" s="1" t="s">
        <v>44</v>
      </c>
      <c r="AF784" s="1">
        <v>10006</v>
      </c>
      <c r="AI784" s="1" t="s">
        <v>168</v>
      </c>
      <c r="AJ784" s="1">
        <v>2019</v>
      </c>
      <c r="AK784" s="1" t="s">
        <v>46</v>
      </c>
      <c r="AL784" s="1">
        <v>90</v>
      </c>
    </row>
    <row r="785" spans="1:38" x14ac:dyDescent="0.2">
      <c r="A785" s="2" t="str">
        <f>HYPERLINK("https://www.compass.com/listing/138-east-50th-street-unit-17c-manhattan-ny-10022/679367285852709305/","138 E 50th St, Unit 17C")</f>
        <v>138 E 50th St, Unit 17C</v>
      </c>
      <c r="B785" s="2" t="str">
        <f>HYPERLINK("https://www.compass.com/building/the-centrale-manhattan-ny/281941497232811621/","The Centrale")</f>
        <v>The Centrale</v>
      </c>
      <c r="C785" s="1" t="s">
        <v>116</v>
      </c>
      <c r="D785" s="1" t="s">
        <v>41</v>
      </c>
      <c r="E785" s="3">
        <v>2695000</v>
      </c>
      <c r="F785" s="1">
        <v>2006.70141474311</v>
      </c>
      <c r="G785" s="1">
        <v>4</v>
      </c>
      <c r="H785" s="1">
        <v>2</v>
      </c>
      <c r="I785" s="1">
        <v>2</v>
      </c>
      <c r="J785" s="1">
        <v>2</v>
      </c>
      <c r="K785" s="1">
        <v>2</v>
      </c>
      <c r="M785" s="4">
        <v>1343</v>
      </c>
      <c r="N785" s="1">
        <v>1349</v>
      </c>
      <c r="O785" s="1">
        <v>3358</v>
      </c>
      <c r="P785" s="1">
        <v>2009</v>
      </c>
      <c r="Q785" s="1" t="s">
        <v>42</v>
      </c>
      <c r="S785" s="1" t="s">
        <v>42</v>
      </c>
      <c r="T785" s="1" t="s">
        <v>228</v>
      </c>
      <c r="V785" s="5">
        <v>44427</v>
      </c>
      <c r="W785" s="5">
        <v>44188</v>
      </c>
      <c r="X785" s="1">
        <v>2695000</v>
      </c>
      <c r="Z785" s="5">
        <v>44188</v>
      </c>
      <c r="AB785" s="1" t="s">
        <v>44</v>
      </c>
      <c r="AF785" s="1">
        <v>10022</v>
      </c>
      <c r="AI785" s="1" t="s">
        <v>65</v>
      </c>
      <c r="AJ785" s="1">
        <v>2019</v>
      </c>
      <c r="AK785" s="1" t="s">
        <v>46</v>
      </c>
      <c r="AL785" s="1">
        <v>124</v>
      </c>
    </row>
    <row r="786" spans="1:38" x14ac:dyDescent="0.2">
      <c r="A786" s="2" t="str">
        <f>HYPERLINK("https://www.compass.com/listing/130-william-street-unit-25c-manhattan-ny-10038/841391218793325137/","130 William St, Unit 25C")</f>
        <v>130 William St, Unit 25C</v>
      </c>
      <c r="B786" s="2" t="str">
        <f>HYPERLINK("https://www.compass.com/building/130-william-st-manhattan-ny-10038/282029682239486757/","130 William St")</f>
        <v>130 William St</v>
      </c>
      <c r="C786" s="1" t="s">
        <v>96</v>
      </c>
      <c r="D786" s="1" t="s">
        <v>41</v>
      </c>
      <c r="E786" s="3">
        <v>2130990</v>
      </c>
      <c r="F786" s="1">
        <v>2054.95660559305</v>
      </c>
      <c r="G786" s="1">
        <v>4</v>
      </c>
      <c r="H786" s="1">
        <v>2</v>
      </c>
      <c r="I786" s="1">
        <v>2</v>
      </c>
      <c r="J786" s="1">
        <v>2</v>
      </c>
      <c r="K786" s="1">
        <v>2</v>
      </c>
      <c r="M786" s="4">
        <v>1037</v>
      </c>
      <c r="N786" s="1">
        <v>737</v>
      </c>
      <c r="O786" s="1">
        <v>2165</v>
      </c>
      <c r="P786" s="1">
        <v>1428</v>
      </c>
      <c r="Q786" s="1" t="s">
        <v>42</v>
      </c>
      <c r="S786" s="1" t="s">
        <v>42</v>
      </c>
      <c r="T786" s="1" t="s">
        <v>228</v>
      </c>
      <c r="U786" s="1">
        <v>23</v>
      </c>
      <c r="V786" s="5">
        <v>44427</v>
      </c>
      <c r="W786" s="5">
        <v>44389</v>
      </c>
      <c r="X786" s="1">
        <v>2130990</v>
      </c>
      <c r="Z786" s="5">
        <v>44413</v>
      </c>
      <c r="AB786" s="1" t="s">
        <v>44</v>
      </c>
      <c r="AF786" s="1">
        <v>10038</v>
      </c>
      <c r="AI786" s="1" t="s">
        <v>111</v>
      </c>
      <c r="AJ786" s="1">
        <v>2020</v>
      </c>
      <c r="AK786" s="1" t="s">
        <v>46</v>
      </c>
      <c r="AL786" s="1">
        <v>244</v>
      </c>
    </row>
    <row r="787" spans="1:38" x14ac:dyDescent="0.2">
      <c r="A787" s="2" t="str">
        <f>HYPERLINK("https://www.compass.com/listing/138-east-50th-street-unit-21d-manhattan-ny-10022/749911533745388649/","138 E 50th St, Unit 21D")</f>
        <v>138 E 50th St, Unit 21D</v>
      </c>
      <c r="B787" s="2" t="str">
        <f t="shared" ref="B787:B789" si="100">HYPERLINK("https://www.compass.com/building/the-centrale-manhattan-ny/281941497232811621/","The Centrale")</f>
        <v>The Centrale</v>
      </c>
      <c r="C787" s="1" t="s">
        <v>116</v>
      </c>
      <c r="D787" s="1" t="s">
        <v>41</v>
      </c>
      <c r="E787" s="3">
        <v>2675000</v>
      </c>
      <c r="F787" s="1">
        <v>2216.2386081192999</v>
      </c>
      <c r="G787" s="1">
        <v>4</v>
      </c>
      <c r="H787" s="1">
        <v>2</v>
      </c>
      <c r="I787" s="1">
        <v>2</v>
      </c>
      <c r="J787" s="1">
        <v>2</v>
      </c>
      <c r="K787" s="1">
        <v>2</v>
      </c>
      <c r="M787" s="4">
        <v>1207</v>
      </c>
      <c r="N787" s="1">
        <v>1236</v>
      </c>
      <c r="O787" s="1">
        <v>3077</v>
      </c>
      <c r="P787" s="1">
        <v>1841</v>
      </c>
      <c r="Q787" s="1" t="s">
        <v>42</v>
      </c>
      <c r="S787" s="1" t="s">
        <v>42</v>
      </c>
      <c r="T787" s="1" t="s">
        <v>228</v>
      </c>
      <c r="U787" s="1">
        <v>33</v>
      </c>
      <c r="V787" s="5">
        <v>44427</v>
      </c>
      <c r="W787" s="5">
        <v>44253</v>
      </c>
      <c r="Z787" s="5">
        <v>44287</v>
      </c>
      <c r="AB787" s="1" t="s">
        <v>44</v>
      </c>
      <c r="AF787" s="1">
        <v>10022</v>
      </c>
      <c r="AI787" s="1" t="s">
        <v>118</v>
      </c>
      <c r="AJ787" s="1">
        <v>2019</v>
      </c>
      <c r="AK787" s="1" t="s">
        <v>55</v>
      </c>
      <c r="AL787" s="1">
        <v>124</v>
      </c>
    </row>
    <row r="788" spans="1:38" x14ac:dyDescent="0.2">
      <c r="A788" s="2" t="str">
        <f>HYPERLINK("https://www.compass.com/listing/138-east-50th-street-unit-14a-manhattan-ny-10022/774029231565435209/","138 E 50th St, Unit 14A")</f>
        <v>138 E 50th St, Unit 14A</v>
      </c>
      <c r="B788" s="2" t="str">
        <f t="shared" si="100"/>
        <v>The Centrale</v>
      </c>
      <c r="C788" s="1" t="s">
        <v>116</v>
      </c>
      <c r="D788" s="1" t="s">
        <v>41</v>
      </c>
      <c r="E788" s="3">
        <v>2750000</v>
      </c>
      <c r="F788" s="1">
        <v>1901.7980636237801</v>
      </c>
      <c r="G788" s="1">
        <v>5</v>
      </c>
      <c r="H788" s="1">
        <v>2</v>
      </c>
      <c r="I788" s="1">
        <v>3</v>
      </c>
      <c r="J788" s="1">
        <v>2.5</v>
      </c>
      <c r="K788" s="1">
        <v>2</v>
      </c>
      <c r="L788" s="1">
        <v>1</v>
      </c>
      <c r="M788" s="4">
        <v>1446</v>
      </c>
      <c r="N788" s="1">
        <v>1430</v>
      </c>
      <c r="O788" s="1">
        <v>3561</v>
      </c>
      <c r="P788" s="1">
        <v>2131</v>
      </c>
      <c r="Q788" s="1" t="s">
        <v>42</v>
      </c>
      <c r="S788" s="1" t="s">
        <v>42</v>
      </c>
      <c r="T788" s="1" t="s">
        <v>228</v>
      </c>
      <c r="U788" s="1">
        <v>44</v>
      </c>
      <c r="V788" s="5">
        <v>44427</v>
      </c>
      <c r="W788" s="5">
        <v>44319</v>
      </c>
      <c r="X788" s="1">
        <v>1</v>
      </c>
      <c r="Z788" s="5">
        <v>44364</v>
      </c>
      <c r="AB788" s="1" t="s">
        <v>44</v>
      </c>
      <c r="AF788" s="1">
        <v>10022</v>
      </c>
      <c r="AI788" s="1" t="s">
        <v>48</v>
      </c>
      <c r="AJ788" s="1">
        <v>2019</v>
      </c>
      <c r="AK788" s="1" t="s">
        <v>55</v>
      </c>
      <c r="AL788" s="1">
        <v>124</v>
      </c>
    </row>
    <row r="789" spans="1:38" x14ac:dyDescent="0.2">
      <c r="A789" s="2" t="str">
        <f>HYPERLINK("https://www.compass.com/listing/138-east-50th-street-unit-28c-manhattan-ny-10022/679374575183725769/","138 E 50th St, Unit 28C")</f>
        <v>138 E 50th St, Unit 28C</v>
      </c>
      <c r="B789" s="2" t="str">
        <f t="shared" si="100"/>
        <v>The Centrale</v>
      </c>
      <c r="C789" s="1" t="s">
        <v>116</v>
      </c>
      <c r="D789" s="1" t="s">
        <v>41</v>
      </c>
      <c r="E789" s="3">
        <v>3070000</v>
      </c>
      <c r="F789" s="1">
        <v>2299.6254681647902</v>
      </c>
      <c r="G789" s="1">
        <v>4</v>
      </c>
      <c r="H789" s="1">
        <v>2</v>
      </c>
      <c r="I789" s="1">
        <v>2</v>
      </c>
      <c r="J789" s="1">
        <v>2</v>
      </c>
      <c r="K789" s="1">
        <v>2</v>
      </c>
      <c r="M789" s="4">
        <v>1335</v>
      </c>
      <c r="N789" s="1">
        <v>1413</v>
      </c>
      <c r="O789" s="1">
        <v>3518</v>
      </c>
      <c r="P789" s="1">
        <v>2105</v>
      </c>
      <c r="Q789" s="1" t="s">
        <v>42</v>
      </c>
      <c r="S789" s="1" t="s">
        <v>42</v>
      </c>
      <c r="T789" s="1" t="s">
        <v>228</v>
      </c>
      <c r="U789" s="1">
        <v>5</v>
      </c>
      <c r="V789" s="5">
        <v>44427</v>
      </c>
      <c r="W789" s="5">
        <v>44183</v>
      </c>
      <c r="X789" s="1">
        <v>3070000</v>
      </c>
      <c r="Z789" s="5">
        <v>44188</v>
      </c>
      <c r="AB789" s="1" t="s">
        <v>44</v>
      </c>
      <c r="AF789" s="1">
        <v>10022</v>
      </c>
      <c r="AI789" s="1" t="s">
        <v>48</v>
      </c>
      <c r="AJ789" s="1">
        <v>2019</v>
      </c>
      <c r="AK789" s="1" t="s">
        <v>55</v>
      </c>
      <c r="AL789" s="1">
        <v>124</v>
      </c>
    </row>
    <row r="790" spans="1:38" x14ac:dyDescent="0.2">
      <c r="A790" s="2" t="str">
        <f>HYPERLINK("https://www.compass.com/listing/35-hudson-yards-unit-6604-manhattan-ny-10001/726047176959430393/","35 Hudson Yards, Unit 6604")</f>
        <v>35 Hudson Yards, Unit 6604</v>
      </c>
      <c r="B790" s="2" t="str">
        <f>HYPERLINK("https://www.compass.com/building/35-hudson-yards-manhattan-ny/292773408544917349/","35 Hudson Yards")</f>
        <v>35 Hudson Yards</v>
      </c>
      <c r="C790" s="1" t="s">
        <v>77</v>
      </c>
      <c r="D790" s="1" t="s">
        <v>41</v>
      </c>
      <c r="E790" s="3">
        <v>11825000</v>
      </c>
      <c r="F790" s="1">
        <v>3815.7470151661801</v>
      </c>
      <c r="G790" s="1">
        <v>6.5</v>
      </c>
      <c r="H790" s="1">
        <v>3</v>
      </c>
      <c r="I790" s="1">
        <v>4</v>
      </c>
      <c r="J790" s="1">
        <v>3.5</v>
      </c>
      <c r="K790" s="1">
        <v>3</v>
      </c>
      <c r="L790" s="1">
        <v>1</v>
      </c>
      <c r="M790" s="4">
        <v>3099</v>
      </c>
      <c r="N790" s="1">
        <v>9100</v>
      </c>
      <c r="O790" s="1">
        <v>9734</v>
      </c>
      <c r="P790" s="1">
        <v>634</v>
      </c>
      <c r="Q790" s="1" t="s">
        <v>42</v>
      </c>
      <c r="S790" s="1" t="s">
        <v>42</v>
      </c>
      <c r="T790" s="1" t="s">
        <v>228</v>
      </c>
      <c r="U790" s="1">
        <v>3</v>
      </c>
      <c r="V790" s="5">
        <v>44418</v>
      </c>
      <c r="W790" s="5">
        <v>44250</v>
      </c>
      <c r="X790" s="1">
        <v>11825000</v>
      </c>
      <c r="Z790" s="5">
        <v>44254</v>
      </c>
      <c r="AB790" s="1" t="s">
        <v>44</v>
      </c>
      <c r="AF790" s="1">
        <v>10001</v>
      </c>
      <c r="AI790" s="1" t="s">
        <v>48</v>
      </c>
      <c r="AJ790" s="1">
        <v>2019</v>
      </c>
      <c r="AK790" s="1" t="s">
        <v>108</v>
      </c>
      <c r="AL790" s="1">
        <v>143</v>
      </c>
    </row>
    <row r="791" spans="1:38" x14ac:dyDescent="0.2">
      <c r="A791" s="2" t="str">
        <f>HYPERLINK("https://www.compass.com/listing/138-east-50th-street-unit-41a-manhattan-ny-10022/801634788511419257/","138 E 50th St, Unit 41A")</f>
        <v>138 E 50th St, Unit 41A</v>
      </c>
      <c r="B791" s="2" t="str">
        <f>HYPERLINK("https://www.compass.com/building/the-centrale-manhattan-ny/281941497232811621/","The Centrale")</f>
        <v>The Centrale</v>
      </c>
      <c r="C791" s="1" t="s">
        <v>116</v>
      </c>
      <c r="D791" s="1" t="s">
        <v>41</v>
      </c>
      <c r="E791" s="3">
        <v>3450000</v>
      </c>
      <c r="F791" s="1">
        <v>2453.7695590327098</v>
      </c>
      <c r="G791" s="1">
        <v>4</v>
      </c>
      <c r="H791" s="1">
        <v>2</v>
      </c>
      <c r="I791" s="1">
        <v>2</v>
      </c>
      <c r="J791" s="1">
        <v>2</v>
      </c>
      <c r="K791" s="1">
        <v>2</v>
      </c>
      <c r="M791" s="4">
        <v>1406</v>
      </c>
      <c r="N791" s="1">
        <v>1555</v>
      </c>
      <c r="O791" s="1">
        <v>3871</v>
      </c>
      <c r="P791" s="1">
        <v>2316</v>
      </c>
      <c r="Q791" s="1" t="s">
        <v>42</v>
      </c>
      <c r="S791" s="1" t="s">
        <v>42</v>
      </c>
      <c r="T791" s="1" t="s">
        <v>228</v>
      </c>
      <c r="U791" s="1">
        <v>78</v>
      </c>
      <c r="V791" s="5">
        <v>44425</v>
      </c>
      <c r="W791" s="5">
        <v>44320</v>
      </c>
      <c r="X791" s="1">
        <v>1</v>
      </c>
      <c r="Z791" s="5">
        <v>44399</v>
      </c>
      <c r="AB791" s="1" t="s">
        <v>44</v>
      </c>
      <c r="AF791" s="1">
        <v>10022</v>
      </c>
      <c r="AI791" s="1" t="s">
        <v>48</v>
      </c>
      <c r="AJ791" s="1">
        <v>2019</v>
      </c>
      <c r="AK791" s="1" t="s">
        <v>55</v>
      </c>
      <c r="AL791" s="1">
        <v>124</v>
      </c>
    </row>
    <row r="792" spans="1:38" x14ac:dyDescent="0.2">
      <c r="A792" s="2" t="str">
        <f>HYPERLINK("https://www.compass.com/listing/35-hudson-yards-unit-5602-manhattan-ny-10001/335557218191183537/","35 Hudson Yards, Unit 5602")</f>
        <v>35 Hudson Yards, Unit 5602</v>
      </c>
      <c r="B792" s="2" t="str">
        <f t="shared" ref="B792:B794" si="101">HYPERLINK("https://www.compass.com/building/35-hudson-yards-manhattan-ny/292773408544917349/","35 Hudson Yards")</f>
        <v>35 Hudson Yards</v>
      </c>
      <c r="C792" s="1" t="s">
        <v>77</v>
      </c>
      <c r="D792" s="1" t="s">
        <v>41</v>
      </c>
      <c r="E792" s="3">
        <v>4895000</v>
      </c>
      <c r="F792" s="1">
        <v>2251.6099356025702</v>
      </c>
      <c r="G792" s="1">
        <v>4</v>
      </c>
      <c r="H792" s="1">
        <v>2</v>
      </c>
      <c r="I792" s="1">
        <v>3</v>
      </c>
      <c r="J792" s="1">
        <v>2.5</v>
      </c>
      <c r="K792" s="1">
        <v>2</v>
      </c>
      <c r="L792" s="1">
        <v>1</v>
      </c>
      <c r="M792" s="4">
        <v>2174</v>
      </c>
      <c r="N792" s="1">
        <v>6179</v>
      </c>
      <c r="O792" s="1">
        <v>6610</v>
      </c>
      <c r="P792" s="1">
        <v>431</v>
      </c>
      <c r="Q792" s="1" t="s">
        <v>42</v>
      </c>
      <c r="S792" s="1" t="s">
        <v>42</v>
      </c>
      <c r="T792" s="1" t="s">
        <v>228</v>
      </c>
      <c r="U792" s="1">
        <v>308</v>
      </c>
      <c r="V792" s="5">
        <v>44420</v>
      </c>
      <c r="W792" s="5">
        <v>44110</v>
      </c>
      <c r="X792" s="1">
        <v>4895000</v>
      </c>
      <c r="Z792" s="5">
        <v>44420</v>
      </c>
      <c r="AB792" s="1" t="s">
        <v>44</v>
      </c>
      <c r="AF792" s="1">
        <v>10001</v>
      </c>
      <c r="AI792" s="1" t="s">
        <v>48</v>
      </c>
      <c r="AJ792" s="1">
        <v>2019</v>
      </c>
      <c r="AK792" s="1" t="s">
        <v>108</v>
      </c>
      <c r="AL792" s="1">
        <v>143</v>
      </c>
    </row>
    <row r="793" spans="1:38" x14ac:dyDescent="0.2">
      <c r="A793" s="2" t="str">
        <f>HYPERLINK("https://www.compass.com/listing/35-hudson-yards-unit-6601-manhattan-ny-10001/389147485059519937/","35 Hudson Yards, Unit 6601")</f>
        <v>35 Hudson Yards, Unit 6601</v>
      </c>
      <c r="B793" s="2" t="str">
        <f t="shared" si="101"/>
        <v>35 Hudson Yards</v>
      </c>
      <c r="C793" s="1" t="s">
        <v>77</v>
      </c>
      <c r="D793" s="1" t="s">
        <v>41</v>
      </c>
      <c r="E793" s="3">
        <v>6925000</v>
      </c>
      <c r="F793" s="1">
        <v>2694.5525291828699</v>
      </c>
      <c r="G793" s="1">
        <v>5.5</v>
      </c>
      <c r="H793" s="1">
        <v>3</v>
      </c>
      <c r="I793" s="1">
        <v>4</v>
      </c>
      <c r="J793" s="1">
        <v>3.5</v>
      </c>
      <c r="K793" s="1">
        <v>3</v>
      </c>
      <c r="L793" s="1">
        <v>1</v>
      </c>
      <c r="M793" s="4">
        <v>2570</v>
      </c>
      <c r="N793" s="1">
        <v>7565</v>
      </c>
      <c r="O793" s="1">
        <v>8092</v>
      </c>
      <c r="P793" s="1">
        <v>527</v>
      </c>
      <c r="Q793" s="1" t="s">
        <v>42</v>
      </c>
      <c r="S793" s="1" t="s">
        <v>42</v>
      </c>
      <c r="T793" s="1" t="s">
        <v>228</v>
      </c>
      <c r="U793" s="1">
        <v>178</v>
      </c>
      <c r="V793" s="5">
        <v>44414</v>
      </c>
      <c r="W793" s="5">
        <v>44234</v>
      </c>
      <c r="Z793" s="5">
        <v>44412</v>
      </c>
      <c r="AB793" s="1" t="s">
        <v>44</v>
      </c>
      <c r="AF793" s="1">
        <v>10001</v>
      </c>
      <c r="AI793" s="1" t="s">
        <v>48</v>
      </c>
      <c r="AJ793" s="1">
        <v>2019</v>
      </c>
      <c r="AK793" s="1" t="s">
        <v>55</v>
      </c>
      <c r="AL793" s="1">
        <v>143</v>
      </c>
    </row>
    <row r="794" spans="1:38" x14ac:dyDescent="0.2">
      <c r="A794" s="2" t="str">
        <f>HYPERLINK("https://www.compass.com/listing/35-hudson-yards-unit-5405-manhattan-ny-10001/384850198128976769/","35 Hudson Yards, Unit 5405")</f>
        <v>35 Hudson Yards, Unit 5405</v>
      </c>
      <c r="B794" s="2" t="str">
        <f t="shared" si="101"/>
        <v>35 Hudson Yards</v>
      </c>
      <c r="C794" s="1" t="s">
        <v>77</v>
      </c>
      <c r="D794" s="1" t="s">
        <v>41</v>
      </c>
      <c r="E794" s="3">
        <v>5025000</v>
      </c>
      <c r="F794" s="1">
        <v>3367.9624664879302</v>
      </c>
      <c r="G794" s="1">
        <v>4.5</v>
      </c>
      <c r="H794" s="1">
        <v>2</v>
      </c>
      <c r="I794" s="1">
        <v>3</v>
      </c>
      <c r="J794" s="1">
        <v>2.5</v>
      </c>
      <c r="K794" s="1">
        <v>2</v>
      </c>
      <c r="L794" s="1">
        <v>1</v>
      </c>
      <c r="M794" s="4">
        <v>1492</v>
      </c>
      <c r="N794" s="1">
        <v>4313</v>
      </c>
      <c r="O794" s="1">
        <v>4614</v>
      </c>
      <c r="P794" s="1">
        <v>301</v>
      </c>
      <c r="Q794" s="1" t="s">
        <v>42</v>
      </c>
      <c r="S794" s="1" t="s">
        <v>42</v>
      </c>
      <c r="T794" s="1" t="s">
        <v>228</v>
      </c>
      <c r="U794" s="1">
        <v>83</v>
      </c>
      <c r="V794" s="5">
        <v>44414</v>
      </c>
      <c r="W794" s="5">
        <v>44096</v>
      </c>
      <c r="Z794" s="5">
        <v>44250</v>
      </c>
      <c r="AB794" s="1" t="s">
        <v>44</v>
      </c>
      <c r="AF794" s="1">
        <v>10001</v>
      </c>
      <c r="AI794" s="1" t="s">
        <v>48</v>
      </c>
      <c r="AJ794" s="1">
        <v>2019</v>
      </c>
      <c r="AK794" s="1" t="s">
        <v>108</v>
      </c>
      <c r="AL794" s="1">
        <v>143</v>
      </c>
    </row>
    <row r="795" spans="1:38" x14ac:dyDescent="0.2">
      <c r="A795" s="2" t="str">
        <f>HYPERLINK("https://www.compass.com/listing/138-east-50th-street-unit-32c-manhattan-ny-10022/679374459790094529/","138 E 50th St, Unit 32C")</f>
        <v>138 E 50th St, Unit 32C</v>
      </c>
      <c r="B795" s="2" t="str">
        <f t="shared" ref="B795:B796" si="102">HYPERLINK("https://www.compass.com/building/the-centrale-manhattan-ny/281941497232811621/","The Centrale")</f>
        <v>The Centrale</v>
      </c>
      <c r="C795" s="1" t="s">
        <v>116</v>
      </c>
      <c r="D795" s="1" t="s">
        <v>41</v>
      </c>
      <c r="E795" s="3">
        <v>3190000</v>
      </c>
      <c r="F795" s="1">
        <v>2389.5131086142301</v>
      </c>
      <c r="G795" s="1">
        <v>4</v>
      </c>
      <c r="H795" s="1">
        <v>2</v>
      </c>
      <c r="I795" s="1">
        <v>2</v>
      </c>
      <c r="J795" s="1">
        <v>2</v>
      </c>
      <c r="K795" s="1">
        <v>2</v>
      </c>
      <c r="M795" s="4">
        <v>1335</v>
      </c>
      <c r="N795" s="1">
        <v>1440</v>
      </c>
      <c r="O795" s="1">
        <v>3584</v>
      </c>
      <c r="P795" s="1">
        <v>2144</v>
      </c>
      <c r="Q795" s="1" t="s">
        <v>42</v>
      </c>
      <c r="S795" s="1" t="s">
        <v>42</v>
      </c>
      <c r="T795" s="1" t="s">
        <v>228</v>
      </c>
      <c r="U795" s="1">
        <v>5</v>
      </c>
      <c r="V795" s="5">
        <v>44427</v>
      </c>
      <c r="W795" s="5">
        <v>44183</v>
      </c>
      <c r="X795" s="1">
        <v>3190000</v>
      </c>
      <c r="Z795" s="5">
        <v>44188</v>
      </c>
      <c r="AB795" s="1" t="s">
        <v>44</v>
      </c>
      <c r="AF795" s="1">
        <v>10022</v>
      </c>
      <c r="AI795" s="1" t="s">
        <v>48</v>
      </c>
      <c r="AJ795" s="1">
        <v>2019</v>
      </c>
      <c r="AK795" s="1" t="s">
        <v>55</v>
      </c>
      <c r="AL795" s="1">
        <v>124</v>
      </c>
    </row>
    <row r="796" spans="1:38" x14ac:dyDescent="0.2">
      <c r="A796" s="2" t="str">
        <f>HYPERLINK("https://www.compass.com/listing/138-east-50th-street-unit-31c-manhattan-ny-10022/679374580250554513/","138 E 50th St, Unit 31C")</f>
        <v>138 E 50th St, Unit 31C</v>
      </c>
      <c r="B796" s="2" t="str">
        <f t="shared" si="102"/>
        <v>The Centrale</v>
      </c>
      <c r="C796" s="1" t="s">
        <v>116</v>
      </c>
      <c r="D796" s="1" t="s">
        <v>41</v>
      </c>
      <c r="E796" s="3">
        <v>3160000</v>
      </c>
      <c r="F796" s="1">
        <v>2367.04119850187</v>
      </c>
      <c r="G796" s="1">
        <v>4</v>
      </c>
      <c r="H796" s="1">
        <v>2</v>
      </c>
      <c r="I796" s="1">
        <v>2</v>
      </c>
      <c r="J796" s="1">
        <v>2</v>
      </c>
      <c r="K796" s="1">
        <v>2</v>
      </c>
      <c r="M796" s="4">
        <v>1335</v>
      </c>
      <c r="N796" s="1">
        <v>1433</v>
      </c>
      <c r="O796" s="1">
        <v>3567</v>
      </c>
      <c r="P796" s="1">
        <v>2134</v>
      </c>
      <c r="Q796" s="1" t="s">
        <v>42</v>
      </c>
      <c r="S796" s="1" t="s">
        <v>42</v>
      </c>
      <c r="T796" s="1" t="s">
        <v>228</v>
      </c>
      <c r="U796" s="1">
        <v>5</v>
      </c>
      <c r="V796" s="5">
        <v>44427</v>
      </c>
      <c r="W796" s="5">
        <v>44183</v>
      </c>
      <c r="X796" s="1">
        <v>3160000</v>
      </c>
      <c r="Z796" s="5">
        <v>44188</v>
      </c>
      <c r="AB796" s="1" t="s">
        <v>44</v>
      </c>
      <c r="AF796" s="1">
        <v>10022</v>
      </c>
      <c r="AI796" s="1" t="s">
        <v>48</v>
      </c>
      <c r="AJ796" s="1">
        <v>2019</v>
      </c>
      <c r="AK796" s="1" t="s">
        <v>55</v>
      </c>
      <c r="AL796" s="1">
        <v>124</v>
      </c>
    </row>
    <row r="797" spans="1:38" x14ac:dyDescent="0.2">
      <c r="A797" s="2" t="str">
        <f>HYPERLINK("https://www.compass.com/listing/130-william-street-unit-37c-manhattan-ny-10038/841351890456752049/","130 William St, Unit 37C")</f>
        <v>130 William St, Unit 37C</v>
      </c>
      <c r="B797" s="2" t="str">
        <f>HYPERLINK("https://www.compass.com/building/130-william-st-manhattan-ny-10038/282029682239486757/","130 William St")</f>
        <v>130 William St</v>
      </c>
      <c r="C797" s="1" t="s">
        <v>96</v>
      </c>
      <c r="D797" s="1" t="s">
        <v>41</v>
      </c>
      <c r="E797" s="3">
        <v>2405990</v>
      </c>
      <c r="F797" s="1">
        <v>2269.8018867924502</v>
      </c>
      <c r="G797" s="1">
        <v>4</v>
      </c>
      <c r="H797" s="1">
        <v>2</v>
      </c>
      <c r="I797" s="1">
        <v>2</v>
      </c>
      <c r="J797" s="1">
        <v>2</v>
      </c>
      <c r="K797" s="1">
        <v>2</v>
      </c>
      <c r="M797" s="4">
        <v>1060</v>
      </c>
      <c r="N797" s="1">
        <v>784</v>
      </c>
      <c r="O797" s="1">
        <v>2303</v>
      </c>
      <c r="P797" s="1">
        <v>1519</v>
      </c>
      <c r="Q797" s="1" t="s">
        <v>42</v>
      </c>
      <c r="S797" s="1" t="s">
        <v>42</v>
      </c>
      <c r="T797" s="1" t="s">
        <v>228</v>
      </c>
      <c r="U797" s="1">
        <v>26</v>
      </c>
      <c r="V797" s="5">
        <v>44427</v>
      </c>
      <c r="W797" s="5">
        <v>44386</v>
      </c>
      <c r="X797" s="1">
        <v>2405990</v>
      </c>
      <c r="Z797" s="5">
        <v>44413</v>
      </c>
      <c r="AB797" s="1" t="s">
        <v>44</v>
      </c>
      <c r="AF797" s="1">
        <v>10038</v>
      </c>
      <c r="AI797" s="1" t="s">
        <v>111</v>
      </c>
      <c r="AJ797" s="1">
        <v>2020</v>
      </c>
      <c r="AK797" s="1" t="s">
        <v>46</v>
      </c>
      <c r="AL797" s="1">
        <v>244</v>
      </c>
    </row>
    <row r="798" spans="1:38" x14ac:dyDescent="0.2">
      <c r="A798" s="2" t="str">
        <f>HYPERLINK("https://www.compass.com/listing/220-central-park-south-unit-31a-manhattan-ny-10019/789138474923881001/","220 Central Park S, Unit 31A")</f>
        <v>220 Central Park S, Unit 31A</v>
      </c>
      <c r="B798" s="2" t="str">
        <f>HYPERLINK("https://www.compass.com/building/220-central-park-south-manhattan-ny/281944232648828453/","220 Central Park South")</f>
        <v>220 Central Park South</v>
      </c>
      <c r="C798" s="1" t="s">
        <v>260</v>
      </c>
      <c r="D798" s="1" t="s">
        <v>41</v>
      </c>
      <c r="E798" s="3">
        <v>33000000</v>
      </c>
      <c r="G798" s="1">
        <v>7</v>
      </c>
      <c r="H798" s="1">
        <v>4</v>
      </c>
      <c r="I798" s="1">
        <v>5</v>
      </c>
      <c r="J798" s="1">
        <v>4.5</v>
      </c>
      <c r="K798" s="1">
        <v>4</v>
      </c>
      <c r="L798" s="1">
        <v>1</v>
      </c>
      <c r="N798" s="1">
        <v>8600</v>
      </c>
      <c r="O798" s="1">
        <v>15766</v>
      </c>
      <c r="P798" s="1">
        <v>7166</v>
      </c>
      <c r="Q798" s="1" t="s">
        <v>42</v>
      </c>
      <c r="S798" s="1" t="s">
        <v>42</v>
      </c>
      <c r="T798" s="1" t="s">
        <v>228</v>
      </c>
      <c r="U798" s="1">
        <v>51</v>
      </c>
      <c r="V798" s="5">
        <v>44421</v>
      </c>
      <c r="W798" s="5">
        <v>44340</v>
      </c>
      <c r="X798" s="1">
        <v>33000000</v>
      </c>
      <c r="Z798" s="5">
        <v>44391</v>
      </c>
      <c r="AB798" s="1" t="s">
        <v>44</v>
      </c>
      <c r="AF798" s="1">
        <v>10019</v>
      </c>
      <c r="AI798" s="1" t="s">
        <v>48</v>
      </c>
      <c r="AJ798" s="1">
        <v>2018</v>
      </c>
      <c r="AK798" s="1" t="s">
        <v>46</v>
      </c>
      <c r="AL798" s="1">
        <v>117</v>
      </c>
    </row>
    <row r="799" spans="1:38" x14ac:dyDescent="0.2">
      <c r="A799" s="2" t="str">
        <f>HYPERLINK("https://www.compass.com/listing/252-south-street-unit-42g-manhattan-ny-10002/830493716118217161/","252 South St, Unit 42G")</f>
        <v>252 South St, Unit 42G</v>
      </c>
      <c r="B799" s="2" t="str">
        <f>HYPERLINK("https://www.compass.com/building/one-manhattan-square-manhattan-ny/294844950218926165/","One Manhattan Square")</f>
        <v>One Manhattan Square</v>
      </c>
      <c r="C799" s="1" t="s">
        <v>47</v>
      </c>
      <c r="D799" s="1" t="s">
        <v>41</v>
      </c>
      <c r="E799" s="3">
        <v>2566000</v>
      </c>
      <c r="F799" s="1">
        <v>2219.723183391</v>
      </c>
      <c r="G799" s="1">
        <v>4</v>
      </c>
      <c r="H799" s="1">
        <v>2</v>
      </c>
      <c r="I799" s="1">
        <v>2</v>
      </c>
      <c r="J799" s="1">
        <v>2</v>
      </c>
      <c r="K799" s="1">
        <v>2</v>
      </c>
      <c r="M799" s="4">
        <v>1156</v>
      </c>
      <c r="N799" s="1">
        <v>1443</v>
      </c>
      <c r="O799" s="1">
        <v>1466</v>
      </c>
      <c r="P799" s="1">
        <v>23</v>
      </c>
      <c r="Q799" s="1" t="s">
        <v>42</v>
      </c>
      <c r="S799" s="1" t="s">
        <v>42</v>
      </c>
      <c r="T799" s="1" t="s">
        <v>228</v>
      </c>
      <c r="U799" s="1">
        <v>28</v>
      </c>
      <c r="V799" s="5">
        <v>44426</v>
      </c>
      <c r="W799" s="5">
        <v>44398</v>
      </c>
      <c r="X799" s="1">
        <v>2566000</v>
      </c>
      <c r="Z799" s="5">
        <v>44426</v>
      </c>
      <c r="AB799" s="1" t="s">
        <v>44</v>
      </c>
      <c r="AF799" s="1">
        <v>10002</v>
      </c>
      <c r="AI799" s="1" t="s">
        <v>246</v>
      </c>
      <c r="AJ799" s="1">
        <v>2019</v>
      </c>
      <c r="AK799" s="1" t="s">
        <v>46</v>
      </c>
      <c r="AL799" s="1">
        <v>787</v>
      </c>
    </row>
    <row r="800" spans="1:38" x14ac:dyDescent="0.2">
      <c r="A800" s="2" t="str">
        <f>HYPERLINK("https://www.compass.com/listing/220-central-park-south-unit-54-55a-manhattan-ny-10019/749183414598788057/","220 Central Park S, Unit 54/55A")</f>
        <v>220 Central Park S, Unit 54/55A</v>
      </c>
      <c r="B800" s="2" t="str">
        <f>HYPERLINK("https://www.compass.com/building/220-central-park-south-manhattan-ny/281944232648828453/","220 Central Park South")</f>
        <v>220 Central Park South</v>
      </c>
      <c r="C800" s="1" t="s">
        <v>260</v>
      </c>
      <c r="D800" s="1" t="s">
        <v>41</v>
      </c>
      <c r="E800" s="3">
        <v>49500000</v>
      </c>
      <c r="F800" s="1">
        <v>10282.5093477357</v>
      </c>
      <c r="G800" s="1">
        <v>8</v>
      </c>
      <c r="H800" s="1">
        <v>4</v>
      </c>
      <c r="I800" s="1">
        <v>5</v>
      </c>
      <c r="J800" s="1">
        <v>5</v>
      </c>
      <c r="K800" s="1">
        <v>5</v>
      </c>
      <c r="M800" s="4">
        <v>4814</v>
      </c>
      <c r="N800" s="1">
        <v>10975</v>
      </c>
      <c r="O800" s="1">
        <v>22459</v>
      </c>
      <c r="P800" s="1">
        <v>11484</v>
      </c>
      <c r="Q800" s="1" t="s">
        <v>42</v>
      </c>
      <c r="S800" s="1" t="s">
        <v>42</v>
      </c>
      <c r="T800" s="1" t="s">
        <v>228</v>
      </c>
      <c r="U800" s="1">
        <v>83</v>
      </c>
      <c r="V800" s="5">
        <v>44427</v>
      </c>
      <c r="W800" s="5">
        <v>44285</v>
      </c>
      <c r="X800" s="1">
        <v>49500000</v>
      </c>
      <c r="Z800" s="5">
        <v>44369</v>
      </c>
      <c r="AB800" s="1" t="s">
        <v>44</v>
      </c>
      <c r="AF800" s="1">
        <v>10019</v>
      </c>
      <c r="AI800" s="1" t="s">
        <v>140</v>
      </c>
      <c r="AJ800" s="1">
        <v>2018</v>
      </c>
      <c r="AK800" s="1" t="s">
        <v>49</v>
      </c>
      <c r="AL800" s="1">
        <v>117</v>
      </c>
    </row>
    <row r="801" spans="1:38" x14ac:dyDescent="0.2">
      <c r="A801" s="2" t="str">
        <f>HYPERLINK("https://www.compass.com/listing/138-east-50th-street-unit-47a-manhattan-ny-10022/831985236077925729/","138 E 50th St, Unit 47A")</f>
        <v>138 E 50th St, Unit 47A</v>
      </c>
      <c r="B801" s="2" t="str">
        <f t="shared" ref="B801:B802" si="103">HYPERLINK("https://www.compass.com/building/the-centrale-manhattan-ny/281941497232811621/","The Centrale")</f>
        <v>The Centrale</v>
      </c>
      <c r="C801" s="1" t="s">
        <v>116</v>
      </c>
      <c r="D801" s="1" t="s">
        <v>41</v>
      </c>
      <c r="E801" s="3">
        <v>4450000</v>
      </c>
      <c r="F801" s="1">
        <v>2644.08793820558</v>
      </c>
      <c r="G801" s="1">
        <v>5</v>
      </c>
      <c r="H801" s="1">
        <v>3</v>
      </c>
      <c r="I801" s="1">
        <v>3</v>
      </c>
      <c r="J801" s="1">
        <v>3</v>
      </c>
      <c r="K801" s="1">
        <v>3</v>
      </c>
      <c r="M801" s="4">
        <v>1683</v>
      </c>
      <c r="N801" s="1">
        <v>1896</v>
      </c>
      <c r="O801" s="1">
        <v>4721</v>
      </c>
      <c r="P801" s="1">
        <v>2825</v>
      </c>
      <c r="Q801" s="1" t="s">
        <v>42</v>
      </c>
      <c r="S801" s="1" t="s">
        <v>42</v>
      </c>
      <c r="T801" s="1" t="s">
        <v>228</v>
      </c>
      <c r="U801" s="1">
        <v>93</v>
      </c>
      <c r="V801" s="5">
        <v>44425</v>
      </c>
      <c r="W801" s="5">
        <v>44320</v>
      </c>
      <c r="X801" s="1">
        <v>1</v>
      </c>
      <c r="Z801" s="5">
        <v>44413</v>
      </c>
      <c r="AB801" s="1" t="s">
        <v>44</v>
      </c>
      <c r="AF801" s="1">
        <v>10022</v>
      </c>
      <c r="AI801" s="1" t="s">
        <v>48</v>
      </c>
      <c r="AJ801" s="1">
        <v>2019</v>
      </c>
      <c r="AK801" s="1" t="s">
        <v>55</v>
      </c>
      <c r="AL801" s="1">
        <v>124</v>
      </c>
    </row>
    <row r="802" spans="1:38" x14ac:dyDescent="0.2">
      <c r="A802" s="2" t="str">
        <f>HYPERLINK("https://www.compass.com/listing/138-east-50th-street-unit-49a-manhattan-ny-10022/774620868228414897/","138 E 50th St, Unit 49A")</f>
        <v>138 E 50th St, Unit 49A</v>
      </c>
      <c r="B802" s="2" t="str">
        <f t="shared" si="103"/>
        <v>The Centrale</v>
      </c>
      <c r="C802" s="1" t="s">
        <v>116</v>
      </c>
      <c r="D802" s="1" t="s">
        <v>41</v>
      </c>
      <c r="E802" s="3">
        <v>4470000</v>
      </c>
      <c r="F802" s="1">
        <v>2652.8189910979199</v>
      </c>
      <c r="G802" s="1">
        <v>6</v>
      </c>
      <c r="H802" s="1">
        <v>3</v>
      </c>
      <c r="I802" s="1">
        <v>3</v>
      </c>
      <c r="J802" s="1">
        <v>3</v>
      </c>
      <c r="K802" s="1">
        <v>3</v>
      </c>
      <c r="M802" s="4">
        <v>1685</v>
      </c>
      <c r="N802" s="1">
        <v>1910</v>
      </c>
      <c r="O802" s="1">
        <v>4756</v>
      </c>
      <c r="P802" s="1">
        <v>2846</v>
      </c>
      <c r="Q802" s="1" t="s">
        <v>42</v>
      </c>
      <c r="S802" s="1" t="s">
        <v>42</v>
      </c>
      <c r="T802" s="1" t="s">
        <v>228</v>
      </c>
      <c r="U802" s="1">
        <v>63</v>
      </c>
      <c r="V802" s="5">
        <v>44427</v>
      </c>
      <c r="W802" s="5">
        <v>44320</v>
      </c>
      <c r="X802" s="1">
        <v>1</v>
      </c>
      <c r="Z802" s="5">
        <v>44384</v>
      </c>
      <c r="AB802" s="1" t="s">
        <v>44</v>
      </c>
      <c r="AF802" s="1">
        <v>10022</v>
      </c>
      <c r="AI802" s="1" t="s">
        <v>48</v>
      </c>
      <c r="AJ802" s="1">
        <v>2019</v>
      </c>
      <c r="AK802" s="1" t="s">
        <v>55</v>
      </c>
      <c r="AL802" s="1">
        <v>124</v>
      </c>
    </row>
    <row r="803" spans="1:38" x14ac:dyDescent="0.2">
      <c r="A803" s="2" t="str">
        <f>HYPERLINK("https://www.compass.com/listing/130-william-street-unit-39c-manhattan-ny-10038/816028668280195313/","130 William St, Unit 39C")</f>
        <v>130 William St, Unit 39C</v>
      </c>
      <c r="B803" s="2" t="str">
        <f t="shared" ref="B803:B804" si="104">HYPERLINK("https://www.compass.com/building/130-william-st-manhattan-ny-10038/282029682239486757/","130 William St")</f>
        <v>130 William St</v>
      </c>
      <c r="C803" s="1" t="s">
        <v>96</v>
      </c>
      <c r="D803" s="1" t="s">
        <v>41</v>
      </c>
      <c r="E803" s="3">
        <v>2455990</v>
      </c>
      <c r="F803" s="1">
        <v>2316.9716981132001</v>
      </c>
      <c r="G803" s="1">
        <v>4</v>
      </c>
      <c r="H803" s="1">
        <v>2</v>
      </c>
      <c r="I803" s="1">
        <v>2</v>
      </c>
      <c r="J803" s="1">
        <v>2</v>
      </c>
      <c r="K803" s="1">
        <v>2</v>
      </c>
      <c r="M803" s="4">
        <v>1060</v>
      </c>
      <c r="N803" s="1">
        <v>789</v>
      </c>
      <c r="O803" s="1">
        <v>2317</v>
      </c>
      <c r="P803" s="1">
        <v>1528</v>
      </c>
      <c r="Q803" s="1" t="s">
        <v>42</v>
      </c>
      <c r="S803" s="1" t="s">
        <v>42</v>
      </c>
      <c r="T803" s="1" t="s">
        <v>228</v>
      </c>
      <c r="U803" s="1">
        <v>1</v>
      </c>
      <c r="V803" s="5">
        <v>44423</v>
      </c>
      <c r="W803" s="5">
        <v>44377</v>
      </c>
      <c r="X803" s="1">
        <v>2455990</v>
      </c>
      <c r="Z803" s="5">
        <v>44378</v>
      </c>
      <c r="AB803" s="1" t="s">
        <v>44</v>
      </c>
      <c r="AF803" s="1">
        <v>10038</v>
      </c>
      <c r="AI803" s="1" t="s">
        <v>111</v>
      </c>
      <c r="AJ803" s="1">
        <v>2020</v>
      </c>
      <c r="AK803" s="1" t="s">
        <v>46</v>
      </c>
      <c r="AL803" s="1">
        <v>244</v>
      </c>
    </row>
    <row r="804" spans="1:38" x14ac:dyDescent="0.2">
      <c r="A804" s="2" t="str">
        <f>HYPERLINK("https://www.compass.com/listing/130-william-street-unit-34a-manhattan-ny-10038/815318642127520209/","130 William St, Unit 34A")</f>
        <v>130 William St, Unit 34A</v>
      </c>
      <c r="B804" s="2" t="str">
        <f t="shared" si="104"/>
        <v>130 William St</v>
      </c>
      <c r="C804" s="1" t="s">
        <v>96</v>
      </c>
      <c r="D804" s="1" t="s">
        <v>41</v>
      </c>
      <c r="E804" s="3">
        <v>1815990</v>
      </c>
      <c r="F804" s="1">
        <v>2056.6138165345401</v>
      </c>
      <c r="G804" s="1">
        <v>3</v>
      </c>
      <c r="H804" s="1">
        <v>1</v>
      </c>
      <c r="I804" s="1">
        <v>1</v>
      </c>
      <c r="J804" s="1">
        <v>1</v>
      </c>
      <c r="K804" s="1">
        <v>1</v>
      </c>
      <c r="M804" s="1">
        <v>883</v>
      </c>
      <c r="N804" s="1">
        <v>629</v>
      </c>
      <c r="O804" s="1">
        <v>1848</v>
      </c>
      <c r="P804" s="1">
        <v>1219</v>
      </c>
      <c r="Q804" s="1" t="s">
        <v>42</v>
      </c>
      <c r="S804" s="1" t="s">
        <v>42</v>
      </c>
      <c r="T804" s="1" t="s">
        <v>228</v>
      </c>
      <c r="U804" s="1">
        <v>1</v>
      </c>
      <c r="V804" s="5">
        <v>44422</v>
      </c>
      <c r="W804" s="5">
        <v>44376</v>
      </c>
      <c r="X804" s="1">
        <v>1815990</v>
      </c>
      <c r="Z804" s="5">
        <v>44378</v>
      </c>
      <c r="AB804" s="1" t="s">
        <v>44</v>
      </c>
      <c r="AF804" s="1">
        <v>10038</v>
      </c>
      <c r="AI804" s="1" t="s">
        <v>111</v>
      </c>
      <c r="AJ804" s="1">
        <v>2020</v>
      </c>
      <c r="AK804" s="1" t="s">
        <v>46</v>
      </c>
      <c r="AL804" s="1">
        <v>244</v>
      </c>
    </row>
    <row r="805" spans="1:38" x14ac:dyDescent="0.2">
      <c r="A805" s="2" t="str">
        <f>HYPERLINK("https://www.compass.com/listing/77-greenwich-street-unit-19a-manhattan-ny-10006/816722217216555313/","77 Greenwich St, Unit 19A")</f>
        <v>77 Greenwich St, Unit 19A</v>
      </c>
      <c r="B805" s="2" t="str">
        <f>HYPERLINK("https://www.compass.com/building/jolie-manhattan-ny/282060129363328789/","Jolie")</f>
        <v>Jolie</v>
      </c>
      <c r="C805" s="1" t="s">
        <v>96</v>
      </c>
      <c r="D805" s="1" t="s">
        <v>41</v>
      </c>
      <c r="E805" s="3">
        <v>3840000</v>
      </c>
      <c r="F805" s="1">
        <v>2231.2608948285801</v>
      </c>
      <c r="G805" s="1">
        <v>5.5</v>
      </c>
      <c r="H805" s="1">
        <v>3</v>
      </c>
      <c r="I805" s="1">
        <v>3</v>
      </c>
      <c r="J805" s="1">
        <v>2.5</v>
      </c>
      <c r="K805" s="1">
        <v>2</v>
      </c>
      <c r="L805" s="1">
        <v>1</v>
      </c>
      <c r="M805" s="4">
        <v>1721</v>
      </c>
      <c r="N805" s="1">
        <v>1845</v>
      </c>
      <c r="O805" s="1">
        <v>4827</v>
      </c>
      <c r="P805" s="1">
        <v>2982</v>
      </c>
      <c r="Q805" s="1" t="s">
        <v>42</v>
      </c>
      <c r="S805" s="1" t="s">
        <v>42</v>
      </c>
      <c r="T805" s="1" t="s">
        <v>228</v>
      </c>
      <c r="V805" s="5">
        <v>44405</v>
      </c>
      <c r="W805" s="5">
        <v>44380</v>
      </c>
      <c r="X805" s="1">
        <v>3840000</v>
      </c>
      <c r="Z805" s="5">
        <v>44380</v>
      </c>
      <c r="AB805" s="1" t="s">
        <v>44</v>
      </c>
      <c r="AF805" s="1">
        <v>10006</v>
      </c>
      <c r="AI805" s="1" t="s">
        <v>168</v>
      </c>
      <c r="AJ805" s="1">
        <v>2019</v>
      </c>
      <c r="AK805" s="1" t="s">
        <v>46</v>
      </c>
      <c r="AL805" s="1">
        <v>90</v>
      </c>
    </row>
    <row r="806" spans="1:38" x14ac:dyDescent="0.2">
      <c r="A806" s="2" t="str">
        <f>HYPERLINK("https://www.compass.com/listing/130-william-street-unit-32a-manhattan-ny-10038/812401279605200801/","130 William St, Unit 32A")</f>
        <v>130 William St, Unit 32A</v>
      </c>
      <c r="B806" s="2" t="str">
        <f>HYPERLINK("https://www.compass.com/building/130-william-st-manhattan-ny-10038/282029682239486757/","130 William St")</f>
        <v>130 William St</v>
      </c>
      <c r="C806" s="1" t="s">
        <v>96</v>
      </c>
      <c r="D806" s="1" t="s">
        <v>41</v>
      </c>
      <c r="E806" s="3">
        <v>1795990</v>
      </c>
      <c r="F806" s="1">
        <v>2033.9637599093901</v>
      </c>
      <c r="G806" s="1">
        <v>3</v>
      </c>
      <c r="H806" s="1">
        <v>1</v>
      </c>
      <c r="I806" s="1">
        <v>1</v>
      </c>
      <c r="J806" s="1">
        <v>1</v>
      </c>
      <c r="K806" s="1">
        <v>1</v>
      </c>
      <c r="M806" s="1">
        <v>883</v>
      </c>
      <c r="N806" s="1">
        <v>627</v>
      </c>
      <c r="O806" s="1">
        <v>1842</v>
      </c>
      <c r="P806" s="1">
        <v>1215</v>
      </c>
      <c r="Q806" s="1" t="s">
        <v>42</v>
      </c>
      <c r="S806" s="1" t="s">
        <v>42</v>
      </c>
      <c r="T806" s="1" t="s">
        <v>228</v>
      </c>
      <c r="V806" s="5">
        <v>44417</v>
      </c>
      <c r="W806" s="5">
        <v>44372</v>
      </c>
      <c r="X806" s="1">
        <v>1795990</v>
      </c>
      <c r="Z806" s="5">
        <v>44373</v>
      </c>
      <c r="AB806" s="1" t="s">
        <v>44</v>
      </c>
      <c r="AF806" s="1">
        <v>10038</v>
      </c>
      <c r="AI806" s="1" t="s">
        <v>111</v>
      </c>
      <c r="AJ806" s="1">
        <v>2020</v>
      </c>
      <c r="AK806" s="1" t="s">
        <v>46</v>
      </c>
      <c r="AL806" s="1">
        <v>244</v>
      </c>
    </row>
    <row r="807" spans="1:38" x14ac:dyDescent="0.2">
      <c r="A807" s="2" t="str">
        <f>HYPERLINK("https://www.compass.com/listing/252-south-street-unit-9c-manhattan-ny-10002/665195871116686521/","252 South St, Unit 9C")</f>
        <v>252 South St, Unit 9C</v>
      </c>
      <c r="B807" s="2" t="str">
        <f>HYPERLINK("https://www.compass.com/building/one-manhattan-square-manhattan-ny/294844950218926165/","One Manhattan Square")</f>
        <v>One Manhattan Square</v>
      </c>
      <c r="C807" s="1" t="s">
        <v>47</v>
      </c>
      <c r="D807" s="1" t="s">
        <v>41</v>
      </c>
      <c r="E807" s="3">
        <v>1225000</v>
      </c>
      <c r="F807" s="1">
        <v>1762.58992805755</v>
      </c>
      <c r="G807" s="1">
        <v>3</v>
      </c>
      <c r="H807" s="1">
        <v>1</v>
      </c>
      <c r="I807" s="1">
        <v>1</v>
      </c>
      <c r="J807" s="1">
        <v>1</v>
      </c>
      <c r="K807" s="1">
        <v>1</v>
      </c>
      <c r="M807" s="1">
        <v>695</v>
      </c>
      <c r="N807" s="1">
        <v>749</v>
      </c>
      <c r="O807" s="1">
        <v>761</v>
      </c>
      <c r="P807" s="1">
        <v>12</v>
      </c>
      <c r="Q807" s="1" t="s">
        <v>42</v>
      </c>
      <c r="S807" s="1" t="s">
        <v>42</v>
      </c>
      <c r="T807" s="1" t="s">
        <v>228</v>
      </c>
      <c r="V807" s="5">
        <v>44389</v>
      </c>
      <c r="W807" s="5">
        <v>44389</v>
      </c>
      <c r="Z807" s="5">
        <v>44389</v>
      </c>
      <c r="AB807" s="1" t="s">
        <v>44</v>
      </c>
      <c r="AF807" s="1">
        <v>10002</v>
      </c>
      <c r="AI807" s="1" t="s">
        <v>246</v>
      </c>
      <c r="AJ807" s="1">
        <v>2019</v>
      </c>
      <c r="AK807" s="1" t="s">
        <v>46</v>
      </c>
      <c r="AL807" s="1">
        <v>787</v>
      </c>
    </row>
    <row r="808" spans="1:38" x14ac:dyDescent="0.2">
      <c r="A808" s="2" t="str">
        <f>HYPERLINK("https://www.compass.com/listing/130-william-street-unit-41d-manhattan-ny-10038/812387338048864321/","130 William St, Unit 41D")</f>
        <v>130 William St, Unit 41D</v>
      </c>
      <c r="B808" s="2" t="str">
        <f>HYPERLINK("https://www.compass.com/building/130-william-st-manhattan-ny-10038/282029682239486757/","130 William St")</f>
        <v>130 William St</v>
      </c>
      <c r="C808" s="1" t="s">
        <v>96</v>
      </c>
      <c r="D808" s="1" t="s">
        <v>41</v>
      </c>
      <c r="E808" s="3">
        <v>2795990</v>
      </c>
      <c r="F808" s="1">
        <v>2324.1812136325798</v>
      </c>
      <c r="G808" s="1">
        <v>4</v>
      </c>
      <c r="H808" s="1">
        <v>2</v>
      </c>
      <c r="I808" s="1">
        <v>2</v>
      </c>
      <c r="J808" s="1">
        <v>2</v>
      </c>
      <c r="K808" s="1">
        <v>2</v>
      </c>
      <c r="M808" s="4">
        <v>1203</v>
      </c>
      <c r="N808" s="1">
        <v>887</v>
      </c>
      <c r="O808" s="1">
        <v>2605</v>
      </c>
      <c r="P808" s="1">
        <v>1718</v>
      </c>
      <c r="Q808" s="1" t="s">
        <v>42</v>
      </c>
      <c r="S808" s="1" t="s">
        <v>42</v>
      </c>
      <c r="T808" s="1" t="s">
        <v>228</v>
      </c>
      <c r="U808" s="1">
        <v>1</v>
      </c>
      <c r="V808" s="5">
        <v>44420</v>
      </c>
      <c r="W808" s="5">
        <v>44371</v>
      </c>
      <c r="X808" s="1">
        <v>2795990</v>
      </c>
      <c r="Z808" s="5">
        <v>44373</v>
      </c>
      <c r="AB808" s="1" t="s">
        <v>44</v>
      </c>
      <c r="AF808" s="1">
        <v>10038</v>
      </c>
      <c r="AI808" s="1" t="s">
        <v>111</v>
      </c>
      <c r="AJ808" s="1">
        <v>2020</v>
      </c>
      <c r="AK808" s="1" t="s">
        <v>46</v>
      </c>
      <c r="AL808" s="1">
        <v>244</v>
      </c>
    </row>
    <row r="809" spans="1:38" x14ac:dyDescent="0.2">
      <c r="A809" s="2" t="str">
        <f>HYPERLINK("https://www.compass.com/listing/252-south-street-unit-41e-manhattan-ny-10002/821769451902955329/","252 South St, Unit 41E")</f>
        <v>252 South St, Unit 41E</v>
      </c>
      <c r="B809" s="2" t="str">
        <f t="shared" ref="B809:B810" si="105">HYPERLINK("https://www.compass.com/building/one-manhattan-square-manhattan-ny/294844950218926165/","One Manhattan Square")</f>
        <v>One Manhattan Square</v>
      </c>
      <c r="C809" s="1" t="s">
        <v>47</v>
      </c>
      <c r="D809" s="1" t="s">
        <v>41</v>
      </c>
      <c r="E809" s="3">
        <v>1430000</v>
      </c>
      <c r="F809" s="1">
        <v>2060.5187319884699</v>
      </c>
      <c r="G809" s="1">
        <v>3</v>
      </c>
      <c r="H809" s="1">
        <v>1</v>
      </c>
      <c r="I809" s="1">
        <v>1</v>
      </c>
      <c r="J809" s="1">
        <v>1</v>
      </c>
      <c r="K809" s="1">
        <v>1</v>
      </c>
      <c r="M809" s="1">
        <v>694</v>
      </c>
      <c r="N809" s="1">
        <v>862.46</v>
      </c>
      <c r="O809" s="1">
        <v>876.46</v>
      </c>
      <c r="P809" s="1">
        <v>14</v>
      </c>
      <c r="Q809" s="1" t="s">
        <v>42</v>
      </c>
      <c r="S809" s="1" t="s">
        <v>42</v>
      </c>
      <c r="T809" s="1" t="s">
        <v>228</v>
      </c>
      <c r="V809" s="5">
        <v>44386</v>
      </c>
      <c r="W809" s="5">
        <v>44385</v>
      </c>
      <c r="X809" s="1">
        <v>1430000</v>
      </c>
      <c r="Z809" s="5">
        <v>44386</v>
      </c>
      <c r="AB809" s="1" t="s">
        <v>44</v>
      </c>
      <c r="AF809" s="1">
        <v>10002</v>
      </c>
      <c r="AI809" s="1" t="s">
        <v>246</v>
      </c>
      <c r="AJ809" s="1">
        <v>2019</v>
      </c>
      <c r="AK809" s="1" t="s">
        <v>46</v>
      </c>
      <c r="AL809" s="1">
        <v>787</v>
      </c>
    </row>
    <row r="810" spans="1:38" x14ac:dyDescent="0.2">
      <c r="A810" s="2" t="str">
        <f>HYPERLINK("https://www.compass.com/listing/252-south-street-unit-9h-manhattan-ny-10002/665293922510339249/","252 South St, Unit 9H")</f>
        <v>252 South St, Unit 9H</v>
      </c>
      <c r="B810" s="2" t="str">
        <f t="shared" si="105"/>
        <v>One Manhattan Square</v>
      </c>
      <c r="C810" s="1" t="s">
        <v>47</v>
      </c>
      <c r="D810" s="1" t="s">
        <v>41</v>
      </c>
      <c r="E810" s="3">
        <v>1835000</v>
      </c>
      <c r="F810" s="1">
        <v>1587.37024221453</v>
      </c>
      <c r="G810" s="1">
        <v>5</v>
      </c>
      <c r="H810" s="1">
        <v>2</v>
      </c>
      <c r="I810" s="1">
        <v>2</v>
      </c>
      <c r="J810" s="1">
        <v>2</v>
      </c>
      <c r="K810" s="1">
        <v>2</v>
      </c>
      <c r="M810" s="4">
        <v>1156</v>
      </c>
      <c r="N810" s="1">
        <v>1245</v>
      </c>
      <c r="O810" s="1">
        <v>1265</v>
      </c>
      <c r="P810" s="1">
        <v>20</v>
      </c>
      <c r="Q810" s="1" t="s">
        <v>42</v>
      </c>
      <c r="S810" s="1" t="s">
        <v>42</v>
      </c>
      <c r="T810" s="1" t="s">
        <v>228</v>
      </c>
      <c r="V810" s="5">
        <v>44383</v>
      </c>
      <c r="W810" s="5">
        <v>44383</v>
      </c>
      <c r="Z810" s="5">
        <v>44383</v>
      </c>
      <c r="AB810" s="1" t="s">
        <v>44</v>
      </c>
      <c r="AF810" s="1">
        <v>10002</v>
      </c>
      <c r="AI810" s="1" t="s">
        <v>246</v>
      </c>
      <c r="AJ810" s="1">
        <v>2019</v>
      </c>
      <c r="AK810" s="1" t="s">
        <v>46</v>
      </c>
      <c r="AL810" s="1">
        <v>787</v>
      </c>
    </row>
    <row r="811" spans="1:38" x14ac:dyDescent="0.2">
      <c r="A811" s="2" t="str">
        <f>HYPERLINK("https://www.compass.com/listing/77-greenwich-street-unit-15c-manhattan-ny-10006/811991726471895529/","77 Greenwich St, Unit 15C")</f>
        <v>77 Greenwich St, Unit 15C</v>
      </c>
      <c r="B811" s="2" t="str">
        <f>HYPERLINK("https://www.compass.com/building/jolie-manhattan-ny/282060129363328789/","Jolie")</f>
        <v>Jolie</v>
      </c>
      <c r="C811" s="1" t="s">
        <v>96</v>
      </c>
      <c r="D811" s="1" t="s">
        <v>41</v>
      </c>
      <c r="E811" s="3">
        <v>2485000</v>
      </c>
      <c r="F811" s="1">
        <v>1871.2349397590301</v>
      </c>
      <c r="G811" s="1">
        <v>4.5</v>
      </c>
      <c r="H811" s="1">
        <v>2</v>
      </c>
      <c r="I811" s="1">
        <v>3</v>
      </c>
      <c r="J811" s="1">
        <v>2.5</v>
      </c>
      <c r="K811" s="1">
        <v>2</v>
      </c>
      <c r="L811" s="1">
        <v>1</v>
      </c>
      <c r="M811" s="4">
        <v>1328</v>
      </c>
      <c r="N811" s="1">
        <v>1374</v>
      </c>
      <c r="O811" s="1">
        <v>3674</v>
      </c>
      <c r="P811" s="1">
        <v>2300</v>
      </c>
      <c r="Q811" s="1" t="s">
        <v>42</v>
      </c>
      <c r="S811" s="1" t="s">
        <v>42</v>
      </c>
      <c r="T811" s="1" t="s">
        <v>228</v>
      </c>
      <c r="V811" s="5">
        <v>44422</v>
      </c>
      <c r="W811" s="5">
        <v>44371</v>
      </c>
      <c r="X811" s="1">
        <v>2485000</v>
      </c>
      <c r="Z811" s="5">
        <v>44371</v>
      </c>
      <c r="AB811" s="1" t="s">
        <v>44</v>
      </c>
      <c r="AF811" s="1">
        <v>10006</v>
      </c>
      <c r="AI811" s="1" t="s">
        <v>168</v>
      </c>
      <c r="AJ811" s="1">
        <v>2019</v>
      </c>
      <c r="AK811" s="1" t="s">
        <v>46</v>
      </c>
      <c r="AL811" s="1">
        <v>90</v>
      </c>
    </row>
    <row r="812" spans="1:38" x14ac:dyDescent="0.2">
      <c r="A812" s="2" t="str">
        <f>HYPERLINK("https://www.compass.com/listing/130-william-street-unit-16f-manhattan-ny-10038/801497395568436929/","130 William St, Unit 16F")</f>
        <v>130 William St, Unit 16F</v>
      </c>
      <c r="B812" s="2" t="str">
        <f>HYPERLINK("https://www.compass.com/building/130-william-st-manhattan-ny-10038/282029682239486757/","130 William St")</f>
        <v>130 William St</v>
      </c>
      <c r="C812" s="1" t="s">
        <v>96</v>
      </c>
      <c r="D812" s="1" t="s">
        <v>41</v>
      </c>
      <c r="E812" s="3">
        <v>2255990</v>
      </c>
      <c r="F812" s="1">
        <v>1601.1284599006301</v>
      </c>
      <c r="G812" s="1">
        <v>4.5</v>
      </c>
      <c r="H812" s="1">
        <v>2</v>
      </c>
      <c r="I812" s="1">
        <v>3</v>
      </c>
      <c r="J812" s="1">
        <v>2.5</v>
      </c>
      <c r="K812" s="1">
        <v>2</v>
      </c>
      <c r="L812" s="1">
        <v>1</v>
      </c>
      <c r="M812" s="4">
        <v>1409</v>
      </c>
      <c r="N812" s="1">
        <v>951</v>
      </c>
      <c r="O812" s="1">
        <v>2793</v>
      </c>
      <c r="P812" s="1">
        <v>1842</v>
      </c>
      <c r="Q812" s="1" t="s">
        <v>42</v>
      </c>
      <c r="S812" s="1" t="s">
        <v>42</v>
      </c>
      <c r="T812" s="1" t="s">
        <v>228</v>
      </c>
      <c r="U812" s="1">
        <v>20</v>
      </c>
      <c r="V812" s="5">
        <v>44425</v>
      </c>
      <c r="W812" s="5">
        <v>44357</v>
      </c>
      <c r="X812" s="1">
        <v>2255990</v>
      </c>
      <c r="Z812" s="5">
        <v>44378</v>
      </c>
      <c r="AB812" s="1" t="s">
        <v>44</v>
      </c>
      <c r="AF812" s="1">
        <v>10038</v>
      </c>
      <c r="AI812" s="1" t="s">
        <v>111</v>
      </c>
      <c r="AJ812" s="1">
        <v>2020</v>
      </c>
      <c r="AK812" s="1" t="s">
        <v>46</v>
      </c>
      <c r="AL812" s="1">
        <v>244</v>
      </c>
    </row>
    <row r="813" spans="1:38" x14ac:dyDescent="0.2">
      <c r="A813" s="2" t="str">
        <f>HYPERLINK("https://www.compass.com/listing/252-south-street-unit-80d-manhattan-ny-10002/804270689858693321/","252 South St, Unit 80D")</f>
        <v>252 South St, Unit 80D</v>
      </c>
      <c r="B813" s="2" t="str">
        <f>HYPERLINK("https://www.compass.com/building/one-manhattan-square-manhattan-ny/294844950218926165/","One Manhattan Square")</f>
        <v>One Manhattan Square</v>
      </c>
      <c r="C813" s="1" t="s">
        <v>47</v>
      </c>
      <c r="D813" s="1" t="s">
        <v>41</v>
      </c>
      <c r="E813" s="3">
        <v>12134000</v>
      </c>
      <c r="F813" s="1">
        <v>3562.5366999412799</v>
      </c>
      <c r="G813" s="1">
        <v>7</v>
      </c>
      <c r="H813" s="1">
        <v>4</v>
      </c>
      <c r="I813" s="1">
        <v>4</v>
      </c>
      <c r="J813" s="1">
        <v>3.5</v>
      </c>
      <c r="K813" s="1">
        <v>3</v>
      </c>
      <c r="L813" s="1">
        <v>1</v>
      </c>
      <c r="M813" s="4">
        <v>3406</v>
      </c>
      <c r="N813" s="1">
        <v>5095</v>
      </c>
      <c r="O813" s="1">
        <v>5175</v>
      </c>
      <c r="P813" s="1">
        <v>80</v>
      </c>
      <c r="Q813" s="1" t="s">
        <v>42</v>
      </c>
      <c r="S813" s="1" t="s">
        <v>42</v>
      </c>
      <c r="T813" s="1" t="s">
        <v>228</v>
      </c>
      <c r="V813" s="5">
        <v>44362</v>
      </c>
      <c r="W813" s="5">
        <v>44362</v>
      </c>
      <c r="X813" s="1">
        <v>12134000</v>
      </c>
      <c r="Z813" s="5">
        <v>44362</v>
      </c>
      <c r="AB813" s="1" t="s">
        <v>44</v>
      </c>
      <c r="AF813" s="1">
        <v>10002</v>
      </c>
      <c r="AI813" s="1" t="s">
        <v>246</v>
      </c>
      <c r="AJ813" s="1">
        <v>2019</v>
      </c>
      <c r="AK813" s="1" t="s">
        <v>46</v>
      </c>
      <c r="AL813" s="1">
        <v>787</v>
      </c>
    </row>
    <row r="814" spans="1:38" x14ac:dyDescent="0.2">
      <c r="A814" s="2" t="str">
        <f>HYPERLINK("https://www.compass.com/listing/50-clinton-street-unit-6b-manhattan-ny-10002/754358556953378881/","50 Clinton St, Unit 6B")</f>
        <v>50 Clinton St, Unit 6B</v>
      </c>
      <c r="B814" s="2" t="str">
        <f>HYPERLINK("https://www.compass.com/building/50-clinton-manhattan-ny/281887574832709909/","50 Clinton")</f>
        <v>50 Clinton</v>
      </c>
      <c r="C814" s="1" t="s">
        <v>47</v>
      </c>
      <c r="D814" s="1" t="s">
        <v>41</v>
      </c>
      <c r="E814" s="3">
        <v>1295000</v>
      </c>
      <c r="F814" s="1">
        <v>1977.0992366412199</v>
      </c>
      <c r="G814" s="1">
        <v>3</v>
      </c>
      <c r="H814" s="1">
        <v>1</v>
      </c>
      <c r="I814" s="1">
        <v>1</v>
      </c>
      <c r="J814" s="1">
        <v>1</v>
      </c>
      <c r="K814" s="1">
        <v>1</v>
      </c>
      <c r="M814" s="1">
        <v>655</v>
      </c>
      <c r="N814" s="1">
        <v>891</v>
      </c>
      <c r="O814" s="1">
        <v>1688</v>
      </c>
      <c r="P814" s="1">
        <v>797</v>
      </c>
      <c r="Q814" s="1" t="s">
        <v>42</v>
      </c>
      <c r="S814" s="1" t="s">
        <v>42</v>
      </c>
      <c r="T814" s="1" t="s">
        <v>228</v>
      </c>
      <c r="U814" s="1">
        <v>85</v>
      </c>
      <c r="V814" s="5">
        <v>44378</v>
      </c>
      <c r="W814" s="5">
        <v>44292</v>
      </c>
      <c r="X814" s="1">
        <v>1</v>
      </c>
      <c r="Z814" s="5">
        <v>44378</v>
      </c>
      <c r="AB814" s="1" t="s">
        <v>44</v>
      </c>
      <c r="AF814" s="1">
        <v>10002</v>
      </c>
      <c r="AI814" s="1" t="s">
        <v>48</v>
      </c>
      <c r="AJ814" s="1">
        <v>2016</v>
      </c>
      <c r="AK814" s="1" t="s">
        <v>175</v>
      </c>
      <c r="AL814" s="1">
        <v>37</v>
      </c>
    </row>
    <row r="815" spans="1:38" x14ac:dyDescent="0.2">
      <c r="A815" s="2" t="str">
        <f>HYPERLINK("https://www.compass.com/listing/204-forsyth-street-unit-2n-manhattan-ny-10002/796348402656491609/","204 Forsyth St, Unit 2N")</f>
        <v>204 Forsyth St, Unit 2N</v>
      </c>
      <c r="B815" s="2" t="str">
        <f>HYPERLINK("https://www.compass.com/building/204-forsyth-st-manhattan-ny-10002/281886285847598005/","204 Forsyth St")</f>
        <v>204 Forsyth St</v>
      </c>
      <c r="C815" s="1" t="s">
        <v>47</v>
      </c>
      <c r="D815" s="1" t="s">
        <v>41</v>
      </c>
      <c r="E815" s="3">
        <v>2300000</v>
      </c>
      <c r="F815" s="1">
        <v>1622.00282087447</v>
      </c>
      <c r="G815" s="1">
        <v>4</v>
      </c>
      <c r="H815" s="1">
        <v>2</v>
      </c>
      <c r="I815" s="1">
        <v>2</v>
      </c>
      <c r="J815" s="1">
        <v>2</v>
      </c>
      <c r="K815" s="1">
        <v>2</v>
      </c>
      <c r="M815" s="4">
        <v>1418</v>
      </c>
      <c r="N815" s="1">
        <v>1955</v>
      </c>
      <c r="O815" s="1">
        <v>4507</v>
      </c>
      <c r="P815" s="1">
        <v>2552</v>
      </c>
      <c r="Q815" s="1" t="s">
        <v>42</v>
      </c>
      <c r="S815" s="1" t="s">
        <v>42</v>
      </c>
      <c r="T815" s="1" t="s">
        <v>228</v>
      </c>
      <c r="U815" s="1">
        <v>56</v>
      </c>
      <c r="V815" s="5">
        <v>44407</v>
      </c>
      <c r="W815" s="5">
        <v>44351</v>
      </c>
      <c r="X815" s="1">
        <v>2499000</v>
      </c>
      <c r="Z815" s="5">
        <v>44407</v>
      </c>
      <c r="AB815" s="1" t="s">
        <v>44</v>
      </c>
      <c r="AF815" s="1">
        <v>10002</v>
      </c>
      <c r="AI815" s="1" t="s">
        <v>48</v>
      </c>
      <c r="AJ815" s="1">
        <v>2016</v>
      </c>
      <c r="AK815" s="1" t="s">
        <v>46</v>
      </c>
      <c r="AL815" s="1">
        <v>11</v>
      </c>
    </row>
    <row r="816" spans="1:38" x14ac:dyDescent="0.2">
      <c r="A816" s="2" t="str">
        <f>HYPERLINK("https://www.compass.com/listing/161-maiden-lane-unit-8c-manhattan-ny-10038/29514202175625041/","161 Maiden Ln, Unit 8C")</f>
        <v>161 Maiden Ln, Unit 8C</v>
      </c>
      <c r="B816" s="2" t="str">
        <f t="shared" ref="B816:B817" si="106">HYPERLINK("https://www.compass.com/building/seaport-residences-manhattan-ny/282029834819877765/","Seaport Residences")</f>
        <v>Seaport Residences</v>
      </c>
      <c r="C816" s="1" t="s">
        <v>96</v>
      </c>
      <c r="D816" s="1" t="s">
        <v>41</v>
      </c>
      <c r="E816" s="3">
        <v>1220000</v>
      </c>
      <c r="F816" s="1">
        <v>1747.85100286532</v>
      </c>
      <c r="G816" s="1">
        <v>3</v>
      </c>
      <c r="H816" s="1">
        <v>1</v>
      </c>
      <c r="I816" s="1">
        <v>1</v>
      </c>
      <c r="J816" s="1">
        <v>1</v>
      </c>
      <c r="K816" s="1">
        <v>1</v>
      </c>
      <c r="M816" s="1">
        <v>698</v>
      </c>
      <c r="N816" s="1">
        <v>1003</v>
      </c>
      <c r="O816" s="1">
        <v>1845</v>
      </c>
      <c r="P816" s="1">
        <v>842</v>
      </c>
      <c r="Q816" s="1" t="s">
        <v>42</v>
      </c>
      <c r="S816" s="1" t="s">
        <v>42</v>
      </c>
      <c r="T816" s="1" t="s">
        <v>228</v>
      </c>
      <c r="U816" s="1">
        <v>59</v>
      </c>
      <c r="V816" s="5">
        <v>44427</v>
      </c>
      <c r="W816" s="5">
        <v>42460</v>
      </c>
      <c r="X816" s="1">
        <v>1220000</v>
      </c>
      <c r="Z816" s="5">
        <v>42520</v>
      </c>
      <c r="AB816" s="1" t="s">
        <v>44</v>
      </c>
      <c r="AF816" s="1">
        <v>10038</v>
      </c>
      <c r="AI816" s="1" t="s">
        <v>48</v>
      </c>
      <c r="AJ816" s="1">
        <v>2018</v>
      </c>
      <c r="AK816" s="1" t="s">
        <v>49</v>
      </c>
      <c r="AL816" s="1">
        <v>98</v>
      </c>
    </row>
    <row r="817" spans="1:38" x14ac:dyDescent="0.2">
      <c r="A817" s="2" t="str">
        <f>HYPERLINK("https://www.compass.com/listing/161-maiden-lane-unit-10c-manhattan-ny-10038/29514202821491841/","161 Maiden Ln, Unit 10C")</f>
        <v>161 Maiden Ln, Unit 10C</v>
      </c>
      <c r="B817" s="2" t="str">
        <f t="shared" si="106"/>
        <v>Seaport Residences</v>
      </c>
      <c r="C817" s="1" t="s">
        <v>96</v>
      </c>
      <c r="D817" s="1" t="s">
        <v>41</v>
      </c>
      <c r="E817" s="3">
        <v>1290000</v>
      </c>
      <c r="F817" s="1">
        <v>1848.1375358166099</v>
      </c>
      <c r="G817" s="1">
        <v>3</v>
      </c>
      <c r="H817" s="1">
        <v>1</v>
      </c>
      <c r="I817" s="1">
        <v>1</v>
      </c>
      <c r="J817" s="1">
        <v>1</v>
      </c>
      <c r="K817" s="1">
        <v>1</v>
      </c>
      <c r="M817" s="1">
        <v>698</v>
      </c>
      <c r="N817" s="1">
        <v>1003</v>
      </c>
      <c r="O817" s="1">
        <v>1845</v>
      </c>
      <c r="P817" s="1">
        <v>842</v>
      </c>
      <c r="Q817" s="1" t="s">
        <v>42</v>
      </c>
      <c r="S817" s="1" t="s">
        <v>42</v>
      </c>
      <c r="T817" s="1" t="s">
        <v>228</v>
      </c>
      <c r="U817" s="1">
        <v>50</v>
      </c>
      <c r="V817" s="5">
        <v>44427</v>
      </c>
      <c r="W817" s="5">
        <v>42460</v>
      </c>
      <c r="X817" s="1">
        <v>1290000</v>
      </c>
      <c r="Z817" s="5">
        <v>42511</v>
      </c>
      <c r="AB817" s="1" t="s">
        <v>44</v>
      </c>
      <c r="AF817" s="1">
        <v>10038</v>
      </c>
      <c r="AI817" s="1" t="s">
        <v>48</v>
      </c>
      <c r="AJ817" s="1">
        <v>2018</v>
      </c>
      <c r="AK817" s="1" t="s">
        <v>49</v>
      </c>
      <c r="AL817" s="1">
        <v>98</v>
      </c>
    </row>
    <row r="818" spans="1:38" x14ac:dyDescent="0.2">
      <c r="A818" s="2" t="str">
        <f>HYPERLINK("https://www.compass.com/listing/130-william-street-unit-51d-manhattan-ny-10038/797239050493553105/","130 William St, Unit 51D")</f>
        <v>130 William St, Unit 51D</v>
      </c>
      <c r="B818" s="2" t="str">
        <f>HYPERLINK("https://www.compass.com/building/130-william-st-manhattan-ny-10038/282029682239486757/","130 William St")</f>
        <v>130 William St</v>
      </c>
      <c r="C818" s="1" t="s">
        <v>96</v>
      </c>
      <c r="D818" s="1" t="s">
        <v>41</v>
      </c>
      <c r="E818" s="3">
        <v>4095990</v>
      </c>
      <c r="F818" s="1">
        <v>2312.8119706380498</v>
      </c>
      <c r="G818" s="1">
        <v>5</v>
      </c>
      <c r="H818" s="1">
        <v>3</v>
      </c>
      <c r="I818" s="1">
        <v>3</v>
      </c>
      <c r="J818" s="1">
        <v>3</v>
      </c>
      <c r="K818" s="1">
        <v>3</v>
      </c>
      <c r="M818" s="4">
        <v>1771</v>
      </c>
      <c r="N818" s="1">
        <v>1301</v>
      </c>
      <c r="O818" s="1">
        <v>3821</v>
      </c>
      <c r="P818" s="1">
        <v>2520</v>
      </c>
      <c r="Q818" s="1" t="s">
        <v>42</v>
      </c>
      <c r="S818" s="1" t="s">
        <v>42</v>
      </c>
      <c r="T818" s="1" t="s">
        <v>228</v>
      </c>
      <c r="U818" s="1">
        <v>5</v>
      </c>
      <c r="V818" s="5">
        <v>44425</v>
      </c>
      <c r="W818" s="5">
        <v>44351</v>
      </c>
      <c r="X818" s="1">
        <v>4095990</v>
      </c>
      <c r="Z818" s="5">
        <v>44357</v>
      </c>
      <c r="AB818" s="1" t="s">
        <v>44</v>
      </c>
      <c r="AF818" s="1">
        <v>10038</v>
      </c>
      <c r="AI818" s="1" t="s">
        <v>111</v>
      </c>
      <c r="AJ818" s="1">
        <v>2020</v>
      </c>
      <c r="AK818" s="1" t="s">
        <v>46</v>
      </c>
      <c r="AL818" s="1">
        <v>244</v>
      </c>
    </row>
    <row r="819" spans="1:38" x14ac:dyDescent="0.2">
      <c r="A819" s="2" t="str">
        <f>HYPERLINK("https://www.compass.com/listing/5-beekman-street-unit-19a-manhattan-ny-10038/678888228723731945/","5 Beekman St, Unit 19A")</f>
        <v>5 Beekman St, Unit 19A</v>
      </c>
      <c r="B819" s="2" t="str">
        <f>HYPERLINK("https://www.compass.com/building/the-beekman-residences-manhattan-ny/282030567363458613/","The Beekman Residences")</f>
        <v>The Beekman Residences</v>
      </c>
      <c r="C819" s="1" t="s">
        <v>96</v>
      </c>
      <c r="D819" s="1" t="s">
        <v>41</v>
      </c>
      <c r="E819" s="3">
        <v>2200000</v>
      </c>
      <c r="F819" s="1">
        <v>1353.8461538461499</v>
      </c>
      <c r="G819" s="1">
        <v>4</v>
      </c>
      <c r="H819" s="1">
        <v>2</v>
      </c>
      <c r="I819" s="1">
        <v>3</v>
      </c>
      <c r="J819" s="1">
        <v>2.5</v>
      </c>
      <c r="K819" s="1">
        <v>2</v>
      </c>
      <c r="L819" s="1">
        <v>1</v>
      </c>
      <c r="M819" s="4">
        <v>1625</v>
      </c>
      <c r="N819" s="1">
        <v>3039</v>
      </c>
      <c r="O819" s="1">
        <v>5689</v>
      </c>
      <c r="P819" s="1">
        <v>2650</v>
      </c>
      <c r="Q819" s="1" t="s">
        <v>42</v>
      </c>
      <c r="S819" s="1" t="s">
        <v>42</v>
      </c>
      <c r="T819" s="1" t="s">
        <v>228</v>
      </c>
      <c r="U819" s="1">
        <v>198</v>
      </c>
      <c r="V819" s="5">
        <v>44425</v>
      </c>
      <c r="W819" s="5">
        <v>44188</v>
      </c>
      <c r="X819" s="1">
        <v>2375000</v>
      </c>
      <c r="Z819" s="5">
        <v>44387</v>
      </c>
      <c r="AB819" s="1" t="s">
        <v>44</v>
      </c>
      <c r="AF819" s="1">
        <v>10038</v>
      </c>
      <c r="AI819" s="1" t="s">
        <v>165</v>
      </c>
      <c r="AJ819" s="1">
        <v>2015</v>
      </c>
      <c r="AK819" s="1" t="s">
        <v>46</v>
      </c>
      <c r="AL819" s="1">
        <v>67</v>
      </c>
    </row>
    <row r="820" spans="1:38" x14ac:dyDescent="0.2">
      <c r="A820" s="2" t="str">
        <f>HYPERLINK("https://www.compass.com/listing/161-maiden-lane-unit-12c-manhattan-ny-10038/29514200934054961/","161 Maiden Ln, Unit 12C")</f>
        <v>161 Maiden Ln, Unit 12C</v>
      </c>
      <c r="B820" s="2" t="str">
        <f>HYPERLINK("https://www.compass.com/building/seaport-residences-manhattan-ny/282029834819877765/","Seaport Residences")</f>
        <v>Seaport Residences</v>
      </c>
      <c r="C820" s="1" t="s">
        <v>96</v>
      </c>
      <c r="D820" s="1" t="s">
        <v>41</v>
      </c>
      <c r="E820" s="3">
        <v>1360000</v>
      </c>
      <c r="F820" s="1">
        <v>1948.4240687679001</v>
      </c>
      <c r="G820" s="1">
        <v>3</v>
      </c>
      <c r="H820" s="1">
        <v>1</v>
      </c>
      <c r="I820" s="1">
        <v>1</v>
      </c>
      <c r="J820" s="1">
        <v>1</v>
      </c>
      <c r="K820" s="1">
        <v>1</v>
      </c>
      <c r="M820" s="1">
        <v>698</v>
      </c>
      <c r="N820" s="1">
        <v>1003</v>
      </c>
      <c r="O820" s="1">
        <v>1845</v>
      </c>
      <c r="P820" s="1">
        <v>842</v>
      </c>
      <c r="Q820" s="1" t="s">
        <v>42</v>
      </c>
      <c r="S820" s="1" t="s">
        <v>42</v>
      </c>
      <c r="T820" s="1" t="s">
        <v>228</v>
      </c>
      <c r="U820" s="1">
        <v>59</v>
      </c>
      <c r="V820" s="5">
        <v>44427</v>
      </c>
      <c r="W820" s="5">
        <v>42460</v>
      </c>
      <c r="X820" s="1">
        <v>1360000</v>
      </c>
      <c r="Z820" s="5">
        <v>42520</v>
      </c>
      <c r="AB820" s="1" t="s">
        <v>44</v>
      </c>
      <c r="AF820" s="1">
        <v>10038</v>
      </c>
      <c r="AI820" s="1" t="s">
        <v>48</v>
      </c>
      <c r="AJ820" s="1">
        <v>2018</v>
      </c>
      <c r="AK820" s="1" t="s">
        <v>49</v>
      </c>
      <c r="AL820" s="1">
        <v>98</v>
      </c>
    </row>
    <row r="821" spans="1:38" x14ac:dyDescent="0.2">
      <c r="A821" s="2" t="str">
        <f>HYPERLINK("https://www.compass.com/listing/196-orchard-street-unit-10f-manhattan-ny-10002/755217800015641217/","196 Orchard St, Unit 10F")</f>
        <v>196 Orchard St, Unit 10F</v>
      </c>
      <c r="B821" s="2" t="str">
        <f>HYPERLINK("https://www.compass.com/building/196-orchard-st-manhattan-ny-10002/281886194713760485/","196 Orchard St")</f>
        <v>196 Orchard St</v>
      </c>
      <c r="C821" s="1" t="s">
        <v>47</v>
      </c>
      <c r="D821" s="1" t="s">
        <v>41</v>
      </c>
      <c r="E821" s="3">
        <v>2495000</v>
      </c>
      <c r="F821" s="1">
        <v>2050.1232539030402</v>
      </c>
      <c r="G821" s="1">
        <v>4</v>
      </c>
      <c r="H821" s="1">
        <v>2</v>
      </c>
      <c r="I821" s="1">
        <v>2</v>
      </c>
      <c r="J821" s="1">
        <v>2</v>
      </c>
      <c r="K821" s="1">
        <v>2</v>
      </c>
      <c r="M821" s="4">
        <v>1217</v>
      </c>
      <c r="N821" s="1">
        <v>1615.76</v>
      </c>
      <c r="O821" s="1">
        <v>3607.02</v>
      </c>
      <c r="P821" s="1">
        <v>1991.25</v>
      </c>
      <c r="Q821" s="1" t="s">
        <v>42</v>
      </c>
      <c r="S821" s="1" t="s">
        <v>42</v>
      </c>
      <c r="T821" s="1" t="s">
        <v>228</v>
      </c>
      <c r="U821" s="1">
        <v>107</v>
      </c>
      <c r="V821" s="5">
        <v>44422</v>
      </c>
      <c r="W821" s="5">
        <v>44293</v>
      </c>
      <c r="X821" s="1">
        <v>2495000</v>
      </c>
      <c r="Z821" s="5">
        <v>44400</v>
      </c>
      <c r="AB821" s="1" t="s">
        <v>44</v>
      </c>
      <c r="AF821" s="1">
        <v>10002</v>
      </c>
      <c r="AI821" s="1" t="s">
        <v>165</v>
      </c>
      <c r="AJ821" s="1">
        <v>2018</v>
      </c>
      <c r="AK821" s="1" t="s">
        <v>46</v>
      </c>
      <c r="AL821" s="1">
        <v>89</v>
      </c>
    </row>
    <row r="822" spans="1:38" x14ac:dyDescent="0.2">
      <c r="A822" s="2" t="str">
        <f>HYPERLINK("https://www.compass.com/listing/161-maiden-lane-unit-21c-manhattan-ny-10038/29514182940546353/","161 Maiden Ln, Unit 21C")</f>
        <v>161 Maiden Ln, Unit 21C</v>
      </c>
      <c r="B822" s="2" t="str">
        <f t="shared" ref="B822:B842" si="107">HYPERLINK("https://www.compass.com/building/seaport-residences-manhattan-ny/282029834819877765/","Seaport Residences")</f>
        <v>Seaport Residences</v>
      </c>
      <c r="C822" s="1" t="s">
        <v>96</v>
      </c>
      <c r="D822" s="1" t="s">
        <v>41</v>
      </c>
      <c r="E822" s="3">
        <v>1620000</v>
      </c>
      <c r="F822" s="1">
        <v>2201.0869565217299</v>
      </c>
      <c r="G822" s="1">
        <v>2</v>
      </c>
      <c r="H822" s="1">
        <v>1</v>
      </c>
      <c r="I822" s="1">
        <v>1</v>
      </c>
      <c r="J822" s="1">
        <v>1</v>
      </c>
      <c r="K822" s="1">
        <v>1</v>
      </c>
      <c r="M822" s="1">
        <v>736</v>
      </c>
      <c r="N822" s="1">
        <v>1082</v>
      </c>
      <c r="O822" s="1">
        <v>2005</v>
      </c>
      <c r="P822" s="1">
        <v>923</v>
      </c>
      <c r="Q822" s="1" t="s">
        <v>42</v>
      </c>
      <c r="S822" s="1" t="s">
        <v>42</v>
      </c>
      <c r="T822" s="1" t="s">
        <v>228</v>
      </c>
      <c r="U822" s="1">
        <v>1</v>
      </c>
      <c r="V822" s="5">
        <v>44427</v>
      </c>
      <c r="W822" s="5">
        <v>43081</v>
      </c>
      <c r="X822" s="1">
        <v>1620000</v>
      </c>
      <c r="Z822" s="5">
        <v>43083</v>
      </c>
      <c r="AB822" s="1" t="s">
        <v>44</v>
      </c>
      <c r="AF822" s="1">
        <v>10038</v>
      </c>
      <c r="AI822" s="1" t="s">
        <v>48</v>
      </c>
      <c r="AJ822" s="1">
        <v>2018</v>
      </c>
      <c r="AK822" s="1" t="s">
        <v>49</v>
      </c>
      <c r="AL822" s="1">
        <v>98</v>
      </c>
    </row>
    <row r="823" spans="1:38" x14ac:dyDescent="0.2">
      <c r="A823" s="2" t="str">
        <f>HYPERLINK("https://www.compass.com/listing/161-maiden-lane-unit-18a-manhattan-ny-10038/29514183569635921/","161 Maiden Ln, Unit 18A")</f>
        <v>161 Maiden Ln, Unit 18A</v>
      </c>
      <c r="B823" s="2" t="str">
        <f t="shared" si="107"/>
        <v>Seaport Residences</v>
      </c>
      <c r="C823" s="1" t="s">
        <v>96</v>
      </c>
      <c r="D823" s="1" t="s">
        <v>41</v>
      </c>
      <c r="E823" s="3">
        <v>1940000</v>
      </c>
      <c r="F823" s="1">
        <v>1993.8335046248701</v>
      </c>
      <c r="G823" s="1">
        <v>2</v>
      </c>
      <c r="H823" s="1">
        <v>1</v>
      </c>
      <c r="I823" s="1">
        <v>1</v>
      </c>
      <c r="J823" s="1">
        <v>1</v>
      </c>
      <c r="K823" s="1">
        <v>1</v>
      </c>
      <c r="M823" s="1">
        <v>973</v>
      </c>
      <c r="N823" s="1">
        <v>1413</v>
      </c>
      <c r="O823" s="1">
        <v>2807</v>
      </c>
      <c r="P823" s="1">
        <v>1394</v>
      </c>
      <c r="Q823" s="1" t="s">
        <v>42</v>
      </c>
      <c r="S823" s="1" t="s">
        <v>42</v>
      </c>
      <c r="T823" s="1" t="s">
        <v>228</v>
      </c>
      <c r="U823" s="1">
        <v>349</v>
      </c>
      <c r="V823" s="5">
        <v>44427</v>
      </c>
      <c r="W823" s="5">
        <v>42460</v>
      </c>
      <c r="X823" s="1">
        <v>1940000</v>
      </c>
      <c r="Z823" s="5">
        <v>42810</v>
      </c>
      <c r="AB823" s="1" t="s">
        <v>44</v>
      </c>
      <c r="AF823" s="1">
        <v>10038</v>
      </c>
      <c r="AI823" s="1" t="s">
        <v>61</v>
      </c>
      <c r="AJ823" s="1">
        <v>2018</v>
      </c>
      <c r="AK823" s="1" t="s">
        <v>49</v>
      </c>
      <c r="AL823" s="1">
        <v>98</v>
      </c>
    </row>
    <row r="824" spans="1:38" x14ac:dyDescent="0.2">
      <c r="A824" s="2" t="str">
        <f>HYPERLINK("https://www.compass.com/listing/161-maiden-lane-unit-19c-manhattan-ny-10038/29514186950245041/","161 Maiden Ln, Unit 19C")</f>
        <v>161 Maiden Ln, Unit 19C</v>
      </c>
      <c r="B824" s="2" t="str">
        <f t="shared" si="107"/>
        <v>Seaport Residences</v>
      </c>
      <c r="C824" s="1" t="s">
        <v>96</v>
      </c>
      <c r="D824" s="1" t="s">
        <v>41</v>
      </c>
      <c r="E824" s="3">
        <v>1600000</v>
      </c>
      <c r="F824" s="1">
        <v>2173.9130434782601</v>
      </c>
      <c r="G824" s="1">
        <v>3</v>
      </c>
      <c r="H824" s="1">
        <v>1</v>
      </c>
      <c r="I824" s="1">
        <v>1</v>
      </c>
      <c r="J824" s="1">
        <v>1</v>
      </c>
      <c r="K824" s="1">
        <v>1</v>
      </c>
      <c r="M824" s="1">
        <v>736</v>
      </c>
      <c r="N824" s="1">
        <v>1080</v>
      </c>
      <c r="O824" s="1">
        <v>2003</v>
      </c>
      <c r="P824" s="1">
        <v>923</v>
      </c>
      <c r="Q824" s="1" t="s">
        <v>42</v>
      </c>
      <c r="S824" s="1" t="s">
        <v>42</v>
      </c>
      <c r="T824" s="1" t="s">
        <v>228</v>
      </c>
      <c r="U824" s="1">
        <v>22</v>
      </c>
      <c r="V824" s="5">
        <v>44427</v>
      </c>
      <c r="W824" s="5">
        <v>42922</v>
      </c>
      <c r="X824" s="1">
        <v>1600000</v>
      </c>
      <c r="Z824" s="5">
        <v>42945</v>
      </c>
      <c r="AB824" s="1" t="s">
        <v>44</v>
      </c>
      <c r="AF824" s="1">
        <v>10038</v>
      </c>
      <c r="AI824" s="1" t="s">
        <v>48</v>
      </c>
      <c r="AJ824" s="1">
        <v>2018</v>
      </c>
      <c r="AK824" s="1" t="s">
        <v>49</v>
      </c>
      <c r="AL824" s="1">
        <v>98</v>
      </c>
    </row>
    <row r="825" spans="1:38" x14ac:dyDescent="0.2">
      <c r="A825" s="2" t="str">
        <f>HYPERLINK("https://www.compass.com/listing/161-maiden-lane-unit-19a-manhattan-ny-10038/29514187369731489/","161 Maiden Ln, Unit 19A")</f>
        <v>161 Maiden Ln, Unit 19A</v>
      </c>
      <c r="B825" s="2" t="str">
        <f t="shared" si="107"/>
        <v>Seaport Residences</v>
      </c>
      <c r="C825" s="1" t="s">
        <v>96</v>
      </c>
      <c r="D825" s="1" t="s">
        <v>41</v>
      </c>
      <c r="E825" s="3">
        <v>1945000</v>
      </c>
      <c r="F825" s="1">
        <v>1998.97225077081</v>
      </c>
      <c r="G825" s="1">
        <v>3</v>
      </c>
      <c r="H825" s="1">
        <v>1</v>
      </c>
      <c r="I825" s="1">
        <v>1</v>
      </c>
      <c r="J825" s="1">
        <v>1</v>
      </c>
      <c r="K825" s="1">
        <v>1</v>
      </c>
      <c r="M825" s="1">
        <v>973</v>
      </c>
      <c r="N825" s="1">
        <v>1413</v>
      </c>
      <c r="O825" s="1">
        <v>2807</v>
      </c>
      <c r="P825" s="1">
        <v>1394</v>
      </c>
      <c r="Q825" s="1" t="s">
        <v>42</v>
      </c>
      <c r="S825" s="1" t="s">
        <v>42</v>
      </c>
      <c r="T825" s="1" t="s">
        <v>228</v>
      </c>
      <c r="U825" s="1">
        <v>385</v>
      </c>
      <c r="V825" s="5">
        <v>44427</v>
      </c>
      <c r="W825" s="5">
        <v>42460</v>
      </c>
      <c r="X825" s="1">
        <v>1945000</v>
      </c>
      <c r="Z825" s="5">
        <v>42846</v>
      </c>
      <c r="AB825" s="1" t="s">
        <v>44</v>
      </c>
      <c r="AF825" s="1">
        <v>10038</v>
      </c>
      <c r="AI825" s="1" t="s">
        <v>61</v>
      </c>
      <c r="AJ825" s="1">
        <v>2018</v>
      </c>
      <c r="AK825" s="1" t="s">
        <v>49</v>
      </c>
      <c r="AL825" s="1">
        <v>98</v>
      </c>
    </row>
    <row r="826" spans="1:38" x14ac:dyDescent="0.2">
      <c r="A826" s="2" t="str">
        <f>HYPERLINK("https://www.compass.com/listing/161-maiden-lane-unit-18c-manhattan-ny-10038/29514190565791249/","161 Maiden Ln, Unit 18C")</f>
        <v>161 Maiden Ln, Unit 18C</v>
      </c>
      <c r="B826" s="2" t="str">
        <f t="shared" si="107"/>
        <v>Seaport Residences</v>
      </c>
      <c r="C826" s="1" t="s">
        <v>96</v>
      </c>
      <c r="D826" s="1" t="s">
        <v>41</v>
      </c>
      <c r="E826" s="3">
        <v>1580000</v>
      </c>
      <c r="F826" s="1">
        <v>2146.7391304347798</v>
      </c>
      <c r="G826" s="1">
        <v>2</v>
      </c>
      <c r="H826" s="1">
        <v>1</v>
      </c>
      <c r="I826" s="1">
        <v>1</v>
      </c>
      <c r="J826" s="1">
        <v>1</v>
      </c>
      <c r="K826" s="1">
        <v>1</v>
      </c>
      <c r="M826" s="1">
        <v>736</v>
      </c>
      <c r="N826" s="1">
        <v>1073</v>
      </c>
      <c r="O826" s="1">
        <v>2131</v>
      </c>
      <c r="P826" s="1">
        <v>1058</v>
      </c>
      <c r="Q826" s="1" t="s">
        <v>42</v>
      </c>
      <c r="S826" s="1" t="s">
        <v>42</v>
      </c>
      <c r="T826" s="1" t="s">
        <v>228</v>
      </c>
      <c r="U826" s="1">
        <v>1</v>
      </c>
      <c r="V826" s="5">
        <v>44427</v>
      </c>
      <c r="W826" s="5">
        <v>42913</v>
      </c>
      <c r="X826" s="1">
        <v>1580000</v>
      </c>
      <c r="Z826" s="5">
        <v>42915</v>
      </c>
      <c r="AB826" s="1" t="s">
        <v>44</v>
      </c>
      <c r="AF826" s="1">
        <v>10038</v>
      </c>
      <c r="AI826" s="1" t="s">
        <v>48</v>
      </c>
      <c r="AJ826" s="1">
        <v>2018</v>
      </c>
      <c r="AK826" s="1" t="s">
        <v>49</v>
      </c>
      <c r="AL826" s="1">
        <v>98</v>
      </c>
    </row>
    <row r="827" spans="1:38" x14ac:dyDescent="0.2">
      <c r="A827" s="2" t="str">
        <f>HYPERLINK("https://www.compass.com/listing/161-maiden-lane-unit-16a-manhattan-ny-10038/29514191278766881/","161 Maiden Ln, Unit 16A")</f>
        <v>161 Maiden Ln, Unit 16A</v>
      </c>
      <c r="B827" s="2" t="str">
        <f t="shared" si="107"/>
        <v>Seaport Residences</v>
      </c>
      <c r="C827" s="1" t="s">
        <v>96</v>
      </c>
      <c r="D827" s="1" t="s">
        <v>41</v>
      </c>
      <c r="E827" s="3">
        <v>1930000</v>
      </c>
      <c r="F827" s="1">
        <v>1983.5560123329899</v>
      </c>
      <c r="G827" s="1">
        <v>2</v>
      </c>
      <c r="H827" s="1">
        <v>1</v>
      </c>
      <c r="I827" s="1">
        <v>1</v>
      </c>
      <c r="J827" s="1">
        <v>1</v>
      </c>
      <c r="K827" s="1">
        <v>1</v>
      </c>
      <c r="M827" s="1">
        <v>973</v>
      </c>
      <c r="N827" s="1">
        <v>1413</v>
      </c>
      <c r="O827" s="1">
        <v>2807</v>
      </c>
      <c r="P827" s="1">
        <v>1394</v>
      </c>
      <c r="Q827" s="1" t="s">
        <v>42</v>
      </c>
      <c r="S827" s="1" t="s">
        <v>42</v>
      </c>
      <c r="T827" s="1" t="s">
        <v>228</v>
      </c>
      <c r="U827" s="1">
        <v>1</v>
      </c>
      <c r="V827" s="5">
        <v>44427</v>
      </c>
      <c r="W827" s="5">
        <v>42773</v>
      </c>
      <c r="X827" s="1">
        <v>1930000</v>
      </c>
      <c r="Z827" s="5">
        <v>42775</v>
      </c>
      <c r="AB827" s="1" t="s">
        <v>44</v>
      </c>
      <c r="AF827" s="1">
        <v>10038</v>
      </c>
      <c r="AI827" s="1" t="s">
        <v>61</v>
      </c>
      <c r="AJ827" s="1">
        <v>2018</v>
      </c>
      <c r="AK827" s="1" t="s">
        <v>49</v>
      </c>
      <c r="AL827" s="1">
        <v>98</v>
      </c>
    </row>
    <row r="828" spans="1:38" x14ac:dyDescent="0.2">
      <c r="A828" s="2" t="str">
        <f>HYPERLINK("https://www.compass.com/listing/161-maiden-lane-unit-9a-manhattan-ny-10038/29514191614367281/","161 Maiden Ln, Unit 9A")</f>
        <v>161 Maiden Ln, Unit 9A</v>
      </c>
      <c r="B828" s="2" t="str">
        <f t="shared" si="107"/>
        <v>Seaport Residences</v>
      </c>
      <c r="C828" s="1" t="s">
        <v>96</v>
      </c>
      <c r="D828" s="1" t="s">
        <v>41</v>
      </c>
      <c r="E828" s="3">
        <v>1625000</v>
      </c>
      <c r="F828" s="1">
        <v>1869.9654775604099</v>
      </c>
      <c r="G828" s="1">
        <v>2</v>
      </c>
      <c r="H828" s="1">
        <v>1</v>
      </c>
      <c r="I828" s="1">
        <v>1</v>
      </c>
      <c r="J828" s="1">
        <v>1</v>
      </c>
      <c r="K828" s="1">
        <v>1</v>
      </c>
      <c r="M828" s="1">
        <v>869</v>
      </c>
      <c r="N828" s="1">
        <v>1226</v>
      </c>
      <c r="O828" s="1">
        <v>2435</v>
      </c>
      <c r="P828" s="1">
        <v>1209</v>
      </c>
      <c r="Q828" s="1" t="s">
        <v>42</v>
      </c>
      <c r="S828" s="1" t="s">
        <v>42</v>
      </c>
      <c r="T828" s="1" t="s">
        <v>228</v>
      </c>
      <c r="U828" s="1">
        <v>230</v>
      </c>
      <c r="V828" s="5">
        <v>44427</v>
      </c>
      <c r="W828" s="5">
        <v>42460</v>
      </c>
      <c r="X828" s="1">
        <v>1625000</v>
      </c>
      <c r="Z828" s="5">
        <v>42691</v>
      </c>
      <c r="AB828" s="1" t="s">
        <v>44</v>
      </c>
      <c r="AF828" s="1">
        <v>10038</v>
      </c>
      <c r="AI828" s="1" t="s">
        <v>48</v>
      </c>
      <c r="AJ828" s="1">
        <v>2018</v>
      </c>
      <c r="AK828" s="1" t="s">
        <v>49</v>
      </c>
      <c r="AL828" s="1">
        <v>98</v>
      </c>
    </row>
    <row r="829" spans="1:38" x14ac:dyDescent="0.2">
      <c r="A829" s="2" t="str">
        <f>HYPERLINK("https://www.compass.com/listing/161-maiden-lane-unit-10a-manhattan-ny-10038/29514191933039697/","161 Maiden Ln, Unit 10A")</f>
        <v>161 Maiden Ln, Unit 10A</v>
      </c>
      <c r="B829" s="2" t="str">
        <f t="shared" si="107"/>
        <v>Seaport Residences</v>
      </c>
      <c r="C829" s="1" t="s">
        <v>96</v>
      </c>
      <c r="D829" s="1" t="s">
        <v>41</v>
      </c>
      <c r="E829" s="3">
        <v>1650000</v>
      </c>
      <c r="F829" s="1">
        <v>1898.7341772151899</v>
      </c>
      <c r="G829" s="1">
        <v>2</v>
      </c>
      <c r="H829" s="1">
        <v>1</v>
      </c>
      <c r="I829" s="1">
        <v>1</v>
      </c>
      <c r="J829" s="1">
        <v>1</v>
      </c>
      <c r="K829" s="1">
        <v>1</v>
      </c>
      <c r="M829" s="1">
        <v>869</v>
      </c>
      <c r="N829" s="1">
        <v>1260</v>
      </c>
      <c r="O829" s="1">
        <v>2503</v>
      </c>
      <c r="P829" s="1">
        <v>1243</v>
      </c>
      <c r="Q829" s="1" t="s">
        <v>42</v>
      </c>
      <c r="S829" s="1" t="s">
        <v>42</v>
      </c>
      <c r="T829" s="1" t="s">
        <v>228</v>
      </c>
      <c r="U829" s="1">
        <v>230</v>
      </c>
      <c r="V829" s="5">
        <v>44427</v>
      </c>
      <c r="W829" s="5">
        <v>42460</v>
      </c>
      <c r="X829" s="1">
        <v>1650000</v>
      </c>
      <c r="Z829" s="5">
        <v>42691</v>
      </c>
      <c r="AB829" s="1" t="s">
        <v>44</v>
      </c>
      <c r="AF829" s="1">
        <v>10038</v>
      </c>
      <c r="AI829" s="1" t="s">
        <v>48</v>
      </c>
      <c r="AJ829" s="1">
        <v>2018</v>
      </c>
      <c r="AK829" s="1" t="s">
        <v>49</v>
      </c>
      <c r="AL829" s="1">
        <v>98</v>
      </c>
    </row>
    <row r="830" spans="1:38" x14ac:dyDescent="0.2">
      <c r="A830" s="2" t="str">
        <f>HYPERLINK("https://www.compass.com/listing/161-maiden-lane-unit-16c-manhattan-ny-10038/29514192260234049/","161 Maiden Ln, Unit 16C")</f>
        <v>161 Maiden Ln, Unit 16C</v>
      </c>
      <c r="B830" s="2" t="str">
        <f t="shared" si="107"/>
        <v>Seaport Residences</v>
      </c>
      <c r="C830" s="1" t="s">
        <v>96</v>
      </c>
      <c r="D830" s="1" t="s">
        <v>41</v>
      </c>
      <c r="E830" s="3">
        <v>1540000</v>
      </c>
      <c r="F830" s="1">
        <v>2092.3913043478201</v>
      </c>
      <c r="G830" s="1">
        <v>2</v>
      </c>
      <c r="H830" s="1">
        <v>1</v>
      </c>
      <c r="I830" s="1">
        <v>1</v>
      </c>
      <c r="J830" s="1">
        <v>1</v>
      </c>
      <c r="K830" s="1">
        <v>1</v>
      </c>
      <c r="M830" s="1">
        <v>736</v>
      </c>
      <c r="N830" s="1">
        <v>1073</v>
      </c>
      <c r="O830" s="1">
        <v>2131</v>
      </c>
      <c r="P830" s="1">
        <v>1058</v>
      </c>
      <c r="Q830" s="1" t="s">
        <v>42</v>
      </c>
      <c r="S830" s="1" t="s">
        <v>42</v>
      </c>
      <c r="T830" s="1" t="s">
        <v>228</v>
      </c>
      <c r="U830" s="1">
        <v>1</v>
      </c>
      <c r="V830" s="5">
        <v>44427</v>
      </c>
      <c r="W830" s="5">
        <v>42690</v>
      </c>
      <c r="X830" s="1">
        <v>1540000</v>
      </c>
      <c r="Z830" s="5">
        <v>42692</v>
      </c>
      <c r="AB830" s="1" t="s">
        <v>44</v>
      </c>
      <c r="AF830" s="1">
        <v>10038</v>
      </c>
      <c r="AI830" s="1" t="s">
        <v>48</v>
      </c>
      <c r="AJ830" s="1">
        <v>2018</v>
      </c>
      <c r="AK830" s="1" t="s">
        <v>49</v>
      </c>
      <c r="AL830" s="1">
        <v>98</v>
      </c>
    </row>
    <row r="831" spans="1:38" x14ac:dyDescent="0.2">
      <c r="A831" s="2" t="str">
        <f>HYPERLINK("https://www.compass.com/listing/161-maiden-lane-unit-15c-manhattan-ny-10038/29514192579057249/","161 Maiden Ln, Unit 15C")</f>
        <v>161 Maiden Ln, Unit 15C</v>
      </c>
      <c r="B831" s="2" t="str">
        <f t="shared" si="107"/>
        <v>Seaport Residences</v>
      </c>
      <c r="C831" s="1" t="s">
        <v>96</v>
      </c>
      <c r="D831" s="1" t="s">
        <v>41</v>
      </c>
      <c r="E831" s="3">
        <v>1520000</v>
      </c>
      <c r="F831" s="1">
        <v>2065.2173913043398</v>
      </c>
      <c r="G831" s="1">
        <v>2</v>
      </c>
      <c r="H831" s="1">
        <v>1</v>
      </c>
      <c r="I831" s="1">
        <v>1</v>
      </c>
      <c r="J831" s="1">
        <v>1</v>
      </c>
      <c r="K831" s="1">
        <v>1</v>
      </c>
      <c r="M831" s="1">
        <v>736</v>
      </c>
      <c r="N831" s="1">
        <v>1073</v>
      </c>
      <c r="O831" s="1">
        <v>2131</v>
      </c>
      <c r="P831" s="1">
        <v>1058</v>
      </c>
      <c r="Q831" s="1" t="s">
        <v>42</v>
      </c>
      <c r="S831" s="1" t="s">
        <v>42</v>
      </c>
      <c r="T831" s="1" t="s">
        <v>228</v>
      </c>
      <c r="U831" s="1">
        <v>1</v>
      </c>
      <c r="V831" s="5">
        <v>44427</v>
      </c>
      <c r="W831" s="5">
        <v>42690</v>
      </c>
      <c r="X831" s="1">
        <v>1520000</v>
      </c>
      <c r="Z831" s="5">
        <v>42692</v>
      </c>
      <c r="AB831" s="1" t="s">
        <v>44</v>
      </c>
      <c r="AF831" s="1">
        <v>10038</v>
      </c>
      <c r="AI831" s="1" t="s">
        <v>48</v>
      </c>
      <c r="AJ831" s="1">
        <v>2018</v>
      </c>
      <c r="AK831" s="1" t="s">
        <v>49</v>
      </c>
      <c r="AL831" s="1">
        <v>98</v>
      </c>
    </row>
    <row r="832" spans="1:38" x14ac:dyDescent="0.2">
      <c r="A832" s="2" t="str">
        <f>HYPERLINK("https://www.compass.com/listing/161-maiden-lane-unit-10b-manhattan-ny-10038/29514198115482593/","161 Maiden Ln, Unit 10B")</f>
        <v>161 Maiden Ln, Unit 10B</v>
      </c>
      <c r="B832" s="2" t="str">
        <f t="shared" si="107"/>
        <v>Seaport Residences</v>
      </c>
      <c r="C832" s="1" t="s">
        <v>96</v>
      </c>
      <c r="D832" s="1" t="s">
        <v>41</v>
      </c>
      <c r="E832" s="3">
        <v>1835000</v>
      </c>
      <c r="F832" s="1">
        <v>1907.4844074844</v>
      </c>
      <c r="G832" s="1">
        <v>3</v>
      </c>
      <c r="H832" s="1">
        <v>1</v>
      </c>
      <c r="I832" s="1">
        <v>1</v>
      </c>
      <c r="J832" s="1">
        <v>1</v>
      </c>
      <c r="K832" s="1">
        <v>1</v>
      </c>
      <c r="M832" s="1">
        <v>962</v>
      </c>
      <c r="N832" s="1">
        <v>1394</v>
      </c>
      <c r="O832" s="1">
        <v>2771</v>
      </c>
      <c r="P832" s="1">
        <v>1377</v>
      </c>
      <c r="Q832" s="1" t="s">
        <v>42</v>
      </c>
      <c r="S832" s="1" t="s">
        <v>42</v>
      </c>
      <c r="T832" s="1" t="s">
        <v>228</v>
      </c>
      <c r="U832" s="1">
        <v>1</v>
      </c>
      <c r="V832" s="5">
        <v>44427</v>
      </c>
      <c r="W832" s="5">
        <v>42688</v>
      </c>
      <c r="X832" s="1">
        <v>1835000</v>
      </c>
      <c r="Z832" s="5">
        <v>42690</v>
      </c>
      <c r="AB832" s="1" t="s">
        <v>44</v>
      </c>
      <c r="AF832" s="1">
        <v>10038</v>
      </c>
      <c r="AI832" s="1" t="s">
        <v>48</v>
      </c>
      <c r="AJ832" s="1">
        <v>2018</v>
      </c>
      <c r="AK832" s="1" t="s">
        <v>49</v>
      </c>
      <c r="AL832" s="1">
        <v>98</v>
      </c>
    </row>
    <row r="833" spans="1:38" x14ac:dyDescent="0.2">
      <c r="A833" s="2" t="str">
        <f>HYPERLINK("https://www.compass.com/listing/161-maiden-lane-unit-21b-manhattan-ny-10038/29514198467860193/","161 Maiden Ln, Unit 21B")</f>
        <v>161 Maiden Ln, Unit 21B</v>
      </c>
      <c r="B833" s="2" t="str">
        <f t="shared" si="107"/>
        <v>Seaport Residences</v>
      </c>
      <c r="C833" s="1" t="s">
        <v>96</v>
      </c>
      <c r="D833" s="1" t="s">
        <v>41</v>
      </c>
      <c r="E833" s="3">
        <v>1900000</v>
      </c>
      <c r="F833" s="1">
        <v>1956.745623069</v>
      </c>
      <c r="G833" s="1">
        <v>3</v>
      </c>
      <c r="H833" s="1">
        <v>1</v>
      </c>
      <c r="I833" s="1">
        <v>1</v>
      </c>
      <c r="J833" s="1">
        <v>1</v>
      </c>
      <c r="K833" s="1">
        <v>1</v>
      </c>
      <c r="M833" s="1">
        <v>971</v>
      </c>
      <c r="N833" s="1">
        <v>1412</v>
      </c>
      <c r="O833" s="1">
        <v>2596</v>
      </c>
      <c r="P833" s="1">
        <v>1184</v>
      </c>
      <c r="Q833" s="1" t="s">
        <v>42</v>
      </c>
      <c r="S833" s="1" t="s">
        <v>42</v>
      </c>
      <c r="T833" s="1" t="s">
        <v>228</v>
      </c>
      <c r="U833" s="1">
        <v>62</v>
      </c>
      <c r="V833" s="5">
        <v>44427</v>
      </c>
      <c r="W833" s="5">
        <v>42460</v>
      </c>
      <c r="X833" s="1">
        <v>1900000</v>
      </c>
      <c r="Z833" s="5">
        <v>42522</v>
      </c>
      <c r="AB833" s="1" t="s">
        <v>44</v>
      </c>
      <c r="AF833" s="1">
        <v>10038</v>
      </c>
      <c r="AI833" s="1" t="s">
        <v>48</v>
      </c>
      <c r="AJ833" s="1">
        <v>2018</v>
      </c>
      <c r="AK833" s="1" t="s">
        <v>49</v>
      </c>
      <c r="AL833" s="1">
        <v>98</v>
      </c>
    </row>
    <row r="834" spans="1:38" x14ac:dyDescent="0.2">
      <c r="A834" s="2" t="str">
        <f>HYPERLINK("https://www.compass.com/listing/161-maiden-lane-unit-23b-manhattan-ny-10038/29514199684113713/","161 Maiden Ln, Unit 23B")</f>
        <v>161 Maiden Ln, Unit 23B</v>
      </c>
      <c r="B834" s="2" t="str">
        <f t="shared" si="107"/>
        <v>Seaport Residences</v>
      </c>
      <c r="C834" s="1" t="s">
        <v>96</v>
      </c>
      <c r="D834" s="1" t="s">
        <v>41</v>
      </c>
      <c r="E834" s="3">
        <v>1940000</v>
      </c>
      <c r="F834" s="1">
        <v>1997.9402677651899</v>
      </c>
      <c r="G834" s="1">
        <v>3</v>
      </c>
      <c r="H834" s="1">
        <v>1</v>
      </c>
      <c r="I834" s="1">
        <v>1</v>
      </c>
      <c r="J834" s="1">
        <v>1</v>
      </c>
      <c r="K834" s="1">
        <v>1</v>
      </c>
      <c r="M834" s="1">
        <v>971</v>
      </c>
      <c r="N834" s="1">
        <v>1412</v>
      </c>
      <c r="O834" s="1">
        <v>2596</v>
      </c>
      <c r="P834" s="1">
        <v>1184</v>
      </c>
      <c r="Q834" s="1" t="s">
        <v>42</v>
      </c>
      <c r="S834" s="1" t="s">
        <v>42</v>
      </c>
      <c r="T834" s="1" t="s">
        <v>228</v>
      </c>
      <c r="U834" s="1">
        <v>68</v>
      </c>
      <c r="V834" s="5">
        <v>44427</v>
      </c>
      <c r="W834" s="5">
        <v>42460</v>
      </c>
      <c r="X834" s="1">
        <v>1940000</v>
      </c>
      <c r="Z834" s="5">
        <v>42528</v>
      </c>
      <c r="AB834" s="1" t="s">
        <v>44</v>
      </c>
      <c r="AF834" s="1">
        <v>10038</v>
      </c>
      <c r="AI834" s="1" t="s">
        <v>48</v>
      </c>
      <c r="AJ834" s="1">
        <v>2018</v>
      </c>
      <c r="AK834" s="1" t="s">
        <v>49</v>
      </c>
      <c r="AL834" s="1">
        <v>98</v>
      </c>
    </row>
    <row r="835" spans="1:38" x14ac:dyDescent="0.2">
      <c r="A835" s="2" t="str">
        <f>HYPERLINK("https://www.compass.com/listing/161-maiden-lane-unit-18b-manhattan-ny-10038/29514200338519809/","161 Maiden Ln, Unit 18B")</f>
        <v>161 Maiden Ln, Unit 18B</v>
      </c>
      <c r="B835" s="2" t="str">
        <f t="shared" si="107"/>
        <v>Seaport Residences</v>
      </c>
      <c r="C835" s="1" t="s">
        <v>96</v>
      </c>
      <c r="D835" s="1" t="s">
        <v>41</v>
      </c>
      <c r="E835" s="3">
        <v>1840000</v>
      </c>
      <c r="F835" s="1">
        <v>1894.95365602471</v>
      </c>
      <c r="G835" s="1">
        <v>3</v>
      </c>
      <c r="H835" s="1">
        <v>1</v>
      </c>
      <c r="I835" s="1">
        <v>1</v>
      </c>
      <c r="J835" s="1">
        <v>1</v>
      </c>
      <c r="K835" s="1">
        <v>1</v>
      </c>
      <c r="M835" s="1">
        <v>971</v>
      </c>
      <c r="N835" s="1">
        <v>1412</v>
      </c>
      <c r="O835" s="1">
        <v>2596</v>
      </c>
      <c r="P835" s="1">
        <v>1184</v>
      </c>
      <c r="Q835" s="1" t="s">
        <v>42</v>
      </c>
      <c r="S835" s="1" t="s">
        <v>42</v>
      </c>
      <c r="T835" s="1" t="s">
        <v>228</v>
      </c>
      <c r="U835" s="1">
        <v>59</v>
      </c>
      <c r="V835" s="5">
        <v>44427</v>
      </c>
      <c r="W835" s="5">
        <v>42460</v>
      </c>
      <c r="X835" s="1">
        <v>1840000</v>
      </c>
      <c r="Z835" s="5">
        <v>42520</v>
      </c>
      <c r="AB835" s="1" t="s">
        <v>44</v>
      </c>
      <c r="AF835" s="1">
        <v>10038</v>
      </c>
      <c r="AI835" s="1" t="s">
        <v>48</v>
      </c>
      <c r="AJ835" s="1">
        <v>2018</v>
      </c>
      <c r="AK835" s="1" t="s">
        <v>49</v>
      </c>
      <c r="AL835" s="1">
        <v>98</v>
      </c>
    </row>
    <row r="836" spans="1:38" x14ac:dyDescent="0.2">
      <c r="A836" s="2" t="str">
        <f>HYPERLINK("https://www.compass.com/listing/161-maiden-lane-unit-16b-manhattan-ny-10038/29514200648803665/","161 Maiden Ln, Unit 16B")</f>
        <v>161 Maiden Ln, Unit 16B</v>
      </c>
      <c r="B836" s="2" t="str">
        <f t="shared" si="107"/>
        <v>Seaport Residences</v>
      </c>
      <c r="C836" s="1" t="s">
        <v>96</v>
      </c>
      <c r="D836" s="1" t="s">
        <v>41</v>
      </c>
      <c r="E836" s="3">
        <v>1800000</v>
      </c>
      <c r="F836" s="1">
        <v>1853.75901132852</v>
      </c>
      <c r="G836" s="1">
        <v>3</v>
      </c>
      <c r="H836" s="1">
        <v>1</v>
      </c>
      <c r="I836" s="1">
        <v>1</v>
      </c>
      <c r="J836" s="1">
        <v>1</v>
      </c>
      <c r="K836" s="1">
        <v>1</v>
      </c>
      <c r="M836" s="1">
        <v>971</v>
      </c>
      <c r="N836" s="1">
        <v>1412</v>
      </c>
      <c r="O836" s="1">
        <v>2596</v>
      </c>
      <c r="P836" s="1">
        <v>1184</v>
      </c>
      <c r="Q836" s="1" t="s">
        <v>42</v>
      </c>
      <c r="S836" s="1" t="s">
        <v>42</v>
      </c>
      <c r="T836" s="1" t="s">
        <v>228</v>
      </c>
      <c r="U836" s="1">
        <v>59</v>
      </c>
      <c r="V836" s="5">
        <v>44427</v>
      </c>
      <c r="W836" s="5">
        <v>42460</v>
      </c>
      <c r="X836" s="1">
        <v>1800000</v>
      </c>
      <c r="Z836" s="5">
        <v>42520</v>
      </c>
      <c r="AB836" s="1" t="s">
        <v>44</v>
      </c>
      <c r="AF836" s="1">
        <v>10038</v>
      </c>
      <c r="AI836" s="1" t="s">
        <v>48</v>
      </c>
      <c r="AJ836" s="1">
        <v>2018</v>
      </c>
      <c r="AK836" s="1" t="s">
        <v>49</v>
      </c>
      <c r="AL836" s="1">
        <v>98</v>
      </c>
    </row>
    <row r="837" spans="1:38" x14ac:dyDescent="0.2">
      <c r="A837" s="2" t="str">
        <f>HYPERLINK("https://www.compass.com/listing/161-maiden-lane-unit-24b-manhattan-ny-10038/29514201236100897/","161 Maiden Ln, Unit 24B")</f>
        <v>161 Maiden Ln, Unit 24B</v>
      </c>
      <c r="B837" s="2" t="str">
        <f t="shared" si="107"/>
        <v>Seaport Residences</v>
      </c>
      <c r="C837" s="1" t="s">
        <v>96</v>
      </c>
      <c r="D837" s="1" t="s">
        <v>41</v>
      </c>
      <c r="E837" s="3">
        <v>1960000</v>
      </c>
      <c r="F837" s="1">
        <v>2018.53759011328</v>
      </c>
      <c r="G837" s="1">
        <v>3</v>
      </c>
      <c r="H837" s="1">
        <v>1</v>
      </c>
      <c r="I837" s="1">
        <v>1</v>
      </c>
      <c r="J837" s="1">
        <v>1</v>
      </c>
      <c r="K837" s="1">
        <v>1</v>
      </c>
      <c r="M837" s="1">
        <v>971</v>
      </c>
      <c r="N837" s="1">
        <v>1412</v>
      </c>
      <c r="O837" s="1">
        <v>2596</v>
      </c>
      <c r="P837" s="1">
        <v>1184</v>
      </c>
      <c r="Q837" s="1" t="s">
        <v>42</v>
      </c>
      <c r="S837" s="1" t="s">
        <v>42</v>
      </c>
      <c r="T837" s="1" t="s">
        <v>228</v>
      </c>
      <c r="V837" s="5">
        <v>44427</v>
      </c>
      <c r="W837" s="5">
        <v>42495</v>
      </c>
      <c r="X837" s="1">
        <v>1960000</v>
      </c>
      <c r="Z837" s="5">
        <v>42495</v>
      </c>
      <c r="AB837" s="1" t="s">
        <v>44</v>
      </c>
      <c r="AF837" s="1">
        <v>10038</v>
      </c>
      <c r="AI837" s="1" t="s">
        <v>48</v>
      </c>
      <c r="AJ837" s="1">
        <v>2018</v>
      </c>
      <c r="AK837" s="1" t="s">
        <v>49</v>
      </c>
      <c r="AL837" s="1">
        <v>98</v>
      </c>
    </row>
    <row r="838" spans="1:38" x14ac:dyDescent="0.2">
      <c r="A838" s="2" t="str">
        <f>HYPERLINK("https://www.compass.com/listing/161-maiden-lane-unit-12b-manhattan-ny-10038/29514201546384769/","161 Maiden Ln, Unit 12B")</f>
        <v>161 Maiden Ln, Unit 12B</v>
      </c>
      <c r="B838" s="2" t="str">
        <f t="shared" si="107"/>
        <v>Seaport Residences</v>
      </c>
      <c r="C838" s="1" t="s">
        <v>96</v>
      </c>
      <c r="D838" s="1" t="s">
        <v>41</v>
      </c>
      <c r="E838" s="3">
        <v>1935000</v>
      </c>
      <c r="F838" s="1">
        <v>2011.4345114345099</v>
      </c>
      <c r="G838" s="1">
        <v>3</v>
      </c>
      <c r="H838" s="1">
        <v>1</v>
      </c>
      <c r="I838" s="1">
        <v>1</v>
      </c>
      <c r="J838" s="1">
        <v>1</v>
      </c>
      <c r="K838" s="1">
        <v>1</v>
      </c>
      <c r="M838" s="1">
        <v>962</v>
      </c>
      <c r="N838" s="1">
        <v>1394</v>
      </c>
      <c r="O838" s="1">
        <v>2564</v>
      </c>
      <c r="P838" s="1">
        <v>1170</v>
      </c>
      <c r="Q838" s="1" t="s">
        <v>42</v>
      </c>
      <c r="S838" s="1" t="s">
        <v>42</v>
      </c>
      <c r="T838" s="1" t="s">
        <v>228</v>
      </c>
      <c r="U838" s="1">
        <v>59</v>
      </c>
      <c r="V838" s="5">
        <v>44427</v>
      </c>
      <c r="W838" s="5">
        <v>42460</v>
      </c>
      <c r="X838" s="1">
        <v>1935000</v>
      </c>
      <c r="Z838" s="5">
        <v>42520</v>
      </c>
      <c r="AB838" s="1" t="s">
        <v>44</v>
      </c>
      <c r="AF838" s="1">
        <v>10038</v>
      </c>
      <c r="AI838" s="1" t="s">
        <v>48</v>
      </c>
      <c r="AJ838" s="1">
        <v>2018</v>
      </c>
      <c r="AK838" s="1" t="s">
        <v>49</v>
      </c>
      <c r="AL838" s="1">
        <v>98</v>
      </c>
    </row>
    <row r="839" spans="1:38" x14ac:dyDescent="0.2">
      <c r="A839" s="2" t="str">
        <f>HYPERLINK("https://www.compass.com/listing/161-maiden-lane-unit-20b-manhattan-ny-10038/29514203131926385/","161 Maiden Ln, Unit 20B")</f>
        <v>161 Maiden Ln, Unit 20B</v>
      </c>
      <c r="B839" s="2" t="str">
        <f t="shared" si="107"/>
        <v>Seaport Residences</v>
      </c>
      <c r="C839" s="1" t="s">
        <v>96</v>
      </c>
      <c r="D839" s="1" t="s">
        <v>41</v>
      </c>
      <c r="E839" s="3">
        <v>1880000</v>
      </c>
      <c r="F839" s="1">
        <v>1936.1483007208999</v>
      </c>
      <c r="G839" s="1">
        <v>3</v>
      </c>
      <c r="H839" s="1">
        <v>1</v>
      </c>
      <c r="I839" s="1">
        <v>1</v>
      </c>
      <c r="J839" s="1">
        <v>1</v>
      </c>
      <c r="K839" s="1">
        <v>1</v>
      </c>
      <c r="M839" s="1">
        <v>971</v>
      </c>
      <c r="N839" s="1">
        <v>1412</v>
      </c>
      <c r="O839" s="1">
        <v>2596</v>
      </c>
      <c r="P839" s="1">
        <v>1184</v>
      </c>
      <c r="Q839" s="1" t="s">
        <v>42</v>
      </c>
      <c r="S839" s="1" t="s">
        <v>42</v>
      </c>
      <c r="T839" s="1" t="s">
        <v>228</v>
      </c>
      <c r="U839" s="1">
        <v>1</v>
      </c>
      <c r="V839" s="5">
        <v>44427</v>
      </c>
      <c r="W839" s="5">
        <v>42509</v>
      </c>
      <c r="X839" s="1">
        <v>1880000</v>
      </c>
      <c r="Z839" s="5">
        <v>42511</v>
      </c>
      <c r="AB839" s="1" t="s">
        <v>44</v>
      </c>
      <c r="AF839" s="1">
        <v>10038</v>
      </c>
      <c r="AI839" s="1" t="s">
        <v>48</v>
      </c>
      <c r="AJ839" s="1">
        <v>2018</v>
      </c>
      <c r="AK839" s="1" t="s">
        <v>49</v>
      </c>
      <c r="AL839" s="1">
        <v>98</v>
      </c>
    </row>
    <row r="840" spans="1:38" x14ac:dyDescent="0.2">
      <c r="A840" s="2" t="str">
        <f>HYPERLINK("https://www.compass.com/listing/161-maiden-lane-unit-19b-manhattan-ny-10038/29514203408655825/","161 Maiden Ln, Unit 19B")</f>
        <v>161 Maiden Ln, Unit 19B</v>
      </c>
      <c r="B840" s="2" t="str">
        <f t="shared" si="107"/>
        <v>Seaport Residences</v>
      </c>
      <c r="C840" s="1" t="s">
        <v>96</v>
      </c>
      <c r="D840" s="1" t="s">
        <v>41</v>
      </c>
      <c r="E840" s="3">
        <v>1860000</v>
      </c>
      <c r="F840" s="1">
        <v>1915.5509783728101</v>
      </c>
      <c r="G840" s="1">
        <v>3</v>
      </c>
      <c r="H840" s="1">
        <v>1</v>
      </c>
      <c r="I840" s="1">
        <v>1</v>
      </c>
      <c r="J840" s="1">
        <v>1</v>
      </c>
      <c r="K840" s="1">
        <v>1</v>
      </c>
      <c r="M840" s="1">
        <v>971</v>
      </c>
      <c r="N840" s="1">
        <v>1412</v>
      </c>
      <c r="O840" s="1">
        <v>2596</v>
      </c>
      <c r="P840" s="1">
        <v>1184</v>
      </c>
      <c r="Q840" s="1" t="s">
        <v>42</v>
      </c>
      <c r="S840" s="1" t="s">
        <v>42</v>
      </c>
      <c r="T840" s="1" t="s">
        <v>228</v>
      </c>
      <c r="U840" s="1">
        <v>5</v>
      </c>
      <c r="V840" s="5">
        <v>44427</v>
      </c>
      <c r="W840" s="5">
        <v>42508</v>
      </c>
      <c r="X840" s="1">
        <v>1860000</v>
      </c>
      <c r="Z840" s="5">
        <v>42514</v>
      </c>
      <c r="AB840" s="1" t="s">
        <v>44</v>
      </c>
      <c r="AF840" s="1">
        <v>10038</v>
      </c>
      <c r="AI840" s="1" t="s">
        <v>48</v>
      </c>
      <c r="AJ840" s="1">
        <v>2018</v>
      </c>
      <c r="AK840" s="1" t="s">
        <v>49</v>
      </c>
      <c r="AL840" s="1">
        <v>98</v>
      </c>
    </row>
    <row r="841" spans="1:38" x14ac:dyDescent="0.2">
      <c r="A841" s="2" t="str">
        <f>HYPERLINK("https://www.compass.com/listing/161-maiden-lane-unit-8a-manhattan-ny-10038/29514207359690337/","161 Maiden Ln, Unit 8A")</f>
        <v>161 Maiden Ln, Unit 8A</v>
      </c>
      <c r="B841" s="2" t="str">
        <f t="shared" si="107"/>
        <v>Seaport Residences</v>
      </c>
      <c r="C841" s="1" t="s">
        <v>96</v>
      </c>
      <c r="D841" s="1" t="s">
        <v>41</v>
      </c>
      <c r="E841" s="3">
        <v>1600000</v>
      </c>
      <c r="F841" s="1">
        <v>1841.1967779056299</v>
      </c>
      <c r="G841" s="1">
        <v>3</v>
      </c>
      <c r="H841" s="1">
        <v>1</v>
      </c>
      <c r="I841" s="1">
        <v>1</v>
      </c>
      <c r="J841" s="1">
        <v>1</v>
      </c>
      <c r="K841" s="1">
        <v>1</v>
      </c>
      <c r="M841" s="1">
        <v>869</v>
      </c>
      <c r="N841" s="1">
        <v>1226</v>
      </c>
      <c r="O841" s="1">
        <v>2435</v>
      </c>
      <c r="P841" s="1">
        <v>1209</v>
      </c>
      <c r="Q841" s="1" t="s">
        <v>42</v>
      </c>
      <c r="S841" s="1" t="s">
        <v>42</v>
      </c>
      <c r="T841" s="1" t="s">
        <v>228</v>
      </c>
      <c r="U841" s="1">
        <v>1</v>
      </c>
      <c r="V841" s="5">
        <v>44427</v>
      </c>
      <c r="W841" s="5">
        <v>42690</v>
      </c>
      <c r="X841" s="1">
        <v>1600000</v>
      </c>
      <c r="Z841" s="5">
        <v>42692</v>
      </c>
      <c r="AB841" s="1" t="s">
        <v>44</v>
      </c>
      <c r="AF841" s="1">
        <v>10038</v>
      </c>
      <c r="AI841" s="1" t="s">
        <v>48</v>
      </c>
      <c r="AJ841" s="1">
        <v>2018</v>
      </c>
      <c r="AK841" s="1" t="s">
        <v>49</v>
      </c>
      <c r="AL841" s="1">
        <v>98</v>
      </c>
    </row>
    <row r="842" spans="1:38" x14ac:dyDescent="0.2">
      <c r="A842" s="2" t="str">
        <f>HYPERLINK("https://www.compass.com/listing/161-maiden-lane-unit-9b-manhattan-ny-10038/29514210455086817/","161 Maiden Ln, Unit 9B")</f>
        <v>161 Maiden Ln, Unit 9B</v>
      </c>
      <c r="B842" s="2" t="str">
        <f t="shared" si="107"/>
        <v>Seaport Residences</v>
      </c>
      <c r="C842" s="1" t="s">
        <v>96</v>
      </c>
      <c r="D842" s="1" t="s">
        <v>41</v>
      </c>
      <c r="E842" s="3">
        <v>1785000</v>
      </c>
      <c r="F842" s="1">
        <v>1855.5093555093499</v>
      </c>
      <c r="G842" s="1">
        <v>3</v>
      </c>
      <c r="H842" s="1">
        <v>1</v>
      </c>
      <c r="I842" s="1">
        <v>1</v>
      </c>
      <c r="J842" s="1">
        <v>1</v>
      </c>
      <c r="K842" s="1">
        <v>1</v>
      </c>
      <c r="M842" s="1">
        <v>962</v>
      </c>
      <c r="N842" s="1">
        <v>1394</v>
      </c>
      <c r="O842" s="1">
        <v>2771</v>
      </c>
      <c r="P842" s="1">
        <v>1377</v>
      </c>
      <c r="Q842" s="1" t="s">
        <v>42</v>
      </c>
      <c r="S842" s="1" t="s">
        <v>42</v>
      </c>
      <c r="T842" s="1" t="s">
        <v>228</v>
      </c>
      <c r="U842" s="1">
        <v>1</v>
      </c>
      <c r="V842" s="5">
        <v>44427</v>
      </c>
      <c r="W842" s="5">
        <v>42606</v>
      </c>
      <c r="X842" s="1">
        <v>1785000</v>
      </c>
      <c r="Z842" s="5">
        <v>42608</v>
      </c>
      <c r="AB842" s="1" t="s">
        <v>44</v>
      </c>
      <c r="AF842" s="1">
        <v>10038</v>
      </c>
      <c r="AI842" s="1" t="s">
        <v>48</v>
      </c>
      <c r="AJ842" s="1">
        <v>2018</v>
      </c>
      <c r="AK842" s="1" t="s">
        <v>49</v>
      </c>
      <c r="AL842" s="1">
        <v>98</v>
      </c>
    </row>
    <row r="843" spans="1:38" x14ac:dyDescent="0.2">
      <c r="A843" s="2" t="str">
        <f>HYPERLINK("https://www.compass.com/listing/252-south-street-unit-21k-manhattan-ny-10002/816569271090441793/","252 South St, Unit 21K")</f>
        <v>252 South St, Unit 21K</v>
      </c>
      <c r="B843" s="2" t="str">
        <f>HYPERLINK("https://www.compass.com/building/one-manhattan-square-manhattan-ny/294844950218926165/","One Manhattan Square")</f>
        <v>One Manhattan Square</v>
      </c>
      <c r="C843" s="1" t="s">
        <v>47</v>
      </c>
      <c r="D843" s="1" t="s">
        <v>41</v>
      </c>
      <c r="E843" s="3">
        <v>1304000</v>
      </c>
      <c r="F843" s="1">
        <v>1876.25899280575</v>
      </c>
      <c r="G843" s="1">
        <v>3</v>
      </c>
      <c r="H843" s="1">
        <v>1</v>
      </c>
      <c r="I843" s="1">
        <v>1</v>
      </c>
      <c r="J843" s="1">
        <v>1</v>
      </c>
      <c r="K843" s="1">
        <v>1</v>
      </c>
      <c r="M843" s="1">
        <v>695</v>
      </c>
      <c r="N843" s="1">
        <v>790</v>
      </c>
      <c r="O843" s="1">
        <v>803</v>
      </c>
      <c r="P843" s="1">
        <v>13</v>
      </c>
      <c r="Q843" s="1" t="s">
        <v>42</v>
      </c>
      <c r="S843" s="1" t="s">
        <v>42</v>
      </c>
      <c r="T843" s="1" t="s">
        <v>228</v>
      </c>
      <c r="V843" s="5">
        <v>44385</v>
      </c>
      <c r="W843" s="5">
        <v>44378</v>
      </c>
      <c r="X843" s="1">
        <v>1304000</v>
      </c>
      <c r="Z843" s="5">
        <v>44385</v>
      </c>
      <c r="AB843" s="1" t="s">
        <v>44</v>
      </c>
      <c r="AF843" s="1">
        <v>10002</v>
      </c>
      <c r="AI843" s="1" t="s">
        <v>246</v>
      </c>
      <c r="AJ843" s="1">
        <v>2019</v>
      </c>
      <c r="AK843" s="1" t="s">
        <v>46</v>
      </c>
      <c r="AL843" s="1">
        <v>787</v>
      </c>
    </row>
    <row r="844" spans="1:38" x14ac:dyDescent="0.2">
      <c r="A844" s="2" t="str">
        <f>HYPERLINK("https://www.compass.com/listing/130-william-street-unit-17d-manhattan-ny-10038/787117526833660769/","130 William St, Unit 17D")</f>
        <v>130 William St, Unit 17D</v>
      </c>
      <c r="B844" s="2" t="str">
        <f>HYPERLINK("https://www.compass.com/building/130-william-st-manhattan-ny-10038/282029682239486757/","130 William St")</f>
        <v>130 William St</v>
      </c>
      <c r="C844" s="1" t="s">
        <v>96</v>
      </c>
      <c r="D844" s="1" t="s">
        <v>41</v>
      </c>
      <c r="E844" s="3">
        <v>1965990</v>
      </c>
      <c r="F844" s="1">
        <v>1526.3897515527899</v>
      </c>
      <c r="G844" s="1">
        <v>4</v>
      </c>
      <c r="H844" s="1">
        <v>2</v>
      </c>
      <c r="I844" s="1">
        <v>2</v>
      </c>
      <c r="J844" s="1">
        <v>2</v>
      </c>
      <c r="K844" s="1">
        <v>2</v>
      </c>
      <c r="M844" s="4">
        <v>1288</v>
      </c>
      <c r="N844" s="1">
        <v>864.84</v>
      </c>
      <c r="O844" s="1">
        <v>2540.3200000000002</v>
      </c>
      <c r="P844" s="1">
        <v>1675.5</v>
      </c>
      <c r="Q844" s="1" t="s">
        <v>42</v>
      </c>
      <c r="S844" s="1" t="s">
        <v>42</v>
      </c>
      <c r="T844" s="1" t="s">
        <v>228</v>
      </c>
      <c r="U844" s="1">
        <v>35</v>
      </c>
      <c r="V844" s="5">
        <v>44417</v>
      </c>
      <c r="W844" s="5">
        <v>44337</v>
      </c>
      <c r="X844" s="1">
        <v>1965990</v>
      </c>
      <c r="Z844" s="5">
        <v>44373</v>
      </c>
      <c r="AB844" s="1" t="s">
        <v>44</v>
      </c>
      <c r="AF844" s="1">
        <v>10038</v>
      </c>
      <c r="AI844" s="1" t="s">
        <v>111</v>
      </c>
      <c r="AJ844" s="1">
        <v>2020</v>
      </c>
      <c r="AK844" s="1" t="s">
        <v>46</v>
      </c>
      <c r="AL844" s="1">
        <v>244</v>
      </c>
    </row>
    <row r="845" spans="1:38" x14ac:dyDescent="0.2">
      <c r="A845" s="2" t="str">
        <f>HYPERLINK("https://www.compass.com/listing/161-maiden-lane-unit-24a-manhattan-ny-10038/29514182621723185/","161 Maiden Ln, Unit 24A")</f>
        <v>161 Maiden Ln, Unit 24A</v>
      </c>
      <c r="B845" s="2" t="str">
        <f t="shared" ref="B845:B848" si="108">HYPERLINK("https://www.compass.com/building/seaport-residences-manhattan-ny/282029834819877765/","Seaport Residences")</f>
        <v>Seaport Residences</v>
      </c>
      <c r="C845" s="1" t="s">
        <v>96</v>
      </c>
      <c r="D845" s="1" t="s">
        <v>41</v>
      </c>
      <c r="E845" s="3">
        <v>1970000</v>
      </c>
      <c r="F845" s="1">
        <v>2024.66598150051</v>
      </c>
      <c r="G845" s="1">
        <v>2</v>
      </c>
      <c r="H845" s="1">
        <v>1</v>
      </c>
      <c r="I845" s="1">
        <v>1</v>
      </c>
      <c r="J845" s="1">
        <v>1</v>
      </c>
      <c r="K845" s="1">
        <v>1</v>
      </c>
      <c r="M845" s="1">
        <v>973</v>
      </c>
      <c r="N845" s="1">
        <v>1425</v>
      </c>
      <c r="O845" s="1">
        <v>2641</v>
      </c>
      <c r="P845" s="1">
        <v>1216</v>
      </c>
      <c r="Q845" s="1" t="s">
        <v>42</v>
      </c>
      <c r="S845" s="1" t="s">
        <v>42</v>
      </c>
      <c r="T845" s="1" t="s">
        <v>228</v>
      </c>
      <c r="U845" s="1">
        <v>46</v>
      </c>
      <c r="V845" s="5">
        <v>44427</v>
      </c>
      <c r="W845" s="5">
        <v>43010</v>
      </c>
      <c r="X845" s="1">
        <v>1970000</v>
      </c>
      <c r="Z845" s="5">
        <v>43057</v>
      </c>
      <c r="AB845" s="1" t="s">
        <v>44</v>
      </c>
      <c r="AF845" s="1">
        <v>10038</v>
      </c>
      <c r="AI845" s="1" t="s">
        <v>45</v>
      </c>
      <c r="AJ845" s="1">
        <v>2018</v>
      </c>
      <c r="AK845" s="1" t="s">
        <v>49</v>
      </c>
      <c r="AL845" s="1">
        <v>98</v>
      </c>
    </row>
    <row r="846" spans="1:38" x14ac:dyDescent="0.2">
      <c r="A846" s="2" t="str">
        <f>HYPERLINK("https://www.compass.com/listing/161-maiden-lane-unit-25a-manhattan-ny-10038/29514184903480721/","161 Maiden Ln, Unit 25A")</f>
        <v>161 Maiden Ln, Unit 25A</v>
      </c>
      <c r="B846" s="2" t="str">
        <f t="shared" si="108"/>
        <v>Seaport Residences</v>
      </c>
      <c r="C846" s="1" t="s">
        <v>96</v>
      </c>
      <c r="D846" s="1" t="s">
        <v>41</v>
      </c>
      <c r="E846" s="3">
        <v>1975000</v>
      </c>
      <c r="F846" s="1">
        <v>2029.8047276464499</v>
      </c>
      <c r="G846" s="1">
        <v>2</v>
      </c>
      <c r="H846" s="1">
        <v>1</v>
      </c>
      <c r="I846" s="1">
        <v>1</v>
      </c>
      <c r="J846" s="1">
        <v>1</v>
      </c>
      <c r="K846" s="1">
        <v>1</v>
      </c>
      <c r="M846" s="1">
        <v>973</v>
      </c>
      <c r="N846" s="1">
        <v>1413</v>
      </c>
      <c r="O846" s="1">
        <v>2807</v>
      </c>
      <c r="P846" s="1">
        <v>1394</v>
      </c>
      <c r="Q846" s="1" t="s">
        <v>42</v>
      </c>
      <c r="S846" s="1" t="s">
        <v>42</v>
      </c>
      <c r="T846" s="1" t="s">
        <v>228</v>
      </c>
      <c r="U846" s="1">
        <v>416</v>
      </c>
      <c r="V846" s="5">
        <v>44427</v>
      </c>
      <c r="W846" s="5">
        <v>42460</v>
      </c>
      <c r="X846" s="1">
        <v>1975000</v>
      </c>
      <c r="Z846" s="5">
        <v>42877</v>
      </c>
      <c r="AB846" s="1" t="s">
        <v>44</v>
      </c>
      <c r="AF846" s="1">
        <v>10038</v>
      </c>
      <c r="AI846" s="1" t="s">
        <v>61</v>
      </c>
      <c r="AJ846" s="1">
        <v>2018</v>
      </c>
      <c r="AK846" s="1" t="s">
        <v>49</v>
      </c>
      <c r="AL846" s="1">
        <v>98</v>
      </c>
    </row>
    <row r="847" spans="1:38" x14ac:dyDescent="0.2">
      <c r="A847" s="2" t="str">
        <f>HYPERLINK("https://www.compass.com/listing/161-maiden-lane-unit-23a-manhattan-ny-10038/29514188736979937/","161 Maiden Ln, Unit 23A")</f>
        <v>161 Maiden Ln, Unit 23A</v>
      </c>
      <c r="B847" s="2" t="str">
        <f t="shared" si="108"/>
        <v>Seaport Residences</v>
      </c>
      <c r="C847" s="1" t="s">
        <v>96</v>
      </c>
      <c r="D847" s="1" t="s">
        <v>41</v>
      </c>
      <c r="E847" s="3">
        <v>1965000</v>
      </c>
      <c r="F847" s="1">
        <v>2019.5272353545699</v>
      </c>
      <c r="G847" s="1">
        <v>2</v>
      </c>
      <c r="H847" s="1">
        <v>1</v>
      </c>
      <c r="I847" s="1">
        <v>1</v>
      </c>
      <c r="J847" s="1">
        <v>1</v>
      </c>
      <c r="K847" s="1">
        <v>1</v>
      </c>
      <c r="M847" s="1">
        <v>973</v>
      </c>
      <c r="N847" s="1">
        <v>1413</v>
      </c>
      <c r="O847" s="1">
        <v>2807</v>
      </c>
      <c r="P847" s="1">
        <v>1394</v>
      </c>
      <c r="Q847" s="1" t="s">
        <v>42</v>
      </c>
      <c r="S847" s="1" t="s">
        <v>42</v>
      </c>
      <c r="T847" s="1" t="s">
        <v>228</v>
      </c>
      <c r="U847" s="1">
        <v>405</v>
      </c>
      <c r="V847" s="5">
        <v>44427</v>
      </c>
      <c r="W847" s="5">
        <v>42460</v>
      </c>
      <c r="X847" s="1">
        <v>1965000</v>
      </c>
      <c r="Z847" s="5">
        <v>42866</v>
      </c>
      <c r="AB847" s="1" t="s">
        <v>44</v>
      </c>
      <c r="AF847" s="1">
        <v>10038</v>
      </c>
      <c r="AI847" s="1" t="s">
        <v>61</v>
      </c>
      <c r="AJ847" s="1">
        <v>2018</v>
      </c>
      <c r="AK847" s="1" t="s">
        <v>49</v>
      </c>
      <c r="AL847" s="1">
        <v>98</v>
      </c>
    </row>
    <row r="848" spans="1:38" x14ac:dyDescent="0.2">
      <c r="A848" s="2" t="str">
        <f>HYPERLINK("https://www.compass.com/listing/161-maiden-lane-unit-26b-manhattan-ny-10038/29514195011697521/","161 Maiden Ln, Unit 26B")</f>
        <v>161 Maiden Ln, Unit 26B</v>
      </c>
      <c r="B848" s="2" t="str">
        <f t="shared" si="108"/>
        <v>Seaport Residences</v>
      </c>
      <c r="C848" s="1" t="s">
        <v>96</v>
      </c>
      <c r="D848" s="1" t="s">
        <v>41</v>
      </c>
      <c r="E848" s="3">
        <v>2000000</v>
      </c>
      <c r="F848" s="1">
        <v>2059.7322348094699</v>
      </c>
      <c r="G848" s="1">
        <v>3</v>
      </c>
      <c r="H848" s="1">
        <v>1</v>
      </c>
      <c r="I848" s="1">
        <v>1</v>
      </c>
      <c r="J848" s="1">
        <v>1</v>
      </c>
      <c r="K848" s="1">
        <v>1</v>
      </c>
      <c r="M848" s="1">
        <v>971</v>
      </c>
      <c r="N848" s="1">
        <v>1412</v>
      </c>
      <c r="O848" s="1">
        <v>2806</v>
      </c>
      <c r="P848" s="1">
        <v>1394</v>
      </c>
      <c r="Q848" s="1" t="s">
        <v>42</v>
      </c>
      <c r="S848" s="1" t="s">
        <v>42</v>
      </c>
      <c r="T848" s="1" t="s">
        <v>228</v>
      </c>
      <c r="U848" s="1">
        <v>97</v>
      </c>
      <c r="V848" s="5">
        <v>44427</v>
      </c>
      <c r="W848" s="5">
        <v>42460</v>
      </c>
      <c r="X848" s="1">
        <v>2000000</v>
      </c>
      <c r="Z848" s="5">
        <v>42558</v>
      </c>
      <c r="AB848" s="1" t="s">
        <v>44</v>
      </c>
      <c r="AF848" s="1">
        <v>10038</v>
      </c>
      <c r="AI848" s="1" t="s">
        <v>48</v>
      </c>
      <c r="AJ848" s="1">
        <v>2018</v>
      </c>
      <c r="AK848" s="1" t="s">
        <v>49</v>
      </c>
      <c r="AL848" s="1">
        <v>98</v>
      </c>
    </row>
    <row r="849" spans="1:38" x14ac:dyDescent="0.2">
      <c r="A849" s="2" t="str">
        <f>HYPERLINK("https://www.compass.com/listing/130-william-street-unit-9e-manhattan-ny-10038/672522375358288537/","130 William St, Unit 9E")</f>
        <v>130 William St, Unit 9E</v>
      </c>
      <c r="B849" s="2" t="str">
        <f>HYPERLINK("https://www.compass.com/building/130-william-st-manhattan-ny-10038/282029682239486757/","130 William St")</f>
        <v>130 William St</v>
      </c>
      <c r="C849" s="1" t="s">
        <v>96</v>
      </c>
      <c r="D849" s="1" t="s">
        <v>41</v>
      </c>
      <c r="E849" s="3">
        <v>740990</v>
      </c>
      <c r="F849" s="1">
        <v>1699.51834862385</v>
      </c>
      <c r="G849" s="1">
        <v>2</v>
      </c>
      <c r="H849" s="1" t="s">
        <v>99</v>
      </c>
      <c r="I849" s="1">
        <v>1</v>
      </c>
      <c r="J849" s="1">
        <v>1</v>
      </c>
      <c r="K849" s="1">
        <v>1</v>
      </c>
      <c r="M849" s="1">
        <v>436</v>
      </c>
      <c r="N849" s="1">
        <v>292.52</v>
      </c>
      <c r="O849" s="1">
        <v>859.22</v>
      </c>
      <c r="P849" s="1">
        <v>566.66666666666595</v>
      </c>
      <c r="Q849" s="1" t="s">
        <v>42</v>
      </c>
      <c r="S849" s="1" t="s">
        <v>42</v>
      </c>
      <c r="T849" s="1" t="s">
        <v>228</v>
      </c>
      <c r="U849" s="1">
        <v>751</v>
      </c>
      <c r="V849" s="5">
        <v>44414</v>
      </c>
      <c r="W849" s="5">
        <v>43334</v>
      </c>
      <c r="X849" s="1">
        <v>740990</v>
      </c>
      <c r="Z849" s="5">
        <v>44180</v>
      </c>
      <c r="AB849" s="1" t="s">
        <v>44</v>
      </c>
      <c r="AF849" s="1">
        <v>10038</v>
      </c>
      <c r="AI849" s="1" t="s">
        <v>111</v>
      </c>
      <c r="AJ849" s="1">
        <v>2020</v>
      </c>
      <c r="AK849" s="1" t="s">
        <v>46</v>
      </c>
      <c r="AL849" s="1">
        <v>244</v>
      </c>
    </row>
    <row r="850" spans="1:38" x14ac:dyDescent="0.2">
      <c r="A850" s="2" t="str">
        <f>HYPERLINK("https://www.compass.com/listing/161-maiden-lane-unit-36b-manhattan-ny-10038/29514192889341057/","161 Maiden Ln, Unit 36B")</f>
        <v>161 Maiden Ln, Unit 36B</v>
      </c>
      <c r="B850" s="2" t="str">
        <f t="shared" ref="B850:B863" si="109">HYPERLINK("https://www.compass.com/building/seaport-residences-manhattan-ny/282029834819877765/","Seaport Residences")</f>
        <v>Seaport Residences</v>
      </c>
      <c r="C850" s="1" t="s">
        <v>96</v>
      </c>
      <c r="D850" s="1" t="s">
        <v>41</v>
      </c>
      <c r="E850" s="3">
        <v>2180000</v>
      </c>
      <c r="F850" s="1">
        <v>2245.1081359423201</v>
      </c>
      <c r="G850" s="1">
        <v>3</v>
      </c>
      <c r="H850" s="1">
        <v>1</v>
      </c>
      <c r="I850" s="1">
        <v>1</v>
      </c>
      <c r="J850" s="1">
        <v>1</v>
      </c>
      <c r="K850" s="1">
        <v>1</v>
      </c>
      <c r="M850" s="1">
        <v>971</v>
      </c>
      <c r="N850" s="1">
        <v>1412</v>
      </c>
      <c r="O850" s="1">
        <v>2596</v>
      </c>
      <c r="P850" s="1">
        <v>1184</v>
      </c>
      <c r="Q850" s="1" t="s">
        <v>42</v>
      </c>
      <c r="S850" s="1" t="s">
        <v>42</v>
      </c>
      <c r="T850" s="1" t="s">
        <v>228</v>
      </c>
      <c r="U850" s="1">
        <v>78</v>
      </c>
      <c r="V850" s="5">
        <v>44427</v>
      </c>
      <c r="W850" s="5">
        <v>42460</v>
      </c>
      <c r="X850" s="1">
        <v>2180000</v>
      </c>
      <c r="Z850" s="5">
        <v>42538</v>
      </c>
      <c r="AB850" s="1" t="s">
        <v>44</v>
      </c>
      <c r="AF850" s="1">
        <v>10038</v>
      </c>
      <c r="AI850" s="1" t="s">
        <v>48</v>
      </c>
      <c r="AJ850" s="1">
        <v>2018</v>
      </c>
      <c r="AK850" s="1" t="s">
        <v>49</v>
      </c>
      <c r="AL850" s="1">
        <v>98</v>
      </c>
    </row>
    <row r="851" spans="1:38" x14ac:dyDescent="0.2">
      <c r="A851" s="2" t="str">
        <f>HYPERLINK("https://www.compass.com/listing/161-maiden-lane-unit-27b-manhattan-ny-10038/29514196026719137/","161 Maiden Ln, Unit 27B")</f>
        <v>161 Maiden Ln, Unit 27B</v>
      </c>
      <c r="B851" s="2" t="str">
        <f t="shared" si="109"/>
        <v>Seaport Residences</v>
      </c>
      <c r="C851" s="1" t="s">
        <v>96</v>
      </c>
      <c r="D851" s="1" t="s">
        <v>41</v>
      </c>
      <c r="E851" s="3">
        <v>2020000</v>
      </c>
      <c r="F851" s="1">
        <v>2080.32955715756</v>
      </c>
      <c r="G851" s="1">
        <v>3</v>
      </c>
      <c r="H851" s="1">
        <v>1</v>
      </c>
      <c r="I851" s="1">
        <v>1</v>
      </c>
      <c r="J851" s="1">
        <v>1</v>
      </c>
      <c r="K851" s="1">
        <v>1</v>
      </c>
      <c r="M851" s="1">
        <v>971</v>
      </c>
      <c r="N851" s="1">
        <v>1412</v>
      </c>
      <c r="O851" s="1">
        <v>2806</v>
      </c>
      <c r="P851" s="1">
        <v>1394</v>
      </c>
      <c r="Q851" s="1" t="s">
        <v>42</v>
      </c>
      <c r="S851" s="1" t="s">
        <v>42</v>
      </c>
      <c r="T851" s="1" t="s">
        <v>228</v>
      </c>
      <c r="U851" s="1">
        <v>97</v>
      </c>
      <c r="V851" s="5">
        <v>44427</v>
      </c>
      <c r="W851" s="5">
        <v>42460</v>
      </c>
      <c r="X851" s="1">
        <v>2020000</v>
      </c>
      <c r="Z851" s="5">
        <v>42558</v>
      </c>
      <c r="AB851" s="1" t="s">
        <v>44</v>
      </c>
      <c r="AF851" s="1">
        <v>10038</v>
      </c>
      <c r="AI851" s="1" t="s">
        <v>48</v>
      </c>
      <c r="AJ851" s="1">
        <v>2018</v>
      </c>
      <c r="AK851" s="1" t="s">
        <v>49</v>
      </c>
      <c r="AL851" s="1">
        <v>98</v>
      </c>
    </row>
    <row r="852" spans="1:38" x14ac:dyDescent="0.2">
      <c r="A852" s="2" t="str">
        <f>HYPERLINK("https://www.compass.com/listing/161-maiden-lane-unit-33b-manhattan-ny-10038/29514204356568577/","161 Maiden Ln, Unit 33B")</f>
        <v>161 Maiden Ln, Unit 33B</v>
      </c>
      <c r="B852" s="2" t="str">
        <f t="shared" si="109"/>
        <v>Seaport Residences</v>
      </c>
      <c r="C852" s="1" t="s">
        <v>96</v>
      </c>
      <c r="D852" s="1" t="s">
        <v>41</v>
      </c>
      <c r="E852" s="3">
        <v>2120000</v>
      </c>
      <c r="F852" s="1">
        <v>2183.3161688980399</v>
      </c>
      <c r="G852" s="1">
        <v>3</v>
      </c>
      <c r="H852" s="1">
        <v>1</v>
      </c>
      <c r="I852" s="1">
        <v>1</v>
      </c>
      <c r="J852" s="1">
        <v>1</v>
      </c>
      <c r="K852" s="1">
        <v>1</v>
      </c>
      <c r="M852" s="1">
        <v>971</v>
      </c>
      <c r="N852" s="1">
        <v>1412</v>
      </c>
      <c r="O852" s="1">
        <v>2806</v>
      </c>
      <c r="P852" s="1">
        <v>1394</v>
      </c>
      <c r="Q852" s="1" t="s">
        <v>42</v>
      </c>
      <c r="S852" s="1" t="s">
        <v>42</v>
      </c>
      <c r="T852" s="1" t="s">
        <v>228</v>
      </c>
      <c r="U852" s="1">
        <v>139</v>
      </c>
      <c r="V852" s="5">
        <v>44427</v>
      </c>
      <c r="W852" s="5">
        <v>42460</v>
      </c>
      <c r="X852" s="1">
        <v>2120000</v>
      </c>
      <c r="Z852" s="5">
        <v>42600</v>
      </c>
      <c r="AB852" s="1" t="s">
        <v>44</v>
      </c>
      <c r="AF852" s="1">
        <v>10038</v>
      </c>
      <c r="AI852" s="1" t="s">
        <v>45</v>
      </c>
      <c r="AJ852" s="1">
        <v>2018</v>
      </c>
      <c r="AK852" s="1" t="s">
        <v>49</v>
      </c>
      <c r="AL852" s="1">
        <v>98</v>
      </c>
    </row>
    <row r="853" spans="1:38" x14ac:dyDescent="0.2">
      <c r="A853" s="2" t="str">
        <f>HYPERLINK("https://www.compass.com/listing/161-maiden-lane-unit-39b-manhattan-ny-10038/29514204633431265/","161 Maiden Ln, Unit 39B")</f>
        <v>161 Maiden Ln, Unit 39B</v>
      </c>
      <c r="B853" s="2" t="str">
        <f t="shared" si="109"/>
        <v>Seaport Residences</v>
      </c>
      <c r="C853" s="1" t="s">
        <v>96</v>
      </c>
      <c r="D853" s="1" t="s">
        <v>41</v>
      </c>
      <c r="E853" s="3">
        <v>2240000</v>
      </c>
      <c r="F853" s="1">
        <v>2306.9001029866099</v>
      </c>
      <c r="G853" s="1">
        <v>3</v>
      </c>
      <c r="H853" s="1">
        <v>1</v>
      </c>
      <c r="I853" s="1">
        <v>1</v>
      </c>
      <c r="J853" s="1">
        <v>1</v>
      </c>
      <c r="K853" s="1">
        <v>1</v>
      </c>
      <c r="M853" s="1">
        <v>971</v>
      </c>
      <c r="N853" s="1">
        <v>1412</v>
      </c>
      <c r="O853" s="1">
        <v>2806</v>
      </c>
      <c r="P853" s="1">
        <v>1394</v>
      </c>
      <c r="Q853" s="1" t="s">
        <v>42</v>
      </c>
      <c r="S853" s="1" t="s">
        <v>42</v>
      </c>
      <c r="T853" s="1" t="s">
        <v>228</v>
      </c>
      <c r="U853" s="1">
        <v>146</v>
      </c>
      <c r="V853" s="5">
        <v>44427</v>
      </c>
      <c r="W853" s="5">
        <v>42459</v>
      </c>
      <c r="X853" s="1">
        <v>2240000</v>
      </c>
      <c r="Z853" s="5">
        <v>42606</v>
      </c>
      <c r="AB853" s="1" t="s">
        <v>44</v>
      </c>
      <c r="AF853" s="1">
        <v>10038</v>
      </c>
      <c r="AI853" s="1" t="s">
        <v>45</v>
      </c>
      <c r="AJ853" s="1">
        <v>2018</v>
      </c>
      <c r="AK853" s="1" t="s">
        <v>49</v>
      </c>
      <c r="AL853" s="1">
        <v>98</v>
      </c>
    </row>
    <row r="854" spans="1:38" x14ac:dyDescent="0.2">
      <c r="A854" s="2" t="str">
        <f>HYPERLINK("https://www.compass.com/listing/161-maiden-lane-unit-38b-manhattan-ny-10038/29514204977420225/","161 Maiden Ln, Unit 38B")</f>
        <v>161 Maiden Ln, Unit 38B</v>
      </c>
      <c r="B854" s="2" t="str">
        <f t="shared" si="109"/>
        <v>Seaport Residences</v>
      </c>
      <c r="C854" s="1" t="s">
        <v>96</v>
      </c>
      <c r="D854" s="1" t="s">
        <v>41</v>
      </c>
      <c r="E854" s="3">
        <v>2220000</v>
      </c>
      <c r="F854" s="1">
        <v>2286.3027806385098</v>
      </c>
      <c r="G854" s="1">
        <v>3</v>
      </c>
      <c r="H854" s="1">
        <v>1</v>
      </c>
      <c r="I854" s="1">
        <v>1</v>
      </c>
      <c r="J854" s="1">
        <v>1</v>
      </c>
      <c r="K854" s="1">
        <v>1</v>
      </c>
      <c r="M854" s="1">
        <v>971</v>
      </c>
      <c r="N854" s="1">
        <v>1412</v>
      </c>
      <c r="O854" s="1">
        <v>2806</v>
      </c>
      <c r="P854" s="1">
        <v>1394</v>
      </c>
      <c r="Q854" s="1" t="s">
        <v>42</v>
      </c>
      <c r="S854" s="1" t="s">
        <v>42</v>
      </c>
      <c r="T854" s="1" t="s">
        <v>228</v>
      </c>
      <c r="U854" s="1">
        <v>145</v>
      </c>
      <c r="V854" s="5">
        <v>44427</v>
      </c>
      <c r="W854" s="5">
        <v>42460</v>
      </c>
      <c r="X854" s="1">
        <v>2220000</v>
      </c>
      <c r="Z854" s="5">
        <v>42606</v>
      </c>
      <c r="AB854" s="1" t="s">
        <v>44</v>
      </c>
      <c r="AF854" s="1">
        <v>10038</v>
      </c>
      <c r="AI854" s="1" t="s">
        <v>45</v>
      </c>
      <c r="AJ854" s="1">
        <v>2018</v>
      </c>
      <c r="AK854" s="1" t="s">
        <v>49</v>
      </c>
      <c r="AL854" s="1">
        <v>98</v>
      </c>
    </row>
    <row r="855" spans="1:38" x14ac:dyDescent="0.2">
      <c r="A855" s="2" t="str">
        <f>HYPERLINK("https://www.compass.com/listing/161-maiden-lane-unit-37b-manhattan-ny-10038/29514205270926881/","161 Maiden Ln, Unit 37B")</f>
        <v>161 Maiden Ln, Unit 37B</v>
      </c>
      <c r="B855" s="2" t="str">
        <f t="shared" si="109"/>
        <v>Seaport Residences</v>
      </c>
      <c r="C855" s="1" t="s">
        <v>96</v>
      </c>
      <c r="D855" s="1" t="s">
        <v>41</v>
      </c>
      <c r="E855" s="3">
        <v>2200000</v>
      </c>
      <c r="F855" s="1">
        <v>2265.7054582904202</v>
      </c>
      <c r="G855" s="1">
        <v>3</v>
      </c>
      <c r="H855" s="1">
        <v>1</v>
      </c>
      <c r="I855" s="1">
        <v>1</v>
      </c>
      <c r="J855" s="1">
        <v>1</v>
      </c>
      <c r="K855" s="1">
        <v>1</v>
      </c>
      <c r="M855" s="1">
        <v>971</v>
      </c>
      <c r="N855" s="1">
        <v>1412</v>
      </c>
      <c r="O855" s="1">
        <v>2806</v>
      </c>
      <c r="P855" s="1">
        <v>1394</v>
      </c>
      <c r="Q855" s="1" t="s">
        <v>42</v>
      </c>
      <c r="S855" s="1" t="s">
        <v>42</v>
      </c>
      <c r="T855" s="1" t="s">
        <v>228</v>
      </c>
      <c r="U855" s="1">
        <v>120</v>
      </c>
      <c r="V855" s="5">
        <v>44427</v>
      </c>
      <c r="W855" s="5">
        <v>42460</v>
      </c>
      <c r="X855" s="1">
        <v>2200000</v>
      </c>
      <c r="Z855" s="5">
        <v>42581</v>
      </c>
      <c r="AB855" s="1" t="s">
        <v>44</v>
      </c>
      <c r="AF855" s="1">
        <v>10038</v>
      </c>
      <c r="AI855" s="1" t="s">
        <v>45</v>
      </c>
      <c r="AJ855" s="1">
        <v>2018</v>
      </c>
      <c r="AK855" s="1" t="s">
        <v>49</v>
      </c>
      <c r="AL855" s="1">
        <v>98</v>
      </c>
    </row>
    <row r="856" spans="1:38" x14ac:dyDescent="0.2">
      <c r="A856" s="2" t="str">
        <f>HYPERLINK("https://www.compass.com/listing/161-maiden-lane-unit-32b-manhattan-ny-10038/29514208735460721/","161 Maiden Ln, Unit 32B")</f>
        <v>161 Maiden Ln, Unit 32B</v>
      </c>
      <c r="B856" s="2" t="str">
        <f t="shared" si="109"/>
        <v>Seaport Residences</v>
      </c>
      <c r="C856" s="1" t="s">
        <v>96</v>
      </c>
      <c r="D856" s="1" t="s">
        <v>41</v>
      </c>
      <c r="E856" s="3">
        <v>2100000</v>
      </c>
      <c r="F856" s="1">
        <v>2162.7188465499398</v>
      </c>
      <c r="G856" s="1">
        <v>3</v>
      </c>
      <c r="H856" s="1">
        <v>1</v>
      </c>
      <c r="I856" s="1">
        <v>1</v>
      </c>
      <c r="J856" s="1">
        <v>1</v>
      </c>
      <c r="K856" s="1">
        <v>1</v>
      </c>
      <c r="M856" s="1">
        <v>971</v>
      </c>
      <c r="N856" s="1">
        <v>1412</v>
      </c>
      <c r="O856" s="1">
        <v>2806</v>
      </c>
      <c r="P856" s="1">
        <v>1394</v>
      </c>
      <c r="Q856" s="1" t="s">
        <v>42</v>
      </c>
      <c r="S856" s="1" t="s">
        <v>42</v>
      </c>
      <c r="T856" s="1" t="s">
        <v>228</v>
      </c>
      <c r="U856" s="1">
        <v>1</v>
      </c>
      <c r="V856" s="5">
        <v>44427</v>
      </c>
      <c r="W856" s="5">
        <v>42590</v>
      </c>
      <c r="X856" s="1">
        <v>2100000</v>
      </c>
      <c r="Z856" s="5">
        <v>42592</v>
      </c>
      <c r="AB856" s="1" t="s">
        <v>44</v>
      </c>
      <c r="AF856" s="1">
        <v>10038</v>
      </c>
      <c r="AI856" s="1" t="s">
        <v>45</v>
      </c>
      <c r="AJ856" s="1">
        <v>2018</v>
      </c>
      <c r="AK856" s="1" t="s">
        <v>49</v>
      </c>
      <c r="AL856" s="1">
        <v>98</v>
      </c>
    </row>
    <row r="857" spans="1:38" x14ac:dyDescent="0.2">
      <c r="A857" s="2" t="str">
        <f>HYPERLINK("https://www.compass.com/listing/161-maiden-lane-unit-9c-manhattan-ny-10038/29514195707913393/","161 Maiden Ln, Unit 9C")</f>
        <v>161 Maiden Ln, Unit 9C</v>
      </c>
      <c r="B857" s="2" t="str">
        <f t="shared" si="109"/>
        <v>Seaport Residences</v>
      </c>
      <c r="C857" s="1" t="s">
        <v>96</v>
      </c>
      <c r="D857" s="1" t="s">
        <v>41</v>
      </c>
      <c r="E857" s="3">
        <v>1255000</v>
      </c>
      <c r="F857" s="1">
        <v>1797.99426934097</v>
      </c>
      <c r="G857" s="1">
        <v>3</v>
      </c>
      <c r="H857" s="1">
        <v>1</v>
      </c>
      <c r="I857" s="1">
        <v>1</v>
      </c>
      <c r="J857" s="1">
        <v>1</v>
      </c>
      <c r="K857" s="1">
        <v>1</v>
      </c>
      <c r="M857" s="1">
        <v>698</v>
      </c>
      <c r="N857" s="1">
        <v>1003</v>
      </c>
      <c r="O857" s="1">
        <v>1994</v>
      </c>
      <c r="P857" s="1">
        <v>991</v>
      </c>
      <c r="Q857" s="1" t="s">
        <v>42</v>
      </c>
      <c r="S857" s="1" t="s">
        <v>42</v>
      </c>
      <c r="T857" s="1" t="s">
        <v>228</v>
      </c>
      <c r="U857" s="1">
        <v>51</v>
      </c>
      <c r="V857" s="5">
        <v>44427</v>
      </c>
      <c r="W857" s="5">
        <v>42522</v>
      </c>
      <c r="X857" s="1">
        <v>1255000</v>
      </c>
      <c r="Z857" s="5">
        <v>42573</v>
      </c>
      <c r="AB857" s="1" t="s">
        <v>44</v>
      </c>
      <c r="AF857" s="1">
        <v>10038</v>
      </c>
      <c r="AI857" s="1" t="s">
        <v>48</v>
      </c>
      <c r="AJ857" s="1">
        <v>2018</v>
      </c>
      <c r="AK857" s="1" t="s">
        <v>49</v>
      </c>
      <c r="AL857" s="1">
        <v>98</v>
      </c>
    </row>
    <row r="858" spans="1:38" x14ac:dyDescent="0.2">
      <c r="A858" s="2" t="str">
        <f>HYPERLINK("https://www.compass.com/listing/161-maiden-lane-unit-37a-manhattan-ny-10038/29514190196636417/","161 Maiden Ln, Unit 37A")</f>
        <v>161 Maiden Ln, Unit 37A</v>
      </c>
      <c r="B858" s="2" t="str">
        <f t="shared" si="109"/>
        <v>Seaport Residences</v>
      </c>
      <c r="C858" s="1" t="s">
        <v>96</v>
      </c>
      <c r="D858" s="1" t="s">
        <v>41</v>
      </c>
      <c r="E858" s="3">
        <v>3025000</v>
      </c>
      <c r="F858" s="1">
        <v>2307.3989321128902</v>
      </c>
      <c r="G858" s="1">
        <v>4</v>
      </c>
      <c r="H858" s="1">
        <v>2</v>
      </c>
      <c r="I858" s="1">
        <v>2</v>
      </c>
      <c r="J858" s="1">
        <v>2</v>
      </c>
      <c r="K858" s="1">
        <v>2</v>
      </c>
      <c r="M858" s="4">
        <v>1311</v>
      </c>
      <c r="N858" s="1">
        <v>1924</v>
      </c>
      <c r="O858" s="1">
        <v>3821</v>
      </c>
      <c r="P858" s="1">
        <v>1897</v>
      </c>
      <c r="Q858" s="1" t="s">
        <v>42</v>
      </c>
      <c r="S858" s="1" t="s">
        <v>42</v>
      </c>
      <c r="T858" s="1" t="s">
        <v>228</v>
      </c>
      <c r="U858" s="1">
        <v>1</v>
      </c>
      <c r="V858" s="5">
        <v>44427</v>
      </c>
      <c r="W858" s="5">
        <v>42922</v>
      </c>
      <c r="X858" s="1">
        <v>3025000</v>
      </c>
      <c r="Z858" s="5">
        <v>42924</v>
      </c>
      <c r="AB858" s="1" t="s">
        <v>44</v>
      </c>
      <c r="AF858" s="1">
        <v>10038</v>
      </c>
      <c r="AI858" s="1" t="s">
        <v>45</v>
      </c>
      <c r="AJ858" s="1">
        <v>2018</v>
      </c>
      <c r="AK858" s="1" t="s">
        <v>49</v>
      </c>
      <c r="AL858" s="1">
        <v>98</v>
      </c>
    </row>
    <row r="859" spans="1:38" x14ac:dyDescent="0.2">
      <c r="A859" s="2" t="str">
        <f>HYPERLINK("https://www.compass.com/listing/161-maiden-lane-unit-34a-manhattan-ny-10038/29514195338909313/","161 Maiden Ln, Unit 34A")</f>
        <v>161 Maiden Ln, Unit 34A</v>
      </c>
      <c r="B859" s="2" t="str">
        <f t="shared" si="109"/>
        <v>Seaport Residences</v>
      </c>
      <c r="C859" s="1" t="s">
        <v>96</v>
      </c>
      <c r="D859" s="1" t="s">
        <v>41</v>
      </c>
      <c r="E859" s="3">
        <v>2890000</v>
      </c>
      <c r="F859" s="1">
        <v>2204.4241037376</v>
      </c>
      <c r="G859" s="1">
        <v>4</v>
      </c>
      <c r="H859" s="1">
        <v>2</v>
      </c>
      <c r="I859" s="1">
        <v>2</v>
      </c>
      <c r="J859" s="1">
        <v>2</v>
      </c>
      <c r="K859" s="1">
        <v>2</v>
      </c>
      <c r="M859" s="4">
        <v>1311</v>
      </c>
      <c r="N859" s="1">
        <v>1905</v>
      </c>
      <c r="O859" s="1">
        <v>3503</v>
      </c>
      <c r="P859" s="1">
        <v>1598</v>
      </c>
      <c r="Q859" s="1" t="s">
        <v>42</v>
      </c>
      <c r="S859" s="1" t="s">
        <v>42</v>
      </c>
      <c r="T859" s="1" t="s">
        <v>228</v>
      </c>
      <c r="U859" s="1">
        <v>85</v>
      </c>
      <c r="V859" s="5">
        <v>44427</v>
      </c>
      <c r="W859" s="5">
        <v>42460</v>
      </c>
      <c r="X859" s="1">
        <v>2890000</v>
      </c>
      <c r="Z859" s="5">
        <v>42546</v>
      </c>
      <c r="AB859" s="1" t="s">
        <v>44</v>
      </c>
      <c r="AF859" s="1">
        <v>10038</v>
      </c>
      <c r="AI859" s="1" t="s">
        <v>45</v>
      </c>
      <c r="AJ859" s="1">
        <v>2018</v>
      </c>
      <c r="AK859" s="1" t="s">
        <v>49</v>
      </c>
      <c r="AL859" s="1">
        <v>98</v>
      </c>
    </row>
    <row r="860" spans="1:38" x14ac:dyDescent="0.2">
      <c r="A860" s="2" t="str">
        <f>HYPERLINK("https://www.compass.com/listing/161-maiden-lane-unit-39a-manhattan-ny-10038/29514197117238209/","161 Maiden Ln, Unit 39A")</f>
        <v>161 Maiden Ln, Unit 39A</v>
      </c>
      <c r="B860" s="2" t="str">
        <f t="shared" si="109"/>
        <v>Seaport Residences</v>
      </c>
      <c r="C860" s="1" t="s">
        <v>96</v>
      </c>
      <c r="D860" s="1" t="s">
        <v>41</v>
      </c>
      <c r="E860" s="3">
        <v>3115000</v>
      </c>
      <c r="F860" s="1">
        <v>2376.04881769641</v>
      </c>
      <c r="G860" s="1">
        <v>4</v>
      </c>
      <c r="H860" s="1">
        <v>2</v>
      </c>
      <c r="I860" s="1">
        <v>2</v>
      </c>
      <c r="J860" s="1">
        <v>2</v>
      </c>
      <c r="K860" s="1">
        <v>2</v>
      </c>
      <c r="M860" s="4">
        <v>1311</v>
      </c>
      <c r="N860" s="1">
        <v>1940</v>
      </c>
      <c r="O860" s="1">
        <v>3595</v>
      </c>
      <c r="P860" s="1">
        <v>1655</v>
      </c>
      <c r="Q860" s="1" t="s">
        <v>42</v>
      </c>
      <c r="S860" s="1" t="s">
        <v>42</v>
      </c>
      <c r="T860" s="1" t="s">
        <v>228</v>
      </c>
      <c r="U860" s="1">
        <v>64</v>
      </c>
      <c r="V860" s="5">
        <v>44427</v>
      </c>
      <c r="W860" s="5">
        <v>43010</v>
      </c>
      <c r="X860" s="1">
        <v>3115000</v>
      </c>
      <c r="Z860" s="5">
        <v>43075</v>
      </c>
      <c r="AB860" s="1" t="s">
        <v>44</v>
      </c>
      <c r="AF860" s="1">
        <v>10038</v>
      </c>
      <c r="AI860" s="1" t="s">
        <v>45</v>
      </c>
      <c r="AJ860" s="1">
        <v>2018</v>
      </c>
      <c r="AK860" s="1" t="s">
        <v>49</v>
      </c>
      <c r="AL860" s="1">
        <v>98</v>
      </c>
    </row>
    <row r="861" spans="1:38" x14ac:dyDescent="0.2">
      <c r="A861" s="2" t="str">
        <f>HYPERLINK("https://www.compass.com/listing/161-maiden-lane-unit-35a-manhattan-ny-10038/29514206294337089/","161 Maiden Ln, Unit 35A")</f>
        <v>161 Maiden Ln, Unit 35A</v>
      </c>
      <c r="B861" s="2" t="str">
        <f t="shared" si="109"/>
        <v>Seaport Residences</v>
      </c>
      <c r="C861" s="1" t="s">
        <v>96</v>
      </c>
      <c r="D861" s="1" t="s">
        <v>41</v>
      </c>
      <c r="E861" s="3">
        <v>2935000</v>
      </c>
      <c r="F861" s="1">
        <v>2238.7490465293599</v>
      </c>
      <c r="G861" s="1">
        <v>4</v>
      </c>
      <c r="H861" s="1">
        <v>2</v>
      </c>
      <c r="I861" s="1">
        <v>2</v>
      </c>
      <c r="J861" s="1">
        <v>2</v>
      </c>
      <c r="K861" s="1">
        <v>2</v>
      </c>
      <c r="M861" s="4">
        <v>1311</v>
      </c>
      <c r="N861" s="1">
        <v>1907</v>
      </c>
      <c r="O861" s="1">
        <v>3788</v>
      </c>
      <c r="P861" s="1">
        <v>1881</v>
      </c>
      <c r="Q861" s="1" t="s">
        <v>42</v>
      </c>
      <c r="S861" s="1" t="s">
        <v>42</v>
      </c>
      <c r="T861" s="1" t="s">
        <v>228</v>
      </c>
      <c r="U861" s="1">
        <v>6</v>
      </c>
      <c r="V861" s="5">
        <v>44427</v>
      </c>
      <c r="W861" s="5">
        <v>42733</v>
      </c>
      <c r="X861" s="1">
        <v>2935000</v>
      </c>
      <c r="Z861" s="5">
        <v>42740</v>
      </c>
      <c r="AB861" s="1" t="s">
        <v>44</v>
      </c>
      <c r="AF861" s="1">
        <v>10038</v>
      </c>
      <c r="AI861" s="1" t="s">
        <v>45</v>
      </c>
      <c r="AJ861" s="1">
        <v>2018</v>
      </c>
      <c r="AK861" s="1" t="s">
        <v>49</v>
      </c>
      <c r="AL861" s="1">
        <v>98</v>
      </c>
    </row>
    <row r="862" spans="1:38" x14ac:dyDescent="0.2">
      <c r="A862" s="2" t="str">
        <f>HYPERLINK("https://www.compass.com/listing/161-maiden-lane-unit-40a-manhattan-ny-10038/29514206957131809/","161 Maiden Ln, Unit 40A")</f>
        <v>161 Maiden Ln, Unit 40A</v>
      </c>
      <c r="B862" s="2" t="str">
        <f t="shared" si="109"/>
        <v>Seaport Residences</v>
      </c>
      <c r="C862" s="1" t="s">
        <v>96</v>
      </c>
      <c r="D862" s="1" t="s">
        <v>41</v>
      </c>
      <c r="E862" s="3">
        <v>3160000</v>
      </c>
      <c r="F862" s="1">
        <v>2410.3737604881699</v>
      </c>
      <c r="G862" s="1">
        <v>4</v>
      </c>
      <c r="H862" s="1">
        <v>2</v>
      </c>
      <c r="I862" s="1">
        <v>2</v>
      </c>
      <c r="J862" s="1">
        <v>2</v>
      </c>
      <c r="K862" s="1">
        <v>2</v>
      </c>
      <c r="M862" s="4">
        <v>1311</v>
      </c>
      <c r="N862" s="1">
        <v>1928</v>
      </c>
      <c r="O862" s="1">
        <v>3583</v>
      </c>
      <c r="P862" s="1">
        <v>1655</v>
      </c>
      <c r="Q862" s="1" t="s">
        <v>42</v>
      </c>
      <c r="S862" s="1" t="s">
        <v>42</v>
      </c>
      <c r="T862" s="1" t="s">
        <v>228</v>
      </c>
      <c r="U862" s="1">
        <v>1</v>
      </c>
      <c r="V862" s="5">
        <v>44427</v>
      </c>
      <c r="W862" s="5">
        <v>43236</v>
      </c>
      <c r="X862" s="1">
        <v>3160000</v>
      </c>
      <c r="Z862" s="5">
        <v>43237</v>
      </c>
      <c r="AB862" s="1" t="s">
        <v>44</v>
      </c>
      <c r="AF862" s="1">
        <v>10038</v>
      </c>
      <c r="AI862" s="1" t="s">
        <v>45</v>
      </c>
      <c r="AJ862" s="1">
        <v>2018</v>
      </c>
      <c r="AK862" s="1" t="s">
        <v>49</v>
      </c>
      <c r="AL862" s="1">
        <v>98</v>
      </c>
    </row>
    <row r="863" spans="1:38" x14ac:dyDescent="0.2">
      <c r="A863" s="2" t="str">
        <f>HYPERLINK("https://www.compass.com/listing/161-maiden-lane-unit-32a-manhattan-ny-10038/29514208441820817/","161 Maiden Ln, Unit 32A")</f>
        <v>161 Maiden Ln, Unit 32A</v>
      </c>
      <c r="B863" s="2" t="str">
        <f t="shared" si="109"/>
        <v>Seaport Residences</v>
      </c>
      <c r="C863" s="1" t="s">
        <v>96</v>
      </c>
      <c r="D863" s="1" t="s">
        <v>41</v>
      </c>
      <c r="E863" s="3">
        <v>2800000</v>
      </c>
      <c r="F863" s="1">
        <v>2135.7742181540798</v>
      </c>
      <c r="G863" s="1">
        <v>4</v>
      </c>
      <c r="H863" s="1">
        <v>2</v>
      </c>
      <c r="I863" s="1">
        <v>2</v>
      </c>
      <c r="J863" s="1">
        <v>2</v>
      </c>
      <c r="K863" s="1">
        <v>2</v>
      </c>
      <c r="M863" s="4">
        <v>1311</v>
      </c>
      <c r="N863" s="1">
        <v>1905</v>
      </c>
      <c r="O863" s="1">
        <v>3786</v>
      </c>
      <c r="P863" s="1">
        <v>1881</v>
      </c>
      <c r="Q863" s="1" t="s">
        <v>42</v>
      </c>
      <c r="S863" s="1" t="s">
        <v>42</v>
      </c>
      <c r="T863" s="1" t="s">
        <v>228</v>
      </c>
      <c r="U863" s="1">
        <v>1</v>
      </c>
      <c r="V863" s="5">
        <v>44427</v>
      </c>
      <c r="W863" s="5">
        <v>42590</v>
      </c>
      <c r="X863" s="1">
        <v>2800000</v>
      </c>
      <c r="Z863" s="5">
        <v>42592</v>
      </c>
      <c r="AB863" s="1" t="s">
        <v>44</v>
      </c>
      <c r="AF863" s="1">
        <v>10038</v>
      </c>
      <c r="AI863" s="1" t="s">
        <v>261</v>
      </c>
      <c r="AJ863" s="1">
        <v>2018</v>
      </c>
      <c r="AK863" s="1" t="s">
        <v>49</v>
      </c>
      <c r="AL863" s="1">
        <v>98</v>
      </c>
    </row>
    <row r="864" spans="1:38" x14ac:dyDescent="0.2">
      <c r="A864" s="2" t="str">
        <f>HYPERLINK("https://www.compass.com/listing/130-william-street-unit-20b-manhattan-ny-10038/784900828846144897/","130 William St, Unit 20B")</f>
        <v>130 William St, Unit 20B</v>
      </c>
      <c r="B864" s="2" t="str">
        <f>HYPERLINK("https://www.compass.com/building/130-william-st-manhattan-ny-10038/282029682239486757/","130 William St")</f>
        <v>130 William St</v>
      </c>
      <c r="C864" s="1" t="s">
        <v>96</v>
      </c>
      <c r="D864" s="1" t="s">
        <v>41</v>
      </c>
      <c r="E864" s="3">
        <v>2750990</v>
      </c>
      <c r="F864" s="1">
        <v>1800.3861256544501</v>
      </c>
      <c r="G864" s="1">
        <v>5</v>
      </c>
      <c r="H864" s="1">
        <v>3</v>
      </c>
      <c r="I864" s="1">
        <v>2</v>
      </c>
      <c r="J864" s="1">
        <v>2</v>
      </c>
      <c r="K864" s="1">
        <v>2</v>
      </c>
      <c r="M864" s="4">
        <v>1528</v>
      </c>
      <c r="N864" s="1">
        <v>1057</v>
      </c>
      <c r="O864" s="1">
        <v>3104</v>
      </c>
      <c r="P864" s="1">
        <v>2047</v>
      </c>
      <c r="Q864" s="1" t="s">
        <v>42</v>
      </c>
      <c r="S864" s="1" t="s">
        <v>42</v>
      </c>
      <c r="T864" s="1" t="s">
        <v>228</v>
      </c>
      <c r="U864" s="1">
        <v>15</v>
      </c>
      <c r="V864" s="5">
        <v>44425</v>
      </c>
      <c r="W864" s="5">
        <v>44334</v>
      </c>
      <c r="X864" s="1">
        <v>2750990</v>
      </c>
      <c r="Z864" s="5">
        <v>44350</v>
      </c>
      <c r="AB864" s="1" t="s">
        <v>44</v>
      </c>
      <c r="AF864" s="1">
        <v>10038</v>
      </c>
      <c r="AI864" s="1" t="s">
        <v>111</v>
      </c>
      <c r="AJ864" s="1">
        <v>2020</v>
      </c>
      <c r="AK864" s="1" t="s">
        <v>46</v>
      </c>
      <c r="AL864" s="1">
        <v>244</v>
      </c>
    </row>
    <row r="865" spans="1:38" x14ac:dyDescent="0.2">
      <c r="A865" s="2" t="str">
        <f>HYPERLINK("https://www.compass.com/listing/252-south-street-unit-54d-manhattan-ny-10002/816565521038404417/","252 South St, Unit 54D")</f>
        <v>252 South St, Unit 54D</v>
      </c>
      <c r="B865" s="2" t="str">
        <f t="shared" ref="B865:B866" si="110">HYPERLINK("https://www.compass.com/building/one-manhattan-square-manhattan-ny/294844950218926165/","One Manhattan Square")</f>
        <v>One Manhattan Square</v>
      </c>
      <c r="C865" s="1" t="s">
        <v>47</v>
      </c>
      <c r="D865" s="1" t="s">
        <v>41</v>
      </c>
      <c r="E865" s="3">
        <v>3095000</v>
      </c>
      <c r="F865" s="1">
        <v>2658.9347079037798</v>
      </c>
      <c r="G865" s="1">
        <v>4</v>
      </c>
      <c r="H865" s="1">
        <v>2</v>
      </c>
      <c r="I865" s="1">
        <v>2</v>
      </c>
      <c r="J865" s="1">
        <v>2</v>
      </c>
      <c r="K865" s="1">
        <v>2</v>
      </c>
      <c r="M865" s="4">
        <v>1164</v>
      </c>
      <c r="N865" s="1">
        <v>1533</v>
      </c>
      <c r="O865" s="1">
        <v>1557</v>
      </c>
      <c r="P865" s="1">
        <v>24</v>
      </c>
      <c r="Q865" s="1" t="s">
        <v>42</v>
      </c>
      <c r="S865" s="1" t="s">
        <v>42</v>
      </c>
      <c r="T865" s="1" t="s">
        <v>228</v>
      </c>
      <c r="V865" s="5">
        <v>44379</v>
      </c>
      <c r="W865" s="5">
        <v>44378</v>
      </c>
      <c r="X865" s="1">
        <v>3095000</v>
      </c>
      <c r="Z865" s="5">
        <v>44379</v>
      </c>
      <c r="AB865" s="1" t="s">
        <v>44</v>
      </c>
      <c r="AF865" s="1">
        <v>10002</v>
      </c>
      <c r="AI865" s="1" t="s">
        <v>246</v>
      </c>
      <c r="AJ865" s="1">
        <v>2019</v>
      </c>
      <c r="AK865" s="1" t="s">
        <v>46</v>
      </c>
      <c r="AL865" s="1">
        <v>787</v>
      </c>
    </row>
    <row r="866" spans="1:38" x14ac:dyDescent="0.2">
      <c r="A866" s="2" t="str">
        <f>HYPERLINK("https://www.compass.com/listing/252-south-street-unit-43c-manhattan-ny-10002/816791328300190545/","252 South St, Unit 43C")</f>
        <v>252 South St, Unit 43C</v>
      </c>
      <c r="B866" s="2" t="str">
        <f t="shared" si="110"/>
        <v>One Manhattan Square</v>
      </c>
      <c r="C866" s="1" t="s">
        <v>47</v>
      </c>
      <c r="D866" s="1" t="s">
        <v>41</v>
      </c>
      <c r="E866" s="3">
        <v>3240000</v>
      </c>
      <c r="F866" s="1">
        <v>2178.8836583725601</v>
      </c>
      <c r="G866" s="1">
        <v>5</v>
      </c>
      <c r="H866" s="1">
        <v>3</v>
      </c>
      <c r="I866" s="1">
        <v>3</v>
      </c>
      <c r="J866" s="1">
        <v>3</v>
      </c>
      <c r="K866" s="1">
        <v>3</v>
      </c>
      <c r="M866" s="4">
        <v>1487</v>
      </c>
      <c r="N866" s="1">
        <v>1864</v>
      </c>
      <c r="O866" s="1">
        <v>1893</v>
      </c>
      <c r="P866" s="1">
        <v>29</v>
      </c>
      <c r="Q866" s="1" t="s">
        <v>42</v>
      </c>
      <c r="S866" s="1" t="s">
        <v>42</v>
      </c>
      <c r="T866" s="1" t="s">
        <v>228</v>
      </c>
      <c r="U866" s="1">
        <v>27</v>
      </c>
      <c r="V866" s="5">
        <v>44425</v>
      </c>
      <c r="W866" s="5">
        <v>44378</v>
      </c>
      <c r="X866" s="1">
        <v>3240000</v>
      </c>
      <c r="Z866" s="5">
        <v>44410</v>
      </c>
      <c r="AB866" s="1" t="s">
        <v>44</v>
      </c>
      <c r="AF866" s="1">
        <v>10002</v>
      </c>
      <c r="AI866" s="1" t="s">
        <v>191</v>
      </c>
      <c r="AJ866" s="1">
        <v>2019</v>
      </c>
      <c r="AK866" s="1" t="s">
        <v>46</v>
      </c>
      <c r="AL866" s="1">
        <v>787</v>
      </c>
    </row>
    <row r="867" spans="1:38" x14ac:dyDescent="0.2">
      <c r="A867" s="2" t="str">
        <f>HYPERLINK("https://www.compass.com/listing/130-william-street-unit-12e-manhattan-ny-10038/668891887725093953/","130 William St, Unit 12E")</f>
        <v>130 William St, Unit 12E</v>
      </c>
      <c r="B867" s="2" t="str">
        <f t="shared" ref="B867:B874" si="111">HYPERLINK("https://www.compass.com/building/130-william-st-manhattan-ny-10038/282029682239486757/","130 William St")</f>
        <v>130 William St</v>
      </c>
      <c r="C867" s="1" t="s">
        <v>96</v>
      </c>
      <c r="D867" s="1" t="s">
        <v>41</v>
      </c>
      <c r="E867" s="3">
        <v>755990</v>
      </c>
      <c r="F867" s="1">
        <v>1733.92201834862</v>
      </c>
      <c r="G867" s="1">
        <v>2</v>
      </c>
      <c r="H867" s="1" t="s">
        <v>99</v>
      </c>
      <c r="I867" s="1">
        <v>1</v>
      </c>
      <c r="J867" s="1">
        <v>1</v>
      </c>
      <c r="K867" s="1">
        <v>1</v>
      </c>
      <c r="M867" s="1">
        <v>436</v>
      </c>
      <c r="N867" s="1">
        <v>295.24</v>
      </c>
      <c r="O867" s="1">
        <v>867.21</v>
      </c>
      <c r="P867" s="1">
        <v>572</v>
      </c>
      <c r="Q867" s="1" t="s">
        <v>42</v>
      </c>
      <c r="S867" s="1" t="s">
        <v>42</v>
      </c>
      <c r="T867" s="1" t="s">
        <v>228</v>
      </c>
      <c r="V867" s="5">
        <v>44414</v>
      </c>
      <c r="W867" s="5">
        <v>44174</v>
      </c>
      <c r="X867" s="1">
        <v>755990</v>
      </c>
      <c r="Z867" s="5">
        <v>44175</v>
      </c>
      <c r="AB867" s="1" t="s">
        <v>44</v>
      </c>
      <c r="AF867" s="1">
        <v>10038</v>
      </c>
      <c r="AI867" s="1" t="s">
        <v>111</v>
      </c>
      <c r="AJ867" s="1">
        <v>2020</v>
      </c>
      <c r="AK867" s="1" t="s">
        <v>46</v>
      </c>
      <c r="AL867" s="1">
        <v>244</v>
      </c>
    </row>
    <row r="868" spans="1:38" x14ac:dyDescent="0.2">
      <c r="A868" s="2" t="str">
        <f>HYPERLINK("https://www.compass.com/listing/130-william-street-unit-18a-manhattan-ny-10038/662420074370044553/","130 William St, Unit 18A")</f>
        <v>130 William St, Unit 18A</v>
      </c>
      <c r="B868" s="2" t="str">
        <f t="shared" si="111"/>
        <v>130 William St</v>
      </c>
      <c r="C868" s="1" t="s">
        <v>96</v>
      </c>
      <c r="D868" s="1" t="s">
        <v>41</v>
      </c>
      <c r="E868" s="3">
        <v>975990</v>
      </c>
      <c r="F868" s="1">
        <v>1569.115755627</v>
      </c>
      <c r="G868" s="1">
        <v>2</v>
      </c>
      <c r="H868" s="1" t="s">
        <v>99</v>
      </c>
      <c r="I868" s="1">
        <v>1</v>
      </c>
      <c r="J868" s="1">
        <v>1</v>
      </c>
      <c r="K868" s="1">
        <v>1</v>
      </c>
      <c r="M868" s="1">
        <v>622</v>
      </c>
      <c r="N868" s="1">
        <v>417.78</v>
      </c>
      <c r="O868" s="1">
        <v>1227.1599999999901</v>
      </c>
      <c r="P868" s="1">
        <v>809.41666666666595</v>
      </c>
      <c r="Q868" s="1" t="s">
        <v>42</v>
      </c>
      <c r="S868" s="1" t="s">
        <v>42</v>
      </c>
      <c r="T868" s="1" t="s">
        <v>228</v>
      </c>
      <c r="V868" s="5">
        <v>44419</v>
      </c>
      <c r="W868" s="5">
        <v>44165</v>
      </c>
      <c r="X868" s="1">
        <v>975990</v>
      </c>
      <c r="Z868" s="5">
        <v>44404</v>
      </c>
      <c r="AB868" s="1" t="s">
        <v>44</v>
      </c>
      <c r="AF868" s="1">
        <v>10038</v>
      </c>
      <c r="AI868" s="1" t="s">
        <v>111</v>
      </c>
      <c r="AJ868" s="1">
        <v>2020</v>
      </c>
      <c r="AK868" s="1" t="s">
        <v>46</v>
      </c>
      <c r="AL868" s="1">
        <v>244</v>
      </c>
    </row>
    <row r="869" spans="1:38" x14ac:dyDescent="0.2">
      <c r="A869" s="2" t="str">
        <f>HYPERLINK("https://www.compass.com/listing/130-william-street-unit-18e-manhattan-ny-10038/46331866164234593/","130 William St, Unit 18E")</f>
        <v>130 William St, Unit 18E</v>
      </c>
      <c r="B869" s="2" t="str">
        <f t="shared" si="111"/>
        <v>130 William St</v>
      </c>
      <c r="C869" s="1" t="s">
        <v>96</v>
      </c>
      <c r="D869" s="1" t="s">
        <v>41</v>
      </c>
      <c r="E869" s="3">
        <v>780990</v>
      </c>
      <c r="F869" s="1">
        <v>1795.3793103448199</v>
      </c>
      <c r="G869" s="1">
        <v>2</v>
      </c>
      <c r="H869" s="1" t="s">
        <v>99</v>
      </c>
      <c r="I869" s="1">
        <v>1</v>
      </c>
      <c r="J869" s="1">
        <v>1</v>
      </c>
      <c r="K869" s="1">
        <v>1</v>
      </c>
      <c r="M869" s="1">
        <v>435</v>
      </c>
      <c r="N869" s="1">
        <v>299</v>
      </c>
      <c r="O869" s="1">
        <v>878</v>
      </c>
      <c r="P869" s="1">
        <v>579</v>
      </c>
      <c r="Q869" s="1" t="s">
        <v>42</v>
      </c>
      <c r="S869" s="1" t="s">
        <v>42</v>
      </c>
      <c r="T869" s="1" t="s">
        <v>228</v>
      </c>
      <c r="U869" s="1">
        <v>56</v>
      </c>
      <c r="V869" s="5">
        <v>44414</v>
      </c>
      <c r="W869" s="5">
        <v>43314</v>
      </c>
      <c r="X869" s="1">
        <v>780990</v>
      </c>
      <c r="Z869" s="5">
        <v>44253</v>
      </c>
      <c r="AB869" s="1" t="s">
        <v>44</v>
      </c>
      <c r="AF869" s="1">
        <v>10038</v>
      </c>
      <c r="AI869" s="1" t="s">
        <v>111</v>
      </c>
      <c r="AJ869" s="1">
        <v>2020</v>
      </c>
      <c r="AK869" s="1" t="s">
        <v>46</v>
      </c>
      <c r="AL869" s="1">
        <v>244</v>
      </c>
    </row>
    <row r="870" spans="1:38" x14ac:dyDescent="0.2">
      <c r="A870" s="2" t="str">
        <f>HYPERLINK("https://www.compass.com/listing/130-william-street-unit-16e-manhattan-ny-10038/58641915494594529/","130 William St, Unit 16E")</f>
        <v>130 William St, Unit 16E</v>
      </c>
      <c r="B870" s="2" t="str">
        <f t="shared" si="111"/>
        <v>130 William St</v>
      </c>
      <c r="C870" s="1" t="s">
        <v>96</v>
      </c>
      <c r="D870" s="1" t="s">
        <v>41</v>
      </c>
      <c r="E870" s="3">
        <v>820990</v>
      </c>
      <c r="F870" s="1">
        <v>1887.3333333333301</v>
      </c>
      <c r="G870" s="1">
        <v>2</v>
      </c>
      <c r="H870" s="1" t="s">
        <v>99</v>
      </c>
      <c r="I870" s="1">
        <v>1</v>
      </c>
      <c r="J870" s="1">
        <v>1</v>
      </c>
      <c r="K870" s="1">
        <v>1</v>
      </c>
      <c r="M870" s="1">
        <v>435</v>
      </c>
      <c r="N870" s="1">
        <v>297</v>
      </c>
      <c r="O870" s="1">
        <v>873</v>
      </c>
      <c r="P870" s="1">
        <v>576</v>
      </c>
      <c r="Q870" s="1" t="s">
        <v>42</v>
      </c>
      <c r="S870" s="1" t="s">
        <v>42</v>
      </c>
      <c r="T870" s="1" t="s">
        <v>228</v>
      </c>
      <c r="V870" s="5">
        <v>44414</v>
      </c>
      <c r="W870" s="5">
        <v>43332</v>
      </c>
      <c r="X870" s="1">
        <v>820990</v>
      </c>
      <c r="Z870" s="5">
        <v>44240</v>
      </c>
      <c r="AB870" s="1" t="s">
        <v>44</v>
      </c>
      <c r="AF870" s="1">
        <v>10038</v>
      </c>
      <c r="AI870" s="1" t="s">
        <v>111</v>
      </c>
      <c r="AJ870" s="1">
        <v>2020</v>
      </c>
      <c r="AK870" s="1" t="s">
        <v>46</v>
      </c>
      <c r="AL870" s="1">
        <v>244</v>
      </c>
    </row>
    <row r="871" spans="1:38" x14ac:dyDescent="0.2">
      <c r="A871" s="2" t="str">
        <f>HYPERLINK("https://www.compass.com/listing/130-william-street-unit-11e-manhattan-ny-10038/677596689015984409/","130 William St, Unit 11E")</f>
        <v>130 William St, Unit 11E</v>
      </c>
      <c r="B871" s="2" t="str">
        <f t="shared" si="111"/>
        <v>130 William St</v>
      </c>
      <c r="C871" s="1" t="s">
        <v>96</v>
      </c>
      <c r="D871" s="1" t="s">
        <v>41</v>
      </c>
      <c r="E871" s="3">
        <v>800990</v>
      </c>
      <c r="F871" s="1">
        <v>1837.13302752293</v>
      </c>
      <c r="G871" s="1">
        <v>2</v>
      </c>
      <c r="H871" s="1" t="s">
        <v>99</v>
      </c>
      <c r="I871" s="1">
        <v>1</v>
      </c>
      <c r="J871" s="1">
        <v>1</v>
      </c>
      <c r="K871" s="1">
        <v>1</v>
      </c>
      <c r="M871" s="1">
        <v>436</v>
      </c>
      <c r="N871" s="1">
        <v>294.33</v>
      </c>
      <c r="O871" s="1">
        <v>864.55</v>
      </c>
      <c r="P871" s="1">
        <v>570.25</v>
      </c>
      <c r="Q871" s="1" t="s">
        <v>42</v>
      </c>
      <c r="S871" s="1" t="s">
        <v>42</v>
      </c>
      <c r="T871" s="1" t="s">
        <v>228</v>
      </c>
      <c r="U871" s="1">
        <v>647</v>
      </c>
      <c r="V871" s="5">
        <v>44414</v>
      </c>
      <c r="W871" s="5">
        <v>43445</v>
      </c>
      <c r="X871" s="1">
        <v>800990</v>
      </c>
      <c r="Z871" s="5">
        <v>44187</v>
      </c>
      <c r="AB871" s="1" t="s">
        <v>44</v>
      </c>
      <c r="AF871" s="1">
        <v>10038</v>
      </c>
      <c r="AI871" s="1" t="s">
        <v>111</v>
      </c>
      <c r="AJ871" s="1">
        <v>2020</v>
      </c>
      <c r="AK871" s="1" t="s">
        <v>46</v>
      </c>
      <c r="AL871" s="1">
        <v>244</v>
      </c>
    </row>
    <row r="872" spans="1:38" x14ac:dyDescent="0.2">
      <c r="A872" s="2" t="str">
        <f>HYPERLINK("https://www.compass.com/listing/130-william-street-unit-14e-manhattan-ny-10038/713059925822214641/","130 William St, Unit 14E")</f>
        <v>130 William St, Unit 14E</v>
      </c>
      <c r="B872" s="2" t="str">
        <f t="shared" si="111"/>
        <v>130 William St</v>
      </c>
      <c r="C872" s="1" t="s">
        <v>96</v>
      </c>
      <c r="D872" s="1" t="s">
        <v>41</v>
      </c>
      <c r="E872" s="3">
        <v>760990</v>
      </c>
      <c r="F872" s="1">
        <v>1749.4022988505701</v>
      </c>
      <c r="G872" s="1">
        <v>2</v>
      </c>
      <c r="H872" s="1" t="s">
        <v>99</v>
      </c>
      <c r="I872" s="1">
        <v>1</v>
      </c>
      <c r="J872" s="1">
        <v>1</v>
      </c>
      <c r="K872" s="1">
        <v>1</v>
      </c>
      <c r="M872" s="1">
        <v>435</v>
      </c>
      <c r="N872" s="1">
        <v>295.69</v>
      </c>
      <c r="O872" s="1">
        <v>868.54</v>
      </c>
      <c r="P872" s="1">
        <v>572.83333333333303</v>
      </c>
      <c r="Q872" s="1" t="s">
        <v>42</v>
      </c>
      <c r="S872" s="1" t="s">
        <v>42</v>
      </c>
      <c r="T872" s="1" t="s">
        <v>228</v>
      </c>
      <c r="U872" s="1">
        <v>840</v>
      </c>
      <c r="V872" s="5">
        <v>44414</v>
      </c>
      <c r="W872" s="5">
        <v>43301</v>
      </c>
      <c r="X872" s="1">
        <v>760990</v>
      </c>
      <c r="Z872" s="5">
        <v>44236</v>
      </c>
      <c r="AB872" s="1" t="s">
        <v>44</v>
      </c>
      <c r="AF872" s="1">
        <v>10038</v>
      </c>
      <c r="AI872" s="1" t="s">
        <v>111</v>
      </c>
      <c r="AJ872" s="1">
        <v>2020</v>
      </c>
      <c r="AK872" s="1" t="s">
        <v>46</v>
      </c>
      <c r="AL872" s="1">
        <v>244</v>
      </c>
    </row>
    <row r="873" spans="1:38" x14ac:dyDescent="0.2">
      <c r="A873" s="2" t="str">
        <f>HYPERLINK("https://www.compass.com/listing/130-william-street-unit-20d-manhattan-ny-10038/728219496029991881/","130 William St, Unit 20D")</f>
        <v>130 William St, Unit 20D</v>
      </c>
      <c r="B873" s="2" t="str">
        <f t="shared" si="111"/>
        <v>130 William St</v>
      </c>
      <c r="C873" s="1" t="s">
        <v>96</v>
      </c>
      <c r="D873" s="1" t="s">
        <v>41</v>
      </c>
      <c r="E873" s="3">
        <v>750990</v>
      </c>
      <c r="F873" s="1">
        <v>1726.41379310344</v>
      </c>
      <c r="G873" s="1">
        <v>2</v>
      </c>
      <c r="H873" s="1" t="s">
        <v>99</v>
      </c>
      <c r="I873" s="1">
        <v>1</v>
      </c>
      <c r="J873" s="1">
        <v>1</v>
      </c>
      <c r="K873" s="1">
        <v>1</v>
      </c>
      <c r="M873" s="1">
        <v>435</v>
      </c>
      <c r="N873" s="1">
        <v>300.91000000000003</v>
      </c>
      <c r="O873" s="1">
        <v>883.88</v>
      </c>
      <c r="P873" s="1">
        <v>583</v>
      </c>
      <c r="Q873" s="1" t="s">
        <v>42</v>
      </c>
      <c r="S873" s="1" t="s">
        <v>42</v>
      </c>
      <c r="T873" s="1" t="s">
        <v>228</v>
      </c>
      <c r="U873" s="1">
        <v>879</v>
      </c>
      <c r="V873" s="5">
        <v>44414</v>
      </c>
      <c r="W873" s="5">
        <v>43283</v>
      </c>
      <c r="X873" s="1">
        <v>750990</v>
      </c>
      <c r="Z873" s="5">
        <v>44257</v>
      </c>
      <c r="AB873" s="1" t="s">
        <v>44</v>
      </c>
      <c r="AF873" s="1">
        <v>10038</v>
      </c>
      <c r="AI873" s="1" t="s">
        <v>111</v>
      </c>
      <c r="AJ873" s="1">
        <v>2020</v>
      </c>
      <c r="AK873" s="1" t="s">
        <v>46</v>
      </c>
      <c r="AL873" s="1">
        <v>244</v>
      </c>
    </row>
    <row r="874" spans="1:38" x14ac:dyDescent="0.2">
      <c r="A874" s="2" t="str">
        <f>HYPERLINK("https://www.compass.com/listing/130-william-street-unit-ph65-manhattan-ny-10038/790615847998404025/","130 William St, Unit PH65")</f>
        <v>130 William St, Unit PH65</v>
      </c>
      <c r="B874" s="2" t="str">
        <f t="shared" si="111"/>
        <v>130 William St</v>
      </c>
      <c r="C874" s="1" t="s">
        <v>96</v>
      </c>
      <c r="D874" s="1" t="s">
        <v>41</v>
      </c>
      <c r="E874" s="3">
        <v>20000000</v>
      </c>
      <c r="F874" s="1">
        <v>4287.2454448017097</v>
      </c>
      <c r="G874" s="1">
        <v>7.5</v>
      </c>
      <c r="H874" s="1">
        <v>4</v>
      </c>
      <c r="I874" s="1">
        <v>4</v>
      </c>
      <c r="J874" s="1">
        <v>4</v>
      </c>
      <c r="K874" s="1">
        <v>4</v>
      </c>
      <c r="M874" s="4">
        <v>4665</v>
      </c>
      <c r="N874" s="1">
        <v>4184</v>
      </c>
      <c r="O874" s="1">
        <v>12290</v>
      </c>
      <c r="P874" s="1">
        <v>8106</v>
      </c>
      <c r="Q874" s="1" t="s">
        <v>42</v>
      </c>
      <c r="S874" s="1" t="s">
        <v>42</v>
      </c>
      <c r="T874" s="1" t="s">
        <v>228</v>
      </c>
      <c r="U874" s="1">
        <v>29</v>
      </c>
      <c r="V874" s="5">
        <v>44425</v>
      </c>
      <c r="W874" s="5">
        <v>44342</v>
      </c>
      <c r="X874" s="1">
        <v>20000000</v>
      </c>
      <c r="Z874" s="5">
        <v>44372</v>
      </c>
      <c r="AB874" s="1" t="s">
        <v>44</v>
      </c>
      <c r="AF874" s="1">
        <v>10038</v>
      </c>
      <c r="AI874" s="1" t="s">
        <v>192</v>
      </c>
      <c r="AJ874" s="1">
        <v>2020</v>
      </c>
      <c r="AK874" s="1" t="s">
        <v>46</v>
      </c>
      <c r="AL874" s="1">
        <v>244</v>
      </c>
    </row>
    <row r="875" spans="1:38" x14ac:dyDescent="0.2">
      <c r="A875" s="2" t="str">
        <f>HYPERLINK("https://www.compass.com/listing/161-maiden-lane-unit-11c-manhattan-ny-10038/29514210086082769/","161 Maiden Ln, Unit 11C")</f>
        <v>161 Maiden Ln, Unit 11C</v>
      </c>
      <c r="B875" s="2" t="str">
        <f>HYPERLINK("https://www.compass.com/building/seaport-residences-manhattan-ny/282029834819877765/","Seaport Residences")</f>
        <v>Seaport Residences</v>
      </c>
      <c r="C875" s="1" t="s">
        <v>96</v>
      </c>
      <c r="D875" s="1" t="s">
        <v>41</v>
      </c>
      <c r="E875" s="3">
        <v>1325000</v>
      </c>
      <c r="F875" s="1">
        <v>1898.28080229226</v>
      </c>
      <c r="G875" s="1">
        <v>3</v>
      </c>
      <c r="H875" s="1">
        <v>1</v>
      </c>
      <c r="I875" s="1">
        <v>1</v>
      </c>
      <c r="J875" s="1">
        <v>1</v>
      </c>
      <c r="K875" s="1">
        <v>1</v>
      </c>
      <c r="M875" s="1">
        <v>698</v>
      </c>
      <c r="N875" s="1">
        <v>1003</v>
      </c>
      <c r="O875" s="1">
        <v>1845</v>
      </c>
      <c r="P875" s="1">
        <v>842</v>
      </c>
      <c r="Q875" s="1" t="s">
        <v>42</v>
      </c>
      <c r="S875" s="1" t="s">
        <v>42</v>
      </c>
      <c r="T875" s="1" t="s">
        <v>228</v>
      </c>
      <c r="V875" s="5">
        <v>44427</v>
      </c>
      <c r="W875" s="5">
        <v>42460</v>
      </c>
      <c r="Z875" s="5">
        <v>42460</v>
      </c>
      <c r="AB875" s="1" t="s">
        <v>44</v>
      </c>
      <c r="AF875" s="1">
        <v>10038</v>
      </c>
      <c r="AI875" s="1" t="s">
        <v>48</v>
      </c>
      <c r="AJ875" s="1">
        <v>2018</v>
      </c>
      <c r="AK875" s="1" t="s">
        <v>49</v>
      </c>
      <c r="AL875" s="1">
        <v>98</v>
      </c>
    </row>
    <row r="876" spans="1:38" x14ac:dyDescent="0.2">
      <c r="A876" s="2" t="str">
        <f>HYPERLINK("https://www.compass.com/listing/130-william-street-unit-49b-manhattan-ny-10038/784900708762991585/","130 William St, Unit 49B")</f>
        <v>130 William St, Unit 49B</v>
      </c>
      <c r="B876" s="2" t="str">
        <f>HYPERLINK("https://www.compass.com/building/130-william-st-manhattan-ny-10038/282029682239486757/","130 William St")</f>
        <v>130 William St</v>
      </c>
      <c r="C876" s="1" t="s">
        <v>96</v>
      </c>
      <c r="D876" s="1" t="s">
        <v>41</v>
      </c>
      <c r="E876" s="3">
        <v>3325990</v>
      </c>
      <c r="G876" s="1">
        <v>4.5</v>
      </c>
      <c r="H876" s="1">
        <v>2</v>
      </c>
      <c r="I876" s="1">
        <v>3</v>
      </c>
      <c r="J876" s="1">
        <v>2.5</v>
      </c>
      <c r="K876" s="1">
        <v>2</v>
      </c>
      <c r="L876" s="1">
        <v>1</v>
      </c>
      <c r="N876" s="1">
        <v>1046</v>
      </c>
      <c r="O876" s="1">
        <v>3073</v>
      </c>
      <c r="P876" s="1">
        <v>2027</v>
      </c>
      <c r="Q876" s="1" t="s">
        <v>42</v>
      </c>
      <c r="S876" s="1" t="s">
        <v>42</v>
      </c>
      <c r="T876" s="1" t="s">
        <v>228</v>
      </c>
      <c r="U876" s="1">
        <v>84</v>
      </c>
      <c r="V876" s="5">
        <v>44425</v>
      </c>
      <c r="W876" s="5">
        <v>44334</v>
      </c>
      <c r="X876" s="1">
        <v>3325990</v>
      </c>
      <c r="Z876" s="5">
        <v>44419</v>
      </c>
      <c r="AB876" s="1" t="s">
        <v>44</v>
      </c>
      <c r="AF876" s="1">
        <v>10038</v>
      </c>
      <c r="AI876" s="1" t="s">
        <v>111</v>
      </c>
      <c r="AJ876" s="1">
        <v>2020</v>
      </c>
      <c r="AK876" s="1" t="s">
        <v>46</v>
      </c>
      <c r="AL876" s="1">
        <v>244</v>
      </c>
    </row>
    <row r="877" spans="1:38" x14ac:dyDescent="0.2">
      <c r="A877" s="2" t="str">
        <f>HYPERLINK("https://www.compass.com/listing/161-maiden-lane-unit-12a-manhattan-ny-10038/29514189483660753/","161 Maiden Ln, Unit 12A")</f>
        <v>161 Maiden Ln, Unit 12A</v>
      </c>
      <c r="B877" s="2" t="str">
        <f t="shared" ref="B877:B879" si="112">HYPERLINK("https://www.compass.com/building/seaport-residences-manhattan-ny/282029834819877765/","Seaport Residences")</f>
        <v>Seaport Residences</v>
      </c>
      <c r="C877" s="1" t="s">
        <v>96</v>
      </c>
      <c r="D877" s="1" t="s">
        <v>41</v>
      </c>
      <c r="E877" s="3">
        <v>1700000</v>
      </c>
      <c r="F877" s="1">
        <v>1956.2715765247401</v>
      </c>
      <c r="G877" s="1">
        <v>2</v>
      </c>
      <c r="H877" s="1">
        <v>1</v>
      </c>
      <c r="I877" s="1">
        <v>1</v>
      </c>
      <c r="J877" s="1">
        <v>1</v>
      </c>
      <c r="K877" s="1">
        <v>1</v>
      </c>
      <c r="M877" s="1">
        <v>869</v>
      </c>
      <c r="N877" s="1">
        <v>1260</v>
      </c>
      <c r="O877" s="1">
        <v>2503</v>
      </c>
      <c r="P877" s="1">
        <v>1243</v>
      </c>
      <c r="Q877" s="1" t="s">
        <v>42</v>
      </c>
      <c r="S877" s="1" t="s">
        <v>42</v>
      </c>
      <c r="T877" s="1" t="s">
        <v>228</v>
      </c>
      <c r="U877" s="1">
        <v>445</v>
      </c>
      <c r="V877" s="5">
        <v>44427</v>
      </c>
      <c r="W877" s="5">
        <v>42460</v>
      </c>
      <c r="X877" s="1">
        <v>1700000</v>
      </c>
      <c r="Z877" s="5">
        <v>42906</v>
      </c>
      <c r="AB877" s="1" t="s">
        <v>44</v>
      </c>
      <c r="AF877" s="1">
        <v>10038</v>
      </c>
      <c r="AI877" s="1" t="s">
        <v>48</v>
      </c>
      <c r="AJ877" s="1">
        <v>2018</v>
      </c>
      <c r="AK877" s="1" t="s">
        <v>49</v>
      </c>
      <c r="AL877" s="1">
        <v>98</v>
      </c>
    </row>
    <row r="878" spans="1:38" x14ac:dyDescent="0.2">
      <c r="A878" s="2" t="str">
        <f>HYPERLINK("https://www.compass.com/listing/161-maiden-lane-unit-8b-manhattan-ny-10038/29514201848413265/","161 Maiden Ln, Unit 8B")</f>
        <v>161 Maiden Ln, Unit 8B</v>
      </c>
      <c r="B878" s="2" t="str">
        <f t="shared" si="112"/>
        <v>Seaport Residences</v>
      </c>
      <c r="C878" s="1" t="s">
        <v>96</v>
      </c>
      <c r="D878" s="1" t="s">
        <v>41</v>
      </c>
      <c r="E878" s="3">
        <v>1735000</v>
      </c>
      <c r="F878" s="1">
        <v>1803.5343035343001</v>
      </c>
      <c r="G878" s="1">
        <v>3</v>
      </c>
      <c r="H878" s="1">
        <v>1</v>
      </c>
      <c r="I878" s="1">
        <v>1</v>
      </c>
      <c r="J878" s="1">
        <v>1</v>
      </c>
      <c r="K878" s="1">
        <v>1</v>
      </c>
      <c r="M878" s="1">
        <v>962</v>
      </c>
      <c r="N878" s="1">
        <v>1394</v>
      </c>
      <c r="O878" s="1">
        <v>2564</v>
      </c>
      <c r="P878" s="1">
        <v>1170</v>
      </c>
      <c r="Q878" s="1" t="s">
        <v>42</v>
      </c>
      <c r="S878" s="1" t="s">
        <v>42</v>
      </c>
      <c r="T878" s="1" t="s">
        <v>228</v>
      </c>
      <c r="U878" s="1">
        <v>59</v>
      </c>
      <c r="V878" s="5">
        <v>44427</v>
      </c>
      <c r="W878" s="5">
        <v>42460</v>
      </c>
      <c r="X878" s="1">
        <v>1735000</v>
      </c>
      <c r="Z878" s="5">
        <v>42520</v>
      </c>
      <c r="AB878" s="1" t="s">
        <v>44</v>
      </c>
      <c r="AF878" s="1">
        <v>10038</v>
      </c>
      <c r="AI878" s="1" t="s">
        <v>48</v>
      </c>
      <c r="AJ878" s="1">
        <v>2018</v>
      </c>
      <c r="AK878" s="1" t="s">
        <v>49</v>
      </c>
      <c r="AL878" s="1">
        <v>98</v>
      </c>
    </row>
    <row r="879" spans="1:38" x14ac:dyDescent="0.2">
      <c r="A879" s="2" t="str">
        <f>HYPERLINK("https://www.compass.com/listing/161-maiden-lane-unit-11b-manhattan-ny-10038/29514204046284705/","161 Maiden Ln, Unit 11B")</f>
        <v>161 Maiden Ln, Unit 11B</v>
      </c>
      <c r="B879" s="2" t="str">
        <f t="shared" si="112"/>
        <v>Seaport Residences</v>
      </c>
      <c r="C879" s="1" t="s">
        <v>96</v>
      </c>
      <c r="D879" s="1" t="s">
        <v>41</v>
      </c>
      <c r="E879" s="3">
        <v>1885000</v>
      </c>
      <c r="F879" s="1">
        <v>1959.45945945945</v>
      </c>
      <c r="G879" s="1">
        <v>3</v>
      </c>
      <c r="H879" s="1">
        <v>1</v>
      </c>
      <c r="I879" s="1">
        <v>1</v>
      </c>
      <c r="J879" s="1">
        <v>1</v>
      </c>
      <c r="K879" s="1">
        <v>1</v>
      </c>
      <c r="M879" s="1">
        <v>962</v>
      </c>
      <c r="N879" s="1">
        <v>1394</v>
      </c>
      <c r="O879" s="1">
        <v>2771</v>
      </c>
      <c r="P879" s="1">
        <v>1377</v>
      </c>
      <c r="Q879" s="1" t="s">
        <v>42</v>
      </c>
      <c r="S879" s="1" t="s">
        <v>42</v>
      </c>
      <c r="T879" s="1" t="s">
        <v>228</v>
      </c>
      <c r="U879" s="1">
        <v>96</v>
      </c>
      <c r="V879" s="5">
        <v>44427</v>
      </c>
      <c r="W879" s="5">
        <v>42592</v>
      </c>
      <c r="X879" s="1">
        <v>1885000</v>
      </c>
      <c r="Z879" s="5">
        <v>42689</v>
      </c>
      <c r="AB879" s="1" t="s">
        <v>44</v>
      </c>
      <c r="AF879" s="1">
        <v>10038</v>
      </c>
      <c r="AI879" s="1" t="s">
        <v>48</v>
      </c>
      <c r="AJ879" s="1">
        <v>2018</v>
      </c>
      <c r="AK879" s="1" t="s">
        <v>49</v>
      </c>
      <c r="AL879" s="1">
        <v>98</v>
      </c>
    </row>
    <row r="880" spans="1:38" x14ac:dyDescent="0.2">
      <c r="A880" s="2" t="str">
        <f>HYPERLINK("https://www.compass.com/listing/196-orchard-street-unit-9c-manhattan-ny-10002/750270798347461785/","196 Orchard St, Unit 9C")</f>
        <v>196 Orchard St, Unit 9C</v>
      </c>
      <c r="B880" s="2" t="str">
        <f>HYPERLINK("https://www.compass.com/building/196-orchard-st-manhattan-ny-10002/281886194713760485/","196 Orchard St")</f>
        <v>196 Orchard St</v>
      </c>
      <c r="C880" s="1" t="s">
        <v>47</v>
      </c>
      <c r="D880" s="1" t="s">
        <v>41</v>
      </c>
      <c r="E880" s="3">
        <v>3995000</v>
      </c>
      <c r="F880" s="1">
        <v>2181.8678317858999</v>
      </c>
      <c r="G880" s="1">
        <v>5</v>
      </c>
      <c r="H880" s="1">
        <v>3</v>
      </c>
      <c r="I880" s="1">
        <v>4</v>
      </c>
      <c r="J880" s="1">
        <v>3.5</v>
      </c>
      <c r="K880" s="1">
        <v>3</v>
      </c>
      <c r="L880" s="1">
        <v>1</v>
      </c>
      <c r="M880" s="4">
        <v>1831</v>
      </c>
      <c r="N880" s="1">
        <v>2430</v>
      </c>
      <c r="O880" s="1">
        <v>4429</v>
      </c>
      <c r="P880" s="1">
        <v>1999</v>
      </c>
      <c r="Q880" s="1" t="s">
        <v>42</v>
      </c>
      <c r="S880" s="1" t="s">
        <v>42</v>
      </c>
      <c r="T880" s="1" t="s">
        <v>228</v>
      </c>
      <c r="U880" s="1">
        <v>135</v>
      </c>
      <c r="V880" s="5">
        <v>44425</v>
      </c>
      <c r="W880" s="5">
        <v>44286</v>
      </c>
      <c r="X880" s="1">
        <v>3995000</v>
      </c>
      <c r="Z880" s="5">
        <v>44422</v>
      </c>
      <c r="AB880" s="1" t="s">
        <v>44</v>
      </c>
      <c r="AF880" s="1">
        <v>10002</v>
      </c>
      <c r="AI880" s="1" t="s">
        <v>165</v>
      </c>
      <c r="AJ880" s="1">
        <v>2018</v>
      </c>
      <c r="AK880" s="1" t="s">
        <v>46</v>
      </c>
      <c r="AL880" s="1">
        <v>89</v>
      </c>
    </row>
    <row r="881" spans="1:38" x14ac:dyDescent="0.2">
      <c r="A881" s="2" t="str">
        <f>HYPERLINK("https://www.compass.com/listing/130-william-street-unit-21e-manhattan-ny-10038/779717301041392073/","130 William St, Unit 21E")</f>
        <v>130 William St, Unit 21E</v>
      </c>
      <c r="B881" s="2" t="str">
        <f>HYPERLINK("https://www.compass.com/building/130-william-st-manhattan-ny-10038/282029682239486757/","130 William St")</f>
        <v>130 William St</v>
      </c>
      <c r="C881" s="1" t="s">
        <v>96</v>
      </c>
      <c r="D881" s="1" t="s">
        <v>41</v>
      </c>
      <c r="E881" s="3">
        <v>2295990</v>
      </c>
      <c r="G881" s="1">
        <v>4</v>
      </c>
      <c r="H881" s="1">
        <v>2</v>
      </c>
      <c r="I881" s="1">
        <v>2</v>
      </c>
      <c r="J881" s="1">
        <v>2</v>
      </c>
      <c r="K881" s="1">
        <v>2</v>
      </c>
      <c r="N881" s="1">
        <v>962</v>
      </c>
      <c r="O881" s="1">
        <v>2826</v>
      </c>
      <c r="P881" s="1">
        <v>1864</v>
      </c>
      <c r="Q881" s="1" t="s">
        <v>42</v>
      </c>
      <c r="S881" s="1" t="s">
        <v>42</v>
      </c>
      <c r="T881" s="1" t="s">
        <v>228</v>
      </c>
      <c r="U881" s="1">
        <v>13</v>
      </c>
      <c r="V881" s="5">
        <v>44415</v>
      </c>
      <c r="W881" s="5">
        <v>44327</v>
      </c>
      <c r="X881" s="1">
        <v>2295990</v>
      </c>
      <c r="Z881" s="5">
        <v>44340</v>
      </c>
      <c r="AB881" s="1" t="s">
        <v>44</v>
      </c>
      <c r="AF881" s="1">
        <v>10038</v>
      </c>
      <c r="AI881" s="1" t="s">
        <v>111</v>
      </c>
      <c r="AJ881" s="1">
        <v>2020</v>
      </c>
      <c r="AK881" s="1" t="s">
        <v>46</v>
      </c>
      <c r="AL881" s="1">
        <v>244</v>
      </c>
    </row>
    <row r="882" spans="1:38" x14ac:dyDescent="0.2">
      <c r="A882" s="2" t="str">
        <f>HYPERLINK("https://www.compass.com/listing/161-maiden-lane-unit-20a-manhattan-ny-10038/29514184567880321/","161 Maiden Ln, Unit 20A")</f>
        <v>161 Maiden Ln, Unit 20A</v>
      </c>
      <c r="B882" s="2" t="str">
        <f t="shared" ref="B882:B887" si="113">HYPERLINK("https://www.compass.com/building/seaport-residences-manhattan-ny/282029834819877765/","Seaport Residences")</f>
        <v>Seaport Residences</v>
      </c>
      <c r="C882" s="1" t="s">
        <v>96</v>
      </c>
      <c r="D882" s="1" t="s">
        <v>41</v>
      </c>
      <c r="E882" s="3">
        <v>1950000</v>
      </c>
      <c r="F882" s="1">
        <v>2004.1109969167501</v>
      </c>
      <c r="G882" s="1">
        <v>2</v>
      </c>
      <c r="H882" s="1">
        <v>1</v>
      </c>
      <c r="I882" s="1">
        <v>1</v>
      </c>
      <c r="J882" s="1">
        <v>1</v>
      </c>
      <c r="K882" s="1">
        <v>1</v>
      </c>
      <c r="M882" s="1">
        <v>973</v>
      </c>
      <c r="N882" s="1">
        <v>1413</v>
      </c>
      <c r="O882" s="1">
        <v>2807</v>
      </c>
      <c r="P882" s="1">
        <v>1394</v>
      </c>
      <c r="Q882" s="1" t="s">
        <v>42</v>
      </c>
      <c r="S882" s="1" t="s">
        <v>42</v>
      </c>
      <c r="T882" s="1" t="s">
        <v>228</v>
      </c>
      <c r="U882" s="1">
        <v>398</v>
      </c>
      <c r="V882" s="5">
        <v>44427</v>
      </c>
      <c r="W882" s="5">
        <v>42460</v>
      </c>
      <c r="X882" s="1">
        <v>1950000</v>
      </c>
      <c r="Z882" s="5">
        <v>42859</v>
      </c>
      <c r="AB882" s="1" t="s">
        <v>44</v>
      </c>
      <c r="AF882" s="1">
        <v>10038</v>
      </c>
      <c r="AI882" s="1" t="s">
        <v>262</v>
      </c>
      <c r="AJ882" s="1">
        <v>2018</v>
      </c>
      <c r="AK882" s="1" t="s">
        <v>49</v>
      </c>
      <c r="AL882" s="1">
        <v>98</v>
      </c>
    </row>
    <row r="883" spans="1:38" x14ac:dyDescent="0.2">
      <c r="A883" s="2" t="str">
        <f>HYPERLINK("https://www.compass.com/listing/161-maiden-lane-unit-22a-manhattan-ny-10038/29514186656605105/","161 Maiden Ln, Unit 22A")</f>
        <v>161 Maiden Ln, Unit 22A</v>
      </c>
      <c r="B883" s="2" t="str">
        <f t="shared" si="113"/>
        <v>Seaport Residences</v>
      </c>
      <c r="C883" s="1" t="s">
        <v>96</v>
      </c>
      <c r="D883" s="1" t="s">
        <v>41</v>
      </c>
      <c r="E883" s="3">
        <v>1960000</v>
      </c>
      <c r="F883" s="1">
        <v>2014.3884892086301</v>
      </c>
      <c r="G883" s="1">
        <v>2</v>
      </c>
      <c r="H883" s="1">
        <v>1</v>
      </c>
      <c r="I883" s="1">
        <v>1</v>
      </c>
      <c r="J883" s="1">
        <v>1</v>
      </c>
      <c r="K883" s="1">
        <v>1</v>
      </c>
      <c r="M883" s="1">
        <v>973</v>
      </c>
      <c r="N883" s="1">
        <v>1413</v>
      </c>
      <c r="O883" s="1">
        <v>2807</v>
      </c>
      <c r="P883" s="1">
        <v>1394</v>
      </c>
      <c r="Q883" s="1" t="s">
        <v>42</v>
      </c>
      <c r="S883" s="1" t="s">
        <v>42</v>
      </c>
      <c r="T883" s="1" t="s">
        <v>228</v>
      </c>
      <c r="U883" s="1">
        <v>438</v>
      </c>
      <c r="V883" s="5">
        <v>44427</v>
      </c>
      <c r="W883" s="5">
        <v>42460</v>
      </c>
      <c r="X883" s="1">
        <v>1960000</v>
      </c>
      <c r="Z883" s="5">
        <v>42899</v>
      </c>
      <c r="AB883" s="1" t="s">
        <v>44</v>
      </c>
      <c r="AF883" s="1">
        <v>10038</v>
      </c>
      <c r="AI883" s="1" t="s">
        <v>262</v>
      </c>
      <c r="AJ883" s="1">
        <v>2018</v>
      </c>
      <c r="AK883" s="1" t="s">
        <v>49</v>
      </c>
      <c r="AL883" s="1">
        <v>98</v>
      </c>
    </row>
    <row r="884" spans="1:38" x14ac:dyDescent="0.2">
      <c r="A884" s="2" t="str">
        <f>HYPERLINK("https://www.compass.com/listing/161-maiden-lane-unit-21a-manhattan-ny-10038/29514188040764097/","161 Maiden Ln, Unit 21A")</f>
        <v>161 Maiden Ln, Unit 21A</v>
      </c>
      <c r="B884" s="2" t="str">
        <f t="shared" si="113"/>
        <v>Seaport Residences</v>
      </c>
      <c r="C884" s="1" t="s">
        <v>96</v>
      </c>
      <c r="D884" s="1" t="s">
        <v>41</v>
      </c>
      <c r="E884" s="3">
        <v>1955000</v>
      </c>
      <c r="F884" s="1">
        <v>2009.24974306269</v>
      </c>
      <c r="G884" s="1">
        <v>2</v>
      </c>
      <c r="H884" s="1">
        <v>1</v>
      </c>
      <c r="I884" s="1">
        <v>1</v>
      </c>
      <c r="J884" s="1">
        <v>1</v>
      </c>
      <c r="K884" s="1">
        <v>1</v>
      </c>
      <c r="M884" s="1">
        <v>973</v>
      </c>
      <c r="N884" s="1">
        <v>1413</v>
      </c>
      <c r="O884" s="1">
        <v>2807</v>
      </c>
      <c r="P884" s="1">
        <v>1394</v>
      </c>
      <c r="Q884" s="1" t="s">
        <v>42</v>
      </c>
      <c r="S884" s="1" t="s">
        <v>42</v>
      </c>
      <c r="T884" s="1" t="s">
        <v>228</v>
      </c>
      <c r="U884" s="1">
        <v>418</v>
      </c>
      <c r="V884" s="5">
        <v>44427</v>
      </c>
      <c r="W884" s="5">
        <v>42460</v>
      </c>
      <c r="X884" s="1">
        <v>1955000</v>
      </c>
      <c r="Z884" s="5">
        <v>42879</v>
      </c>
      <c r="AB884" s="1" t="s">
        <v>44</v>
      </c>
      <c r="AF884" s="1">
        <v>10038</v>
      </c>
      <c r="AI884" s="1" t="s">
        <v>110</v>
      </c>
      <c r="AJ884" s="1">
        <v>2018</v>
      </c>
      <c r="AK884" s="1" t="s">
        <v>49</v>
      </c>
      <c r="AL884" s="1">
        <v>98</v>
      </c>
    </row>
    <row r="885" spans="1:38" x14ac:dyDescent="0.2">
      <c r="A885" s="2" t="str">
        <f>HYPERLINK("https://www.compass.com/listing/161-maiden-lane-unit-22b-manhattan-ny-10038/29514206579588385/","161 Maiden Ln, Unit 22B")</f>
        <v>161 Maiden Ln, Unit 22B</v>
      </c>
      <c r="B885" s="2" t="str">
        <f t="shared" si="113"/>
        <v>Seaport Residences</v>
      </c>
      <c r="C885" s="1" t="s">
        <v>96</v>
      </c>
      <c r="D885" s="1" t="s">
        <v>41</v>
      </c>
      <c r="E885" s="3">
        <v>1920000</v>
      </c>
      <c r="F885" s="1">
        <v>1977.34294541709</v>
      </c>
      <c r="G885" s="1">
        <v>3</v>
      </c>
      <c r="H885" s="1">
        <v>1</v>
      </c>
      <c r="I885" s="1">
        <v>1</v>
      </c>
      <c r="J885" s="1">
        <v>1</v>
      </c>
      <c r="K885" s="1">
        <v>1</v>
      </c>
      <c r="M885" s="1">
        <v>971</v>
      </c>
      <c r="N885" s="1">
        <v>1412</v>
      </c>
      <c r="O885" s="1">
        <v>2596</v>
      </c>
      <c r="P885" s="1">
        <v>1184</v>
      </c>
      <c r="Q885" s="1" t="s">
        <v>42</v>
      </c>
      <c r="S885" s="1" t="s">
        <v>42</v>
      </c>
      <c r="T885" s="1" t="s">
        <v>228</v>
      </c>
      <c r="U885" s="1">
        <v>50</v>
      </c>
      <c r="V885" s="5">
        <v>44427</v>
      </c>
      <c r="W885" s="5">
        <v>42460</v>
      </c>
      <c r="X885" s="1">
        <v>1920000</v>
      </c>
      <c r="Z885" s="5">
        <v>42511</v>
      </c>
      <c r="AB885" s="1" t="s">
        <v>44</v>
      </c>
      <c r="AF885" s="1">
        <v>10038</v>
      </c>
      <c r="AI885" s="1" t="s">
        <v>110</v>
      </c>
      <c r="AJ885" s="1">
        <v>2018</v>
      </c>
      <c r="AK885" s="1" t="s">
        <v>49</v>
      </c>
      <c r="AL885" s="1">
        <v>98</v>
      </c>
    </row>
    <row r="886" spans="1:38" x14ac:dyDescent="0.2">
      <c r="A886" s="2" t="str">
        <f>HYPERLINK("https://www.compass.com/listing/161-maiden-lane-unit-17b-manhattan-ny-10038/29514209020729505/","161 Maiden Ln, Unit 17B")</f>
        <v>161 Maiden Ln, Unit 17B</v>
      </c>
      <c r="B886" s="2" t="str">
        <f t="shared" si="113"/>
        <v>Seaport Residences</v>
      </c>
      <c r="C886" s="1" t="s">
        <v>96</v>
      </c>
      <c r="D886" s="1" t="s">
        <v>41</v>
      </c>
      <c r="E886" s="3">
        <v>1820000</v>
      </c>
      <c r="F886" s="1">
        <v>1874.3563336766199</v>
      </c>
      <c r="G886" s="1">
        <v>3</v>
      </c>
      <c r="H886" s="1">
        <v>1</v>
      </c>
      <c r="I886" s="1">
        <v>1</v>
      </c>
      <c r="J886" s="1">
        <v>1</v>
      </c>
      <c r="K886" s="1">
        <v>1</v>
      </c>
      <c r="M886" s="1">
        <v>971</v>
      </c>
      <c r="N886" s="1">
        <v>1412</v>
      </c>
      <c r="O886" s="1">
        <v>2596</v>
      </c>
      <c r="P886" s="1">
        <v>1184</v>
      </c>
      <c r="Q886" s="1" t="s">
        <v>42</v>
      </c>
      <c r="S886" s="1" t="s">
        <v>42</v>
      </c>
      <c r="T886" s="1" t="s">
        <v>228</v>
      </c>
      <c r="U886" s="1">
        <v>59</v>
      </c>
      <c r="V886" s="5">
        <v>44427</v>
      </c>
      <c r="W886" s="5">
        <v>42460</v>
      </c>
      <c r="X886" s="1">
        <v>1820000</v>
      </c>
      <c r="Z886" s="5">
        <v>42520</v>
      </c>
      <c r="AB886" s="1" t="s">
        <v>44</v>
      </c>
      <c r="AF886" s="1">
        <v>10038</v>
      </c>
      <c r="AI886" s="1" t="s">
        <v>110</v>
      </c>
      <c r="AJ886" s="1">
        <v>2018</v>
      </c>
      <c r="AK886" s="1" t="s">
        <v>49</v>
      </c>
      <c r="AL886" s="1">
        <v>98</v>
      </c>
    </row>
    <row r="887" spans="1:38" x14ac:dyDescent="0.2">
      <c r="A887" s="2" t="str">
        <f>HYPERLINK("https://www.compass.com/listing/161-maiden-lane-unit-15a-manhattan-ny-10038/29514209364567729/","161 Maiden Ln, Unit 15A")</f>
        <v>161 Maiden Ln, Unit 15A</v>
      </c>
      <c r="B887" s="2" t="str">
        <f t="shared" si="113"/>
        <v>Seaport Residences</v>
      </c>
      <c r="C887" s="1" t="s">
        <v>96</v>
      </c>
      <c r="D887" s="1" t="s">
        <v>41</v>
      </c>
      <c r="E887" s="3">
        <v>1925000</v>
      </c>
      <c r="F887" s="1">
        <v>1978.41726618705</v>
      </c>
      <c r="G887" s="1">
        <v>3</v>
      </c>
      <c r="H887" s="1">
        <v>1</v>
      </c>
      <c r="I887" s="1">
        <v>1</v>
      </c>
      <c r="J887" s="1">
        <v>1</v>
      </c>
      <c r="K887" s="1">
        <v>1</v>
      </c>
      <c r="M887" s="1">
        <v>973</v>
      </c>
      <c r="N887" s="1">
        <v>1413</v>
      </c>
      <c r="O887" s="1">
        <v>2807</v>
      </c>
      <c r="P887" s="1">
        <v>1394</v>
      </c>
      <c r="Q887" s="1" t="s">
        <v>42</v>
      </c>
      <c r="S887" s="1" t="s">
        <v>42</v>
      </c>
      <c r="T887" s="1" t="s">
        <v>228</v>
      </c>
      <c r="U887" s="1">
        <v>114</v>
      </c>
      <c r="V887" s="5">
        <v>44427</v>
      </c>
      <c r="W887" s="5">
        <v>42690</v>
      </c>
      <c r="X887" s="1">
        <v>1925000</v>
      </c>
      <c r="Z887" s="5">
        <v>42805</v>
      </c>
      <c r="AB887" s="1" t="s">
        <v>44</v>
      </c>
      <c r="AF887" s="1">
        <v>10038</v>
      </c>
      <c r="AI887" s="1" t="s">
        <v>110</v>
      </c>
      <c r="AJ887" s="1">
        <v>2018</v>
      </c>
      <c r="AK887" s="1" t="s">
        <v>49</v>
      </c>
      <c r="AL887" s="1">
        <v>98</v>
      </c>
    </row>
    <row r="888" spans="1:38" x14ac:dyDescent="0.2">
      <c r="A888" s="2" t="str">
        <f>HYPERLINK("https://www.compass.com/listing/5-beekman-street-unit-ph-manhattan-ny-10038/350686975576620609/","5 Beekman St, Unit PH")</f>
        <v>5 Beekman St, Unit PH</v>
      </c>
      <c r="B888" s="2" t="str">
        <f>HYPERLINK("https://www.compass.com/building/the-beekman-residences-manhattan-ny/282030567363458613/","The Beekman Residences")</f>
        <v>The Beekman Residences</v>
      </c>
      <c r="C888" s="1" t="s">
        <v>96</v>
      </c>
      <c r="D888" s="1" t="s">
        <v>41</v>
      </c>
      <c r="E888" s="3">
        <v>12495000</v>
      </c>
      <c r="F888" s="1">
        <v>3515.7568936409598</v>
      </c>
      <c r="G888" s="1">
        <v>7</v>
      </c>
      <c r="H888" s="1">
        <v>3</v>
      </c>
      <c r="I888" s="1">
        <v>4</v>
      </c>
      <c r="J888" s="1">
        <v>4</v>
      </c>
      <c r="K888" s="1">
        <v>4</v>
      </c>
      <c r="M888" s="4">
        <v>3554</v>
      </c>
      <c r="N888" s="1">
        <v>5827</v>
      </c>
      <c r="O888" s="1">
        <v>13394</v>
      </c>
      <c r="P888" s="1">
        <v>7567</v>
      </c>
      <c r="Q888" s="1" t="s">
        <v>42</v>
      </c>
      <c r="S888" s="1" t="s">
        <v>42</v>
      </c>
      <c r="T888" s="1" t="s">
        <v>228</v>
      </c>
      <c r="U888" s="1">
        <v>165</v>
      </c>
      <c r="V888" s="5">
        <v>44427</v>
      </c>
      <c r="W888" s="5">
        <v>43734</v>
      </c>
      <c r="X888" s="1">
        <v>12495000</v>
      </c>
      <c r="Z888" s="5">
        <v>44067</v>
      </c>
      <c r="AB888" s="1" t="s">
        <v>44</v>
      </c>
      <c r="AF888" s="1">
        <v>10038</v>
      </c>
      <c r="AI888" s="1" t="s">
        <v>263</v>
      </c>
      <c r="AJ888" s="1">
        <v>2015</v>
      </c>
      <c r="AK888" s="1" t="s">
        <v>49</v>
      </c>
      <c r="AL888" s="1">
        <v>67</v>
      </c>
    </row>
    <row r="889" spans="1:38" x14ac:dyDescent="0.2">
      <c r="A889" s="2" t="str">
        <f>HYPERLINK("https://www.compass.com/listing/252-south-street-unit-41g-manhattan-ny-10002/665244528633243241/","252 South St, Unit 41G")</f>
        <v>252 South St, Unit 41G</v>
      </c>
      <c r="B889" s="2" t="str">
        <f>HYPERLINK("https://www.compass.com/building/one-manhattan-square-manhattan-ny/294844950218926165/","One Manhattan Square")</f>
        <v>One Manhattan Square</v>
      </c>
      <c r="C889" s="1" t="s">
        <v>47</v>
      </c>
      <c r="D889" s="1" t="s">
        <v>41</v>
      </c>
      <c r="E889" s="3">
        <v>2290000</v>
      </c>
      <c r="F889" s="1">
        <v>1980.9688581314799</v>
      </c>
      <c r="G889" s="1">
        <v>4</v>
      </c>
      <c r="H889" s="1">
        <v>2</v>
      </c>
      <c r="I889" s="1">
        <v>2</v>
      </c>
      <c r="J889" s="1">
        <v>2</v>
      </c>
      <c r="K889" s="1">
        <v>2</v>
      </c>
      <c r="M889" s="4">
        <v>1156</v>
      </c>
      <c r="N889" s="1">
        <v>1437</v>
      </c>
      <c r="O889" s="1">
        <v>1460</v>
      </c>
      <c r="P889" s="1">
        <v>23</v>
      </c>
      <c r="Q889" s="1" t="s">
        <v>42</v>
      </c>
      <c r="S889" s="1" t="s">
        <v>42</v>
      </c>
      <c r="T889" s="1" t="s">
        <v>228</v>
      </c>
      <c r="V889" s="5">
        <v>44375</v>
      </c>
      <c r="W889" s="5">
        <v>44375</v>
      </c>
      <c r="Z889" s="5">
        <v>44375</v>
      </c>
      <c r="AB889" s="1" t="s">
        <v>44</v>
      </c>
      <c r="AF889" s="1">
        <v>10002</v>
      </c>
      <c r="AI889" s="1" t="s">
        <v>246</v>
      </c>
      <c r="AJ889" s="1">
        <v>2019</v>
      </c>
      <c r="AK889" s="1" t="s">
        <v>46</v>
      </c>
      <c r="AL889" s="1">
        <v>787</v>
      </c>
    </row>
    <row r="890" spans="1:38" x14ac:dyDescent="0.2">
      <c r="A890" s="2" t="str">
        <f>HYPERLINK("https://www.compass.com/listing/161-maiden-lane-unit-26c-manhattan-ny-10038/29514182311306049/","161 Maiden Ln, Unit 26C")</f>
        <v>161 Maiden Ln, Unit 26C</v>
      </c>
      <c r="B890" s="2" t="str">
        <f t="shared" ref="B890:B899" si="114">HYPERLINK("https://www.compass.com/building/seaport-residences-manhattan-ny/282029834819877765/","Seaport Residences")</f>
        <v>Seaport Residences</v>
      </c>
      <c r="C890" s="1" t="s">
        <v>96</v>
      </c>
      <c r="D890" s="1" t="s">
        <v>41</v>
      </c>
      <c r="E890" s="3">
        <v>1680000</v>
      </c>
      <c r="F890" s="1">
        <v>2282.6086956521699</v>
      </c>
      <c r="G890" s="1">
        <v>2</v>
      </c>
      <c r="H890" s="1">
        <v>1</v>
      </c>
      <c r="I890" s="1">
        <v>1</v>
      </c>
      <c r="J890" s="1">
        <v>1</v>
      </c>
      <c r="K890" s="1">
        <v>1</v>
      </c>
      <c r="M890" s="1">
        <v>736</v>
      </c>
      <c r="N890" s="1">
        <v>1080</v>
      </c>
      <c r="O890" s="1">
        <v>2003</v>
      </c>
      <c r="P890" s="1">
        <v>923</v>
      </c>
      <c r="Q890" s="1" t="s">
        <v>42</v>
      </c>
      <c r="S890" s="1" t="s">
        <v>42</v>
      </c>
      <c r="T890" s="1" t="s">
        <v>228</v>
      </c>
      <c r="U890" s="1">
        <v>348</v>
      </c>
      <c r="V890" s="5">
        <v>44427</v>
      </c>
      <c r="W890" s="5">
        <v>42690</v>
      </c>
      <c r="X890" s="1">
        <v>1680000</v>
      </c>
      <c r="Z890" s="5">
        <v>43039</v>
      </c>
      <c r="AB890" s="1" t="s">
        <v>44</v>
      </c>
      <c r="AF890" s="1">
        <v>10038</v>
      </c>
      <c r="AI890" s="1" t="s">
        <v>48</v>
      </c>
      <c r="AJ890" s="1">
        <v>2018</v>
      </c>
      <c r="AK890" s="1" t="s">
        <v>49</v>
      </c>
      <c r="AL890" s="1">
        <v>98</v>
      </c>
    </row>
    <row r="891" spans="1:38" x14ac:dyDescent="0.2">
      <c r="A891" s="2" t="str">
        <f>HYPERLINK("https://www.compass.com/listing/161-maiden-lane-unit-11a-manhattan-ny-10038/29514190867686449/","161 Maiden Ln, Unit 11A")</f>
        <v>161 Maiden Ln, Unit 11A</v>
      </c>
      <c r="B891" s="2" t="str">
        <f t="shared" si="114"/>
        <v>Seaport Residences</v>
      </c>
      <c r="C891" s="1" t="s">
        <v>96</v>
      </c>
      <c r="D891" s="1" t="s">
        <v>41</v>
      </c>
      <c r="E891" s="3">
        <v>1675000</v>
      </c>
      <c r="F891" s="1">
        <v>1927.5028768699599</v>
      </c>
      <c r="G891" s="1">
        <v>3</v>
      </c>
      <c r="H891" s="1">
        <v>1</v>
      </c>
      <c r="I891" s="1">
        <v>1</v>
      </c>
      <c r="J891" s="1">
        <v>1</v>
      </c>
      <c r="K891" s="1">
        <v>1</v>
      </c>
      <c r="M891" s="1">
        <v>869</v>
      </c>
      <c r="N891" s="1">
        <v>1269</v>
      </c>
      <c r="O891" s="1">
        <v>2353</v>
      </c>
      <c r="P891" s="1">
        <v>1084</v>
      </c>
      <c r="Q891" s="1" t="s">
        <v>42</v>
      </c>
      <c r="S891" s="1" t="s">
        <v>42</v>
      </c>
      <c r="T891" s="1" t="s">
        <v>228</v>
      </c>
      <c r="U891" s="1">
        <v>87</v>
      </c>
      <c r="V891" s="5">
        <v>44427</v>
      </c>
      <c r="W891" s="5">
        <v>42905</v>
      </c>
      <c r="X891" s="1">
        <v>1675000</v>
      </c>
      <c r="Z891" s="5">
        <v>42992</v>
      </c>
      <c r="AB891" s="1" t="s">
        <v>44</v>
      </c>
      <c r="AF891" s="1">
        <v>10038</v>
      </c>
      <c r="AI891" s="1" t="s">
        <v>48</v>
      </c>
      <c r="AJ891" s="1">
        <v>2018</v>
      </c>
      <c r="AK891" s="1" t="s">
        <v>49</v>
      </c>
      <c r="AL891" s="1">
        <v>98</v>
      </c>
    </row>
    <row r="892" spans="1:38" x14ac:dyDescent="0.2">
      <c r="A892" s="2" t="str">
        <f>HYPERLINK("https://www.compass.com/listing/161-maiden-lane-unit-26a-manhattan-ny-10038/29514184240685953/","161 Maiden Ln, Unit 26A")</f>
        <v>161 Maiden Ln, Unit 26A</v>
      </c>
      <c r="B892" s="2" t="str">
        <f t="shared" si="114"/>
        <v>Seaport Residences</v>
      </c>
      <c r="C892" s="1" t="s">
        <v>96</v>
      </c>
      <c r="D892" s="1" t="s">
        <v>41</v>
      </c>
      <c r="E892" s="3">
        <v>1985000</v>
      </c>
      <c r="F892" s="1">
        <v>2040.0822199383299</v>
      </c>
      <c r="G892" s="1">
        <v>2</v>
      </c>
      <c r="H892" s="1">
        <v>1</v>
      </c>
      <c r="I892" s="1">
        <v>1</v>
      </c>
      <c r="J892" s="1">
        <v>1</v>
      </c>
      <c r="K892" s="1">
        <v>1</v>
      </c>
      <c r="M892" s="1">
        <v>973</v>
      </c>
      <c r="N892" s="1">
        <v>1413</v>
      </c>
      <c r="O892" s="1">
        <v>2807</v>
      </c>
      <c r="P892" s="1">
        <v>1394</v>
      </c>
      <c r="Q892" s="1" t="s">
        <v>42</v>
      </c>
      <c r="S892" s="1" t="s">
        <v>42</v>
      </c>
      <c r="T892" s="1" t="s">
        <v>228</v>
      </c>
      <c r="U892" s="1">
        <v>462</v>
      </c>
      <c r="V892" s="5">
        <v>44427</v>
      </c>
      <c r="W892" s="5">
        <v>42460</v>
      </c>
      <c r="X892" s="1">
        <v>1985000</v>
      </c>
      <c r="Z892" s="5">
        <v>42922</v>
      </c>
      <c r="AB892" s="1" t="s">
        <v>44</v>
      </c>
      <c r="AF892" s="1">
        <v>10038</v>
      </c>
      <c r="AI892" s="1" t="s">
        <v>262</v>
      </c>
      <c r="AJ892" s="1">
        <v>2018</v>
      </c>
      <c r="AK892" s="1" t="s">
        <v>49</v>
      </c>
      <c r="AL892" s="1">
        <v>98</v>
      </c>
    </row>
    <row r="893" spans="1:38" x14ac:dyDescent="0.2">
      <c r="A893" s="2" t="str">
        <f>HYPERLINK("https://www.compass.com/listing/161-maiden-lane-unit-25b-manhattan-ny-10038/29514199986142225/","161 Maiden Ln, Unit 25B")</f>
        <v>161 Maiden Ln, Unit 25B</v>
      </c>
      <c r="B893" s="2" t="str">
        <f t="shared" si="114"/>
        <v>Seaport Residences</v>
      </c>
      <c r="C893" s="1" t="s">
        <v>96</v>
      </c>
      <c r="D893" s="1" t="s">
        <v>41</v>
      </c>
      <c r="E893" s="3">
        <v>1980000</v>
      </c>
      <c r="F893" s="1">
        <v>2039.1349124613801</v>
      </c>
      <c r="G893" s="1">
        <v>3</v>
      </c>
      <c r="H893" s="1">
        <v>1</v>
      </c>
      <c r="I893" s="1">
        <v>1</v>
      </c>
      <c r="J893" s="1">
        <v>1</v>
      </c>
      <c r="K893" s="1">
        <v>1</v>
      </c>
      <c r="M893" s="1">
        <v>971</v>
      </c>
      <c r="N893" s="1">
        <v>1412</v>
      </c>
      <c r="O893" s="1">
        <v>2806</v>
      </c>
      <c r="P893" s="1">
        <v>1394</v>
      </c>
      <c r="Q893" s="1" t="s">
        <v>42</v>
      </c>
      <c r="S893" s="1" t="s">
        <v>42</v>
      </c>
      <c r="T893" s="1" t="s">
        <v>228</v>
      </c>
      <c r="U893" s="1">
        <v>63</v>
      </c>
      <c r="V893" s="5">
        <v>44427</v>
      </c>
      <c r="W893" s="5">
        <v>42510</v>
      </c>
      <c r="X893" s="1">
        <v>1980000</v>
      </c>
      <c r="Z893" s="5">
        <v>42573</v>
      </c>
      <c r="AB893" s="1" t="s">
        <v>44</v>
      </c>
      <c r="AF893" s="1">
        <v>10038</v>
      </c>
      <c r="AI893" s="1" t="s">
        <v>110</v>
      </c>
      <c r="AJ893" s="1">
        <v>2018</v>
      </c>
      <c r="AK893" s="1" t="s">
        <v>49</v>
      </c>
      <c r="AL893" s="1">
        <v>98</v>
      </c>
    </row>
    <row r="894" spans="1:38" x14ac:dyDescent="0.2">
      <c r="A894" s="2" t="str">
        <f>HYPERLINK("https://www.compass.com/listing/161-maiden-lane-unit-36a-manhattan-ny-10038/29514189097728737/","161 Maiden Ln, Unit 36A")</f>
        <v>161 Maiden Ln, Unit 36A</v>
      </c>
      <c r="B894" s="2" t="str">
        <f t="shared" si="114"/>
        <v>Seaport Residences</v>
      </c>
      <c r="C894" s="1" t="s">
        <v>96</v>
      </c>
      <c r="D894" s="1" t="s">
        <v>41</v>
      </c>
      <c r="E894" s="3">
        <v>2980000</v>
      </c>
      <c r="F894" s="1">
        <v>2273.0739893211198</v>
      </c>
      <c r="G894" s="1">
        <v>4</v>
      </c>
      <c r="H894" s="1">
        <v>2</v>
      </c>
      <c r="I894" s="1">
        <v>2</v>
      </c>
      <c r="J894" s="1">
        <v>2</v>
      </c>
      <c r="K894" s="1">
        <v>2</v>
      </c>
      <c r="M894" s="4">
        <v>1311</v>
      </c>
      <c r="N894" s="1">
        <v>1905</v>
      </c>
      <c r="O894" s="1">
        <v>3786</v>
      </c>
      <c r="P894" s="1">
        <v>1881</v>
      </c>
      <c r="Q894" s="1" t="s">
        <v>42</v>
      </c>
      <c r="S894" s="1" t="s">
        <v>42</v>
      </c>
      <c r="T894" s="1" t="s">
        <v>228</v>
      </c>
      <c r="U894" s="1">
        <v>237</v>
      </c>
      <c r="V894" s="5">
        <v>44427</v>
      </c>
      <c r="W894" s="5">
        <v>42460</v>
      </c>
      <c r="X894" s="1">
        <v>2980000</v>
      </c>
      <c r="Y894" s="1">
        <v>2980000</v>
      </c>
      <c r="Z894" s="5">
        <v>42754</v>
      </c>
      <c r="AB894" s="1" t="s">
        <v>44</v>
      </c>
      <c r="AC894" s="5">
        <v>42753</v>
      </c>
      <c r="AF894" s="1">
        <v>10038</v>
      </c>
      <c r="AI894" s="1" t="s">
        <v>110</v>
      </c>
      <c r="AJ894" s="1">
        <v>2018</v>
      </c>
      <c r="AK894" s="1" t="s">
        <v>49</v>
      </c>
      <c r="AL894" s="1">
        <v>98</v>
      </c>
    </row>
    <row r="895" spans="1:38" x14ac:dyDescent="0.2">
      <c r="A895" s="2" t="str">
        <f>HYPERLINK("https://www.compass.com/listing/161-maiden-lane-unit-38a-manhattan-ny-10038/29514189844276225/","161 Maiden Ln, Unit 38A")</f>
        <v>161 Maiden Ln, Unit 38A</v>
      </c>
      <c r="B895" s="2" t="str">
        <f t="shared" si="114"/>
        <v>Seaport Residences</v>
      </c>
      <c r="C895" s="1" t="s">
        <v>96</v>
      </c>
      <c r="D895" s="1" t="s">
        <v>41</v>
      </c>
      <c r="E895" s="3">
        <v>3070000</v>
      </c>
      <c r="F895" s="1">
        <v>2341.7238749046501</v>
      </c>
      <c r="G895" s="1">
        <v>4</v>
      </c>
      <c r="H895" s="1">
        <v>2</v>
      </c>
      <c r="I895" s="1">
        <v>2</v>
      </c>
      <c r="J895" s="1">
        <v>2</v>
      </c>
      <c r="K895" s="1">
        <v>2</v>
      </c>
      <c r="M895" s="4">
        <v>1311</v>
      </c>
      <c r="N895" s="1">
        <v>1924</v>
      </c>
      <c r="O895" s="1">
        <v>3821</v>
      </c>
      <c r="P895" s="1">
        <v>1897</v>
      </c>
      <c r="Q895" s="1" t="s">
        <v>42</v>
      </c>
      <c r="S895" s="1" t="s">
        <v>42</v>
      </c>
      <c r="T895" s="1" t="s">
        <v>228</v>
      </c>
      <c r="U895" s="1">
        <v>389</v>
      </c>
      <c r="V895" s="5">
        <v>44427</v>
      </c>
      <c r="W895" s="5">
        <v>42460</v>
      </c>
      <c r="X895" s="1">
        <v>3070000</v>
      </c>
      <c r="Z895" s="5">
        <v>42850</v>
      </c>
      <c r="AB895" s="1" t="s">
        <v>44</v>
      </c>
      <c r="AF895" s="1">
        <v>10038</v>
      </c>
      <c r="AI895" s="1" t="s">
        <v>110</v>
      </c>
      <c r="AJ895" s="1">
        <v>2018</v>
      </c>
      <c r="AK895" s="1" t="s">
        <v>49</v>
      </c>
      <c r="AL895" s="1">
        <v>98</v>
      </c>
    </row>
    <row r="896" spans="1:38" x14ac:dyDescent="0.2">
      <c r="A896" s="2" t="str">
        <f>HYPERLINK("https://www.compass.com/listing/161-maiden-lane-unit-33a-manhattan-ny-10038/29514197788288273/","161 Maiden Ln, Unit 33A")</f>
        <v>161 Maiden Ln, Unit 33A</v>
      </c>
      <c r="B896" s="2" t="str">
        <f t="shared" si="114"/>
        <v>Seaport Residences</v>
      </c>
      <c r="C896" s="1" t="s">
        <v>96</v>
      </c>
      <c r="D896" s="1" t="s">
        <v>41</v>
      </c>
      <c r="E896" s="3">
        <v>2845000</v>
      </c>
      <c r="F896" s="1">
        <v>2170.0991609458401</v>
      </c>
      <c r="G896" s="1">
        <v>4</v>
      </c>
      <c r="H896" s="1">
        <v>2</v>
      </c>
      <c r="I896" s="1">
        <v>2</v>
      </c>
      <c r="J896" s="1">
        <v>2</v>
      </c>
      <c r="K896" s="1">
        <v>2</v>
      </c>
      <c r="M896" s="4">
        <v>1311</v>
      </c>
      <c r="N896" s="1">
        <v>1905</v>
      </c>
      <c r="O896" s="1">
        <v>3786</v>
      </c>
      <c r="P896" s="1">
        <v>1881</v>
      </c>
      <c r="Q896" s="1" t="s">
        <v>42</v>
      </c>
      <c r="S896" s="1" t="s">
        <v>42</v>
      </c>
      <c r="T896" s="1" t="s">
        <v>228</v>
      </c>
      <c r="U896" s="1">
        <v>165</v>
      </c>
      <c r="V896" s="5">
        <v>44427</v>
      </c>
      <c r="W896" s="5">
        <v>42460</v>
      </c>
      <c r="X896" s="1">
        <v>2845000</v>
      </c>
      <c r="Z896" s="5">
        <v>42626</v>
      </c>
      <c r="AB896" s="1" t="s">
        <v>44</v>
      </c>
      <c r="AF896" s="1">
        <v>10038</v>
      </c>
      <c r="AI896" s="1" t="s">
        <v>110</v>
      </c>
      <c r="AJ896" s="1">
        <v>2018</v>
      </c>
      <c r="AK896" s="1" t="s">
        <v>49</v>
      </c>
      <c r="AL896" s="1">
        <v>98</v>
      </c>
    </row>
    <row r="897" spans="1:38" x14ac:dyDescent="0.2">
      <c r="A897" s="2" t="str">
        <f>HYPERLINK("https://www.compass.com/listing/161-maiden-lane-unit-34b-manhattan-ny-10038/29514197452838593/","161 Maiden Ln, Unit 34B")</f>
        <v>161 Maiden Ln, Unit 34B</v>
      </c>
      <c r="B897" s="2" t="str">
        <f t="shared" si="114"/>
        <v>Seaport Residences</v>
      </c>
      <c r="C897" s="1" t="s">
        <v>96</v>
      </c>
      <c r="D897" s="1" t="s">
        <v>41</v>
      </c>
      <c r="E897" s="3">
        <v>2140000</v>
      </c>
      <c r="F897" s="1">
        <v>2203.91349124613</v>
      </c>
      <c r="G897" s="1">
        <v>3</v>
      </c>
      <c r="H897" s="1">
        <v>1</v>
      </c>
      <c r="I897" s="1">
        <v>1</v>
      </c>
      <c r="J897" s="1">
        <v>1</v>
      </c>
      <c r="K897" s="1">
        <v>1</v>
      </c>
      <c r="M897" s="1">
        <v>971</v>
      </c>
      <c r="N897" s="1">
        <v>1412</v>
      </c>
      <c r="O897" s="1">
        <v>2806</v>
      </c>
      <c r="P897" s="1">
        <v>1394</v>
      </c>
      <c r="Q897" s="1" t="s">
        <v>42</v>
      </c>
      <c r="S897" s="1" t="s">
        <v>42</v>
      </c>
      <c r="T897" s="1" t="s">
        <v>228</v>
      </c>
      <c r="U897" s="1">
        <v>119</v>
      </c>
      <c r="V897" s="5">
        <v>44427</v>
      </c>
      <c r="W897" s="5">
        <v>42460</v>
      </c>
      <c r="X897" s="1">
        <v>2140000</v>
      </c>
      <c r="Z897" s="5">
        <v>42580</v>
      </c>
      <c r="AB897" s="1" t="s">
        <v>44</v>
      </c>
      <c r="AF897" s="1">
        <v>10038</v>
      </c>
      <c r="AI897" s="1" t="s">
        <v>110</v>
      </c>
      <c r="AJ897" s="1">
        <v>2018</v>
      </c>
      <c r="AK897" s="1" t="s">
        <v>49</v>
      </c>
      <c r="AL897" s="1">
        <v>98</v>
      </c>
    </row>
    <row r="898" spans="1:38" x14ac:dyDescent="0.2">
      <c r="A898" s="2" t="str">
        <f>HYPERLINK("https://www.compass.com/listing/161-maiden-lane-unit-35b-manhattan-ny-10038/29514205539400961/","161 Maiden Ln, Unit 35B")</f>
        <v>161 Maiden Ln, Unit 35B</v>
      </c>
      <c r="B898" s="2" t="str">
        <f t="shared" si="114"/>
        <v>Seaport Residences</v>
      </c>
      <c r="C898" s="1" t="s">
        <v>96</v>
      </c>
      <c r="D898" s="1" t="s">
        <v>41</v>
      </c>
      <c r="E898" s="3">
        <v>2160000</v>
      </c>
      <c r="F898" s="1">
        <v>2224.5108135942301</v>
      </c>
      <c r="G898" s="1">
        <v>3</v>
      </c>
      <c r="H898" s="1">
        <v>1</v>
      </c>
      <c r="I898" s="1">
        <v>1</v>
      </c>
      <c r="J898" s="1">
        <v>1</v>
      </c>
      <c r="K898" s="1">
        <v>1</v>
      </c>
      <c r="M898" s="1">
        <v>971</v>
      </c>
      <c r="N898" s="1">
        <v>1412</v>
      </c>
      <c r="O898" s="1">
        <v>2806</v>
      </c>
      <c r="P898" s="1">
        <v>1394</v>
      </c>
      <c r="Q898" s="1" t="s">
        <v>42</v>
      </c>
      <c r="S898" s="1" t="s">
        <v>42</v>
      </c>
      <c r="T898" s="1" t="s">
        <v>228</v>
      </c>
      <c r="U898" s="1">
        <v>183</v>
      </c>
      <c r="V898" s="5">
        <v>44427</v>
      </c>
      <c r="W898" s="5">
        <v>42460</v>
      </c>
      <c r="X898" s="1">
        <v>2160000</v>
      </c>
      <c r="Z898" s="5">
        <v>42644</v>
      </c>
      <c r="AB898" s="1" t="s">
        <v>44</v>
      </c>
      <c r="AF898" s="1">
        <v>10038</v>
      </c>
      <c r="AI898" s="1" t="s">
        <v>110</v>
      </c>
      <c r="AJ898" s="1">
        <v>2018</v>
      </c>
      <c r="AK898" s="1" t="s">
        <v>49</v>
      </c>
      <c r="AL898" s="1">
        <v>98</v>
      </c>
    </row>
    <row r="899" spans="1:38" x14ac:dyDescent="0.2">
      <c r="A899" s="2" t="str">
        <f>HYPERLINK("https://www.compass.com/listing/161-maiden-lane-unit-40b-manhattan-ny-10038/29514205883389921/","161 Maiden Ln, Unit 40B")</f>
        <v>161 Maiden Ln, Unit 40B</v>
      </c>
      <c r="B899" s="2" t="str">
        <f t="shared" si="114"/>
        <v>Seaport Residences</v>
      </c>
      <c r="C899" s="1" t="s">
        <v>96</v>
      </c>
      <c r="D899" s="1" t="s">
        <v>41</v>
      </c>
      <c r="E899" s="3">
        <v>2260000</v>
      </c>
      <c r="F899" s="1">
        <v>2327.4974253347</v>
      </c>
      <c r="G899" s="1">
        <v>3</v>
      </c>
      <c r="H899" s="1">
        <v>1</v>
      </c>
      <c r="I899" s="1">
        <v>1</v>
      </c>
      <c r="J899" s="1">
        <v>1</v>
      </c>
      <c r="K899" s="1">
        <v>1</v>
      </c>
      <c r="M899" s="1">
        <v>971</v>
      </c>
      <c r="N899" s="1">
        <v>1429</v>
      </c>
      <c r="O899" s="1">
        <v>2840</v>
      </c>
      <c r="P899" s="1">
        <v>1411</v>
      </c>
      <c r="Q899" s="1" t="s">
        <v>42</v>
      </c>
      <c r="S899" s="1" t="s">
        <v>42</v>
      </c>
      <c r="T899" s="1" t="s">
        <v>228</v>
      </c>
      <c r="U899" s="1">
        <v>184</v>
      </c>
      <c r="V899" s="5">
        <v>44427</v>
      </c>
      <c r="W899" s="5">
        <v>42459</v>
      </c>
      <c r="X899" s="1">
        <v>2260000</v>
      </c>
      <c r="Z899" s="5">
        <v>42643</v>
      </c>
      <c r="AB899" s="1" t="s">
        <v>44</v>
      </c>
      <c r="AF899" s="1">
        <v>10038</v>
      </c>
      <c r="AI899" s="1" t="s">
        <v>110</v>
      </c>
      <c r="AJ899" s="1">
        <v>2018</v>
      </c>
      <c r="AK899" s="1" t="s">
        <v>49</v>
      </c>
      <c r="AL899" s="1">
        <v>98</v>
      </c>
    </row>
    <row r="900" spans="1:38" x14ac:dyDescent="0.2">
      <c r="A900" s="2" t="str">
        <f>HYPERLINK("https://www.compass.com/listing/130-william-street-unit-11c-manhattan-ny-10038/636933862146085849/","130 William St, Unit 11C")</f>
        <v>130 William St, Unit 11C</v>
      </c>
      <c r="B900" s="2" t="str">
        <f t="shared" ref="B900:B901" si="115">HYPERLINK("https://www.compass.com/building/130-william-st-manhattan-ny-10038/282029682239486757/","130 William St")</f>
        <v>130 William St</v>
      </c>
      <c r="C900" s="1" t="s">
        <v>96</v>
      </c>
      <c r="D900" s="1" t="s">
        <v>41</v>
      </c>
      <c r="E900" s="3">
        <v>1485990</v>
      </c>
      <c r="F900" s="1">
        <v>1504.0384615384601</v>
      </c>
      <c r="G900" s="1">
        <v>3</v>
      </c>
      <c r="H900" s="1">
        <v>1</v>
      </c>
      <c r="I900" s="1">
        <v>1</v>
      </c>
      <c r="J900" s="1">
        <v>1</v>
      </c>
      <c r="K900" s="1">
        <v>1</v>
      </c>
      <c r="M900" s="1">
        <v>988</v>
      </c>
      <c r="N900" s="1">
        <v>659.24</v>
      </c>
      <c r="O900" s="1">
        <v>1936.4</v>
      </c>
      <c r="P900" s="1">
        <v>1277.1666666666599</v>
      </c>
      <c r="Q900" s="1" t="s">
        <v>42</v>
      </c>
      <c r="S900" s="1" t="s">
        <v>42</v>
      </c>
      <c r="T900" s="1" t="s">
        <v>228</v>
      </c>
      <c r="U900" s="1">
        <v>730</v>
      </c>
      <c r="V900" s="5">
        <v>44420</v>
      </c>
      <c r="W900" s="5">
        <v>43306</v>
      </c>
      <c r="X900" s="1">
        <v>1405990</v>
      </c>
      <c r="Z900" s="5">
        <v>44406</v>
      </c>
      <c r="AB900" s="1" t="s">
        <v>44</v>
      </c>
      <c r="AF900" s="1">
        <v>10038</v>
      </c>
      <c r="AI900" s="1" t="s">
        <v>111</v>
      </c>
      <c r="AJ900" s="1">
        <v>2020</v>
      </c>
      <c r="AK900" s="1" t="s">
        <v>46</v>
      </c>
      <c r="AL900" s="1">
        <v>244</v>
      </c>
    </row>
    <row r="901" spans="1:38" x14ac:dyDescent="0.2">
      <c r="A901" s="2" t="str">
        <f>HYPERLINK("https://www.compass.com/listing/130-william-street-unit-23e-manhattan-ny-10038/770318203411828993/","130 William St, Unit 23E")</f>
        <v>130 William St, Unit 23E</v>
      </c>
      <c r="B901" s="2" t="str">
        <f t="shared" si="115"/>
        <v>130 William St</v>
      </c>
      <c r="C901" s="1" t="s">
        <v>96</v>
      </c>
      <c r="D901" s="1" t="s">
        <v>41</v>
      </c>
      <c r="E901" s="3">
        <v>2250990</v>
      </c>
      <c r="F901" s="1">
        <v>1530.2447314751801</v>
      </c>
      <c r="G901" s="1">
        <v>4.5</v>
      </c>
      <c r="H901" s="1">
        <v>2</v>
      </c>
      <c r="I901" s="1">
        <v>3</v>
      </c>
      <c r="J901" s="1">
        <v>2.5</v>
      </c>
      <c r="K901" s="1">
        <v>2</v>
      </c>
      <c r="L901" s="1">
        <v>1</v>
      </c>
      <c r="M901" s="4">
        <v>1471</v>
      </c>
      <c r="N901" s="1">
        <v>1014.39</v>
      </c>
      <c r="O901" s="1">
        <v>2979.59</v>
      </c>
      <c r="P901" s="1">
        <v>1965.1666666666599</v>
      </c>
      <c r="Q901" s="1" t="s">
        <v>42</v>
      </c>
      <c r="S901" s="1" t="s">
        <v>42</v>
      </c>
      <c r="T901" s="1" t="s">
        <v>228</v>
      </c>
      <c r="U901" s="1">
        <v>19</v>
      </c>
      <c r="V901" s="5">
        <v>44425</v>
      </c>
      <c r="W901" s="5">
        <v>44295</v>
      </c>
      <c r="X901" s="1">
        <v>2250990</v>
      </c>
      <c r="Z901" s="5">
        <v>44315</v>
      </c>
      <c r="AB901" s="1" t="s">
        <v>44</v>
      </c>
      <c r="AF901" s="1">
        <v>10038</v>
      </c>
      <c r="AI901" s="1" t="s">
        <v>111</v>
      </c>
      <c r="AJ901" s="1">
        <v>2020</v>
      </c>
      <c r="AK901" s="1" t="s">
        <v>46</v>
      </c>
      <c r="AL901" s="1">
        <v>244</v>
      </c>
    </row>
    <row r="902" spans="1:38" x14ac:dyDescent="0.2">
      <c r="A902" s="2" t="str">
        <f>HYPERLINK("https://www.compass.com/listing/77-greenwich-street-unit-21b-manhattan-ny-10006/783921485062732361/","77 Greenwich St, Unit 21B")</f>
        <v>77 Greenwich St, Unit 21B</v>
      </c>
      <c r="B902" s="2" t="str">
        <f>HYPERLINK("https://www.compass.com/building/jolie-manhattan-ny/282060129363328789/","Jolie")</f>
        <v>Jolie</v>
      </c>
      <c r="C902" s="1" t="s">
        <v>96</v>
      </c>
      <c r="D902" s="1" t="s">
        <v>41</v>
      </c>
      <c r="E902" s="3">
        <v>1660000</v>
      </c>
      <c r="F902" s="1">
        <v>1971.49643705463</v>
      </c>
      <c r="G902" s="1">
        <v>3</v>
      </c>
      <c r="H902" s="1">
        <v>1</v>
      </c>
      <c r="I902" s="1">
        <v>2</v>
      </c>
      <c r="J902" s="1">
        <v>1.5</v>
      </c>
      <c r="K902" s="1">
        <v>1</v>
      </c>
      <c r="L902" s="1">
        <v>1</v>
      </c>
      <c r="M902" s="1">
        <v>842</v>
      </c>
      <c r="N902" s="1">
        <v>871</v>
      </c>
      <c r="O902" s="1">
        <v>2330</v>
      </c>
      <c r="P902" s="1">
        <v>1459</v>
      </c>
      <c r="Q902" s="1" t="s">
        <v>42</v>
      </c>
      <c r="S902" s="1" t="s">
        <v>42</v>
      </c>
      <c r="T902" s="1" t="s">
        <v>228</v>
      </c>
      <c r="V902" s="5">
        <v>44405</v>
      </c>
      <c r="W902" s="5">
        <v>44333</v>
      </c>
      <c r="X902" s="1">
        <v>1660000</v>
      </c>
      <c r="Z902" s="5">
        <v>44333</v>
      </c>
      <c r="AB902" s="1" t="s">
        <v>44</v>
      </c>
      <c r="AF902" s="1">
        <v>10006</v>
      </c>
      <c r="AI902" s="1" t="s">
        <v>222</v>
      </c>
      <c r="AJ902" s="1">
        <v>2019</v>
      </c>
      <c r="AK902" s="1" t="s">
        <v>46</v>
      </c>
      <c r="AL902" s="1">
        <v>90</v>
      </c>
    </row>
    <row r="903" spans="1:38" x14ac:dyDescent="0.2">
      <c r="A903" s="2" t="str">
        <f>HYPERLINK("https://www.compass.com/listing/161-maiden-lane-unit-17a-manhattan-ny-10038/29514188401530289/","161 Maiden Ln, Unit 17A")</f>
        <v>161 Maiden Ln, Unit 17A</v>
      </c>
      <c r="B903" s="2" t="str">
        <f>HYPERLINK("https://www.compass.com/building/seaport-residences-manhattan-ny/282029834819877765/","Seaport Residences")</f>
        <v>Seaport Residences</v>
      </c>
      <c r="C903" s="1" t="s">
        <v>96</v>
      </c>
      <c r="D903" s="1" t="s">
        <v>41</v>
      </c>
      <c r="E903" s="3">
        <v>1935000</v>
      </c>
      <c r="F903" s="1">
        <v>1988.69475847893</v>
      </c>
      <c r="G903" s="1">
        <v>2</v>
      </c>
      <c r="H903" s="1">
        <v>1</v>
      </c>
      <c r="I903" s="1">
        <v>1</v>
      </c>
      <c r="J903" s="1">
        <v>1</v>
      </c>
      <c r="K903" s="1">
        <v>1</v>
      </c>
      <c r="M903" s="1">
        <v>973</v>
      </c>
      <c r="N903" s="1">
        <v>1413</v>
      </c>
      <c r="O903" s="1">
        <v>2807</v>
      </c>
      <c r="P903" s="1">
        <v>1394</v>
      </c>
      <c r="Q903" s="1" t="s">
        <v>42</v>
      </c>
      <c r="S903" s="1" t="s">
        <v>42</v>
      </c>
      <c r="T903" s="1" t="s">
        <v>228</v>
      </c>
      <c r="U903" s="1">
        <v>400</v>
      </c>
      <c r="V903" s="5">
        <v>44427</v>
      </c>
      <c r="W903" s="5">
        <v>42460</v>
      </c>
      <c r="X903" s="1">
        <v>1935000</v>
      </c>
      <c r="Z903" s="5">
        <v>42861</v>
      </c>
      <c r="AB903" s="1" t="s">
        <v>44</v>
      </c>
      <c r="AF903" s="1">
        <v>10038</v>
      </c>
      <c r="AI903" s="1" t="s">
        <v>262</v>
      </c>
      <c r="AJ903" s="1">
        <v>2018</v>
      </c>
      <c r="AK903" s="1" t="s">
        <v>49</v>
      </c>
      <c r="AL903" s="1">
        <v>98</v>
      </c>
    </row>
    <row r="904" spans="1:38" x14ac:dyDescent="0.2">
      <c r="A904" s="2" t="str">
        <f>HYPERLINK("https://www.compass.com/listing/77-greenwich-street-unit-15b-manhattan-ny-10006/633808330405658777/","77 Greenwich St, Unit 15B")</f>
        <v>77 Greenwich St, Unit 15B</v>
      </c>
      <c r="B904" s="2" t="str">
        <f t="shared" ref="B904:B905" si="116">HYPERLINK("https://www.compass.com/building/jolie-manhattan-ny/282060129363328789/","Jolie")</f>
        <v>Jolie</v>
      </c>
      <c r="C904" s="1" t="s">
        <v>96</v>
      </c>
      <c r="D904" s="1" t="s">
        <v>41</v>
      </c>
      <c r="E904" s="3">
        <v>1295000</v>
      </c>
      <c r="F904" s="1">
        <v>1538.0047505938201</v>
      </c>
      <c r="G904" s="1">
        <v>3</v>
      </c>
      <c r="H904" s="1">
        <v>1</v>
      </c>
      <c r="I904" s="1">
        <v>2</v>
      </c>
      <c r="J904" s="1">
        <v>1.5</v>
      </c>
      <c r="K904" s="1">
        <v>1</v>
      </c>
      <c r="L904" s="1">
        <v>1</v>
      </c>
      <c r="M904" s="1">
        <v>842</v>
      </c>
      <c r="N904" s="1">
        <v>903</v>
      </c>
      <c r="O904" s="1">
        <v>2362</v>
      </c>
      <c r="P904" s="1">
        <v>1459</v>
      </c>
      <c r="Q904" s="1" t="s">
        <v>42</v>
      </c>
      <c r="S904" s="1" t="s">
        <v>42</v>
      </c>
      <c r="T904" s="1" t="s">
        <v>228</v>
      </c>
      <c r="U904" s="1">
        <v>163</v>
      </c>
      <c r="V904" s="5">
        <v>44404</v>
      </c>
      <c r="W904" s="5">
        <v>44130</v>
      </c>
      <c r="X904" s="1">
        <v>1295000</v>
      </c>
      <c r="Z904" s="5">
        <v>44294</v>
      </c>
      <c r="AB904" s="1" t="s">
        <v>44</v>
      </c>
      <c r="AF904" s="1">
        <v>10006</v>
      </c>
      <c r="AI904" s="1" t="s">
        <v>65</v>
      </c>
      <c r="AJ904" s="1">
        <v>2019</v>
      </c>
      <c r="AK904" s="1" t="s">
        <v>46</v>
      </c>
      <c r="AL904" s="1">
        <v>90</v>
      </c>
    </row>
    <row r="905" spans="1:38" x14ac:dyDescent="0.2">
      <c r="A905" s="2" t="str">
        <f>HYPERLINK("https://www.compass.com/listing/77-greenwich-street-unit-17b-manhattan-ny-10006/637217594338022817/","77 Greenwich St, Unit 17B")</f>
        <v>77 Greenwich St, Unit 17B</v>
      </c>
      <c r="B905" s="2" t="str">
        <f t="shared" si="116"/>
        <v>Jolie</v>
      </c>
      <c r="C905" s="1" t="s">
        <v>96</v>
      </c>
      <c r="D905" s="1" t="s">
        <v>41</v>
      </c>
      <c r="E905" s="3">
        <v>1325000</v>
      </c>
      <c r="F905" s="1">
        <v>1573.63420427553</v>
      </c>
      <c r="G905" s="1">
        <v>3</v>
      </c>
      <c r="H905" s="1">
        <v>1</v>
      </c>
      <c r="I905" s="1">
        <v>2</v>
      </c>
      <c r="J905" s="1">
        <v>1.5</v>
      </c>
      <c r="K905" s="1">
        <v>1</v>
      </c>
      <c r="L905" s="1">
        <v>1</v>
      </c>
      <c r="M905" s="1">
        <v>842</v>
      </c>
      <c r="N905" s="1">
        <v>871</v>
      </c>
      <c r="O905" s="1">
        <v>2330</v>
      </c>
      <c r="P905" s="1">
        <v>1459</v>
      </c>
      <c r="Q905" s="1" t="s">
        <v>42</v>
      </c>
      <c r="S905" s="1" t="s">
        <v>42</v>
      </c>
      <c r="T905" s="1" t="s">
        <v>228</v>
      </c>
      <c r="U905" s="1">
        <v>18</v>
      </c>
      <c r="V905" s="5">
        <v>44404</v>
      </c>
      <c r="W905" s="5">
        <v>44130</v>
      </c>
      <c r="X905" s="1">
        <v>1325000</v>
      </c>
      <c r="Z905" s="5">
        <v>44149</v>
      </c>
      <c r="AB905" s="1" t="s">
        <v>44</v>
      </c>
      <c r="AF905" s="1">
        <v>10006</v>
      </c>
      <c r="AI905" s="1" t="s">
        <v>65</v>
      </c>
      <c r="AJ905" s="1">
        <v>2019</v>
      </c>
      <c r="AK905" s="1" t="s">
        <v>46</v>
      </c>
      <c r="AL905" s="1">
        <v>90</v>
      </c>
    </row>
    <row r="906" spans="1:38" x14ac:dyDescent="0.2">
      <c r="A906" s="2" t="str">
        <f>HYPERLINK("https://www.compass.com/listing/130-william-street-unit-34d-manhattan-ny-10038/741374856343830377/","130 William St, Unit 34D")</f>
        <v>130 William St, Unit 34D</v>
      </c>
      <c r="B906" s="2" t="str">
        <f t="shared" ref="B906:B909" si="117">HYPERLINK("https://www.compass.com/building/130-william-st-manhattan-ny-10038/282029682239486757/","130 William St")</f>
        <v>130 William St</v>
      </c>
      <c r="C906" s="1" t="s">
        <v>96</v>
      </c>
      <c r="D906" s="1" t="s">
        <v>41</v>
      </c>
      <c r="E906" s="3">
        <v>1695990</v>
      </c>
      <c r="F906" s="1">
        <v>1983.6140350877099</v>
      </c>
      <c r="G906" s="1">
        <v>3</v>
      </c>
      <c r="H906" s="1">
        <v>1</v>
      </c>
      <c r="I906" s="1">
        <v>1</v>
      </c>
      <c r="J906" s="1">
        <v>1</v>
      </c>
      <c r="K906" s="1">
        <v>1</v>
      </c>
      <c r="M906" s="1">
        <v>855</v>
      </c>
      <c r="N906" s="1">
        <v>604.32000000000005</v>
      </c>
      <c r="O906" s="1">
        <v>1775.09</v>
      </c>
      <c r="P906" s="1">
        <v>1170.75</v>
      </c>
      <c r="Q906" s="1" t="s">
        <v>42</v>
      </c>
      <c r="S906" s="1" t="s">
        <v>42</v>
      </c>
      <c r="T906" s="1" t="s">
        <v>228</v>
      </c>
      <c r="U906" s="1">
        <v>143</v>
      </c>
      <c r="V906" s="5">
        <v>44418</v>
      </c>
      <c r="W906" s="5">
        <v>44274</v>
      </c>
      <c r="X906" s="1">
        <v>1695990</v>
      </c>
      <c r="Z906" s="5">
        <v>44418</v>
      </c>
      <c r="AB906" s="1" t="s">
        <v>44</v>
      </c>
      <c r="AF906" s="1">
        <v>10038</v>
      </c>
      <c r="AI906" s="1" t="s">
        <v>111</v>
      </c>
      <c r="AJ906" s="1">
        <v>2020</v>
      </c>
      <c r="AK906" s="1" t="s">
        <v>46</v>
      </c>
      <c r="AL906" s="1">
        <v>244</v>
      </c>
    </row>
    <row r="907" spans="1:38" x14ac:dyDescent="0.2">
      <c r="A907" s="2" t="str">
        <f>HYPERLINK("https://www.compass.com/listing/130-william-street-unit-33a-manhattan-ny-10038/741377896375243129/","130 William St, Unit 33A")</f>
        <v>130 William St, Unit 33A</v>
      </c>
      <c r="B907" s="2" t="str">
        <f t="shared" si="117"/>
        <v>130 William St</v>
      </c>
      <c r="C907" s="1" t="s">
        <v>96</v>
      </c>
      <c r="D907" s="1" t="s">
        <v>41</v>
      </c>
      <c r="E907" s="3">
        <v>1805990</v>
      </c>
      <c r="F907" s="1">
        <v>2045.28878822197</v>
      </c>
      <c r="G907" s="1">
        <v>3</v>
      </c>
      <c r="H907" s="1">
        <v>1</v>
      </c>
      <c r="I907" s="1">
        <v>1</v>
      </c>
      <c r="J907" s="1">
        <v>1</v>
      </c>
      <c r="K907" s="1">
        <v>1</v>
      </c>
      <c r="M907" s="1">
        <v>883</v>
      </c>
      <c r="N907" s="1">
        <v>628.15</v>
      </c>
      <c r="O907" s="1">
        <v>1845.08</v>
      </c>
      <c r="P907" s="1">
        <v>1216.9166666666599</v>
      </c>
      <c r="Q907" s="1" t="s">
        <v>42</v>
      </c>
      <c r="S907" s="1" t="s">
        <v>42</v>
      </c>
      <c r="T907" s="1" t="s">
        <v>228</v>
      </c>
      <c r="U907" s="1">
        <v>103</v>
      </c>
      <c r="V907" s="5">
        <v>44422</v>
      </c>
      <c r="W907" s="5">
        <v>44274</v>
      </c>
      <c r="X907" s="1">
        <v>1805990</v>
      </c>
      <c r="Z907" s="5">
        <v>44378</v>
      </c>
      <c r="AB907" s="1" t="s">
        <v>44</v>
      </c>
      <c r="AF907" s="1">
        <v>10038</v>
      </c>
      <c r="AI907" s="1" t="s">
        <v>111</v>
      </c>
      <c r="AJ907" s="1">
        <v>2020</v>
      </c>
      <c r="AK907" s="1" t="s">
        <v>46</v>
      </c>
      <c r="AL907" s="1">
        <v>244</v>
      </c>
    </row>
    <row r="908" spans="1:38" x14ac:dyDescent="0.2">
      <c r="A908" s="2" t="str">
        <f>HYPERLINK("https://www.compass.com/listing/130-william-street-unit-28a-manhattan-ny-10038/741395479836973041/","130 William St, Unit 28A")</f>
        <v>130 William St, Unit 28A</v>
      </c>
      <c r="B908" s="2" t="str">
        <f t="shared" si="117"/>
        <v>130 William St</v>
      </c>
      <c r="C908" s="1" t="s">
        <v>96</v>
      </c>
      <c r="D908" s="1" t="s">
        <v>41</v>
      </c>
      <c r="E908" s="3">
        <v>1595990</v>
      </c>
      <c r="F908" s="1">
        <v>1830.2637614678899</v>
      </c>
      <c r="G908" s="1">
        <v>3</v>
      </c>
      <c r="H908" s="1">
        <v>1</v>
      </c>
      <c r="I908" s="1">
        <v>1</v>
      </c>
      <c r="J908" s="1">
        <v>1</v>
      </c>
      <c r="K908" s="1">
        <v>1</v>
      </c>
      <c r="M908" s="1">
        <v>872</v>
      </c>
      <c r="N908" s="1">
        <v>603.64</v>
      </c>
      <c r="O908" s="1">
        <v>1773.09</v>
      </c>
      <c r="P908" s="1">
        <v>1169.4166666666599</v>
      </c>
      <c r="Q908" s="1" t="s">
        <v>42</v>
      </c>
      <c r="S908" s="1" t="s">
        <v>42</v>
      </c>
      <c r="T908" s="1" t="s">
        <v>228</v>
      </c>
      <c r="U908" s="1">
        <v>143</v>
      </c>
      <c r="V908" s="5">
        <v>44418</v>
      </c>
      <c r="W908" s="5">
        <v>44274</v>
      </c>
      <c r="X908" s="1">
        <v>1595990</v>
      </c>
      <c r="Z908" s="5">
        <v>44418</v>
      </c>
      <c r="AB908" s="1" t="s">
        <v>44</v>
      </c>
      <c r="AF908" s="1">
        <v>10038</v>
      </c>
      <c r="AI908" s="1" t="s">
        <v>111</v>
      </c>
      <c r="AJ908" s="1">
        <v>2020</v>
      </c>
      <c r="AK908" s="1" t="s">
        <v>46</v>
      </c>
      <c r="AL908" s="1">
        <v>244</v>
      </c>
    </row>
    <row r="909" spans="1:38" x14ac:dyDescent="0.2">
      <c r="A909" s="2" t="str">
        <f>HYPERLINK("https://www.compass.com/listing/130-william-street-unit-7e-manhattan-ny-10038/386129554531153985/","130 William St, Unit 7E")</f>
        <v>130 William St, Unit 7E</v>
      </c>
      <c r="B909" s="2" t="str">
        <f t="shared" si="117"/>
        <v>130 William St</v>
      </c>
      <c r="C909" s="1" t="s">
        <v>96</v>
      </c>
      <c r="D909" s="1" t="s">
        <v>41</v>
      </c>
      <c r="E909" s="3">
        <v>1985990</v>
      </c>
      <c r="F909" s="1">
        <v>1393.6771929824499</v>
      </c>
      <c r="G909" s="1">
        <v>4.5</v>
      </c>
      <c r="H909" s="1">
        <v>2</v>
      </c>
      <c r="I909" s="1">
        <v>3</v>
      </c>
      <c r="J909" s="1">
        <v>2.5</v>
      </c>
      <c r="K909" s="1">
        <v>2</v>
      </c>
      <c r="L909" s="1">
        <v>1</v>
      </c>
      <c r="M909" s="4">
        <v>1425</v>
      </c>
      <c r="N909" s="1">
        <v>941.77</v>
      </c>
      <c r="O909" s="1">
        <v>2784.29</v>
      </c>
      <c r="P909" s="1">
        <v>1842.5</v>
      </c>
      <c r="Q909" s="1" t="s">
        <v>42</v>
      </c>
      <c r="S909" s="1" t="s">
        <v>42</v>
      </c>
      <c r="T909" s="1" t="s">
        <v>228</v>
      </c>
      <c r="V909" s="5">
        <v>44414</v>
      </c>
      <c r="W909" s="5">
        <v>43784</v>
      </c>
      <c r="X909" s="1">
        <v>1985990</v>
      </c>
      <c r="Z909" s="5">
        <v>44180</v>
      </c>
      <c r="AB909" s="1" t="s">
        <v>44</v>
      </c>
      <c r="AF909" s="1">
        <v>10038</v>
      </c>
      <c r="AI909" s="1" t="s">
        <v>111</v>
      </c>
      <c r="AJ909" s="1">
        <v>2020</v>
      </c>
      <c r="AK909" s="1" t="s">
        <v>46</v>
      </c>
      <c r="AL909" s="1">
        <v>244</v>
      </c>
    </row>
    <row r="910" spans="1:38" x14ac:dyDescent="0.2">
      <c r="A910" s="2" t="str">
        <f>HYPERLINK("https://www.compass.com/listing/161-maiden-lane-unit-duplex48-manhattan-ny-10038/29514183896847697/","161 Maiden Ln, Unit DUPLEX48")</f>
        <v>161 Maiden Ln, Unit DUPLEX48</v>
      </c>
      <c r="B910" s="2" t="str">
        <f t="shared" ref="B910:B914" si="118">HYPERLINK("https://www.compass.com/building/seaport-residences-manhattan-ny/282029834819877765/","Seaport Residences")</f>
        <v>Seaport Residences</v>
      </c>
      <c r="C910" s="1" t="s">
        <v>96</v>
      </c>
      <c r="D910" s="1" t="s">
        <v>41</v>
      </c>
      <c r="E910" s="3">
        <v>4650000</v>
      </c>
      <c r="F910" s="1">
        <v>2399.3808049535601</v>
      </c>
      <c r="G910" s="1">
        <v>4</v>
      </c>
      <c r="H910" s="1">
        <v>2</v>
      </c>
      <c r="I910" s="1">
        <v>3</v>
      </c>
      <c r="J910" s="1">
        <v>2.5</v>
      </c>
      <c r="K910" s="1">
        <v>2</v>
      </c>
      <c r="L910" s="1">
        <v>1</v>
      </c>
      <c r="M910" s="4">
        <v>1938</v>
      </c>
      <c r="N910" s="1">
        <v>2844</v>
      </c>
      <c r="O910" s="1">
        <v>5648</v>
      </c>
      <c r="P910" s="1">
        <v>2804</v>
      </c>
      <c r="Q910" s="1" t="s">
        <v>42</v>
      </c>
      <c r="S910" s="1" t="s">
        <v>42</v>
      </c>
      <c r="T910" s="1" t="s">
        <v>228</v>
      </c>
      <c r="U910" s="1">
        <v>1</v>
      </c>
      <c r="V910" s="5">
        <v>44427</v>
      </c>
      <c r="W910" s="5">
        <v>42769</v>
      </c>
      <c r="X910" s="1">
        <v>4650000</v>
      </c>
      <c r="Z910" s="5">
        <v>42771</v>
      </c>
      <c r="AB910" s="1" t="s">
        <v>44</v>
      </c>
      <c r="AF910" s="1">
        <v>10038</v>
      </c>
      <c r="AI910" s="1" t="s">
        <v>264</v>
      </c>
      <c r="AJ910" s="1">
        <v>2018</v>
      </c>
      <c r="AK910" s="1" t="s">
        <v>49</v>
      </c>
      <c r="AL910" s="1">
        <v>98</v>
      </c>
    </row>
    <row r="911" spans="1:38" x14ac:dyDescent="0.2">
      <c r="A911" s="2" t="str">
        <f>HYPERLINK("https://www.compass.com/listing/161-maiden-lane-unit-duplex44-manhattan-ny-10038/29514196773266673/","161 Maiden Ln, Unit DUPLEX44")</f>
        <v>161 Maiden Ln, Unit DUPLEX44</v>
      </c>
      <c r="B911" s="2" t="str">
        <f t="shared" si="118"/>
        <v>Seaport Residences</v>
      </c>
      <c r="C911" s="1" t="s">
        <v>96</v>
      </c>
      <c r="D911" s="1" t="s">
        <v>41</v>
      </c>
      <c r="E911" s="3">
        <v>4550000</v>
      </c>
      <c r="F911" s="1">
        <v>2347.7812177502501</v>
      </c>
      <c r="G911" s="1">
        <v>4</v>
      </c>
      <c r="H911" s="1">
        <v>2</v>
      </c>
      <c r="I911" s="1">
        <v>3</v>
      </c>
      <c r="J911" s="1">
        <v>2.5</v>
      </c>
      <c r="K911" s="1">
        <v>2</v>
      </c>
      <c r="L911" s="1">
        <v>1</v>
      </c>
      <c r="M911" s="4">
        <v>1938</v>
      </c>
      <c r="N911" s="1">
        <v>2823</v>
      </c>
      <c r="O911" s="1">
        <v>5610</v>
      </c>
      <c r="P911" s="1">
        <v>2787</v>
      </c>
      <c r="Q911" s="1" t="s">
        <v>42</v>
      </c>
      <c r="S911" s="1" t="s">
        <v>42</v>
      </c>
      <c r="T911" s="1" t="s">
        <v>228</v>
      </c>
      <c r="U911" s="1">
        <v>135</v>
      </c>
      <c r="V911" s="5">
        <v>44427</v>
      </c>
      <c r="W911" s="5">
        <v>42459</v>
      </c>
      <c r="X911" s="1">
        <v>4550000</v>
      </c>
      <c r="Z911" s="5">
        <v>42595</v>
      </c>
      <c r="AB911" s="1" t="s">
        <v>44</v>
      </c>
      <c r="AF911" s="1">
        <v>10038</v>
      </c>
      <c r="AI911" s="1" t="s">
        <v>45</v>
      </c>
      <c r="AJ911" s="1">
        <v>2018</v>
      </c>
      <c r="AK911" s="1" t="s">
        <v>49</v>
      </c>
      <c r="AL911" s="1">
        <v>98</v>
      </c>
    </row>
    <row r="912" spans="1:38" x14ac:dyDescent="0.2">
      <c r="A912" s="2" t="str">
        <f>HYPERLINK("https://www.compass.com/listing/161-maiden-lane-unit-duplex46-manhattan-ny-10038/29514203719072945/","161 Maiden Ln, Unit DUPLEX46")</f>
        <v>161 Maiden Ln, Unit DUPLEX46</v>
      </c>
      <c r="B912" s="2" t="str">
        <f t="shared" si="118"/>
        <v>Seaport Residences</v>
      </c>
      <c r="C912" s="1" t="s">
        <v>96</v>
      </c>
      <c r="D912" s="1" t="s">
        <v>41</v>
      </c>
      <c r="E912" s="3">
        <v>4600000</v>
      </c>
      <c r="F912" s="1">
        <v>2373.5810113519001</v>
      </c>
      <c r="G912" s="1">
        <v>4</v>
      </c>
      <c r="H912" s="1">
        <v>2</v>
      </c>
      <c r="I912" s="1">
        <v>3</v>
      </c>
      <c r="J912" s="1">
        <v>2.5</v>
      </c>
      <c r="K912" s="1">
        <v>2</v>
      </c>
      <c r="L912" s="1">
        <v>1</v>
      </c>
      <c r="M912" s="4">
        <v>1938</v>
      </c>
      <c r="N912" s="1">
        <v>2827</v>
      </c>
      <c r="O912" s="1">
        <v>5614</v>
      </c>
      <c r="P912" s="1">
        <v>2787</v>
      </c>
      <c r="Q912" s="1" t="s">
        <v>42</v>
      </c>
      <c r="S912" s="1" t="s">
        <v>42</v>
      </c>
      <c r="T912" s="1" t="s">
        <v>228</v>
      </c>
      <c r="U912" s="1">
        <v>1</v>
      </c>
      <c r="V912" s="5">
        <v>44427</v>
      </c>
      <c r="W912" s="5">
        <v>42769</v>
      </c>
      <c r="X912" s="1">
        <v>4600000</v>
      </c>
      <c r="Z912" s="5">
        <v>42771</v>
      </c>
      <c r="AB912" s="1" t="s">
        <v>44</v>
      </c>
      <c r="AF912" s="1">
        <v>10038</v>
      </c>
      <c r="AI912" s="1" t="s">
        <v>264</v>
      </c>
      <c r="AJ912" s="1">
        <v>2018</v>
      </c>
      <c r="AK912" s="1" t="s">
        <v>49</v>
      </c>
      <c r="AL912" s="1">
        <v>98</v>
      </c>
    </row>
    <row r="913" spans="1:38" x14ac:dyDescent="0.2">
      <c r="A913" s="2" t="str">
        <f>HYPERLINK("https://www.compass.com/listing/161-maiden-lane-unit-duplex42-manhattan-ny-10038/29514208022485105/","161 Maiden Ln, Unit DUPLEX42")</f>
        <v>161 Maiden Ln, Unit DUPLEX42</v>
      </c>
      <c r="B913" s="2" t="str">
        <f t="shared" si="118"/>
        <v>Seaport Residences</v>
      </c>
      <c r="C913" s="1" t="s">
        <v>96</v>
      </c>
      <c r="D913" s="1" t="s">
        <v>41</v>
      </c>
      <c r="E913" s="3">
        <v>4500000</v>
      </c>
      <c r="F913" s="1">
        <v>2321.9814241486001</v>
      </c>
      <c r="G913" s="1">
        <v>4</v>
      </c>
      <c r="H913" s="1">
        <v>2</v>
      </c>
      <c r="I913" s="1">
        <v>3</v>
      </c>
      <c r="J913" s="1">
        <v>2.5</v>
      </c>
      <c r="K913" s="1">
        <v>2</v>
      </c>
      <c r="L913" s="1">
        <v>1</v>
      </c>
      <c r="M913" s="4">
        <v>1938</v>
      </c>
      <c r="N913" s="1">
        <v>2823</v>
      </c>
      <c r="O913" s="1">
        <v>5610</v>
      </c>
      <c r="P913" s="1">
        <v>2787</v>
      </c>
      <c r="Q913" s="1" t="s">
        <v>42</v>
      </c>
      <c r="S913" s="1" t="s">
        <v>42</v>
      </c>
      <c r="T913" s="1" t="s">
        <v>228</v>
      </c>
      <c r="U913" s="1">
        <v>104</v>
      </c>
      <c r="V913" s="5">
        <v>44427</v>
      </c>
      <c r="W913" s="5">
        <v>42669</v>
      </c>
      <c r="X913" s="1">
        <v>4500000</v>
      </c>
      <c r="Z913" s="5">
        <v>42774</v>
      </c>
      <c r="AB913" s="1" t="s">
        <v>44</v>
      </c>
      <c r="AF913" s="1">
        <v>10038</v>
      </c>
      <c r="AI913" s="1" t="s">
        <v>264</v>
      </c>
      <c r="AJ913" s="1">
        <v>2018</v>
      </c>
      <c r="AK913" s="1" t="s">
        <v>49</v>
      </c>
      <c r="AL913" s="1">
        <v>98</v>
      </c>
    </row>
    <row r="914" spans="1:38" x14ac:dyDescent="0.2">
      <c r="A914" s="2" t="str">
        <f>HYPERLINK("https://www.compass.com/listing/161-maiden-lane-unit-duplex14-manhattan-ny-10038/29514209700150689/","161 Maiden Ln, Unit DUPLEX14")</f>
        <v>161 Maiden Ln, Unit DUPLEX14</v>
      </c>
      <c r="B914" s="2" t="str">
        <f t="shared" si="118"/>
        <v>Seaport Residences</v>
      </c>
      <c r="C914" s="1" t="s">
        <v>96</v>
      </c>
      <c r="D914" s="1" t="s">
        <v>41</v>
      </c>
      <c r="E914" s="3">
        <v>4250000</v>
      </c>
      <c r="F914" s="1">
        <v>2215.8498435870601</v>
      </c>
      <c r="G914" s="1">
        <v>4</v>
      </c>
      <c r="H914" s="1">
        <v>2</v>
      </c>
      <c r="I914" s="1">
        <v>3</v>
      </c>
      <c r="J914" s="1">
        <v>2.5</v>
      </c>
      <c r="K914" s="1">
        <v>2</v>
      </c>
      <c r="L914" s="1">
        <v>1</v>
      </c>
      <c r="M914" s="4">
        <v>1918</v>
      </c>
      <c r="N914" s="1">
        <v>2823</v>
      </c>
      <c r="O914" s="1">
        <v>5610</v>
      </c>
      <c r="P914" s="1">
        <v>2787</v>
      </c>
      <c r="Q914" s="1" t="s">
        <v>42</v>
      </c>
      <c r="S914" s="1" t="s">
        <v>42</v>
      </c>
      <c r="T914" s="1" t="s">
        <v>228</v>
      </c>
      <c r="U914" s="1">
        <v>76</v>
      </c>
      <c r="V914" s="5">
        <v>44427</v>
      </c>
      <c r="W914" s="5">
        <v>42619</v>
      </c>
      <c r="X914" s="1">
        <v>4250000</v>
      </c>
      <c r="Z914" s="5">
        <v>42696</v>
      </c>
      <c r="AB914" s="1" t="s">
        <v>44</v>
      </c>
      <c r="AF914" s="1">
        <v>10038</v>
      </c>
      <c r="AI914" s="1" t="s">
        <v>264</v>
      </c>
      <c r="AJ914" s="1">
        <v>2018</v>
      </c>
      <c r="AK914" s="1" t="s">
        <v>49</v>
      </c>
      <c r="AL914" s="1">
        <v>98</v>
      </c>
    </row>
    <row r="915" spans="1:38" x14ac:dyDescent="0.2">
      <c r="A915" s="2" t="str">
        <f>HYPERLINK("https://www.compass.com/listing/130-william-street-unit-19e-manhattan-ny-10038/756185073304988441/","130 William St, Unit 19E")</f>
        <v>130 William St, Unit 19E</v>
      </c>
      <c r="B915" s="2" t="str">
        <f t="shared" ref="B915:B919" si="119">HYPERLINK("https://www.compass.com/building/130-william-st-manhattan-ny-10038/282029682239486757/","130 William St")</f>
        <v>130 William St</v>
      </c>
      <c r="C915" s="1" t="s">
        <v>96</v>
      </c>
      <c r="D915" s="1" t="s">
        <v>41</v>
      </c>
      <c r="E915" s="3">
        <v>2250990</v>
      </c>
      <c r="F915" s="1">
        <v>1597.5798438608899</v>
      </c>
      <c r="G915" s="1">
        <v>4</v>
      </c>
      <c r="H915" s="1">
        <v>2</v>
      </c>
      <c r="I915" s="1">
        <v>3</v>
      </c>
      <c r="J915" s="1">
        <v>2.5</v>
      </c>
      <c r="K915" s="1">
        <v>2</v>
      </c>
      <c r="L915" s="1">
        <v>1</v>
      </c>
      <c r="M915" s="4">
        <v>1409</v>
      </c>
      <c r="N915" s="1">
        <v>958</v>
      </c>
      <c r="O915" s="1">
        <v>2813</v>
      </c>
      <c r="P915" s="1">
        <v>1855</v>
      </c>
      <c r="Q915" s="1" t="s">
        <v>42</v>
      </c>
      <c r="S915" s="1" t="s">
        <v>42</v>
      </c>
      <c r="T915" s="1" t="s">
        <v>228</v>
      </c>
      <c r="U915" s="1">
        <v>2</v>
      </c>
      <c r="V915" s="5">
        <v>44425</v>
      </c>
      <c r="W915" s="5">
        <v>44293</v>
      </c>
      <c r="X915" s="1">
        <v>2250990</v>
      </c>
      <c r="Z915" s="5">
        <v>44296</v>
      </c>
      <c r="AB915" s="1" t="s">
        <v>44</v>
      </c>
      <c r="AF915" s="1">
        <v>10038</v>
      </c>
      <c r="AI915" s="1" t="s">
        <v>111</v>
      </c>
      <c r="AJ915" s="1">
        <v>2020</v>
      </c>
      <c r="AK915" s="1" t="s">
        <v>46</v>
      </c>
      <c r="AL915" s="1">
        <v>244</v>
      </c>
    </row>
    <row r="916" spans="1:38" x14ac:dyDescent="0.2">
      <c r="A916" s="2" t="str">
        <f>HYPERLINK("https://www.compass.com/listing/130-william-street-unit-27d-manhattan-ny-10038/665319283537445905/","130 William St, Unit 27D")</f>
        <v>130 William St, Unit 27D</v>
      </c>
      <c r="B916" s="2" t="str">
        <f t="shared" si="119"/>
        <v>130 William St</v>
      </c>
      <c r="C916" s="1" t="s">
        <v>96</v>
      </c>
      <c r="D916" s="1" t="s">
        <v>41</v>
      </c>
      <c r="E916" s="3">
        <v>2165990</v>
      </c>
      <c r="F916" s="1">
        <v>1765.27302363488</v>
      </c>
      <c r="G916" s="1">
        <v>4</v>
      </c>
      <c r="H916" s="1">
        <v>2</v>
      </c>
      <c r="I916" s="1">
        <v>2</v>
      </c>
      <c r="J916" s="1">
        <v>2</v>
      </c>
      <c r="K916" s="1">
        <v>2</v>
      </c>
      <c r="M916" s="4">
        <v>1227</v>
      </c>
      <c r="N916" s="1">
        <v>859.17</v>
      </c>
      <c r="O916" s="1">
        <v>2523.66</v>
      </c>
      <c r="P916" s="1">
        <v>1664.5</v>
      </c>
      <c r="Q916" s="1" t="s">
        <v>42</v>
      </c>
      <c r="S916" s="1" t="s">
        <v>42</v>
      </c>
      <c r="T916" s="1" t="s">
        <v>228</v>
      </c>
      <c r="V916" s="5">
        <v>44424</v>
      </c>
      <c r="W916" s="5">
        <v>44169</v>
      </c>
      <c r="X916" s="1">
        <v>2165990</v>
      </c>
      <c r="Z916" s="5">
        <v>44170</v>
      </c>
      <c r="AB916" s="1" t="s">
        <v>44</v>
      </c>
      <c r="AF916" s="1">
        <v>10038</v>
      </c>
      <c r="AI916" s="1" t="s">
        <v>111</v>
      </c>
      <c r="AJ916" s="1">
        <v>2020</v>
      </c>
      <c r="AK916" s="1" t="s">
        <v>46</v>
      </c>
      <c r="AL916" s="1">
        <v>244</v>
      </c>
    </row>
    <row r="917" spans="1:38" x14ac:dyDescent="0.2">
      <c r="A917" s="2" t="str">
        <f>HYPERLINK("https://www.compass.com/listing/130-william-street-unit-11f-manhattan-ny-10038/613826062147247897/","130 William St, Unit 11F")</f>
        <v>130 William St, Unit 11F</v>
      </c>
      <c r="B917" s="2" t="str">
        <f t="shared" si="119"/>
        <v>130 William St</v>
      </c>
      <c r="C917" s="1" t="s">
        <v>96</v>
      </c>
      <c r="D917" s="1" t="s">
        <v>41</v>
      </c>
      <c r="E917" s="3">
        <v>2060990</v>
      </c>
      <c r="F917" s="1">
        <v>1463.7713068181799</v>
      </c>
      <c r="G917" s="1">
        <v>4.5</v>
      </c>
      <c r="H917" s="1">
        <v>2</v>
      </c>
      <c r="I917" s="1">
        <v>3</v>
      </c>
      <c r="J917" s="1">
        <v>2.5</v>
      </c>
      <c r="K917" s="1">
        <v>2</v>
      </c>
      <c r="L917" s="1">
        <v>1</v>
      </c>
      <c r="M917" s="4">
        <v>1408</v>
      </c>
      <c r="N917" s="1">
        <v>941.54</v>
      </c>
      <c r="O917" s="1">
        <v>2765.62</v>
      </c>
      <c r="P917" s="1">
        <v>1824.0833333333301</v>
      </c>
      <c r="Q917" s="1" t="s">
        <v>42</v>
      </c>
      <c r="S917" s="1" t="s">
        <v>42</v>
      </c>
      <c r="T917" s="1" t="s">
        <v>228</v>
      </c>
      <c r="V917" s="5">
        <v>44415</v>
      </c>
      <c r="W917" s="5">
        <v>44098</v>
      </c>
      <c r="X917" s="1">
        <v>2060990</v>
      </c>
      <c r="Z917" s="5">
        <v>44099</v>
      </c>
      <c r="AB917" s="1" t="s">
        <v>44</v>
      </c>
      <c r="AF917" s="1">
        <v>10038</v>
      </c>
      <c r="AI917" s="1" t="s">
        <v>111</v>
      </c>
      <c r="AJ917" s="1">
        <v>2020</v>
      </c>
      <c r="AK917" s="1" t="s">
        <v>46</v>
      </c>
      <c r="AL917" s="1">
        <v>244</v>
      </c>
    </row>
    <row r="918" spans="1:38" x14ac:dyDescent="0.2">
      <c r="A918" s="2" t="str">
        <f>HYPERLINK("https://www.compass.com/listing/130-william-street-unit-28d-manhattan-ny-10038/613827544657532849/","130 William St, Unit 28D")</f>
        <v>130 William St, Unit 28D</v>
      </c>
      <c r="B918" s="2" t="str">
        <f t="shared" si="119"/>
        <v>130 William St</v>
      </c>
      <c r="C918" s="1" t="s">
        <v>96</v>
      </c>
      <c r="D918" s="1" t="s">
        <v>41</v>
      </c>
      <c r="E918" s="3">
        <v>2215990</v>
      </c>
      <c r="F918" s="1">
        <v>1806.0228198858999</v>
      </c>
      <c r="G918" s="1">
        <v>4.5</v>
      </c>
      <c r="H918" s="1">
        <v>2</v>
      </c>
      <c r="I918" s="1">
        <v>3</v>
      </c>
      <c r="J918" s="1">
        <v>2.5</v>
      </c>
      <c r="K918" s="1">
        <v>2</v>
      </c>
      <c r="L918" s="1">
        <v>1</v>
      </c>
      <c r="M918" s="4">
        <v>1227</v>
      </c>
      <c r="N918" s="1">
        <v>861.44</v>
      </c>
      <c r="O918" s="1">
        <v>2550.3200000000002</v>
      </c>
      <c r="P918" s="1">
        <v>1688.9166666666599</v>
      </c>
      <c r="Q918" s="1" t="s">
        <v>42</v>
      </c>
      <c r="S918" s="1" t="s">
        <v>42</v>
      </c>
      <c r="T918" s="1" t="s">
        <v>228</v>
      </c>
      <c r="U918" s="1">
        <v>420</v>
      </c>
      <c r="V918" s="5">
        <v>44424</v>
      </c>
      <c r="W918" s="5">
        <v>43584</v>
      </c>
      <c r="X918" s="1">
        <v>2215990</v>
      </c>
      <c r="Z918" s="5">
        <v>44099</v>
      </c>
      <c r="AB918" s="1" t="s">
        <v>44</v>
      </c>
      <c r="AF918" s="1">
        <v>10038</v>
      </c>
      <c r="AI918" s="1" t="s">
        <v>111</v>
      </c>
      <c r="AJ918" s="1">
        <v>2020</v>
      </c>
      <c r="AK918" s="1" t="s">
        <v>46</v>
      </c>
      <c r="AL918" s="1">
        <v>244</v>
      </c>
    </row>
    <row r="919" spans="1:38" x14ac:dyDescent="0.2">
      <c r="A919" s="2" t="str">
        <f>HYPERLINK("https://www.compass.com/listing/130-william-street-unit-23e-manhattan-ny-10038/801634090998574329/","130 William St, Unit 23E")</f>
        <v>130 William St, Unit 23E</v>
      </c>
      <c r="B919" s="2" t="str">
        <f t="shared" si="119"/>
        <v>130 William St</v>
      </c>
      <c r="C919" s="1" t="s">
        <v>96</v>
      </c>
      <c r="D919" s="1" t="s">
        <v>41</v>
      </c>
      <c r="E919" s="3">
        <v>2500990</v>
      </c>
      <c r="F919" s="1">
        <v>1700.1971447994499</v>
      </c>
      <c r="G919" s="1">
        <v>4</v>
      </c>
      <c r="H919" s="1">
        <v>2</v>
      </c>
      <c r="I919" s="1">
        <v>3</v>
      </c>
      <c r="J919" s="1">
        <v>2.5</v>
      </c>
      <c r="K919" s="1">
        <v>2</v>
      </c>
      <c r="L919" s="1">
        <v>1</v>
      </c>
      <c r="M919" s="4">
        <v>1471</v>
      </c>
      <c r="N919" s="1">
        <v>1014.39</v>
      </c>
      <c r="O919" s="1">
        <v>2979.59</v>
      </c>
      <c r="P919" s="1">
        <v>1965.1666666666599</v>
      </c>
      <c r="Q919" s="1" t="s">
        <v>42</v>
      </c>
      <c r="S919" s="1" t="s">
        <v>42</v>
      </c>
      <c r="T919" s="1" t="s">
        <v>228</v>
      </c>
      <c r="U919" s="1">
        <v>19</v>
      </c>
      <c r="V919" s="5">
        <v>44425</v>
      </c>
      <c r="W919" s="5">
        <v>44286</v>
      </c>
      <c r="X919" s="1">
        <v>2500990</v>
      </c>
      <c r="Z919" s="5">
        <v>44306</v>
      </c>
      <c r="AB919" s="1" t="s">
        <v>44</v>
      </c>
      <c r="AF919" s="1">
        <v>10038</v>
      </c>
      <c r="AI919" s="1" t="s">
        <v>111</v>
      </c>
      <c r="AJ919" s="1">
        <v>2020</v>
      </c>
      <c r="AK919" s="1" t="s">
        <v>46</v>
      </c>
      <c r="AL919" s="1">
        <v>244</v>
      </c>
    </row>
    <row r="920" spans="1:38" x14ac:dyDescent="0.2">
      <c r="A920" s="2" t="str">
        <f>HYPERLINK("https://www.compass.com/listing/161-maiden-lane-unit-14a-manhattan-ny-10038/29514183242441569/","161 Maiden Ln, Unit 14A")</f>
        <v>161 Maiden Ln, Unit 14A</v>
      </c>
      <c r="B920" s="2" t="str">
        <f t="shared" ref="B920:B923" si="120">HYPERLINK("https://www.compass.com/building/seaport-residences-manhattan-ny/282029834819877765/","Seaport Residences")</f>
        <v>Seaport Residences</v>
      </c>
      <c r="C920" s="1" t="s">
        <v>96</v>
      </c>
      <c r="D920" s="1" t="s">
        <v>41</v>
      </c>
      <c r="E920" s="3">
        <v>3250000</v>
      </c>
      <c r="F920" s="1">
        <v>1901.69689877121</v>
      </c>
      <c r="G920" s="1">
        <v>4</v>
      </c>
      <c r="H920" s="1">
        <v>2</v>
      </c>
      <c r="I920" s="1">
        <v>3</v>
      </c>
      <c r="J920" s="1">
        <v>2.5</v>
      </c>
      <c r="K920" s="1">
        <v>2</v>
      </c>
      <c r="L920" s="1">
        <v>1</v>
      </c>
      <c r="M920" s="4">
        <v>1709</v>
      </c>
      <c r="N920" s="1">
        <v>2507</v>
      </c>
      <c r="O920" s="1">
        <v>4646</v>
      </c>
      <c r="P920" s="1">
        <v>2139</v>
      </c>
      <c r="Q920" s="1" t="s">
        <v>42</v>
      </c>
      <c r="S920" s="1" t="s">
        <v>42</v>
      </c>
      <c r="T920" s="1" t="s">
        <v>228</v>
      </c>
      <c r="U920" s="1">
        <v>1</v>
      </c>
      <c r="V920" s="5">
        <v>44427</v>
      </c>
      <c r="W920" s="5">
        <v>43097</v>
      </c>
      <c r="X920" s="1">
        <v>3250000</v>
      </c>
      <c r="Z920" s="5">
        <v>43098</v>
      </c>
      <c r="AB920" s="1" t="s">
        <v>44</v>
      </c>
      <c r="AF920" s="1">
        <v>10038</v>
      </c>
      <c r="AI920" s="1" t="s">
        <v>265</v>
      </c>
      <c r="AJ920" s="1">
        <v>2018</v>
      </c>
      <c r="AK920" s="1" t="s">
        <v>49</v>
      </c>
      <c r="AL920" s="1">
        <v>98</v>
      </c>
    </row>
    <row r="921" spans="1:38" x14ac:dyDescent="0.2">
      <c r="A921" s="2" t="str">
        <f>HYPERLINK("https://www.compass.com/listing/161-maiden-lane-unit-ph4-manhattan-ny-10038/29514187713569745/","161 Maiden Ln, Unit PH4")</f>
        <v>161 Maiden Ln, Unit PH4</v>
      </c>
      <c r="B921" s="2" t="str">
        <f t="shared" si="120"/>
        <v>Seaport Residences</v>
      </c>
      <c r="C921" s="1" t="s">
        <v>96</v>
      </c>
      <c r="D921" s="1" t="s">
        <v>41</v>
      </c>
      <c r="E921" s="3">
        <v>7220000</v>
      </c>
      <c r="F921" s="1">
        <v>2731.7442300416101</v>
      </c>
      <c r="G921" s="1">
        <v>6</v>
      </c>
      <c r="H921" s="1">
        <v>3</v>
      </c>
      <c r="I921" s="1">
        <v>3</v>
      </c>
      <c r="J921" s="1">
        <v>2.5</v>
      </c>
      <c r="K921" s="1">
        <v>2</v>
      </c>
      <c r="L921" s="1">
        <v>1</v>
      </c>
      <c r="M921" s="4">
        <v>2643</v>
      </c>
      <c r="N921" s="1">
        <v>3900</v>
      </c>
      <c r="O921" s="1">
        <v>7745</v>
      </c>
      <c r="P921" s="1">
        <v>3845</v>
      </c>
      <c r="Q921" s="1" t="s">
        <v>42</v>
      </c>
      <c r="S921" s="1" t="s">
        <v>42</v>
      </c>
      <c r="T921" s="1" t="s">
        <v>228</v>
      </c>
      <c r="U921" s="1">
        <v>385</v>
      </c>
      <c r="V921" s="5">
        <v>44427</v>
      </c>
      <c r="W921" s="5">
        <v>42459</v>
      </c>
      <c r="X921" s="1">
        <v>7220000</v>
      </c>
      <c r="Z921" s="5">
        <v>42845</v>
      </c>
      <c r="AB921" s="1" t="s">
        <v>44</v>
      </c>
      <c r="AF921" s="1">
        <v>10038</v>
      </c>
      <c r="AI921" s="1" t="s">
        <v>203</v>
      </c>
      <c r="AJ921" s="1">
        <v>2018</v>
      </c>
      <c r="AK921" s="1" t="s">
        <v>49</v>
      </c>
      <c r="AL921" s="1">
        <v>98</v>
      </c>
    </row>
    <row r="922" spans="1:38" x14ac:dyDescent="0.2">
      <c r="A922" s="2" t="str">
        <f>HYPERLINK("https://www.compass.com/listing/161-maiden-lane-unit-ph6-manhattan-ny-10038/29514196421039777/","161 Maiden Ln, Unit PH6")</f>
        <v>161 Maiden Ln, Unit PH6</v>
      </c>
      <c r="B922" s="2" t="str">
        <f t="shared" si="120"/>
        <v>Seaport Residences</v>
      </c>
      <c r="C922" s="1" t="s">
        <v>96</v>
      </c>
      <c r="D922" s="1" t="s">
        <v>41</v>
      </c>
      <c r="E922" s="3">
        <v>7070000</v>
      </c>
      <c r="F922" s="1">
        <v>2674.99054105183</v>
      </c>
      <c r="G922" s="1">
        <v>6</v>
      </c>
      <c r="H922" s="1">
        <v>3</v>
      </c>
      <c r="I922" s="1">
        <v>3</v>
      </c>
      <c r="J922" s="1">
        <v>2.5</v>
      </c>
      <c r="K922" s="1">
        <v>2</v>
      </c>
      <c r="L922" s="1">
        <v>1</v>
      </c>
      <c r="M922" s="4">
        <v>2643</v>
      </c>
      <c r="N922" s="1">
        <v>3883</v>
      </c>
      <c r="O922" s="1">
        <v>7712</v>
      </c>
      <c r="P922" s="1">
        <v>3829</v>
      </c>
      <c r="Q922" s="1" t="s">
        <v>42</v>
      </c>
      <c r="S922" s="1" t="s">
        <v>42</v>
      </c>
      <c r="T922" s="1" t="s">
        <v>228</v>
      </c>
      <c r="U922" s="1">
        <v>1</v>
      </c>
      <c r="V922" s="5">
        <v>44427</v>
      </c>
      <c r="W922" s="5">
        <v>42852</v>
      </c>
      <c r="X922" s="1">
        <v>7070000</v>
      </c>
      <c r="Z922" s="5">
        <v>42853</v>
      </c>
      <c r="AB922" s="1" t="s">
        <v>44</v>
      </c>
      <c r="AF922" s="1">
        <v>10038</v>
      </c>
      <c r="AI922" s="1" t="s">
        <v>266</v>
      </c>
      <c r="AJ922" s="1">
        <v>2018</v>
      </c>
      <c r="AK922" s="1" t="s">
        <v>49</v>
      </c>
      <c r="AL922" s="1">
        <v>98</v>
      </c>
    </row>
    <row r="923" spans="1:38" x14ac:dyDescent="0.2">
      <c r="A923" s="2" t="str">
        <f>HYPERLINK("https://www.compass.com/listing/161-maiden-lane-unit-ph7-manhattan-ny-10038/29514207628164433/","161 Maiden Ln, Unit PH7")</f>
        <v>161 Maiden Ln, Unit PH7</v>
      </c>
      <c r="B923" s="2" t="str">
        <f t="shared" si="120"/>
        <v>Seaport Residences</v>
      </c>
      <c r="C923" s="1" t="s">
        <v>96</v>
      </c>
      <c r="D923" s="1" t="s">
        <v>41</v>
      </c>
      <c r="E923" s="3">
        <v>6995000</v>
      </c>
      <c r="F923" s="1">
        <v>2646.6136965569399</v>
      </c>
      <c r="G923" s="1">
        <v>6</v>
      </c>
      <c r="H923" s="1">
        <v>3</v>
      </c>
      <c r="I923" s="1">
        <v>3</v>
      </c>
      <c r="J923" s="1">
        <v>2.5</v>
      </c>
      <c r="K923" s="1">
        <v>2</v>
      </c>
      <c r="L923" s="1">
        <v>1</v>
      </c>
      <c r="M923" s="4">
        <v>2643</v>
      </c>
      <c r="N923" s="1">
        <v>3883</v>
      </c>
      <c r="O923" s="1">
        <v>7712</v>
      </c>
      <c r="P923" s="1">
        <v>3829</v>
      </c>
      <c r="Q923" s="1" t="s">
        <v>42</v>
      </c>
      <c r="S923" s="1" t="s">
        <v>42</v>
      </c>
      <c r="T923" s="1" t="s">
        <v>228</v>
      </c>
      <c r="U923" s="1">
        <v>4</v>
      </c>
      <c r="V923" s="5">
        <v>44427</v>
      </c>
      <c r="W923" s="5">
        <v>42790</v>
      </c>
      <c r="X923" s="1">
        <v>6995000</v>
      </c>
      <c r="Z923" s="5">
        <v>42795</v>
      </c>
      <c r="AB923" s="1" t="s">
        <v>44</v>
      </c>
      <c r="AF923" s="1">
        <v>10038</v>
      </c>
      <c r="AI923" s="1" t="s">
        <v>266</v>
      </c>
      <c r="AJ923" s="1">
        <v>2018</v>
      </c>
      <c r="AK923" s="1" t="s">
        <v>49</v>
      </c>
      <c r="AL923" s="1">
        <v>98</v>
      </c>
    </row>
    <row r="924" spans="1:38" x14ac:dyDescent="0.2">
      <c r="A924" s="2" t="str">
        <f>HYPERLINK("https://www.compass.com/listing/252-south-street-unit-20e-manhattan-ny-10002/814563851363989009/","252 South St, Unit 20E")</f>
        <v>252 South St, Unit 20E</v>
      </c>
      <c r="B924" s="2" t="str">
        <f>HYPERLINK("https://www.compass.com/building/one-manhattan-square-manhattan-ny/294844950218926165/","One Manhattan Square")</f>
        <v>One Manhattan Square</v>
      </c>
      <c r="C924" s="1" t="s">
        <v>47</v>
      </c>
      <c r="D924" s="1" t="s">
        <v>41</v>
      </c>
      <c r="E924" s="3">
        <v>2495000</v>
      </c>
      <c r="F924" s="1">
        <v>2221.7275155832499</v>
      </c>
      <c r="G924" s="1">
        <v>4</v>
      </c>
      <c r="H924" s="1">
        <v>2</v>
      </c>
      <c r="I924" s="1">
        <v>2</v>
      </c>
      <c r="J924" s="1">
        <v>2</v>
      </c>
      <c r="K924" s="1">
        <v>2</v>
      </c>
      <c r="M924" s="4">
        <v>1123</v>
      </c>
      <c r="N924" s="1">
        <v>1270</v>
      </c>
      <c r="O924" s="1">
        <v>1290</v>
      </c>
      <c r="P924" s="1">
        <v>20</v>
      </c>
      <c r="Q924" s="1" t="s">
        <v>42</v>
      </c>
      <c r="S924" s="1" t="s">
        <v>42</v>
      </c>
      <c r="T924" s="1" t="s">
        <v>228</v>
      </c>
      <c r="U924" s="1">
        <v>4</v>
      </c>
      <c r="V924" s="5">
        <v>44376</v>
      </c>
      <c r="W924" s="5">
        <v>44372</v>
      </c>
      <c r="X924" s="1">
        <v>2495000</v>
      </c>
      <c r="Z924" s="5">
        <v>44376</v>
      </c>
      <c r="AB924" s="1" t="s">
        <v>44</v>
      </c>
      <c r="AF924" s="1">
        <v>10002</v>
      </c>
      <c r="AI924" s="1" t="s">
        <v>246</v>
      </c>
      <c r="AJ924" s="1">
        <v>2019</v>
      </c>
      <c r="AK924" s="1" t="s">
        <v>46</v>
      </c>
      <c r="AL924" s="1">
        <v>787</v>
      </c>
    </row>
    <row r="925" spans="1:38" x14ac:dyDescent="0.2">
      <c r="A925" s="2" t="str">
        <f>HYPERLINK("https://www.compass.com/listing/130-william-street-unit-25d-manhattan-ny-10038/165119294974244369/","130 William St, Unit 25D")</f>
        <v>130 William St, Unit 25D</v>
      </c>
      <c r="B925" s="2" t="str">
        <f t="shared" ref="B925:B933" si="121">HYPERLINK("https://www.compass.com/building/130-william-st-manhattan-ny-10038/282029682239486757/","130 William St")</f>
        <v>130 William St</v>
      </c>
      <c r="C925" s="1" t="s">
        <v>96</v>
      </c>
      <c r="D925" s="1" t="s">
        <v>41</v>
      </c>
      <c r="E925" s="3">
        <v>2070990</v>
      </c>
      <c r="F925" s="1">
        <v>1687.84841075794</v>
      </c>
      <c r="G925" s="1">
        <v>4</v>
      </c>
      <c r="H925" s="1">
        <v>2</v>
      </c>
      <c r="I925" s="1">
        <v>2</v>
      </c>
      <c r="J925" s="1">
        <v>2</v>
      </c>
      <c r="K925" s="1">
        <v>2</v>
      </c>
      <c r="M925" s="4">
        <v>1227</v>
      </c>
      <c r="N925" s="1">
        <v>854.85</v>
      </c>
      <c r="O925" s="1">
        <v>2510.98</v>
      </c>
      <c r="P925" s="1">
        <v>1656.1666666666599</v>
      </c>
      <c r="Q925" s="1" t="s">
        <v>42</v>
      </c>
      <c r="S925" s="1" t="s">
        <v>42</v>
      </c>
      <c r="T925" s="1" t="s">
        <v>228</v>
      </c>
      <c r="V925" s="5">
        <v>44414</v>
      </c>
      <c r="W925" s="5">
        <v>43479</v>
      </c>
      <c r="X925" s="1">
        <v>2070990</v>
      </c>
      <c r="Z925" s="5">
        <v>44156</v>
      </c>
      <c r="AB925" s="1" t="s">
        <v>44</v>
      </c>
      <c r="AF925" s="1">
        <v>10038</v>
      </c>
      <c r="AI925" s="1" t="s">
        <v>111</v>
      </c>
      <c r="AJ925" s="1">
        <v>2020</v>
      </c>
      <c r="AK925" s="1" t="s">
        <v>46</v>
      </c>
      <c r="AL925" s="1">
        <v>244</v>
      </c>
    </row>
    <row r="926" spans="1:38" x14ac:dyDescent="0.2">
      <c r="A926" s="2" t="str">
        <f>HYPERLINK("https://www.compass.com/listing/130-william-street-unit-42d-manhattan-ny-10038/165119296232581057/","130 William St, Unit 42D")</f>
        <v>130 William St, Unit 42D</v>
      </c>
      <c r="B926" s="2" t="str">
        <f t="shared" si="121"/>
        <v>130 William St</v>
      </c>
      <c r="C926" s="1" t="s">
        <v>96</v>
      </c>
      <c r="D926" s="1" t="s">
        <v>41</v>
      </c>
      <c r="E926" s="3">
        <v>2825990</v>
      </c>
      <c r="F926" s="1">
        <v>2349.1188694929301</v>
      </c>
      <c r="G926" s="1">
        <v>4</v>
      </c>
      <c r="H926" s="1">
        <v>2</v>
      </c>
      <c r="I926" s="1">
        <v>2</v>
      </c>
      <c r="J926" s="1">
        <v>2</v>
      </c>
      <c r="K926" s="1">
        <v>2</v>
      </c>
      <c r="M926" s="4">
        <v>1203</v>
      </c>
      <c r="N926" s="1">
        <v>889.12</v>
      </c>
      <c r="O926" s="1">
        <v>2611.64</v>
      </c>
      <c r="P926" s="1">
        <v>1722.5</v>
      </c>
      <c r="Q926" s="1" t="s">
        <v>42</v>
      </c>
      <c r="S926" s="1" t="s">
        <v>42</v>
      </c>
      <c r="T926" s="1" t="s">
        <v>228</v>
      </c>
      <c r="U926" s="1">
        <v>54</v>
      </c>
      <c r="V926" s="5">
        <v>44422</v>
      </c>
      <c r="W926" s="5">
        <v>44050</v>
      </c>
      <c r="X926" s="1">
        <v>2775990</v>
      </c>
      <c r="Z926" s="5">
        <v>44378</v>
      </c>
      <c r="AB926" s="1" t="s">
        <v>44</v>
      </c>
      <c r="AF926" s="1">
        <v>10038</v>
      </c>
      <c r="AI926" s="1" t="s">
        <v>267</v>
      </c>
      <c r="AJ926" s="1">
        <v>2020</v>
      </c>
      <c r="AK926" s="1" t="s">
        <v>46</v>
      </c>
      <c r="AL926" s="1">
        <v>244</v>
      </c>
    </row>
    <row r="927" spans="1:38" x14ac:dyDescent="0.2">
      <c r="A927" s="2" t="str">
        <f>HYPERLINK("https://www.compass.com/listing/130-william-street-unit-22e-manhattan-ny-10038/348215782091221873/","130 William St, Unit 22E")</f>
        <v>130 William St, Unit 22E</v>
      </c>
      <c r="B927" s="2" t="str">
        <f t="shared" si="121"/>
        <v>130 William St</v>
      </c>
      <c r="C927" s="1" t="s">
        <v>96</v>
      </c>
      <c r="D927" s="1" t="s">
        <v>41</v>
      </c>
      <c r="E927" s="3">
        <v>2475990</v>
      </c>
      <c r="F927" s="1">
        <v>1683.20190346702</v>
      </c>
      <c r="G927" s="1">
        <v>4.5</v>
      </c>
      <c r="H927" s="1">
        <v>2</v>
      </c>
      <c r="I927" s="1">
        <v>3</v>
      </c>
      <c r="J927" s="1">
        <v>2.5</v>
      </c>
      <c r="K927" s="1">
        <v>2</v>
      </c>
      <c r="L927" s="1">
        <v>1</v>
      </c>
      <c r="M927" s="4">
        <v>1471</v>
      </c>
      <c r="N927" s="1">
        <v>1012.12</v>
      </c>
      <c r="O927" s="1">
        <v>2972.93</v>
      </c>
      <c r="P927" s="1">
        <v>1960.8333333333301</v>
      </c>
      <c r="Q927" s="1" t="s">
        <v>42</v>
      </c>
      <c r="S927" s="1" t="s">
        <v>42</v>
      </c>
      <c r="T927" s="1" t="s">
        <v>228</v>
      </c>
      <c r="V927" s="5">
        <v>44421</v>
      </c>
      <c r="W927" s="5">
        <v>43717</v>
      </c>
      <c r="X927" s="1">
        <v>2475990</v>
      </c>
      <c r="Z927" s="5">
        <v>44257</v>
      </c>
      <c r="AB927" s="1" t="s">
        <v>44</v>
      </c>
      <c r="AF927" s="1">
        <v>10038</v>
      </c>
      <c r="AI927" s="1" t="s">
        <v>111</v>
      </c>
      <c r="AJ927" s="1">
        <v>2020</v>
      </c>
      <c r="AK927" s="1" t="s">
        <v>46</v>
      </c>
      <c r="AL927" s="1">
        <v>244</v>
      </c>
    </row>
    <row r="928" spans="1:38" x14ac:dyDescent="0.2">
      <c r="A928" s="2" t="str">
        <f>HYPERLINK("https://www.compass.com/listing/130-william-street-unit-29d-manhattan-ny-10038/444897388524554385/","130 William St, Unit 29D")</f>
        <v>130 William St, Unit 29D</v>
      </c>
      <c r="B928" s="2" t="str">
        <f t="shared" si="121"/>
        <v>130 William St</v>
      </c>
      <c r="C928" s="1" t="s">
        <v>96</v>
      </c>
      <c r="D928" s="1" t="s">
        <v>41</v>
      </c>
      <c r="E928" s="3">
        <v>2365990</v>
      </c>
      <c r="F928" s="1">
        <v>1928.2722086389499</v>
      </c>
      <c r="G928" s="1">
        <v>4</v>
      </c>
      <c r="H928" s="1">
        <v>2</v>
      </c>
      <c r="I928" s="1">
        <v>2</v>
      </c>
      <c r="J928" s="1">
        <v>2</v>
      </c>
      <c r="K928" s="1">
        <v>2</v>
      </c>
      <c r="M928" s="4">
        <v>1227</v>
      </c>
      <c r="N928" s="1">
        <v>875.96</v>
      </c>
      <c r="O928" s="1">
        <v>2572.98</v>
      </c>
      <c r="P928" s="1">
        <v>1697</v>
      </c>
      <c r="Q928" s="1" t="s">
        <v>42</v>
      </c>
      <c r="S928" s="1" t="s">
        <v>42</v>
      </c>
      <c r="T928" s="1" t="s">
        <v>228</v>
      </c>
      <c r="V928" s="5">
        <v>44420</v>
      </c>
      <c r="W928" s="5">
        <v>43865</v>
      </c>
      <c r="X928" s="1">
        <v>2365990</v>
      </c>
      <c r="Z928" s="5">
        <v>44103</v>
      </c>
      <c r="AB928" s="1" t="s">
        <v>44</v>
      </c>
      <c r="AF928" s="1">
        <v>10038</v>
      </c>
      <c r="AI928" s="1" t="s">
        <v>111</v>
      </c>
      <c r="AJ928" s="1">
        <v>2020</v>
      </c>
      <c r="AK928" s="1" t="s">
        <v>46</v>
      </c>
      <c r="AL928" s="1">
        <v>244</v>
      </c>
    </row>
    <row r="929" spans="1:38" x14ac:dyDescent="0.2">
      <c r="A929" s="2" t="str">
        <f>HYPERLINK("https://www.compass.com/listing/130-william-street-unit-25b-manhattan-ny-10038/51121473795916689/","130 William St, Unit 25B")</f>
        <v>130 William St, Unit 25B</v>
      </c>
      <c r="B929" s="2" t="str">
        <f t="shared" si="121"/>
        <v>130 William St</v>
      </c>
      <c r="C929" s="1" t="s">
        <v>96</v>
      </c>
      <c r="D929" s="1" t="s">
        <v>41</v>
      </c>
      <c r="E929" s="3">
        <v>2810990</v>
      </c>
      <c r="F929" s="1">
        <v>1855.4389438943799</v>
      </c>
      <c r="G929" s="1">
        <v>5</v>
      </c>
      <c r="H929" s="1">
        <v>3</v>
      </c>
      <c r="I929" s="1">
        <v>2</v>
      </c>
      <c r="J929" s="1">
        <v>2</v>
      </c>
      <c r="K929" s="1">
        <v>2</v>
      </c>
      <c r="M929" s="4">
        <v>1515</v>
      </c>
      <c r="N929" s="1">
        <v>1063</v>
      </c>
      <c r="O929" s="1">
        <v>3123</v>
      </c>
      <c r="P929" s="1">
        <v>2060</v>
      </c>
      <c r="Q929" s="1" t="s">
        <v>42</v>
      </c>
      <c r="S929" s="1" t="s">
        <v>42</v>
      </c>
      <c r="T929" s="1" t="s">
        <v>228</v>
      </c>
      <c r="U929" s="1">
        <v>41</v>
      </c>
      <c r="V929" s="5">
        <v>44415</v>
      </c>
      <c r="W929" s="5">
        <v>43321</v>
      </c>
      <c r="X929" s="1">
        <v>2810990</v>
      </c>
      <c r="Z929" s="5">
        <v>44103</v>
      </c>
      <c r="AB929" s="1" t="s">
        <v>44</v>
      </c>
      <c r="AF929" s="1">
        <v>10038</v>
      </c>
      <c r="AI929" s="1" t="s">
        <v>267</v>
      </c>
      <c r="AJ929" s="1">
        <v>2020</v>
      </c>
      <c r="AK929" s="1" t="s">
        <v>46</v>
      </c>
      <c r="AL929" s="1">
        <v>244</v>
      </c>
    </row>
    <row r="930" spans="1:38" x14ac:dyDescent="0.2">
      <c r="A930" s="2" t="str">
        <f>HYPERLINK("https://www.compass.com/listing/130-william-street-unit-l57a-manhattan-ny-10038/613811401986915385/","130 William St, Unit L57A")</f>
        <v>130 William St, Unit L57A</v>
      </c>
      <c r="B930" s="2" t="str">
        <f t="shared" si="121"/>
        <v>130 William St</v>
      </c>
      <c r="C930" s="1" t="s">
        <v>96</v>
      </c>
      <c r="D930" s="1" t="s">
        <v>41</v>
      </c>
      <c r="E930" s="3">
        <v>2780990</v>
      </c>
      <c r="F930" s="1">
        <v>2814.7672064777298</v>
      </c>
      <c r="G930" s="1">
        <v>4</v>
      </c>
      <c r="H930" s="1">
        <v>1</v>
      </c>
      <c r="I930" s="1">
        <v>2</v>
      </c>
      <c r="J930" s="1">
        <v>1.5</v>
      </c>
      <c r="K930" s="1">
        <v>1</v>
      </c>
      <c r="L930" s="1">
        <v>1</v>
      </c>
      <c r="M930" s="1">
        <v>988</v>
      </c>
      <c r="N930" s="1">
        <v>833.3</v>
      </c>
      <c r="O930" s="1">
        <v>2447.67</v>
      </c>
      <c r="P930" s="1">
        <v>1614.3333333333301</v>
      </c>
      <c r="Q930" s="1" t="s">
        <v>42</v>
      </c>
      <c r="S930" s="1" t="s">
        <v>42</v>
      </c>
      <c r="T930" s="1" t="s">
        <v>228</v>
      </c>
      <c r="V930" s="5">
        <v>44420</v>
      </c>
      <c r="W930" s="5">
        <v>44098</v>
      </c>
      <c r="X930" s="1">
        <v>2780990</v>
      </c>
      <c r="Z930" s="5">
        <v>44099</v>
      </c>
      <c r="AB930" s="1" t="s">
        <v>44</v>
      </c>
      <c r="AF930" s="1">
        <v>10038</v>
      </c>
      <c r="AI930" s="1" t="s">
        <v>192</v>
      </c>
      <c r="AJ930" s="1">
        <v>2020</v>
      </c>
      <c r="AK930" s="1" t="s">
        <v>46</v>
      </c>
      <c r="AL930" s="1">
        <v>244</v>
      </c>
    </row>
    <row r="931" spans="1:38" x14ac:dyDescent="0.2">
      <c r="A931" s="2" t="str">
        <f>HYPERLINK("https://www.compass.com/listing/130-william-street-unit-l56a-manhattan-ny-10038/725417139977140105/","130 William St, Unit L56A")</f>
        <v>130 William St, Unit L56A</v>
      </c>
      <c r="B931" s="2" t="str">
        <f t="shared" si="121"/>
        <v>130 William St</v>
      </c>
      <c r="C931" s="1" t="s">
        <v>96</v>
      </c>
      <c r="D931" s="1" t="s">
        <v>41</v>
      </c>
      <c r="E931" s="3">
        <v>2775990</v>
      </c>
      <c r="F931" s="1">
        <v>2809.7064777327901</v>
      </c>
      <c r="G931" s="1">
        <v>4</v>
      </c>
      <c r="H931" s="1">
        <v>1</v>
      </c>
      <c r="I931" s="1">
        <v>2</v>
      </c>
      <c r="J931" s="1">
        <v>1.5</v>
      </c>
      <c r="K931" s="1">
        <v>1</v>
      </c>
      <c r="L931" s="1">
        <v>1</v>
      </c>
      <c r="M931" s="1">
        <v>988</v>
      </c>
      <c r="N931" s="1">
        <v>832.84</v>
      </c>
      <c r="O931" s="1">
        <v>2446.33</v>
      </c>
      <c r="P931" s="1">
        <v>1613.5</v>
      </c>
      <c r="Q931" s="1" t="s">
        <v>42</v>
      </c>
      <c r="S931" s="1" t="s">
        <v>42</v>
      </c>
      <c r="T931" s="1" t="s">
        <v>228</v>
      </c>
      <c r="U931" s="1">
        <v>532</v>
      </c>
      <c r="V931" s="5">
        <v>44417</v>
      </c>
      <c r="W931" s="5">
        <v>43626</v>
      </c>
      <c r="X931" s="1">
        <v>2775990</v>
      </c>
      <c r="Z931" s="5">
        <v>44253</v>
      </c>
      <c r="AB931" s="1" t="s">
        <v>44</v>
      </c>
      <c r="AF931" s="1">
        <v>10038</v>
      </c>
      <c r="AI931" s="1" t="s">
        <v>192</v>
      </c>
      <c r="AJ931" s="1">
        <v>2020</v>
      </c>
      <c r="AK931" s="1" t="s">
        <v>46</v>
      </c>
      <c r="AL931" s="1">
        <v>244</v>
      </c>
    </row>
    <row r="932" spans="1:38" x14ac:dyDescent="0.2">
      <c r="A932" s="2" t="str">
        <f>HYPERLINK("https://www.compass.com/listing/130-william-street-unit-l58a-manhattan-ny-10038/75347212451711665/","130 William St, Unit L58A")</f>
        <v>130 William St, Unit L58A</v>
      </c>
      <c r="B932" s="2" t="str">
        <f t="shared" si="121"/>
        <v>130 William St</v>
      </c>
      <c r="C932" s="1" t="s">
        <v>96</v>
      </c>
      <c r="D932" s="1" t="s">
        <v>41</v>
      </c>
      <c r="E932" s="3">
        <v>2790990</v>
      </c>
      <c r="F932" s="1">
        <v>2824.8886639676098</v>
      </c>
      <c r="G932" s="1">
        <v>3</v>
      </c>
      <c r="H932" s="1">
        <v>1</v>
      </c>
      <c r="I932" s="1">
        <v>2</v>
      </c>
      <c r="J932" s="1">
        <v>1.5</v>
      </c>
      <c r="K932" s="1">
        <v>1</v>
      </c>
      <c r="L932" s="1">
        <v>1</v>
      </c>
      <c r="M932" s="1">
        <v>988</v>
      </c>
      <c r="N932" s="1">
        <v>834.2</v>
      </c>
      <c r="O932" s="1">
        <v>2450.33</v>
      </c>
      <c r="P932" s="1">
        <v>1616.1666666666599</v>
      </c>
      <c r="Q932" s="1" t="s">
        <v>42</v>
      </c>
      <c r="S932" s="1" t="s">
        <v>42</v>
      </c>
      <c r="T932" s="1" t="s">
        <v>228</v>
      </c>
      <c r="V932" s="5">
        <v>44417</v>
      </c>
      <c r="W932" s="5">
        <v>43355</v>
      </c>
      <c r="X932" s="1">
        <v>2790990</v>
      </c>
      <c r="Z932" s="5">
        <v>44253</v>
      </c>
      <c r="AB932" s="1" t="s">
        <v>44</v>
      </c>
      <c r="AF932" s="1">
        <v>10038</v>
      </c>
      <c r="AI932" s="1" t="s">
        <v>192</v>
      </c>
      <c r="AJ932" s="1">
        <v>2020</v>
      </c>
      <c r="AK932" s="1" t="s">
        <v>46</v>
      </c>
      <c r="AL932" s="1">
        <v>244</v>
      </c>
    </row>
    <row r="933" spans="1:38" x14ac:dyDescent="0.2">
      <c r="A933" s="2" t="str">
        <f>HYPERLINK("https://www.compass.com/listing/130-william-street-unit-62a-manhattan-ny-10038/713448045935869273/","130 William St, Unit 62A")</f>
        <v>130 William St, Unit 62A</v>
      </c>
      <c r="B933" s="2" t="str">
        <f t="shared" si="121"/>
        <v>130 William St</v>
      </c>
      <c r="C933" s="1" t="s">
        <v>96</v>
      </c>
      <c r="D933" s="1" t="s">
        <v>41</v>
      </c>
      <c r="E933" s="3">
        <v>7325990</v>
      </c>
      <c r="F933" s="1">
        <v>2881.9787568843399</v>
      </c>
      <c r="G933" s="1">
        <v>5</v>
      </c>
      <c r="H933" s="1">
        <v>3</v>
      </c>
      <c r="J933" s="1">
        <v>3.5</v>
      </c>
      <c r="M933" s="4">
        <v>2542</v>
      </c>
      <c r="N933" s="1">
        <v>2082</v>
      </c>
      <c r="O933" s="1">
        <v>6115</v>
      </c>
      <c r="P933" s="1">
        <v>4033</v>
      </c>
      <c r="S933" s="1" t="s">
        <v>42</v>
      </c>
      <c r="T933" s="1" t="s">
        <v>228</v>
      </c>
      <c r="U933" s="1">
        <v>1</v>
      </c>
      <c r="V933" s="5">
        <v>44282</v>
      </c>
      <c r="W933" s="5">
        <v>44235</v>
      </c>
      <c r="X933" s="1">
        <v>7325990</v>
      </c>
      <c r="Z933" s="5">
        <v>44236</v>
      </c>
      <c r="AB933" s="1" t="s">
        <v>44</v>
      </c>
      <c r="AF933" s="1">
        <v>10038</v>
      </c>
      <c r="AI933" s="1" t="s">
        <v>268</v>
      </c>
      <c r="AJ933" s="1">
        <v>2020</v>
      </c>
      <c r="AK933" s="1" t="s">
        <v>49</v>
      </c>
      <c r="AL933" s="1">
        <v>244</v>
      </c>
    </row>
    <row r="934" spans="1:38" x14ac:dyDescent="0.2">
      <c r="A934" s="2" t="str">
        <f>HYPERLINK("https://www.compass.com/listing/77-greenwich-street-unit-20b-manhattan-ny-10006/758642695846561393/","77 Greenwich St, Unit 20B")</f>
        <v>77 Greenwich St, Unit 20B</v>
      </c>
      <c r="B934" s="2" t="str">
        <f>HYPERLINK("https://www.compass.com/building/jolie-manhattan-ny/282060129363328789/","Jolie")</f>
        <v>Jolie</v>
      </c>
      <c r="C934" s="1" t="s">
        <v>96</v>
      </c>
      <c r="D934" s="1" t="s">
        <v>41</v>
      </c>
      <c r="E934" s="3">
        <v>1500000</v>
      </c>
      <c r="F934" s="1">
        <v>1781.4726840855101</v>
      </c>
      <c r="G934" s="1">
        <v>3.5</v>
      </c>
      <c r="H934" s="1">
        <v>1</v>
      </c>
      <c r="I934" s="1">
        <v>2</v>
      </c>
      <c r="J934" s="1">
        <v>1.5</v>
      </c>
      <c r="K934" s="1">
        <v>1</v>
      </c>
      <c r="L934" s="1">
        <v>1</v>
      </c>
      <c r="M934" s="1">
        <v>842</v>
      </c>
      <c r="N934" s="1">
        <v>903</v>
      </c>
      <c r="O934" s="1">
        <v>2362</v>
      </c>
      <c r="P934" s="1">
        <v>1459</v>
      </c>
      <c r="Q934" s="1" t="s">
        <v>42</v>
      </c>
      <c r="S934" s="1" t="s">
        <v>42</v>
      </c>
      <c r="T934" s="1" t="s">
        <v>228</v>
      </c>
      <c r="U934" s="1">
        <v>71</v>
      </c>
      <c r="V934" s="5">
        <v>44405</v>
      </c>
      <c r="W934" s="5">
        <v>44299</v>
      </c>
      <c r="X934" s="1">
        <v>1500000</v>
      </c>
      <c r="Z934" s="5">
        <v>44370</v>
      </c>
      <c r="AB934" s="1" t="s">
        <v>44</v>
      </c>
      <c r="AF934" s="1">
        <v>10006</v>
      </c>
      <c r="AI934" s="1" t="s">
        <v>168</v>
      </c>
      <c r="AJ934" s="1">
        <v>2019</v>
      </c>
      <c r="AK934" s="1" t="s">
        <v>46</v>
      </c>
      <c r="AL934" s="1">
        <v>90</v>
      </c>
    </row>
    <row r="935" spans="1:38" x14ac:dyDescent="0.2">
      <c r="A935" s="2" t="str">
        <f>HYPERLINK("https://www.compass.com/listing/130-william-street-unit-ph64b-manhattan-ny-10038/749434984884099801/","130 William St, Unit PH64B")</f>
        <v>130 William St, Unit PH64B</v>
      </c>
      <c r="B935" s="2" t="str">
        <f t="shared" ref="B935:B939" si="122">HYPERLINK("https://www.compass.com/building/130-william-st-manhattan-ny-10038/282029682239486757/","130 William St")</f>
        <v>130 William St</v>
      </c>
      <c r="C935" s="1" t="s">
        <v>96</v>
      </c>
      <c r="D935" s="1" t="s">
        <v>41</v>
      </c>
      <c r="E935" s="3">
        <v>7445990</v>
      </c>
      <c r="F935" s="1">
        <v>3007.2657512116298</v>
      </c>
      <c r="G935" s="1">
        <v>5.5</v>
      </c>
      <c r="H935" s="1">
        <v>3</v>
      </c>
      <c r="I935" s="1">
        <v>4</v>
      </c>
      <c r="J935" s="1">
        <v>3.5</v>
      </c>
      <c r="K935" s="1">
        <v>3</v>
      </c>
      <c r="L935" s="1">
        <v>1</v>
      </c>
      <c r="M935" s="4">
        <v>2476</v>
      </c>
      <c r="N935" s="1">
        <v>2078</v>
      </c>
      <c r="O935" s="1">
        <v>6103</v>
      </c>
      <c r="P935" s="1">
        <v>4025</v>
      </c>
      <c r="Q935" s="1" t="s">
        <v>42</v>
      </c>
      <c r="S935" s="1" t="s">
        <v>42</v>
      </c>
      <c r="T935" s="1" t="s">
        <v>228</v>
      </c>
      <c r="V935" s="5">
        <v>44425</v>
      </c>
      <c r="W935" s="5">
        <v>44285</v>
      </c>
      <c r="X935" s="1">
        <v>7445990</v>
      </c>
      <c r="Z935" s="5">
        <v>44285</v>
      </c>
      <c r="AB935" s="1" t="s">
        <v>44</v>
      </c>
      <c r="AF935" s="1">
        <v>10038</v>
      </c>
      <c r="AI935" s="1" t="s">
        <v>192</v>
      </c>
      <c r="AJ935" s="1">
        <v>2020</v>
      </c>
      <c r="AK935" s="1" t="s">
        <v>46</v>
      </c>
      <c r="AL935" s="1">
        <v>244</v>
      </c>
    </row>
    <row r="936" spans="1:38" x14ac:dyDescent="0.2">
      <c r="A936" s="2" t="str">
        <f>HYPERLINK("https://www.compass.com/listing/130-william-street-unit-ph62a-manhattan-ny-10038/217190193956970673/","130 William St, Unit PH62A")</f>
        <v>130 William St, Unit PH62A</v>
      </c>
      <c r="B936" s="2" t="str">
        <f t="shared" si="122"/>
        <v>130 William St</v>
      </c>
      <c r="C936" s="1" t="s">
        <v>96</v>
      </c>
      <c r="D936" s="1" t="s">
        <v>41</v>
      </c>
      <c r="E936" s="3">
        <v>7325990</v>
      </c>
      <c r="F936" s="1">
        <v>2881.9787568843399</v>
      </c>
      <c r="G936" s="1">
        <v>5.5</v>
      </c>
      <c r="H936" s="1">
        <v>3</v>
      </c>
      <c r="I936" s="1">
        <v>4</v>
      </c>
      <c r="J936" s="1">
        <v>3.5</v>
      </c>
      <c r="K936" s="1">
        <v>3</v>
      </c>
      <c r="L936" s="1">
        <v>1</v>
      </c>
      <c r="M936" s="4">
        <v>2542</v>
      </c>
      <c r="N936" s="1">
        <v>2082.11</v>
      </c>
      <c r="O936" s="1">
        <v>6115.83</v>
      </c>
      <c r="P936" s="1">
        <v>4033.75</v>
      </c>
      <c r="Q936" s="1" t="s">
        <v>42</v>
      </c>
      <c r="S936" s="1" t="s">
        <v>42</v>
      </c>
      <c r="T936" s="1" t="s">
        <v>228</v>
      </c>
      <c r="U936" s="1">
        <v>1</v>
      </c>
      <c r="V936" s="5">
        <v>44414</v>
      </c>
      <c r="W936" s="5">
        <v>43551</v>
      </c>
      <c r="X936" s="1">
        <v>7325990</v>
      </c>
      <c r="Z936" s="5">
        <v>43553</v>
      </c>
      <c r="AB936" s="1" t="s">
        <v>44</v>
      </c>
      <c r="AF936" s="1">
        <v>10038</v>
      </c>
      <c r="AI936" s="1" t="s">
        <v>192</v>
      </c>
      <c r="AJ936" s="1">
        <v>2020</v>
      </c>
      <c r="AK936" s="1" t="s">
        <v>46</v>
      </c>
      <c r="AL936" s="1">
        <v>244</v>
      </c>
    </row>
    <row r="937" spans="1:38" x14ac:dyDescent="0.2">
      <c r="A937" s="2" t="str">
        <f>HYPERLINK("https://www.compass.com/listing/130-william-street-unit-ph63a-manhattan-ny-10038/222408015339417569/","130 William St, Unit PH63A")</f>
        <v>130 William St, Unit PH63A</v>
      </c>
      <c r="B937" s="2" t="str">
        <f t="shared" si="122"/>
        <v>130 William St</v>
      </c>
      <c r="C937" s="1" t="s">
        <v>96</v>
      </c>
      <c r="D937" s="1" t="s">
        <v>41</v>
      </c>
      <c r="E937" s="3">
        <v>7360990</v>
      </c>
      <c r="F937" s="1">
        <v>2895.7474429582999</v>
      </c>
      <c r="G937" s="1">
        <v>5</v>
      </c>
      <c r="H937" s="1">
        <v>3</v>
      </c>
      <c r="I937" s="1">
        <v>4</v>
      </c>
      <c r="J937" s="1">
        <v>3.5</v>
      </c>
      <c r="K937" s="1">
        <v>3</v>
      </c>
      <c r="L937" s="1">
        <v>1</v>
      </c>
      <c r="M937" s="4">
        <v>2542</v>
      </c>
      <c r="N937" s="1">
        <v>2085.2800000000002</v>
      </c>
      <c r="O937" s="1">
        <v>6125.15</v>
      </c>
      <c r="P937" s="1">
        <v>4039.8333333333298</v>
      </c>
      <c r="Q937" s="1" t="s">
        <v>42</v>
      </c>
      <c r="S937" s="1" t="s">
        <v>42</v>
      </c>
      <c r="T937" s="1" t="s">
        <v>228</v>
      </c>
      <c r="V937" s="5">
        <v>44414</v>
      </c>
      <c r="W937" s="5">
        <v>43558</v>
      </c>
      <c r="X937" s="1">
        <v>7360990</v>
      </c>
      <c r="Z937" s="5">
        <v>44253</v>
      </c>
      <c r="AB937" s="1" t="s">
        <v>44</v>
      </c>
      <c r="AF937" s="1">
        <v>10038</v>
      </c>
      <c r="AI937" s="1" t="s">
        <v>192</v>
      </c>
      <c r="AJ937" s="1">
        <v>2020</v>
      </c>
      <c r="AK937" s="1" t="s">
        <v>46</v>
      </c>
      <c r="AL937" s="1">
        <v>244</v>
      </c>
    </row>
    <row r="938" spans="1:38" x14ac:dyDescent="0.2">
      <c r="A938" s="2" t="str">
        <f>HYPERLINK("https://www.compass.com/listing/130-william-street-unit-l56b-manhattan-ny-10038/292030256133543217/","130 William St, Unit L56B")</f>
        <v>130 William St, Unit L56B</v>
      </c>
      <c r="B938" s="2" t="str">
        <f t="shared" si="122"/>
        <v>130 William St</v>
      </c>
      <c r="C938" s="1" t="s">
        <v>96</v>
      </c>
      <c r="D938" s="1" t="s">
        <v>41</v>
      </c>
      <c r="E938" s="3">
        <v>4165990</v>
      </c>
      <c r="F938" s="1">
        <v>2760.76209410205</v>
      </c>
      <c r="G938" s="1">
        <v>4</v>
      </c>
      <c r="H938" s="1">
        <v>2</v>
      </c>
      <c r="I938" s="1">
        <v>3</v>
      </c>
      <c r="J938" s="1">
        <v>2.5</v>
      </c>
      <c r="K938" s="1">
        <v>2</v>
      </c>
      <c r="L938" s="1">
        <v>1</v>
      </c>
      <c r="M938" s="4">
        <v>1509</v>
      </c>
      <c r="N938" s="1">
        <v>1218.4000000000001</v>
      </c>
      <c r="O938" s="1">
        <v>3578.84</v>
      </c>
      <c r="P938" s="1">
        <v>2360.4166666666601</v>
      </c>
      <c r="Q938" s="1" t="s">
        <v>42</v>
      </c>
      <c r="S938" s="1" t="s">
        <v>42</v>
      </c>
      <c r="T938" s="1" t="s">
        <v>228</v>
      </c>
      <c r="V938" s="5">
        <v>44414</v>
      </c>
      <c r="W938" s="5">
        <v>43654</v>
      </c>
      <c r="X938" s="1">
        <v>4165990</v>
      </c>
      <c r="Z938" s="5">
        <v>44138</v>
      </c>
      <c r="AB938" s="1" t="s">
        <v>44</v>
      </c>
      <c r="AF938" s="1">
        <v>10038</v>
      </c>
      <c r="AI938" s="1" t="s">
        <v>203</v>
      </c>
      <c r="AJ938" s="1">
        <v>2020</v>
      </c>
      <c r="AK938" s="1" t="s">
        <v>46</v>
      </c>
      <c r="AL938" s="1">
        <v>244</v>
      </c>
    </row>
    <row r="939" spans="1:38" x14ac:dyDescent="0.2">
      <c r="A939" s="2" t="str">
        <f>HYPERLINK("https://www.compass.com/listing/130-william-street-unit-ph61a-manhattan-ny-10038/335512458575329025/","130 William St, Unit PH61A")</f>
        <v>130 William St, Unit PH61A</v>
      </c>
      <c r="B939" s="2" t="str">
        <f t="shared" si="122"/>
        <v>130 William St</v>
      </c>
      <c r="C939" s="1" t="s">
        <v>96</v>
      </c>
      <c r="D939" s="1" t="s">
        <v>41</v>
      </c>
      <c r="E939" s="3">
        <v>8195990</v>
      </c>
      <c r="F939" s="1">
        <v>3228.0385978731701</v>
      </c>
      <c r="G939" s="1">
        <v>5.5</v>
      </c>
      <c r="H939" s="1">
        <v>3</v>
      </c>
      <c r="I939" s="1">
        <v>4</v>
      </c>
      <c r="J939" s="1">
        <v>3.5</v>
      </c>
      <c r="K939" s="1">
        <v>3</v>
      </c>
      <c r="L939" s="1">
        <v>1</v>
      </c>
      <c r="M939" s="4">
        <v>2539</v>
      </c>
      <c r="N939" s="1">
        <v>2067.13</v>
      </c>
      <c r="O939" s="1">
        <v>6071.83</v>
      </c>
      <c r="P939" s="1">
        <v>4004.6666666666601</v>
      </c>
      <c r="Q939" s="1" t="s">
        <v>42</v>
      </c>
      <c r="S939" s="1" t="s">
        <v>42</v>
      </c>
      <c r="T939" s="1" t="s">
        <v>228</v>
      </c>
      <c r="U939" s="1">
        <v>2</v>
      </c>
      <c r="V939" s="5">
        <v>44414</v>
      </c>
      <c r="W939" s="5">
        <v>43712</v>
      </c>
      <c r="X939" s="1">
        <v>8195990</v>
      </c>
      <c r="Z939" s="5">
        <v>44098</v>
      </c>
      <c r="AB939" s="1" t="s">
        <v>44</v>
      </c>
      <c r="AF939" s="1">
        <v>10038</v>
      </c>
      <c r="AI939" s="1" t="s">
        <v>192</v>
      </c>
      <c r="AJ939" s="1">
        <v>2020</v>
      </c>
      <c r="AK939" s="1" t="s">
        <v>46</v>
      </c>
      <c r="AL939" s="1">
        <v>244</v>
      </c>
    </row>
    <row r="940" spans="1:38" x14ac:dyDescent="0.2">
      <c r="A940" s="2" t="str">
        <f>HYPERLINK("https://www.compass.com/listing/252-south-street-unit-37j-manhattan-ny-10002/814563936306874473/","252 South St, Unit 37J")</f>
        <v>252 South St, Unit 37J</v>
      </c>
      <c r="B940" s="2" t="str">
        <f>HYPERLINK("https://www.compass.com/building/one-manhattan-square-manhattan-ny/294844950218926165/","One Manhattan Square")</f>
        <v>One Manhattan Square</v>
      </c>
      <c r="C940" s="1" t="s">
        <v>47</v>
      </c>
      <c r="D940" s="1" t="s">
        <v>41</v>
      </c>
      <c r="E940" s="3">
        <v>1445000</v>
      </c>
      <c r="F940" s="1">
        <v>2079.13669064748</v>
      </c>
      <c r="G940" s="1">
        <v>3</v>
      </c>
      <c r="H940" s="1">
        <v>1</v>
      </c>
      <c r="I940" s="1">
        <v>1</v>
      </c>
      <c r="J940" s="1">
        <v>1</v>
      </c>
      <c r="K940" s="1">
        <v>1</v>
      </c>
      <c r="M940" s="1">
        <v>695</v>
      </c>
      <c r="N940" s="1">
        <v>845</v>
      </c>
      <c r="O940" s="1">
        <v>858</v>
      </c>
      <c r="P940" s="1">
        <v>13</v>
      </c>
      <c r="Q940" s="1" t="s">
        <v>42</v>
      </c>
      <c r="S940" s="1" t="s">
        <v>42</v>
      </c>
      <c r="T940" s="1" t="s">
        <v>228</v>
      </c>
      <c r="U940" s="1">
        <v>4</v>
      </c>
      <c r="V940" s="5">
        <v>44376</v>
      </c>
      <c r="W940" s="5">
        <v>44372</v>
      </c>
      <c r="X940" s="1">
        <v>1445000</v>
      </c>
      <c r="Z940" s="5">
        <v>44376</v>
      </c>
      <c r="AB940" s="1" t="s">
        <v>44</v>
      </c>
      <c r="AF940" s="1">
        <v>10002</v>
      </c>
      <c r="AI940" s="1" t="s">
        <v>246</v>
      </c>
      <c r="AJ940" s="1">
        <v>2019</v>
      </c>
      <c r="AK940" s="1" t="s">
        <v>46</v>
      </c>
      <c r="AL940" s="1">
        <v>787</v>
      </c>
    </row>
    <row r="941" spans="1:38" x14ac:dyDescent="0.2">
      <c r="A941" s="2" t="str">
        <f>HYPERLINK("https://www.compass.com/listing/130-william-street-unit-ph62b-manhattan-ny-10038/257797727834940225/","130 William St, Unit PH62B")</f>
        <v>130 William St, Unit PH62B</v>
      </c>
      <c r="B941" s="2" t="str">
        <f t="shared" ref="B941:B943" si="123">HYPERLINK("https://www.compass.com/building/130-william-st-manhattan-ny-10038/282029682239486757/","130 William St")</f>
        <v>130 William St</v>
      </c>
      <c r="C941" s="1" t="s">
        <v>96</v>
      </c>
      <c r="D941" s="1" t="s">
        <v>41</v>
      </c>
      <c r="E941" s="3">
        <v>7125990</v>
      </c>
      <c r="F941" s="1">
        <v>2878.0250403877199</v>
      </c>
      <c r="G941" s="1">
        <v>5</v>
      </c>
      <c r="H941" s="1">
        <v>3</v>
      </c>
      <c r="I941" s="1">
        <v>4</v>
      </c>
      <c r="J941" s="1">
        <v>3.5</v>
      </c>
      <c r="K941" s="1">
        <v>3</v>
      </c>
      <c r="L941" s="1">
        <v>1</v>
      </c>
      <c r="M941" s="4">
        <v>2476</v>
      </c>
      <c r="N941" s="1">
        <v>2071.44</v>
      </c>
      <c r="O941" s="1">
        <v>6084.5</v>
      </c>
      <c r="P941" s="1">
        <v>4013.0833333333298</v>
      </c>
      <c r="Q941" s="1" t="s">
        <v>42</v>
      </c>
      <c r="S941" s="1" t="s">
        <v>42</v>
      </c>
      <c r="T941" s="1" t="s">
        <v>228</v>
      </c>
      <c r="V941" s="5">
        <v>44414</v>
      </c>
      <c r="W941" s="5">
        <v>43607</v>
      </c>
      <c r="X941" s="1">
        <v>7125990</v>
      </c>
      <c r="Z941" s="5">
        <v>44103</v>
      </c>
      <c r="AB941" s="1" t="s">
        <v>44</v>
      </c>
      <c r="AF941" s="1">
        <v>10038</v>
      </c>
      <c r="AI941" s="1" t="s">
        <v>225</v>
      </c>
      <c r="AJ941" s="1">
        <v>2020</v>
      </c>
      <c r="AK941" s="1" t="s">
        <v>46</v>
      </c>
      <c r="AL941" s="1">
        <v>244</v>
      </c>
    </row>
    <row r="942" spans="1:38" x14ac:dyDescent="0.2">
      <c r="A942" s="2" t="str">
        <f>HYPERLINK("https://www.compass.com/listing/130-william-street-unit-54a-manhattan-ny-10038/621734017764779233/","130 William St, Unit 54A")</f>
        <v>130 William St, Unit 54A</v>
      </c>
      <c r="B942" s="2" t="str">
        <f t="shared" si="123"/>
        <v>130 William St</v>
      </c>
      <c r="C942" s="1" t="s">
        <v>96</v>
      </c>
      <c r="D942" s="1" t="s">
        <v>41</v>
      </c>
      <c r="E942" s="3">
        <v>6645990</v>
      </c>
      <c r="F942" s="1">
        <v>2663.72344689378</v>
      </c>
      <c r="G942" s="1">
        <v>7</v>
      </c>
      <c r="H942" s="1">
        <v>4</v>
      </c>
      <c r="I942" s="1">
        <v>5</v>
      </c>
      <c r="J942" s="1">
        <v>4.5</v>
      </c>
      <c r="K942" s="1">
        <v>4</v>
      </c>
      <c r="L942" s="1">
        <v>1</v>
      </c>
      <c r="M942" s="4">
        <v>2495</v>
      </c>
      <c r="N942" s="1">
        <v>1932.56</v>
      </c>
      <c r="O942" s="1">
        <v>5676.5599999999904</v>
      </c>
      <c r="P942" s="1">
        <v>3744</v>
      </c>
      <c r="Q942" s="1" t="s">
        <v>42</v>
      </c>
      <c r="S942" s="1" t="s">
        <v>42</v>
      </c>
      <c r="T942" s="1" t="s">
        <v>228</v>
      </c>
      <c r="V942" s="5">
        <v>44414</v>
      </c>
      <c r="W942" s="5">
        <v>44109</v>
      </c>
      <c r="X942" s="1">
        <v>6645990</v>
      </c>
      <c r="Z942" s="5">
        <v>44110</v>
      </c>
      <c r="AB942" s="1" t="s">
        <v>44</v>
      </c>
      <c r="AF942" s="1">
        <v>10038</v>
      </c>
      <c r="AI942" s="1" t="s">
        <v>111</v>
      </c>
      <c r="AJ942" s="1">
        <v>2020</v>
      </c>
      <c r="AK942" s="1" t="s">
        <v>46</v>
      </c>
      <c r="AL942" s="1">
        <v>244</v>
      </c>
    </row>
    <row r="943" spans="1:38" x14ac:dyDescent="0.2">
      <c r="A943" s="2" t="str">
        <f>HYPERLINK("https://www.compass.com/listing/130-william-street-unit-55a-manhattan-ny-10038/733280031139235745/","130 William St, Unit 55A")</f>
        <v>130 William St, Unit 55A</v>
      </c>
      <c r="B943" s="2" t="str">
        <f t="shared" si="123"/>
        <v>130 William St</v>
      </c>
      <c r="C943" s="1" t="s">
        <v>96</v>
      </c>
      <c r="D943" s="1" t="s">
        <v>41</v>
      </c>
      <c r="E943" s="3">
        <v>3685990</v>
      </c>
      <c r="F943" s="1">
        <v>2568.6341463414601</v>
      </c>
      <c r="G943" s="1">
        <v>5</v>
      </c>
      <c r="H943" s="1">
        <v>2</v>
      </c>
      <c r="I943" s="1">
        <v>3</v>
      </c>
      <c r="J943" s="1">
        <v>2.5</v>
      </c>
      <c r="K943" s="1">
        <v>2</v>
      </c>
      <c r="L943" s="1">
        <v>1</v>
      </c>
      <c r="M943" s="4">
        <v>1435</v>
      </c>
      <c r="N943" s="1">
        <v>1082.24</v>
      </c>
      <c r="O943" s="1">
        <v>3178.89</v>
      </c>
      <c r="P943" s="1">
        <v>2096.6666666666601</v>
      </c>
      <c r="Q943" s="1" t="s">
        <v>42</v>
      </c>
      <c r="S943" s="1" t="s">
        <v>42</v>
      </c>
      <c r="T943" s="1" t="s">
        <v>228</v>
      </c>
      <c r="U943" s="1">
        <v>217</v>
      </c>
      <c r="V943" s="5">
        <v>44413</v>
      </c>
      <c r="W943" s="5">
        <v>44047</v>
      </c>
      <c r="X943" s="1">
        <v>3685990</v>
      </c>
      <c r="Z943" s="5">
        <v>44265</v>
      </c>
      <c r="AB943" s="1" t="s">
        <v>44</v>
      </c>
      <c r="AF943" s="1">
        <v>10038</v>
      </c>
      <c r="AI943" s="1" t="s">
        <v>111</v>
      </c>
      <c r="AJ943" s="1">
        <v>2020</v>
      </c>
      <c r="AK943" s="1" t="s">
        <v>46</v>
      </c>
      <c r="AL943" s="1">
        <v>244</v>
      </c>
    </row>
    <row r="944" spans="1:38" x14ac:dyDescent="0.2">
      <c r="A944" s="2" t="str">
        <f>HYPERLINK("https://www.compass.com/listing/77-greenwich-street-unit-15d-manhattan-ny-10006/758642428533567033/","77 Greenwich St, Unit 15D")</f>
        <v>77 Greenwich St, Unit 15D</v>
      </c>
      <c r="B944" s="2" t="str">
        <f>HYPERLINK("https://www.compass.com/building/jolie-manhattan-ny/282060129363328789/","Jolie")</f>
        <v>Jolie</v>
      </c>
      <c r="C944" s="1" t="s">
        <v>96</v>
      </c>
      <c r="D944" s="1" t="s">
        <v>41</v>
      </c>
      <c r="E944" s="3">
        <v>1995000</v>
      </c>
      <c r="F944" s="1">
        <v>1455.14223194748</v>
      </c>
      <c r="G944" s="1">
        <v>4</v>
      </c>
      <c r="H944" s="1">
        <v>2</v>
      </c>
      <c r="I944" s="1">
        <v>3</v>
      </c>
      <c r="J944" s="1">
        <v>2.5</v>
      </c>
      <c r="K944" s="1">
        <v>2</v>
      </c>
      <c r="L944" s="1">
        <v>1</v>
      </c>
      <c r="M944" s="4">
        <v>1371</v>
      </c>
      <c r="N944" s="1">
        <v>1470</v>
      </c>
      <c r="O944" s="1">
        <v>3845</v>
      </c>
      <c r="P944" s="1">
        <v>2375</v>
      </c>
      <c r="Q944" s="1" t="s">
        <v>42</v>
      </c>
      <c r="S944" s="1" t="s">
        <v>42</v>
      </c>
      <c r="T944" s="1" t="s">
        <v>228</v>
      </c>
      <c r="U944" s="1">
        <v>64</v>
      </c>
      <c r="V944" s="5">
        <v>44405</v>
      </c>
      <c r="W944" s="5">
        <v>44299</v>
      </c>
      <c r="X944" s="1">
        <v>1995000</v>
      </c>
      <c r="Z944" s="5">
        <v>44363</v>
      </c>
      <c r="AB944" s="1" t="s">
        <v>44</v>
      </c>
      <c r="AF944" s="1">
        <v>10006</v>
      </c>
      <c r="AI944" s="1" t="s">
        <v>168</v>
      </c>
      <c r="AJ944" s="1">
        <v>2019</v>
      </c>
      <c r="AK944" s="1" t="s">
        <v>46</v>
      </c>
      <c r="AL944" s="1">
        <v>90</v>
      </c>
    </row>
    <row r="945" spans="1:38" x14ac:dyDescent="0.2">
      <c r="A945" s="2" t="str">
        <f>HYPERLINK("https://www.compass.com/listing/130-william-street-unit-52a-manhattan-ny-10038/171619770834189233/","130 William St, Unit 52A")</f>
        <v>130 William St, Unit 52A</v>
      </c>
      <c r="B945" s="2" t="str">
        <f>HYPERLINK("https://www.compass.com/building/130-william-st-manhattan-ny-10038/282029682239486757/","130 William St")</f>
        <v>130 William St</v>
      </c>
      <c r="C945" s="1" t="s">
        <v>96</v>
      </c>
      <c r="D945" s="1" t="s">
        <v>41</v>
      </c>
      <c r="E945" s="3">
        <v>6975990</v>
      </c>
      <c r="F945" s="1">
        <v>2795.9879759518999</v>
      </c>
      <c r="G945" s="1">
        <v>7</v>
      </c>
      <c r="H945" s="1">
        <v>4</v>
      </c>
      <c r="I945" s="1">
        <v>5</v>
      </c>
      <c r="J945" s="1">
        <v>4.5</v>
      </c>
      <c r="K945" s="1">
        <v>4</v>
      </c>
      <c r="L945" s="1">
        <v>1</v>
      </c>
      <c r="M945" s="4">
        <v>2495</v>
      </c>
      <c r="N945" s="1">
        <v>1923.71</v>
      </c>
      <c r="O945" s="1">
        <v>5650.5599999999904</v>
      </c>
      <c r="P945" s="1">
        <v>3726.8333333333298</v>
      </c>
      <c r="Q945" s="1" t="s">
        <v>42</v>
      </c>
      <c r="S945" s="1" t="s">
        <v>42</v>
      </c>
      <c r="T945" s="1" t="s">
        <v>228</v>
      </c>
      <c r="U945" s="1">
        <v>205</v>
      </c>
      <c r="V945" s="5">
        <v>44414</v>
      </c>
      <c r="W945" s="5">
        <v>43488</v>
      </c>
      <c r="X945" s="1">
        <v>6890990</v>
      </c>
      <c r="Z945" s="5">
        <v>44274</v>
      </c>
      <c r="AB945" s="1" t="s">
        <v>44</v>
      </c>
      <c r="AF945" s="1">
        <v>10038</v>
      </c>
      <c r="AI945" s="1" t="s">
        <v>111</v>
      </c>
      <c r="AJ945" s="1">
        <v>2020</v>
      </c>
      <c r="AK945" s="1" t="s">
        <v>46</v>
      </c>
      <c r="AL945" s="1">
        <v>244</v>
      </c>
    </row>
    <row r="946" spans="1:38" x14ac:dyDescent="0.2">
      <c r="A946" s="2" t="str">
        <f>HYPERLINK("https://www.compass.com/listing/77-greenwich-street-unit-26d-manhattan-ny-10006/785471496982011721/","77 Greenwich St, Unit 26D")</f>
        <v>77 Greenwich St, Unit 26D</v>
      </c>
      <c r="B946" s="2" t="str">
        <f>HYPERLINK("https://www.compass.com/building/jolie-manhattan-ny/282060129363328789/","Jolie")</f>
        <v>Jolie</v>
      </c>
      <c r="C946" s="1" t="s">
        <v>96</v>
      </c>
      <c r="D946" s="1" t="s">
        <v>41</v>
      </c>
      <c r="E946" s="3">
        <v>2800000</v>
      </c>
      <c r="F946" s="1">
        <v>2042.3048869438301</v>
      </c>
      <c r="G946" s="1">
        <v>4.5</v>
      </c>
      <c r="H946" s="1">
        <v>2</v>
      </c>
      <c r="I946" s="1">
        <v>3</v>
      </c>
      <c r="J946" s="1">
        <v>2.5</v>
      </c>
      <c r="K946" s="1">
        <v>2</v>
      </c>
      <c r="L946" s="1">
        <v>1</v>
      </c>
      <c r="M946" s="4">
        <v>1371</v>
      </c>
      <c r="N946" s="1">
        <v>1419</v>
      </c>
      <c r="O946" s="1">
        <v>3794</v>
      </c>
      <c r="P946" s="1">
        <v>2375</v>
      </c>
      <c r="Q946" s="1" t="s">
        <v>42</v>
      </c>
      <c r="S946" s="1" t="s">
        <v>42</v>
      </c>
      <c r="T946" s="1" t="s">
        <v>228</v>
      </c>
      <c r="V946" s="5">
        <v>44405</v>
      </c>
      <c r="W946" s="5">
        <v>44336</v>
      </c>
      <c r="X946" s="1">
        <v>2800000</v>
      </c>
      <c r="Z946" s="5">
        <v>44336</v>
      </c>
      <c r="AB946" s="1" t="s">
        <v>44</v>
      </c>
      <c r="AF946" s="1">
        <v>10006</v>
      </c>
      <c r="AI946" s="1" t="s">
        <v>168</v>
      </c>
      <c r="AJ946" s="1">
        <v>2019</v>
      </c>
      <c r="AK946" s="1" t="s">
        <v>46</v>
      </c>
      <c r="AL946" s="1">
        <v>90</v>
      </c>
    </row>
    <row r="947" spans="1:38" x14ac:dyDescent="0.2">
      <c r="A947" s="2" t="str">
        <f>HYPERLINK("https://www.compass.com/listing/252-south-street-unit-60b-manhattan-ny-10002/810730812455624849/","252 South St, Unit 60B")</f>
        <v>252 South St, Unit 60B</v>
      </c>
      <c r="B947" s="2" t="str">
        <f>HYPERLINK("https://www.compass.com/building/one-manhattan-square-manhattan-ny/294844950218926165/","One Manhattan Square")</f>
        <v>One Manhattan Square</v>
      </c>
      <c r="C947" s="1" t="s">
        <v>47</v>
      </c>
      <c r="D947" s="1" t="s">
        <v>41</v>
      </c>
      <c r="E947" s="3">
        <v>2889000</v>
      </c>
      <c r="F947" s="1">
        <v>2794.0038684719502</v>
      </c>
      <c r="G947" s="1">
        <v>4</v>
      </c>
      <c r="H947" s="1">
        <v>2</v>
      </c>
      <c r="I947" s="1">
        <v>2</v>
      </c>
      <c r="J947" s="1">
        <v>2</v>
      </c>
      <c r="K947" s="1">
        <v>2</v>
      </c>
      <c r="M947" s="4">
        <v>1034</v>
      </c>
      <c r="N947" s="1">
        <v>1390</v>
      </c>
      <c r="O947" s="1">
        <v>1412</v>
      </c>
      <c r="P947" s="1">
        <v>22</v>
      </c>
      <c r="Q947" s="1" t="s">
        <v>42</v>
      </c>
      <c r="S947" s="1" t="s">
        <v>42</v>
      </c>
      <c r="T947" s="1" t="s">
        <v>228</v>
      </c>
      <c r="U947" s="1">
        <v>2</v>
      </c>
      <c r="V947" s="5">
        <v>44385</v>
      </c>
      <c r="W947" s="5">
        <v>44368</v>
      </c>
      <c r="X947" s="1">
        <v>2889000</v>
      </c>
      <c r="Z947" s="5">
        <v>44370</v>
      </c>
      <c r="AB947" s="1" t="s">
        <v>44</v>
      </c>
      <c r="AF947" s="1">
        <v>10002</v>
      </c>
      <c r="AI947" s="1" t="s">
        <v>246</v>
      </c>
      <c r="AJ947" s="1">
        <v>2019</v>
      </c>
      <c r="AK947" s="1" t="s">
        <v>46</v>
      </c>
      <c r="AL947" s="1">
        <v>787</v>
      </c>
    </row>
    <row r="948" spans="1:38" x14ac:dyDescent="0.2">
      <c r="A948" s="2" t="str">
        <f>HYPERLINK("https://www.compass.com/listing/77-greenwich-street-unit-23b-manhattan-ny-10006/634167183272402337/","77 Greenwich St, Unit 23B")</f>
        <v>77 Greenwich St, Unit 23B</v>
      </c>
      <c r="B948" s="2" t="str">
        <f t="shared" ref="B948:B949" si="124">HYPERLINK("https://www.compass.com/building/jolie-manhattan-ny/282060129363328789/","Jolie")</f>
        <v>Jolie</v>
      </c>
      <c r="C948" s="1" t="s">
        <v>96</v>
      </c>
      <c r="D948" s="1" t="s">
        <v>41</v>
      </c>
      <c r="E948" s="3">
        <v>1720000</v>
      </c>
      <c r="F948" s="1">
        <v>2042.7553444180501</v>
      </c>
      <c r="G948" s="1">
        <v>3</v>
      </c>
      <c r="H948" s="1">
        <v>1</v>
      </c>
      <c r="I948" s="1">
        <v>2</v>
      </c>
      <c r="J948" s="1">
        <v>1.5</v>
      </c>
      <c r="K948" s="1">
        <v>1</v>
      </c>
      <c r="L948" s="1">
        <v>1</v>
      </c>
      <c r="M948" s="1">
        <v>842</v>
      </c>
      <c r="N948" s="1">
        <v>903</v>
      </c>
      <c r="O948" s="1">
        <v>2362</v>
      </c>
      <c r="P948" s="1">
        <v>1459</v>
      </c>
      <c r="Q948" s="1" t="s">
        <v>42</v>
      </c>
      <c r="S948" s="1" t="s">
        <v>42</v>
      </c>
      <c r="T948" s="1" t="s">
        <v>228</v>
      </c>
      <c r="U948" s="1">
        <v>22</v>
      </c>
      <c r="V948" s="5">
        <v>44404</v>
      </c>
      <c r="W948" s="5">
        <v>44126</v>
      </c>
      <c r="X948" s="1">
        <v>1720000</v>
      </c>
      <c r="Z948" s="5">
        <v>44149</v>
      </c>
      <c r="AB948" s="1" t="s">
        <v>44</v>
      </c>
      <c r="AF948" s="1">
        <v>10006</v>
      </c>
      <c r="AI948" s="1" t="s">
        <v>65</v>
      </c>
      <c r="AJ948" s="1">
        <v>2019</v>
      </c>
      <c r="AK948" s="1" t="s">
        <v>46</v>
      </c>
      <c r="AL948" s="1">
        <v>90</v>
      </c>
    </row>
    <row r="949" spans="1:38" x14ac:dyDescent="0.2">
      <c r="A949" s="2" t="str">
        <f>HYPERLINK("https://www.compass.com/listing/77-greenwich-street-manhattan-ny-10006/633823652083076161/","77 Greenwich St, Unit 28B")</f>
        <v>77 Greenwich St, Unit 28B</v>
      </c>
      <c r="B949" s="2" t="str">
        <f t="shared" si="124"/>
        <v>Jolie</v>
      </c>
      <c r="C949" s="1" t="s">
        <v>96</v>
      </c>
      <c r="D949" s="1" t="s">
        <v>41</v>
      </c>
      <c r="E949" s="3">
        <v>2875000</v>
      </c>
      <c r="F949" s="1">
        <v>1933.4229993275001</v>
      </c>
      <c r="G949" s="1">
        <v>5</v>
      </c>
      <c r="H949" s="1">
        <v>2</v>
      </c>
      <c r="J949" s="1">
        <v>2.5</v>
      </c>
      <c r="M949" s="4">
        <v>1487</v>
      </c>
      <c r="N949" s="1">
        <v>1539</v>
      </c>
      <c r="O949" s="1">
        <v>4115</v>
      </c>
      <c r="P949" s="1">
        <v>2576</v>
      </c>
      <c r="S949" s="1" t="s">
        <v>42</v>
      </c>
      <c r="T949" s="1" t="s">
        <v>228</v>
      </c>
      <c r="U949" s="1">
        <v>79</v>
      </c>
      <c r="V949" s="5">
        <v>44335</v>
      </c>
      <c r="W949" s="5">
        <v>44125</v>
      </c>
      <c r="X949" s="1">
        <v>2875000</v>
      </c>
      <c r="Z949" s="5">
        <v>44204</v>
      </c>
      <c r="AB949" s="1" t="s">
        <v>44</v>
      </c>
      <c r="AF949" s="1">
        <v>10006</v>
      </c>
      <c r="AI949" s="1" t="s">
        <v>65</v>
      </c>
      <c r="AJ949" s="1">
        <v>2019</v>
      </c>
      <c r="AK949" s="1" t="s">
        <v>49</v>
      </c>
      <c r="AL949" s="1">
        <v>90</v>
      </c>
    </row>
    <row r="950" spans="1:38" x14ac:dyDescent="0.2">
      <c r="A950" s="2" t="str">
        <f>HYPERLINK("https://www.compass.com/listing/252-south-street-unit-57a-manhattan-ny-10002/786169881673503609/","252 South St, Unit 57A")</f>
        <v>252 South St, Unit 57A</v>
      </c>
      <c r="B950" s="2" t="str">
        <f t="shared" ref="B950:B959" si="125">HYPERLINK("https://www.compass.com/building/one-manhattan-square-manhattan-ny/294844950218926165/","One Manhattan Square")</f>
        <v>One Manhattan Square</v>
      </c>
      <c r="C950" s="1" t="s">
        <v>47</v>
      </c>
      <c r="D950" s="1" t="s">
        <v>41</v>
      </c>
      <c r="E950" s="3">
        <v>3068000</v>
      </c>
      <c r="F950" s="1">
        <v>2638.0051590713601</v>
      </c>
      <c r="G950" s="1">
        <v>4</v>
      </c>
      <c r="H950" s="1">
        <v>2</v>
      </c>
      <c r="I950" s="1">
        <v>2</v>
      </c>
      <c r="J950" s="1">
        <v>2</v>
      </c>
      <c r="K950" s="1">
        <v>2</v>
      </c>
      <c r="M950" s="4">
        <v>1163</v>
      </c>
      <c r="N950" s="1">
        <v>1538</v>
      </c>
      <c r="O950" s="1">
        <v>1562</v>
      </c>
      <c r="P950" s="1">
        <v>24</v>
      </c>
      <c r="Q950" s="1" t="s">
        <v>42</v>
      </c>
      <c r="S950" s="1" t="s">
        <v>42</v>
      </c>
      <c r="T950" s="1" t="s">
        <v>228</v>
      </c>
      <c r="U950" s="1">
        <v>14</v>
      </c>
      <c r="V950" s="5">
        <v>44351</v>
      </c>
      <c r="W950" s="5">
        <v>44337</v>
      </c>
      <c r="X950" s="1">
        <v>3068000</v>
      </c>
      <c r="Z950" s="5">
        <v>44351</v>
      </c>
      <c r="AB950" s="1" t="s">
        <v>44</v>
      </c>
      <c r="AF950" s="1">
        <v>10002</v>
      </c>
      <c r="AI950" s="1" t="s">
        <v>246</v>
      </c>
      <c r="AJ950" s="1">
        <v>2019</v>
      </c>
      <c r="AK950" s="1" t="s">
        <v>46</v>
      </c>
      <c r="AL950" s="1">
        <v>787</v>
      </c>
    </row>
    <row r="951" spans="1:38" x14ac:dyDescent="0.2">
      <c r="A951" s="2" t="str">
        <f>HYPERLINK("https://www.compass.com/listing/252-south-street-unit-37b-manhattan-ny-10002/773764560807801161/","252 South St, Unit 37B")</f>
        <v>252 South St, Unit 37B</v>
      </c>
      <c r="B951" s="2" t="str">
        <f t="shared" si="125"/>
        <v>One Manhattan Square</v>
      </c>
      <c r="C951" s="1" t="s">
        <v>47</v>
      </c>
      <c r="D951" s="1" t="s">
        <v>41</v>
      </c>
      <c r="E951" s="3">
        <v>2324000</v>
      </c>
      <c r="F951" s="1">
        <v>2223.9234449760702</v>
      </c>
      <c r="G951" s="1">
        <v>4</v>
      </c>
      <c r="H951" s="1">
        <v>2</v>
      </c>
      <c r="I951" s="1">
        <v>2</v>
      </c>
      <c r="J951" s="1">
        <v>2</v>
      </c>
      <c r="K951" s="1">
        <v>2</v>
      </c>
      <c r="M951" s="4">
        <v>1045</v>
      </c>
      <c r="N951" s="1">
        <v>1270</v>
      </c>
      <c r="O951" s="1">
        <v>1290</v>
      </c>
      <c r="P951" s="1">
        <v>20</v>
      </c>
      <c r="Q951" s="1" t="s">
        <v>42</v>
      </c>
      <c r="S951" s="1" t="s">
        <v>42</v>
      </c>
      <c r="T951" s="1" t="s">
        <v>228</v>
      </c>
      <c r="V951" s="5">
        <v>44319</v>
      </c>
      <c r="W951" s="5">
        <v>44319</v>
      </c>
      <c r="X951" s="1">
        <v>2324000</v>
      </c>
      <c r="Z951" s="5">
        <v>44319</v>
      </c>
      <c r="AB951" s="1" t="s">
        <v>44</v>
      </c>
      <c r="AF951" s="1">
        <v>10002</v>
      </c>
      <c r="AI951" s="1" t="s">
        <v>246</v>
      </c>
      <c r="AJ951" s="1">
        <v>2019</v>
      </c>
      <c r="AK951" s="1" t="s">
        <v>46</v>
      </c>
      <c r="AL951" s="1">
        <v>787</v>
      </c>
    </row>
    <row r="952" spans="1:38" x14ac:dyDescent="0.2">
      <c r="A952" s="2" t="str">
        <f>HYPERLINK("https://www.compass.com/listing/252-south-street-unit-22f-manhattan-ny-10002/797181197707796601/","252 South St, Unit 22F")</f>
        <v>252 South St, Unit 22F</v>
      </c>
      <c r="B952" s="2" t="str">
        <f t="shared" si="125"/>
        <v>One Manhattan Square</v>
      </c>
      <c r="C952" s="1" t="s">
        <v>47</v>
      </c>
      <c r="D952" s="1" t="s">
        <v>41</v>
      </c>
      <c r="E952" s="3">
        <v>1210000</v>
      </c>
      <c r="F952" s="1">
        <v>1741.0071942446</v>
      </c>
      <c r="G952" s="1">
        <v>3</v>
      </c>
      <c r="H952" s="1">
        <v>1</v>
      </c>
      <c r="I952" s="1">
        <v>1</v>
      </c>
      <c r="J952" s="1">
        <v>1</v>
      </c>
      <c r="K952" s="1">
        <v>1</v>
      </c>
      <c r="M952" s="1">
        <v>695</v>
      </c>
      <c r="N952" s="1">
        <v>793</v>
      </c>
      <c r="O952" s="1">
        <v>806</v>
      </c>
      <c r="P952" s="1">
        <v>13</v>
      </c>
      <c r="Q952" s="1" t="s">
        <v>42</v>
      </c>
      <c r="S952" s="1" t="s">
        <v>42</v>
      </c>
      <c r="T952" s="1" t="s">
        <v>228</v>
      </c>
      <c r="U952" s="1">
        <v>195</v>
      </c>
      <c r="V952" s="5">
        <v>44423</v>
      </c>
      <c r="W952" s="5">
        <v>44183</v>
      </c>
      <c r="X952" s="1">
        <v>1210000</v>
      </c>
      <c r="Z952" s="5">
        <v>44378</v>
      </c>
      <c r="AB952" s="1" t="s">
        <v>44</v>
      </c>
      <c r="AF952" s="1">
        <v>10002</v>
      </c>
      <c r="AI952" s="1" t="s">
        <v>191</v>
      </c>
      <c r="AJ952" s="1">
        <v>2019</v>
      </c>
      <c r="AK952" s="1" t="s">
        <v>46</v>
      </c>
      <c r="AL952" s="1">
        <v>787</v>
      </c>
    </row>
    <row r="953" spans="1:38" x14ac:dyDescent="0.2">
      <c r="A953" s="2" t="str">
        <f>HYPERLINK("https://www.compass.com/listing/252-south-street-unit-47c-manhattan-ny-10002/821070091925449473/","252 South St, Unit 47C")</f>
        <v>252 South St, Unit 47C</v>
      </c>
      <c r="B953" s="2" t="str">
        <f t="shared" si="125"/>
        <v>One Manhattan Square</v>
      </c>
      <c r="C953" s="1" t="s">
        <v>47</v>
      </c>
      <c r="D953" s="1" t="s">
        <v>41</v>
      </c>
      <c r="E953" s="3">
        <v>3260000</v>
      </c>
      <c r="F953" s="1">
        <v>2192.3335574983098</v>
      </c>
      <c r="G953" s="1">
        <v>5</v>
      </c>
      <c r="H953" s="1">
        <v>3</v>
      </c>
      <c r="I953" s="1">
        <v>3</v>
      </c>
      <c r="J953" s="1">
        <v>3</v>
      </c>
      <c r="K953" s="1">
        <v>3</v>
      </c>
      <c r="M953" s="4">
        <v>1487</v>
      </c>
      <c r="N953" s="1">
        <v>1888</v>
      </c>
      <c r="O953" s="1">
        <v>1918</v>
      </c>
      <c r="P953" s="1">
        <v>30</v>
      </c>
      <c r="Q953" s="1" t="s">
        <v>42</v>
      </c>
      <c r="S953" s="1" t="s">
        <v>42</v>
      </c>
      <c r="T953" s="1" t="s">
        <v>228</v>
      </c>
      <c r="U953" s="1">
        <v>55</v>
      </c>
      <c r="V953" s="5">
        <v>44385</v>
      </c>
      <c r="W953" s="5">
        <v>44330</v>
      </c>
      <c r="X953" s="1">
        <v>3260000</v>
      </c>
      <c r="Z953" s="5">
        <v>44385</v>
      </c>
      <c r="AB953" s="1" t="s">
        <v>44</v>
      </c>
      <c r="AF953" s="1">
        <v>10002</v>
      </c>
      <c r="AI953" s="1" t="s">
        <v>246</v>
      </c>
      <c r="AJ953" s="1">
        <v>2019</v>
      </c>
      <c r="AK953" s="1" t="s">
        <v>46</v>
      </c>
      <c r="AL953" s="1">
        <v>787</v>
      </c>
    </row>
    <row r="954" spans="1:38" x14ac:dyDescent="0.2">
      <c r="A954" s="2" t="str">
        <f>HYPERLINK("https://www.compass.com/listing/252-south-street-unit-11h-manhattan-ny-10002/698864042069608409/","252 South St, Unit 11H")</f>
        <v>252 South St, Unit 11H</v>
      </c>
      <c r="B954" s="2" t="str">
        <f t="shared" si="125"/>
        <v>One Manhattan Square</v>
      </c>
      <c r="C954" s="1" t="s">
        <v>47</v>
      </c>
      <c r="D954" s="1" t="s">
        <v>41</v>
      </c>
      <c r="E954" s="3">
        <v>1855000</v>
      </c>
      <c r="F954" s="1">
        <v>1604.67128027681</v>
      </c>
      <c r="G954" s="1">
        <v>4</v>
      </c>
      <c r="H954" s="1">
        <v>2</v>
      </c>
      <c r="I954" s="1">
        <v>2</v>
      </c>
      <c r="J954" s="1">
        <v>2</v>
      </c>
      <c r="K954" s="1">
        <v>2</v>
      </c>
      <c r="M954" s="4">
        <v>1156</v>
      </c>
      <c r="N954" s="1">
        <v>1258</v>
      </c>
      <c r="O954" s="1">
        <v>1278</v>
      </c>
      <c r="P954" s="1">
        <v>20</v>
      </c>
      <c r="Q954" s="1" t="s">
        <v>42</v>
      </c>
      <c r="S954" s="1" t="s">
        <v>42</v>
      </c>
      <c r="T954" s="1" t="s">
        <v>228</v>
      </c>
      <c r="U954" s="1">
        <v>163</v>
      </c>
      <c r="V954" s="5">
        <v>44423</v>
      </c>
      <c r="W954" s="5">
        <v>44215</v>
      </c>
      <c r="X954" s="1">
        <v>1855000</v>
      </c>
      <c r="Z954" s="5">
        <v>44379</v>
      </c>
      <c r="AB954" s="1" t="s">
        <v>44</v>
      </c>
      <c r="AF954" s="1">
        <v>10002</v>
      </c>
      <c r="AI954" s="1" t="s">
        <v>191</v>
      </c>
      <c r="AJ954" s="1">
        <v>2019</v>
      </c>
      <c r="AK954" s="1" t="s">
        <v>46</v>
      </c>
      <c r="AL954" s="1">
        <v>787</v>
      </c>
    </row>
    <row r="955" spans="1:38" x14ac:dyDescent="0.2">
      <c r="A955" s="2" t="str">
        <f>HYPERLINK("https://www.compass.com/listing/252-south-street-unit-62b-manhattan-ny-10002/760107358279684681/","252 South St, Unit 62B")</f>
        <v>252 South St, Unit 62B</v>
      </c>
      <c r="B955" s="2" t="str">
        <f t="shared" si="125"/>
        <v>One Manhattan Square</v>
      </c>
      <c r="C955" s="1" t="s">
        <v>47</v>
      </c>
      <c r="D955" s="1" t="s">
        <v>41</v>
      </c>
      <c r="E955" s="3">
        <v>2663000</v>
      </c>
      <c r="F955" s="1">
        <v>2575.4352030947698</v>
      </c>
      <c r="G955" s="1">
        <v>4</v>
      </c>
      <c r="H955" s="1">
        <v>2</v>
      </c>
      <c r="I955" s="1">
        <v>2</v>
      </c>
      <c r="J955" s="1">
        <v>2</v>
      </c>
      <c r="K955" s="1">
        <v>2</v>
      </c>
      <c r="M955" s="4">
        <v>1034</v>
      </c>
      <c r="N955" s="1">
        <v>1401</v>
      </c>
      <c r="O955" s="1">
        <v>1423</v>
      </c>
      <c r="P955" s="1">
        <v>22</v>
      </c>
      <c r="Q955" s="1" t="s">
        <v>42</v>
      </c>
      <c r="S955" s="1" t="s">
        <v>42</v>
      </c>
      <c r="T955" s="1" t="s">
        <v>228</v>
      </c>
      <c r="U955" s="1">
        <v>1</v>
      </c>
      <c r="V955" s="5">
        <v>44302</v>
      </c>
      <c r="W955" s="5">
        <v>44301</v>
      </c>
      <c r="X955" s="1">
        <v>2663000</v>
      </c>
      <c r="Z955" s="5">
        <v>44302</v>
      </c>
      <c r="AB955" s="1" t="s">
        <v>44</v>
      </c>
      <c r="AF955" s="1">
        <v>10002</v>
      </c>
      <c r="AI955" s="1" t="s">
        <v>246</v>
      </c>
      <c r="AJ955" s="1">
        <v>2019</v>
      </c>
      <c r="AK955" s="1" t="s">
        <v>46</v>
      </c>
      <c r="AL955" s="1">
        <v>787</v>
      </c>
    </row>
    <row r="956" spans="1:38" x14ac:dyDescent="0.2">
      <c r="A956" s="2" t="str">
        <f>HYPERLINK("https://www.compass.com/listing/252-south-street-unit-35b-manhattan-ny-10002/766635183858778513/","252 South St, Unit 35B")</f>
        <v>252 South St, Unit 35B</v>
      </c>
      <c r="B956" s="2" t="str">
        <f t="shared" si="125"/>
        <v>One Manhattan Square</v>
      </c>
      <c r="C956" s="1" t="s">
        <v>47</v>
      </c>
      <c r="D956" s="1" t="s">
        <v>41</v>
      </c>
      <c r="E956" s="3">
        <v>2314000</v>
      </c>
      <c r="F956" s="1">
        <v>2214.3540669856402</v>
      </c>
      <c r="G956" s="1">
        <v>4</v>
      </c>
      <c r="H956" s="1">
        <v>2</v>
      </c>
      <c r="I956" s="1">
        <v>2</v>
      </c>
      <c r="J956" s="1">
        <v>2</v>
      </c>
      <c r="K956" s="1">
        <v>2</v>
      </c>
      <c r="M956" s="4">
        <v>1045</v>
      </c>
      <c r="N956" s="1">
        <v>1260</v>
      </c>
      <c r="O956" s="1">
        <v>1280</v>
      </c>
      <c r="P956" s="1">
        <v>20</v>
      </c>
      <c r="Q956" s="1" t="s">
        <v>42</v>
      </c>
      <c r="S956" s="1" t="s">
        <v>42</v>
      </c>
      <c r="T956" s="1" t="s">
        <v>228</v>
      </c>
      <c r="U956" s="1">
        <v>6</v>
      </c>
      <c r="V956" s="5">
        <v>44310</v>
      </c>
      <c r="W956" s="5">
        <v>44303</v>
      </c>
      <c r="X956" s="1">
        <v>2314000</v>
      </c>
      <c r="Z956" s="5">
        <v>44310</v>
      </c>
      <c r="AB956" s="1" t="s">
        <v>44</v>
      </c>
      <c r="AF956" s="1">
        <v>10002</v>
      </c>
      <c r="AI956" s="1" t="s">
        <v>246</v>
      </c>
      <c r="AJ956" s="1">
        <v>2019</v>
      </c>
      <c r="AK956" s="1" t="s">
        <v>46</v>
      </c>
      <c r="AL956" s="1">
        <v>787</v>
      </c>
    </row>
    <row r="957" spans="1:38" x14ac:dyDescent="0.2">
      <c r="A957" s="2" t="str">
        <f>HYPERLINK("https://www.compass.com/listing/252-south-street-unit-41g-manhattan-ny-10002/801629605945092377/","252 South St, Unit 41G")</f>
        <v>252 South St, Unit 41G</v>
      </c>
      <c r="B957" s="2" t="str">
        <f t="shared" si="125"/>
        <v>One Manhattan Square</v>
      </c>
      <c r="C957" s="1" t="s">
        <v>47</v>
      </c>
      <c r="D957" s="1" t="s">
        <v>41</v>
      </c>
      <c r="E957" s="3">
        <v>2290000</v>
      </c>
      <c r="F957" s="1">
        <v>1980.9688581314799</v>
      </c>
      <c r="G957" s="1">
        <v>5</v>
      </c>
      <c r="H957" s="1">
        <v>2</v>
      </c>
      <c r="I957" s="1">
        <v>2</v>
      </c>
      <c r="J957" s="1">
        <v>2</v>
      </c>
      <c r="K957" s="1">
        <v>2</v>
      </c>
      <c r="M957" s="4">
        <v>1156</v>
      </c>
      <c r="N957" s="1">
        <v>1437</v>
      </c>
      <c r="O957" s="1">
        <v>1460</v>
      </c>
      <c r="P957" s="1">
        <v>23</v>
      </c>
      <c r="Q957" s="1" t="s">
        <v>42</v>
      </c>
      <c r="S957" s="1" t="s">
        <v>42</v>
      </c>
      <c r="T957" s="1" t="s">
        <v>228</v>
      </c>
      <c r="U957" s="1">
        <v>190</v>
      </c>
      <c r="V957" s="5">
        <v>44418</v>
      </c>
      <c r="W957" s="5">
        <v>44183</v>
      </c>
      <c r="X957" s="1">
        <v>2290000</v>
      </c>
      <c r="Z957" s="5">
        <v>44374</v>
      </c>
      <c r="AB957" s="1" t="s">
        <v>44</v>
      </c>
      <c r="AF957" s="1">
        <v>10002</v>
      </c>
      <c r="AI957" s="1" t="s">
        <v>191</v>
      </c>
      <c r="AJ957" s="1">
        <v>2019</v>
      </c>
      <c r="AK957" s="1" t="s">
        <v>46</v>
      </c>
      <c r="AL957" s="1">
        <v>787</v>
      </c>
    </row>
    <row r="958" spans="1:38" x14ac:dyDescent="0.2">
      <c r="A958" s="2" t="str">
        <f>HYPERLINK("https://www.compass.com/listing/252-south-street-unit-19h-manhattan-ny-10002/530642584010553025/","252 South St, Unit 19H")</f>
        <v>252 South St, Unit 19H</v>
      </c>
      <c r="B958" s="2" t="str">
        <f t="shared" si="125"/>
        <v>One Manhattan Square</v>
      </c>
      <c r="C958" s="1" t="s">
        <v>47</v>
      </c>
      <c r="D958" s="1" t="s">
        <v>41</v>
      </c>
      <c r="E958" s="3">
        <v>2137000</v>
      </c>
      <c r="F958" s="1">
        <v>1848.6159169550101</v>
      </c>
      <c r="G958" s="1">
        <v>5</v>
      </c>
      <c r="H958" s="1">
        <v>2</v>
      </c>
      <c r="I958" s="1">
        <v>2</v>
      </c>
      <c r="J958" s="1">
        <v>2</v>
      </c>
      <c r="K958" s="1">
        <v>2</v>
      </c>
      <c r="M958" s="4">
        <v>1156</v>
      </c>
      <c r="N958" s="1">
        <v>1294</v>
      </c>
      <c r="O958" s="1">
        <v>1314</v>
      </c>
      <c r="P958" s="1">
        <v>20</v>
      </c>
      <c r="Q958" s="1" t="s">
        <v>42</v>
      </c>
      <c r="S958" s="1" t="s">
        <v>42</v>
      </c>
      <c r="T958" s="1" t="s">
        <v>228</v>
      </c>
      <c r="U958" s="1">
        <v>54</v>
      </c>
      <c r="V958" s="5">
        <v>44113</v>
      </c>
      <c r="W958" s="5">
        <v>43984</v>
      </c>
      <c r="X958" s="1">
        <v>2137000</v>
      </c>
      <c r="Z958" s="5">
        <v>44097</v>
      </c>
      <c r="AB958" s="1" t="s">
        <v>44</v>
      </c>
      <c r="AF958" s="1">
        <v>10002</v>
      </c>
      <c r="AI958" s="1" t="s">
        <v>246</v>
      </c>
      <c r="AJ958" s="1">
        <v>2019</v>
      </c>
      <c r="AK958" s="1" t="s">
        <v>46</v>
      </c>
      <c r="AL958" s="1">
        <v>787</v>
      </c>
    </row>
    <row r="959" spans="1:38" x14ac:dyDescent="0.2">
      <c r="A959" s="2" t="str">
        <f>HYPERLINK("https://www.compass.com/listing/252-south-street-unit-59j-manhattan-ny-10002/576794824819560233/","252 South St, Unit 59J")</f>
        <v>252 South St, Unit 59J</v>
      </c>
      <c r="B959" s="2" t="str">
        <f t="shared" si="125"/>
        <v>One Manhattan Square</v>
      </c>
      <c r="C959" s="1" t="s">
        <v>47</v>
      </c>
      <c r="D959" s="1" t="s">
        <v>41</v>
      </c>
      <c r="E959" s="3">
        <v>4950000</v>
      </c>
      <c r="F959" s="1">
        <v>2109.0754154239398</v>
      </c>
      <c r="G959" s="1">
        <v>6</v>
      </c>
      <c r="H959" s="1">
        <v>3</v>
      </c>
      <c r="I959" s="1">
        <v>4</v>
      </c>
      <c r="J959" s="1">
        <v>3.5</v>
      </c>
      <c r="K959" s="1">
        <v>3</v>
      </c>
      <c r="L959" s="1">
        <v>1</v>
      </c>
      <c r="M959" s="4">
        <v>2347</v>
      </c>
      <c r="N959" s="1">
        <v>3137</v>
      </c>
      <c r="O959" s="1">
        <v>3187</v>
      </c>
      <c r="P959" s="1">
        <v>50</v>
      </c>
      <c r="Q959" s="1" t="s">
        <v>42</v>
      </c>
      <c r="S959" s="1" t="s">
        <v>42</v>
      </c>
      <c r="T959" s="1" t="s">
        <v>228</v>
      </c>
      <c r="U959" s="1">
        <v>135</v>
      </c>
      <c r="V959" s="5">
        <v>44398</v>
      </c>
      <c r="W959" s="5">
        <v>44048</v>
      </c>
      <c r="X959" s="1">
        <v>6629000</v>
      </c>
      <c r="Z959" s="5">
        <v>44398</v>
      </c>
      <c r="AB959" s="1" t="s">
        <v>44</v>
      </c>
      <c r="AF959" s="1">
        <v>10002</v>
      </c>
      <c r="AI959" s="1" t="s">
        <v>246</v>
      </c>
      <c r="AJ959" s="1">
        <v>2019</v>
      </c>
      <c r="AK959" s="1" t="s">
        <v>46</v>
      </c>
      <c r="AL959" s="1">
        <v>787</v>
      </c>
    </row>
    <row r="960" spans="1:38" x14ac:dyDescent="0.2">
      <c r="A960" s="2" t="str">
        <f>HYPERLINK("https://www.compass.com/listing/505-513-west-43rd-street-unit-6k-manhattan-ny-10036/774056592369854385/","505-513 W 43rd St, Unit 6K")</f>
        <v>505-513 W 43rd St, Unit 6K</v>
      </c>
      <c r="B960" s="2" t="str">
        <f>HYPERLINK("https://www.compass.com/building/charlie-west-manhattan-ny/292918554372621509/","Charlie West")</f>
        <v>Charlie West</v>
      </c>
      <c r="C960" s="1" t="s">
        <v>90</v>
      </c>
      <c r="D960" s="1" t="s">
        <v>41</v>
      </c>
      <c r="E960" s="3">
        <v>1125000</v>
      </c>
      <c r="F960" s="1">
        <v>1717.5572519083901</v>
      </c>
      <c r="G960" s="1">
        <v>3</v>
      </c>
      <c r="H960" s="1">
        <v>1</v>
      </c>
      <c r="I960" s="1">
        <v>1</v>
      </c>
      <c r="J960" s="1">
        <v>1</v>
      </c>
      <c r="K960" s="1">
        <v>1</v>
      </c>
      <c r="M960" s="1">
        <v>655</v>
      </c>
      <c r="N960" s="1">
        <v>708.77</v>
      </c>
      <c r="O960" s="1">
        <v>2133.9899999999998</v>
      </c>
      <c r="P960" s="1">
        <v>1425.25</v>
      </c>
      <c r="Q960" s="1" t="s">
        <v>42</v>
      </c>
      <c r="S960" s="1" t="s">
        <v>42</v>
      </c>
      <c r="T960" s="1" t="s">
        <v>228</v>
      </c>
      <c r="U960" s="1">
        <v>105</v>
      </c>
      <c r="V960" s="5">
        <v>44424</v>
      </c>
      <c r="W960" s="5">
        <v>44319</v>
      </c>
      <c r="X960" s="1">
        <v>1125000</v>
      </c>
      <c r="Z960" s="5">
        <v>44424</v>
      </c>
      <c r="AB960" s="1" t="s">
        <v>44</v>
      </c>
      <c r="AF960" s="1">
        <v>10036</v>
      </c>
      <c r="AI960" s="1" t="s">
        <v>269</v>
      </c>
      <c r="AJ960" s="1">
        <v>2019</v>
      </c>
      <c r="AK960" s="1" t="s">
        <v>46</v>
      </c>
      <c r="AL960" s="1">
        <v>123</v>
      </c>
    </row>
    <row r="961" spans="1:39" x14ac:dyDescent="0.2">
      <c r="A961" s="2" t="str">
        <f>HYPERLINK("https://www.compass.com/listing/252-south-street-unit-7f-manhattan-ny-10002/710237312679557361/","252 South St, Unit 7F")</f>
        <v>252 South St, Unit 7F</v>
      </c>
      <c r="B961" s="2" t="str">
        <f>HYPERLINK("https://www.compass.com/building/one-manhattan-square-manhattan-ny/294844950218926165/","One Manhattan Square")</f>
        <v>One Manhattan Square</v>
      </c>
      <c r="C961" s="1" t="s">
        <v>47</v>
      </c>
      <c r="D961" s="1" t="s">
        <v>41</v>
      </c>
      <c r="E961" s="3">
        <v>1090000</v>
      </c>
      <c r="F961" s="1">
        <v>1568.3453237409999</v>
      </c>
      <c r="G961" s="1">
        <v>3</v>
      </c>
      <c r="H961" s="1">
        <v>1</v>
      </c>
      <c r="I961" s="1">
        <v>1</v>
      </c>
      <c r="J961" s="1">
        <v>1</v>
      </c>
      <c r="K961" s="1">
        <v>1</v>
      </c>
      <c r="M961" s="1">
        <v>695</v>
      </c>
      <c r="N961" s="1">
        <v>741</v>
      </c>
      <c r="O961" s="1">
        <v>753</v>
      </c>
      <c r="P961" s="1">
        <v>12</v>
      </c>
      <c r="Q961" s="1" t="s">
        <v>42</v>
      </c>
      <c r="S961" s="1" t="s">
        <v>42</v>
      </c>
      <c r="T961" s="1" t="s">
        <v>228</v>
      </c>
      <c r="U961" s="1">
        <v>154</v>
      </c>
      <c r="V961" s="5">
        <v>44415</v>
      </c>
      <c r="W961" s="5">
        <v>44231</v>
      </c>
      <c r="X961" s="1">
        <v>1090000</v>
      </c>
      <c r="Z961" s="5">
        <v>44386</v>
      </c>
      <c r="AB961" s="1" t="s">
        <v>44</v>
      </c>
      <c r="AF961" s="1">
        <v>10002</v>
      </c>
      <c r="AI961" s="1" t="s">
        <v>191</v>
      </c>
      <c r="AJ961" s="1">
        <v>2019</v>
      </c>
      <c r="AK961" s="1" t="s">
        <v>46</v>
      </c>
      <c r="AL961" s="1">
        <v>787</v>
      </c>
    </row>
    <row r="962" spans="1:39" x14ac:dyDescent="0.2">
      <c r="A962" s="2" t="str">
        <f>HYPERLINK("https://www.compass.com/listing/161-maiden-lane-unit-ph3-manhattan-ny-10038/29514202485908897/","161 Maiden Ln, Unit PH3")</f>
        <v>161 Maiden Ln, Unit PH3</v>
      </c>
      <c r="B962" s="2" t="str">
        <f>HYPERLINK("https://www.compass.com/building/seaport-residences-manhattan-ny/282029834819877765/","Seaport Residences")</f>
        <v>Seaport Residences</v>
      </c>
      <c r="C962" s="1" t="s">
        <v>96</v>
      </c>
      <c r="D962" s="1" t="s">
        <v>41</v>
      </c>
      <c r="E962" s="3">
        <v>7525000</v>
      </c>
      <c r="F962" s="1">
        <v>2847.1433976541798</v>
      </c>
      <c r="G962" s="1">
        <v>6</v>
      </c>
      <c r="H962" s="1">
        <v>3</v>
      </c>
      <c r="I962" s="1">
        <v>3</v>
      </c>
      <c r="J962" s="1">
        <v>2.5</v>
      </c>
      <c r="K962" s="1">
        <v>2</v>
      </c>
      <c r="L962" s="1">
        <v>1</v>
      </c>
      <c r="M962" s="4">
        <v>2643</v>
      </c>
      <c r="N962" s="1">
        <v>3894</v>
      </c>
      <c r="O962" s="1">
        <v>7160</v>
      </c>
      <c r="P962" s="1">
        <v>3266</v>
      </c>
      <c r="Q962" s="1" t="s">
        <v>42</v>
      </c>
      <c r="S962" s="1" t="s">
        <v>42</v>
      </c>
      <c r="T962" s="1" t="s">
        <v>228</v>
      </c>
      <c r="U962" s="1">
        <v>61</v>
      </c>
      <c r="V962" s="5">
        <v>44427</v>
      </c>
      <c r="W962" s="5">
        <v>42459</v>
      </c>
      <c r="X962" s="1">
        <v>7525000</v>
      </c>
      <c r="Z962" s="5">
        <v>42521</v>
      </c>
      <c r="AB962" s="1" t="s">
        <v>44</v>
      </c>
      <c r="AF962" s="1">
        <v>10038</v>
      </c>
      <c r="AI962" s="1" t="s">
        <v>266</v>
      </c>
      <c r="AJ962" s="1">
        <v>2018</v>
      </c>
      <c r="AK962" s="1" t="s">
        <v>49</v>
      </c>
      <c r="AL962" s="1">
        <v>98</v>
      </c>
    </row>
    <row r="963" spans="1:39" x14ac:dyDescent="0.2">
      <c r="A963" s="2" t="str">
        <f>HYPERLINK("https://www.compass.com/listing/565-broome-street-unit-n5h-manhattan-ny-10013/29514993456145937/","565 Broome St, Unit N5H")</f>
        <v>565 Broome St, Unit N5H</v>
      </c>
      <c r="B963" s="2" t="str">
        <f>HYPERLINK("https://www.compass.com/building/565-broome-soho-manhattan-ny/292813251698267109/","565 Broome Soho")</f>
        <v>565 Broome Soho</v>
      </c>
      <c r="C963" s="1" t="s">
        <v>53</v>
      </c>
      <c r="D963" s="1" t="s">
        <v>41</v>
      </c>
      <c r="E963" s="3">
        <v>1610000</v>
      </c>
      <c r="F963" s="1">
        <v>2274.0112994350202</v>
      </c>
      <c r="G963" s="1">
        <v>3</v>
      </c>
      <c r="H963" s="1">
        <v>1</v>
      </c>
      <c r="I963" s="1">
        <v>1</v>
      </c>
      <c r="J963" s="1">
        <v>1</v>
      </c>
      <c r="K963" s="1">
        <v>1</v>
      </c>
      <c r="M963" s="1">
        <v>708</v>
      </c>
      <c r="N963" s="1">
        <v>1024</v>
      </c>
      <c r="O963" s="1">
        <v>2153</v>
      </c>
      <c r="P963" s="1">
        <v>1129</v>
      </c>
      <c r="Q963" s="1" t="s">
        <v>42</v>
      </c>
      <c r="S963" s="1" t="s">
        <v>42</v>
      </c>
      <c r="T963" s="1" t="s">
        <v>228</v>
      </c>
      <c r="U963" s="1">
        <v>40</v>
      </c>
      <c r="V963" s="5">
        <v>44338</v>
      </c>
      <c r="W963" s="5">
        <v>42611</v>
      </c>
      <c r="X963" s="1">
        <v>1610000</v>
      </c>
      <c r="Z963" s="5">
        <v>42652</v>
      </c>
      <c r="AB963" s="1" t="s">
        <v>44</v>
      </c>
      <c r="AF963" s="1">
        <v>10013</v>
      </c>
      <c r="AI963" s="1" t="s">
        <v>242</v>
      </c>
      <c r="AJ963" s="1">
        <v>2019</v>
      </c>
      <c r="AK963" s="1" t="s">
        <v>46</v>
      </c>
      <c r="AL963" s="1">
        <v>115</v>
      </c>
    </row>
    <row r="964" spans="1:39" x14ac:dyDescent="0.2">
      <c r="A964" s="2" t="str">
        <f>HYPERLINK("https://www.compass.com/listing/15-east-30th-street-unit-43b-manhattan-ny-10016/562271688497202985/","15 E 30th St, Unit 43B")</f>
        <v>15 E 30th St, Unit 43B</v>
      </c>
      <c r="B964" s="2" t="str">
        <f>HYPERLINK("https://www.compass.com/building/madison-house-manhattan-ny/281937618113974565/","Madison House")</f>
        <v>Madison House</v>
      </c>
      <c r="C964" s="1" t="s">
        <v>40</v>
      </c>
      <c r="D964" s="1" t="s">
        <v>41</v>
      </c>
      <c r="E964" s="3">
        <v>2400000</v>
      </c>
      <c r="F964" s="1">
        <v>2137.1326803205602</v>
      </c>
      <c r="G964" s="1">
        <v>3.5</v>
      </c>
      <c r="H964" s="1">
        <v>1</v>
      </c>
      <c r="I964" s="1">
        <v>2</v>
      </c>
      <c r="J964" s="1">
        <v>1.5</v>
      </c>
      <c r="K964" s="1">
        <v>1</v>
      </c>
      <c r="L964" s="1">
        <v>1</v>
      </c>
      <c r="M964" s="4">
        <v>1123</v>
      </c>
      <c r="N964" s="1">
        <v>1568</v>
      </c>
      <c r="O964" s="1">
        <v>3452</v>
      </c>
      <c r="P964" s="1">
        <v>1884</v>
      </c>
      <c r="Q964" s="1" t="s">
        <v>42</v>
      </c>
      <c r="S964" s="1" t="s">
        <v>42</v>
      </c>
      <c r="T964" s="1" t="s">
        <v>228</v>
      </c>
      <c r="U964" s="1">
        <v>53</v>
      </c>
      <c r="V964" s="5">
        <v>44427</v>
      </c>
      <c r="W964" s="5">
        <v>43880</v>
      </c>
      <c r="X964" s="1">
        <v>2400000</v>
      </c>
      <c r="Z964" s="5">
        <v>44028</v>
      </c>
      <c r="AB964" s="1" t="s">
        <v>44</v>
      </c>
      <c r="AF964" s="1">
        <v>10016</v>
      </c>
      <c r="AJ964" s="1">
        <v>2019</v>
      </c>
      <c r="AK964" s="1" t="s">
        <v>46</v>
      </c>
      <c r="AL964" s="1">
        <v>199</v>
      </c>
    </row>
    <row r="967" spans="1:39" x14ac:dyDescent="0.2">
      <c r="A967" s="1" t="s">
        <v>270</v>
      </c>
    </row>
    <row r="968" spans="1:39" x14ac:dyDescent="0.2">
      <c r="A968" s="1" t="s">
        <v>1</v>
      </c>
      <c r="B968" s="1" t="s">
        <v>2</v>
      </c>
      <c r="C968" s="1" t="s">
        <v>3</v>
      </c>
      <c r="D968" s="1" t="s">
        <v>4</v>
      </c>
      <c r="E968" s="1" t="s">
        <v>5</v>
      </c>
      <c r="F968" s="1" t="s">
        <v>6</v>
      </c>
      <c r="G968" s="1" t="s">
        <v>7</v>
      </c>
      <c r="H968" s="1" t="s">
        <v>8</v>
      </c>
      <c r="I968" s="1" t="s">
        <v>9</v>
      </c>
      <c r="J968" s="1" t="s">
        <v>10</v>
      </c>
      <c r="K968" s="1" t="s">
        <v>11</v>
      </c>
      <c r="L968" s="1" t="s">
        <v>12</v>
      </c>
      <c r="M968" s="1" t="s">
        <v>13</v>
      </c>
      <c r="N968" s="1" t="s">
        <v>14</v>
      </c>
      <c r="O968" s="1" t="s">
        <v>15</v>
      </c>
      <c r="P968" s="1" t="s">
        <v>16</v>
      </c>
      <c r="Q968" s="1" t="s">
        <v>17</v>
      </c>
      <c r="R968" s="1" t="s">
        <v>18</v>
      </c>
      <c r="S968" s="1" t="s">
        <v>19</v>
      </c>
      <c r="T968" s="1" t="s">
        <v>20</v>
      </c>
      <c r="U968" s="1" t="s">
        <v>21</v>
      </c>
      <c r="V968" s="1" t="s">
        <v>22</v>
      </c>
      <c r="W968" s="1" t="s">
        <v>23</v>
      </c>
      <c r="X968" s="1" t="s">
        <v>24</v>
      </c>
      <c r="Y968" s="1" t="s">
        <v>25</v>
      </c>
      <c r="Z968" s="1" t="s">
        <v>26</v>
      </c>
      <c r="AA968" s="1" t="s">
        <v>27</v>
      </c>
      <c r="AB968" s="1" t="s">
        <v>28</v>
      </c>
      <c r="AC968" s="1" t="s">
        <v>29</v>
      </c>
      <c r="AD968" s="1" t="s">
        <v>30</v>
      </c>
      <c r="AE968" s="1" t="s">
        <v>31</v>
      </c>
      <c r="AF968" s="1" t="s">
        <v>32</v>
      </c>
      <c r="AG968" s="1" t="s">
        <v>33</v>
      </c>
      <c r="AH968" s="1" t="s">
        <v>34</v>
      </c>
      <c r="AI968" s="1" t="s">
        <v>35</v>
      </c>
      <c r="AJ968" s="1" t="s">
        <v>36</v>
      </c>
      <c r="AK968" s="1" t="s">
        <v>37</v>
      </c>
      <c r="AL968" s="1" t="s">
        <v>38</v>
      </c>
      <c r="AM968" s="1" t="s">
        <v>39</v>
      </c>
    </row>
    <row r="969" spans="1:39" x14ac:dyDescent="0.2">
      <c r="A969" s="2" t="str">
        <f>HYPERLINK("https://www.compass.com/listing/100-barrow-street-unit-4d-manhattan-ny-10014/678296298176395713/","100 Barrow St, Unit 4D")</f>
        <v>100 Barrow St, Unit 4D</v>
      </c>
      <c r="B969" s="2" t="str">
        <f>HYPERLINK("https://www.compass.com/building/100-barrow-manhattan-ny/292834978184618837/","100 Barrow")</f>
        <v>100 Barrow</v>
      </c>
      <c r="C969" s="1" t="s">
        <v>67</v>
      </c>
      <c r="D969" s="1" t="s">
        <v>41</v>
      </c>
      <c r="E969" s="3">
        <v>3460000</v>
      </c>
      <c r="F969" s="1">
        <v>1937.2900335946199</v>
      </c>
      <c r="G969" s="1">
        <v>4</v>
      </c>
      <c r="H969" s="1">
        <v>2</v>
      </c>
      <c r="I969" s="1">
        <v>3</v>
      </c>
      <c r="J969" s="1">
        <v>3</v>
      </c>
      <c r="K969" s="1">
        <v>3</v>
      </c>
      <c r="M969" s="4">
        <v>1786</v>
      </c>
      <c r="N969" s="1">
        <v>5136</v>
      </c>
      <c r="O969" s="1">
        <v>5136</v>
      </c>
      <c r="Q969" s="1" t="s">
        <v>271</v>
      </c>
      <c r="S969" s="1" t="s">
        <v>272</v>
      </c>
      <c r="T969" s="1" t="s">
        <v>273</v>
      </c>
      <c r="U969" s="1">
        <v>30</v>
      </c>
      <c r="V969" s="5">
        <v>44265</v>
      </c>
      <c r="W969" s="5">
        <v>44188</v>
      </c>
      <c r="X969" s="1">
        <v>3600000</v>
      </c>
      <c r="Y969" s="1">
        <v>3600000</v>
      </c>
      <c r="Z969" s="5">
        <v>44218</v>
      </c>
      <c r="AA969" s="1">
        <v>3460000</v>
      </c>
      <c r="AB969" s="1" t="s">
        <v>274</v>
      </c>
      <c r="AC969" s="5">
        <v>44256</v>
      </c>
      <c r="AF969" s="1">
        <v>10014</v>
      </c>
      <c r="AJ969" s="1">
        <v>2015</v>
      </c>
      <c r="AK969" s="1" t="s">
        <v>202</v>
      </c>
      <c r="AL969" s="1">
        <v>33</v>
      </c>
    </row>
    <row r="970" spans="1:39" x14ac:dyDescent="0.2">
      <c r="A970" s="2" t="str">
        <f>HYPERLINK("https://www.compass.com/listing/100-avenue-a-unit-3wa-manhattan-ny-10009/692722317177068161/","100 Avenue A, Unit 3WA")</f>
        <v>100 Avenue A, Unit 3WA</v>
      </c>
      <c r="B970" s="2" t="str">
        <f>HYPERLINK("https://www.compass.com/building/100-avenue-a-manhattan-ny-10009/389273110856657541/","100 Avenue A")</f>
        <v>100 Avenue A</v>
      </c>
      <c r="C970" s="1" t="s">
        <v>71</v>
      </c>
      <c r="D970" s="1" t="s">
        <v>41</v>
      </c>
      <c r="E970" s="3">
        <v>1685000</v>
      </c>
      <c r="F970" s="1">
        <v>1700.3027245206799</v>
      </c>
      <c r="G970" s="1">
        <v>4</v>
      </c>
      <c r="H970" s="1">
        <v>2</v>
      </c>
      <c r="I970" s="1">
        <v>2</v>
      </c>
      <c r="J970" s="1">
        <v>2</v>
      </c>
      <c r="K970" s="1">
        <v>2</v>
      </c>
      <c r="M970" s="1">
        <v>991</v>
      </c>
      <c r="N970" s="1">
        <v>1471</v>
      </c>
      <c r="O970" s="1">
        <v>2690</v>
      </c>
      <c r="P970" s="1">
        <v>1219</v>
      </c>
      <c r="S970" s="1" t="s">
        <v>42</v>
      </c>
      <c r="T970" s="1" t="s">
        <v>273</v>
      </c>
      <c r="U970" s="1">
        <v>70</v>
      </c>
      <c r="V970" s="5">
        <v>44354</v>
      </c>
      <c r="W970" s="5">
        <v>44208</v>
      </c>
      <c r="X970" s="1">
        <v>1685000</v>
      </c>
      <c r="Y970" s="1">
        <v>1685000</v>
      </c>
      <c r="Z970" s="5">
        <v>44278</v>
      </c>
      <c r="AA970" s="1">
        <v>1685000</v>
      </c>
      <c r="AB970" s="1" t="s">
        <v>275</v>
      </c>
      <c r="AC970" s="5">
        <v>44354</v>
      </c>
      <c r="AF970" s="1">
        <v>10009</v>
      </c>
      <c r="AI970" s="1" t="s">
        <v>66</v>
      </c>
      <c r="AJ970" s="1">
        <v>2016</v>
      </c>
      <c r="AK970" s="1" t="s">
        <v>55</v>
      </c>
    </row>
    <row r="971" spans="1:39" x14ac:dyDescent="0.2">
      <c r="A971" s="2" t="str">
        <f>HYPERLINK("https://www.compass.com/listing/100-barclay-street-unit-12j-manhattan-ny-10007/626844252103937913/","100 Barclay St, Unit 12J")</f>
        <v>100 Barclay St, Unit 12J</v>
      </c>
      <c r="B971" s="2" t="str">
        <f>HYPERLINK("https://www.compass.com/building/100-barclay-manhattan-ny/281896670466155525/","100 Barclay")</f>
        <v>100 Barclay</v>
      </c>
      <c r="C971" s="1" t="s">
        <v>50</v>
      </c>
      <c r="D971" s="1" t="s">
        <v>41</v>
      </c>
      <c r="E971" s="3">
        <v>1799500</v>
      </c>
      <c r="F971" s="1">
        <v>1707.30550284629</v>
      </c>
      <c r="G971" s="1">
        <v>3.5</v>
      </c>
      <c r="H971" s="1">
        <v>1</v>
      </c>
      <c r="I971" s="1">
        <v>2</v>
      </c>
      <c r="J971" s="1">
        <v>1.5</v>
      </c>
      <c r="K971" s="1">
        <v>1</v>
      </c>
      <c r="L971" s="1">
        <v>1</v>
      </c>
      <c r="M971" s="4">
        <v>1054</v>
      </c>
      <c r="N971" s="1">
        <v>1519.57</v>
      </c>
      <c r="O971" s="1">
        <v>3045.55</v>
      </c>
      <c r="P971" s="1">
        <v>1526</v>
      </c>
      <c r="Q971" s="1" t="s">
        <v>42</v>
      </c>
      <c r="S971" s="1" t="s">
        <v>42</v>
      </c>
      <c r="T971" s="1" t="s">
        <v>273</v>
      </c>
      <c r="U971" s="1">
        <v>104</v>
      </c>
      <c r="V971" s="5">
        <v>44362</v>
      </c>
      <c r="W971" s="5">
        <v>44117</v>
      </c>
      <c r="X971" s="1">
        <v>1895000</v>
      </c>
      <c r="Y971" s="1">
        <v>1895000</v>
      </c>
      <c r="Z971" s="5">
        <v>44221</v>
      </c>
      <c r="AA971" s="1">
        <v>1799500</v>
      </c>
      <c r="AB971" s="1" t="s">
        <v>276</v>
      </c>
      <c r="AC971" s="5">
        <v>44341</v>
      </c>
      <c r="AF971" s="1">
        <v>10007</v>
      </c>
      <c r="AI971" s="1" t="s">
        <v>52</v>
      </c>
      <c r="AJ971" s="1">
        <v>1930</v>
      </c>
      <c r="AK971" s="1" t="s">
        <v>49</v>
      </c>
      <c r="AL971" s="1">
        <v>156</v>
      </c>
    </row>
    <row r="972" spans="1:39" x14ac:dyDescent="0.2">
      <c r="A972" s="2" t="str">
        <f>HYPERLINK("https://www.compass.com/listing/178-bleecker-street-unit-5-manhattan-ny-10012/544774595965002713/","178 Bleecker St, Unit 5")</f>
        <v>178 Bleecker St, Unit 5</v>
      </c>
      <c r="B972" s="2" t="str">
        <f>HYPERLINK("https://www.compass.com/building/178-bleecker-st-manhattan-ny-10012/281913488861850821/","178 Bleecker St")</f>
        <v>178 Bleecker St</v>
      </c>
      <c r="C972" s="1" t="s">
        <v>277</v>
      </c>
      <c r="D972" s="1" t="s">
        <v>41</v>
      </c>
      <c r="E972" s="3">
        <v>2050000</v>
      </c>
      <c r="F972" s="1">
        <v>1833.6314847942699</v>
      </c>
      <c r="G972" s="1">
        <v>5</v>
      </c>
      <c r="H972" s="1">
        <v>2</v>
      </c>
      <c r="I972" s="1">
        <v>2</v>
      </c>
      <c r="J972" s="1">
        <v>2</v>
      </c>
      <c r="K972" s="1">
        <v>2</v>
      </c>
      <c r="M972" s="4">
        <v>1118</v>
      </c>
      <c r="N972" s="1">
        <v>825</v>
      </c>
      <c r="O972" s="1">
        <v>3097</v>
      </c>
      <c r="P972" s="1">
        <v>2272</v>
      </c>
      <c r="S972" s="1" t="s">
        <v>42</v>
      </c>
      <c r="T972" s="1" t="s">
        <v>273</v>
      </c>
      <c r="U972" s="1">
        <v>102</v>
      </c>
      <c r="V972" s="5">
        <v>44196</v>
      </c>
      <c r="W972" s="5">
        <v>44004</v>
      </c>
      <c r="X972" s="1">
        <v>2250000</v>
      </c>
      <c r="Y972" s="1">
        <v>2250000</v>
      </c>
      <c r="Z972" s="5">
        <v>44106</v>
      </c>
      <c r="AA972" s="1">
        <v>2050000</v>
      </c>
      <c r="AB972" s="1" t="s">
        <v>275</v>
      </c>
      <c r="AC972" s="5">
        <v>44196</v>
      </c>
      <c r="AF972" s="1">
        <v>10012</v>
      </c>
      <c r="AI972" s="1" t="s">
        <v>63</v>
      </c>
      <c r="AJ972" s="1">
        <v>2017</v>
      </c>
      <c r="AL972" s="1">
        <v>5</v>
      </c>
    </row>
    <row r="973" spans="1:39" x14ac:dyDescent="0.2">
      <c r="A973" s="2" t="str">
        <f>HYPERLINK("https://www.compass.com/listing/100-barclay-street-unit-15j-manhattan-ny-10007/110054945092281201/","100 Barclay St, Unit 15J")</f>
        <v>100 Barclay St, Unit 15J</v>
      </c>
      <c r="B973" s="2" t="str">
        <f t="shared" ref="B973:B976" si="126">HYPERLINK("https://www.compass.com/building/100-barclay-manhattan-ny/281896670466155525/","100 Barclay")</f>
        <v>100 Barclay</v>
      </c>
      <c r="C973" s="1" t="s">
        <v>50</v>
      </c>
      <c r="D973" s="1" t="s">
        <v>41</v>
      </c>
      <c r="E973" s="3">
        <v>2800000</v>
      </c>
      <c r="F973" s="1">
        <v>1985.8156028368701</v>
      </c>
      <c r="G973" s="1">
        <v>7</v>
      </c>
      <c r="H973" s="1">
        <v>2</v>
      </c>
      <c r="I973" s="1">
        <v>3</v>
      </c>
      <c r="J973" s="1">
        <v>2.5</v>
      </c>
      <c r="K973" s="1">
        <v>2</v>
      </c>
      <c r="L973" s="1">
        <v>1</v>
      </c>
      <c r="M973" s="4">
        <v>1410</v>
      </c>
      <c r="N973" s="1">
        <v>1688</v>
      </c>
      <c r="O973" s="1">
        <v>3567</v>
      </c>
      <c r="P973" s="1">
        <v>1879</v>
      </c>
      <c r="Q973" s="1" t="s">
        <v>42</v>
      </c>
      <c r="S973" s="1" t="s">
        <v>42</v>
      </c>
      <c r="T973" s="1" t="s">
        <v>273</v>
      </c>
      <c r="U973" s="1">
        <v>145</v>
      </c>
      <c r="V973" s="5">
        <v>43697</v>
      </c>
      <c r="W973" s="5">
        <v>43405</v>
      </c>
      <c r="X973" s="1">
        <v>2995000</v>
      </c>
      <c r="Y973" s="1">
        <v>2995000</v>
      </c>
      <c r="Z973" s="5">
        <v>43550</v>
      </c>
      <c r="AA973" s="1">
        <v>2800000</v>
      </c>
      <c r="AB973" s="1" t="s">
        <v>278</v>
      </c>
      <c r="AC973" s="5">
        <v>43616</v>
      </c>
      <c r="AF973" s="1">
        <v>10007</v>
      </c>
      <c r="AI973" s="1" t="s">
        <v>52</v>
      </c>
      <c r="AJ973" s="1">
        <v>1930</v>
      </c>
      <c r="AK973" s="1" t="s">
        <v>46</v>
      </c>
      <c r="AL973" s="1">
        <v>156</v>
      </c>
    </row>
    <row r="974" spans="1:39" x14ac:dyDescent="0.2">
      <c r="A974" s="2" t="str">
        <f>HYPERLINK("https://www.compass.com/listing/100-barclay-street-unit-13d-manhattan-ny-10007/558120377816249025/","100 Barclay St, Unit 13D")</f>
        <v>100 Barclay St, Unit 13D</v>
      </c>
      <c r="B974" s="2" t="str">
        <f t="shared" si="126"/>
        <v>100 Barclay</v>
      </c>
      <c r="C974" s="1" t="s">
        <v>50</v>
      </c>
      <c r="D974" s="1" t="s">
        <v>41</v>
      </c>
      <c r="E974" s="3">
        <v>2610000</v>
      </c>
      <c r="F974" s="1">
        <v>1643.5768261964699</v>
      </c>
      <c r="G974" s="1">
        <v>5</v>
      </c>
      <c r="H974" s="1">
        <v>2</v>
      </c>
      <c r="I974" s="1">
        <v>3</v>
      </c>
      <c r="J974" s="1">
        <v>2.5</v>
      </c>
      <c r="K974" s="1">
        <v>2</v>
      </c>
      <c r="L974" s="1">
        <v>1</v>
      </c>
      <c r="M974" s="4">
        <v>1588</v>
      </c>
      <c r="N974" s="1">
        <v>2526.42</v>
      </c>
      <c r="O974" s="1">
        <v>4641.42</v>
      </c>
      <c r="P974" s="1">
        <v>2115</v>
      </c>
      <c r="Q974" s="1" t="s">
        <v>42</v>
      </c>
      <c r="S974" s="1" t="s">
        <v>42</v>
      </c>
      <c r="T974" s="1" t="s">
        <v>273</v>
      </c>
      <c r="U974" s="1">
        <v>284</v>
      </c>
      <c r="V974" s="5">
        <v>44360</v>
      </c>
      <c r="W974" s="5">
        <v>44032</v>
      </c>
      <c r="X974" s="1">
        <v>3150000</v>
      </c>
      <c r="Y974" s="1">
        <v>2990000</v>
      </c>
      <c r="Z974" s="5">
        <v>44316</v>
      </c>
      <c r="AA974" s="1">
        <v>2610000</v>
      </c>
      <c r="AB974" s="1" t="s">
        <v>279</v>
      </c>
      <c r="AC974" s="5">
        <v>44354</v>
      </c>
      <c r="AF974" s="1">
        <v>10007</v>
      </c>
      <c r="AI974" s="1" t="s">
        <v>52</v>
      </c>
      <c r="AJ974" s="1">
        <v>1930</v>
      </c>
      <c r="AK974" s="1" t="s">
        <v>49</v>
      </c>
      <c r="AL974" s="1">
        <v>156</v>
      </c>
    </row>
    <row r="975" spans="1:39" x14ac:dyDescent="0.2">
      <c r="A975" s="2" t="str">
        <f>HYPERLINK("https://www.compass.com/listing/100-barclay-street-unit-15h-manhattan-ny-10007/4852350888011905297/","100 Barclay St, Unit 15H")</f>
        <v>100 Barclay St, Unit 15H</v>
      </c>
      <c r="B975" s="2" t="str">
        <f t="shared" si="126"/>
        <v>100 Barclay</v>
      </c>
      <c r="C975" s="1" t="s">
        <v>50</v>
      </c>
      <c r="D975" s="1" t="s">
        <v>41</v>
      </c>
      <c r="E975" s="3">
        <v>3103626</v>
      </c>
      <c r="F975" s="1">
        <v>1744.59021922428</v>
      </c>
      <c r="G975" s="1">
        <v>5</v>
      </c>
      <c r="H975" s="1">
        <v>2</v>
      </c>
      <c r="J975" s="1">
        <v>3</v>
      </c>
      <c r="M975" s="4">
        <v>1779</v>
      </c>
      <c r="N975" s="1">
        <v>2283</v>
      </c>
      <c r="O975" s="1">
        <v>4466</v>
      </c>
      <c r="P975" s="1">
        <v>2183</v>
      </c>
      <c r="Q975" s="1" t="s">
        <v>42</v>
      </c>
      <c r="S975" s="1" t="s">
        <v>42</v>
      </c>
      <c r="T975" s="1" t="s">
        <v>273</v>
      </c>
      <c r="U975" s="1">
        <v>33</v>
      </c>
      <c r="V975" s="5">
        <v>43701</v>
      </c>
      <c r="W975" s="5">
        <v>42664</v>
      </c>
      <c r="X975" s="1">
        <v>3550000</v>
      </c>
      <c r="Y975" s="1">
        <v>3350000</v>
      </c>
      <c r="Z975" s="5">
        <v>42478</v>
      </c>
      <c r="AA975" s="1">
        <v>3103626</v>
      </c>
      <c r="AB975" s="1" t="s">
        <v>280</v>
      </c>
      <c r="AC975" s="5">
        <v>42773</v>
      </c>
      <c r="AF975" s="1">
        <v>10007</v>
      </c>
      <c r="AI975" s="1" t="s">
        <v>52</v>
      </c>
      <c r="AJ975" s="1">
        <v>1930</v>
      </c>
      <c r="AK975" s="1" t="s">
        <v>49</v>
      </c>
      <c r="AL975" s="1">
        <v>156</v>
      </c>
    </row>
    <row r="976" spans="1:39" x14ac:dyDescent="0.2">
      <c r="A976" s="2" t="str">
        <f>HYPERLINK("https://www.compass.com/listing/100-barclay-street-unit-12n-manhattan-ny-10007/86144306275958865/","100 Barclay St, Unit 12N")</f>
        <v>100 Barclay St, Unit 12N</v>
      </c>
      <c r="B976" s="2" t="str">
        <f t="shared" si="126"/>
        <v>100 Barclay</v>
      </c>
      <c r="C976" s="1" t="s">
        <v>50</v>
      </c>
      <c r="D976" s="1" t="s">
        <v>41</v>
      </c>
      <c r="E976" s="3">
        <v>2875000</v>
      </c>
      <c r="F976" s="1">
        <v>1815.0252525252499</v>
      </c>
      <c r="G976" s="1">
        <v>5</v>
      </c>
      <c r="H976" s="1">
        <v>2</v>
      </c>
      <c r="I976" s="1">
        <v>3</v>
      </c>
      <c r="J976" s="1">
        <v>2.5</v>
      </c>
      <c r="K976" s="1">
        <v>2</v>
      </c>
      <c r="L976" s="1">
        <v>1</v>
      </c>
      <c r="M976" s="4">
        <v>1584</v>
      </c>
      <c r="N976" s="1">
        <v>2283</v>
      </c>
      <c r="O976" s="1">
        <v>4623</v>
      </c>
      <c r="P976" s="1">
        <v>2340</v>
      </c>
      <c r="Q976" s="1" t="s">
        <v>42</v>
      </c>
      <c r="S976" s="1" t="s">
        <v>42</v>
      </c>
      <c r="T976" s="1" t="s">
        <v>273</v>
      </c>
      <c r="U976" s="1">
        <v>292</v>
      </c>
      <c r="V976" s="5">
        <v>43754</v>
      </c>
      <c r="W976" s="5">
        <v>43371</v>
      </c>
      <c r="X976" s="1">
        <v>3295000</v>
      </c>
      <c r="Y976" s="1">
        <v>2995000</v>
      </c>
      <c r="Z976" s="5">
        <v>43664</v>
      </c>
      <c r="AA976" s="1">
        <v>2875000</v>
      </c>
      <c r="AB976" s="1" t="s">
        <v>281</v>
      </c>
      <c r="AC976" s="5">
        <v>43725</v>
      </c>
      <c r="AF976" s="1">
        <v>10007</v>
      </c>
      <c r="AI976" s="1" t="s">
        <v>52</v>
      </c>
      <c r="AJ976" s="1">
        <v>1930</v>
      </c>
      <c r="AK976" s="1" t="s">
        <v>46</v>
      </c>
      <c r="AL976" s="1">
        <v>156</v>
      </c>
    </row>
    <row r="977" spans="1:38" x14ac:dyDescent="0.2">
      <c r="A977" s="2" t="str">
        <f>HYPERLINK("https://www.compass.com/listing/155-west-18th-street-unit-202-manhattan-ny-10011/467904481112764673/","155 W 18th St, Unit 202")</f>
        <v>155 W 18th St, Unit 202</v>
      </c>
      <c r="B977" s="2" t="str">
        <f>HYPERLINK("https://www.compass.com/building/the-flynn-manhattan-ny/281905793161251925/","The Flynn")</f>
        <v>The Flynn</v>
      </c>
      <c r="C977" s="1" t="s">
        <v>62</v>
      </c>
      <c r="D977" s="1" t="s">
        <v>41</v>
      </c>
      <c r="E977" s="3">
        <v>2340000</v>
      </c>
      <c r="F977" s="1">
        <v>2158.67158671586</v>
      </c>
      <c r="G977" s="1">
        <v>2.5</v>
      </c>
      <c r="H977" s="1">
        <v>2</v>
      </c>
      <c r="I977" s="1">
        <v>3</v>
      </c>
      <c r="J977" s="1">
        <v>2.5</v>
      </c>
      <c r="K977" s="1">
        <v>2</v>
      </c>
      <c r="L977" s="1">
        <v>1</v>
      </c>
      <c r="M977" s="4">
        <v>1084</v>
      </c>
      <c r="N977" s="1">
        <v>1400</v>
      </c>
      <c r="O977" s="1">
        <v>3500</v>
      </c>
      <c r="P977" s="1">
        <v>2100</v>
      </c>
      <c r="Q977" s="1" t="s">
        <v>42</v>
      </c>
      <c r="S977" s="1" t="s">
        <v>42</v>
      </c>
      <c r="T977" s="1" t="s">
        <v>273</v>
      </c>
      <c r="U977" s="1">
        <v>68</v>
      </c>
      <c r="V977" s="5">
        <v>44128</v>
      </c>
      <c r="W977" s="5">
        <v>43964</v>
      </c>
      <c r="X977" s="1">
        <v>2750000</v>
      </c>
      <c r="Y977" s="1">
        <v>2495000</v>
      </c>
      <c r="Z977" s="5">
        <v>44094</v>
      </c>
      <c r="AA977" s="1">
        <v>2340000</v>
      </c>
      <c r="AB977" s="1" t="s">
        <v>282</v>
      </c>
      <c r="AC977" s="5">
        <v>44120</v>
      </c>
      <c r="AF977" s="1">
        <v>10011</v>
      </c>
      <c r="AI977" s="1" t="s">
        <v>229</v>
      </c>
      <c r="AJ977" s="1">
        <v>2016</v>
      </c>
      <c r="AK977" s="1" t="s">
        <v>55</v>
      </c>
      <c r="AL977" s="1">
        <v>30</v>
      </c>
    </row>
    <row r="978" spans="1:38" x14ac:dyDescent="0.2">
      <c r="A978" s="2" t="str">
        <f>HYPERLINK("https://www.compass.com/listing/100-barclay-street-unit-13h-manhattan-ny-10007/322401626534878625/","100 Barclay St, Unit 13H")</f>
        <v>100 Barclay St, Unit 13H</v>
      </c>
      <c r="B978" s="2" t="str">
        <f>HYPERLINK("https://www.compass.com/building/100-barclay-manhattan-ny/281896670466155525/","100 Barclay")</f>
        <v>100 Barclay</v>
      </c>
      <c r="C978" s="1" t="s">
        <v>50</v>
      </c>
      <c r="D978" s="1" t="s">
        <v>41</v>
      </c>
      <c r="E978" s="3">
        <v>3250000</v>
      </c>
      <c r="F978" s="1">
        <v>1826.8690275435599</v>
      </c>
      <c r="G978" s="1">
        <v>5</v>
      </c>
      <c r="H978" s="1">
        <v>2</v>
      </c>
      <c r="I978" s="1">
        <v>3</v>
      </c>
      <c r="J978" s="1">
        <v>3</v>
      </c>
      <c r="K978" s="1">
        <v>3</v>
      </c>
      <c r="M978" s="4">
        <v>1779</v>
      </c>
      <c r="N978" s="1">
        <v>2564</v>
      </c>
      <c r="O978" s="1">
        <v>4738</v>
      </c>
      <c r="P978" s="1">
        <v>2174</v>
      </c>
      <c r="Q978" s="1" t="s">
        <v>42</v>
      </c>
      <c r="S978" s="1" t="s">
        <v>42</v>
      </c>
      <c r="T978" s="1" t="s">
        <v>273</v>
      </c>
      <c r="U978" s="1">
        <v>171</v>
      </c>
      <c r="V978" s="5">
        <v>44056</v>
      </c>
      <c r="W978" s="5">
        <v>43715</v>
      </c>
      <c r="X978" s="1">
        <v>3330000</v>
      </c>
      <c r="Y978" s="1">
        <v>3330000</v>
      </c>
      <c r="Z978" s="5">
        <v>43887</v>
      </c>
      <c r="AA978" s="1">
        <v>3250000</v>
      </c>
      <c r="AB978" s="1" t="s">
        <v>283</v>
      </c>
      <c r="AC978" s="5">
        <v>44029</v>
      </c>
      <c r="AF978" s="1">
        <v>10007</v>
      </c>
      <c r="AI978" s="1" t="s">
        <v>52</v>
      </c>
      <c r="AJ978" s="1">
        <v>1930</v>
      </c>
      <c r="AK978" s="1" t="s">
        <v>46</v>
      </c>
      <c r="AL978" s="1">
        <v>156</v>
      </c>
    </row>
    <row r="979" spans="1:38" x14ac:dyDescent="0.2">
      <c r="A979" s="2" t="str">
        <f>HYPERLINK("https://www.compass.com/listing/155-west-18th-street-unit-401-manhattan-ny-10011/74439683597163329/","155 W 18th St, Unit 401")</f>
        <v>155 W 18th St, Unit 401</v>
      </c>
      <c r="B979" s="2" t="str">
        <f>HYPERLINK("https://www.compass.com/building/the-flynn-manhattan-ny/281905793161251925/","The Flynn")</f>
        <v>The Flynn</v>
      </c>
      <c r="C979" s="1" t="s">
        <v>62</v>
      </c>
      <c r="D979" s="1" t="s">
        <v>41</v>
      </c>
      <c r="E979" s="3">
        <v>3777000</v>
      </c>
      <c r="F979" s="1">
        <v>1935.9302921578601</v>
      </c>
      <c r="G979" s="1">
        <v>5</v>
      </c>
      <c r="H979" s="1">
        <v>3</v>
      </c>
      <c r="I979" s="1">
        <v>4</v>
      </c>
      <c r="J979" s="1">
        <v>3.5</v>
      </c>
      <c r="K979" s="1">
        <v>3</v>
      </c>
      <c r="L979" s="1">
        <v>1</v>
      </c>
      <c r="M979" s="4">
        <v>1951</v>
      </c>
      <c r="N979" s="1">
        <v>2649</v>
      </c>
      <c r="O979" s="1">
        <v>5800</v>
      </c>
      <c r="P979" s="1">
        <v>3151</v>
      </c>
      <c r="Q979" s="1" t="s">
        <v>42</v>
      </c>
      <c r="S979" s="1" t="s">
        <v>42</v>
      </c>
      <c r="T979" s="1" t="s">
        <v>273</v>
      </c>
      <c r="U979" s="1">
        <v>191</v>
      </c>
      <c r="V979" s="5">
        <v>43699</v>
      </c>
      <c r="W979" s="5">
        <v>43355</v>
      </c>
      <c r="X979" s="1">
        <v>4250000</v>
      </c>
      <c r="Y979" s="1">
        <v>3995000</v>
      </c>
      <c r="Z979" s="5">
        <v>43602</v>
      </c>
      <c r="AA979" s="1">
        <v>3777000</v>
      </c>
      <c r="AB979" s="1" t="s">
        <v>284</v>
      </c>
      <c r="AC979" s="5">
        <v>43689</v>
      </c>
      <c r="AF979" s="1">
        <v>10011</v>
      </c>
      <c r="AI979" s="1" t="s">
        <v>229</v>
      </c>
      <c r="AJ979" s="1">
        <v>2016</v>
      </c>
      <c r="AK979" s="1" t="s">
        <v>108</v>
      </c>
      <c r="AL979" s="1">
        <v>30</v>
      </c>
    </row>
    <row r="980" spans="1:38" x14ac:dyDescent="0.2">
      <c r="A980" s="2" t="str">
        <f>HYPERLINK("https://www.compass.com/listing/100-barclay-street-unit-17r-manhattan-ny-10007/731177623625947633/","100 Barclay St, Unit 17R")</f>
        <v>100 Barclay St, Unit 17R</v>
      </c>
      <c r="B980" s="2" t="str">
        <f>HYPERLINK("https://www.compass.com/building/100-barclay-manhattan-ny/281896670466155525/","100 Barclay")</f>
        <v>100 Barclay</v>
      </c>
      <c r="C980" s="1" t="s">
        <v>50</v>
      </c>
      <c r="D980" s="1" t="s">
        <v>41</v>
      </c>
      <c r="E980" s="3">
        <v>3900000</v>
      </c>
      <c r="F980" s="1">
        <v>1846.5909090908999</v>
      </c>
      <c r="G980" s="1">
        <v>5</v>
      </c>
      <c r="H980" s="1">
        <v>3</v>
      </c>
      <c r="I980" s="1">
        <v>3</v>
      </c>
      <c r="J980" s="1">
        <v>3</v>
      </c>
      <c r="K980" s="1">
        <v>3</v>
      </c>
      <c r="M980" s="4">
        <v>2112</v>
      </c>
      <c r="N980" s="1">
        <v>3095</v>
      </c>
      <c r="O980" s="1">
        <v>6439</v>
      </c>
      <c r="P980" s="1">
        <v>3344</v>
      </c>
      <c r="Q980" s="1" t="s">
        <v>42</v>
      </c>
      <c r="S980" s="1" t="s">
        <v>42</v>
      </c>
      <c r="T980" s="1" t="s">
        <v>273</v>
      </c>
      <c r="U980" s="1">
        <v>48</v>
      </c>
      <c r="V980" s="5">
        <v>44356</v>
      </c>
      <c r="W980" s="5">
        <v>44261</v>
      </c>
      <c r="X980" s="1">
        <v>3995000</v>
      </c>
      <c r="Y980" s="1">
        <v>3995000</v>
      </c>
      <c r="Z980" s="5">
        <v>44309</v>
      </c>
      <c r="AA980" s="1">
        <v>3900000</v>
      </c>
      <c r="AB980" s="1" t="s">
        <v>285</v>
      </c>
      <c r="AC980" s="5">
        <v>44349</v>
      </c>
      <c r="AF980" s="1">
        <v>10007</v>
      </c>
      <c r="AI980" s="1" t="s">
        <v>48</v>
      </c>
      <c r="AJ980" s="1">
        <v>1930</v>
      </c>
      <c r="AK980" s="1" t="s">
        <v>49</v>
      </c>
      <c r="AL980" s="1">
        <v>156</v>
      </c>
    </row>
    <row r="981" spans="1:38" x14ac:dyDescent="0.2">
      <c r="A981" s="2" t="str">
        <f>HYPERLINK("https://www.compass.com/listing/45-east-22nd-street-unit-18b-manhattan-ny-10010/703471575510861625/","45 E 22nd St, Unit 18B")</f>
        <v>45 E 22nd St, Unit 18B</v>
      </c>
      <c r="B981" s="2" t="str">
        <f t="shared" ref="B981:B982" si="127">HYPERLINK("https://www.compass.com/building/madison-square-park-tower-manhattan-ny/281903584482705973/","Madison Square Park Tower")</f>
        <v>Madison Square Park Tower</v>
      </c>
      <c r="C981" s="1" t="s">
        <v>56</v>
      </c>
      <c r="D981" s="1" t="s">
        <v>41</v>
      </c>
      <c r="E981" s="3">
        <v>1614200</v>
      </c>
      <c r="F981" s="1">
        <v>1485.0049218031199</v>
      </c>
      <c r="G981" s="1">
        <v>3</v>
      </c>
      <c r="H981" s="1">
        <v>1</v>
      </c>
      <c r="I981" s="1">
        <v>1</v>
      </c>
      <c r="J981" s="1">
        <v>1</v>
      </c>
      <c r="K981" s="1">
        <v>1</v>
      </c>
      <c r="M981" s="4">
        <v>1087</v>
      </c>
      <c r="N981" s="1">
        <v>1312</v>
      </c>
      <c r="O981" s="1">
        <v>3926</v>
      </c>
      <c r="P981" s="1">
        <v>2614</v>
      </c>
      <c r="Q981" s="1" t="s">
        <v>42</v>
      </c>
      <c r="S981" s="1" t="s">
        <v>42</v>
      </c>
      <c r="T981" s="1" t="s">
        <v>273</v>
      </c>
      <c r="U981" s="1">
        <v>155</v>
      </c>
      <c r="V981" s="5">
        <v>44404</v>
      </c>
      <c r="W981" s="5">
        <v>44222</v>
      </c>
      <c r="X981" s="1">
        <v>1875000</v>
      </c>
      <c r="Y981" s="1">
        <v>1875000</v>
      </c>
      <c r="Z981" s="5">
        <v>44379</v>
      </c>
      <c r="AA981" s="1">
        <v>1614200.35</v>
      </c>
      <c r="AB981" s="1" t="s">
        <v>286</v>
      </c>
      <c r="AC981" s="5">
        <v>44397</v>
      </c>
      <c r="AF981" s="1">
        <v>10010</v>
      </c>
      <c r="AI981" s="1" t="s">
        <v>48</v>
      </c>
      <c r="AJ981" s="1">
        <v>2016</v>
      </c>
      <c r="AK981" s="1" t="s">
        <v>49</v>
      </c>
      <c r="AL981" s="1">
        <v>83</v>
      </c>
    </row>
    <row r="982" spans="1:38" x14ac:dyDescent="0.2">
      <c r="A982" s="2" t="str">
        <f>HYPERLINK("https://www.compass.com/listing/45-east-22nd-street-unit-38a-manhattan-ny-10010/627635984244570289/","45 E 22nd St, Unit 38A")</f>
        <v>45 E 22nd St, Unit 38A</v>
      </c>
      <c r="B982" s="2" t="str">
        <f t="shared" si="127"/>
        <v>Madison Square Park Tower</v>
      </c>
      <c r="C982" s="1" t="s">
        <v>56</v>
      </c>
      <c r="D982" s="1" t="s">
        <v>41</v>
      </c>
      <c r="E982" s="3">
        <v>6400000</v>
      </c>
      <c r="F982" s="1">
        <v>3085.82449373191</v>
      </c>
      <c r="G982" s="1">
        <v>4</v>
      </c>
      <c r="H982" s="1">
        <v>2</v>
      </c>
      <c r="I982" s="1">
        <v>2</v>
      </c>
      <c r="J982" s="1">
        <v>2</v>
      </c>
      <c r="K982" s="1">
        <v>2</v>
      </c>
      <c r="M982" s="4">
        <v>2074</v>
      </c>
      <c r="N982" s="1">
        <v>2747.54</v>
      </c>
      <c r="O982" s="1">
        <v>8163.68</v>
      </c>
      <c r="P982" s="1">
        <v>5416.1666666666597</v>
      </c>
      <c r="Q982" s="1" t="s">
        <v>42</v>
      </c>
      <c r="S982" s="1" t="s">
        <v>42</v>
      </c>
      <c r="T982" s="1" t="s">
        <v>273</v>
      </c>
      <c r="U982" s="1">
        <v>94</v>
      </c>
      <c r="V982" s="5">
        <v>44303</v>
      </c>
      <c r="W982" s="5">
        <v>44118</v>
      </c>
      <c r="X982" s="1">
        <v>7495000</v>
      </c>
      <c r="Y982" s="1">
        <v>7250000</v>
      </c>
      <c r="Z982" s="5">
        <v>44212</v>
      </c>
      <c r="AA982" s="1">
        <v>6400000</v>
      </c>
      <c r="AB982" s="1" t="s">
        <v>287</v>
      </c>
      <c r="AC982" s="5">
        <v>44302</v>
      </c>
      <c r="AF982" s="1">
        <v>10010</v>
      </c>
      <c r="AI982" s="1" t="s">
        <v>48</v>
      </c>
      <c r="AJ982" s="1">
        <v>2016</v>
      </c>
      <c r="AK982" s="1" t="s">
        <v>49</v>
      </c>
      <c r="AL982" s="1">
        <v>83</v>
      </c>
    </row>
    <row r="983" spans="1:38" x14ac:dyDescent="0.2">
      <c r="A983" s="2" t="str">
        <f>HYPERLINK("https://www.compass.com/listing/178-bleecker-street-unit-duplex-manhattan-ny-10012/268553893565191553/","178 Bleecker St, Unit DUPLEX")</f>
        <v>178 Bleecker St, Unit DUPLEX</v>
      </c>
      <c r="B983" s="2" t="str">
        <f>HYPERLINK("https://www.compass.com/building/178-bleecker-st-manhattan-ny-10012/281913488861850821/","178 Bleecker St")</f>
        <v>178 Bleecker St</v>
      </c>
      <c r="C983" s="1" t="s">
        <v>277</v>
      </c>
      <c r="D983" s="1" t="s">
        <v>41</v>
      </c>
      <c r="E983" s="3">
        <v>3250000</v>
      </c>
      <c r="F983" s="1">
        <v>2017.3805090006199</v>
      </c>
      <c r="G983" s="1">
        <v>5</v>
      </c>
      <c r="H983" s="1">
        <v>2</v>
      </c>
      <c r="I983" s="1">
        <v>3</v>
      </c>
      <c r="J983" s="1">
        <v>3</v>
      </c>
      <c r="K983" s="1">
        <v>3</v>
      </c>
      <c r="M983" s="4">
        <v>1611</v>
      </c>
      <c r="N983" s="1">
        <v>1021</v>
      </c>
      <c r="O983" s="1">
        <v>3632.5</v>
      </c>
      <c r="P983" s="1">
        <v>2611.5</v>
      </c>
      <c r="S983" s="1" t="s">
        <v>42</v>
      </c>
      <c r="T983" s="1" t="s">
        <v>273</v>
      </c>
      <c r="U983" s="1">
        <v>126</v>
      </c>
      <c r="V983" s="5">
        <v>44112</v>
      </c>
      <c r="W983" s="5">
        <v>43623</v>
      </c>
      <c r="X983" s="1">
        <v>3250000</v>
      </c>
      <c r="Y983" s="1">
        <v>3250000</v>
      </c>
      <c r="Z983" s="5">
        <v>43749</v>
      </c>
      <c r="AA983" s="1">
        <v>3250000</v>
      </c>
      <c r="AB983" s="1" t="s">
        <v>275</v>
      </c>
      <c r="AC983" s="5">
        <v>44091</v>
      </c>
      <c r="AF983" s="1">
        <v>10012</v>
      </c>
      <c r="AI983" s="1" t="s">
        <v>288</v>
      </c>
      <c r="AJ983" s="1">
        <v>2017</v>
      </c>
      <c r="AK983" s="1" t="s">
        <v>75</v>
      </c>
      <c r="AL983" s="1">
        <v>5</v>
      </c>
    </row>
    <row r="984" spans="1:38" x14ac:dyDescent="0.2">
      <c r="A984" s="2" t="str">
        <f>HYPERLINK("https://www.compass.com/listing/100-barclay-street-unit-14a-manhattan-ny-10007/86694173138240273/","100 Barclay St, Unit 14A")</f>
        <v>100 Barclay St, Unit 14A</v>
      </c>
      <c r="B984" s="2" t="str">
        <f t="shared" ref="B984:B985" si="128">HYPERLINK("https://www.compass.com/building/100-barclay-manhattan-ny/281896670466155525/","100 Barclay")</f>
        <v>100 Barclay</v>
      </c>
      <c r="C984" s="1" t="s">
        <v>50</v>
      </c>
      <c r="D984" s="1" t="s">
        <v>41</v>
      </c>
      <c r="E984" s="3">
        <v>9995000</v>
      </c>
      <c r="F984" s="1">
        <v>1890.48609797616</v>
      </c>
      <c r="G984" s="1">
        <v>7</v>
      </c>
      <c r="H984" s="1">
        <v>5</v>
      </c>
      <c r="I984" s="1">
        <v>7</v>
      </c>
      <c r="J984" s="1">
        <v>7</v>
      </c>
      <c r="K984" s="1">
        <v>5</v>
      </c>
      <c r="L984" s="1">
        <v>2</v>
      </c>
      <c r="M984" s="4">
        <v>5287</v>
      </c>
      <c r="N984" s="1">
        <v>6632</v>
      </c>
      <c r="O984" s="1">
        <v>12498</v>
      </c>
      <c r="P984" s="1">
        <v>5866</v>
      </c>
      <c r="Q984" s="1" t="s">
        <v>42</v>
      </c>
      <c r="S984" s="1" t="s">
        <v>42</v>
      </c>
      <c r="T984" s="1" t="s">
        <v>273</v>
      </c>
      <c r="U984" s="1">
        <v>12</v>
      </c>
      <c r="V984" s="5">
        <v>43447</v>
      </c>
      <c r="W984" s="5">
        <v>43371</v>
      </c>
      <c r="X984" s="1">
        <v>9995000</v>
      </c>
      <c r="Y984" s="1">
        <v>9995000</v>
      </c>
      <c r="Z984" s="5">
        <v>43384</v>
      </c>
      <c r="AA984" s="1">
        <v>9995000</v>
      </c>
      <c r="AB984" s="1" t="s">
        <v>275</v>
      </c>
      <c r="AC984" s="5">
        <v>43447</v>
      </c>
      <c r="AF984" s="1">
        <v>10007</v>
      </c>
      <c r="AI984" s="1" t="s">
        <v>52</v>
      </c>
      <c r="AJ984" s="1">
        <v>1930</v>
      </c>
      <c r="AK984" s="1" t="s">
        <v>46</v>
      </c>
      <c r="AL984" s="1">
        <v>156</v>
      </c>
    </row>
    <row r="985" spans="1:38" x14ac:dyDescent="0.2">
      <c r="A985" s="2" t="str">
        <f>HYPERLINK("https://www.compass.com/listing/100-barclay-street-unit-23b-manhattan-ny-10007/117437223086861121/","100 Barclay St, Unit 23B")</f>
        <v>100 Barclay St, Unit 23B</v>
      </c>
      <c r="B985" s="2" t="str">
        <f t="shared" si="128"/>
        <v>100 Barclay</v>
      </c>
      <c r="C985" s="1" t="s">
        <v>50</v>
      </c>
      <c r="D985" s="1" t="s">
        <v>41</v>
      </c>
      <c r="E985" s="3">
        <v>5200000</v>
      </c>
      <c r="F985" s="1">
        <v>1811.84668989547</v>
      </c>
      <c r="G985" s="1">
        <v>10</v>
      </c>
      <c r="H985" s="1">
        <v>4</v>
      </c>
      <c r="I985" s="1">
        <v>4</v>
      </c>
      <c r="J985" s="1">
        <v>4</v>
      </c>
      <c r="K985" s="1">
        <v>4</v>
      </c>
      <c r="M985" s="4">
        <v>2870</v>
      </c>
      <c r="N985" s="1">
        <v>3722</v>
      </c>
      <c r="O985" s="1">
        <v>7670</v>
      </c>
      <c r="P985" s="1">
        <v>3948</v>
      </c>
      <c r="Q985" s="1" t="s">
        <v>42</v>
      </c>
      <c r="S985" s="1" t="s">
        <v>42</v>
      </c>
      <c r="T985" s="1" t="s">
        <v>273</v>
      </c>
      <c r="U985" s="1">
        <v>125</v>
      </c>
      <c r="V985" s="5">
        <v>43639</v>
      </c>
      <c r="W985" s="5">
        <v>43417</v>
      </c>
      <c r="X985" s="1">
        <v>5995000</v>
      </c>
      <c r="Y985" s="1">
        <v>5995000</v>
      </c>
      <c r="Z985" s="5">
        <v>43588</v>
      </c>
      <c r="AA985" s="1">
        <v>5200000</v>
      </c>
      <c r="AB985" s="1" t="s">
        <v>289</v>
      </c>
      <c r="AC985" s="5">
        <v>43637</v>
      </c>
      <c r="AF985" s="1">
        <v>10007</v>
      </c>
      <c r="AI985" s="1" t="s">
        <v>52</v>
      </c>
      <c r="AJ985" s="1">
        <v>1930</v>
      </c>
      <c r="AK985" s="1" t="s">
        <v>46</v>
      </c>
      <c r="AL985" s="1">
        <v>156</v>
      </c>
    </row>
    <row r="986" spans="1:38" x14ac:dyDescent="0.2">
      <c r="A986" s="2" t="str">
        <f>HYPERLINK("https://www.compass.com/listing/111-murray-street-unit-14c-manhattan-ny-10007/749990119902954937/","111 Murray St, Unit 14C")</f>
        <v>111 Murray St, Unit 14C</v>
      </c>
      <c r="B986" s="2" t="str">
        <f t="shared" ref="B986:B987" si="129">HYPERLINK("https://www.compass.com/building/111-murray-st-manhattan-ny-10007/281896511862746053/","111 Murray St")</f>
        <v>111 Murray St</v>
      </c>
      <c r="C986" s="1" t="s">
        <v>50</v>
      </c>
      <c r="D986" s="1" t="s">
        <v>41</v>
      </c>
      <c r="E986" s="3">
        <v>1920000</v>
      </c>
      <c r="F986" s="1">
        <v>2316.04342581423</v>
      </c>
      <c r="G986" s="1">
        <v>3</v>
      </c>
      <c r="H986" s="1">
        <v>1</v>
      </c>
      <c r="I986" s="1">
        <v>1</v>
      </c>
      <c r="J986" s="1">
        <v>1</v>
      </c>
      <c r="K986" s="1">
        <v>1</v>
      </c>
      <c r="M986" s="1">
        <v>829</v>
      </c>
      <c r="N986" s="1">
        <v>1057.24</v>
      </c>
      <c r="O986" s="1">
        <v>2803.1099999999901</v>
      </c>
      <c r="P986" s="1">
        <v>1745.8333333333301</v>
      </c>
      <c r="Q986" s="1" t="s">
        <v>42</v>
      </c>
      <c r="S986" s="1" t="s">
        <v>42</v>
      </c>
      <c r="T986" s="1" t="s">
        <v>273</v>
      </c>
      <c r="U986" s="1">
        <v>30</v>
      </c>
      <c r="V986" s="5">
        <v>44379</v>
      </c>
      <c r="W986" s="5">
        <v>44287</v>
      </c>
      <c r="X986" s="1">
        <v>1995000</v>
      </c>
      <c r="Y986" s="1">
        <v>1995000</v>
      </c>
      <c r="Z986" s="5">
        <v>44317</v>
      </c>
      <c r="AA986" s="1">
        <v>1920000</v>
      </c>
      <c r="AB986" s="1" t="s">
        <v>290</v>
      </c>
      <c r="AC986" s="5">
        <v>44375</v>
      </c>
      <c r="AF986" s="1">
        <v>10007</v>
      </c>
      <c r="AI986" s="1" t="s">
        <v>80</v>
      </c>
      <c r="AJ986" s="1">
        <v>2018</v>
      </c>
      <c r="AK986" s="1" t="s">
        <v>49</v>
      </c>
      <c r="AL986" s="1">
        <v>157</v>
      </c>
    </row>
    <row r="987" spans="1:38" x14ac:dyDescent="0.2">
      <c r="A987" s="2" t="str">
        <f>HYPERLINK("https://www.compass.com/listing/111-murray-street-unit-44a-manhattan-ny-10007/755905947331102265/","111 Murray St, Unit 44A")</f>
        <v>111 Murray St, Unit 44A</v>
      </c>
      <c r="B987" s="2" t="str">
        <f t="shared" si="129"/>
        <v>111 Murray St</v>
      </c>
      <c r="C987" s="1" t="s">
        <v>50</v>
      </c>
      <c r="D987" s="1" t="s">
        <v>41</v>
      </c>
      <c r="E987" s="3">
        <v>5375000</v>
      </c>
      <c r="F987" s="1">
        <v>2782.0910973084801</v>
      </c>
      <c r="G987" s="1">
        <v>5</v>
      </c>
      <c r="H987" s="1">
        <v>3</v>
      </c>
      <c r="I987" s="1">
        <v>4</v>
      </c>
      <c r="J987" s="1">
        <v>3.5</v>
      </c>
      <c r="K987" s="1">
        <v>3</v>
      </c>
      <c r="L987" s="1">
        <v>1</v>
      </c>
      <c r="M987" s="4">
        <v>1932</v>
      </c>
      <c r="N987" s="1">
        <v>2437</v>
      </c>
      <c r="O987" s="1">
        <v>6046</v>
      </c>
      <c r="P987" s="1">
        <v>3609</v>
      </c>
      <c r="Q987" s="1" t="s">
        <v>42</v>
      </c>
      <c r="S987" s="1" t="s">
        <v>42</v>
      </c>
      <c r="T987" s="1" t="s">
        <v>273</v>
      </c>
      <c r="V987" s="5">
        <v>44345</v>
      </c>
      <c r="Y987" s="1">
        <v>5995000</v>
      </c>
      <c r="Z987" s="5">
        <v>44295</v>
      </c>
      <c r="AA987" s="1">
        <v>5375000</v>
      </c>
      <c r="AB987" s="1" t="s">
        <v>291</v>
      </c>
      <c r="AC987" s="5">
        <v>44336</v>
      </c>
      <c r="AF987" s="1">
        <v>10007</v>
      </c>
      <c r="AI987" s="1" t="s">
        <v>80</v>
      </c>
      <c r="AJ987" s="1">
        <v>2018</v>
      </c>
      <c r="AK987" s="1" t="s">
        <v>49</v>
      </c>
      <c r="AL987" s="1">
        <v>157</v>
      </c>
    </row>
    <row r="988" spans="1:38" x14ac:dyDescent="0.2">
      <c r="A988" s="2" t="str">
        <f>HYPERLINK("https://www.compass.com/listing/100-barclay-street-unit-19d-manhattan-ny-10007/674622890921777185/","100 Barclay St, Unit 19D")</f>
        <v>100 Barclay St, Unit 19D</v>
      </c>
      <c r="B988" s="2" t="str">
        <f>HYPERLINK("https://www.compass.com/building/100-barclay-manhattan-ny/281896670466155525/","100 Barclay")</f>
        <v>100 Barclay</v>
      </c>
      <c r="C988" s="1" t="s">
        <v>50</v>
      </c>
      <c r="D988" s="1" t="s">
        <v>41</v>
      </c>
      <c r="E988" s="3">
        <v>7900000</v>
      </c>
      <c r="F988" s="1">
        <v>2304.5507584597399</v>
      </c>
      <c r="G988" s="1">
        <v>8</v>
      </c>
      <c r="H988" s="1">
        <v>3</v>
      </c>
      <c r="I988" s="1">
        <v>5</v>
      </c>
      <c r="J988" s="1">
        <v>4.5</v>
      </c>
      <c r="K988" s="1">
        <v>4</v>
      </c>
      <c r="L988" s="1">
        <v>1</v>
      </c>
      <c r="M988" s="4">
        <v>3428</v>
      </c>
      <c r="N988" s="1">
        <v>5778</v>
      </c>
      <c r="O988" s="1">
        <v>11733</v>
      </c>
      <c r="P988" s="1">
        <v>5955</v>
      </c>
      <c r="Q988" s="1" t="s">
        <v>42</v>
      </c>
      <c r="S988" s="1" t="s">
        <v>42</v>
      </c>
      <c r="T988" s="1" t="s">
        <v>273</v>
      </c>
      <c r="U988" s="1">
        <v>45</v>
      </c>
      <c r="V988" s="5">
        <v>44291</v>
      </c>
      <c r="W988" s="5">
        <v>44183</v>
      </c>
      <c r="X988" s="1">
        <v>8495000</v>
      </c>
      <c r="Y988" s="1">
        <v>8495000</v>
      </c>
      <c r="Z988" s="5">
        <v>44229</v>
      </c>
      <c r="AA988" s="1">
        <v>7900000</v>
      </c>
      <c r="AB988" s="1" t="s">
        <v>292</v>
      </c>
      <c r="AC988" s="5">
        <v>44287</v>
      </c>
      <c r="AF988" s="1">
        <v>10007</v>
      </c>
      <c r="AI988" s="1" t="s">
        <v>52</v>
      </c>
      <c r="AJ988" s="1">
        <v>1930</v>
      </c>
      <c r="AK988" s="1" t="s">
        <v>49</v>
      </c>
      <c r="AL988" s="1">
        <v>156</v>
      </c>
    </row>
    <row r="989" spans="1:38" x14ac:dyDescent="0.2">
      <c r="A989" s="2" t="str">
        <f>HYPERLINK("https://www.compass.com/listing/560-west-24th-street-unit-4-manhattan-ny-10011/4852349855432973601/","560 W 24th St, Unit 4")</f>
        <v>560 W 24th St, Unit 4</v>
      </c>
      <c r="B989" s="2" t="str">
        <f t="shared" ref="B989:B993" si="130">HYPERLINK("https://www.compass.com/building/five-sixty-manhattan-ny/282058548421098597/","Five Sixty")</f>
        <v>Five Sixty</v>
      </c>
      <c r="C989" s="1" t="s">
        <v>62</v>
      </c>
      <c r="D989" s="1" t="s">
        <v>41</v>
      </c>
      <c r="E989" s="3">
        <v>7506063</v>
      </c>
      <c r="F989" s="1">
        <v>2333.2491451663</v>
      </c>
      <c r="G989" s="1">
        <v>7</v>
      </c>
      <c r="H989" s="1">
        <v>4</v>
      </c>
      <c r="I989" s="1">
        <v>4.5</v>
      </c>
      <c r="J989" s="1">
        <v>4.5</v>
      </c>
      <c r="M989" s="4">
        <v>3217</v>
      </c>
      <c r="N989" s="1">
        <v>3988</v>
      </c>
      <c r="O989" s="1">
        <v>8082</v>
      </c>
      <c r="P989" s="1">
        <v>4094</v>
      </c>
      <c r="Q989" s="1" t="s">
        <v>42</v>
      </c>
      <c r="S989" s="1" t="s">
        <v>42</v>
      </c>
      <c r="T989" s="1" t="s">
        <v>273</v>
      </c>
      <c r="U989" s="1">
        <v>96</v>
      </c>
      <c r="V989" s="5">
        <v>42494</v>
      </c>
      <c r="W989" s="5">
        <v>41942</v>
      </c>
      <c r="X989" s="1">
        <v>7750000</v>
      </c>
      <c r="Y989" s="1">
        <v>7750000</v>
      </c>
      <c r="Z989" s="5">
        <v>42039</v>
      </c>
      <c r="AA989" s="1">
        <v>7750000</v>
      </c>
      <c r="AB989" s="1" t="s">
        <v>275</v>
      </c>
      <c r="AC989" s="5">
        <v>42208</v>
      </c>
      <c r="AF989" s="1">
        <v>10011</v>
      </c>
      <c r="AI989" s="1" t="s">
        <v>231</v>
      </c>
      <c r="AJ989" s="1">
        <v>2015</v>
      </c>
      <c r="AK989" s="1" t="s">
        <v>108</v>
      </c>
      <c r="AL989" s="1">
        <v>8</v>
      </c>
    </row>
    <row r="990" spans="1:38" x14ac:dyDescent="0.2">
      <c r="A990" s="2" t="str">
        <f>HYPERLINK("https://www.compass.com/listing/560-west-24th-street-unit-6-manhattan-ny-10011/4852349877721508769/","560 W 24th St, Unit 6")</f>
        <v>560 W 24th St, Unit 6</v>
      </c>
      <c r="B990" s="2" t="str">
        <f t="shared" si="130"/>
        <v>Five Sixty</v>
      </c>
      <c r="C990" s="1" t="s">
        <v>62</v>
      </c>
      <c r="D990" s="1" t="s">
        <v>41</v>
      </c>
      <c r="E990" s="3">
        <v>6872250</v>
      </c>
      <c r="F990" s="1">
        <v>2136.8936567164101</v>
      </c>
      <c r="G990" s="1">
        <v>7</v>
      </c>
      <c r="H990" s="1">
        <v>4</v>
      </c>
      <c r="J990" s="1">
        <v>4.5</v>
      </c>
      <c r="M990" s="4">
        <v>3216</v>
      </c>
      <c r="N990" s="1">
        <v>4373.75</v>
      </c>
      <c r="O990" s="1">
        <v>9155.25</v>
      </c>
      <c r="P990" s="1">
        <v>4781.5</v>
      </c>
      <c r="Q990" s="1" t="s">
        <v>42</v>
      </c>
      <c r="S990" s="1" t="s">
        <v>42</v>
      </c>
      <c r="T990" s="1" t="s">
        <v>273</v>
      </c>
      <c r="U990" s="1">
        <v>82</v>
      </c>
      <c r="V990" s="5">
        <v>42593</v>
      </c>
      <c r="W990" s="5">
        <v>42448</v>
      </c>
      <c r="X990" s="1">
        <v>7950000</v>
      </c>
      <c r="Y990" s="1">
        <v>7500000</v>
      </c>
      <c r="Z990" s="5">
        <v>42531</v>
      </c>
      <c r="AA990" s="1">
        <v>6872250</v>
      </c>
      <c r="AB990" s="1" t="s">
        <v>275</v>
      </c>
      <c r="AC990" s="5">
        <v>42593</v>
      </c>
      <c r="AF990" s="1">
        <v>10011</v>
      </c>
      <c r="AI990" s="1" t="s">
        <v>231</v>
      </c>
      <c r="AJ990" s="1">
        <v>2015</v>
      </c>
      <c r="AK990" s="1" t="s">
        <v>108</v>
      </c>
      <c r="AL990" s="1">
        <v>8</v>
      </c>
    </row>
    <row r="991" spans="1:38" x14ac:dyDescent="0.2">
      <c r="A991" s="2" t="str">
        <f>HYPERLINK("https://www.compass.com/listing/560-west-24th-street-unit-5fl-manhattan-ny-10011/4852350180063717665/","560 W 24th St, Unit 5")</f>
        <v>560 W 24th St, Unit 5</v>
      </c>
      <c r="B991" s="2" t="str">
        <f t="shared" si="130"/>
        <v>Five Sixty</v>
      </c>
      <c r="C991" s="1" t="s">
        <v>62</v>
      </c>
      <c r="D991" s="1" t="s">
        <v>41</v>
      </c>
      <c r="E991" s="3">
        <v>7100000</v>
      </c>
      <c r="F991" s="1">
        <v>2207.0251787379498</v>
      </c>
      <c r="G991" s="1">
        <v>7</v>
      </c>
      <c r="H991" s="1">
        <v>4</v>
      </c>
      <c r="I991" s="1">
        <v>4.5</v>
      </c>
      <c r="J991" s="1">
        <v>4.5</v>
      </c>
      <c r="M991" s="4">
        <v>3217</v>
      </c>
      <c r="N991" s="1">
        <v>4373</v>
      </c>
      <c r="O991" s="1">
        <v>9154.5</v>
      </c>
      <c r="P991" s="1">
        <v>4781.5</v>
      </c>
      <c r="Q991" s="1" t="s">
        <v>42</v>
      </c>
      <c r="S991" s="1" t="s">
        <v>42</v>
      </c>
      <c r="T991" s="1" t="s">
        <v>273</v>
      </c>
      <c r="U991" s="1">
        <v>398</v>
      </c>
      <c r="V991" s="5">
        <v>42495</v>
      </c>
      <c r="W991" s="5">
        <v>42039</v>
      </c>
      <c r="X991" s="1">
        <v>8250000</v>
      </c>
      <c r="Y991" s="1">
        <v>7100000</v>
      </c>
      <c r="Z991" s="5">
        <v>42495</v>
      </c>
      <c r="AA991" s="1">
        <v>7100000</v>
      </c>
      <c r="AB991" s="1" t="s">
        <v>275</v>
      </c>
      <c r="AC991" s="5">
        <v>42495</v>
      </c>
      <c r="AF991" s="1">
        <v>10011</v>
      </c>
      <c r="AI991" s="1" t="s">
        <v>293</v>
      </c>
      <c r="AJ991" s="1">
        <v>2015</v>
      </c>
      <c r="AK991" s="1" t="s">
        <v>108</v>
      </c>
      <c r="AL991" s="1">
        <v>8</v>
      </c>
    </row>
    <row r="992" spans="1:38" x14ac:dyDescent="0.2">
      <c r="A992" s="2" t="str">
        <f>HYPERLINK("https://www.compass.com/listing/560-west-24th-street-unit-7fl-manhattan-ny-10011/4852350386213763681/","560 W 24th St, Unit 7")</f>
        <v>560 W 24th St, Unit 7</v>
      </c>
      <c r="B992" s="2" t="str">
        <f t="shared" si="130"/>
        <v>Five Sixty</v>
      </c>
      <c r="C992" s="1" t="s">
        <v>62</v>
      </c>
      <c r="D992" s="1" t="s">
        <v>41</v>
      </c>
      <c r="E992" s="3">
        <v>8450000</v>
      </c>
      <c r="F992" s="1">
        <v>2626.6708113148802</v>
      </c>
      <c r="G992" s="1">
        <v>7</v>
      </c>
      <c r="H992" s="1">
        <v>4</v>
      </c>
      <c r="I992" s="1">
        <v>4.5</v>
      </c>
      <c r="J992" s="1">
        <v>4.5</v>
      </c>
      <c r="M992" s="4">
        <v>3217</v>
      </c>
      <c r="N992" s="1">
        <v>4605</v>
      </c>
      <c r="O992" s="1">
        <v>9333.36</v>
      </c>
      <c r="P992" s="1">
        <v>4728.3333333333303</v>
      </c>
      <c r="Q992" s="1" t="s">
        <v>42</v>
      </c>
      <c r="S992" s="1" t="s">
        <v>42</v>
      </c>
      <c r="T992" s="1" t="s">
        <v>273</v>
      </c>
      <c r="U992" s="1">
        <v>123</v>
      </c>
      <c r="V992" s="5">
        <v>42494</v>
      </c>
      <c r="W992" s="5">
        <v>42055</v>
      </c>
      <c r="X992" s="1">
        <v>8950000</v>
      </c>
      <c r="Y992" s="1">
        <v>8950000</v>
      </c>
      <c r="Z992" s="5">
        <v>42179</v>
      </c>
      <c r="AA992" s="1">
        <v>8450000</v>
      </c>
      <c r="AB992" s="1" t="s">
        <v>275</v>
      </c>
      <c r="AC992" s="5">
        <v>42241</v>
      </c>
      <c r="AF992" s="1">
        <v>10011</v>
      </c>
      <c r="AI992" s="1" t="s">
        <v>293</v>
      </c>
      <c r="AJ992" s="1">
        <v>2015</v>
      </c>
      <c r="AK992" s="1" t="s">
        <v>108</v>
      </c>
      <c r="AL992" s="1">
        <v>8</v>
      </c>
    </row>
    <row r="993" spans="1:38" x14ac:dyDescent="0.2">
      <c r="A993" s="2" t="str">
        <f>HYPERLINK("https://www.compass.com/listing/560-west-24th-street-unit-3-manhattan-ny-10011/29369734852100353/","560 W 24th St, Unit 3")</f>
        <v>560 W 24th St, Unit 3</v>
      </c>
      <c r="B993" s="2" t="str">
        <f t="shared" si="130"/>
        <v>Five Sixty</v>
      </c>
      <c r="C993" s="1" t="s">
        <v>62</v>
      </c>
      <c r="D993" s="1" t="s">
        <v>41</v>
      </c>
      <c r="E993" s="3">
        <v>7750000</v>
      </c>
      <c r="F993" s="1">
        <v>2409.0767796083301</v>
      </c>
      <c r="G993" s="1">
        <v>7</v>
      </c>
      <c r="H993" s="1">
        <v>4</v>
      </c>
      <c r="I993" s="1">
        <v>4.5</v>
      </c>
      <c r="J993" s="1">
        <v>4.5</v>
      </c>
      <c r="M993" s="4">
        <v>3217</v>
      </c>
      <c r="N993" s="1">
        <v>3731</v>
      </c>
      <c r="O993" s="1">
        <v>7562</v>
      </c>
      <c r="P993" s="1">
        <v>3831</v>
      </c>
      <c r="Q993" s="1" t="s">
        <v>42</v>
      </c>
      <c r="S993" s="1" t="s">
        <v>42</v>
      </c>
      <c r="T993" s="1" t="s">
        <v>273</v>
      </c>
      <c r="V993" s="5">
        <v>43701</v>
      </c>
      <c r="Y993" s="1">
        <v>7250000</v>
      </c>
      <c r="Z993" s="5">
        <v>42055</v>
      </c>
      <c r="AA993" s="1">
        <v>7750000</v>
      </c>
      <c r="AB993" s="1" t="s">
        <v>294</v>
      </c>
      <c r="AC993" s="5">
        <v>42206</v>
      </c>
      <c r="AF993" s="1">
        <v>10011</v>
      </c>
      <c r="AI993" s="1" t="s">
        <v>231</v>
      </c>
      <c r="AJ993" s="1">
        <v>2015</v>
      </c>
      <c r="AK993" s="1" t="s">
        <v>108</v>
      </c>
      <c r="AL993" s="1">
        <v>8</v>
      </c>
    </row>
    <row r="994" spans="1:38" x14ac:dyDescent="0.2">
      <c r="A994" s="2" t="str">
        <f>HYPERLINK("https://www.compass.com/listing/160-leroy-street-unit-7a-manhattan-ny-10014/256451590527977409/","160 Leroy St, Unit 7A")</f>
        <v>160 Leroy St, Unit 7A</v>
      </c>
      <c r="B994" s="2" t="str">
        <f t="shared" ref="B994:B995" si="131">HYPERLINK("https://www.compass.com/building/160-leroy-st-manhattan-ny-10014/293418469918017093/","160 Leroy St")</f>
        <v>160 Leroy St</v>
      </c>
      <c r="C994" s="1" t="s">
        <v>67</v>
      </c>
      <c r="D994" s="1" t="s">
        <v>41</v>
      </c>
      <c r="E994" s="3">
        <v>2995000</v>
      </c>
      <c r="F994" s="1">
        <v>2732.6642335766401</v>
      </c>
      <c r="G994" s="1">
        <v>3</v>
      </c>
      <c r="H994" s="1">
        <v>1</v>
      </c>
      <c r="I994" s="1">
        <v>2</v>
      </c>
      <c r="J994" s="1">
        <v>1.5</v>
      </c>
      <c r="K994" s="1">
        <v>1</v>
      </c>
      <c r="L994" s="1">
        <v>1</v>
      </c>
      <c r="M994" s="4">
        <v>1096</v>
      </c>
      <c r="N994" s="1">
        <v>1548</v>
      </c>
      <c r="O994" s="1">
        <v>3786.14</v>
      </c>
      <c r="P994" s="1">
        <v>2238.1666666666601</v>
      </c>
      <c r="S994" s="1" t="s">
        <v>42</v>
      </c>
      <c r="T994" s="1" t="s">
        <v>273</v>
      </c>
      <c r="U994" s="1">
        <v>41</v>
      </c>
      <c r="V994" s="5">
        <v>43697</v>
      </c>
      <c r="W994" s="5">
        <v>43606</v>
      </c>
      <c r="X994" s="1">
        <v>2995000</v>
      </c>
      <c r="Y994" s="1">
        <v>2995000</v>
      </c>
      <c r="Z994" s="5">
        <v>43648</v>
      </c>
      <c r="AA994" s="1">
        <v>2995000</v>
      </c>
      <c r="AB994" s="1" t="s">
        <v>275</v>
      </c>
      <c r="AC994" s="5">
        <v>43697</v>
      </c>
      <c r="AF994" s="1">
        <v>10014</v>
      </c>
      <c r="AI994" s="1" t="s">
        <v>65</v>
      </c>
      <c r="AJ994" s="1">
        <v>2017</v>
      </c>
      <c r="AK994" s="1" t="s">
        <v>125</v>
      </c>
      <c r="AL994" s="1">
        <v>57</v>
      </c>
    </row>
    <row r="995" spans="1:38" x14ac:dyDescent="0.2">
      <c r="A995" s="2" t="str">
        <f>HYPERLINK("https://www.compass.com/listing/160-leroy-street-unit-north-9c-manhattan-ny-10014/374717492140071921/","160 Leroy St, Unit NORTH 9C")</f>
        <v>160 Leroy St, Unit NORTH 9C</v>
      </c>
      <c r="B995" s="2" t="str">
        <f t="shared" si="131"/>
        <v>160 Leroy St</v>
      </c>
      <c r="C995" s="1" t="s">
        <v>67</v>
      </c>
      <c r="D995" s="1" t="s">
        <v>41</v>
      </c>
      <c r="E995" s="3">
        <v>3900000</v>
      </c>
      <c r="F995" s="1">
        <v>2256.9444444444398</v>
      </c>
      <c r="G995" s="1">
        <v>4</v>
      </c>
      <c r="H995" s="1">
        <v>2</v>
      </c>
      <c r="I995" s="1">
        <v>3</v>
      </c>
      <c r="J995" s="1">
        <v>2.5</v>
      </c>
      <c r="K995" s="1">
        <v>2</v>
      </c>
      <c r="L995" s="1">
        <v>1</v>
      </c>
      <c r="M995" s="4">
        <v>1728</v>
      </c>
      <c r="N995" s="1">
        <v>2750</v>
      </c>
      <c r="O995" s="1">
        <v>6300</v>
      </c>
      <c r="P995" s="1">
        <v>3550</v>
      </c>
      <c r="S995" s="1" t="s">
        <v>42</v>
      </c>
      <c r="T995" s="1" t="s">
        <v>273</v>
      </c>
      <c r="U995" s="1">
        <v>260</v>
      </c>
      <c r="V995" s="5">
        <v>44202</v>
      </c>
      <c r="W995" s="5">
        <v>43784</v>
      </c>
      <c r="X995" s="1">
        <v>5995000</v>
      </c>
      <c r="Y995" s="1">
        <v>4999995</v>
      </c>
      <c r="Z995" s="5">
        <v>44138</v>
      </c>
      <c r="AA995" s="1">
        <v>3900000</v>
      </c>
      <c r="AB995" s="1" t="s">
        <v>295</v>
      </c>
      <c r="AC995" s="5">
        <v>44196</v>
      </c>
      <c r="AF995" s="1">
        <v>10014</v>
      </c>
      <c r="AI995" s="1" t="s">
        <v>65</v>
      </c>
      <c r="AJ995" s="1">
        <v>2017</v>
      </c>
      <c r="AK995" s="1" t="s">
        <v>49</v>
      </c>
      <c r="AL995" s="1">
        <v>57</v>
      </c>
    </row>
    <row r="996" spans="1:38" x14ac:dyDescent="0.2">
      <c r="A996" s="2" t="str">
        <f>HYPERLINK("https://www.compass.com/listing/347-bowery-unit-3-4-manhattan-ny-10003/592722540353773961/","347 Bowery, Unit 3/4")</f>
        <v>347 Bowery, Unit 3/4</v>
      </c>
      <c r="B996" s="2" t="str">
        <f t="shared" ref="B996:B997" si="132">HYPERLINK("https://www.compass.com/building/347-bowery-manhattan-ny/281893184445880405/","347 Bowery")</f>
        <v>347 Bowery</v>
      </c>
      <c r="C996" s="1" t="s">
        <v>71</v>
      </c>
      <c r="D996" s="1" t="s">
        <v>41</v>
      </c>
      <c r="E996" s="3">
        <v>5750000</v>
      </c>
      <c r="F996" s="1">
        <v>2353.6635284486201</v>
      </c>
      <c r="G996" s="1">
        <v>5</v>
      </c>
      <c r="H996" s="1">
        <v>2</v>
      </c>
      <c r="I996" s="1">
        <v>3</v>
      </c>
      <c r="J996" s="1">
        <v>3</v>
      </c>
      <c r="K996" s="1">
        <v>3</v>
      </c>
      <c r="M996" s="4">
        <v>2443</v>
      </c>
      <c r="N996" s="1">
        <v>4035.38</v>
      </c>
      <c r="O996" s="1">
        <v>7379.5</v>
      </c>
      <c r="P996" s="1">
        <v>3344.0833333333298</v>
      </c>
      <c r="S996" s="1" t="s">
        <v>42</v>
      </c>
      <c r="T996" s="1" t="s">
        <v>273</v>
      </c>
      <c r="U996" s="1">
        <v>36</v>
      </c>
      <c r="V996" s="5">
        <v>44145</v>
      </c>
      <c r="W996" s="5">
        <v>44070</v>
      </c>
      <c r="X996" s="1">
        <v>5750000</v>
      </c>
      <c r="Y996" s="1">
        <v>5750000</v>
      </c>
      <c r="Z996" s="5">
        <v>44106</v>
      </c>
      <c r="AA996" s="1">
        <v>5750000</v>
      </c>
      <c r="AB996" s="1" t="s">
        <v>275</v>
      </c>
      <c r="AC996" s="5">
        <v>44145</v>
      </c>
      <c r="AF996" s="1">
        <v>10003</v>
      </c>
      <c r="AI996" s="1" t="s">
        <v>296</v>
      </c>
      <c r="AJ996" s="1">
        <v>2017</v>
      </c>
      <c r="AK996" s="1" t="s">
        <v>73</v>
      </c>
      <c r="AL996" s="1">
        <v>6</v>
      </c>
    </row>
    <row r="997" spans="1:38" x14ac:dyDescent="0.2">
      <c r="A997" s="2" t="str">
        <f>HYPERLINK("https://www.compass.com/listing/347-bowery-unit-9-10-manhattan-ny-10003/449408891429349441/","347 Bowery, Unit 9/10")</f>
        <v>347 Bowery, Unit 9/10</v>
      </c>
      <c r="B997" s="2" t="str">
        <f t="shared" si="132"/>
        <v>347 Bowery</v>
      </c>
      <c r="C997" s="1" t="s">
        <v>71</v>
      </c>
      <c r="D997" s="1" t="s">
        <v>41</v>
      </c>
      <c r="E997" s="3">
        <v>7500000</v>
      </c>
      <c r="F997" s="1">
        <v>2594.2580421999301</v>
      </c>
      <c r="G997" s="1">
        <v>6</v>
      </c>
      <c r="H997" s="1">
        <v>3</v>
      </c>
      <c r="I997" s="1">
        <v>4</v>
      </c>
      <c r="J997" s="1">
        <v>3.5</v>
      </c>
      <c r="K997" s="1">
        <v>3</v>
      </c>
      <c r="L997" s="1">
        <v>1</v>
      </c>
      <c r="M997" s="4">
        <v>2891</v>
      </c>
      <c r="N997" s="1">
        <v>4858.92</v>
      </c>
      <c r="O997" s="1">
        <v>8687.92</v>
      </c>
      <c r="P997" s="1">
        <v>3829</v>
      </c>
      <c r="S997" s="1" t="s">
        <v>42</v>
      </c>
      <c r="T997" s="1" t="s">
        <v>273</v>
      </c>
      <c r="V997" s="5">
        <v>44016</v>
      </c>
      <c r="W997" s="5">
        <v>43872</v>
      </c>
      <c r="X997" s="1">
        <v>7500000</v>
      </c>
      <c r="Z997" s="5">
        <v>43872</v>
      </c>
      <c r="AB997" s="1" t="s">
        <v>275</v>
      </c>
      <c r="AF997" s="1">
        <v>10003</v>
      </c>
      <c r="AI997" s="1" t="s">
        <v>297</v>
      </c>
      <c r="AJ997" s="1">
        <v>2017</v>
      </c>
      <c r="AK997" s="1" t="s">
        <v>73</v>
      </c>
      <c r="AL997" s="1">
        <v>6</v>
      </c>
    </row>
    <row r="998" spans="1:38" x14ac:dyDescent="0.2">
      <c r="A998" s="2" t="str">
        <f>HYPERLINK("https://www.compass.com/listing/54-macdougal-street-unit-3-manhattan-ny-10012/12767307881286145/","54 MacDougal St, Unit 3")</f>
        <v>54 MacDougal St, Unit 3</v>
      </c>
      <c r="B998" s="2" t="str">
        <f>HYPERLINK("https://www.compass.com/building/54-macdougal-street-manhattan-ny/294847890518036229/","54 Macdougal Street")</f>
        <v>54 Macdougal Street</v>
      </c>
      <c r="C998" s="1" t="s">
        <v>298</v>
      </c>
      <c r="D998" s="1" t="s">
        <v>41</v>
      </c>
      <c r="E998" s="3">
        <v>3279656</v>
      </c>
      <c r="F998" s="1">
        <v>2376.5625</v>
      </c>
      <c r="G998" s="1">
        <v>4</v>
      </c>
      <c r="H998" s="1">
        <v>2</v>
      </c>
      <c r="I998" s="1">
        <v>2</v>
      </c>
      <c r="J998" s="1">
        <v>2</v>
      </c>
      <c r="M998" s="4">
        <v>1380</v>
      </c>
      <c r="N998" s="1">
        <v>974.41</v>
      </c>
      <c r="O998" s="1">
        <v>3301.5299999999902</v>
      </c>
      <c r="P998" s="1">
        <v>2327.0833333333298</v>
      </c>
      <c r="Q998" s="1" t="s">
        <v>42</v>
      </c>
      <c r="S998" s="1" t="s">
        <v>42</v>
      </c>
      <c r="T998" s="1" t="s">
        <v>273</v>
      </c>
      <c r="U998" s="1">
        <v>71</v>
      </c>
      <c r="V998" s="5">
        <v>43697</v>
      </c>
      <c r="W998" s="5">
        <v>43230</v>
      </c>
      <c r="X998" s="1">
        <v>3150000</v>
      </c>
      <c r="Y998" s="1">
        <v>3150000</v>
      </c>
      <c r="Z998" s="5">
        <v>43301</v>
      </c>
      <c r="AA998" s="1">
        <v>3279656.25</v>
      </c>
      <c r="AB998" s="1" t="s">
        <v>299</v>
      </c>
      <c r="AC998" s="5">
        <v>43469</v>
      </c>
      <c r="AF998" s="1">
        <v>10012</v>
      </c>
      <c r="AI998" s="1" t="s">
        <v>95</v>
      </c>
      <c r="AJ998" s="1">
        <v>2018</v>
      </c>
      <c r="AL998" s="1">
        <v>4</v>
      </c>
    </row>
    <row r="999" spans="1:38" x14ac:dyDescent="0.2">
      <c r="A999" s="2" t="str">
        <f>HYPERLINK("https://www.compass.com/listing/347-bowery-unit-ph-manhattan-ny-10003/29362116058162577/","347 Bowery, Unit PH")</f>
        <v>347 Bowery, Unit PH</v>
      </c>
      <c r="B999" s="2" t="str">
        <f>HYPERLINK("https://www.compass.com/building/347-bowery-manhattan-ny/281893184445880405/","347 Bowery")</f>
        <v>347 Bowery</v>
      </c>
      <c r="C999" s="1" t="s">
        <v>71</v>
      </c>
      <c r="D999" s="1" t="s">
        <v>41</v>
      </c>
      <c r="E999" s="3">
        <v>16200000</v>
      </c>
      <c r="F999" s="1">
        <v>4108.5467917829001</v>
      </c>
      <c r="G999" s="1">
        <v>7</v>
      </c>
      <c r="H999" s="1">
        <v>4</v>
      </c>
      <c r="J999" s="1">
        <v>3.5</v>
      </c>
      <c r="M999" s="4">
        <v>3943</v>
      </c>
      <c r="N999" s="1">
        <v>6797</v>
      </c>
      <c r="O999" s="1">
        <v>9729</v>
      </c>
      <c r="P999" s="1">
        <v>2932</v>
      </c>
      <c r="Q999" s="1" t="s">
        <v>42</v>
      </c>
      <c r="S999" s="1" t="s">
        <v>42</v>
      </c>
      <c r="T999" s="1" t="s">
        <v>273</v>
      </c>
      <c r="U999" s="1">
        <v>2</v>
      </c>
      <c r="V999" s="5">
        <v>43701</v>
      </c>
      <c r="W999" s="5">
        <v>42529</v>
      </c>
      <c r="X999" s="1">
        <v>17000000</v>
      </c>
      <c r="Y999" s="1">
        <v>17000000</v>
      </c>
      <c r="Z999" s="5">
        <v>42531</v>
      </c>
      <c r="AA999" s="1">
        <v>16200000</v>
      </c>
      <c r="AB999" s="1" t="s">
        <v>300</v>
      </c>
      <c r="AC999" s="5">
        <v>42915</v>
      </c>
      <c r="AF999" s="1">
        <v>10003</v>
      </c>
      <c r="AI999" s="1" t="s">
        <v>301</v>
      </c>
      <c r="AJ999" s="1">
        <v>2017</v>
      </c>
      <c r="AK999" s="1" t="s">
        <v>143</v>
      </c>
      <c r="AL999" s="1">
        <v>6</v>
      </c>
    </row>
    <row r="1000" spans="1:38" x14ac:dyDescent="0.2">
      <c r="A1000" s="2" t="str">
        <f>HYPERLINK("https://www.compass.com/listing/54-macdougal-street-unit-2-manhattan-ny-10012/45473123071511393/","54 MacDougal St, Unit 2")</f>
        <v>54 MacDougal St, Unit 2</v>
      </c>
      <c r="B1000" s="2" t="str">
        <f t="shared" ref="B1000:B1001" si="133">HYPERLINK("https://www.compass.com/building/54-macdougal-street-manhattan-ny/294847890518036229/","54 Macdougal Street")</f>
        <v>54 Macdougal Street</v>
      </c>
      <c r="C1000" s="1" t="s">
        <v>298</v>
      </c>
      <c r="D1000" s="1" t="s">
        <v>41</v>
      </c>
      <c r="E1000" s="3">
        <v>2900000</v>
      </c>
      <c r="F1000" s="1">
        <v>2087.8329733621299</v>
      </c>
      <c r="G1000" s="1">
        <v>4</v>
      </c>
      <c r="H1000" s="1">
        <v>2</v>
      </c>
      <c r="I1000" s="1">
        <v>2</v>
      </c>
      <c r="J1000" s="1">
        <v>2</v>
      </c>
      <c r="K1000" s="1">
        <v>2</v>
      </c>
      <c r="M1000" s="4">
        <v>1389</v>
      </c>
      <c r="N1000" s="1">
        <v>964.85</v>
      </c>
      <c r="O1000" s="1">
        <v>3269.13</v>
      </c>
      <c r="P1000" s="1">
        <v>2304.25</v>
      </c>
      <c r="Q1000" s="1" t="s">
        <v>42</v>
      </c>
      <c r="S1000" s="1" t="s">
        <v>42</v>
      </c>
      <c r="T1000" s="1" t="s">
        <v>273</v>
      </c>
      <c r="V1000" s="5">
        <v>43538</v>
      </c>
      <c r="Y1000" s="1">
        <v>2900000</v>
      </c>
      <c r="Z1000" s="5">
        <v>43335</v>
      </c>
      <c r="AA1000" s="1">
        <v>2900000</v>
      </c>
      <c r="AB1000" s="1" t="s">
        <v>302</v>
      </c>
      <c r="AC1000" s="5">
        <v>43521</v>
      </c>
      <c r="AF1000" s="1">
        <v>10012</v>
      </c>
      <c r="AI1000" s="1" t="s">
        <v>80</v>
      </c>
      <c r="AJ1000" s="1">
        <v>2018</v>
      </c>
      <c r="AL1000" s="1">
        <v>4</v>
      </c>
    </row>
    <row r="1001" spans="1:38" x14ac:dyDescent="0.2">
      <c r="A1001" s="2" t="str">
        <f>HYPERLINK("https://www.compass.com/listing/54-macdougal-street-unit-maisonette-manhattan-ny-10012/95482498066166833/","54 MacDougal St, Unit MAIS")</f>
        <v>54 MacDougal St, Unit MAIS</v>
      </c>
      <c r="B1001" s="2" t="str">
        <f t="shared" si="133"/>
        <v>54 Macdougal Street</v>
      </c>
      <c r="C1001" s="1" t="s">
        <v>298</v>
      </c>
      <c r="D1001" s="1" t="s">
        <v>41</v>
      </c>
      <c r="E1001" s="3">
        <v>3520000</v>
      </c>
      <c r="F1001" s="1">
        <v>1447.96380090497</v>
      </c>
      <c r="G1001" s="1">
        <v>4</v>
      </c>
      <c r="H1001" s="1">
        <v>1</v>
      </c>
      <c r="I1001" s="1">
        <v>3</v>
      </c>
      <c r="J1001" s="1">
        <v>1.5</v>
      </c>
      <c r="K1001" s="1">
        <v>1</v>
      </c>
      <c r="L1001" s="1">
        <v>2</v>
      </c>
      <c r="M1001" s="4">
        <v>2431</v>
      </c>
      <c r="N1001" s="1">
        <v>1459.23</v>
      </c>
      <c r="O1001" s="1">
        <v>4944.21</v>
      </c>
      <c r="P1001" s="1">
        <v>3485</v>
      </c>
      <c r="Q1001" s="1" t="s">
        <v>42</v>
      </c>
      <c r="S1001" s="1" t="s">
        <v>42</v>
      </c>
      <c r="T1001" s="1" t="s">
        <v>273</v>
      </c>
      <c r="U1001" s="1">
        <v>194</v>
      </c>
      <c r="V1001" s="5">
        <v>43639</v>
      </c>
      <c r="W1001" s="5">
        <v>43384</v>
      </c>
      <c r="X1001" s="1">
        <v>4150000</v>
      </c>
      <c r="Y1001" s="1">
        <v>3995000</v>
      </c>
      <c r="Z1001" s="5">
        <v>43592</v>
      </c>
      <c r="AA1001" s="1">
        <v>3520000</v>
      </c>
      <c r="AB1001" s="1" t="s">
        <v>303</v>
      </c>
      <c r="AC1001" s="5">
        <v>43637</v>
      </c>
      <c r="AF1001" s="1">
        <v>10012</v>
      </c>
      <c r="AI1001" s="1" t="s">
        <v>304</v>
      </c>
      <c r="AJ1001" s="1">
        <v>2018</v>
      </c>
      <c r="AL1001" s="1">
        <v>4</v>
      </c>
    </row>
    <row r="1002" spans="1:38" x14ac:dyDescent="0.2">
      <c r="A1002" s="2" t="str">
        <f>HYPERLINK("https://www.compass.com/listing/570-broome-street-unit-3a-manhattan-ny-10013/296952546866408545/","570 Broome St, Unit 3A")</f>
        <v>570 Broome St, Unit 3A</v>
      </c>
      <c r="B1002" s="2" t="str">
        <f t="shared" ref="B1002:B1012" si="134">HYPERLINK("https://www.compass.com/building/570-broome-manhattan-ny/292818583757562981/","570 Broome")</f>
        <v>570 Broome</v>
      </c>
      <c r="C1002" s="1" t="s">
        <v>298</v>
      </c>
      <c r="D1002" s="1" t="s">
        <v>41</v>
      </c>
      <c r="E1002" s="3">
        <v>1925000</v>
      </c>
      <c r="F1002" s="1">
        <v>1691.56414762741</v>
      </c>
      <c r="G1002" s="1">
        <v>4</v>
      </c>
      <c r="H1002" s="1">
        <v>2</v>
      </c>
      <c r="I1002" s="1">
        <v>2</v>
      </c>
      <c r="J1002" s="1">
        <v>2</v>
      </c>
      <c r="K1002" s="1">
        <v>2</v>
      </c>
      <c r="M1002" s="4">
        <v>1138</v>
      </c>
      <c r="N1002" s="1">
        <v>1213</v>
      </c>
      <c r="O1002" s="1">
        <v>3080</v>
      </c>
      <c r="P1002" s="1">
        <v>1867</v>
      </c>
      <c r="Q1002" s="1" t="s">
        <v>42</v>
      </c>
      <c r="S1002" s="1" t="s">
        <v>42</v>
      </c>
      <c r="T1002" s="1" t="s">
        <v>273</v>
      </c>
      <c r="V1002" s="5">
        <v>43813</v>
      </c>
      <c r="W1002" s="5">
        <v>43662</v>
      </c>
      <c r="X1002" s="1">
        <v>2250000</v>
      </c>
      <c r="Y1002" s="1">
        <v>2250000</v>
      </c>
      <c r="Z1002" s="5">
        <v>43662</v>
      </c>
      <c r="AA1002" s="1">
        <v>1925000</v>
      </c>
      <c r="AB1002" s="1" t="s">
        <v>305</v>
      </c>
      <c r="AC1002" s="5">
        <v>43812</v>
      </c>
      <c r="AF1002" s="1">
        <v>10013</v>
      </c>
      <c r="AI1002" s="1" t="s">
        <v>306</v>
      </c>
      <c r="AJ1002" s="1">
        <v>2019</v>
      </c>
      <c r="AK1002" s="1" t="s">
        <v>55</v>
      </c>
      <c r="AL1002" s="1">
        <v>54</v>
      </c>
    </row>
    <row r="1003" spans="1:38" x14ac:dyDescent="0.2">
      <c r="A1003" s="2" t="str">
        <f>HYPERLINK("https://www.compass.com/listing/570-broome-street-unit-4a-manhattan-ny-10013/296954335904836785/","570 Broome St, Unit 4A")</f>
        <v>570 Broome St, Unit 4A</v>
      </c>
      <c r="B1003" s="2" t="str">
        <f t="shared" si="134"/>
        <v>570 Broome</v>
      </c>
      <c r="C1003" s="1" t="s">
        <v>298</v>
      </c>
      <c r="D1003" s="1" t="s">
        <v>41</v>
      </c>
      <c r="E1003" s="3">
        <v>1950000</v>
      </c>
      <c r="F1003" s="1">
        <v>1713.53251318101</v>
      </c>
      <c r="G1003" s="1">
        <v>4</v>
      </c>
      <c r="H1003" s="1">
        <v>2</v>
      </c>
      <c r="I1003" s="1">
        <v>2</v>
      </c>
      <c r="J1003" s="1">
        <v>2</v>
      </c>
      <c r="K1003" s="1">
        <v>2</v>
      </c>
      <c r="M1003" s="4">
        <v>1138</v>
      </c>
      <c r="N1003" s="1">
        <v>1213</v>
      </c>
      <c r="O1003" s="1">
        <v>3080</v>
      </c>
      <c r="P1003" s="1">
        <v>1867</v>
      </c>
      <c r="Q1003" s="1" t="s">
        <v>42</v>
      </c>
      <c r="S1003" s="1" t="s">
        <v>42</v>
      </c>
      <c r="T1003" s="1" t="s">
        <v>273</v>
      </c>
      <c r="V1003" s="5">
        <v>43805</v>
      </c>
      <c r="W1003" s="5">
        <v>43662</v>
      </c>
      <c r="X1003" s="1">
        <v>1995000</v>
      </c>
      <c r="Y1003" s="1">
        <v>1995000</v>
      </c>
      <c r="Z1003" s="5">
        <v>43662</v>
      </c>
      <c r="AA1003" s="1">
        <v>1950000</v>
      </c>
      <c r="AB1003" s="1" t="s">
        <v>307</v>
      </c>
      <c r="AC1003" s="5">
        <v>43804</v>
      </c>
      <c r="AF1003" s="1">
        <v>10013</v>
      </c>
      <c r="AI1003" s="1" t="s">
        <v>80</v>
      </c>
      <c r="AJ1003" s="1">
        <v>2019</v>
      </c>
      <c r="AK1003" s="1" t="s">
        <v>55</v>
      </c>
      <c r="AL1003" s="1">
        <v>54</v>
      </c>
    </row>
    <row r="1004" spans="1:38" x14ac:dyDescent="0.2">
      <c r="A1004" s="2" t="str">
        <f>HYPERLINK("https://www.compass.com/listing/570-broome-street-unit-4c-manhattan-ny-10013/296955598616949857/","570 Broome St, Unit 4C")</f>
        <v>570 Broome St, Unit 4C</v>
      </c>
      <c r="B1004" s="2" t="str">
        <f t="shared" si="134"/>
        <v>570 Broome</v>
      </c>
      <c r="C1004" s="1" t="s">
        <v>298</v>
      </c>
      <c r="D1004" s="1" t="s">
        <v>41</v>
      </c>
      <c r="E1004" s="3">
        <v>2050000</v>
      </c>
      <c r="F1004" s="1">
        <v>1718.3570829840701</v>
      </c>
      <c r="G1004" s="1">
        <v>4</v>
      </c>
      <c r="H1004" s="1">
        <v>2</v>
      </c>
      <c r="I1004" s="1">
        <v>2</v>
      </c>
      <c r="J1004" s="1">
        <v>2</v>
      </c>
      <c r="K1004" s="1">
        <v>2</v>
      </c>
      <c r="M1004" s="4">
        <v>1193</v>
      </c>
      <c r="N1004" s="1">
        <v>1273</v>
      </c>
      <c r="O1004" s="1">
        <v>3232</v>
      </c>
      <c r="P1004" s="1">
        <v>1959</v>
      </c>
      <c r="Q1004" s="1" t="s">
        <v>42</v>
      </c>
      <c r="S1004" s="1" t="s">
        <v>42</v>
      </c>
      <c r="T1004" s="1" t="s">
        <v>273</v>
      </c>
      <c r="U1004" s="1">
        <v>35</v>
      </c>
      <c r="V1004" s="5">
        <v>43930</v>
      </c>
      <c r="W1004" s="5">
        <v>43662</v>
      </c>
      <c r="X1004" s="1">
        <v>2380000</v>
      </c>
      <c r="Y1004" s="1">
        <v>2380000</v>
      </c>
      <c r="Z1004" s="5">
        <v>43775</v>
      </c>
      <c r="AA1004" s="1">
        <v>2050000</v>
      </c>
      <c r="AB1004" s="1" t="s">
        <v>308</v>
      </c>
      <c r="AC1004" s="5">
        <v>43929</v>
      </c>
      <c r="AF1004" s="1">
        <v>10013</v>
      </c>
      <c r="AI1004" s="1" t="s">
        <v>80</v>
      </c>
      <c r="AJ1004" s="1">
        <v>2019</v>
      </c>
      <c r="AK1004" s="1" t="s">
        <v>55</v>
      </c>
      <c r="AL1004" s="1">
        <v>54</v>
      </c>
    </row>
    <row r="1005" spans="1:38" x14ac:dyDescent="0.2">
      <c r="A1005" s="2" t="str">
        <f>HYPERLINK("https://www.compass.com/listing/570-broome-street-unit-5a-manhattan-ny-10013/296956650925764129/","570 Broome St, Unit 5A")</f>
        <v>570 Broome St, Unit 5A</v>
      </c>
      <c r="B1005" s="2" t="str">
        <f t="shared" si="134"/>
        <v>570 Broome</v>
      </c>
      <c r="C1005" s="1" t="s">
        <v>298</v>
      </c>
      <c r="D1005" s="1" t="s">
        <v>41</v>
      </c>
      <c r="E1005" s="3">
        <v>2000000</v>
      </c>
      <c r="F1005" s="1">
        <v>1757.4692442882199</v>
      </c>
      <c r="G1005" s="1">
        <v>4</v>
      </c>
      <c r="H1005" s="1">
        <v>2</v>
      </c>
      <c r="I1005" s="1">
        <v>2</v>
      </c>
      <c r="J1005" s="1">
        <v>2</v>
      </c>
      <c r="K1005" s="1">
        <v>2</v>
      </c>
      <c r="M1005" s="4">
        <v>1138</v>
      </c>
      <c r="N1005" s="1">
        <v>1213</v>
      </c>
      <c r="O1005" s="1">
        <v>3080</v>
      </c>
      <c r="P1005" s="1">
        <v>1867</v>
      </c>
      <c r="Q1005" s="1" t="s">
        <v>42</v>
      </c>
      <c r="S1005" s="1" t="s">
        <v>42</v>
      </c>
      <c r="T1005" s="1" t="s">
        <v>273</v>
      </c>
      <c r="V1005" s="5">
        <v>43840</v>
      </c>
      <c r="W1005" s="5">
        <v>43662</v>
      </c>
      <c r="X1005" s="1">
        <v>2310000</v>
      </c>
      <c r="Y1005" s="1">
        <v>2310000</v>
      </c>
      <c r="Z1005" s="5">
        <v>43662</v>
      </c>
      <c r="AA1005" s="1">
        <v>2000000</v>
      </c>
      <c r="AB1005" s="1" t="s">
        <v>309</v>
      </c>
      <c r="AC1005" s="5">
        <v>43838</v>
      </c>
      <c r="AF1005" s="1">
        <v>10013</v>
      </c>
      <c r="AI1005" s="1" t="s">
        <v>80</v>
      </c>
      <c r="AJ1005" s="1">
        <v>2019</v>
      </c>
      <c r="AK1005" s="1" t="s">
        <v>55</v>
      </c>
      <c r="AL1005" s="1">
        <v>54</v>
      </c>
    </row>
    <row r="1006" spans="1:38" x14ac:dyDescent="0.2">
      <c r="A1006" s="2" t="str">
        <f>HYPERLINK("https://www.compass.com/listing/570-broome-street-unit-6a-manhattan-ny-10013/296960098450968945/","570 Broome St, Unit 6A")</f>
        <v>570 Broome St, Unit 6A</v>
      </c>
      <c r="B1006" s="2" t="str">
        <f t="shared" si="134"/>
        <v>570 Broome</v>
      </c>
      <c r="C1006" s="1" t="s">
        <v>298</v>
      </c>
      <c r="D1006" s="1" t="s">
        <v>41</v>
      </c>
      <c r="E1006" s="3">
        <v>2082321</v>
      </c>
      <c r="F1006" s="1">
        <v>1829.8075571177501</v>
      </c>
      <c r="G1006" s="1">
        <v>4</v>
      </c>
      <c r="H1006" s="1">
        <v>2</v>
      </c>
      <c r="I1006" s="1">
        <v>2</v>
      </c>
      <c r="J1006" s="1">
        <v>2</v>
      </c>
      <c r="K1006" s="1">
        <v>2</v>
      </c>
      <c r="M1006" s="4">
        <v>1138</v>
      </c>
      <c r="N1006" s="1">
        <v>1213</v>
      </c>
      <c r="O1006" s="1">
        <v>3079</v>
      </c>
      <c r="P1006" s="1">
        <v>1866</v>
      </c>
      <c r="Q1006" s="1" t="s">
        <v>42</v>
      </c>
      <c r="S1006" s="1" t="s">
        <v>42</v>
      </c>
      <c r="T1006" s="1" t="s">
        <v>273</v>
      </c>
      <c r="V1006" s="5">
        <v>43803</v>
      </c>
      <c r="W1006" s="5">
        <v>43662</v>
      </c>
      <c r="X1006" s="1">
        <v>2340000</v>
      </c>
      <c r="Y1006" s="1">
        <v>2340000</v>
      </c>
      <c r="Z1006" s="5">
        <v>43662</v>
      </c>
      <c r="AA1006" s="1">
        <v>2082321</v>
      </c>
      <c r="AB1006" s="1" t="s">
        <v>310</v>
      </c>
      <c r="AC1006" s="5">
        <v>43802</v>
      </c>
      <c r="AF1006" s="1">
        <v>10013</v>
      </c>
      <c r="AI1006" s="1" t="s">
        <v>80</v>
      </c>
      <c r="AJ1006" s="1">
        <v>2019</v>
      </c>
      <c r="AK1006" s="1" t="s">
        <v>55</v>
      </c>
      <c r="AL1006" s="1">
        <v>54</v>
      </c>
    </row>
    <row r="1007" spans="1:38" x14ac:dyDescent="0.2">
      <c r="A1007" s="2" t="str">
        <f>HYPERLINK("https://www.compass.com/listing/570-broome-street-unit-6c-manhattan-ny-10013/296961486765593153/","570 Broome St, Unit 6C")</f>
        <v>570 Broome St, Unit 6C</v>
      </c>
      <c r="B1007" s="2" t="str">
        <f t="shared" si="134"/>
        <v>570 Broome</v>
      </c>
      <c r="C1007" s="1" t="s">
        <v>298</v>
      </c>
      <c r="D1007" s="1" t="s">
        <v>41</v>
      </c>
      <c r="E1007" s="3">
        <v>2111851</v>
      </c>
      <c r="F1007" s="1">
        <v>1770.2015926236299</v>
      </c>
      <c r="G1007" s="1">
        <v>4</v>
      </c>
      <c r="H1007" s="1">
        <v>2</v>
      </c>
      <c r="I1007" s="1">
        <v>2</v>
      </c>
      <c r="J1007" s="1">
        <v>2</v>
      </c>
      <c r="K1007" s="1">
        <v>2</v>
      </c>
      <c r="M1007" s="4">
        <v>1193</v>
      </c>
      <c r="N1007" s="1">
        <v>1273</v>
      </c>
      <c r="O1007" s="1">
        <v>3233</v>
      </c>
      <c r="P1007" s="1">
        <v>1960</v>
      </c>
      <c r="Q1007" s="1" t="s">
        <v>42</v>
      </c>
      <c r="S1007" s="1" t="s">
        <v>42</v>
      </c>
      <c r="T1007" s="1" t="s">
        <v>273</v>
      </c>
      <c r="V1007" s="5">
        <v>43853</v>
      </c>
      <c r="W1007" s="5">
        <v>43662</v>
      </c>
      <c r="X1007" s="1">
        <v>2440000</v>
      </c>
      <c r="Y1007" s="1">
        <v>2440000</v>
      </c>
      <c r="Z1007" s="5">
        <v>43662</v>
      </c>
      <c r="AA1007" s="1">
        <v>2111850.5</v>
      </c>
      <c r="AB1007" s="1" t="s">
        <v>311</v>
      </c>
      <c r="AC1007" s="5">
        <v>43917</v>
      </c>
      <c r="AF1007" s="1">
        <v>10013</v>
      </c>
      <c r="AI1007" s="1" t="s">
        <v>80</v>
      </c>
      <c r="AJ1007" s="1">
        <v>2019</v>
      </c>
      <c r="AK1007" s="1" t="s">
        <v>55</v>
      </c>
      <c r="AL1007" s="1">
        <v>54</v>
      </c>
    </row>
    <row r="1008" spans="1:38" x14ac:dyDescent="0.2">
      <c r="A1008" s="2" t="str">
        <f>HYPERLINK("https://www.compass.com/listing/570-broome-street-unit-5c-manhattan-ny-10013/323077096033397873/","570 Broome St, Unit 5C")</f>
        <v>570 Broome St, Unit 5C</v>
      </c>
      <c r="B1008" s="2" t="str">
        <f t="shared" si="134"/>
        <v>570 Broome</v>
      </c>
      <c r="C1008" s="1" t="s">
        <v>298</v>
      </c>
      <c r="D1008" s="1" t="s">
        <v>41</v>
      </c>
      <c r="E1008" s="3">
        <v>2135000</v>
      </c>
      <c r="F1008" s="1">
        <v>1789.6060352053601</v>
      </c>
      <c r="G1008" s="1">
        <v>4</v>
      </c>
      <c r="H1008" s="1">
        <v>2</v>
      </c>
      <c r="I1008" s="1">
        <v>2</v>
      </c>
      <c r="J1008" s="1">
        <v>2</v>
      </c>
      <c r="K1008" s="1">
        <v>2</v>
      </c>
      <c r="M1008" s="4">
        <v>1193</v>
      </c>
      <c r="N1008" s="1">
        <v>1273</v>
      </c>
      <c r="O1008" s="1">
        <v>3233</v>
      </c>
      <c r="P1008" s="1">
        <v>1960</v>
      </c>
      <c r="Q1008" s="1" t="s">
        <v>42</v>
      </c>
      <c r="S1008" s="1" t="s">
        <v>42</v>
      </c>
      <c r="T1008" s="1" t="s">
        <v>273</v>
      </c>
      <c r="U1008" s="1">
        <v>6</v>
      </c>
      <c r="V1008" s="5">
        <v>43847</v>
      </c>
      <c r="W1008" s="5">
        <v>43698</v>
      </c>
      <c r="X1008" s="1">
        <v>2195000</v>
      </c>
      <c r="Y1008" s="1">
        <v>2195000</v>
      </c>
      <c r="Z1008" s="5">
        <v>43704</v>
      </c>
      <c r="AA1008" s="1">
        <v>2135000</v>
      </c>
      <c r="AB1008" s="1" t="s">
        <v>312</v>
      </c>
      <c r="AC1008" s="5">
        <v>43846</v>
      </c>
      <c r="AF1008" s="1">
        <v>10013</v>
      </c>
      <c r="AI1008" s="1" t="s">
        <v>80</v>
      </c>
      <c r="AJ1008" s="1">
        <v>2019</v>
      </c>
      <c r="AK1008" s="1" t="s">
        <v>55</v>
      </c>
      <c r="AL1008" s="1">
        <v>54</v>
      </c>
    </row>
    <row r="1009" spans="1:38" x14ac:dyDescent="0.2">
      <c r="A1009" s="2" t="str">
        <f>HYPERLINK("https://www.compass.com/listing/570-broome-street-unit-3c-manhattan-ny-10013/327544975340406833/","570 Broome St, Unit 3C")</f>
        <v>570 Broome St, Unit 3C</v>
      </c>
      <c r="B1009" s="2" t="str">
        <f t="shared" si="134"/>
        <v>570 Broome</v>
      </c>
      <c r="C1009" s="1" t="s">
        <v>298</v>
      </c>
      <c r="D1009" s="1" t="s">
        <v>41</v>
      </c>
      <c r="E1009" s="3">
        <v>2100000</v>
      </c>
      <c r="F1009" s="1">
        <v>1760.26823134953</v>
      </c>
      <c r="G1009" s="1">
        <v>4</v>
      </c>
      <c r="H1009" s="1">
        <v>2</v>
      </c>
      <c r="I1009" s="1">
        <v>2</v>
      </c>
      <c r="J1009" s="1">
        <v>2</v>
      </c>
      <c r="K1009" s="1">
        <v>2</v>
      </c>
      <c r="M1009" s="4">
        <v>1193</v>
      </c>
      <c r="N1009" s="1">
        <v>1273</v>
      </c>
      <c r="O1009" s="1">
        <v>3233</v>
      </c>
      <c r="P1009" s="1">
        <v>1960</v>
      </c>
      <c r="Q1009" s="1" t="s">
        <v>42</v>
      </c>
      <c r="S1009" s="1" t="s">
        <v>42</v>
      </c>
      <c r="T1009" s="1" t="s">
        <v>273</v>
      </c>
      <c r="U1009" s="1">
        <v>132</v>
      </c>
      <c r="V1009" s="5">
        <v>43991</v>
      </c>
      <c r="W1009" s="5">
        <v>43704</v>
      </c>
      <c r="X1009" s="1">
        <v>2350000</v>
      </c>
      <c r="Y1009" s="1">
        <v>2100000</v>
      </c>
      <c r="Z1009" s="5">
        <v>43889</v>
      </c>
      <c r="AA1009" s="1">
        <v>2100000</v>
      </c>
      <c r="AB1009" s="1" t="s">
        <v>313</v>
      </c>
      <c r="AC1009" s="5">
        <v>43990</v>
      </c>
      <c r="AF1009" s="1">
        <v>10013</v>
      </c>
      <c r="AI1009" s="1" t="s">
        <v>80</v>
      </c>
      <c r="AJ1009" s="1">
        <v>2019</v>
      </c>
      <c r="AK1009" s="1" t="s">
        <v>55</v>
      </c>
      <c r="AL1009" s="1">
        <v>54</v>
      </c>
    </row>
    <row r="1010" spans="1:38" x14ac:dyDescent="0.2">
      <c r="A1010" s="2" t="str">
        <f>HYPERLINK("https://www.compass.com/listing/570-broome-street-unit-19a-manhattan-ny-10013/296946274108614865/","570 Broome St, Unit 19A")</f>
        <v>570 Broome St, Unit 19A</v>
      </c>
      <c r="B1010" s="2" t="str">
        <f t="shared" si="134"/>
        <v>570 Broome</v>
      </c>
      <c r="C1010" s="1" t="s">
        <v>298</v>
      </c>
      <c r="D1010" s="1" t="s">
        <v>41</v>
      </c>
      <c r="E1010" s="3">
        <v>3227853</v>
      </c>
      <c r="F1010" s="1">
        <v>2586.4206730769201</v>
      </c>
      <c r="G1010" s="1">
        <v>4</v>
      </c>
      <c r="H1010" s="1">
        <v>2</v>
      </c>
      <c r="I1010" s="1">
        <v>3</v>
      </c>
      <c r="J1010" s="1">
        <v>2.5</v>
      </c>
      <c r="K1010" s="1">
        <v>2</v>
      </c>
      <c r="L1010" s="1">
        <v>1</v>
      </c>
      <c r="M1010" s="4">
        <v>1248</v>
      </c>
      <c r="N1010" s="1">
        <v>1326</v>
      </c>
      <c r="O1010" s="1">
        <v>3368</v>
      </c>
      <c r="P1010" s="1">
        <v>2042</v>
      </c>
      <c r="Q1010" s="1" t="s">
        <v>42</v>
      </c>
      <c r="S1010" s="1" t="s">
        <v>42</v>
      </c>
      <c r="T1010" s="1" t="s">
        <v>273</v>
      </c>
      <c r="V1010" s="5">
        <v>43818</v>
      </c>
      <c r="W1010" s="5">
        <v>43662</v>
      </c>
      <c r="X1010" s="1">
        <v>3345000</v>
      </c>
      <c r="Y1010" s="1">
        <v>3345000</v>
      </c>
      <c r="Z1010" s="5">
        <v>43662</v>
      </c>
      <c r="AA1010" s="1">
        <v>3227853</v>
      </c>
      <c r="AB1010" s="1" t="s">
        <v>314</v>
      </c>
      <c r="AC1010" s="5">
        <v>43817</v>
      </c>
      <c r="AF1010" s="1">
        <v>10013</v>
      </c>
      <c r="AI1010" s="1" t="s">
        <v>80</v>
      </c>
      <c r="AJ1010" s="1">
        <v>2019</v>
      </c>
      <c r="AK1010" s="1" t="s">
        <v>55</v>
      </c>
      <c r="AL1010" s="1">
        <v>54</v>
      </c>
    </row>
    <row r="1011" spans="1:38" x14ac:dyDescent="0.2">
      <c r="A1011" s="2" t="str">
        <f>HYPERLINK("https://www.compass.com/listing/570-broome-street-unit-20b-manhattan-ny-10013/296949657922087249/","570 Broome St, Unit 20B")</f>
        <v>570 Broome St, Unit 20B</v>
      </c>
      <c r="B1011" s="2" t="str">
        <f t="shared" si="134"/>
        <v>570 Broome</v>
      </c>
      <c r="C1011" s="1" t="s">
        <v>298</v>
      </c>
      <c r="D1011" s="1" t="s">
        <v>41</v>
      </c>
      <c r="E1011" s="3">
        <v>3110000</v>
      </c>
      <c r="F1011" s="1">
        <v>2628.90955198647</v>
      </c>
      <c r="G1011" s="1">
        <v>4</v>
      </c>
      <c r="H1011" s="1">
        <v>2</v>
      </c>
      <c r="I1011" s="1">
        <v>3</v>
      </c>
      <c r="J1011" s="1">
        <v>2.5</v>
      </c>
      <c r="K1011" s="1">
        <v>2</v>
      </c>
      <c r="L1011" s="1">
        <v>1</v>
      </c>
      <c r="M1011" s="4">
        <v>1183</v>
      </c>
      <c r="N1011" s="1">
        <v>1379</v>
      </c>
      <c r="O1011" s="1">
        <v>3750</v>
      </c>
      <c r="P1011" s="1">
        <v>2371</v>
      </c>
      <c r="S1011" s="1" t="s">
        <v>42</v>
      </c>
      <c r="T1011" s="1" t="s">
        <v>273</v>
      </c>
      <c r="U1011" s="1">
        <v>600</v>
      </c>
      <c r="V1011" s="5">
        <v>44426</v>
      </c>
      <c r="W1011" s="5">
        <v>43662</v>
      </c>
      <c r="X1011" s="1">
        <v>3110000</v>
      </c>
      <c r="Y1011" s="1">
        <v>3110000</v>
      </c>
      <c r="Z1011" s="5">
        <v>44356</v>
      </c>
      <c r="AA1011" s="1">
        <v>3110000</v>
      </c>
      <c r="AB1011" s="1" t="s">
        <v>275</v>
      </c>
      <c r="AC1011" s="5">
        <v>44426</v>
      </c>
      <c r="AF1011" s="1">
        <v>10013</v>
      </c>
      <c r="AI1011" s="1" t="s">
        <v>80</v>
      </c>
      <c r="AJ1011" s="1">
        <v>2019</v>
      </c>
      <c r="AK1011" s="1" t="s">
        <v>55</v>
      </c>
      <c r="AL1011" s="1">
        <v>54</v>
      </c>
    </row>
    <row r="1012" spans="1:38" x14ac:dyDescent="0.2">
      <c r="A1012" s="2" t="str">
        <f>HYPERLINK("https://www.compass.com/listing/570-broome-street-unit-22b-manhattan-ny-10013/384068706506071441/","570 Broome St, Unit 22B")</f>
        <v>570 Broome St, Unit 22B</v>
      </c>
      <c r="B1012" s="2" t="str">
        <f t="shared" si="134"/>
        <v>570 Broome</v>
      </c>
      <c r="C1012" s="1" t="s">
        <v>298</v>
      </c>
      <c r="D1012" s="1" t="s">
        <v>41</v>
      </c>
      <c r="E1012" s="3">
        <v>2875000</v>
      </c>
      <c r="F1012" s="1">
        <v>2430.2620456466602</v>
      </c>
      <c r="G1012" s="1">
        <v>4</v>
      </c>
      <c r="H1012" s="1">
        <v>2</v>
      </c>
      <c r="I1012" s="1">
        <v>3</v>
      </c>
      <c r="J1012" s="1">
        <v>2.5</v>
      </c>
      <c r="K1012" s="1">
        <v>2</v>
      </c>
      <c r="L1012" s="1">
        <v>1</v>
      </c>
      <c r="M1012" s="4">
        <v>1183</v>
      </c>
      <c r="N1012" s="1">
        <v>1260</v>
      </c>
      <c r="O1012" s="1">
        <v>3199</v>
      </c>
      <c r="P1012" s="1">
        <v>1939</v>
      </c>
      <c r="Q1012" s="1" t="s">
        <v>42</v>
      </c>
      <c r="S1012" s="1" t="s">
        <v>42</v>
      </c>
      <c r="T1012" s="1" t="s">
        <v>273</v>
      </c>
      <c r="U1012" s="1">
        <v>2</v>
      </c>
      <c r="V1012" s="5">
        <v>43845</v>
      </c>
      <c r="W1012" s="5">
        <v>43782</v>
      </c>
      <c r="X1012" s="1">
        <v>3190000</v>
      </c>
      <c r="Y1012" s="1">
        <v>3190000</v>
      </c>
      <c r="Z1012" s="5">
        <v>43784</v>
      </c>
      <c r="AA1012" s="1">
        <v>2875000</v>
      </c>
      <c r="AB1012" s="1" t="s">
        <v>315</v>
      </c>
      <c r="AC1012" s="5">
        <v>43840</v>
      </c>
      <c r="AF1012" s="1">
        <v>10013</v>
      </c>
      <c r="AI1012" s="1" t="s">
        <v>80</v>
      </c>
      <c r="AJ1012" s="1">
        <v>2019</v>
      </c>
      <c r="AK1012" s="1" t="s">
        <v>55</v>
      </c>
      <c r="AL1012" s="1">
        <v>54</v>
      </c>
    </row>
    <row r="1013" spans="1:38" x14ac:dyDescent="0.2">
      <c r="A1013" s="2" t="str">
        <f>HYPERLINK("https://www.compass.com/listing/54-macdougal-street-unit-ph-manhattan-ny-10012/41075890590851393/","54 MacDougal St, Unit PH")</f>
        <v>54 MacDougal St, Unit PH</v>
      </c>
      <c r="B1013" s="2" t="str">
        <f>HYPERLINK("https://www.compass.com/building/54-macdougal-street-manhattan-ny/294847890518036229/","54 Macdougal Street")</f>
        <v>54 Macdougal Street</v>
      </c>
      <c r="C1013" s="1" t="s">
        <v>298</v>
      </c>
      <c r="D1013" s="1" t="s">
        <v>41</v>
      </c>
      <c r="E1013" s="3">
        <v>9050000</v>
      </c>
      <c r="F1013" s="1">
        <v>2675.1404079219601</v>
      </c>
      <c r="G1013" s="1">
        <v>8</v>
      </c>
      <c r="H1013" s="1">
        <v>4</v>
      </c>
      <c r="J1013" s="1">
        <v>4.5</v>
      </c>
      <c r="M1013" s="4">
        <v>3383</v>
      </c>
      <c r="N1013" s="1">
        <v>2579.5100000000002</v>
      </c>
      <c r="O1013" s="1">
        <v>8739.9599999999991</v>
      </c>
      <c r="P1013" s="1">
        <v>6160.4166666666597</v>
      </c>
      <c r="Q1013" s="1" t="s">
        <v>42</v>
      </c>
      <c r="S1013" s="1" t="s">
        <v>42</v>
      </c>
      <c r="T1013" s="1" t="s">
        <v>273</v>
      </c>
      <c r="U1013" s="1">
        <v>234</v>
      </c>
      <c r="V1013" s="5">
        <v>43656</v>
      </c>
      <c r="W1013" s="5">
        <v>43311</v>
      </c>
      <c r="X1013" s="1">
        <v>9950000</v>
      </c>
      <c r="Y1013" s="1">
        <v>9950000</v>
      </c>
      <c r="Z1013" s="5">
        <v>43630</v>
      </c>
      <c r="AA1013" s="1">
        <v>9050000</v>
      </c>
      <c r="AB1013" s="1" t="s">
        <v>316</v>
      </c>
      <c r="AC1013" s="5">
        <v>43644</v>
      </c>
      <c r="AF1013" s="1">
        <v>10012</v>
      </c>
      <c r="AI1013" s="1" t="s">
        <v>317</v>
      </c>
      <c r="AJ1013" s="1">
        <v>2018</v>
      </c>
      <c r="AL1013" s="1">
        <v>4</v>
      </c>
    </row>
    <row r="1014" spans="1:38" x14ac:dyDescent="0.2">
      <c r="A1014" s="2" t="str">
        <f>HYPERLINK("https://www.compass.com/listing/570-broome-street-unit-15a-manhattan-ny-10013/296940965453655681/","570 Broome St, Unit 15A")</f>
        <v>570 Broome St, Unit 15A</v>
      </c>
      <c r="B1014" s="2" t="str">
        <f t="shared" ref="B1014:B1036" si="135">HYPERLINK("https://www.compass.com/building/570-broome-manhattan-ny/292818583757562981/","570 Broome")</f>
        <v>570 Broome</v>
      </c>
      <c r="C1014" s="1" t="s">
        <v>298</v>
      </c>
      <c r="D1014" s="1" t="s">
        <v>41</v>
      </c>
      <c r="E1014" s="3">
        <v>3150000</v>
      </c>
      <c r="F1014" s="1">
        <v>2524.0384615384601</v>
      </c>
      <c r="G1014" s="1">
        <v>4</v>
      </c>
      <c r="H1014" s="1">
        <v>2</v>
      </c>
      <c r="I1014" s="1">
        <v>3</v>
      </c>
      <c r="J1014" s="1">
        <v>2.5</v>
      </c>
      <c r="K1014" s="1">
        <v>2</v>
      </c>
      <c r="L1014" s="1">
        <v>1</v>
      </c>
      <c r="M1014" s="4">
        <v>1248</v>
      </c>
      <c r="N1014" s="1">
        <v>1453</v>
      </c>
      <c r="O1014" s="1">
        <v>3936</v>
      </c>
      <c r="P1014" s="1">
        <v>2483</v>
      </c>
      <c r="S1014" s="1" t="s">
        <v>42</v>
      </c>
      <c r="T1014" s="1" t="s">
        <v>273</v>
      </c>
      <c r="U1014" s="1">
        <v>524</v>
      </c>
      <c r="V1014" s="5">
        <v>44426</v>
      </c>
      <c r="W1014" s="5">
        <v>43662</v>
      </c>
      <c r="X1014" s="1">
        <v>3150000</v>
      </c>
      <c r="Y1014" s="1">
        <v>3150000</v>
      </c>
      <c r="Z1014" s="5">
        <v>44352</v>
      </c>
      <c r="AA1014" s="1">
        <v>3150000</v>
      </c>
      <c r="AB1014" s="1" t="s">
        <v>275</v>
      </c>
      <c r="AC1014" s="5">
        <v>44426</v>
      </c>
      <c r="AF1014" s="1">
        <v>10013</v>
      </c>
      <c r="AI1014" s="1" t="s">
        <v>80</v>
      </c>
      <c r="AJ1014" s="1">
        <v>2019</v>
      </c>
      <c r="AK1014" s="1" t="s">
        <v>55</v>
      </c>
      <c r="AL1014" s="1">
        <v>54</v>
      </c>
    </row>
    <row r="1015" spans="1:38" x14ac:dyDescent="0.2">
      <c r="A1015" s="2" t="str">
        <f>HYPERLINK("https://www.compass.com/listing/570-broome-street-unit-15b-manhattan-ny-10013/296942620668503905/","570 Broome St, Unit 15B")</f>
        <v>570 Broome St, Unit 15B</v>
      </c>
      <c r="B1015" s="2" t="str">
        <f t="shared" si="135"/>
        <v>570 Broome</v>
      </c>
      <c r="C1015" s="1" t="s">
        <v>298</v>
      </c>
      <c r="D1015" s="1" t="s">
        <v>41</v>
      </c>
      <c r="E1015" s="3">
        <v>3153750</v>
      </c>
      <c r="F1015" s="1">
        <v>2665.8918005071801</v>
      </c>
      <c r="G1015" s="1">
        <v>4</v>
      </c>
      <c r="H1015" s="1">
        <v>2</v>
      </c>
      <c r="I1015" s="1">
        <v>3</v>
      </c>
      <c r="J1015" s="1">
        <v>2.5</v>
      </c>
      <c r="K1015" s="1">
        <v>2</v>
      </c>
      <c r="L1015" s="1">
        <v>1</v>
      </c>
      <c r="M1015" s="4">
        <v>1183</v>
      </c>
      <c r="N1015" s="1">
        <v>1386</v>
      </c>
      <c r="O1015" s="1">
        <v>3521</v>
      </c>
      <c r="P1015" s="1">
        <v>2135</v>
      </c>
      <c r="Q1015" s="1" t="s">
        <v>42</v>
      </c>
      <c r="S1015" s="1" t="s">
        <v>42</v>
      </c>
      <c r="T1015" s="1" t="s">
        <v>273</v>
      </c>
      <c r="V1015" s="5">
        <v>43862</v>
      </c>
      <c r="W1015" s="5">
        <v>43662</v>
      </c>
      <c r="X1015" s="1">
        <v>3295000</v>
      </c>
      <c r="Y1015" s="1">
        <v>3295000</v>
      </c>
      <c r="Z1015" s="5">
        <v>43662</v>
      </c>
      <c r="AA1015" s="1">
        <v>3153750</v>
      </c>
      <c r="AB1015" s="1" t="s">
        <v>318</v>
      </c>
      <c r="AC1015" s="5">
        <v>43861</v>
      </c>
      <c r="AF1015" s="1">
        <v>10013</v>
      </c>
      <c r="AI1015" s="1" t="s">
        <v>319</v>
      </c>
      <c r="AJ1015" s="1">
        <v>2019</v>
      </c>
      <c r="AK1015" s="1" t="s">
        <v>55</v>
      </c>
      <c r="AL1015" s="1">
        <v>54</v>
      </c>
    </row>
    <row r="1016" spans="1:38" x14ac:dyDescent="0.2">
      <c r="A1016" s="2" t="str">
        <f>HYPERLINK("https://www.compass.com/listing/570-broome-street-unit-21a-manhattan-ny-10013/296950196278037697/","570 Broome St, Unit 21A")</f>
        <v>570 Broome St, Unit 21A</v>
      </c>
      <c r="B1016" s="2" t="str">
        <f t="shared" si="135"/>
        <v>570 Broome</v>
      </c>
      <c r="C1016" s="1" t="s">
        <v>298</v>
      </c>
      <c r="D1016" s="1" t="s">
        <v>41</v>
      </c>
      <c r="E1016" s="3">
        <v>3140000</v>
      </c>
      <c r="F1016" s="1">
        <v>2516.0256410256402</v>
      </c>
      <c r="G1016" s="1">
        <v>4</v>
      </c>
      <c r="H1016" s="1">
        <v>2</v>
      </c>
      <c r="I1016" s="1">
        <v>3</v>
      </c>
      <c r="J1016" s="1">
        <v>2.5</v>
      </c>
      <c r="K1016" s="1">
        <v>2</v>
      </c>
      <c r="L1016" s="1">
        <v>1</v>
      </c>
      <c r="M1016" s="4">
        <v>1248</v>
      </c>
      <c r="N1016" s="1">
        <v>1326</v>
      </c>
      <c r="O1016" s="1">
        <v>3368</v>
      </c>
      <c r="P1016" s="1">
        <v>2042</v>
      </c>
      <c r="Q1016" s="1" t="s">
        <v>42</v>
      </c>
      <c r="S1016" s="1" t="s">
        <v>42</v>
      </c>
      <c r="T1016" s="1" t="s">
        <v>273</v>
      </c>
      <c r="V1016" s="5">
        <v>43852</v>
      </c>
      <c r="W1016" s="5">
        <v>43662</v>
      </c>
      <c r="X1016" s="1">
        <v>3425000</v>
      </c>
      <c r="Y1016" s="1">
        <v>3425000</v>
      </c>
      <c r="Z1016" s="5">
        <v>43662</v>
      </c>
      <c r="AA1016" s="1">
        <v>3140000</v>
      </c>
      <c r="AB1016" s="1" t="s">
        <v>320</v>
      </c>
      <c r="AC1016" s="5">
        <v>43818</v>
      </c>
      <c r="AF1016" s="1">
        <v>10013</v>
      </c>
      <c r="AI1016" s="1" t="s">
        <v>80</v>
      </c>
      <c r="AJ1016" s="1">
        <v>2019</v>
      </c>
      <c r="AK1016" s="1" t="s">
        <v>55</v>
      </c>
      <c r="AL1016" s="1">
        <v>54</v>
      </c>
    </row>
    <row r="1017" spans="1:38" x14ac:dyDescent="0.2">
      <c r="A1017" s="2" t="str">
        <f>HYPERLINK("https://www.compass.com/listing/570-broome-street-unit-22a-manhattan-ny-10013/296950910987301585/","570 Broome St, Unit 22A")</f>
        <v>570 Broome St, Unit 22A</v>
      </c>
      <c r="B1017" s="2" t="str">
        <f t="shared" si="135"/>
        <v>570 Broome</v>
      </c>
      <c r="C1017" s="1" t="s">
        <v>298</v>
      </c>
      <c r="D1017" s="1" t="s">
        <v>41</v>
      </c>
      <c r="E1017" s="3">
        <v>3180000</v>
      </c>
      <c r="F1017" s="1">
        <v>2548.0769230769201</v>
      </c>
      <c r="G1017" s="1">
        <v>4</v>
      </c>
      <c r="H1017" s="1">
        <v>2</v>
      </c>
      <c r="I1017" s="1">
        <v>3</v>
      </c>
      <c r="J1017" s="1">
        <v>2.5</v>
      </c>
      <c r="K1017" s="1">
        <v>2</v>
      </c>
      <c r="L1017" s="1">
        <v>1</v>
      </c>
      <c r="M1017" s="4">
        <v>1248</v>
      </c>
      <c r="N1017" s="1">
        <v>1326</v>
      </c>
      <c r="O1017" s="1">
        <v>3368</v>
      </c>
      <c r="P1017" s="1">
        <v>2042</v>
      </c>
      <c r="Q1017" s="1" t="s">
        <v>42</v>
      </c>
      <c r="S1017" s="1" t="s">
        <v>42</v>
      </c>
      <c r="T1017" s="1" t="s">
        <v>273</v>
      </c>
      <c r="V1017" s="5">
        <v>43851</v>
      </c>
      <c r="W1017" s="5">
        <v>43662</v>
      </c>
      <c r="X1017" s="1">
        <v>3465000</v>
      </c>
      <c r="Y1017" s="1">
        <v>3465000</v>
      </c>
      <c r="Z1017" s="5">
        <v>43662</v>
      </c>
      <c r="AA1017" s="1">
        <v>3180000</v>
      </c>
      <c r="AB1017" s="1" t="s">
        <v>321</v>
      </c>
      <c r="AC1017" s="5">
        <v>43846</v>
      </c>
      <c r="AF1017" s="1">
        <v>10013</v>
      </c>
      <c r="AI1017" s="1" t="s">
        <v>80</v>
      </c>
      <c r="AJ1017" s="1">
        <v>2019</v>
      </c>
      <c r="AK1017" s="1" t="s">
        <v>55</v>
      </c>
      <c r="AL1017" s="1">
        <v>54</v>
      </c>
    </row>
    <row r="1018" spans="1:38" x14ac:dyDescent="0.2">
      <c r="A1018" s="2" t="str">
        <f>HYPERLINK("https://www.compass.com/listing/570-broome-street-unit-23a-manhattan-ny-10013/344918347262877617/","570 Broome St, Unit 23A")</f>
        <v>570 Broome St, Unit 23A</v>
      </c>
      <c r="B1018" s="2" t="str">
        <f t="shared" si="135"/>
        <v>570 Broome</v>
      </c>
      <c r="C1018" s="1" t="s">
        <v>298</v>
      </c>
      <c r="D1018" s="1" t="s">
        <v>41</v>
      </c>
      <c r="E1018" s="3">
        <v>3225000</v>
      </c>
      <c r="F1018" s="1">
        <v>2584.1346153846098</v>
      </c>
      <c r="G1018" s="1">
        <v>4</v>
      </c>
      <c r="H1018" s="1">
        <v>2</v>
      </c>
      <c r="I1018" s="1">
        <v>3</v>
      </c>
      <c r="J1018" s="1">
        <v>2.5</v>
      </c>
      <c r="K1018" s="1">
        <v>2</v>
      </c>
      <c r="L1018" s="1">
        <v>1</v>
      </c>
      <c r="M1018" s="4">
        <v>1248</v>
      </c>
      <c r="N1018" s="1">
        <v>1327</v>
      </c>
      <c r="O1018" s="1">
        <v>3369</v>
      </c>
      <c r="P1018" s="1">
        <v>2042</v>
      </c>
      <c r="Q1018" s="1" t="s">
        <v>42</v>
      </c>
      <c r="S1018" s="1" t="s">
        <v>42</v>
      </c>
      <c r="T1018" s="1" t="s">
        <v>273</v>
      </c>
      <c r="U1018" s="1">
        <v>4</v>
      </c>
      <c r="V1018" s="5">
        <v>43845</v>
      </c>
      <c r="W1018" s="5">
        <v>43728</v>
      </c>
      <c r="X1018" s="1">
        <v>3505000</v>
      </c>
      <c r="Y1018" s="1">
        <v>3505000</v>
      </c>
      <c r="Z1018" s="5">
        <v>43733</v>
      </c>
      <c r="AA1018" s="1">
        <v>3225000</v>
      </c>
      <c r="AB1018" s="1" t="s">
        <v>322</v>
      </c>
      <c r="AC1018" s="5">
        <v>43844</v>
      </c>
      <c r="AF1018" s="1">
        <v>10013</v>
      </c>
      <c r="AI1018" s="1" t="s">
        <v>54</v>
      </c>
      <c r="AJ1018" s="1">
        <v>2019</v>
      </c>
      <c r="AK1018" s="1" t="s">
        <v>55</v>
      </c>
      <c r="AL1018" s="1">
        <v>54</v>
      </c>
    </row>
    <row r="1019" spans="1:38" x14ac:dyDescent="0.2">
      <c r="A1019" s="2" t="str">
        <f>HYPERLINK("https://www.compass.com/listing/570-broome-street-unit-14b-manhattan-ny-10013/296940262999893409/","570 Broome St, Unit 14B")</f>
        <v>570 Broome St, Unit 14B</v>
      </c>
      <c r="B1019" s="2" t="str">
        <f t="shared" si="135"/>
        <v>570 Broome</v>
      </c>
      <c r="C1019" s="1" t="s">
        <v>298</v>
      </c>
      <c r="D1019" s="1" t="s">
        <v>41</v>
      </c>
      <c r="E1019" s="3">
        <v>2568536</v>
      </c>
      <c r="F1019" s="1">
        <v>1984.95826893353</v>
      </c>
      <c r="G1019" s="1">
        <v>4</v>
      </c>
      <c r="H1019" s="1">
        <v>2</v>
      </c>
      <c r="I1019" s="1">
        <v>3</v>
      </c>
      <c r="J1019" s="1">
        <v>2.5</v>
      </c>
      <c r="K1019" s="1">
        <v>2</v>
      </c>
      <c r="L1019" s="1">
        <v>1</v>
      </c>
      <c r="M1019" s="4">
        <v>1294</v>
      </c>
      <c r="N1019" s="1">
        <v>1380</v>
      </c>
      <c r="O1019" s="1">
        <v>3505</v>
      </c>
      <c r="P1019" s="1">
        <v>2125</v>
      </c>
      <c r="Q1019" s="1" t="s">
        <v>42</v>
      </c>
      <c r="S1019" s="1" t="s">
        <v>42</v>
      </c>
      <c r="T1019" s="1" t="s">
        <v>273</v>
      </c>
      <c r="V1019" s="5">
        <v>43837</v>
      </c>
      <c r="W1019" s="5">
        <v>43662</v>
      </c>
      <c r="X1019" s="1">
        <v>2750000</v>
      </c>
      <c r="Y1019" s="1">
        <v>2750000</v>
      </c>
      <c r="Z1019" s="5">
        <v>43662</v>
      </c>
      <c r="AA1019" s="1">
        <v>2568536</v>
      </c>
      <c r="AB1019" s="1" t="s">
        <v>323</v>
      </c>
      <c r="AC1019" s="5">
        <v>43815</v>
      </c>
      <c r="AF1019" s="1">
        <v>10013</v>
      </c>
      <c r="AI1019" s="1" t="s">
        <v>80</v>
      </c>
      <c r="AJ1019" s="1">
        <v>2019</v>
      </c>
      <c r="AK1019" s="1" t="s">
        <v>55</v>
      </c>
      <c r="AL1019" s="1">
        <v>54</v>
      </c>
    </row>
    <row r="1020" spans="1:38" x14ac:dyDescent="0.2">
      <c r="A1020" s="2" t="str">
        <f>HYPERLINK("https://www.compass.com/listing/570-broome-street-unit-16a-manhattan-ny-10013/296943137717252081/","570 Broome St, Unit 16A")</f>
        <v>570 Broome St, Unit 16A</v>
      </c>
      <c r="B1020" s="2" t="str">
        <f t="shared" si="135"/>
        <v>570 Broome</v>
      </c>
      <c r="C1020" s="1" t="s">
        <v>298</v>
      </c>
      <c r="D1020" s="1" t="s">
        <v>41</v>
      </c>
      <c r="E1020" s="3">
        <v>2800000</v>
      </c>
      <c r="F1020" s="1">
        <v>2243.58974358974</v>
      </c>
      <c r="G1020" s="1">
        <v>4</v>
      </c>
      <c r="H1020" s="1">
        <v>2</v>
      </c>
      <c r="I1020" s="1">
        <v>3</v>
      </c>
      <c r="J1020" s="1">
        <v>2.5</v>
      </c>
      <c r="K1020" s="1">
        <v>2</v>
      </c>
      <c r="L1020" s="1">
        <v>1</v>
      </c>
      <c r="M1020" s="4">
        <v>1248</v>
      </c>
      <c r="N1020" s="1">
        <v>1327</v>
      </c>
      <c r="O1020" s="1">
        <v>3369</v>
      </c>
      <c r="P1020" s="1">
        <v>2042</v>
      </c>
      <c r="Q1020" s="1" t="s">
        <v>42</v>
      </c>
      <c r="S1020" s="1" t="s">
        <v>42</v>
      </c>
      <c r="T1020" s="1" t="s">
        <v>273</v>
      </c>
      <c r="V1020" s="5">
        <v>43792</v>
      </c>
      <c r="W1020" s="5">
        <v>43662</v>
      </c>
      <c r="X1020" s="1">
        <v>2995000</v>
      </c>
      <c r="Y1020" s="1">
        <v>2995000</v>
      </c>
      <c r="Z1020" s="5">
        <v>43662</v>
      </c>
      <c r="AA1020" s="1">
        <v>2800000</v>
      </c>
      <c r="AB1020" s="1" t="s">
        <v>324</v>
      </c>
      <c r="AC1020" s="5">
        <v>43791</v>
      </c>
      <c r="AF1020" s="1">
        <v>10013</v>
      </c>
      <c r="AI1020" s="1" t="s">
        <v>80</v>
      </c>
      <c r="AJ1020" s="1">
        <v>2019</v>
      </c>
      <c r="AK1020" s="1" t="s">
        <v>55</v>
      </c>
      <c r="AL1020" s="1">
        <v>54</v>
      </c>
    </row>
    <row r="1021" spans="1:38" x14ac:dyDescent="0.2">
      <c r="A1021" s="2" t="str">
        <f>HYPERLINK("https://www.compass.com/listing/570-broome-street-unit-11b-manhattan-ny-10013/365781629238536593/","570 Broome St, Unit 11B")</f>
        <v>570 Broome St, Unit 11B</v>
      </c>
      <c r="B1021" s="2" t="str">
        <f t="shared" si="135"/>
        <v>570 Broome</v>
      </c>
      <c r="C1021" s="1" t="s">
        <v>298</v>
      </c>
      <c r="D1021" s="1" t="s">
        <v>41</v>
      </c>
      <c r="E1021" s="3">
        <v>3050000</v>
      </c>
      <c r="F1021" s="1">
        <v>1981.8063677712801</v>
      </c>
      <c r="G1021" s="1">
        <v>5</v>
      </c>
      <c r="H1021" s="1">
        <v>3</v>
      </c>
      <c r="I1021" s="1">
        <v>3</v>
      </c>
      <c r="J1021" s="1">
        <v>3</v>
      </c>
      <c r="K1021" s="1">
        <v>3</v>
      </c>
      <c r="M1021" s="4">
        <v>1539</v>
      </c>
      <c r="N1021" s="1">
        <v>1641</v>
      </c>
      <c r="O1021" s="1">
        <v>4168</v>
      </c>
      <c r="P1021" s="1">
        <v>2527</v>
      </c>
      <c r="Q1021" s="1" t="s">
        <v>42</v>
      </c>
      <c r="S1021" s="1" t="s">
        <v>42</v>
      </c>
      <c r="T1021" s="1" t="s">
        <v>273</v>
      </c>
      <c r="U1021" s="1">
        <v>3</v>
      </c>
      <c r="V1021" s="5">
        <v>43820</v>
      </c>
      <c r="W1021" s="5">
        <v>43757</v>
      </c>
      <c r="X1021" s="1">
        <v>3575000</v>
      </c>
      <c r="Y1021" s="1">
        <v>3575000</v>
      </c>
      <c r="Z1021" s="5">
        <v>43760</v>
      </c>
      <c r="AA1021" s="1">
        <v>3050000</v>
      </c>
      <c r="AB1021" s="1" t="s">
        <v>325</v>
      </c>
      <c r="AC1021" s="5">
        <v>43819</v>
      </c>
      <c r="AF1021" s="1">
        <v>10013</v>
      </c>
      <c r="AI1021" s="1" t="s">
        <v>54</v>
      </c>
      <c r="AJ1021" s="1">
        <v>2019</v>
      </c>
      <c r="AK1021" s="1" t="s">
        <v>55</v>
      </c>
      <c r="AL1021" s="1">
        <v>54</v>
      </c>
    </row>
    <row r="1022" spans="1:38" x14ac:dyDescent="0.2">
      <c r="A1022" s="2" t="str">
        <f>HYPERLINK("https://www.compass.com/listing/570-broome-street-unit-13a-manhattan-ny-10013/296938938589801825/","570 Broome St, Unit 13A")</f>
        <v>570 Broome St, Unit 13A</v>
      </c>
      <c r="B1022" s="2" t="str">
        <f t="shared" si="135"/>
        <v>570 Broome</v>
      </c>
      <c r="C1022" s="1" t="s">
        <v>298</v>
      </c>
      <c r="D1022" s="1" t="s">
        <v>41</v>
      </c>
      <c r="E1022" s="3">
        <v>3675000</v>
      </c>
      <c r="F1022" s="1">
        <v>2500</v>
      </c>
      <c r="G1022" s="1">
        <v>4</v>
      </c>
      <c r="H1022" s="1">
        <v>2</v>
      </c>
      <c r="I1022" s="1">
        <v>3</v>
      </c>
      <c r="J1022" s="1">
        <v>2.5</v>
      </c>
      <c r="K1022" s="1">
        <v>2</v>
      </c>
      <c r="L1022" s="1">
        <v>1</v>
      </c>
      <c r="M1022" s="4">
        <v>1470</v>
      </c>
      <c r="N1022" s="1">
        <v>1682</v>
      </c>
      <c r="O1022" s="1">
        <v>4271</v>
      </c>
      <c r="P1022" s="1">
        <v>2589</v>
      </c>
      <c r="Q1022" s="1" t="s">
        <v>42</v>
      </c>
      <c r="S1022" s="1" t="s">
        <v>42</v>
      </c>
      <c r="T1022" s="1" t="s">
        <v>273</v>
      </c>
      <c r="V1022" s="5">
        <v>43803</v>
      </c>
      <c r="W1022" s="5">
        <v>43662</v>
      </c>
      <c r="X1022" s="1">
        <v>4075000</v>
      </c>
      <c r="Y1022" s="1">
        <v>4075000</v>
      </c>
      <c r="Z1022" s="5">
        <v>43662</v>
      </c>
      <c r="AA1022" s="1">
        <v>3675000</v>
      </c>
      <c r="AB1022" s="1" t="s">
        <v>326</v>
      </c>
      <c r="AC1022" s="5">
        <v>43801</v>
      </c>
      <c r="AF1022" s="1">
        <v>10013</v>
      </c>
      <c r="AI1022" s="1" t="s">
        <v>80</v>
      </c>
      <c r="AJ1022" s="1">
        <v>2019</v>
      </c>
      <c r="AK1022" s="1" t="s">
        <v>55</v>
      </c>
      <c r="AL1022" s="1">
        <v>54</v>
      </c>
    </row>
    <row r="1023" spans="1:38" x14ac:dyDescent="0.2">
      <c r="A1023" s="2" t="str">
        <f>HYPERLINK("https://www.compass.com/listing/570-broome-street-unit-20a-manhattan-ny-10013/296948935243625009/","570 Broome St, Unit 20A")</f>
        <v>570 Broome St, Unit 20A</v>
      </c>
      <c r="B1023" s="2" t="str">
        <f t="shared" si="135"/>
        <v>570 Broome</v>
      </c>
      <c r="C1023" s="1" t="s">
        <v>298</v>
      </c>
      <c r="D1023" s="1" t="s">
        <v>41</v>
      </c>
      <c r="E1023" s="3">
        <v>3035000</v>
      </c>
      <c r="F1023" s="1">
        <v>2431.89102564102</v>
      </c>
      <c r="G1023" s="1">
        <v>4</v>
      </c>
      <c r="H1023" s="1">
        <v>2</v>
      </c>
      <c r="I1023" s="1">
        <v>3</v>
      </c>
      <c r="J1023" s="1">
        <v>2.5</v>
      </c>
      <c r="K1023" s="1">
        <v>2</v>
      </c>
      <c r="L1023" s="1">
        <v>1</v>
      </c>
      <c r="M1023" s="4">
        <v>1248</v>
      </c>
      <c r="N1023" s="1">
        <v>1327</v>
      </c>
      <c r="O1023" s="1">
        <v>3369</v>
      </c>
      <c r="P1023" s="1">
        <v>2042</v>
      </c>
      <c r="Q1023" s="1" t="s">
        <v>42</v>
      </c>
      <c r="S1023" s="1" t="s">
        <v>42</v>
      </c>
      <c r="T1023" s="1" t="s">
        <v>273</v>
      </c>
      <c r="V1023" s="5">
        <v>43796</v>
      </c>
      <c r="W1023" s="5">
        <v>43662</v>
      </c>
      <c r="X1023" s="1">
        <v>3385000</v>
      </c>
      <c r="Y1023" s="1">
        <v>3385000</v>
      </c>
      <c r="Z1023" s="5">
        <v>43662</v>
      </c>
      <c r="AA1023" s="1">
        <v>3035000</v>
      </c>
      <c r="AB1023" s="1" t="s">
        <v>327</v>
      </c>
      <c r="AC1023" s="5">
        <v>43795</v>
      </c>
      <c r="AF1023" s="1">
        <v>10013</v>
      </c>
      <c r="AI1023" s="1" t="s">
        <v>80</v>
      </c>
      <c r="AJ1023" s="1">
        <v>2019</v>
      </c>
      <c r="AK1023" s="1" t="s">
        <v>55</v>
      </c>
      <c r="AL1023" s="1">
        <v>54</v>
      </c>
    </row>
    <row r="1024" spans="1:38" x14ac:dyDescent="0.2">
      <c r="A1024" s="2" t="str">
        <f>HYPERLINK("https://www.compass.com/listing/570-broome-street-unit-8a-manhattan-ny-10013/296914153751090913/","570 Broome St, Unit 8A")</f>
        <v>570 Broome St, Unit 8A</v>
      </c>
      <c r="B1024" s="2" t="str">
        <f t="shared" si="135"/>
        <v>570 Broome</v>
      </c>
      <c r="C1024" s="1" t="s">
        <v>298</v>
      </c>
      <c r="D1024" s="1" t="s">
        <v>41</v>
      </c>
      <c r="E1024" s="3">
        <v>1654656</v>
      </c>
      <c r="F1024" s="1">
        <v>2063.16209476309</v>
      </c>
      <c r="G1024" s="1">
        <v>3</v>
      </c>
      <c r="H1024" s="1">
        <v>1</v>
      </c>
      <c r="I1024" s="1">
        <v>1</v>
      </c>
      <c r="J1024" s="1">
        <v>1</v>
      </c>
      <c r="K1024" s="1">
        <v>1</v>
      </c>
      <c r="M1024" s="1">
        <v>802</v>
      </c>
      <c r="N1024" s="1">
        <v>858</v>
      </c>
      <c r="O1024" s="1">
        <v>2178</v>
      </c>
      <c r="P1024" s="1">
        <v>1320</v>
      </c>
      <c r="Q1024" s="1" t="s">
        <v>42</v>
      </c>
      <c r="S1024" s="1" t="s">
        <v>42</v>
      </c>
      <c r="T1024" s="1" t="s">
        <v>273</v>
      </c>
      <c r="V1024" s="5">
        <v>43796</v>
      </c>
      <c r="W1024" s="5">
        <v>43661</v>
      </c>
      <c r="X1024" s="1">
        <v>1750000</v>
      </c>
      <c r="Y1024" s="1">
        <v>1750000</v>
      </c>
      <c r="Z1024" s="5">
        <v>43661</v>
      </c>
      <c r="AA1024" s="1">
        <v>1654656</v>
      </c>
      <c r="AB1024" s="1" t="s">
        <v>328</v>
      </c>
      <c r="AC1024" s="5">
        <v>43794</v>
      </c>
      <c r="AF1024" s="1">
        <v>10013</v>
      </c>
      <c r="AI1024" s="1" t="s">
        <v>80</v>
      </c>
      <c r="AJ1024" s="1">
        <v>2019</v>
      </c>
      <c r="AK1024" s="1" t="s">
        <v>55</v>
      </c>
      <c r="AL1024" s="1">
        <v>54</v>
      </c>
    </row>
    <row r="1025" spans="1:38" x14ac:dyDescent="0.2">
      <c r="A1025" s="2" t="str">
        <f>HYPERLINK("https://www.compass.com/listing/570-broome-street-unit-7a-manhattan-ny-10013/296962034482837425/","570 Broome St, Unit 7A")</f>
        <v>570 Broome St, Unit 7A</v>
      </c>
      <c r="B1025" s="2" t="str">
        <f t="shared" si="135"/>
        <v>570 Broome</v>
      </c>
      <c r="C1025" s="1" t="s">
        <v>298</v>
      </c>
      <c r="D1025" s="1" t="s">
        <v>41</v>
      </c>
      <c r="E1025" s="3">
        <v>1612500</v>
      </c>
      <c r="F1025" s="1">
        <v>2010.5985037406399</v>
      </c>
      <c r="G1025" s="1">
        <v>3</v>
      </c>
      <c r="H1025" s="1">
        <v>1</v>
      </c>
      <c r="I1025" s="1">
        <v>1</v>
      </c>
      <c r="J1025" s="1">
        <v>1</v>
      </c>
      <c r="K1025" s="1">
        <v>1</v>
      </c>
      <c r="M1025" s="1">
        <v>802</v>
      </c>
      <c r="N1025" s="1">
        <v>857</v>
      </c>
      <c r="O1025" s="1">
        <v>2177</v>
      </c>
      <c r="P1025" s="1">
        <v>1320</v>
      </c>
      <c r="Q1025" s="1" t="s">
        <v>42</v>
      </c>
      <c r="S1025" s="1" t="s">
        <v>42</v>
      </c>
      <c r="T1025" s="1" t="s">
        <v>273</v>
      </c>
      <c r="V1025" s="5">
        <v>44019</v>
      </c>
      <c r="W1025" s="5">
        <v>43662</v>
      </c>
      <c r="X1025" s="1">
        <v>1595000</v>
      </c>
      <c r="Y1025" s="1">
        <v>1595000</v>
      </c>
      <c r="Z1025" s="5">
        <v>43662</v>
      </c>
      <c r="AA1025" s="1">
        <v>1612500</v>
      </c>
      <c r="AB1025" s="1" t="s">
        <v>329</v>
      </c>
      <c r="AC1025" s="5">
        <v>44018</v>
      </c>
      <c r="AF1025" s="1">
        <v>10013</v>
      </c>
      <c r="AI1025" s="1" t="s">
        <v>80</v>
      </c>
      <c r="AJ1025" s="1">
        <v>2019</v>
      </c>
      <c r="AK1025" s="1" t="s">
        <v>55</v>
      </c>
      <c r="AL1025" s="1">
        <v>54</v>
      </c>
    </row>
    <row r="1026" spans="1:38" x14ac:dyDescent="0.2">
      <c r="A1026" s="2" t="str">
        <f>HYPERLINK("https://www.compass.com/listing/570-broome-street-unit-pha-manhattan-ny-10013/296910594297062305/","570 Broome St, Unit PHA")</f>
        <v>570 Broome St, Unit PHA</v>
      </c>
      <c r="B1026" s="2" t="str">
        <f t="shared" si="135"/>
        <v>570 Broome</v>
      </c>
      <c r="C1026" s="1" t="s">
        <v>298</v>
      </c>
      <c r="D1026" s="1" t="s">
        <v>41</v>
      </c>
      <c r="E1026" s="3">
        <v>5815000</v>
      </c>
      <c r="F1026" s="1">
        <v>2992.7946474523901</v>
      </c>
      <c r="G1026" s="1">
        <v>6</v>
      </c>
      <c r="H1026" s="1">
        <v>3</v>
      </c>
      <c r="I1026" s="1">
        <v>3</v>
      </c>
      <c r="J1026" s="1">
        <v>3</v>
      </c>
      <c r="K1026" s="1">
        <v>3</v>
      </c>
      <c r="M1026" s="4">
        <v>1943</v>
      </c>
      <c r="N1026" s="1">
        <v>2278</v>
      </c>
      <c r="O1026" s="1">
        <v>5784</v>
      </c>
      <c r="P1026" s="1">
        <v>3506</v>
      </c>
      <c r="Q1026" s="1" t="s">
        <v>42</v>
      </c>
      <c r="S1026" s="1" t="s">
        <v>42</v>
      </c>
      <c r="T1026" s="1" t="s">
        <v>273</v>
      </c>
      <c r="V1026" s="5">
        <v>43819</v>
      </c>
      <c r="W1026" s="5">
        <v>43661</v>
      </c>
      <c r="X1026" s="1">
        <v>6250000</v>
      </c>
      <c r="Y1026" s="1">
        <v>6250000</v>
      </c>
      <c r="Z1026" s="5">
        <v>43661</v>
      </c>
      <c r="AA1026" s="1">
        <v>5815000</v>
      </c>
      <c r="AB1026" s="1" t="s">
        <v>330</v>
      </c>
      <c r="AC1026" s="5">
        <v>43818</v>
      </c>
      <c r="AF1026" s="1">
        <v>10013</v>
      </c>
      <c r="AI1026" s="1" t="s">
        <v>80</v>
      </c>
      <c r="AJ1026" s="1">
        <v>2019</v>
      </c>
      <c r="AK1026" s="1" t="s">
        <v>55</v>
      </c>
      <c r="AL1026" s="1">
        <v>54</v>
      </c>
    </row>
    <row r="1027" spans="1:38" x14ac:dyDescent="0.2">
      <c r="A1027" s="2" t="str">
        <f>HYPERLINK("https://www.compass.com/listing/570-broome-street-unit-9a-manhattan-ny-10013/296912588596339793/","570 Broome St, Unit 9A")</f>
        <v>570 Broome St, Unit 9A</v>
      </c>
      <c r="B1027" s="2" t="str">
        <f t="shared" si="135"/>
        <v>570 Broome</v>
      </c>
      <c r="C1027" s="1" t="s">
        <v>298</v>
      </c>
      <c r="D1027" s="1" t="s">
        <v>41</v>
      </c>
      <c r="E1027" s="3">
        <v>1536286</v>
      </c>
      <c r="F1027" s="1">
        <v>1915.5681920199499</v>
      </c>
      <c r="G1027" s="1">
        <v>3</v>
      </c>
      <c r="H1027" s="1">
        <v>1</v>
      </c>
      <c r="I1027" s="1">
        <v>1</v>
      </c>
      <c r="J1027" s="1">
        <v>1</v>
      </c>
      <c r="K1027" s="1">
        <v>1</v>
      </c>
      <c r="M1027" s="1">
        <v>802</v>
      </c>
      <c r="N1027" s="1">
        <v>857</v>
      </c>
      <c r="O1027" s="1">
        <v>2177</v>
      </c>
      <c r="P1027" s="1">
        <v>1320</v>
      </c>
      <c r="Q1027" s="1" t="s">
        <v>42</v>
      </c>
      <c r="S1027" s="1" t="s">
        <v>42</v>
      </c>
      <c r="T1027" s="1" t="s">
        <v>273</v>
      </c>
      <c r="V1027" s="5">
        <v>43853</v>
      </c>
      <c r="W1027" s="5">
        <v>43661</v>
      </c>
      <c r="X1027" s="1">
        <v>1775000</v>
      </c>
      <c r="Y1027" s="1">
        <v>1775000</v>
      </c>
      <c r="Z1027" s="5">
        <v>43661</v>
      </c>
      <c r="AA1027" s="1">
        <v>1536285.69</v>
      </c>
      <c r="AB1027" s="1" t="s">
        <v>331</v>
      </c>
      <c r="AC1027" s="5">
        <v>43916</v>
      </c>
      <c r="AF1027" s="1">
        <v>10013</v>
      </c>
      <c r="AI1027" s="1" t="s">
        <v>80</v>
      </c>
      <c r="AJ1027" s="1">
        <v>2019</v>
      </c>
      <c r="AK1027" s="1" t="s">
        <v>55</v>
      </c>
      <c r="AL1027" s="1">
        <v>54</v>
      </c>
    </row>
    <row r="1028" spans="1:38" x14ac:dyDescent="0.2">
      <c r="A1028" s="2" t="str">
        <f>HYPERLINK("https://www.compass.com/listing/570-broome-street-unit-8c-manhattan-ny-10013/296913416585385569/","570 Broome St, Unit 8C")</f>
        <v>570 Broome St, Unit 8C</v>
      </c>
      <c r="B1028" s="2" t="str">
        <f t="shared" si="135"/>
        <v>570 Broome</v>
      </c>
      <c r="C1028" s="1" t="s">
        <v>298</v>
      </c>
      <c r="D1028" s="1" t="s">
        <v>41</v>
      </c>
      <c r="E1028" s="3">
        <v>1309191</v>
      </c>
      <c r="F1028" s="1">
        <v>1783.63922343324</v>
      </c>
      <c r="G1028" s="1">
        <v>3</v>
      </c>
      <c r="H1028" s="1">
        <v>1</v>
      </c>
      <c r="I1028" s="1">
        <v>1</v>
      </c>
      <c r="J1028" s="1">
        <v>1</v>
      </c>
      <c r="K1028" s="1">
        <v>1</v>
      </c>
      <c r="M1028" s="1">
        <v>734</v>
      </c>
      <c r="N1028" s="1">
        <v>784</v>
      </c>
      <c r="O1028" s="1">
        <v>1991</v>
      </c>
      <c r="P1028" s="1">
        <v>1207</v>
      </c>
      <c r="Q1028" s="1" t="s">
        <v>332</v>
      </c>
      <c r="S1028" s="1" t="s">
        <v>100</v>
      </c>
      <c r="T1028" s="1" t="s">
        <v>273</v>
      </c>
      <c r="V1028" s="5">
        <v>43792</v>
      </c>
      <c r="W1028" s="5">
        <v>43661</v>
      </c>
      <c r="X1028" s="1">
        <v>1495000</v>
      </c>
      <c r="Y1028" s="1">
        <v>1495000</v>
      </c>
      <c r="Z1028" s="5">
        <v>43661</v>
      </c>
      <c r="AA1028" s="1">
        <v>1309191.19</v>
      </c>
      <c r="AB1028" s="1" t="s">
        <v>333</v>
      </c>
      <c r="AC1028" s="5">
        <v>43822</v>
      </c>
      <c r="AF1028" s="1">
        <v>10013</v>
      </c>
      <c r="AI1028" s="1" t="s">
        <v>80</v>
      </c>
      <c r="AJ1028" s="1">
        <v>2019</v>
      </c>
      <c r="AK1028" s="1" t="s">
        <v>55</v>
      </c>
      <c r="AL1028" s="1">
        <v>54</v>
      </c>
    </row>
    <row r="1029" spans="1:38" x14ac:dyDescent="0.2">
      <c r="A1029" s="2" t="str">
        <f>HYPERLINK("https://www.compass.com/listing/570-broome-street-unit-10a-manhattan-ny-10013/296934810144900945/","570 Broome St, Unit 10A")</f>
        <v>570 Broome St, Unit 10A</v>
      </c>
      <c r="B1029" s="2" t="str">
        <f t="shared" si="135"/>
        <v>570 Broome</v>
      </c>
      <c r="C1029" s="1" t="s">
        <v>298</v>
      </c>
      <c r="D1029" s="1" t="s">
        <v>41</v>
      </c>
      <c r="E1029" s="3">
        <v>1617500</v>
      </c>
      <c r="F1029" s="1">
        <v>2016.8329177057301</v>
      </c>
      <c r="G1029" s="1">
        <v>3</v>
      </c>
      <c r="H1029" s="1">
        <v>1</v>
      </c>
      <c r="I1029" s="1">
        <v>1</v>
      </c>
      <c r="J1029" s="1">
        <v>1</v>
      </c>
      <c r="K1029" s="1">
        <v>1</v>
      </c>
      <c r="M1029" s="1">
        <v>802</v>
      </c>
      <c r="N1029" s="1">
        <v>858</v>
      </c>
      <c r="O1029" s="1">
        <v>2178</v>
      </c>
      <c r="P1029" s="1">
        <v>1320</v>
      </c>
      <c r="Q1029" s="1" t="s">
        <v>42</v>
      </c>
      <c r="S1029" s="1" t="s">
        <v>42</v>
      </c>
      <c r="T1029" s="1" t="s">
        <v>273</v>
      </c>
      <c r="U1029" s="1">
        <v>24</v>
      </c>
      <c r="V1029" s="5">
        <v>43792</v>
      </c>
      <c r="W1029" s="5">
        <v>43767</v>
      </c>
      <c r="X1029" s="1">
        <v>1800000</v>
      </c>
      <c r="Y1029" s="1">
        <v>1800000</v>
      </c>
      <c r="Z1029" s="5">
        <v>43662</v>
      </c>
      <c r="AA1029" s="1">
        <v>1617500</v>
      </c>
      <c r="AB1029" s="1" t="s">
        <v>334</v>
      </c>
      <c r="AC1029" s="5">
        <v>43791</v>
      </c>
      <c r="AF1029" s="1">
        <v>10013</v>
      </c>
      <c r="AI1029" s="1" t="s">
        <v>80</v>
      </c>
      <c r="AJ1029" s="1">
        <v>2019</v>
      </c>
      <c r="AK1029" s="1" t="s">
        <v>55</v>
      </c>
      <c r="AL1029" s="1">
        <v>54</v>
      </c>
    </row>
    <row r="1030" spans="1:38" x14ac:dyDescent="0.2">
      <c r="A1030" s="2" t="str">
        <f>HYPERLINK("https://www.compass.com/listing/570-broome-street-unit-11a-manhattan-ny-10013/296935770028010673/","570 Broome St, Unit 11A")</f>
        <v>570 Broome St, Unit 11A</v>
      </c>
      <c r="B1030" s="2" t="str">
        <f t="shared" si="135"/>
        <v>570 Broome</v>
      </c>
      <c r="C1030" s="1" t="s">
        <v>298</v>
      </c>
      <c r="D1030" s="1" t="s">
        <v>41</v>
      </c>
      <c r="E1030" s="3">
        <v>1576250</v>
      </c>
      <c r="F1030" s="1">
        <v>1965.39900249376</v>
      </c>
      <c r="G1030" s="1">
        <v>3</v>
      </c>
      <c r="H1030" s="1">
        <v>1</v>
      </c>
      <c r="I1030" s="1">
        <v>1</v>
      </c>
      <c r="J1030" s="1">
        <v>1</v>
      </c>
      <c r="K1030" s="1">
        <v>1</v>
      </c>
      <c r="M1030" s="1">
        <v>802</v>
      </c>
      <c r="N1030" s="1">
        <v>858</v>
      </c>
      <c r="O1030" s="1">
        <v>2178</v>
      </c>
      <c r="P1030" s="1">
        <v>1320</v>
      </c>
      <c r="Q1030" s="1" t="s">
        <v>42</v>
      </c>
      <c r="S1030" s="1" t="s">
        <v>42</v>
      </c>
      <c r="T1030" s="1" t="s">
        <v>273</v>
      </c>
      <c r="V1030" s="5">
        <v>43853</v>
      </c>
      <c r="W1030" s="5">
        <v>43662</v>
      </c>
      <c r="X1030" s="1">
        <v>1825000</v>
      </c>
      <c r="Y1030" s="1">
        <v>1825000</v>
      </c>
      <c r="Z1030" s="5">
        <v>43662</v>
      </c>
      <c r="AA1030" s="1">
        <v>1576250</v>
      </c>
      <c r="AB1030" s="1" t="s">
        <v>335</v>
      </c>
      <c r="AC1030" s="5">
        <v>43921</v>
      </c>
      <c r="AF1030" s="1">
        <v>10013</v>
      </c>
      <c r="AI1030" s="1" t="s">
        <v>80</v>
      </c>
      <c r="AJ1030" s="1">
        <v>2019</v>
      </c>
      <c r="AK1030" s="1" t="s">
        <v>55</v>
      </c>
      <c r="AL1030" s="1">
        <v>54</v>
      </c>
    </row>
    <row r="1031" spans="1:38" x14ac:dyDescent="0.2">
      <c r="A1031" s="2" t="str">
        <f>HYPERLINK("https://www.compass.com/listing/570-broome-street-unit-11c-manhattan-ny-10013/296936427501939937/","570 Broome St, Unit 11C")</f>
        <v>570 Broome St, Unit 11C</v>
      </c>
      <c r="B1031" s="2" t="str">
        <f t="shared" si="135"/>
        <v>570 Broome</v>
      </c>
      <c r="C1031" s="1" t="s">
        <v>298</v>
      </c>
      <c r="D1031" s="1" t="s">
        <v>41</v>
      </c>
      <c r="E1031" s="3">
        <v>1388000</v>
      </c>
      <c r="F1031" s="1">
        <v>1896.1748633879699</v>
      </c>
      <c r="G1031" s="1">
        <v>3</v>
      </c>
      <c r="H1031" s="1">
        <v>1</v>
      </c>
      <c r="I1031" s="1">
        <v>1</v>
      </c>
      <c r="J1031" s="1">
        <v>1</v>
      </c>
      <c r="K1031" s="1">
        <v>1</v>
      </c>
      <c r="M1031" s="1">
        <v>732</v>
      </c>
      <c r="N1031" s="1">
        <v>777</v>
      </c>
      <c r="O1031" s="1">
        <v>1973</v>
      </c>
      <c r="P1031" s="1">
        <v>1196</v>
      </c>
      <c r="Q1031" s="1" t="s">
        <v>42</v>
      </c>
      <c r="S1031" s="1" t="s">
        <v>42</v>
      </c>
      <c r="T1031" s="1" t="s">
        <v>273</v>
      </c>
      <c r="V1031" s="5">
        <v>43861</v>
      </c>
      <c r="W1031" s="5">
        <v>43662</v>
      </c>
      <c r="X1031" s="1">
        <v>1425000</v>
      </c>
      <c r="Y1031" s="1">
        <v>1425000</v>
      </c>
      <c r="Z1031" s="5">
        <v>43662</v>
      </c>
      <c r="AA1031" s="1">
        <v>1388000</v>
      </c>
      <c r="AB1031" s="1" t="s">
        <v>336</v>
      </c>
      <c r="AC1031" s="5">
        <v>43859</v>
      </c>
      <c r="AF1031" s="1">
        <v>10013</v>
      </c>
      <c r="AI1031" s="1" t="s">
        <v>80</v>
      </c>
      <c r="AJ1031" s="1">
        <v>2019</v>
      </c>
      <c r="AK1031" s="1" t="s">
        <v>55</v>
      </c>
      <c r="AL1031" s="1">
        <v>54</v>
      </c>
    </row>
    <row r="1032" spans="1:38" x14ac:dyDescent="0.2">
      <c r="A1032" s="2" t="str">
        <f>HYPERLINK("https://www.compass.com/listing/570-broome-street-unit-12a-manhattan-ny-10013/296938307372353489/","570 Broome St, Unit 12A")</f>
        <v>570 Broome St, Unit 12A</v>
      </c>
      <c r="B1032" s="2" t="str">
        <f t="shared" si="135"/>
        <v>570 Broome</v>
      </c>
      <c r="C1032" s="1" t="s">
        <v>298</v>
      </c>
      <c r="D1032" s="1" t="s">
        <v>41</v>
      </c>
      <c r="E1032" s="3">
        <v>1690284</v>
      </c>
      <c r="F1032" s="1">
        <v>2107.58650872817</v>
      </c>
      <c r="G1032" s="1">
        <v>3</v>
      </c>
      <c r="H1032" s="1">
        <v>1</v>
      </c>
      <c r="I1032" s="1">
        <v>1</v>
      </c>
      <c r="J1032" s="1">
        <v>1</v>
      </c>
      <c r="K1032" s="1">
        <v>1</v>
      </c>
      <c r="M1032" s="1">
        <v>802</v>
      </c>
      <c r="N1032" s="1">
        <v>858</v>
      </c>
      <c r="O1032" s="1">
        <v>2178</v>
      </c>
      <c r="P1032" s="1">
        <v>1320</v>
      </c>
      <c r="Q1032" s="1" t="s">
        <v>42</v>
      </c>
      <c r="S1032" s="1" t="s">
        <v>42</v>
      </c>
      <c r="T1032" s="1" t="s">
        <v>273</v>
      </c>
      <c r="V1032" s="5">
        <v>43838</v>
      </c>
      <c r="W1032" s="5">
        <v>43662</v>
      </c>
      <c r="X1032" s="1">
        <v>1850000</v>
      </c>
      <c r="Y1032" s="1">
        <v>1850000</v>
      </c>
      <c r="Z1032" s="5">
        <v>43662</v>
      </c>
      <c r="AA1032" s="1">
        <v>1690284.38</v>
      </c>
      <c r="AB1032" s="1" t="s">
        <v>337</v>
      </c>
      <c r="AC1032" s="5">
        <v>43837</v>
      </c>
      <c r="AF1032" s="1">
        <v>10013</v>
      </c>
      <c r="AI1032" s="1" t="s">
        <v>80</v>
      </c>
      <c r="AJ1032" s="1">
        <v>2019</v>
      </c>
      <c r="AK1032" s="1" t="s">
        <v>55</v>
      </c>
      <c r="AL1032" s="1">
        <v>54</v>
      </c>
    </row>
    <row r="1033" spans="1:38" x14ac:dyDescent="0.2">
      <c r="A1033" s="2" t="str">
        <f>HYPERLINK("https://www.compass.com/listing/570-broome-street-unit-3b-manhattan-ny-10013/296953683313193905/","570 Broome St, Unit 3B")</f>
        <v>570 Broome St, Unit 3B</v>
      </c>
      <c r="B1033" s="2" t="str">
        <f t="shared" si="135"/>
        <v>570 Broome</v>
      </c>
      <c r="C1033" s="1" t="s">
        <v>298</v>
      </c>
      <c r="D1033" s="1" t="s">
        <v>41</v>
      </c>
      <c r="E1033" s="3">
        <v>1250000</v>
      </c>
      <c r="F1033" s="1">
        <v>1846.3810930576001</v>
      </c>
      <c r="G1033" s="1">
        <v>3</v>
      </c>
      <c r="H1033" s="1">
        <v>1</v>
      </c>
      <c r="I1033" s="1">
        <v>1</v>
      </c>
      <c r="J1033" s="1">
        <v>1</v>
      </c>
      <c r="K1033" s="1">
        <v>1</v>
      </c>
      <c r="M1033" s="1">
        <v>677</v>
      </c>
      <c r="N1033" s="1">
        <v>724</v>
      </c>
      <c r="O1033" s="1">
        <v>1838</v>
      </c>
      <c r="P1033" s="1">
        <v>1114</v>
      </c>
      <c r="Q1033" s="1" t="s">
        <v>42</v>
      </c>
      <c r="S1033" s="1" t="s">
        <v>42</v>
      </c>
      <c r="T1033" s="1" t="s">
        <v>273</v>
      </c>
      <c r="V1033" s="5">
        <v>43839</v>
      </c>
      <c r="W1033" s="5">
        <v>43662</v>
      </c>
      <c r="X1033" s="1">
        <v>1350000</v>
      </c>
      <c r="Y1033" s="1">
        <v>1350000</v>
      </c>
      <c r="Z1033" s="5">
        <v>43662</v>
      </c>
      <c r="AA1033" s="1">
        <v>1250000</v>
      </c>
      <c r="AB1033" s="1" t="s">
        <v>338</v>
      </c>
      <c r="AC1033" s="5">
        <v>43837</v>
      </c>
      <c r="AF1033" s="1">
        <v>10013</v>
      </c>
      <c r="AI1033" s="1" t="s">
        <v>80</v>
      </c>
      <c r="AJ1033" s="1">
        <v>2019</v>
      </c>
      <c r="AK1033" s="1" t="s">
        <v>55</v>
      </c>
      <c r="AL1033" s="1">
        <v>54</v>
      </c>
    </row>
    <row r="1034" spans="1:38" x14ac:dyDescent="0.2">
      <c r="A1034" s="2" t="str">
        <f>HYPERLINK("https://www.compass.com/listing/570-broome-street-unit-4b-manhattan-ny-10013/296955105861865089/","570 Broome St, Unit 4B")</f>
        <v>570 Broome St, Unit 4B</v>
      </c>
      <c r="B1034" s="2" t="str">
        <f t="shared" si="135"/>
        <v>570 Broome</v>
      </c>
      <c r="C1034" s="1" t="s">
        <v>298</v>
      </c>
      <c r="D1034" s="1" t="s">
        <v>41</v>
      </c>
      <c r="E1034" s="3">
        <v>1272813</v>
      </c>
      <c r="F1034" s="1">
        <v>1880.0782865583401</v>
      </c>
      <c r="G1034" s="1">
        <v>3</v>
      </c>
      <c r="H1034" s="1">
        <v>1</v>
      </c>
      <c r="I1034" s="1">
        <v>1</v>
      </c>
      <c r="J1034" s="1">
        <v>1</v>
      </c>
      <c r="K1034" s="1">
        <v>1</v>
      </c>
      <c r="M1034" s="1">
        <v>677</v>
      </c>
      <c r="N1034" s="1">
        <v>723</v>
      </c>
      <c r="O1034" s="1">
        <v>1836</v>
      </c>
      <c r="P1034" s="1">
        <v>1113</v>
      </c>
      <c r="Q1034" s="1" t="s">
        <v>42</v>
      </c>
      <c r="S1034" s="1" t="s">
        <v>42</v>
      </c>
      <c r="T1034" s="1" t="s">
        <v>273</v>
      </c>
      <c r="V1034" s="5">
        <v>43803</v>
      </c>
      <c r="W1034" s="5">
        <v>43662</v>
      </c>
      <c r="X1034" s="1">
        <v>1275000</v>
      </c>
      <c r="Y1034" s="1">
        <v>1275000</v>
      </c>
      <c r="Z1034" s="5">
        <v>43662</v>
      </c>
      <c r="AA1034" s="1">
        <v>1272813</v>
      </c>
      <c r="AB1034" s="1" t="s">
        <v>339</v>
      </c>
      <c r="AC1034" s="5">
        <v>43801</v>
      </c>
      <c r="AF1034" s="1">
        <v>10013</v>
      </c>
      <c r="AI1034" s="1" t="s">
        <v>80</v>
      </c>
      <c r="AJ1034" s="1">
        <v>2019</v>
      </c>
      <c r="AK1034" s="1" t="s">
        <v>55</v>
      </c>
      <c r="AL1034" s="1">
        <v>54</v>
      </c>
    </row>
    <row r="1035" spans="1:38" x14ac:dyDescent="0.2">
      <c r="A1035" s="2" t="str">
        <f>HYPERLINK("https://www.compass.com/listing/570-broome-street-unit-5b-manhattan-ny-10013/296959588146523937/","570 Broome St, Unit 5B")</f>
        <v>570 Broome St, Unit 5B</v>
      </c>
      <c r="B1035" s="2" t="str">
        <f t="shared" si="135"/>
        <v>570 Broome</v>
      </c>
      <c r="C1035" s="1" t="s">
        <v>298</v>
      </c>
      <c r="D1035" s="1" t="s">
        <v>41</v>
      </c>
      <c r="E1035" s="3">
        <v>1221361</v>
      </c>
      <c r="F1035" s="1">
        <v>1804.0788478581901</v>
      </c>
      <c r="G1035" s="1">
        <v>3</v>
      </c>
      <c r="H1035" s="1">
        <v>1</v>
      </c>
      <c r="I1035" s="1">
        <v>1</v>
      </c>
      <c r="J1035" s="1">
        <v>1</v>
      </c>
      <c r="K1035" s="1">
        <v>1</v>
      </c>
      <c r="M1035" s="1">
        <v>677</v>
      </c>
      <c r="N1035" s="1">
        <v>723</v>
      </c>
      <c r="O1035" s="1">
        <v>1836</v>
      </c>
      <c r="P1035" s="1">
        <v>1113</v>
      </c>
      <c r="Q1035" s="1" t="s">
        <v>332</v>
      </c>
      <c r="S1035" s="1" t="s">
        <v>100</v>
      </c>
      <c r="T1035" s="1" t="s">
        <v>273</v>
      </c>
      <c r="V1035" s="5">
        <v>43792</v>
      </c>
      <c r="W1035" s="5">
        <v>43662</v>
      </c>
      <c r="X1035" s="1">
        <v>1390000</v>
      </c>
      <c r="Y1035" s="1">
        <v>1390000</v>
      </c>
      <c r="Z1035" s="5">
        <v>43662</v>
      </c>
      <c r="AA1035" s="1">
        <v>1221361.3799999999</v>
      </c>
      <c r="AB1035" s="1" t="s">
        <v>340</v>
      </c>
      <c r="AC1035" s="5">
        <v>43822</v>
      </c>
      <c r="AF1035" s="1">
        <v>10013</v>
      </c>
      <c r="AI1035" s="1" t="s">
        <v>80</v>
      </c>
      <c r="AJ1035" s="1">
        <v>2019</v>
      </c>
      <c r="AK1035" s="1" t="s">
        <v>55</v>
      </c>
      <c r="AL1035" s="1">
        <v>54</v>
      </c>
    </row>
    <row r="1036" spans="1:38" x14ac:dyDescent="0.2">
      <c r="A1036" s="2" t="str">
        <f>HYPERLINK("https://www.compass.com/listing/570-broome-street-unit-6b-manhattan-ny-10013/296960675578672881/","570 Broome St, Unit 6B")</f>
        <v>570 Broome St, Unit 6B</v>
      </c>
      <c r="B1036" s="2" t="str">
        <f t="shared" si="135"/>
        <v>570 Broome</v>
      </c>
      <c r="C1036" s="1" t="s">
        <v>298</v>
      </c>
      <c r="D1036" s="1" t="s">
        <v>41</v>
      </c>
      <c r="E1036" s="3">
        <v>1234755</v>
      </c>
      <c r="F1036" s="1">
        <v>1823.86208271787</v>
      </c>
      <c r="G1036" s="1">
        <v>3</v>
      </c>
      <c r="H1036" s="1">
        <v>1</v>
      </c>
      <c r="I1036" s="1">
        <v>1</v>
      </c>
      <c r="J1036" s="1">
        <v>1</v>
      </c>
      <c r="K1036" s="1">
        <v>1</v>
      </c>
      <c r="M1036" s="1">
        <v>677</v>
      </c>
      <c r="N1036" s="1">
        <v>724</v>
      </c>
      <c r="O1036" s="1">
        <v>1838</v>
      </c>
      <c r="P1036" s="1">
        <v>1114</v>
      </c>
      <c r="Q1036" s="1" t="s">
        <v>332</v>
      </c>
      <c r="S1036" s="1" t="s">
        <v>100</v>
      </c>
      <c r="T1036" s="1" t="s">
        <v>273</v>
      </c>
      <c r="V1036" s="5">
        <v>43792</v>
      </c>
      <c r="W1036" s="5">
        <v>43662</v>
      </c>
      <c r="X1036" s="1">
        <v>1410000</v>
      </c>
      <c r="Y1036" s="1">
        <v>1410000</v>
      </c>
      <c r="Z1036" s="5">
        <v>43662</v>
      </c>
      <c r="AA1036" s="1">
        <v>1234754.6299999999</v>
      </c>
      <c r="AB1036" s="1" t="s">
        <v>341</v>
      </c>
      <c r="AC1036" s="5">
        <v>43822</v>
      </c>
      <c r="AF1036" s="1">
        <v>10013</v>
      </c>
      <c r="AI1036" s="1" t="s">
        <v>80</v>
      </c>
      <c r="AJ1036" s="1">
        <v>2019</v>
      </c>
      <c r="AK1036" s="1" t="s">
        <v>55</v>
      </c>
      <c r="AL1036" s="1">
        <v>54</v>
      </c>
    </row>
    <row r="1037" spans="1:38" x14ac:dyDescent="0.2">
      <c r="A1037" s="2" t="str">
        <f>HYPERLINK("https://www.compass.com/listing/70-charlton-street-unit-3d-manhattan-ny-10014/581755577930372409/","70 Charlton St, Unit 3D")</f>
        <v>70 Charlton St, Unit 3D</v>
      </c>
      <c r="B1037" s="2" t="str">
        <f t="shared" ref="B1037:B1038" si="136">HYPERLINK("https://www.compass.com/building/70-charlton-street-manhattan-ny/292835639240484293/","70 Charlton Street")</f>
        <v>70 Charlton Street</v>
      </c>
      <c r="C1037" s="1" t="s">
        <v>53</v>
      </c>
      <c r="D1037" s="1" t="s">
        <v>41</v>
      </c>
      <c r="E1037" s="3">
        <v>2620000</v>
      </c>
      <c r="F1037" s="1">
        <v>1606.37645616186</v>
      </c>
      <c r="G1037" s="1">
        <v>8</v>
      </c>
      <c r="H1037" s="1">
        <v>3</v>
      </c>
      <c r="I1037" s="1">
        <v>3</v>
      </c>
      <c r="J1037" s="1">
        <v>3</v>
      </c>
      <c r="K1037" s="1">
        <v>3</v>
      </c>
      <c r="M1037" s="4">
        <v>1631</v>
      </c>
      <c r="N1037" s="1">
        <v>3418</v>
      </c>
      <c r="O1037" s="1">
        <v>3418</v>
      </c>
      <c r="Q1037" s="1" t="s">
        <v>271</v>
      </c>
      <c r="S1037" s="1" t="s">
        <v>272</v>
      </c>
      <c r="T1037" s="1" t="s">
        <v>273</v>
      </c>
      <c r="U1037" s="1">
        <v>254</v>
      </c>
      <c r="V1037" s="5">
        <v>44340</v>
      </c>
      <c r="W1037" s="5">
        <v>44055</v>
      </c>
      <c r="X1037" s="1">
        <v>2990000</v>
      </c>
      <c r="Y1037" s="1">
        <v>2750000</v>
      </c>
      <c r="Z1037" s="5">
        <v>44309</v>
      </c>
      <c r="AA1037" s="1">
        <v>2620000</v>
      </c>
      <c r="AB1037" s="1" t="s">
        <v>342</v>
      </c>
      <c r="AC1037" s="5">
        <v>44336</v>
      </c>
      <c r="AF1037" s="1">
        <v>10014</v>
      </c>
      <c r="AI1037" s="1" t="s">
        <v>80</v>
      </c>
      <c r="AJ1037" s="1">
        <v>2016</v>
      </c>
      <c r="AK1037" s="1" t="s">
        <v>49</v>
      </c>
      <c r="AL1037" s="1">
        <v>92</v>
      </c>
    </row>
    <row r="1038" spans="1:38" x14ac:dyDescent="0.2">
      <c r="A1038" s="2" t="str">
        <f>HYPERLINK("https://www.compass.com/listing/70-charlton-street-unit-14c-manhattan-ny-10014/318577225158940289/","70 Charlton St, Unit 14C")</f>
        <v>70 Charlton St, Unit 14C</v>
      </c>
      <c r="B1038" s="2" t="str">
        <f t="shared" si="136"/>
        <v>70 Charlton Street</v>
      </c>
      <c r="C1038" s="1" t="s">
        <v>53</v>
      </c>
      <c r="D1038" s="1" t="s">
        <v>41</v>
      </c>
      <c r="E1038" s="3">
        <v>5607918</v>
      </c>
      <c r="F1038" s="1">
        <v>2787.2353379721599</v>
      </c>
      <c r="G1038" s="1">
        <v>6</v>
      </c>
      <c r="H1038" s="1">
        <v>3</v>
      </c>
      <c r="I1038" s="1">
        <v>3</v>
      </c>
      <c r="J1038" s="1">
        <v>3</v>
      </c>
      <c r="K1038" s="1">
        <v>3</v>
      </c>
      <c r="M1038" s="4">
        <v>2012</v>
      </c>
      <c r="N1038" s="1">
        <v>4771</v>
      </c>
      <c r="O1038" s="1">
        <v>4771</v>
      </c>
      <c r="Q1038" s="1" t="s">
        <v>271</v>
      </c>
      <c r="S1038" s="1" t="s">
        <v>272</v>
      </c>
      <c r="T1038" s="1" t="s">
        <v>273</v>
      </c>
      <c r="U1038" s="1">
        <v>153</v>
      </c>
      <c r="V1038" s="5">
        <v>43846</v>
      </c>
      <c r="W1038" s="5">
        <v>43692</v>
      </c>
      <c r="X1038" s="1">
        <v>4650000</v>
      </c>
      <c r="Y1038" s="1">
        <v>4495000</v>
      </c>
      <c r="AA1038" s="1">
        <v>5607917.5</v>
      </c>
      <c r="AB1038" s="1" t="s">
        <v>343</v>
      </c>
      <c r="AC1038" s="5">
        <v>43902</v>
      </c>
      <c r="AF1038" s="1">
        <v>10014</v>
      </c>
      <c r="AI1038" s="1" t="s">
        <v>319</v>
      </c>
      <c r="AJ1038" s="1">
        <v>2016</v>
      </c>
      <c r="AK1038" s="1" t="s">
        <v>49</v>
      </c>
      <c r="AL1038" s="1">
        <v>92</v>
      </c>
    </row>
    <row r="1039" spans="1:38" x14ac:dyDescent="0.2">
      <c r="A1039" s="2" t="str">
        <f>HYPERLINK("https://www.compass.com/listing/221-west-77th-street-unit-4w-manhattan-ny-10024/333826107564559889/","221 W 77th St, Unit 4W")</f>
        <v>221 W 77th St, Unit 4W</v>
      </c>
      <c r="B1039" s="2" t="str">
        <f>HYPERLINK("https://www.compass.com/building/221-west-77th-street-manhattan-ny/292869344491294229/","221 West 77th Street")</f>
        <v>221 West 77th Street</v>
      </c>
      <c r="C1039" s="1" t="s">
        <v>57</v>
      </c>
      <c r="D1039" s="1" t="s">
        <v>41</v>
      </c>
      <c r="E1039" s="3">
        <v>5650000</v>
      </c>
      <c r="F1039" s="1">
        <v>2071.8738540520699</v>
      </c>
      <c r="G1039" s="1">
        <v>6</v>
      </c>
      <c r="H1039" s="1">
        <v>4</v>
      </c>
      <c r="I1039" s="1">
        <v>5</v>
      </c>
      <c r="J1039" s="1">
        <v>4.5</v>
      </c>
      <c r="K1039" s="1">
        <v>4</v>
      </c>
      <c r="L1039" s="1">
        <v>1</v>
      </c>
      <c r="M1039" s="4">
        <v>2727</v>
      </c>
      <c r="N1039" s="1">
        <v>2848</v>
      </c>
      <c r="O1039" s="1">
        <v>7642</v>
      </c>
      <c r="P1039" s="1">
        <v>4794</v>
      </c>
      <c r="Q1039" s="1" t="s">
        <v>42</v>
      </c>
      <c r="S1039" s="1" t="s">
        <v>42</v>
      </c>
      <c r="T1039" s="1" t="s">
        <v>273</v>
      </c>
      <c r="U1039" s="1">
        <v>96</v>
      </c>
      <c r="V1039" s="5">
        <v>43876</v>
      </c>
      <c r="W1039" s="5">
        <v>43712</v>
      </c>
      <c r="X1039" s="1">
        <v>6250000</v>
      </c>
      <c r="Y1039" s="1">
        <v>6250000</v>
      </c>
      <c r="Z1039" s="5">
        <v>43809</v>
      </c>
      <c r="AA1039" s="1">
        <v>5650000</v>
      </c>
      <c r="AB1039" s="1" t="s">
        <v>344</v>
      </c>
      <c r="AC1039" s="5">
        <v>43874</v>
      </c>
      <c r="AF1039" s="1">
        <v>10024</v>
      </c>
      <c r="AI1039" s="1" t="s">
        <v>48</v>
      </c>
      <c r="AJ1039" s="1">
        <v>2017</v>
      </c>
      <c r="AK1039" s="1" t="s">
        <v>55</v>
      </c>
      <c r="AL1039" s="1">
        <v>26</v>
      </c>
    </row>
    <row r="1040" spans="1:38" x14ac:dyDescent="0.2">
      <c r="A1040" s="2" t="str">
        <f>HYPERLINK("https://www.compass.com/listing/70-charlton-street-unit-pha-manhattan-ny-10014/4852283298069622753/","70 Charlton St, Unit PHA")</f>
        <v>70 Charlton St, Unit PHA</v>
      </c>
      <c r="B1040" s="2" t="str">
        <f>HYPERLINK("https://www.compass.com/building/70-charlton-street-manhattan-ny/292835639240484293/","70 Charlton Street")</f>
        <v>70 Charlton Street</v>
      </c>
      <c r="C1040" s="1" t="s">
        <v>53</v>
      </c>
      <c r="D1040" s="1" t="s">
        <v>41</v>
      </c>
      <c r="E1040" s="3">
        <v>5502550</v>
      </c>
      <c r="F1040" s="1">
        <v>1926.6631652660999</v>
      </c>
      <c r="G1040" s="1">
        <v>7</v>
      </c>
      <c r="H1040" s="1">
        <v>3</v>
      </c>
      <c r="I1040" s="1">
        <v>3.5</v>
      </c>
      <c r="J1040" s="1">
        <v>3.5</v>
      </c>
      <c r="M1040" s="4">
        <v>2856</v>
      </c>
      <c r="N1040" s="1">
        <v>8323</v>
      </c>
      <c r="O1040" s="1">
        <v>8323</v>
      </c>
      <c r="Q1040" s="1" t="s">
        <v>272</v>
      </c>
      <c r="S1040" s="1" t="s">
        <v>272</v>
      </c>
      <c r="T1040" s="1" t="s">
        <v>273</v>
      </c>
      <c r="U1040" s="1">
        <v>183</v>
      </c>
      <c r="V1040" s="5">
        <v>43516</v>
      </c>
      <c r="W1040" s="5">
        <v>43332</v>
      </c>
      <c r="X1040" s="1">
        <v>5999000</v>
      </c>
      <c r="Y1040" s="1">
        <v>5999000</v>
      </c>
      <c r="AA1040" s="1">
        <v>5502550</v>
      </c>
      <c r="AB1040" s="1" t="s">
        <v>345</v>
      </c>
      <c r="AC1040" s="5">
        <v>43628</v>
      </c>
      <c r="AF1040" s="1">
        <v>10014</v>
      </c>
      <c r="AI1040" s="1" t="s">
        <v>346</v>
      </c>
      <c r="AJ1040" s="1">
        <v>2016</v>
      </c>
      <c r="AK1040" s="1" t="s">
        <v>46</v>
      </c>
      <c r="AL1040" s="1">
        <v>92</v>
      </c>
    </row>
    <row r="1041" spans="1:38" x14ac:dyDescent="0.2">
      <c r="A1041" s="2" t="str">
        <f>HYPERLINK("https://www.compass.com/listing/7-harrison-street-unit-5s-manhattan-ny-10013/29358788003801969/","7 Harrison St, Unit 5S")</f>
        <v>7 Harrison St, Unit 5S</v>
      </c>
      <c r="B1041" s="2" t="str">
        <f t="shared" ref="B1041:B1049" si="137">HYPERLINK("https://www.compass.com/building/7-harrison-st-manhattan-ny-10013/281921095324439429/","7 Harrison St")</f>
        <v>7 Harrison St</v>
      </c>
      <c r="C1041" s="1" t="s">
        <v>50</v>
      </c>
      <c r="D1041" s="1" t="s">
        <v>41</v>
      </c>
      <c r="E1041" s="3">
        <v>5524006</v>
      </c>
      <c r="F1041" s="1">
        <v>2598.30961900282</v>
      </c>
      <c r="G1041" s="1">
        <v>8</v>
      </c>
      <c r="H1041" s="1">
        <v>3</v>
      </c>
      <c r="I1041" s="1">
        <v>3</v>
      </c>
      <c r="J1041" s="1">
        <v>3</v>
      </c>
      <c r="M1041" s="4">
        <v>2126</v>
      </c>
      <c r="N1041" s="1">
        <v>2917.31</v>
      </c>
      <c r="O1041" s="1">
        <v>5049.91</v>
      </c>
      <c r="P1041" s="1">
        <v>2132.5833333333298</v>
      </c>
      <c r="Q1041" s="1" t="s">
        <v>42</v>
      </c>
      <c r="S1041" s="1" t="s">
        <v>42</v>
      </c>
      <c r="T1041" s="1" t="s">
        <v>273</v>
      </c>
      <c r="U1041" s="1">
        <v>82</v>
      </c>
      <c r="V1041" s="5">
        <v>43701</v>
      </c>
      <c r="W1041" s="5">
        <v>41800</v>
      </c>
      <c r="X1041" s="1">
        <v>5350000</v>
      </c>
      <c r="Y1041" s="1">
        <v>5650000</v>
      </c>
      <c r="Z1041" s="5">
        <v>42108</v>
      </c>
      <c r="AA1041" s="1">
        <v>5524006.25</v>
      </c>
      <c r="AB1041" s="1" t="s">
        <v>347</v>
      </c>
      <c r="AC1041" s="5">
        <v>42124</v>
      </c>
      <c r="AF1041" s="1">
        <v>10013</v>
      </c>
      <c r="AJ1041" s="1">
        <v>1900</v>
      </c>
      <c r="AK1041" s="1" t="s">
        <v>55</v>
      </c>
      <c r="AL1041" s="1">
        <v>12</v>
      </c>
    </row>
    <row r="1042" spans="1:38" x14ac:dyDescent="0.2">
      <c r="A1042" s="2" t="str">
        <f>HYPERLINK("https://www.compass.com/listing/7-harrison-street-unit-4s-manhattan-ny-10013/29509755458297825/","7 Harrison St, Unit 4S")</f>
        <v>7 Harrison St, Unit 4S</v>
      </c>
      <c r="B1042" s="2" t="str">
        <f t="shared" si="137"/>
        <v>7 Harrison St</v>
      </c>
      <c r="C1042" s="1" t="s">
        <v>50</v>
      </c>
      <c r="D1042" s="1" t="s">
        <v>41</v>
      </c>
      <c r="E1042" s="3">
        <v>5040338</v>
      </c>
      <c r="F1042" s="1">
        <v>2370.80785512699</v>
      </c>
      <c r="G1042" s="1">
        <v>6</v>
      </c>
      <c r="H1042" s="1">
        <v>3</v>
      </c>
      <c r="I1042" s="1">
        <v>3</v>
      </c>
      <c r="J1042" s="1">
        <v>3</v>
      </c>
      <c r="M1042" s="4">
        <v>2126</v>
      </c>
      <c r="N1042" s="1">
        <v>2917.31</v>
      </c>
      <c r="O1042" s="1">
        <v>4692.1000000000004</v>
      </c>
      <c r="P1042" s="1">
        <v>1774.75</v>
      </c>
      <c r="Q1042" s="1" t="s">
        <v>42</v>
      </c>
      <c r="S1042" s="1" t="s">
        <v>42</v>
      </c>
      <c r="T1042" s="1" t="s">
        <v>273</v>
      </c>
      <c r="V1042" s="5">
        <v>43701</v>
      </c>
      <c r="W1042" s="5">
        <v>41879</v>
      </c>
      <c r="X1042" s="1">
        <v>4950000</v>
      </c>
      <c r="Y1042" s="1">
        <v>4950000</v>
      </c>
      <c r="Z1042" s="5">
        <v>41898</v>
      </c>
      <c r="AA1042" s="1">
        <v>5040337.5</v>
      </c>
      <c r="AB1042" s="1" t="s">
        <v>348</v>
      </c>
      <c r="AC1042" s="5">
        <v>42017</v>
      </c>
      <c r="AF1042" s="1">
        <v>10013</v>
      </c>
      <c r="AI1042" s="1" t="s">
        <v>349</v>
      </c>
      <c r="AJ1042" s="1">
        <v>1900</v>
      </c>
      <c r="AK1042" s="1" t="s">
        <v>55</v>
      </c>
      <c r="AL1042" s="1">
        <v>12</v>
      </c>
    </row>
    <row r="1043" spans="1:38" x14ac:dyDescent="0.2">
      <c r="A1043" s="2" t="str">
        <f>HYPERLINK("https://www.compass.com/listing/7-harrison-street-unit-2n-manhattan-ny-10013/29358784782572241/","7 Harrison St, Unit 2N")</f>
        <v>7 Harrison St, Unit 2N</v>
      </c>
      <c r="B1043" s="2" t="str">
        <f t="shared" si="137"/>
        <v>7 Harrison St</v>
      </c>
      <c r="C1043" s="1" t="s">
        <v>50</v>
      </c>
      <c r="D1043" s="1" t="s">
        <v>41</v>
      </c>
      <c r="E1043" s="3">
        <v>5753113</v>
      </c>
      <c r="F1043" s="1">
        <v>2609.12131519274</v>
      </c>
      <c r="G1043" s="1">
        <v>6</v>
      </c>
      <c r="H1043" s="1">
        <v>3</v>
      </c>
      <c r="I1043" s="1">
        <v>3</v>
      </c>
      <c r="J1043" s="1">
        <v>3</v>
      </c>
      <c r="M1043" s="4">
        <v>2205</v>
      </c>
      <c r="N1043" s="1">
        <v>3027</v>
      </c>
      <c r="O1043" s="1">
        <v>4868</v>
      </c>
      <c r="P1043" s="1">
        <v>1841</v>
      </c>
      <c r="Q1043" s="1" t="s">
        <v>42</v>
      </c>
      <c r="S1043" s="1" t="s">
        <v>42</v>
      </c>
      <c r="T1043" s="1" t="s">
        <v>273</v>
      </c>
      <c r="V1043" s="5">
        <v>43701</v>
      </c>
      <c r="Y1043" s="1">
        <v>5650000</v>
      </c>
      <c r="Z1043" s="5">
        <v>41778</v>
      </c>
      <c r="AA1043" s="1">
        <v>5753112.5</v>
      </c>
      <c r="AB1043" s="1" t="s">
        <v>350</v>
      </c>
      <c r="AC1043" s="5">
        <v>42034</v>
      </c>
      <c r="AF1043" s="1">
        <v>10013</v>
      </c>
      <c r="AJ1043" s="1">
        <v>1900</v>
      </c>
      <c r="AK1043" s="1" t="s">
        <v>55</v>
      </c>
      <c r="AL1043" s="1">
        <v>12</v>
      </c>
    </row>
    <row r="1044" spans="1:38" x14ac:dyDescent="0.2">
      <c r="A1044" s="2" t="str">
        <f>HYPERLINK("https://www.compass.com/listing/7-harrison-street-unit-3n-manhattan-ny-10013/29358785269078881/","7 Harrison St, Unit 3N")</f>
        <v>7 Harrison St, Unit 3N</v>
      </c>
      <c r="B1044" s="2" t="str">
        <f t="shared" si="137"/>
        <v>7 Harrison St</v>
      </c>
      <c r="C1044" s="1" t="s">
        <v>50</v>
      </c>
      <c r="D1044" s="1" t="s">
        <v>41</v>
      </c>
      <c r="E1044" s="3">
        <v>5956763</v>
      </c>
      <c r="F1044" s="1">
        <v>2701.4795918367299</v>
      </c>
      <c r="G1044" s="1">
        <v>6</v>
      </c>
      <c r="H1044" s="1">
        <v>3</v>
      </c>
      <c r="I1044" s="1">
        <v>3</v>
      </c>
      <c r="J1044" s="1">
        <v>3</v>
      </c>
      <c r="M1044" s="4">
        <v>2205</v>
      </c>
      <c r="N1044" s="1">
        <v>3026</v>
      </c>
      <c r="O1044" s="1">
        <v>4867</v>
      </c>
      <c r="P1044" s="1">
        <v>1841</v>
      </c>
      <c r="Q1044" s="1" t="s">
        <v>42</v>
      </c>
      <c r="S1044" s="1" t="s">
        <v>42</v>
      </c>
      <c r="T1044" s="1" t="s">
        <v>273</v>
      </c>
      <c r="V1044" s="5">
        <v>43701</v>
      </c>
      <c r="Y1044" s="1">
        <v>5850000</v>
      </c>
      <c r="Z1044" s="5">
        <v>41768</v>
      </c>
      <c r="AA1044" s="1">
        <v>5956762.5</v>
      </c>
      <c r="AB1044" s="1" t="s">
        <v>351</v>
      </c>
      <c r="AC1044" s="5">
        <v>42024</v>
      </c>
      <c r="AF1044" s="1">
        <v>10013</v>
      </c>
      <c r="AJ1044" s="1">
        <v>1900</v>
      </c>
      <c r="AK1044" s="1" t="s">
        <v>55</v>
      </c>
      <c r="AL1044" s="1">
        <v>12</v>
      </c>
    </row>
    <row r="1045" spans="1:38" x14ac:dyDescent="0.2">
      <c r="A1045" s="2" t="str">
        <f>HYPERLINK("https://www.compass.com/listing/7-harrison-street-unit-ph-manhattan-ny-10013/29358790386129905/","7 Harrison St, Unit PH")</f>
        <v>7 Harrison St, Unit PH</v>
      </c>
      <c r="B1045" s="2" t="str">
        <f t="shared" si="137"/>
        <v>7 Harrison St</v>
      </c>
      <c r="C1045" s="1" t="s">
        <v>50</v>
      </c>
      <c r="D1045" s="1" t="s">
        <v>41</v>
      </c>
      <c r="E1045" s="3">
        <v>18574000</v>
      </c>
      <c r="F1045" s="1">
        <v>4392.0548593047997</v>
      </c>
      <c r="G1045" s="1">
        <v>11</v>
      </c>
      <c r="H1045" s="1">
        <v>4</v>
      </c>
      <c r="I1045" s="1">
        <v>4.5</v>
      </c>
      <c r="J1045" s="1">
        <v>4.5</v>
      </c>
      <c r="M1045" s="4">
        <v>4229</v>
      </c>
      <c r="N1045" s="1">
        <v>6441</v>
      </c>
      <c r="O1045" s="1">
        <v>11149.74</v>
      </c>
      <c r="P1045" s="1">
        <v>4708.75</v>
      </c>
      <c r="Q1045" s="1" t="s">
        <v>42</v>
      </c>
      <c r="S1045" s="1" t="s">
        <v>42</v>
      </c>
      <c r="T1045" s="1" t="s">
        <v>273</v>
      </c>
      <c r="U1045" s="1">
        <v>283</v>
      </c>
      <c r="V1045" s="5">
        <v>43701</v>
      </c>
      <c r="W1045" s="5">
        <v>41961</v>
      </c>
      <c r="X1045" s="1">
        <v>25000000</v>
      </c>
      <c r="Y1045" s="1">
        <v>22500000</v>
      </c>
      <c r="AA1045" s="1">
        <v>18574000</v>
      </c>
      <c r="AB1045" s="1" t="s">
        <v>352</v>
      </c>
      <c r="AC1045" s="5">
        <v>42251</v>
      </c>
      <c r="AF1045" s="1">
        <v>10013</v>
      </c>
      <c r="AI1045" s="1" t="s">
        <v>353</v>
      </c>
      <c r="AJ1045" s="1">
        <v>1900</v>
      </c>
      <c r="AK1045" s="1" t="s">
        <v>55</v>
      </c>
      <c r="AL1045" s="1">
        <v>12</v>
      </c>
    </row>
    <row r="1046" spans="1:38" x14ac:dyDescent="0.2">
      <c r="A1046" s="2" t="str">
        <f>HYPERLINK("https://www.compass.com/listing/7-harrison-street-unit-4n-manhattan-ny-10013/29358786141526753/","7 Harrison St, Unit 4N")</f>
        <v>7 Harrison St, Unit 4N</v>
      </c>
      <c r="B1046" s="2" t="str">
        <f t="shared" si="137"/>
        <v>7 Harrison St</v>
      </c>
      <c r="C1046" s="1" t="s">
        <v>50</v>
      </c>
      <c r="D1046" s="1" t="s">
        <v>41</v>
      </c>
      <c r="E1046" s="3">
        <v>6109500</v>
      </c>
      <c r="F1046" s="1">
        <v>2770.74829931972</v>
      </c>
      <c r="G1046" s="1">
        <v>6</v>
      </c>
      <c r="H1046" s="1">
        <v>3</v>
      </c>
      <c r="I1046" s="1">
        <v>3</v>
      </c>
      <c r="J1046" s="1">
        <v>3</v>
      </c>
      <c r="M1046" s="4">
        <v>2205</v>
      </c>
      <c r="N1046" s="1">
        <v>3026</v>
      </c>
      <c r="O1046" s="1">
        <v>4867</v>
      </c>
      <c r="P1046" s="1">
        <v>1841</v>
      </c>
      <c r="Q1046" s="1" t="s">
        <v>42</v>
      </c>
      <c r="S1046" s="1" t="s">
        <v>42</v>
      </c>
      <c r="T1046" s="1" t="s">
        <v>273</v>
      </c>
      <c r="V1046" s="5">
        <v>43701</v>
      </c>
      <c r="Y1046" s="1">
        <v>6150000</v>
      </c>
      <c r="Z1046" s="5">
        <v>41784</v>
      </c>
      <c r="AA1046" s="1">
        <v>6109500</v>
      </c>
      <c r="AB1046" s="1" t="s">
        <v>354</v>
      </c>
      <c r="AC1046" s="5">
        <v>42013</v>
      </c>
      <c r="AF1046" s="1">
        <v>10013</v>
      </c>
      <c r="AJ1046" s="1">
        <v>1900</v>
      </c>
      <c r="AK1046" s="1" t="s">
        <v>55</v>
      </c>
      <c r="AL1046" s="1">
        <v>12</v>
      </c>
    </row>
    <row r="1047" spans="1:38" x14ac:dyDescent="0.2">
      <c r="A1047" s="2" t="str">
        <f>HYPERLINK("https://www.compass.com/listing/7-harrison-street-unit-6n-manhattan-ny-10013/29358788440005409/","7 Harrison St, Unit 6N")</f>
        <v>7 Harrison St, Unit 6N</v>
      </c>
      <c r="B1047" s="2" t="str">
        <f t="shared" si="137"/>
        <v>7 Harrison St</v>
      </c>
      <c r="C1047" s="1" t="s">
        <v>50</v>
      </c>
      <c r="D1047" s="1" t="s">
        <v>41</v>
      </c>
      <c r="E1047" s="3">
        <v>6669538</v>
      </c>
      <c r="F1047" s="1">
        <v>3024.7335600906999</v>
      </c>
      <c r="G1047" s="1">
        <v>6</v>
      </c>
      <c r="H1047" s="1">
        <v>3</v>
      </c>
      <c r="I1047" s="1">
        <v>3</v>
      </c>
      <c r="J1047" s="1">
        <v>3</v>
      </c>
      <c r="M1047" s="4">
        <v>2205</v>
      </c>
      <c r="N1047" s="1">
        <v>3026</v>
      </c>
      <c r="O1047" s="1">
        <v>4867</v>
      </c>
      <c r="P1047" s="1">
        <v>1841</v>
      </c>
      <c r="Q1047" s="1" t="s">
        <v>42</v>
      </c>
      <c r="S1047" s="1" t="s">
        <v>42</v>
      </c>
      <c r="T1047" s="1" t="s">
        <v>273</v>
      </c>
      <c r="V1047" s="5">
        <v>43701</v>
      </c>
      <c r="Y1047" s="1">
        <v>6550000</v>
      </c>
      <c r="Z1047" s="5">
        <v>41778</v>
      </c>
      <c r="AA1047" s="1">
        <v>6669537.5</v>
      </c>
      <c r="AB1047" s="1" t="s">
        <v>355</v>
      </c>
      <c r="AC1047" s="5">
        <v>42013</v>
      </c>
      <c r="AF1047" s="1">
        <v>10013</v>
      </c>
      <c r="AJ1047" s="1">
        <v>1900</v>
      </c>
      <c r="AK1047" s="1" t="s">
        <v>55</v>
      </c>
      <c r="AL1047" s="1">
        <v>12</v>
      </c>
    </row>
    <row r="1048" spans="1:38" x14ac:dyDescent="0.2">
      <c r="A1048" s="2" t="str">
        <f>HYPERLINK("https://www.compass.com/listing/7-harrison-street-unit-3s-manhattan-ny-10013/29358785713711921/","7 Harrison St, Unit 3S")</f>
        <v>7 Harrison St, Unit 3S</v>
      </c>
      <c r="B1048" s="2" t="str">
        <f t="shared" si="137"/>
        <v>7 Harrison St</v>
      </c>
      <c r="C1048" s="1" t="s">
        <v>50</v>
      </c>
      <c r="D1048" s="1" t="s">
        <v>41</v>
      </c>
      <c r="E1048" s="3">
        <v>4625000</v>
      </c>
      <c r="F1048" s="1">
        <v>2175.4468485418602</v>
      </c>
      <c r="G1048" s="1">
        <v>6</v>
      </c>
      <c r="H1048" s="1">
        <v>3</v>
      </c>
      <c r="I1048" s="1">
        <v>3</v>
      </c>
      <c r="J1048" s="1">
        <v>3</v>
      </c>
      <c r="M1048" s="4">
        <v>2126</v>
      </c>
      <c r="N1048" s="1">
        <v>2918</v>
      </c>
      <c r="O1048" s="1">
        <v>4693</v>
      </c>
      <c r="P1048" s="1">
        <v>1775</v>
      </c>
      <c r="Q1048" s="1" t="s">
        <v>42</v>
      </c>
      <c r="S1048" s="1" t="s">
        <v>42</v>
      </c>
      <c r="T1048" s="1" t="s">
        <v>273</v>
      </c>
      <c r="U1048" s="1">
        <v>93</v>
      </c>
      <c r="V1048" s="5">
        <v>43701</v>
      </c>
      <c r="W1048" s="5">
        <v>41794</v>
      </c>
      <c r="X1048" s="1">
        <v>4500000</v>
      </c>
      <c r="Y1048" s="1">
        <v>4625000</v>
      </c>
      <c r="Z1048" s="5">
        <v>41888</v>
      </c>
      <c r="AA1048" s="1">
        <v>4625000</v>
      </c>
      <c r="AB1048" s="1" t="s">
        <v>356</v>
      </c>
      <c r="AC1048" s="5">
        <v>42019</v>
      </c>
      <c r="AF1048" s="1">
        <v>10013</v>
      </c>
      <c r="AJ1048" s="1">
        <v>1900</v>
      </c>
      <c r="AK1048" s="1" t="s">
        <v>55</v>
      </c>
      <c r="AL1048" s="1">
        <v>12</v>
      </c>
    </row>
    <row r="1049" spans="1:38" x14ac:dyDescent="0.2">
      <c r="A1049" s="2" t="str">
        <f>HYPERLINK("https://www.compass.com/listing/7-harrison-street-unit-6s-manhattan-ny-10013/29358789572471681/","7 Harrison St, Unit 6S")</f>
        <v>7 Harrison St, Unit 6S</v>
      </c>
      <c r="B1049" s="2" t="str">
        <f t="shared" si="137"/>
        <v>7 Harrison St</v>
      </c>
      <c r="C1049" s="1" t="s">
        <v>50</v>
      </c>
      <c r="D1049" s="1" t="s">
        <v>41</v>
      </c>
      <c r="E1049" s="3">
        <v>6500000</v>
      </c>
      <c r="F1049" s="1">
        <v>3057.38476011288</v>
      </c>
      <c r="G1049" s="1">
        <v>6</v>
      </c>
      <c r="H1049" s="1">
        <v>3</v>
      </c>
      <c r="J1049" s="1">
        <v>3</v>
      </c>
      <c r="M1049" s="4">
        <v>2126</v>
      </c>
      <c r="N1049" s="1">
        <v>3211</v>
      </c>
      <c r="O1049" s="1">
        <v>5338</v>
      </c>
      <c r="P1049" s="1">
        <v>2127</v>
      </c>
      <c r="Q1049" s="1" t="s">
        <v>42</v>
      </c>
      <c r="S1049" s="1" t="s">
        <v>42</v>
      </c>
      <c r="T1049" s="1" t="s">
        <v>273</v>
      </c>
      <c r="U1049" s="1">
        <v>26</v>
      </c>
      <c r="V1049" s="5">
        <v>42697</v>
      </c>
      <c r="W1049" s="5">
        <v>42630</v>
      </c>
      <c r="X1049" s="1">
        <v>6895000</v>
      </c>
      <c r="Y1049" s="1">
        <v>6895000</v>
      </c>
      <c r="Z1049" s="5">
        <v>42657</v>
      </c>
      <c r="AA1049" s="1">
        <v>6500000</v>
      </c>
      <c r="AB1049" s="1" t="s">
        <v>357</v>
      </c>
      <c r="AC1049" s="5">
        <v>42692</v>
      </c>
      <c r="AF1049" s="1">
        <v>10013</v>
      </c>
      <c r="AJ1049" s="1">
        <v>1900</v>
      </c>
      <c r="AK1049" s="1" t="s">
        <v>55</v>
      </c>
      <c r="AL1049" s="1">
        <v>12</v>
      </c>
    </row>
    <row r="1050" spans="1:38" x14ac:dyDescent="0.2">
      <c r="A1050" s="2" t="str">
        <f>HYPERLINK("https://www.compass.com/listing/403-greenwich-street-unit-pha-manhattan-ny-10013/215885662568657729/","403 Greenwich St, Unit PHA")</f>
        <v>403 Greenwich St, Unit PHA</v>
      </c>
      <c r="B1050" s="2" t="str">
        <f>HYPERLINK("https://www.compass.com/building/403-greenwich-st-manhattan-ny-10013/281919631906604869/","403 Greenwich St")</f>
        <v>403 Greenwich St</v>
      </c>
      <c r="C1050" s="1" t="s">
        <v>50</v>
      </c>
      <c r="D1050" s="1" t="s">
        <v>41</v>
      </c>
      <c r="E1050" s="3">
        <v>8250000</v>
      </c>
      <c r="F1050" s="1">
        <v>1975.57471264367</v>
      </c>
      <c r="G1050" s="1">
        <v>12</v>
      </c>
      <c r="H1050" s="1">
        <v>5</v>
      </c>
      <c r="I1050" s="1">
        <v>7</v>
      </c>
      <c r="J1050" s="1">
        <v>6.5</v>
      </c>
      <c r="K1050" s="1">
        <v>6</v>
      </c>
      <c r="L1050" s="1">
        <v>1</v>
      </c>
      <c r="M1050" s="4">
        <v>4176</v>
      </c>
      <c r="N1050" s="1">
        <v>3123</v>
      </c>
      <c r="O1050" s="1">
        <v>9691</v>
      </c>
      <c r="P1050" s="1">
        <v>6568</v>
      </c>
      <c r="S1050" s="1" t="s">
        <v>42</v>
      </c>
      <c r="T1050" s="1" t="s">
        <v>273</v>
      </c>
      <c r="U1050" s="1">
        <v>335</v>
      </c>
      <c r="V1050" s="5">
        <v>44015</v>
      </c>
      <c r="W1050" s="5">
        <v>43550</v>
      </c>
      <c r="X1050" s="1">
        <v>9975000</v>
      </c>
      <c r="Y1050" s="1">
        <v>8250000</v>
      </c>
      <c r="Z1050" s="5">
        <v>43901</v>
      </c>
      <c r="AA1050" s="1">
        <v>8250000</v>
      </c>
      <c r="AB1050" s="1" t="s">
        <v>275</v>
      </c>
      <c r="AC1050" s="5">
        <v>44015</v>
      </c>
      <c r="AF1050" s="1">
        <v>10013</v>
      </c>
      <c r="AI1050" s="1" t="s">
        <v>177</v>
      </c>
      <c r="AJ1050" s="1">
        <v>2017</v>
      </c>
      <c r="AK1050" s="1" t="s">
        <v>75</v>
      </c>
      <c r="AL1050" s="1">
        <v>4</v>
      </c>
    </row>
    <row r="1051" spans="1:38" x14ac:dyDescent="0.2">
      <c r="A1051" s="2" t="str">
        <f>HYPERLINK("https://www.compass.com/listing/391-broadway-unit-ph-manhattan-ny-10013/338212805723464049/","391 Broadway, Unit PH")</f>
        <v>391 Broadway, Unit PH</v>
      </c>
      <c r="B1051" s="2" t="str">
        <f>HYPERLINK("https://www.compass.com/building/391-broadway-manhattan-ny-10013/281919434489105749/","391 Broadway")</f>
        <v>391 Broadway</v>
      </c>
      <c r="C1051" s="1" t="s">
        <v>50</v>
      </c>
      <c r="D1051" s="1" t="s">
        <v>41</v>
      </c>
      <c r="E1051" s="3">
        <v>4700000</v>
      </c>
      <c r="F1051" s="1">
        <v>1795.2635599694399</v>
      </c>
      <c r="G1051" s="1">
        <v>5</v>
      </c>
      <c r="H1051" s="1">
        <v>3</v>
      </c>
      <c r="I1051" s="1">
        <v>4</v>
      </c>
      <c r="J1051" s="1">
        <v>3.5</v>
      </c>
      <c r="K1051" s="1">
        <v>3</v>
      </c>
      <c r="L1051" s="1">
        <v>1</v>
      </c>
      <c r="M1051" s="4">
        <v>2618</v>
      </c>
      <c r="N1051" s="1">
        <v>2221</v>
      </c>
      <c r="O1051" s="1">
        <v>6225</v>
      </c>
      <c r="P1051" s="1">
        <v>4004</v>
      </c>
      <c r="Q1051" s="1" t="s">
        <v>42</v>
      </c>
      <c r="S1051" s="1" t="s">
        <v>42</v>
      </c>
      <c r="T1051" s="1" t="s">
        <v>273</v>
      </c>
      <c r="U1051" s="1">
        <v>59</v>
      </c>
      <c r="V1051" s="5">
        <v>43781</v>
      </c>
      <c r="W1051" s="5">
        <v>43718</v>
      </c>
      <c r="X1051" s="1">
        <v>4995000</v>
      </c>
      <c r="Y1051" s="1">
        <v>4995000</v>
      </c>
      <c r="Z1051" s="5">
        <v>43778</v>
      </c>
      <c r="AA1051" s="1">
        <v>4700000</v>
      </c>
      <c r="AB1051" s="1" t="s">
        <v>358</v>
      </c>
      <c r="AC1051" s="5">
        <v>43864</v>
      </c>
      <c r="AF1051" s="1">
        <v>10013</v>
      </c>
      <c r="AI1051" s="1" t="s">
        <v>177</v>
      </c>
      <c r="AJ1051" s="1">
        <v>1915</v>
      </c>
      <c r="AL1051" s="1">
        <v>4</v>
      </c>
    </row>
    <row r="1052" spans="1:38" x14ac:dyDescent="0.2">
      <c r="A1052" s="2" t="str">
        <f>HYPERLINK("https://www.compass.com/listing/570-broome-street-unit-19b-manhattan-ny-10013/801433460483949049/","570 Broome St, Unit 19B")</f>
        <v>570 Broome St, Unit 19B</v>
      </c>
      <c r="B1052" s="2" t="str">
        <f>HYPERLINK("https://www.compass.com/building/570-broome-manhattan-ny/292818583757562981/","570 Broome")</f>
        <v>570 Broome</v>
      </c>
      <c r="C1052" s="1" t="s">
        <v>53</v>
      </c>
      <c r="D1052" s="1" t="s">
        <v>41</v>
      </c>
      <c r="E1052" s="3">
        <v>3070000</v>
      </c>
      <c r="F1052" s="1">
        <v>2595.0972104818202</v>
      </c>
      <c r="G1052" s="1">
        <v>4</v>
      </c>
      <c r="H1052" s="1">
        <v>2</v>
      </c>
      <c r="I1052" s="1">
        <v>3</v>
      </c>
      <c r="J1052" s="1">
        <v>2.5</v>
      </c>
      <c r="K1052" s="1">
        <v>2</v>
      </c>
      <c r="L1052" s="1">
        <v>1</v>
      </c>
      <c r="M1052" s="4">
        <v>1183</v>
      </c>
      <c r="N1052" s="1">
        <v>1379</v>
      </c>
      <c r="O1052" s="1">
        <v>3750</v>
      </c>
      <c r="P1052" s="1">
        <v>2371</v>
      </c>
      <c r="S1052" s="1" t="s">
        <v>42</v>
      </c>
      <c r="T1052" s="1" t="s">
        <v>273</v>
      </c>
      <c r="V1052" s="5">
        <v>44426</v>
      </c>
      <c r="W1052" s="5">
        <v>44358</v>
      </c>
      <c r="X1052" s="1">
        <v>3070000</v>
      </c>
      <c r="Y1052" s="1">
        <v>3070000</v>
      </c>
      <c r="Z1052" s="5">
        <v>44358</v>
      </c>
      <c r="AA1052" s="1">
        <v>3070000</v>
      </c>
      <c r="AB1052" s="1" t="s">
        <v>275</v>
      </c>
      <c r="AC1052" s="5">
        <v>44426</v>
      </c>
      <c r="AF1052" s="1">
        <v>10013</v>
      </c>
      <c r="AI1052" s="1" t="s">
        <v>54</v>
      </c>
      <c r="AJ1052" s="1">
        <v>2019</v>
      </c>
      <c r="AK1052" s="1" t="s">
        <v>55</v>
      </c>
      <c r="AL1052" s="1">
        <v>54</v>
      </c>
    </row>
    <row r="1053" spans="1:38" x14ac:dyDescent="0.2">
      <c r="A1053" s="2" t="str">
        <f>HYPERLINK("https://www.compass.com/listing/49-chambers-street-unit-11f-manhattan-ny-10007/515809984767548793/","49 Chambers St, Unit 11F")</f>
        <v>49 Chambers St, Unit 11F</v>
      </c>
      <c r="B1053" s="2" t="str">
        <f>HYPERLINK("https://www.compass.com/building/49-chambers-manhattan-ny/282058733280852725/","49 Chambers")</f>
        <v>49 Chambers</v>
      </c>
      <c r="C1053" s="1" t="s">
        <v>113</v>
      </c>
      <c r="D1053" s="1" t="s">
        <v>41</v>
      </c>
      <c r="E1053" s="3">
        <v>1300000</v>
      </c>
      <c r="F1053" s="1">
        <v>1342.97520661157</v>
      </c>
      <c r="G1053" s="1">
        <v>3.5</v>
      </c>
      <c r="H1053" s="1">
        <v>1</v>
      </c>
      <c r="I1053" s="1">
        <v>2</v>
      </c>
      <c r="J1053" s="1">
        <v>1.5</v>
      </c>
      <c r="K1053" s="1">
        <v>1</v>
      </c>
      <c r="L1053" s="1">
        <v>1</v>
      </c>
      <c r="M1053" s="1">
        <v>968</v>
      </c>
      <c r="N1053" s="1">
        <v>820</v>
      </c>
      <c r="O1053" s="1">
        <v>2047.11</v>
      </c>
      <c r="P1053" s="1">
        <v>1227.0833333333301</v>
      </c>
      <c r="Q1053" s="1" t="s">
        <v>42</v>
      </c>
      <c r="S1053" s="1" t="s">
        <v>42</v>
      </c>
      <c r="T1053" s="1" t="s">
        <v>273</v>
      </c>
      <c r="U1053" s="1">
        <v>134</v>
      </c>
      <c r="V1053" s="5">
        <v>44210</v>
      </c>
      <c r="W1053" s="5">
        <v>44011</v>
      </c>
      <c r="X1053" s="1">
        <v>1650000</v>
      </c>
      <c r="Y1053" s="1">
        <v>1425000</v>
      </c>
      <c r="Z1053" s="5">
        <v>44152</v>
      </c>
      <c r="AA1053" s="1">
        <v>1300000</v>
      </c>
      <c r="AB1053" s="1" t="s">
        <v>359</v>
      </c>
      <c r="AC1053" s="5">
        <v>44203</v>
      </c>
      <c r="AF1053" s="1">
        <v>10007</v>
      </c>
      <c r="AI1053" s="1" t="s">
        <v>78</v>
      </c>
      <c r="AJ1053" s="1">
        <v>1910</v>
      </c>
      <c r="AK1053" s="1" t="s">
        <v>49</v>
      </c>
      <c r="AL1053" s="1">
        <v>99</v>
      </c>
    </row>
    <row r="1054" spans="1:38" x14ac:dyDescent="0.2">
      <c r="A1054" s="2" t="str">
        <f>HYPERLINK("https://www.compass.com/listing/152-elizabeth-street-unit-3e-manhattan-ny-10013/29362552735560113/","152 Elizabeth St, Unit 3E")</f>
        <v>152 Elizabeth St, Unit 3E</v>
      </c>
      <c r="B1054" s="2" t="str">
        <f>HYPERLINK("https://www.compass.com/building/152-elizabeth-st-manhattan-ny-10013/455668986164976365/","152 Elizabeth St")</f>
        <v>152 Elizabeth St</v>
      </c>
      <c r="C1054" s="1" t="s">
        <v>79</v>
      </c>
      <c r="D1054" s="1" t="s">
        <v>41</v>
      </c>
      <c r="E1054" s="3">
        <v>5500000</v>
      </c>
      <c r="F1054" s="1">
        <v>2794.71544715447</v>
      </c>
      <c r="G1054" s="1">
        <v>3</v>
      </c>
      <c r="H1054" s="1">
        <v>2</v>
      </c>
      <c r="J1054" s="1">
        <v>2.5</v>
      </c>
      <c r="M1054" s="4">
        <v>1968</v>
      </c>
      <c r="N1054" s="1">
        <v>3493.41</v>
      </c>
      <c r="O1054" s="1">
        <v>6013.1299999999901</v>
      </c>
      <c r="P1054" s="1">
        <v>2519.75</v>
      </c>
      <c r="Q1054" s="1" t="s">
        <v>42</v>
      </c>
      <c r="S1054" s="1" t="s">
        <v>42</v>
      </c>
      <c r="T1054" s="1" t="s">
        <v>273</v>
      </c>
      <c r="U1054" s="1">
        <v>12</v>
      </c>
      <c r="V1054" s="5">
        <v>43235</v>
      </c>
      <c r="W1054" s="5">
        <v>42819</v>
      </c>
      <c r="X1054" s="1">
        <v>61000000</v>
      </c>
      <c r="Y1054" s="1">
        <v>6100000</v>
      </c>
      <c r="Z1054" s="5">
        <v>42832</v>
      </c>
      <c r="AA1054" s="1">
        <v>5500000</v>
      </c>
      <c r="AB1054" s="1" t="s">
        <v>360</v>
      </c>
      <c r="AC1054" s="5">
        <v>43194</v>
      </c>
      <c r="AF1054" s="1">
        <v>10013</v>
      </c>
      <c r="AK1054" s="1" t="s">
        <v>46</v>
      </c>
      <c r="AL1054" s="1">
        <v>7</v>
      </c>
    </row>
    <row r="1055" spans="1:38" x14ac:dyDescent="0.2">
      <c r="A1055" s="2" t="str">
        <f>HYPERLINK("https://www.compass.com/listing/261-west-25th-street-unit-2e-manhattan-ny-10001/379720389525127089/","261 W 25th St, Unit 2E")</f>
        <v>261 W 25th St, Unit 2E</v>
      </c>
      <c r="B1055" s="2" t="str">
        <f t="shared" ref="B1055:B1056" si="138">HYPERLINK("https://www.compass.com/building/the-seymour-manhattan-ny/281883155990840165/","The Seymour")</f>
        <v>The Seymour</v>
      </c>
      <c r="C1055" s="1" t="s">
        <v>62</v>
      </c>
      <c r="D1055" s="1" t="s">
        <v>41</v>
      </c>
      <c r="E1055" s="3">
        <v>1220000</v>
      </c>
      <c r="F1055" s="1">
        <v>1558.1098339718999</v>
      </c>
      <c r="G1055" s="1">
        <v>3</v>
      </c>
      <c r="H1055" s="1">
        <v>1</v>
      </c>
      <c r="I1055" s="1">
        <v>1</v>
      </c>
      <c r="J1055" s="1">
        <v>1</v>
      </c>
      <c r="K1055" s="1">
        <v>1</v>
      </c>
      <c r="M1055" s="1">
        <v>783</v>
      </c>
      <c r="N1055" s="1">
        <v>938.47</v>
      </c>
      <c r="O1055" s="1">
        <v>2181.79</v>
      </c>
      <c r="P1055" s="1">
        <v>1243.3333333333301</v>
      </c>
      <c r="Q1055" s="1" t="s">
        <v>42</v>
      </c>
      <c r="S1055" s="1" t="s">
        <v>42</v>
      </c>
      <c r="T1055" s="1" t="s">
        <v>273</v>
      </c>
      <c r="U1055" s="1">
        <v>43</v>
      </c>
      <c r="V1055" s="5">
        <v>43943</v>
      </c>
      <c r="W1055" s="5">
        <v>43808</v>
      </c>
      <c r="X1055" s="1">
        <v>1299000</v>
      </c>
      <c r="Y1055" s="1">
        <v>1299000</v>
      </c>
      <c r="Z1055" s="5">
        <v>43852</v>
      </c>
      <c r="AA1055" s="1">
        <v>1220000</v>
      </c>
      <c r="AB1055" s="1" t="s">
        <v>361</v>
      </c>
      <c r="AC1055" s="5">
        <v>43941</v>
      </c>
      <c r="AF1055" s="1">
        <v>10001</v>
      </c>
      <c r="AI1055" s="1" t="s">
        <v>163</v>
      </c>
      <c r="AJ1055" s="1">
        <v>2015</v>
      </c>
      <c r="AK1055" s="1" t="s">
        <v>49</v>
      </c>
      <c r="AL1055" s="1">
        <v>49</v>
      </c>
    </row>
    <row r="1056" spans="1:38" x14ac:dyDescent="0.2">
      <c r="A1056" s="2" t="str">
        <f>HYPERLINK("https://www.compass.com/listing/261-west-25th-street-unit-10a-manhattan-ny-10001/29372533727944961/","261 W 25th St, Unit 10A")</f>
        <v>261 W 25th St, Unit 10A</v>
      </c>
      <c r="B1056" s="2" t="str">
        <f t="shared" si="138"/>
        <v>The Seymour</v>
      </c>
      <c r="C1056" s="1" t="s">
        <v>62</v>
      </c>
      <c r="D1056" s="1" t="s">
        <v>41</v>
      </c>
      <c r="E1056" s="3">
        <v>1600000</v>
      </c>
      <c r="F1056" s="1">
        <v>1975.3086419752999</v>
      </c>
      <c r="G1056" s="1">
        <v>3</v>
      </c>
      <c r="H1056" s="1">
        <v>1</v>
      </c>
      <c r="J1056" s="1">
        <v>1</v>
      </c>
      <c r="M1056" s="1">
        <v>810</v>
      </c>
      <c r="N1056" s="1">
        <v>916</v>
      </c>
      <c r="O1056" s="1">
        <v>2677</v>
      </c>
      <c r="P1056" s="1">
        <v>1761</v>
      </c>
      <c r="Q1056" s="1" t="s">
        <v>42</v>
      </c>
      <c r="S1056" s="1" t="s">
        <v>42</v>
      </c>
      <c r="T1056" s="1" t="s">
        <v>273</v>
      </c>
      <c r="U1056" s="1">
        <v>72</v>
      </c>
      <c r="V1056" s="5">
        <v>42964</v>
      </c>
      <c r="W1056" s="5">
        <v>42822</v>
      </c>
      <c r="X1056" s="1">
        <v>1850000</v>
      </c>
      <c r="Y1056" s="1">
        <v>1650000</v>
      </c>
      <c r="Z1056" s="5">
        <v>42894</v>
      </c>
      <c r="AA1056" s="1">
        <v>1600000</v>
      </c>
      <c r="AB1056" s="1" t="s">
        <v>362</v>
      </c>
      <c r="AC1056" s="5">
        <v>42957</v>
      </c>
      <c r="AF1056" s="1">
        <v>10001</v>
      </c>
      <c r="AI1056" s="1" t="s">
        <v>163</v>
      </c>
      <c r="AJ1056" s="1">
        <v>2015</v>
      </c>
      <c r="AK1056" s="1" t="s">
        <v>49</v>
      </c>
      <c r="AL1056" s="1">
        <v>49</v>
      </c>
    </row>
    <row r="1057" spans="1:38" x14ac:dyDescent="0.2">
      <c r="A1057" s="2" t="str">
        <f>HYPERLINK("https://www.compass.com/listing/152-elizabeth-street-unit-2w-manhattan-ny-10013/29514234874325585/","152 Elizabeth St, Unit 2W")</f>
        <v>152 Elizabeth St, Unit 2W</v>
      </c>
      <c r="B1057" s="2" t="str">
        <f t="shared" ref="B1057:B1060" si="139">HYPERLINK("https://www.compass.com/building/152-elizabeth-st-manhattan-ny-10013/455668986164976365/","152 Elizabeth St")</f>
        <v>152 Elizabeth St</v>
      </c>
      <c r="C1057" s="1" t="s">
        <v>79</v>
      </c>
      <c r="D1057" s="1" t="s">
        <v>41</v>
      </c>
      <c r="E1057" s="3">
        <v>5956088</v>
      </c>
      <c r="F1057" s="1">
        <v>3041.9241573033701</v>
      </c>
      <c r="G1057" s="1">
        <v>4</v>
      </c>
      <c r="H1057" s="1">
        <v>3</v>
      </c>
      <c r="J1057" s="1">
        <v>3</v>
      </c>
      <c r="M1057" s="4">
        <v>1958</v>
      </c>
      <c r="N1057" s="1">
        <v>3654.81</v>
      </c>
      <c r="O1057" s="1">
        <v>4944.99</v>
      </c>
      <c r="P1057" s="1">
        <v>1290.1666666666599</v>
      </c>
      <c r="Q1057" s="1" t="s">
        <v>42</v>
      </c>
      <c r="S1057" s="1" t="s">
        <v>42</v>
      </c>
      <c r="T1057" s="1" t="s">
        <v>273</v>
      </c>
      <c r="U1057" s="1">
        <v>454</v>
      </c>
      <c r="V1057" s="5">
        <v>43364</v>
      </c>
      <c r="W1057" s="5">
        <v>42866</v>
      </c>
      <c r="X1057" s="1">
        <v>5950000</v>
      </c>
      <c r="Y1057" s="1">
        <v>6500000</v>
      </c>
      <c r="Z1057" s="5">
        <v>43321</v>
      </c>
      <c r="AA1057" s="1">
        <v>5956087.5</v>
      </c>
      <c r="AB1057" s="1" t="s">
        <v>363</v>
      </c>
      <c r="AC1057" s="5">
        <v>43342</v>
      </c>
      <c r="AF1057" s="1">
        <v>10013</v>
      </c>
      <c r="AK1057" s="1" t="s">
        <v>46</v>
      </c>
      <c r="AL1057" s="1">
        <v>7</v>
      </c>
    </row>
    <row r="1058" spans="1:38" x14ac:dyDescent="0.2">
      <c r="A1058" s="2" t="str">
        <f>HYPERLINK("https://www.compass.com/listing/152-elizabeth-street-unit-5-manhattan-ny-10013/29362553725462273/","152 Elizabeth St, Unit 5")</f>
        <v>152 Elizabeth St, Unit 5</v>
      </c>
      <c r="B1058" s="2" t="str">
        <f t="shared" si="139"/>
        <v>152 Elizabeth St</v>
      </c>
      <c r="C1058" s="1" t="s">
        <v>79</v>
      </c>
      <c r="D1058" s="1" t="s">
        <v>41</v>
      </c>
      <c r="E1058" s="3">
        <v>14652653</v>
      </c>
      <c r="F1058" s="1">
        <v>3591.3365196078398</v>
      </c>
      <c r="G1058" s="1">
        <v>5</v>
      </c>
      <c r="H1058" s="1">
        <v>4</v>
      </c>
      <c r="J1058" s="1">
        <v>4.5</v>
      </c>
      <c r="M1058" s="4">
        <v>4080</v>
      </c>
      <c r="N1058" s="1">
        <v>7072.65</v>
      </c>
      <c r="O1058" s="1">
        <v>12173.99</v>
      </c>
      <c r="P1058" s="1">
        <v>5101.3333333333303</v>
      </c>
      <c r="Q1058" s="1" t="s">
        <v>42</v>
      </c>
      <c r="S1058" s="1" t="s">
        <v>42</v>
      </c>
      <c r="T1058" s="1" t="s">
        <v>273</v>
      </c>
      <c r="U1058" s="1">
        <v>4</v>
      </c>
      <c r="V1058" s="5">
        <v>43217</v>
      </c>
      <c r="W1058" s="5">
        <v>42369</v>
      </c>
      <c r="X1058" s="1">
        <v>15200000</v>
      </c>
      <c r="Y1058" s="1">
        <v>15200000</v>
      </c>
      <c r="Z1058" s="5">
        <v>42373</v>
      </c>
      <c r="AA1058" s="1">
        <v>14652653</v>
      </c>
      <c r="AB1058" s="1" t="s">
        <v>364</v>
      </c>
      <c r="AC1058" s="5">
        <v>43182</v>
      </c>
      <c r="AF1058" s="1">
        <v>10013</v>
      </c>
      <c r="AK1058" s="1" t="s">
        <v>46</v>
      </c>
      <c r="AL1058" s="1">
        <v>7</v>
      </c>
    </row>
    <row r="1059" spans="1:38" x14ac:dyDescent="0.2">
      <c r="A1059" s="2" t="str">
        <f>HYPERLINK("https://www.compass.com/listing/152-elizabeth-street-unit-4-manhattan-ny-10013/29514234178109777/","152 Elizabeth St, Unit 4")</f>
        <v>152 Elizabeth St, Unit 4</v>
      </c>
      <c r="B1059" s="2" t="str">
        <f t="shared" si="139"/>
        <v>152 Elizabeth St</v>
      </c>
      <c r="C1059" s="1" t="s">
        <v>79</v>
      </c>
      <c r="D1059" s="1" t="s">
        <v>41</v>
      </c>
      <c r="E1059" s="3">
        <v>11230500</v>
      </c>
      <c r="F1059" s="1">
        <v>2700.9379509379501</v>
      </c>
      <c r="G1059" s="1">
        <v>5</v>
      </c>
      <c r="H1059" s="1">
        <v>4</v>
      </c>
      <c r="I1059" s="1">
        <v>5</v>
      </c>
      <c r="J1059" s="1">
        <v>4.5</v>
      </c>
      <c r="K1059" s="1">
        <v>4</v>
      </c>
      <c r="L1059" s="1">
        <v>1</v>
      </c>
      <c r="M1059" s="4">
        <v>4158</v>
      </c>
      <c r="N1059" s="1">
        <v>7713.45</v>
      </c>
      <c r="O1059" s="1">
        <v>11742.45</v>
      </c>
      <c r="P1059" s="1">
        <v>4029</v>
      </c>
      <c r="Q1059" s="1" t="s">
        <v>42</v>
      </c>
      <c r="S1059" s="1" t="s">
        <v>42</v>
      </c>
      <c r="T1059" s="1" t="s">
        <v>273</v>
      </c>
      <c r="U1059" s="1">
        <v>1652</v>
      </c>
      <c r="V1059" s="5">
        <v>43841</v>
      </c>
      <c r="W1059" s="5">
        <v>42160</v>
      </c>
      <c r="X1059" s="1">
        <v>14800000</v>
      </c>
      <c r="Y1059" s="1">
        <v>15000000</v>
      </c>
      <c r="Z1059" s="5">
        <v>43813</v>
      </c>
      <c r="AA1059" s="1">
        <v>11230500</v>
      </c>
      <c r="AB1059" s="1" t="s">
        <v>365</v>
      </c>
      <c r="AC1059" s="5">
        <v>43818</v>
      </c>
      <c r="AF1059" s="1">
        <v>10013</v>
      </c>
      <c r="AK1059" s="1" t="s">
        <v>46</v>
      </c>
      <c r="AL1059" s="1">
        <v>7</v>
      </c>
    </row>
    <row r="1060" spans="1:38" x14ac:dyDescent="0.2">
      <c r="A1060" s="2" t="str">
        <f>HYPERLINK("https://www.compass.com/listing/152-elizabeth-street-unit-ph-manhattan-ny-10013/29514235763556753/","152 Elizabeth St, Unit PH")</f>
        <v>152 Elizabeth St, Unit PH</v>
      </c>
      <c r="B1060" s="2" t="str">
        <f t="shared" si="139"/>
        <v>152 Elizabeth St</v>
      </c>
      <c r="C1060" s="1" t="s">
        <v>79</v>
      </c>
      <c r="D1060" s="1" t="s">
        <v>41</v>
      </c>
      <c r="E1060" s="3">
        <v>29950000</v>
      </c>
      <c r="F1060" s="1">
        <v>5345.3507049794698</v>
      </c>
      <c r="G1060" s="1">
        <v>10</v>
      </c>
      <c r="H1060" s="1">
        <v>4</v>
      </c>
      <c r="J1060" s="1">
        <v>4.5</v>
      </c>
      <c r="M1060" s="4">
        <v>5603</v>
      </c>
      <c r="N1060" s="1">
        <v>12175.94</v>
      </c>
      <c r="O1060" s="1">
        <v>16474.18</v>
      </c>
      <c r="P1060" s="1">
        <v>4298.25</v>
      </c>
      <c r="Q1060" s="1" t="s">
        <v>42</v>
      </c>
      <c r="S1060" s="1" t="s">
        <v>42</v>
      </c>
      <c r="T1060" s="1" t="s">
        <v>273</v>
      </c>
      <c r="V1060" s="5">
        <v>43305</v>
      </c>
      <c r="W1060" s="5">
        <v>43164</v>
      </c>
      <c r="X1060" s="1">
        <v>35000000</v>
      </c>
      <c r="Y1060" s="1">
        <v>35000000</v>
      </c>
      <c r="Z1060" s="5">
        <v>43165</v>
      </c>
      <c r="AA1060" s="1">
        <v>29950000</v>
      </c>
      <c r="AB1060" s="1" t="s">
        <v>366</v>
      </c>
      <c r="AC1060" s="5">
        <v>43293</v>
      </c>
      <c r="AF1060" s="1">
        <v>10013</v>
      </c>
      <c r="AI1060" s="1" t="s">
        <v>367</v>
      </c>
      <c r="AK1060" s="1" t="s">
        <v>46</v>
      </c>
      <c r="AL1060" s="1">
        <v>7</v>
      </c>
    </row>
    <row r="1061" spans="1:38" x14ac:dyDescent="0.2">
      <c r="A1061" s="2" t="str">
        <f>HYPERLINK("https://www.compass.com/listing/570-broome-street-unit-23b-manhattan-ny-10013/756526612501723857/","570 Broome St, Unit 23B")</f>
        <v>570 Broome St, Unit 23B</v>
      </c>
      <c r="B1061" s="2" t="str">
        <f t="shared" ref="B1061:B1069" si="140">HYPERLINK("https://www.compass.com/building/570-broome-manhattan-ny/292818583757562981/","570 Broome")</f>
        <v>570 Broome</v>
      </c>
      <c r="C1061" s="1" t="s">
        <v>53</v>
      </c>
      <c r="D1061" s="1" t="s">
        <v>41</v>
      </c>
      <c r="E1061" s="3">
        <v>2830000</v>
      </c>
      <c r="F1061" s="1">
        <v>2392.2231614539301</v>
      </c>
      <c r="G1061" s="1">
        <v>4</v>
      </c>
      <c r="H1061" s="1">
        <v>2</v>
      </c>
      <c r="I1061" s="1">
        <v>3</v>
      </c>
      <c r="J1061" s="1">
        <v>2.5</v>
      </c>
      <c r="K1061" s="1">
        <v>2</v>
      </c>
      <c r="L1061" s="1">
        <v>1</v>
      </c>
      <c r="M1061" s="4">
        <v>1183</v>
      </c>
      <c r="N1061" s="1">
        <v>1379</v>
      </c>
      <c r="O1061" s="1">
        <v>3750</v>
      </c>
      <c r="P1061" s="1">
        <v>2371</v>
      </c>
      <c r="Q1061" s="1" t="s">
        <v>42</v>
      </c>
      <c r="S1061" s="1" t="s">
        <v>42</v>
      </c>
      <c r="T1061" s="1" t="s">
        <v>273</v>
      </c>
      <c r="U1061" s="1">
        <v>2</v>
      </c>
      <c r="V1061" s="5">
        <v>44350</v>
      </c>
      <c r="W1061" s="5">
        <v>44296</v>
      </c>
      <c r="X1061" s="1">
        <v>3230000</v>
      </c>
      <c r="Y1061" s="1">
        <v>3230000</v>
      </c>
      <c r="Z1061" s="5">
        <v>44298</v>
      </c>
      <c r="AA1061" s="1">
        <v>2830000</v>
      </c>
      <c r="AB1061" s="1" t="s">
        <v>368</v>
      </c>
      <c r="AC1061" s="5">
        <v>44349</v>
      </c>
      <c r="AF1061" s="1">
        <v>10013</v>
      </c>
      <c r="AI1061" s="1" t="s">
        <v>54</v>
      </c>
      <c r="AJ1061" s="1">
        <v>2019</v>
      </c>
      <c r="AK1061" s="1" t="s">
        <v>55</v>
      </c>
      <c r="AL1061" s="1">
        <v>54</v>
      </c>
    </row>
    <row r="1062" spans="1:38" x14ac:dyDescent="0.2">
      <c r="A1062" s="2" t="str">
        <f>HYPERLINK("https://www.compass.com/listing/570-broome-street-unit-18b-manhattan-ny-10013/523183497824378545/","570 Broome St, Unit 18B")</f>
        <v>570 Broome St, Unit 18B</v>
      </c>
      <c r="B1062" s="2" t="str">
        <f t="shared" si="140"/>
        <v>570 Broome</v>
      </c>
      <c r="C1062" s="1" t="s">
        <v>53</v>
      </c>
      <c r="D1062" s="1" t="s">
        <v>41</v>
      </c>
      <c r="E1062" s="3">
        <v>2685000</v>
      </c>
      <c r="F1062" s="1">
        <v>2269.6534234995702</v>
      </c>
      <c r="G1062" s="1">
        <v>4</v>
      </c>
      <c r="H1062" s="1">
        <v>2</v>
      </c>
      <c r="I1062" s="1">
        <v>3</v>
      </c>
      <c r="J1062" s="1">
        <v>2.5</v>
      </c>
      <c r="K1062" s="1">
        <v>2</v>
      </c>
      <c r="L1062" s="1">
        <v>1</v>
      </c>
      <c r="M1062" s="4">
        <v>1183</v>
      </c>
      <c r="N1062" s="1">
        <v>1260</v>
      </c>
      <c r="O1062" s="1">
        <v>3631</v>
      </c>
      <c r="P1062" s="1">
        <v>2371</v>
      </c>
      <c r="Q1062" s="1" t="s">
        <v>42</v>
      </c>
      <c r="S1062" s="1" t="s">
        <v>42</v>
      </c>
      <c r="T1062" s="1" t="s">
        <v>273</v>
      </c>
      <c r="V1062" s="5">
        <v>44041</v>
      </c>
      <c r="W1062" s="5">
        <v>43974</v>
      </c>
      <c r="X1062" s="1">
        <v>3030000</v>
      </c>
      <c r="Y1062" s="1">
        <v>3030000</v>
      </c>
      <c r="Z1062" s="5">
        <v>43978</v>
      </c>
      <c r="AA1062" s="1">
        <v>2685000</v>
      </c>
      <c r="AB1062" s="1" t="s">
        <v>369</v>
      </c>
      <c r="AC1062" s="5">
        <v>44040</v>
      </c>
      <c r="AF1062" s="1">
        <v>10013</v>
      </c>
      <c r="AI1062" s="1" t="s">
        <v>80</v>
      </c>
      <c r="AJ1062" s="1">
        <v>2019</v>
      </c>
      <c r="AK1062" s="1" t="s">
        <v>55</v>
      </c>
      <c r="AL1062" s="1">
        <v>54</v>
      </c>
    </row>
    <row r="1063" spans="1:38" x14ac:dyDescent="0.2">
      <c r="A1063" s="2" t="str">
        <f>HYPERLINK("https://www.compass.com/listing/570-broome-street-unit-phb-manhattan-ny-10013/296909698335007537/","570 Broome St, Unit PHB")</f>
        <v>570 Broome St, Unit PHB</v>
      </c>
      <c r="B1063" s="2" t="str">
        <f t="shared" si="140"/>
        <v>570 Broome</v>
      </c>
      <c r="C1063" s="1" t="s">
        <v>53</v>
      </c>
      <c r="D1063" s="1" t="s">
        <v>41</v>
      </c>
      <c r="E1063" s="3">
        <v>4999900</v>
      </c>
      <c r="F1063" s="1">
        <v>2573.28872876994</v>
      </c>
      <c r="G1063" s="1">
        <v>6</v>
      </c>
      <c r="H1063" s="1">
        <v>3</v>
      </c>
      <c r="I1063" s="1">
        <v>3</v>
      </c>
      <c r="J1063" s="1">
        <v>3</v>
      </c>
      <c r="K1063" s="1">
        <v>3</v>
      </c>
      <c r="M1063" s="4">
        <v>1943</v>
      </c>
      <c r="N1063" s="1">
        <v>2070</v>
      </c>
      <c r="O1063" s="1">
        <v>5876</v>
      </c>
      <c r="P1063" s="1">
        <v>3806</v>
      </c>
      <c r="Q1063" s="1" t="s">
        <v>42</v>
      </c>
      <c r="S1063" s="1" t="s">
        <v>42</v>
      </c>
      <c r="T1063" s="1" t="s">
        <v>273</v>
      </c>
      <c r="U1063" s="1">
        <v>475</v>
      </c>
      <c r="V1063" s="5">
        <v>44285</v>
      </c>
      <c r="W1063" s="5">
        <v>43661</v>
      </c>
      <c r="X1063" s="1">
        <v>5995000</v>
      </c>
      <c r="Y1063" s="1">
        <v>5995000</v>
      </c>
      <c r="Z1063" s="5">
        <v>44231</v>
      </c>
      <c r="AA1063" s="1">
        <v>4999900</v>
      </c>
      <c r="AB1063" s="1" t="s">
        <v>370</v>
      </c>
      <c r="AC1063" s="5">
        <v>44281</v>
      </c>
      <c r="AF1063" s="1">
        <v>10013</v>
      </c>
      <c r="AI1063" s="1" t="s">
        <v>80</v>
      </c>
      <c r="AJ1063" s="1">
        <v>2019</v>
      </c>
      <c r="AK1063" s="1" t="s">
        <v>55</v>
      </c>
      <c r="AL1063" s="1">
        <v>54</v>
      </c>
    </row>
    <row r="1064" spans="1:38" x14ac:dyDescent="0.2">
      <c r="A1064" s="2" t="str">
        <f>HYPERLINK("https://www.compass.com/listing/570-broome-street-unit-21b-manhattan-ny-10013/556308600706984153/","570 Broome St, Unit 21B")</f>
        <v>570 Broome St, Unit 21B</v>
      </c>
      <c r="B1064" s="2" t="str">
        <f t="shared" si="140"/>
        <v>570 Broome</v>
      </c>
      <c r="C1064" s="1" t="s">
        <v>53</v>
      </c>
      <c r="D1064" s="1" t="s">
        <v>41</v>
      </c>
      <c r="E1064" s="3">
        <v>2800000</v>
      </c>
      <c r="F1064" s="1">
        <v>2366.8639053254401</v>
      </c>
      <c r="G1064" s="1">
        <v>4</v>
      </c>
      <c r="H1064" s="1">
        <v>2</v>
      </c>
      <c r="I1064" s="1">
        <v>3</v>
      </c>
      <c r="J1064" s="1">
        <v>2.5</v>
      </c>
      <c r="K1064" s="1">
        <v>2</v>
      </c>
      <c r="L1064" s="1">
        <v>1</v>
      </c>
      <c r="M1064" s="4">
        <v>1183</v>
      </c>
      <c r="N1064" s="1">
        <v>1260</v>
      </c>
      <c r="O1064" s="1">
        <v>3631</v>
      </c>
      <c r="P1064" s="1">
        <v>2371</v>
      </c>
      <c r="Q1064" s="1" t="s">
        <v>42</v>
      </c>
      <c r="S1064" s="1" t="s">
        <v>42</v>
      </c>
      <c r="T1064" s="1" t="s">
        <v>273</v>
      </c>
      <c r="U1064" s="1">
        <v>1</v>
      </c>
      <c r="V1064" s="5">
        <v>44058</v>
      </c>
      <c r="W1064" s="5">
        <v>44019</v>
      </c>
      <c r="X1064" s="1">
        <v>3150000</v>
      </c>
      <c r="Y1064" s="1">
        <v>3150000</v>
      </c>
      <c r="Z1064" s="5">
        <v>44020</v>
      </c>
      <c r="AA1064" s="1">
        <v>2800000</v>
      </c>
      <c r="AB1064" s="1" t="s">
        <v>371</v>
      </c>
      <c r="AC1064" s="5">
        <v>44057</v>
      </c>
      <c r="AF1064" s="1">
        <v>10013</v>
      </c>
      <c r="AI1064" s="1" t="s">
        <v>80</v>
      </c>
      <c r="AJ1064" s="1">
        <v>2019</v>
      </c>
      <c r="AK1064" s="1" t="s">
        <v>55</v>
      </c>
      <c r="AL1064" s="1">
        <v>54</v>
      </c>
    </row>
    <row r="1065" spans="1:38" x14ac:dyDescent="0.2">
      <c r="A1065" s="2" t="str">
        <f>HYPERLINK("https://www.compass.com/listing/570-broome-street-unit-13b-manhattan-ny-10013/431694160807596177/","570 Broome St, Unit 13B")</f>
        <v>570 Broome St, Unit 13B</v>
      </c>
      <c r="B1065" s="2" t="str">
        <f t="shared" si="140"/>
        <v>570 Broome</v>
      </c>
      <c r="C1065" s="1" t="s">
        <v>53</v>
      </c>
      <c r="D1065" s="1" t="s">
        <v>41</v>
      </c>
      <c r="E1065" s="3">
        <v>2459181</v>
      </c>
      <c r="F1065" s="1">
        <v>1900.44873261205</v>
      </c>
      <c r="G1065" s="1">
        <v>4</v>
      </c>
      <c r="H1065" s="1">
        <v>2</v>
      </c>
      <c r="I1065" s="1">
        <v>3</v>
      </c>
      <c r="J1065" s="1">
        <v>2.5</v>
      </c>
      <c r="K1065" s="1">
        <v>2</v>
      </c>
      <c r="L1065" s="1">
        <v>1</v>
      </c>
      <c r="M1065" s="4">
        <v>1294</v>
      </c>
      <c r="N1065" s="1">
        <v>1380</v>
      </c>
      <c r="O1065" s="1">
        <v>3505</v>
      </c>
      <c r="P1065" s="1">
        <v>2125</v>
      </c>
      <c r="Q1065" s="1" t="s">
        <v>42</v>
      </c>
      <c r="S1065" s="1" t="s">
        <v>42</v>
      </c>
      <c r="T1065" s="1" t="s">
        <v>273</v>
      </c>
      <c r="V1065" s="5">
        <v>43911</v>
      </c>
      <c r="W1065" s="5">
        <v>43847</v>
      </c>
      <c r="X1065" s="1">
        <v>2675000</v>
      </c>
      <c r="Y1065" s="1">
        <v>2675000</v>
      </c>
      <c r="Z1065" s="5">
        <v>43848</v>
      </c>
      <c r="AA1065" s="1">
        <v>2459180.66</v>
      </c>
      <c r="AB1065" s="1" t="s">
        <v>372</v>
      </c>
      <c r="AC1065" s="5">
        <v>43909</v>
      </c>
      <c r="AF1065" s="1">
        <v>10013</v>
      </c>
      <c r="AI1065" s="1" t="s">
        <v>80</v>
      </c>
      <c r="AJ1065" s="1">
        <v>2019</v>
      </c>
      <c r="AK1065" s="1" t="s">
        <v>55</v>
      </c>
      <c r="AL1065" s="1">
        <v>54</v>
      </c>
    </row>
    <row r="1066" spans="1:38" x14ac:dyDescent="0.2">
      <c r="A1066" s="2" t="str">
        <f>HYPERLINK("https://www.compass.com/listing/570-broome-street-unit-17a-manhattan-ny-10013/678161530231135897/","570 Broome St, Unit 17A")</f>
        <v>570 Broome St, Unit 17A</v>
      </c>
      <c r="B1066" s="2" t="str">
        <f t="shared" si="140"/>
        <v>570 Broome</v>
      </c>
      <c r="C1066" s="1" t="s">
        <v>53</v>
      </c>
      <c r="D1066" s="1" t="s">
        <v>41</v>
      </c>
      <c r="E1066" s="3">
        <v>2880000</v>
      </c>
      <c r="F1066" s="1">
        <v>2307.6923076922999</v>
      </c>
      <c r="G1066" s="1">
        <v>4</v>
      </c>
      <c r="H1066" s="1">
        <v>2</v>
      </c>
      <c r="I1066" s="1">
        <v>3</v>
      </c>
      <c r="J1066" s="1">
        <v>2.5</v>
      </c>
      <c r="K1066" s="1">
        <v>2</v>
      </c>
      <c r="L1066" s="1">
        <v>1</v>
      </c>
      <c r="M1066" s="4">
        <v>1248</v>
      </c>
      <c r="N1066" s="1">
        <v>1453</v>
      </c>
      <c r="O1066" s="1">
        <v>3936.02</v>
      </c>
      <c r="P1066" s="1">
        <v>2483</v>
      </c>
      <c r="Q1066" s="1" t="s">
        <v>42</v>
      </c>
      <c r="S1066" s="1" t="s">
        <v>42</v>
      </c>
      <c r="T1066" s="1" t="s">
        <v>273</v>
      </c>
      <c r="U1066" s="1">
        <v>71</v>
      </c>
      <c r="V1066" s="5">
        <v>44338</v>
      </c>
      <c r="W1066" s="5">
        <v>44188</v>
      </c>
      <c r="X1066" s="1">
        <v>3265000</v>
      </c>
      <c r="Y1066" s="1">
        <v>3265000</v>
      </c>
      <c r="Z1066" s="5">
        <v>44259</v>
      </c>
      <c r="AA1066" s="1">
        <v>2880000</v>
      </c>
      <c r="AB1066" s="1" t="s">
        <v>373</v>
      </c>
      <c r="AC1066" s="5">
        <v>44336</v>
      </c>
      <c r="AF1066" s="1">
        <v>10013</v>
      </c>
      <c r="AI1066" s="1" t="s">
        <v>80</v>
      </c>
      <c r="AJ1066" s="1">
        <v>2019</v>
      </c>
      <c r="AK1066" s="1" t="s">
        <v>55</v>
      </c>
      <c r="AL1066" s="1">
        <v>54</v>
      </c>
    </row>
    <row r="1067" spans="1:38" x14ac:dyDescent="0.2">
      <c r="A1067" s="2" t="str">
        <f>HYPERLINK("https://www.compass.com/listing/570-broome-street-unit-18a-manhattan-ny-10013/390492044014994945/","570 Broome St, Unit 18A")</f>
        <v>570 Broome St, Unit 18A</v>
      </c>
      <c r="B1067" s="2" t="str">
        <f t="shared" si="140"/>
        <v>570 Broome</v>
      </c>
      <c r="C1067" s="1" t="s">
        <v>53</v>
      </c>
      <c r="D1067" s="1" t="s">
        <v>41</v>
      </c>
      <c r="E1067" s="3">
        <v>2853250</v>
      </c>
      <c r="F1067" s="1">
        <v>2286.25801282051</v>
      </c>
      <c r="G1067" s="1">
        <v>4</v>
      </c>
      <c r="H1067" s="1">
        <v>2</v>
      </c>
      <c r="I1067" s="1">
        <v>3</v>
      </c>
      <c r="J1067" s="1">
        <v>2.5</v>
      </c>
      <c r="K1067" s="1">
        <v>2</v>
      </c>
      <c r="L1067" s="1">
        <v>1</v>
      </c>
      <c r="M1067" s="4">
        <v>1248</v>
      </c>
      <c r="N1067" s="1">
        <v>1327</v>
      </c>
      <c r="O1067" s="1">
        <v>3369</v>
      </c>
      <c r="P1067" s="1">
        <v>2042</v>
      </c>
      <c r="Q1067" s="1" t="s">
        <v>42</v>
      </c>
      <c r="S1067" s="1" t="s">
        <v>42</v>
      </c>
      <c r="T1067" s="1" t="s">
        <v>273</v>
      </c>
      <c r="U1067" s="1">
        <v>4</v>
      </c>
      <c r="V1067" s="5">
        <v>43795</v>
      </c>
      <c r="W1067" s="5">
        <v>43791</v>
      </c>
      <c r="X1067" s="1">
        <v>3305000</v>
      </c>
      <c r="Y1067" s="1">
        <v>3305000</v>
      </c>
      <c r="Z1067" s="5">
        <v>43795</v>
      </c>
      <c r="AA1067" s="1">
        <v>2853250</v>
      </c>
      <c r="AB1067" s="1" t="s">
        <v>374</v>
      </c>
      <c r="AC1067" s="5">
        <v>43803</v>
      </c>
      <c r="AF1067" s="1">
        <v>10013</v>
      </c>
      <c r="AI1067" s="1" t="s">
        <v>80</v>
      </c>
      <c r="AJ1067" s="1">
        <v>2019</v>
      </c>
      <c r="AK1067" s="1" t="s">
        <v>55</v>
      </c>
      <c r="AL1067" s="1">
        <v>54</v>
      </c>
    </row>
    <row r="1068" spans="1:38" x14ac:dyDescent="0.2">
      <c r="A1068" s="2" t="str">
        <f>HYPERLINK("https://www.compass.com/listing/570-broome-street-unit-10c-manhattan-ny-10013/406534079104811281/","570 Broome St, Unit 10C")</f>
        <v>570 Broome St, Unit 10C</v>
      </c>
      <c r="B1068" s="2" t="str">
        <f t="shared" si="140"/>
        <v>570 Broome</v>
      </c>
      <c r="C1068" s="1" t="s">
        <v>53</v>
      </c>
      <c r="D1068" s="1" t="s">
        <v>41</v>
      </c>
      <c r="E1068" s="3">
        <v>1300000</v>
      </c>
      <c r="F1068" s="1">
        <v>1771.11716621253</v>
      </c>
      <c r="G1068" s="1">
        <v>3</v>
      </c>
      <c r="H1068" s="1">
        <v>1</v>
      </c>
      <c r="I1068" s="1">
        <v>1</v>
      </c>
      <c r="J1068" s="1">
        <v>1</v>
      </c>
      <c r="K1068" s="1">
        <v>1</v>
      </c>
      <c r="M1068" s="1">
        <v>734</v>
      </c>
      <c r="N1068" s="1">
        <v>784</v>
      </c>
      <c r="O1068" s="1">
        <v>1991</v>
      </c>
      <c r="P1068" s="1">
        <v>1207</v>
      </c>
      <c r="Q1068" s="1" t="s">
        <v>42</v>
      </c>
      <c r="S1068" s="1" t="s">
        <v>42</v>
      </c>
      <c r="T1068" s="1" t="s">
        <v>273</v>
      </c>
      <c r="U1068" s="1">
        <v>51</v>
      </c>
      <c r="V1068" s="5">
        <v>44019</v>
      </c>
      <c r="W1068" s="5">
        <v>43813</v>
      </c>
      <c r="X1068" s="1">
        <v>1535000</v>
      </c>
      <c r="Y1068" s="1">
        <v>1535000</v>
      </c>
      <c r="Z1068" s="5">
        <v>43865</v>
      </c>
      <c r="AA1068" s="1">
        <v>1300000</v>
      </c>
      <c r="AB1068" s="1" t="s">
        <v>375</v>
      </c>
      <c r="AC1068" s="5">
        <v>43917</v>
      </c>
      <c r="AF1068" s="1">
        <v>10013</v>
      </c>
      <c r="AI1068" s="1" t="s">
        <v>80</v>
      </c>
      <c r="AJ1068" s="1">
        <v>2019</v>
      </c>
      <c r="AK1068" s="1" t="s">
        <v>55</v>
      </c>
      <c r="AL1068" s="1">
        <v>54</v>
      </c>
    </row>
    <row r="1069" spans="1:38" x14ac:dyDescent="0.2">
      <c r="A1069" s="2" t="str">
        <f>HYPERLINK("https://www.compass.com/listing/570-broome-street-unit-12c-manhattan-ny-10013/431693271606628785/","570 Broome St, Unit 12C")</f>
        <v>570 Broome St, Unit 12C</v>
      </c>
      <c r="B1069" s="2" t="str">
        <f t="shared" si="140"/>
        <v>570 Broome</v>
      </c>
      <c r="C1069" s="1" t="s">
        <v>53</v>
      </c>
      <c r="D1069" s="1" t="s">
        <v>41</v>
      </c>
      <c r="E1069" s="3">
        <v>1430000</v>
      </c>
      <c r="F1069" s="1">
        <v>1948.2288828337801</v>
      </c>
      <c r="G1069" s="1">
        <v>3</v>
      </c>
      <c r="H1069" s="1">
        <v>1</v>
      </c>
      <c r="I1069" s="1">
        <v>1</v>
      </c>
      <c r="J1069" s="1">
        <v>1</v>
      </c>
      <c r="K1069" s="1">
        <v>1</v>
      </c>
      <c r="M1069" s="1">
        <v>734</v>
      </c>
      <c r="N1069" s="1">
        <v>777</v>
      </c>
      <c r="O1069" s="1">
        <v>1973</v>
      </c>
      <c r="P1069" s="1">
        <v>1196</v>
      </c>
      <c r="Q1069" s="1" t="s">
        <v>42</v>
      </c>
      <c r="S1069" s="1" t="s">
        <v>42</v>
      </c>
      <c r="T1069" s="1" t="s">
        <v>273</v>
      </c>
      <c r="V1069" s="5">
        <v>43904</v>
      </c>
      <c r="W1069" s="5">
        <v>43847</v>
      </c>
      <c r="X1069" s="1">
        <v>1595000</v>
      </c>
      <c r="Y1069" s="1">
        <v>1595000</v>
      </c>
      <c r="Z1069" s="5">
        <v>43848</v>
      </c>
      <c r="AA1069" s="1">
        <v>1430000</v>
      </c>
      <c r="AB1069" s="1" t="s">
        <v>376</v>
      </c>
      <c r="AC1069" s="5">
        <v>43903</v>
      </c>
      <c r="AF1069" s="1">
        <v>10013</v>
      </c>
      <c r="AI1069" s="1" t="s">
        <v>80</v>
      </c>
      <c r="AJ1069" s="1">
        <v>2019</v>
      </c>
      <c r="AK1069" s="1" t="s">
        <v>55</v>
      </c>
      <c r="AL1069" s="1">
        <v>54</v>
      </c>
    </row>
    <row r="1070" spans="1:38" x14ac:dyDescent="0.2">
      <c r="A1070" s="2" t="str">
        <f>HYPERLINK("https://www.compass.com/listing/12-east-88th-street-unit-1c-manhattan-ny-10128/775195610418036953/","12 E 88th St, Unit 1C")</f>
        <v>12 E 88th St, Unit 1C</v>
      </c>
      <c r="B1070" s="2" t="str">
        <f>HYPERLINK("https://www.compass.com/building/12-e-88th-st-manhattan-ny-10128/282046316798827461/","12 E 88th St")</f>
        <v>12 E 88th St</v>
      </c>
      <c r="C1070" s="1" t="s">
        <v>82</v>
      </c>
      <c r="D1070" s="1" t="s">
        <v>41</v>
      </c>
      <c r="E1070" s="3">
        <v>3475000</v>
      </c>
      <c r="F1070" s="1">
        <v>2141.0967344423898</v>
      </c>
      <c r="G1070" s="1">
        <v>6</v>
      </c>
      <c r="H1070" s="1">
        <v>3</v>
      </c>
      <c r="I1070" s="1">
        <v>2</v>
      </c>
      <c r="J1070" s="1">
        <v>2</v>
      </c>
      <c r="K1070" s="1">
        <v>2</v>
      </c>
      <c r="M1070" s="4">
        <v>1623</v>
      </c>
      <c r="N1070" s="1">
        <v>2288.36</v>
      </c>
      <c r="O1070" s="1">
        <v>4300.1499999999996</v>
      </c>
      <c r="P1070" s="1">
        <v>2011.75</v>
      </c>
      <c r="S1070" s="1" t="s">
        <v>42</v>
      </c>
      <c r="T1070" s="1" t="s">
        <v>273</v>
      </c>
      <c r="U1070" s="1">
        <v>36</v>
      </c>
      <c r="V1070" s="5">
        <v>44412</v>
      </c>
      <c r="W1070" s="5">
        <v>44322</v>
      </c>
      <c r="X1070" s="1">
        <v>3500000</v>
      </c>
      <c r="Y1070" s="1">
        <v>3500000</v>
      </c>
      <c r="Z1070" s="5">
        <v>44359</v>
      </c>
      <c r="AA1070" s="1">
        <v>3475000</v>
      </c>
      <c r="AB1070" s="1" t="s">
        <v>295</v>
      </c>
      <c r="AC1070" s="5">
        <v>44410</v>
      </c>
      <c r="AF1070" s="1">
        <v>10128</v>
      </c>
      <c r="AI1070" s="1" t="s">
        <v>177</v>
      </c>
      <c r="AJ1070" s="1">
        <v>1931</v>
      </c>
      <c r="AK1070" s="1" t="s">
        <v>49</v>
      </c>
      <c r="AL1070" s="1">
        <v>39</v>
      </c>
    </row>
    <row r="1071" spans="1:38" x14ac:dyDescent="0.2">
      <c r="A1071" s="2" t="str">
        <f>HYPERLINK("https://www.compass.com/listing/200-east-94th-street-unit-308-manhattan-ny-10128/241749292958618225/","200 E 94th St, Unit 308")</f>
        <v>200 E 94th St, Unit 308</v>
      </c>
      <c r="B1071" s="2" t="str">
        <f>HYPERLINK("https://www.compass.com/building/carnegie-park-condominium-manhattan-ny/282049797358118613/","Carnegie Park Condominium")</f>
        <v>Carnegie Park Condominium</v>
      </c>
      <c r="C1071" s="1" t="s">
        <v>82</v>
      </c>
      <c r="D1071" s="1" t="s">
        <v>41</v>
      </c>
      <c r="E1071" s="3">
        <v>1895000</v>
      </c>
      <c r="F1071" s="1">
        <v>1531.93209377526</v>
      </c>
      <c r="G1071" s="1">
        <v>4</v>
      </c>
      <c r="H1071" s="1">
        <v>2</v>
      </c>
      <c r="I1071" s="1">
        <v>2</v>
      </c>
      <c r="J1071" s="1">
        <v>2</v>
      </c>
      <c r="K1071" s="1">
        <v>2</v>
      </c>
      <c r="M1071" s="4">
        <v>1237</v>
      </c>
      <c r="N1071" s="1">
        <v>1393.08</v>
      </c>
      <c r="O1071" s="1">
        <v>2583.41</v>
      </c>
      <c r="P1071" s="1">
        <v>1190.3333333333301</v>
      </c>
      <c r="Q1071" s="1" t="s">
        <v>42</v>
      </c>
      <c r="S1071" s="1" t="s">
        <v>42</v>
      </c>
      <c r="T1071" s="1" t="s">
        <v>273</v>
      </c>
      <c r="U1071" s="1">
        <v>14</v>
      </c>
      <c r="V1071" s="5">
        <v>43602</v>
      </c>
      <c r="W1071" s="5">
        <v>43588</v>
      </c>
      <c r="X1071" s="1">
        <v>1895000</v>
      </c>
      <c r="Y1071" s="1">
        <v>1895000</v>
      </c>
      <c r="Z1071" s="5">
        <v>43602</v>
      </c>
      <c r="AA1071" s="1">
        <v>1895000</v>
      </c>
      <c r="AB1071" s="1" t="s">
        <v>377</v>
      </c>
      <c r="AC1071" s="5">
        <v>43657</v>
      </c>
      <c r="AF1071" s="1">
        <v>10128</v>
      </c>
      <c r="AI1071" s="1" t="s">
        <v>163</v>
      </c>
      <c r="AJ1071" s="1">
        <v>1986</v>
      </c>
      <c r="AK1071" s="1" t="s">
        <v>46</v>
      </c>
      <c r="AL1071" s="1">
        <v>287</v>
      </c>
    </row>
    <row r="1072" spans="1:38" x14ac:dyDescent="0.2">
      <c r="A1072" s="2" t="str">
        <f>HYPERLINK("https://www.compass.com/listing/360-east-89th-street-unit-5e-manhattan-ny-10128/517456218024510193/","360 E 89th St, Unit 5E")</f>
        <v>360 E 89th St, Unit 5E</v>
      </c>
      <c r="B1072" s="2" t="str">
        <f>HYPERLINK("https://www.compass.com/building/citizen360-manhattan-ny/282052027553444853/","Citizen360")</f>
        <v>Citizen360</v>
      </c>
      <c r="C1072" s="1" t="s">
        <v>82</v>
      </c>
      <c r="D1072" s="1" t="s">
        <v>41</v>
      </c>
      <c r="E1072" s="3">
        <v>2305000</v>
      </c>
      <c r="F1072" s="1">
        <v>1412.37745098039</v>
      </c>
      <c r="G1072" s="1">
        <v>5</v>
      </c>
      <c r="H1072" s="1">
        <v>3</v>
      </c>
      <c r="I1072" s="1">
        <v>3</v>
      </c>
      <c r="J1072" s="1">
        <v>2.5</v>
      </c>
      <c r="K1072" s="1">
        <v>2</v>
      </c>
      <c r="L1072" s="1">
        <v>1</v>
      </c>
      <c r="M1072" s="4">
        <v>1632</v>
      </c>
      <c r="N1072" s="1">
        <v>1492.74</v>
      </c>
      <c r="O1072" s="1">
        <v>2592.2399999999998</v>
      </c>
      <c r="P1072" s="1">
        <v>1099.5</v>
      </c>
      <c r="Q1072" s="1" t="s">
        <v>42</v>
      </c>
      <c r="S1072" s="1" t="s">
        <v>42</v>
      </c>
      <c r="T1072" s="1" t="s">
        <v>273</v>
      </c>
      <c r="U1072" s="1">
        <v>107</v>
      </c>
      <c r="V1072" s="5">
        <v>44177</v>
      </c>
      <c r="W1072" s="5">
        <v>43974</v>
      </c>
      <c r="X1072" s="1">
        <v>2595000</v>
      </c>
      <c r="Y1072" s="1">
        <v>2500000</v>
      </c>
      <c r="Z1072" s="5">
        <v>44113</v>
      </c>
      <c r="AA1072" s="1">
        <v>2305000</v>
      </c>
      <c r="AB1072" s="1" t="s">
        <v>378</v>
      </c>
      <c r="AC1072" s="5">
        <v>44166</v>
      </c>
      <c r="AF1072" s="1">
        <v>10128</v>
      </c>
      <c r="AJ1072" s="1">
        <v>2017</v>
      </c>
      <c r="AK1072" s="1" t="s">
        <v>55</v>
      </c>
      <c r="AL1072" s="1">
        <v>82</v>
      </c>
    </row>
    <row r="1073" spans="1:38" x14ac:dyDescent="0.2">
      <c r="A1073" s="2" t="str">
        <f>HYPERLINK("https://www.compass.com/listing/200-east-94th-street-unit-316-manhattan-ny-10128/156369098341657505/","200 E 94th St, Unit 316")</f>
        <v>200 E 94th St, Unit 316</v>
      </c>
      <c r="B1073" s="2" t="str">
        <f t="shared" ref="B1073:B1075" si="141">HYPERLINK("https://www.compass.com/building/carnegie-park-condominium-manhattan-ny/282049797358118613/","Carnegie Park Condominium")</f>
        <v>Carnegie Park Condominium</v>
      </c>
      <c r="C1073" s="1" t="s">
        <v>82</v>
      </c>
      <c r="D1073" s="1" t="s">
        <v>41</v>
      </c>
      <c r="E1073" s="3">
        <v>903964</v>
      </c>
      <c r="F1073" s="1">
        <v>1284.03970170454</v>
      </c>
      <c r="G1073" s="1">
        <v>3</v>
      </c>
      <c r="H1073" s="1">
        <v>1</v>
      </c>
      <c r="I1073" s="1">
        <v>1</v>
      </c>
      <c r="J1073" s="1">
        <v>1</v>
      </c>
      <c r="K1073" s="1">
        <v>1</v>
      </c>
      <c r="M1073" s="1">
        <v>704</v>
      </c>
      <c r="N1073" s="1">
        <v>791</v>
      </c>
      <c r="O1073" s="1">
        <v>1618</v>
      </c>
      <c r="P1073" s="1">
        <v>827</v>
      </c>
      <c r="Q1073" s="1" t="s">
        <v>42</v>
      </c>
      <c r="S1073" s="1" t="s">
        <v>42</v>
      </c>
      <c r="T1073" s="1" t="s">
        <v>273</v>
      </c>
      <c r="U1073" s="1">
        <v>118</v>
      </c>
      <c r="V1073" s="5">
        <v>43587</v>
      </c>
      <c r="W1073" s="5">
        <v>43468</v>
      </c>
      <c r="X1073" s="1">
        <v>1150000</v>
      </c>
      <c r="Y1073" s="1">
        <v>1150000</v>
      </c>
      <c r="AA1073" s="1">
        <v>903963.95</v>
      </c>
      <c r="AB1073" s="1" t="s">
        <v>379</v>
      </c>
      <c r="AC1073" s="5">
        <v>43586</v>
      </c>
      <c r="AF1073" s="1">
        <v>10128</v>
      </c>
      <c r="AI1073" s="1" t="s">
        <v>163</v>
      </c>
      <c r="AJ1073" s="1">
        <v>1986</v>
      </c>
      <c r="AK1073" s="1" t="s">
        <v>108</v>
      </c>
      <c r="AL1073" s="1">
        <v>287</v>
      </c>
    </row>
    <row r="1074" spans="1:38" x14ac:dyDescent="0.2">
      <c r="A1074" s="2" t="str">
        <f>HYPERLINK("https://www.compass.com/listing/200-east-94th-street-unit-608-manhattan-ny-10128/611678102294470801/","200 E 94th St, Unit 608")</f>
        <v>200 E 94th St, Unit 608</v>
      </c>
      <c r="B1074" s="2" t="str">
        <f t="shared" si="141"/>
        <v>Carnegie Park Condominium</v>
      </c>
      <c r="C1074" s="1" t="s">
        <v>82</v>
      </c>
      <c r="D1074" s="1" t="s">
        <v>41</v>
      </c>
      <c r="E1074" s="3">
        <v>1630000</v>
      </c>
      <c r="F1074" s="1">
        <v>1317.7041228779301</v>
      </c>
      <c r="G1074" s="1">
        <v>5</v>
      </c>
      <c r="H1074" s="1">
        <v>2</v>
      </c>
      <c r="I1074" s="1">
        <v>2</v>
      </c>
      <c r="J1074" s="1">
        <v>2</v>
      </c>
      <c r="K1074" s="1">
        <v>2</v>
      </c>
      <c r="M1074" s="4">
        <v>1237</v>
      </c>
      <c r="N1074" s="1">
        <v>1441</v>
      </c>
      <c r="O1074" s="1">
        <v>2971.69</v>
      </c>
      <c r="P1074" s="1">
        <v>1530.6666666666599</v>
      </c>
      <c r="Q1074" s="1" t="s">
        <v>42</v>
      </c>
      <c r="S1074" s="1" t="s">
        <v>42</v>
      </c>
      <c r="T1074" s="1" t="s">
        <v>273</v>
      </c>
      <c r="U1074" s="1">
        <v>103</v>
      </c>
      <c r="V1074" s="5">
        <v>44261</v>
      </c>
      <c r="W1074" s="5">
        <v>44104</v>
      </c>
      <c r="X1074" s="1">
        <v>1695000</v>
      </c>
      <c r="Y1074" s="1">
        <v>1695000</v>
      </c>
      <c r="Z1074" s="5">
        <v>44207</v>
      </c>
      <c r="AA1074" s="1">
        <v>1630000</v>
      </c>
      <c r="AB1074" s="1" t="s">
        <v>380</v>
      </c>
      <c r="AC1074" s="5">
        <v>44256</v>
      </c>
      <c r="AF1074" s="1">
        <v>10128</v>
      </c>
      <c r="AI1074" s="1" t="s">
        <v>163</v>
      </c>
      <c r="AJ1074" s="1">
        <v>1986</v>
      </c>
      <c r="AK1074" s="1" t="s">
        <v>49</v>
      </c>
      <c r="AL1074" s="1">
        <v>287</v>
      </c>
    </row>
    <row r="1075" spans="1:38" x14ac:dyDescent="0.2">
      <c r="A1075" s="2" t="str">
        <f>HYPERLINK("https://www.compass.com/listing/200-east-94th-street-unit-2217-manhattan-ny-10128/29423492239794609/","200 E 94th St, Unit 2217")</f>
        <v>200 E 94th St, Unit 2217</v>
      </c>
      <c r="B1075" s="2" t="str">
        <f t="shared" si="141"/>
        <v>Carnegie Park Condominium</v>
      </c>
      <c r="C1075" s="1" t="s">
        <v>82</v>
      </c>
      <c r="D1075" s="1" t="s">
        <v>41</v>
      </c>
      <c r="E1075" s="3">
        <v>3600000</v>
      </c>
      <c r="F1075" s="1">
        <v>1914.8936170212701</v>
      </c>
      <c r="G1075" s="1">
        <v>5</v>
      </c>
      <c r="H1075" s="1">
        <v>4</v>
      </c>
      <c r="J1075" s="1">
        <v>3</v>
      </c>
      <c r="M1075" s="4">
        <v>1880</v>
      </c>
      <c r="N1075" s="1">
        <v>2071.23</v>
      </c>
      <c r="O1075" s="1">
        <v>4195.2299999999996</v>
      </c>
      <c r="P1075" s="1">
        <v>2124</v>
      </c>
      <c r="Q1075" s="1" t="s">
        <v>42</v>
      </c>
      <c r="S1075" s="1" t="s">
        <v>42</v>
      </c>
      <c r="T1075" s="1" t="s">
        <v>273</v>
      </c>
      <c r="U1075" s="1">
        <v>37</v>
      </c>
      <c r="V1075" s="5">
        <v>43701</v>
      </c>
      <c r="W1075" s="5">
        <v>42823</v>
      </c>
      <c r="Z1075" s="5">
        <v>42865</v>
      </c>
      <c r="AA1075" s="1">
        <v>3600000</v>
      </c>
      <c r="AB1075" s="1" t="s">
        <v>381</v>
      </c>
      <c r="AC1075" s="5">
        <v>42908</v>
      </c>
      <c r="AF1075" s="1">
        <v>10128</v>
      </c>
      <c r="AI1075" s="1" t="s">
        <v>172</v>
      </c>
      <c r="AJ1075" s="1">
        <v>1986</v>
      </c>
      <c r="AK1075" s="1" t="s">
        <v>49</v>
      </c>
      <c r="AL1075" s="1">
        <v>287</v>
      </c>
    </row>
    <row r="1076" spans="1:38" x14ac:dyDescent="0.2">
      <c r="A1076" s="2" t="str">
        <f>HYPERLINK("https://www.compass.com/listing/360-east-89th-street-unit-11a-manhattan-ny-10128/592633594466697785/","360 E 89th St, Unit 11A")</f>
        <v>360 E 89th St, Unit 11A</v>
      </c>
      <c r="B1076" s="2" t="str">
        <f>HYPERLINK("https://www.compass.com/building/citizen360-manhattan-ny/282052027553444853/","Citizen360")</f>
        <v>Citizen360</v>
      </c>
      <c r="C1076" s="1" t="s">
        <v>82</v>
      </c>
      <c r="D1076" s="1" t="s">
        <v>41</v>
      </c>
      <c r="E1076" s="3">
        <v>4200000</v>
      </c>
      <c r="F1076" s="1">
        <v>1773.6486486486399</v>
      </c>
      <c r="G1076" s="1">
        <v>7</v>
      </c>
      <c r="H1076" s="1">
        <v>4</v>
      </c>
      <c r="I1076" s="1">
        <v>5</v>
      </c>
      <c r="J1076" s="1">
        <v>4.5</v>
      </c>
      <c r="K1076" s="1">
        <v>4</v>
      </c>
      <c r="L1076" s="1">
        <v>1</v>
      </c>
      <c r="M1076" s="4">
        <v>2368</v>
      </c>
      <c r="N1076" s="1">
        <v>2283.12</v>
      </c>
      <c r="O1076" s="1">
        <v>3677.12</v>
      </c>
      <c r="P1076" s="1">
        <v>1394</v>
      </c>
      <c r="Q1076" s="1" t="s">
        <v>42</v>
      </c>
      <c r="S1076" s="1" t="s">
        <v>42</v>
      </c>
      <c r="T1076" s="1" t="s">
        <v>273</v>
      </c>
      <c r="U1076" s="1">
        <v>62</v>
      </c>
      <c r="V1076" s="5">
        <v>44209</v>
      </c>
      <c r="W1076" s="5">
        <v>44076</v>
      </c>
      <c r="X1076" s="1">
        <v>4495000</v>
      </c>
      <c r="Y1076" s="1">
        <v>4495000</v>
      </c>
      <c r="Z1076" s="5">
        <v>44138</v>
      </c>
      <c r="AA1076" s="1">
        <v>4200000</v>
      </c>
      <c r="AB1076" s="1" t="s">
        <v>382</v>
      </c>
      <c r="AC1076" s="5">
        <v>44203</v>
      </c>
      <c r="AF1076" s="1">
        <v>10128</v>
      </c>
      <c r="AJ1076" s="1">
        <v>2017</v>
      </c>
      <c r="AK1076" s="1" t="s">
        <v>55</v>
      </c>
      <c r="AL1076" s="1">
        <v>82</v>
      </c>
    </row>
    <row r="1077" spans="1:38" x14ac:dyDescent="0.2">
      <c r="A1077" s="2" t="str">
        <f>HYPERLINK("https://www.compass.com/listing/20-east-end-avenue-unit-3c-manhattan-ny-10028/431188356987748993/","20 E End Ave, Unit 3C")</f>
        <v>20 E End Ave, Unit 3C</v>
      </c>
      <c r="B1077" s="2" t="str">
        <f>HYPERLINK("https://www.compass.com/building/20-e-end-ave-manhattan-ny-10028/281985490498985157/","20 E End Ave")</f>
        <v>20 E End Ave</v>
      </c>
      <c r="C1077" s="1" t="s">
        <v>82</v>
      </c>
      <c r="D1077" s="1" t="s">
        <v>41</v>
      </c>
      <c r="E1077" s="3">
        <v>4220000</v>
      </c>
      <c r="F1077" s="1">
        <v>2205.9592263460499</v>
      </c>
      <c r="G1077" s="1">
        <v>5</v>
      </c>
      <c r="H1077" s="1">
        <v>2</v>
      </c>
      <c r="I1077" s="1">
        <v>3</v>
      </c>
      <c r="J1077" s="1">
        <v>2.5</v>
      </c>
      <c r="K1077" s="1">
        <v>2</v>
      </c>
      <c r="L1077" s="1">
        <v>1</v>
      </c>
      <c r="M1077" s="4">
        <v>1913</v>
      </c>
      <c r="N1077" s="1">
        <v>2593.64</v>
      </c>
      <c r="O1077" s="1">
        <v>5813.57</v>
      </c>
      <c r="P1077" s="1">
        <v>3219.9166666666601</v>
      </c>
      <c r="Q1077" s="1" t="s">
        <v>42</v>
      </c>
      <c r="S1077" s="1" t="s">
        <v>42</v>
      </c>
      <c r="T1077" s="1" t="s">
        <v>273</v>
      </c>
      <c r="U1077" s="1">
        <v>257</v>
      </c>
      <c r="V1077" s="5">
        <v>44317</v>
      </c>
      <c r="W1077" s="5">
        <v>43853</v>
      </c>
      <c r="X1077" s="1">
        <v>4350000</v>
      </c>
      <c r="Y1077" s="1">
        <v>4350000</v>
      </c>
      <c r="Z1077" s="5">
        <v>44268</v>
      </c>
      <c r="AA1077" s="1">
        <v>4220000</v>
      </c>
      <c r="AB1077" s="1" t="s">
        <v>383</v>
      </c>
      <c r="AC1077" s="5">
        <v>44314</v>
      </c>
      <c r="AF1077" s="1">
        <v>10028</v>
      </c>
      <c r="AJ1077" s="1">
        <v>2017</v>
      </c>
      <c r="AK1077" s="1" t="s">
        <v>49</v>
      </c>
      <c r="AL1077" s="1">
        <v>41</v>
      </c>
    </row>
    <row r="1078" spans="1:38" x14ac:dyDescent="0.2">
      <c r="A1078" s="2" t="str">
        <f>HYPERLINK("https://www.compass.com/listing/300-east-64th-street-unit-19a-manhattan-ny-10065/750722738411905625/","300 E 64th St, Unit 19A")</f>
        <v>300 E 64th St, Unit 19A</v>
      </c>
      <c r="B1078" s="2" t="str">
        <f>HYPERLINK("https://www.compass.com/building/300-e-64th-st-manhattan-ny-10065/282038617012979925/","300 E 64th St")</f>
        <v>300 E 64th St</v>
      </c>
      <c r="C1078" s="1" t="s">
        <v>82</v>
      </c>
      <c r="D1078" s="1" t="s">
        <v>41</v>
      </c>
      <c r="E1078" s="3">
        <v>1700000</v>
      </c>
      <c r="F1078" s="1">
        <v>1628.3524904214501</v>
      </c>
      <c r="G1078" s="1">
        <v>5</v>
      </c>
      <c r="H1078" s="1">
        <v>2</v>
      </c>
      <c r="I1078" s="1">
        <v>2</v>
      </c>
      <c r="J1078" s="1">
        <v>2</v>
      </c>
      <c r="K1078" s="1">
        <v>2</v>
      </c>
      <c r="M1078" s="4">
        <v>1044</v>
      </c>
      <c r="N1078" s="1">
        <v>1378</v>
      </c>
      <c r="O1078" s="1">
        <v>2937</v>
      </c>
      <c r="P1078" s="1">
        <v>1559</v>
      </c>
      <c r="S1078" s="1" t="s">
        <v>42</v>
      </c>
      <c r="T1078" s="1" t="s">
        <v>273</v>
      </c>
      <c r="U1078" s="1">
        <v>84</v>
      </c>
      <c r="V1078" s="5">
        <v>44408</v>
      </c>
      <c r="W1078" s="5">
        <v>44288</v>
      </c>
      <c r="X1078" s="1">
        <v>1795000</v>
      </c>
      <c r="Y1078" s="1">
        <v>1795000</v>
      </c>
      <c r="Z1078" s="5">
        <v>44373</v>
      </c>
      <c r="AA1078" s="1">
        <v>1700000</v>
      </c>
      <c r="AB1078" s="1" t="s">
        <v>295</v>
      </c>
      <c r="AC1078" s="5">
        <v>44405</v>
      </c>
      <c r="AF1078" s="1">
        <v>10065</v>
      </c>
      <c r="AI1078" s="1" t="s">
        <v>83</v>
      </c>
      <c r="AJ1078" s="1">
        <v>1996</v>
      </c>
      <c r="AK1078" s="1" t="s">
        <v>49</v>
      </c>
      <c r="AL1078" s="1">
        <v>103</v>
      </c>
    </row>
    <row r="1079" spans="1:38" x14ac:dyDescent="0.2">
      <c r="A1079" s="2" t="str">
        <f>HYPERLINK("https://www.compass.com/listing/325-lexington-avenue-unit-9c-manhattan-ny-10016/226728514211071345/","325 Lexington Ave, Unit 9C")</f>
        <v>325 Lexington Ave, Unit 9C</v>
      </c>
      <c r="B1079" s="2" t="str">
        <f>HYPERLINK("https://www.compass.com/building/325-lex-condominium-manhattan-ny/281939882467713365/","325 Lex Condominium")</f>
        <v>325 Lex Condominium</v>
      </c>
      <c r="C1079" s="1" t="s">
        <v>59</v>
      </c>
      <c r="D1079" s="1" t="s">
        <v>41</v>
      </c>
      <c r="E1079" s="3">
        <v>770000</v>
      </c>
      <c r="F1079" s="1">
        <v>1540</v>
      </c>
      <c r="G1079" s="1">
        <v>3</v>
      </c>
      <c r="H1079" s="1" t="s">
        <v>153</v>
      </c>
      <c r="I1079" s="1">
        <v>1</v>
      </c>
      <c r="J1079" s="1">
        <v>1</v>
      </c>
      <c r="K1079" s="1">
        <v>1</v>
      </c>
      <c r="M1079" s="1">
        <v>500</v>
      </c>
      <c r="N1079" s="1">
        <v>719</v>
      </c>
      <c r="O1079" s="1">
        <v>1072</v>
      </c>
      <c r="P1079" s="1">
        <v>353</v>
      </c>
      <c r="Q1079" s="1" t="s">
        <v>42</v>
      </c>
      <c r="S1079" s="1" t="s">
        <v>42</v>
      </c>
      <c r="T1079" s="1" t="s">
        <v>273</v>
      </c>
      <c r="U1079" s="1">
        <v>155</v>
      </c>
      <c r="V1079" s="5">
        <v>43799</v>
      </c>
      <c r="W1079" s="5">
        <v>43565</v>
      </c>
      <c r="X1079" s="1">
        <v>921000</v>
      </c>
      <c r="Y1079" s="1">
        <v>825000</v>
      </c>
      <c r="Z1079" s="5">
        <v>43720</v>
      </c>
      <c r="AA1079" s="1">
        <v>770000</v>
      </c>
      <c r="AB1079" s="1" t="s">
        <v>384</v>
      </c>
      <c r="AC1079" s="5">
        <v>43766</v>
      </c>
      <c r="AF1079" s="1">
        <v>10016</v>
      </c>
      <c r="AI1079" s="1" t="s">
        <v>60</v>
      </c>
      <c r="AJ1079" s="1">
        <v>2014</v>
      </c>
      <c r="AK1079" s="1" t="s">
        <v>49</v>
      </c>
      <c r="AL1079" s="1">
        <v>125</v>
      </c>
    </row>
    <row r="1080" spans="1:38" x14ac:dyDescent="0.2">
      <c r="A1080" s="2" t="str">
        <f>HYPERLINK("https://www.compass.com/listing/416-west-52nd-street-unit-308-manhattan-ny-10019/39594620811810993/","416 W 52nd St, Unit 308")</f>
        <v>416 W 52nd St, Unit 308</v>
      </c>
      <c r="B1080" s="2" t="str">
        <f t="shared" ref="B1080:B1081" si="142">HYPERLINK("https://www.compass.com/building/nine52-manhattan-ny/281945622951555813/","Nine52")</f>
        <v>Nine52</v>
      </c>
      <c r="C1080" s="1" t="s">
        <v>90</v>
      </c>
      <c r="D1080" s="1" t="s">
        <v>41</v>
      </c>
      <c r="E1080" s="3">
        <v>945000</v>
      </c>
      <c r="F1080" s="1">
        <v>1684.49197860962</v>
      </c>
      <c r="G1080" s="1">
        <v>3</v>
      </c>
      <c r="H1080" s="1">
        <v>1</v>
      </c>
      <c r="I1080" s="1">
        <v>1</v>
      </c>
      <c r="J1080" s="1">
        <v>1</v>
      </c>
      <c r="M1080" s="1">
        <v>561</v>
      </c>
      <c r="N1080" s="1">
        <v>438</v>
      </c>
      <c r="O1080" s="1">
        <v>1280</v>
      </c>
      <c r="P1080" s="1">
        <v>842</v>
      </c>
      <c r="Q1080" s="1" t="s">
        <v>42</v>
      </c>
      <c r="S1080" s="1" t="s">
        <v>42</v>
      </c>
      <c r="T1080" s="1" t="s">
        <v>273</v>
      </c>
      <c r="U1080" s="1">
        <v>20</v>
      </c>
      <c r="V1080" s="5">
        <v>43698</v>
      </c>
      <c r="W1080" s="5">
        <v>43306</v>
      </c>
      <c r="X1080" s="1">
        <v>945000</v>
      </c>
      <c r="Y1080" s="1">
        <v>945000</v>
      </c>
      <c r="Z1080" s="5">
        <v>43327</v>
      </c>
      <c r="AA1080" s="1">
        <v>945000</v>
      </c>
      <c r="AB1080" s="1" t="s">
        <v>385</v>
      </c>
      <c r="AC1080" s="5">
        <v>43406</v>
      </c>
      <c r="AF1080" s="1">
        <v>10019</v>
      </c>
      <c r="AI1080" s="1" t="s">
        <v>48</v>
      </c>
      <c r="AJ1080" s="1">
        <v>1940</v>
      </c>
      <c r="AK1080" s="1" t="s">
        <v>55</v>
      </c>
      <c r="AL1080" s="1">
        <v>155</v>
      </c>
    </row>
    <row r="1081" spans="1:38" x14ac:dyDescent="0.2">
      <c r="A1081" s="2" t="str">
        <f>HYPERLINK("https://www.compass.com/listing/416-west-52nd-street-unit-508-manhattan-ny-10019/40292013718966929/","416 W 52nd St, Unit 508")</f>
        <v>416 W 52nd St, Unit 508</v>
      </c>
      <c r="B1081" s="2" t="str">
        <f t="shared" si="142"/>
        <v>Nine52</v>
      </c>
      <c r="C1081" s="1" t="s">
        <v>90</v>
      </c>
      <c r="D1081" s="1" t="s">
        <v>41</v>
      </c>
      <c r="E1081" s="3">
        <v>957000</v>
      </c>
      <c r="G1081" s="1">
        <v>3</v>
      </c>
      <c r="H1081" s="1">
        <v>1</v>
      </c>
      <c r="I1081" s="1">
        <v>1</v>
      </c>
      <c r="J1081" s="1">
        <v>1</v>
      </c>
      <c r="N1081" s="1">
        <v>438</v>
      </c>
      <c r="O1081" s="1">
        <v>1280</v>
      </c>
      <c r="P1081" s="1">
        <v>842</v>
      </c>
      <c r="Q1081" s="1" t="s">
        <v>42</v>
      </c>
      <c r="S1081" s="1" t="s">
        <v>42</v>
      </c>
      <c r="T1081" s="1" t="s">
        <v>273</v>
      </c>
      <c r="U1081" s="1">
        <v>40</v>
      </c>
      <c r="V1081" s="5">
        <v>43699</v>
      </c>
      <c r="W1081" s="5">
        <v>43307</v>
      </c>
      <c r="X1081" s="1">
        <v>965000</v>
      </c>
      <c r="Y1081" s="1">
        <v>965000</v>
      </c>
      <c r="Z1081" s="5">
        <v>43348</v>
      </c>
      <c r="AA1081" s="1">
        <v>957000</v>
      </c>
      <c r="AB1081" s="1" t="s">
        <v>386</v>
      </c>
      <c r="AC1081" s="5">
        <v>43405</v>
      </c>
      <c r="AF1081" s="1">
        <v>10019</v>
      </c>
      <c r="AI1081" s="1" t="s">
        <v>48</v>
      </c>
      <c r="AJ1081" s="1">
        <v>1940</v>
      </c>
      <c r="AK1081" s="1" t="s">
        <v>55</v>
      </c>
      <c r="AL1081" s="1">
        <v>155</v>
      </c>
    </row>
    <row r="1082" spans="1:38" x14ac:dyDescent="0.2">
      <c r="A1082" s="2" t="str">
        <f>HYPERLINK("https://www.compass.com/listing/325-lexington-avenue-unit-24d-manhattan-ny-10016/29379726917319329/","325 Lexington Ave, Unit 24D")</f>
        <v>325 Lexington Ave, Unit 24D</v>
      </c>
      <c r="B1082" s="2" t="str">
        <f t="shared" ref="B1082:B1089" si="143">HYPERLINK("https://www.compass.com/building/325-lex-condominium-manhattan-ny/281939882467713365/","325 Lex Condominium")</f>
        <v>325 Lex Condominium</v>
      </c>
      <c r="C1082" s="1" t="s">
        <v>59</v>
      </c>
      <c r="D1082" s="1" t="s">
        <v>41</v>
      </c>
      <c r="E1082" s="3">
        <v>1440824</v>
      </c>
      <c r="F1082" s="1">
        <v>2240.7834370139899</v>
      </c>
      <c r="G1082" s="1">
        <v>3</v>
      </c>
      <c r="H1082" s="1">
        <v>1</v>
      </c>
      <c r="I1082" s="1">
        <v>1</v>
      </c>
      <c r="J1082" s="1">
        <v>1</v>
      </c>
      <c r="M1082" s="1">
        <v>643</v>
      </c>
      <c r="N1082" s="1">
        <v>937.73</v>
      </c>
      <c r="O1082" s="1">
        <v>1141.8</v>
      </c>
      <c r="P1082" s="1">
        <v>204.083333333333</v>
      </c>
      <c r="Q1082" s="1" t="s">
        <v>42</v>
      </c>
      <c r="S1082" s="1" t="s">
        <v>42</v>
      </c>
      <c r="T1082" s="1" t="s">
        <v>273</v>
      </c>
      <c r="U1082" s="1">
        <v>2</v>
      </c>
      <c r="V1082" s="5">
        <v>43701</v>
      </c>
      <c r="W1082" s="5">
        <v>42420</v>
      </c>
      <c r="X1082" s="1">
        <v>1415000</v>
      </c>
      <c r="Y1082" s="1">
        <v>1415000</v>
      </c>
      <c r="Z1082" s="5">
        <v>42422</v>
      </c>
      <c r="AA1082" s="1">
        <v>1440823.75</v>
      </c>
      <c r="AB1082" s="1" t="s">
        <v>387</v>
      </c>
      <c r="AC1082" s="5">
        <v>42444</v>
      </c>
      <c r="AF1082" s="1">
        <v>10016</v>
      </c>
      <c r="AI1082" s="1" t="s">
        <v>205</v>
      </c>
      <c r="AJ1082" s="1">
        <v>2014</v>
      </c>
      <c r="AK1082" s="1" t="s">
        <v>108</v>
      </c>
      <c r="AL1082" s="1">
        <v>125</v>
      </c>
    </row>
    <row r="1083" spans="1:38" x14ac:dyDescent="0.2">
      <c r="A1083" s="2" t="str">
        <f>HYPERLINK("https://www.compass.com/listing/325-lexington-avenue-unit-19e-manhattan-ny-10016/29379717865949937/","325 Lexington Ave, Unit 19E")</f>
        <v>325 Lexington Ave, Unit 19E</v>
      </c>
      <c r="B1083" s="2" t="str">
        <f t="shared" si="143"/>
        <v>325 Lex Condominium</v>
      </c>
      <c r="C1083" s="1" t="s">
        <v>59</v>
      </c>
      <c r="D1083" s="1" t="s">
        <v>41</v>
      </c>
      <c r="E1083" s="3">
        <v>1336908</v>
      </c>
      <c r="F1083" s="1">
        <v>2072.7248062015501</v>
      </c>
      <c r="G1083" s="1">
        <v>3</v>
      </c>
      <c r="H1083" s="1">
        <v>1</v>
      </c>
      <c r="J1083" s="1">
        <v>1</v>
      </c>
      <c r="M1083" s="1">
        <v>645</v>
      </c>
      <c r="N1083" s="1">
        <v>919.36</v>
      </c>
      <c r="O1083" s="1">
        <v>1119.3599999999999</v>
      </c>
      <c r="P1083" s="1">
        <v>200</v>
      </c>
      <c r="Q1083" s="1" t="s">
        <v>42</v>
      </c>
      <c r="S1083" s="1" t="s">
        <v>42</v>
      </c>
      <c r="T1083" s="1" t="s">
        <v>273</v>
      </c>
      <c r="U1083" s="1">
        <v>77</v>
      </c>
      <c r="V1083" s="5">
        <v>43701</v>
      </c>
      <c r="W1083" s="5">
        <v>42403</v>
      </c>
      <c r="X1083" s="1">
        <v>1310000</v>
      </c>
      <c r="Y1083" s="1">
        <v>1310000</v>
      </c>
      <c r="Z1083" s="5">
        <v>42480</v>
      </c>
      <c r="AA1083" s="1">
        <v>1336907.5</v>
      </c>
      <c r="AB1083" s="1" t="s">
        <v>388</v>
      </c>
      <c r="AC1083" s="5">
        <v>42563</v>
      </c>
      <c r="AF1083" s="1">
        <v>10016</v>
      </c>
      <c r="AI1083" s="1" t="s">
        <v>205</v>
      </c>
      <c r="AJ1083" s="1">
        <v>2014</v>
      </c>
      <c r="AK1083" s="1" t="s">
        <v>108</v>
      </c>
      <c r="AL1083" s="1">
        <v>125</v>
      </c>
    </row>
    <row r="1084" spans="1:38" x14ac:dyDescent="0.2">
      <c r="A1084" s="2" t="str">
        <f>HYPERLINK("https://www.compass.com/listing/325-lexington-avenue-unit-18e-manhattan-ny-10016/29379715257154033/","325 Lexington Ave, Unit 18E")</f>
        <v>325 Lexington Ave, Unit 18E</v>
      </c>
      <c r="B1084" s="2" t="str">
        <f t="shared" si="143"/>
        <v>325 Lex Condominium</v>
      </c>
      <c r="C1084" s="1" t="s">
        <v>59</v>
      </c>
      <c r="D1084" s="1" t="s">
        <v>41</v>
      </c>
      <c r="E1084" s="3">
        <v>1316543</v>
      </c>
      <c r="F1084" s="1">
        <v>2041.1513178294499</v>
      </c>
      <c r="G1084" s="1">
        <v>3</v>
      </c>
      <c r="H1084" s="1">
        <v>1</v>
      </c>
      <c r="I1084" s="1">
        <v>1</v>
      </c>
      <c r="J1084" s="1">
        <v>1</v>
      </c>
      <c r="M1084" s="1">
        <v>645</v>
      </c>
      <c r="N1084" s="1">
        <v>915</v>
      </c>
      <c r="O1084" s="1">
        <v>1114</v>
      </c>
      <c r="P1084" s="1">
        <v>199</v>
      </c>
      <c r="Q1084" s="1" t="s">
        <v>42</v>
      </c>
      <c r="S1084" s="1" t="s">
        <v>42</v>
      </c>
      <c r="T1084" s="1" t="s">
        <v>273</v>
      </c>
      <c r="U1084" s="1">
        <v>2</v>
      </c>
      <c r="V1084" s="5">
        <v>43701</v>
      </c>
      <c r="W1084" s="5">
        <v>42420</v>
      </c>
      <c r="X1084" s="1">
        <v>1290000</v>
      </c>
      <c r="Y1084" s="1">
        <v>1290000</v>
      </c>
      <c r="Z1084" s="5">
        <v>42422</v>
      </c>
      <c r="AA1084" s="1">
        <v>1316542.6000000001</v>
      </c>
      <c r="AB1084" s="1" t="s">
        <v>389</v>
      </c>
      <c r="AC1084" s="5">
        <v>42467</v>
      </c>
      <c r="AF1084" s="1">
        <v>10016</v>
      </c>
      <c r="AI1084" s="1" t="s">
        <v>205</v>
      </c>
      <c r="AJ1084" s="1">
        <v>2014</v>
      </c>
      <c r="AK1084" s="1" t="s">
        <v>108</v>
      </c>
      <c r="AL1084" s="1">
        <v>125</v>
      </c>
    </row>
    <row r="1085" spans="1:38" x14ac:dyDescent="0.2">
      <c r="A1085" s="2" t="str">
        <f>HYPERLINK("https://www.compass.com/listing/325-lexington-avenue-unit-25d-manhattan-ny-10016/29379728502760609/","325 Lexington Ave, Unit 25D")</f>
        <v>325 Lexington Ave, Unit 25D</v>
      </c>
      <c r="B1085" s="2" t="str">
        <f t="shared" si="143"/>
        <v>325 Lex Condominium</v>
      </c>
      <c r="C1085" s="1" t="s">
        <v>59</v>
      </c>
      <c r="D1085" s="1" t="s">
        <v>41</v>
      </c>
      <c r="E1085" s="3">
        <v>1456098</v>
      </c>
      <c r="F1085" s="1">
        <v>2264.5373250388802</v>
      </c>
      <c r="G1085" s="1">
        <v>3</v>
      </c>
      <c r="H1085" s="1">
        <v>1</v>
      </c>
      <c r="I1085" s="1">
        <v>1</v>
      </c>
      <c r="J1085" s="1">
        <v>1</v>
      </c>
      <c r="M1085" s="1">
        <v>643</v>
      </c>
      <c r="N1085" s="1">
        <v>941.97</v>
      </c>
      <c r="O1085" s="1">
        <v>1146.97</v>
      </c>
      <c r="P1085" s="1">
        <v>205</v>
      </c>
      <c r="Q1085" s="1" t="s">
        <v>42</v>
      </c>
      <c r="S1085" s="1" t="s">
        <v>42</v>
      </c>
      <c r="T1085" s="1" t="s">
        <v>273</v>
      </c>
      <c r="U1085" s="1">
        <v>2</v>
      </c>
      <c r="V1085" s="5">
        <v>43701</v>
      </c>
      <c r="W1085" s="5">
        <v>42420</v>
      </c>
      <c r="X1085" s="1">
        <v>1430000</v>
      </c>
      <c r="Y1085" s="1">
        <v>1430000</v>
      </c>
      <c r="Z1085" s="5">
        <v>42422</v>
      </c>
      <c r="AA1085" s="1">
        <v>1456097.5</v>
      </c>
      <c r="AB1085" s="1" t="s">
        <v>390</v>
      </c>
      <c r="AC1085" s="5">
        <v>42444</v>
      </c>
      <c r="AF1085" s="1">
        <v>10016</v>
      </c>
      <c r="AI1085" s="1" t="s">
        <v>205</v>
      </c>
      <c r="AJ1085" s="1">
        <v>2014</v>
      </c>
      <c r="AK1085" s="1" t="s">
        <v>108</v>
      </c>
      <c r="AL1085" s="1">
        <v>125</v>
      </c>
    </row>
    <row r="1086" spans="1:38" x14ac:dyDescent="0.2">
      <c r="A1086" s="2" t="str">
        <f>HYPERLINK("https://www.compass.com/listing/325-lexington-avenue-unit-28d-manhattan-ny-10016/29379735247146001/","325 Lexington Ave, Unit 28D")</f>
        <v>325 Lexington Ave, Unit 28D</v>
      </c>
      <c r="B1086" s="2" t="str">
        <f t="shared" si="143"/>
        <v>325 Lex Condominium</v>
      </c>
      <c r="C1086" s="1" t="s">
        <v>59</v>
      </c>
      <c r="D1086" s="1" t="s">
        <v>41</v>
      </c>
      <c r="E1086" s="3">
        <v>1494736</v>
      </c>
      <c r="F1086" s="1">
        <v>2324.6286936236302</v>
      </c>
      <c r="G1086" s="1">
        <v>3</v>
      </c>
      <c r="H1086" s="1">
        <v>1</v>
      </c>
      <c r="J1086" s="1">
        <v>1</v>
      </c>
      <c r="M1086" s="1">
        <v>643</v>
      </c>
      <c r="N1086" s="1">
        <v>954.7</v>
      </c>
      <c r="O1086" s="1">
        <v>1162.46</v>
      </c>
      <c r="P1086" s="1">
        <v>207.75</v>
      </c>
      <c r="Q1086" s="1" t="s">
        <v>42</v>
      </c>
      <c r="S1086" s="1" t="s">
        <v>42</v>
      </c>
      <c r="T1086" s="1" t="s">
        <v>273</v>
      </c>
      <c r="U1086" s="1">
        <v>22</v>
      </c>
      <c r="V1086" s="5">
        <v>43887</v>
      </c>
      <c r="W1086" s="5">
        <v>42422</v>
      </c>
      <c r="X1086" s="1">
        <v>1465000</v>
      </c>
      <c r="Y1086" s="1">
        <v>1465000</v>
      </c>
      <c r="Z1086" s="5">
        <v>42483</v>
      </c>
      <c r="AA1086" s="1">
        <v>1494736.25</v>
      </c>
      <c r="AB1086" s="1" t="s">
        <v>391</v>
      </c>
      <c r="AC1086" s="5">
        <v>42543</v>
      </c>
      <c r="AF1086" s="1">
        <v>10016</v>
      </c>
      <c r="AI1086" s="1" t="s">
        <v>205</v>
      </c>
      <c r="AJ1086" s="1">
        <v>2014</v>
      </c>
      <c r="AK1086" s="1" t="s">
        <v>108</v>
      </c>
      <c r="AL1086" s="1">
        <v>125</v>
      </c>
    </row>
    <row r="1087" spans="1:38" x14ac:dyDescent="0.2">
      <c r="A1087" s="2" t="str">
        <f>HYPERLINK("https://www.compass.com/listing/325-lexington-avenue-unit-5d-manhattan-ny-10016/29379688933701633/","325 Lexington Ave, Unit 5D")</f>
        <v>325 Lexington Ave, Unit 5D</v>
      </c>
      <c r="B1087" s="2" t="str">
        <f t="shared" si="143"/>
        <v>325 Lex Condominium</v>
      </c>
      <c r="C1087" s="1" t="s">
        <v>59</v>
      </c>
      <c r="D1087" s="1" t="s">
        <v>41</v>
      </c>
      <c r="E1087" s="3">
        <v>1194353</v>
      </c>
      <c r="F1087" s="1">
        <v>1511.83860759493</v>
      </c>
      <c r="G1087" s="1">
        <v>3</v>
      </c>
      <c r="H1087" s="1">
        <v>1</v>
      </c>
      <c r="I1087" s="1">
        <v>1</v>
      </c>
      <c r="J1087" s="1">
        <v>1</v>
      </c>
      <c r="M1087" s="1">
        <v>790</v>
      </c>
      <c r="N1087" s="1">
        <v>1058</v>
      </c>
      <c r="O1087" s="1">
        <v>1259.9100000000001</v>
      </c>
      <c r="P1087" s="1">
        <v>201.916666666666</v>
      </c>
      <c r="Q1087" s="1" t="s">
        <v>42</v>
      </c>
      <c r="S1087" s="1" t="s">
        <v>42</v>
      </c>
      <c r="T1087" s="1" t="s">
        <v>273</v>
      </c>
      <c r="U1087" s="1">
        <v>19</v>
      </c>
      <c r="V1087" s="5">
        <v>43701</v>
      </c>
      <c r="W1087" s="5">
        <v>42389</v>
      </c>
      <c r="X1087" s="1">
        <v>1170000</v>
      </c>
      <c r="Y1087" s="1">
        <v>1170000</v>
      </c>
      <c r="Z1087" s="5">
        <v>42408</v>
      </c>
      <c r="AA1087" s="1">
        <v>1194352.5</v>
      </c>
      <c r="AB1087" s="1" t="s">
        <v>392</v>
      </c>
      <c r="AC1087" s="5">
        <v>42461</v>
      </c>
      <c r="AF1087" s="1">
        <v>10016</v>
      </c>
      <c r="AI1087" s="1" t="s">
        <v>205</v>
      </c>
      <c r="AJ1087" s="1">
        <v>2014</v>
      </c>
      <c r="AK1087" s="1" t="s">
        <v>108</v>
      </c>
      <c r="AL1087" s="1">
        <v>125</v>
      </c>
    </row>
    <row r="1088" spans="1:38" x14ac:dyDescent="0.2">
      <c r="A1088" s="2" t="str">
        <f>HYPERLINK("https://www.compass.com/listing/325-lexington-avenue-unit-20e-manhattan-ny-10016/29379719937991713/","325 Lexington Ave, Unit 20E")</f>
        <v>325 Lexington Ave, Unit 20E</v>
      </c>
      <c r="B1088" s="2" t="str">
        <f t="shared" si="143"/>
        <v>325 Lex Condominium</v>
      </c>
      <c r="C1088" s="1" t="s">
        <v>59</v>
      </c>
      <c r="D1088" s="1" t="s">
        <v>41</v>
      </c>
      <c r="E1088" s="3">
        <v>1357273</v>
      </c>
      <c r="F1088" s="1">
        <v>2104.2984496124</v>
      </c>
      <c r="G1088" s="1">
        <v>3</v>
      </c>
      <c r="H1088" s="1">
        <v>1</v>
      </c>
      <c r="J1088" s="1">
        <v>1</v>
      </c>
      <c r="M1088" s="1">
        <v>645</v>
      </c>
      <c r="N1088" s="1">
        <v>923.62</v>
      </c>
      <c r="O1088" s="1">
        <v>1124.6099999999999</v>
      </c>
      <c r="P1088" s="1">
        <v>201</v>
      </c>
      <c r="Q1088" s="1" t="s">
        <v>42</v>
      </c>
      <c r="S1088" s="1" t="s">
        <v>42</v>
      </c>
      <c r="T1088" s="1" t="s">
        <v>273</v>
      </c>
      <c r="U1088" s="1">
        <v>12</v>
      </c>
      <c r="V1088" s="5">
        <v>43887</v>
      </c>
      <c r="W1088" s="5">
        <v>42422</v>
      </c>
      <c r="X1088" s="1">
        <v>1330000</v>
      </c>
      <c r="Y1088" s="1">
        <v>1330000</v>
      </c>
      <c r="Z1088" s="5">
        <v>42487</v>
      </c>
      <c r="AA1088" s="1">
        <v>1357272.5</v>
      </c>
      <c r="AB1088" s="1" t="s">
        <v>393</v>
      </c>
      <c r="AC1088" s="5">
        <v>42557</v>
      </c>
      <c r="AF1088" s="1">
        <v>10016</v>
      </c>
      <c r="AI1088" s="1" t="s">
        <v>205</v>
      </c>
      <c r="AJ1088" s="1">
        <v>2014</v>
      </c>
      <c r="AK1088" s="1" t="s">
        <v>108</v>
      </c>
      <c r="AL1088" s="1">
        <v>125</v>
      </c>
    </row>
    <row r="1089" spans="1:38" x14ac:dyDescent="0.2">
      <c r="A1089" s="2" t="str">
        <f>HYPERLINK("https://www.compass.com/listing/325-lexington-avenue-unit-16e-manhattan-ny-10016/29379710785964657/","325 Lexington Ave, Unit 16E")</f>
        <v>325 Lexington Ave, Unit 16E</v>
      </c>
      <c r="B1089" s="2" t="str">
        <f t="shared" si="143"/>
        <v>325 Lex Condominium</v>
      </c>
      <c r="C1089" s="1" t="s">
        <v>59</v>
      </c>
      <c r="D1089" s="1" t="s">
        <v>41</v>
      </c>
      <c r="E1089" s="3">
        <v>1216809</v>
      </c>
      <c r="F1089" s="1">
        <v>1886.5251937984399</v>
      </c>
      <c r="G1089" s="1">
        <v>3</v>
      </c>
      <c r="H1089" s="1">
        <v>1</v>
      </c>
      <c r="I1089" s="1">
        <v>1</v>
      </c>
      <c r="J1089" s="1">
        <v>1</v>
      </c>
      <c r="M1089" s="1">
        <v>645</v>
      </c>
      <c r="N1089" s="1">
        <v>906</v>
      </c>
      <c r="O1089" s="1">
        <v>1103</v>
      </c>
      <c r="P1089" s="1">
        <v>197</v>
      </c>
      <c r="Q1089" s="1" t="s">
        <v>42</v>
      </c>
      <c r="S1089" s="1" t="s">
        <v>42</v>
      </c>
      <c r="T1089" s="1" t="s">
        <v>273</v>
      </c>
      <c r="U1089" s="1">
        <v>33</v>
      </c>
      <c r="V1089" s="5">
        <v>43701</v>
      </c>
      <c r="W1089" s="5">
        <v>42389</v>
      </c>
      <c r="X1089" s="1">
        <v>1195000</v>
      </c>
      <c r="Y1089" s="1">
        <v>1195000</v>
      </c>
      <c r="Z1089" s="5">
        <v>42430</v>
      </c>
      <c r="AA1089" s="1">
        <v>1216808.75</v>
      </c>
      <c r="AB1089" s="1" t="s">
        <v>394</v>
      </c>
      <c r="AC1089" s="5">
        <v>42443</v>
      </c>
      <c r="AF1089" s="1">
        <v>10016</v>
      </c>
      <c r="AI1089" s="1" t="s">
        <v>205</v>
      </c>
      <c r="AJ1089" s="1">
        <v>2014</v>
      </c>
      <c r="AK1089" s="1" t="s">
        <v>108</v>
      </c>
      <c r="AL1089" s="1">
        <v>125</v>
      </c>
    </row>
    <row r="1090" spans="1:38" x14ac:dyDescent="0.2">
      <c r="A1090" s="2" t="str">
        <f>HYPERLINK("https://www.compass.com/listing/1-west-end-avenue-unit-8j-manhattan-ny-10069/602920725550438273/","1 W End Ave, Unit 8J")</f>
        <v>1 W End Ave, Unit 8J</v>
      </c>
      <c r="B1090" s="2" t="str">
        <f>HYPERLINK("https://www.compass.com/building/1-w-end-ave-manhattan-ny-10069/455676159137755317/","1 W End Ave")</f>
        <v>1 W End Ave</v>
      </c>
      <c r="C1090" s="1" t="s">
        <v>57</v>
      </c>
      <c r="D1090" s="1" t="s">
        <v>41</v>
      </c>
      <c r="E1090" s="3">
        <v>2550000</v>
      </c>
      <c r="F1090" s="1">
        <v>1726.4725795531399</v>
      </c>
      <c r="G1090" s="1">
        <v>4</v>
      </c>
      <c r="H1090" s="1">
        <v>2</v>
      </c>
      <c r="I1090" s="1">
        <v>3</v>
      </c>
      <c r="J1090" s="1">
        <v>2.5</v>
      </c>
      <c r="K1090" s="1">
        <v>2</v>
      </c>
      <c r="L1090" s="1">
        <v>1</v>
      </c>
      <c r="M1090" s="4">
        <v>1477</v>
      </c>
      <c r="N1090" s="1">
        <v>101</v>
      </c>
      <c r="O1090" s="1">
        <v>1788</v>
      </c>
      <c r="P1090" s="1">
        <v>1687</v>
      </c>
      <c r="Q1090" s="1" t="s">
        <v>42</v>
      </c>
      <c r="S1090" s="1" t="s">
        <v>42</v>
      </c>
      <c r="T1090" s="1" t="s">
        <v>273</v>
      </c>
      <c r="U1090" s="1">
        <v>56</v>
      </c>
      <c r="V1090" s="5">
        <v>44225</v>
      </c>
      <c r="W1090" s="5">
        <v>44084</v>
      </c>
      <c r="X1090" s="1">
        <v>2695000</v>
      </c>
      <c r="Y1090" s="1">
        <v>2695000</v>
      </c>
      <c r="Z1090" s="5">
        <v>44141</v>
      </c>
      <c r="AA1090" s="1">
        <v>2550000</v>
      </c>
      <c r="AB1090" s="1" t="s">
        <v>395</v>
      </c>
      <c r="AC1090" s="5">
        <v>44222</v>
      </c>
      <c r="AF1090" s="1">
        <v>10069</v>
      </c>
      <c r="AI1090" s="1" t="s">
        <v>396</v>
      </c>
      <c r="AJ1090" s="1">
        <v>2017</v>
      </c>
      <c r="AK1090" s="1" t="s">
        <v>49</v>
      </c>
      <c r="AL1090" s="1">
        <v>246</v>
      </c>
    </row>
    <row r="1091" spans="1:38" x14ac:dyDescent="0.2">
      <c r="A1091" s="2" t="str">
        <f>HYPERLINK("https://www.compass.com/listing/325-lexington-avenue-unit-27d-manhattan-ny-10016/29379733586257153/","325 Lexington Ave, Unit 27D")</f>
        <v>325 Lexington Ave, Unit 27D</v>
      </c>
      <c r="B1091" s="2" t="str">
        <f t="shared" ref="B1091:B1092" si="144">HYPERLINK("https://www.compass.com/building/325-lex-condominium-manhattan-ny/281939882467713365/","325 Lex Condominium")</f>
        <v>325 Lex Condominium</v>
      </c>
      <c r="C1091" s="1" t="s">
        <v>59</v>
      </c>
      <c r="D1091" s="1" t="s">
        <v>41</v>
      </c>
      <c r="E1091" s="3">
        <v>1471371</v>
      </c>
      <c r="F1091" s="1">
        <v>2288.2912130637601</v>
      </c>
      <c r="G1091" s="1">
        <v>3</v>
      </c>
      <c r="H1091" s="1">
        <v>1</v>
      </c>
      <c r="I1091" s="1">
        <v>1</v>
      </c>
      <c r="J1091" s="1">
        <v>1</v>
      </c>
      <c r="M1091" s="1">
        <v>643</v>
      </c>
      <c r="N1091" s="1">
        <v>950</v>
      </c>
      <c r="O1091" s="1">
        <v>1157</v>
      </c>
      <c r="P1091" s="1">
        <v>207</v>
      </c>
      <c r="Q1091" s="1" t="s">
        <v>42</v>
      </c>
      <c r="S1091" s="1" t="s">
        <v>42</v>
      </c>
      <c r="T1091" s="1" t="s">
        <v>273</v>
      </c>
      <c r="U1091" s="1">
        <v>70</v>
      </c>
      <c r="V1091" s="5">
        <v>43701</v>
      </c>
      <c r="W1091" s="5">
        <v>42382</v>
      </c>
      <c r="X1091" s="1">
        <v>1445000</v>
      </c>
      <c r="Y1091" s="1">
        <v>1445000</v>
      </c>
      <c r="Z1091" s="5">
        <v>42460</v>
      </c>
      <c r="AA1091" s="1">
        <v>1471371.25</v>
      </c>
      <c r="AB1091" s="1" t="s">
        <v>397</v>
      </c>
      <c r="AC1091" s="5">
        <v>42489</v>
      </c>
      <c r="AF1091" s="1">
        <v>10016</v>
      </c>
      <c r="AI1091" s="1" t="s">
        <v>205</v>
      </c>
      <c r="AJ1091" s="1">
        <v>2014</v>
      </c>
      <c r="AK1091" s="1" t="s">
        <v>108</v>
      </c>
      <c r="AL1091" s="1">
        <v>125</v>
      </c>
    </row>
    <row r="1092" spans="1:38" x14ac:dyDescent="0.2">
      <c r="A1092" s="2" t="str">
        <f>HYPERLINK("https://www.compass.com/listing/325-lexington-avenue-unit-22b-manhattan-ny-10016/29509811200656561/","325 Lexington Ave, Unit 22B")</f>
        <v>325 Lexington Ave, Unit 22B</v>
      </c>
      <c r="B1092" s="2" t="str">
        <f t="shared" si="144"/>
        <v>325 Lex Condominium</v>
      </c>
      <c r="C1092" s="1" t="s">
        <v>59</v>
      </c>
      <c r="D1092" s="1" t="s">
        <v>41</v>
      </c>
      <c r="E1092" s="3">
        <v>1600000</v>
      </c>
      <c r="F1092" s="1">
        <v>2015.1133501259401</v>
      </c>
      <c r="G1092" s="1">
        <v>3</v>
      </c>
      <c r="H1092" s="1">
        <v>1</v>
      </c>
      <c r="J1092" s="1">
        <v>1</v>
      </c>
      <c r="M1092" s="1">
        <v>794</v>
      </c>
      <c r="N1092" s="1">
        <v>1028.19</v>
      </c>
      <c r="O1092" s="1">
        <v>1459.22</v>
      </c>
      <c r="P1092" s="1">
        <v>431</v>
      </c>
      <c r="Q1092" s="1" t="s">
        <v>42</v>
      </c>
      <c r="S1092" s="1" t="s">
        <v>42</v>
      </c>
      <c r="T1092" s="1" t="s">
        <v>273</v>
      </c>
      <c r="U1092" s="1">
        <v>146</v>
      </c>
      <c r="V1092" s="5">
        <v>43340</v>
      </c>
      <c r="W1092" s="5">
        <v>43144</v>
      </c>
      <c r="X1092" s="1">
        <v>1811000</v>
      </c>
      <c r="Y1092" s="1">
        <v>1695000</v>
      </c>
      <c r="Z1092" s="5">
        <v>43290</v>
      </c>
      <c r="AA1092" s="1">
        <v>1600000</v>
      </c>
      <c r="AB1092" s="1" t="s">
        <v>398</v>
      </c>
      <c r="AC1092" s="5">
        <v>43336</v>
      </c>
      <c r="AF1092" s="1">
        <v>10016</v>
      </c>
      <c r="AI1092" s="1" t="s">
        <v>205</v>
      </c>
      <c r="AJ1092" s="1">
        <v>2014</v>
      </c>
      <c r="AK1092" s="1" t="s">
        <v>108</v>
      </c>
      <c r="AL1092" s="1">
        <v>125</v>
      </c>
    </row>
    <row r="1093" spans="1:38" x14ac:dyDescent="0.2">
      <c r="A1093" s="2" t="str">
        <f>HYPERLINK("https://www.compass.com/listing/425-west-50th-street-unit-14c-manhattan-ny-10019/185567203901356593/","425 W 50th St, Unit 14C")</f>
        <v>425 W 50th St, Unit 14C</v>
      </c>
      <c r="B1093" s="2" t="str">
        <f t="shared" ref="B1093:B1094" si="145">HYPERLINK("https://www.compass.com/building/stella-tower-manhattan-ny/281945855710262181/","Stella Tower")</f>
        <v>Stella Tower</v>
      </c>
      <c r="C1093" s="1" t="s">
        <v>90</v>
      </c>
      <c r="D1093" s="1" t="s">
        <v>41</v>
      </c>
      <c r="E1093" s="3">
        <v>1800000</v>
      </c>
      <c r="F1093" s="1">
        <v>1960.7843137254899</v>
      </c>
      <c r="G1093" s="1">
        <v>3</v>
      </c>
      <c r="H1093" s="1">
        <v>1</v>
      </c>
      <c r="I1093" s="1">
        <v>2</v>
      </c>
      <c r="J1093" s="1">
        <v>1.5</v>
      </c>
      <c r="K1093" s="1">
        <v>1</v>
      </c>
      <c r="L1093" s="1">
        <v>1</v>
      </c>
      <c r="M1093" s="1">
        <v>918</v>
      </c>
      <c r="N1093" s="1">
        <v>1133</v>
      </c>
      <c r="O1093" s="1">
        <v>2393</v>
      </c>
      <c r="P1093" s="1">
        <v>1260</v>
      </c>
      <c r="Q1093" s="1" t="s">
        <v>42</v>
      </c>
      <c r="S1093" s="1" t="s">
        <v>42</v>
      </c>
      <c r="T1093" s="1" t="s">
        <v>273</v>
      </c>
      <c r="U1093" s="1">
        <v>52</v>
      </c>
      <c r="V1093" s="5">
        <v>43684</v>
      </c>
      <c r="W1093" s="5">
        <v>43579</v>
      </c>
      <c r="X1093" s="1">
        <v>1850000</v>
      </c>
      <c r="Y1093" s="1">
        <v>1850000</v>
      </c>
      <c r="Z1093" s="5">
        <v>43631</v>
      </c>
      <c r="AA1093" s="1">
        <v>1800000</v>
      </c>
      <c r="AB1093" s="1" t="s">
        <v>399</v>
      </c>
      <c r="AC1093" s="5">
        <v>43677</v>
      </c>
      <c r="AF1093" s="1">
        <v>10019</v>
      </c>
      <c r="AI1093" s="1" t="s">
        <v>80</v>
      </c>
      <c r="AJ1093" s="1">
        <v>1930</v>
      </c>
      <c r="AK1093" s="1" t="s">
        <v>49</v>
      </c>
      <c r="AL1093" s="1">
        <v>51</v>
      </c>
    </row>
    <row r="1094" spans="1:38" x14ac:dyDescent="0.2">
      <c r="A1094" s="2" t="str">
        <f>HYPERLINK("https://www.compass.com/listing/425-west-50th-street-unit-10j-manhattan-ny-10019/436820726466220313/","425 W 50th St, Unit 10J")</f>
        <v>425 W 50th St, Unit 10J</v>
      </c>
      <c r="B1094" s="2" t="str">
        <f t="shared" si="145"/>
        <v>Stella Tower</v>
      </c>
      <c r="C1094" s="1" t="s">
        <v>90</v>
      </c>
      <c r="D1094" s="1" t="s">
        <v>41</v>
      </c>
      <c r="E1094" s="3">
        <v>1475000</v>
      </c>
      <c r="F1094" s="1">
        <v>1414.1898370086201</v>
      </c>
      <c r="G1094" s="1">
        <v>3</v>
      </c>
      <c r="H1094" s="1">
        <v>1</v>
      </c>
      <c r="I1094" s="1">
        <v>1</v>
      </c>
      <c r="J1094" s="1">
        <v>1</v>
      </c>
      <c r="K1094" s="1">
        <v>1</v>
      </c>
      <c r="M1094" s="4">
        <v>1043</v>
      </c>
      <c r="N1094" s="1">
        <v>1411</v>
      </c>
      <c r="O1094" s="1">
        <v>2751</v>
      </c>
      <c r="P1094" s="1">
        <v>1340</v>
      </c>
      <c r="Q1094" s="1" t="s">
        <v>42</v>
      </c>
      <c r="S1094" s="1" t="s">
        <v>42</v>
      </c>
      <c r="T1094" s="1" t="s">
        <v>273</v>
      </c>
      <c r="U1094" s="1">
        <v>140</v>
      </c>
      <c r="V1094" s="5">
        <v>44239</v>
      </c>
      <c r="W1094" s="5">
        <v>43859</v>
      </c>
      <c r="X1094" s="1">
        <v>1595000</v>
      </c>
      <c r="Y1094" s="1">
        <v>1525000</v>
      </c>
      <c r="Z1094" s="5">
        <v>44180</v>
      </c>
      <c r="AA1094" s="1">
        <v>1475000</v>
      </c>
      <c r="AB1094" s="1" t="s">
        <v>400</v>
      </c>
      <c r="AC1094" s="5">
        <v>44235</v>
      </c>
      <c r="AF1094" s="1">
        <v>10019</v>
      </c>
      <c r="AI1094" s="1" t="s">
        <v>80</v>
      </c>
      <c r="AJ1094" s="1">
        <v>1930</v>
      </c>
      <c r="AK1094" s="1" t="s">
        <v>49</v>
      </c>
      <c r="AL1094" s="1">
        <v>51</v>
      </c>
    </row>
    <row r="1095" spans="1:38" x14ac:dyDescent="0.2">
      <c r="A1095" s="2" t="str">
        <f>HYPERLINK("https://www.compass.com/listing/100-east-53rd-street-unit-25b-manhattan-ny-10022/29514416789652881/","100 E 53rd St, Unit 25B")</f>
        <v>100 E 53rd St, Unit 25B</v>
      </c>
      <c r="B1095" s="2" t="str">
        <f>HYPERLINK("https://www.compass.com/building/100-east-53rd-street-manhattan-ny/281952230490310325/","100 East 53rd Street ")</f>
        <v xml:space="preserve">100 East 53rd Street </v>
      </c>
      <c r="C1095" s="1" t="s">
        <v>116</v>
      </c>
      <c r="D1095" s="1" t="s">
        <v>41</v>
      </c>
      <c r="E1095" s="3">
        <v>424497</v>
      </c>
      <c r="F1095" s="1">
        <v>308.72509090909</v>
      </c>
      <c r="G1095" s="1">
        <v>3</v>
      </c>
      <c r="H1095" s="1">
        <v>1</v>
      </c>
      <c r="I1095" s="1">
        <v>2</v>
      </c>
      <c r="J1095" s="1">
        <v>1.5</v>
      </c>
      <c r="K1095" s="1">
        <v>1</v>
      </c>
      <c r="L1095" s="1">
        <v>1</v>
      </c>
      <c r="M1095" s="4">
        <v>1375</v>
      </c>
      <c r="N1095" s="1">
        <v>2288.54</v>
      </c>
      <c r="O1095" s="1">
        <v>4480.05</v>
      </c>
      <c r="P1095" s="1">
        <v>2191.5</v>
      </c>
      <c r="Q1095" s="1" t="s">
        <v>42</v>
      </c>
      <c r="S1095" s="1" t="s">
        <v>42</v>
      </c>
      <c r="T1095" s="1" t="s">
        <v>273</v>
      </c>
      <c r="U1095" s="1">
        <v>433</v>
      </c>
      <c r="V1095" s="5">
        <v>43639</v>
      </c>
      <c r="W1095" s="5">
        <v>43167</v>
      </c>
      <c r="X1095" s="1">
        <v>2765000</v>
      </c>
      <c r="Y1095" s="1">
        <v>2765000</v>
      </c>
      <c r="Z1095" s="5">
        <v>43601</v>
      </c>
      <c r="AA1095" s="1">
        <v>424497</v>
      </c>
      <c r="AB1095" s="1" t="s">
        <v>275</v>
      </c>
      <c r="AC1095" s="5">
        <v>43608</v>
      </c>
      <c r="AF1095" s="1">
        <v>10022</v>
      </c>
      <c r="AJ1095" s="1">
        <v>2017</v>
      </c>
      <c r="AK1095" s="1" t="s">
        <v>46</v>
      </c>
      <c r="AL1095" s="1">
        <v>94</v>
      </c>
    </row>
    <row r="1096" spans="1:38" x14ac:dyDescent="0.2">
      <c r="A1096" s="2" t="str">
        <f>HYPERLINK("https://www.compass.com/listing/1-west-end-avenue-unit-23d-manhattan-ny-10069/690004822255189121/","1 W End Ave, Unit 23D")</f>
        <v>1 W End Ave, Unit 23D</v>
      </c>
      <c r="B1096" s="2" t="str">
        <f>HYPERLINK("https://www.compass.com/building/1-w-end-ave-manhattan-ny-10069/455676159137755317/","1 W End Ave")</f>
        <v>1 W End Ave</v>
      </c>
      <c r="C1096" s="1" t="s">
        <v>57</v>
      </c>
      <c r="D1096" s="1" t="s">
        <v>41</v>
      </c>
      <c r="E1096" s="3">
        <v>2900000</v>
      </c>
      <c r="F1096" s="1">
        <v>1834.28209993674</v>
      </c>
      <c r="G1096" s="1">
        <v>4</v>
      </c>
      <c r="H1096" s="1">
        <v>2</v>
      </c>
      <c r="I1096" s="1">
        <v>3</v>
      </c>
      <c r="J1096" s="1">
        <v>2.5</v>
      </c>
      <c r="K1096" s="1">
        <v>2</v>
      </c>
      <c r="L1096" s="1">
        <v>1</v>
      </c>
      <c r="M1096" s="4">
        <v>1581</v>
      </c>
      <c r="N1096" s="1">
        <v>1805.99</v>
      </c>
      <c r="O1096" s="1">
        <v>1908.41</v>
      </c>
      <c r="P1096" s="1">
        <v>102.416666666666</v>
      </c>
      <c r="S1096" s="1" t="s">
        <v>42</v>
      </c>
      <c r="T1096" s="1" t="s">
        <v>273</v>
      </c>
      <c r="U1096" s="1">
        <v>138</v>
      </c>
      <c r="V1096" s="5">
        <v>44426</v>
      </c>
      <c r="W1096" s="5">
        <v>44207</v>
      </c>
      <c r="X1096" s="1">
        <v>3095000</v>
      </c>
      <c r="Y1096" s="1">
        <v>3095000</v>
      </c>
      <c r="Z1096" s="5">
        <v>44346</v>
      </c>
      <c r="AA1096" s="1">
        <v>2900000</v>
      </c>
      <c r="AB1096" s="1" t="s">
        <v>275</v>
      </c>
      <c r="AC1096" s="5">
        <v>44426</v>
      </c>
      <c r="AF1096" s="1">
        <v>10069</v>
      </c>
      <c r="AI1096" s="1" t="s">
        <v>205</v>
      </c>
      <c r="AJ1096" s="1">
        <v>2017</v>
      </c>
      <c r="AK1096" s="1" t="s">
        <v>49</v>
      </c>
      <c r="AL1096" s="1">
        <v>246</v>
      </c>
    </row>
    <row r="1097" spans="1:38" x14ac:dyDescent="0.2">
      <c r="A1097" s="2" t="str">
        <f>HYPERLINK("https://www.compass.com/listing/416-west-52nd-street-unit-426-manhattan-ny-10019/273865911692196401/","416 W 52nd St, Unit 426")</f>
        <v>416 W 52nd St, Unit 426</v>
      </c>
      <c r="B1097" s="2" t="str">
        <f>HYPERLINK("https://www.compass.com/building/nine52-manhattan-ny/281945622951555813/","Nine52")</f>
        <v>Nine52</v>
      </c>
      <c r="C1097" s="1" t="s">
        <v>90</v>
      </c>
      <c r="D1097" s="1" t="s">
        <v>41</v>
      </c>
      <c r="E1097" s="3">
        <v>1450000</v>
      </c>
      <c r="F1097" s="1">
        <v>1466.1274014155699</v>
      </c>
      <c r="G1097" s="1">
        <v>5</v>
      </c>
      <c r="H1097" s="1">
        <v>2</v>
      </c>
      <c r="I1097" s="1">
        <v>2</v>
      </c>
      <c r="J1097" s="1">
        <v>2</v>
      </c>
      <c r="K1097" s="1">
        <v>2</v>
      </c>
      <c r="M1097" s="1">
        <v>989</v>
      </c>
      <c r="N1097" s="1">
        <v>772</v>
      </c>
      <c r="O1097" s="1">
        <v>2251</v>
      </c>
      <c r="P1097" s="1">
        <v>1479</v>
      </c>
      <c r="Q1097" s="1" t="s">
        <v>42</v>
      </c>
      <c r="S1097" s="1" t="s">
        <v>42</v>
      </c>
      <c r="T1097" s="1" t="s">
        <v>273</v>
      </c>
      <c r="U1097" s="1">
        <v>100</v>
      </c>
      <c r="V1097" s="5">
        <v>43771</v>
      </c>
      <c r="W1097" s="5">
        <v>43631</v>
      </c>
      <c r="X1097" s="1">
        <v>1499000</v>
      </c>
      <c r="Y1097" s="1">
        <v>1499000</v>
      </c>
      <c r="Z1097" s="5">
        <v>43731</v>
      </c>
      <c r="AA1097" s="1">
        <v>1450000</v>
      </c>
      <c r="AB1097" s="1" t="s">
        <v>401</v>
      </c>
      <c r="AC1097" s="5">
        <v>43763</v>
      </c>
      <c r="AF1097" s="1">
        <v>10019</v>
      </c>
      <c r="AI1097" s="1" t="s">
        <v>48</v>
      </c>
      <c r="AJ1097" s="1">
        <v>1940</v>
      </c>
      <c r="AK1097" s="1" t="s">
        <v>49</v>
      </c>
      <c r="AL1097" s="1">
        <v>155</v>
      </c>
    </row>
    <row r="1098" spans="1:38" x14ac:dyDescent="0.2">
      <c r="A1098" s="2" t="str">
        <f>HYPERLINK("https://www.compass.com/listing/172-madison-avenue-unit-16c-manhattan-ny-10016/4852351596639560561/","172 Madison Ave, Unit 16C")</f>
        <v>172 Madison Ave, Unit 16C</v>
      </c>
      <c r="B1098" s="2" t="str">
        <f t="shared" ref="B1098:B1099" si="146">HYPERLINK("https://www.compass.com/building/172-madison-ave-manhattan-ny-10016/281937956250376981/","172 Madison Ave")</f>
        <v>172 Madison Ave</v>
      </c>
      <c r="C1098" s="1" t="s">
        <v>120</v>
      </c>
      <c r="D1098" s="1" t="s">
        <v>41</v>
      </c>
      <c r="E1098" s="3">
        <v>1848124</v>
      </c>
      <c r="F1098" s="1">
        <v>2074.2129629629599</v>
      </c>
      <c r="G1098" s="1">
        <v>3</v>
      </c>
      <c r="H1098" s="1">
        <v>1</v>
      </c>
      <c r="J1098" s="1">
        <v>1.5</v>
      </c>
      <c r="M1098" s="1">
        <v>891</v>
      </c>
      <c r="N1098" s="1">
        <v>1332</v>
      </c>
      <c r="O1098" s="1">
        <v>2240</v>
      </c>
      <c r="P1098" s="1">
        <v>908</v>
      </c>
      <c r="Q1098" s="1" t="s">
        <v>42</v>
      </c>
      <c r="S1098" s="1" t="s">
        <v>42</v>
      </c>
      <c r="T1098" s="1" t="s">
        <v>273</v>
      </c>
      <c r="U1098" s="1">
        <v>329</v>
      </c>
      <c r="V1098" s="5">
        <v>43162</v>
      </c>
      <c r="W1098" s="5">
        <v>42832</v>
      </c>
      <c r="X1098" s="1">
        <v>2000000</v>
      </c>
      <c r="Y1098" s="1">
        <v>1800000</v>
      </c>
      <c r="AA1098" s="1">
        <v>1848123.75</v>
      </c>
      <c r="AB1098" s="1" t="s">
        <v>402</v>
      </c>
      <c r="AC1098" s="5">
        <v>43277</v>
      </c>
      <c r="AF1098" s="1">
        <v>10016</v>
      </c>
      <c r="AJ1098" s="1">
        <v>2016</v>
      </c>
      <c r="AK1098" s="1" t="s">
        <v>46</v>
      </c>
      <c r="AL1098" s="1">
        <v>72</v>
      </c>
    </row>
    <row r="1099" spans="1:38" x14ac:dyDescent="0.2">
      <c r="A1099" s="2" t="str">
        <f>HYPERLINK("https://www.compass.com/listing/172-madison-avenue-unit-22c-manhattan-ny-10016/29376716900195345/","172 Madison Ave, Unit 22C")</f>
        <v>172 Madison Ave, Unit 22C</v>
      </c>
      <c r="B1099" s="2" t="str">
        <f t="shared" si="146"/>
        <v>172 Madison Ave</v>
      </c>
      <c r="C1099" s="1" t="s">
        <v>120</v>
      </c>
      <c r="D1099" s="1" t="s">
        <v>41</v>
      </c>
      <c r="E1099" s="3">
        <v>1781938</v>
      </c>
      <c r="F1099" s="1">
        <v>2284.53525641025</v>
      </c>
      <c r="G1099" s="1">
        <v>3</v>
      </c>
      <c r="H1099" s="1">
        <v>1</v>
      </c>
      <c r="J1099" s="1">
        <v>1.5</v>
      </c>
      <c r="M1099" s="1">
        <v>780</v>
      </c>
      <c r="N1099" s="1">
        <v>1186</v>
      </c>
      <c r="O1099" s="1">
        <v>1994</v>
      </c>
      <c r="P1099" s="1">
        <v>808</v>
      </c>
      <c r="Q1099" s="1" t="s">
        <v>42</v>
      </c>
      <c r="S1099" s="1" t="s">
        <v>42</v>
      </c>
      <c r="T1099" s="1" t="s">
        <v>273</v>
      </c>
      <c r="U1099" s="1">
        <v>56</v>
      </c>
      <c r="V1099" s="5">
        <v>43081</v>
      </c>
      <c r="W1099" s="5">
        <v>42969</v>
      </c>
      <c r="X1099" s="1">
        <v>1950000</v>
      </c>
      <c r="Y1099" s="1">
        <v>1950000</v>
      </c>
      <c r="Z1099" s="5">
        <v>43025</v>
      </c>
      <c r="AA1099" s="1">
        <v>1781937.5</v>
      </c>
      <c r="AB1099" s="1" t="s">
        <v>403</v>
      </c>
      <c r="AC1099" s="5">
        <v>43066</v>
      </c>
      <c r="AF1099" s="1">
        <v>10016</v>
      </c>
      <c r="AI1099" s="1" t="s">
        <v>231</v>
      </c>
      <c r="AJ1099" s="1">
        <v>2016</v>
      </c>
      <c r="AK1099" s="1" t="s">
        <v>49</v>
      </c>
      <c r="AL1099" s="1">
        <v>72</v>
      </c>
    </row>
    <row r="1100" spans="1:38" x14ac:dyDescent="0.2">
      <c r="A1100" s="2" t="str">
        <f>HYPERLINK("https://www.compass.com/listing/100-east-53rd-street-unit-18b-manhattan-ny-10022/29514415715987441/","100 E 53rd St, Unit 18B")</f>
        <v>100 E 53rd St, Unit 18B</v>
      </c>
      <c r="B1100" s="2" t="str">
        <f t="shared" ref="B1100:B1102" si="147">HYPERLINK("https://www.compass.com/building/100-east-53rd-street-manhattan-ny/281952230490310325/","100 East 53rd Street ")</f>
        <v xml:space="preserve">100 East 53rd Street </v>
      </c>
      <c r="C1100" s="1" t="s">
        <v>116</v>
      </c>
      <c r="D1100" s="1" t="s">
        <v>41</v>
      </c>
      <c r="E1100" s="3">
        <v>553105</v>
      </c>
      <c r="F1100" s="1">
        <v>534.91779497098605</v>
      </c>
      <c r="G1100" s="1">
        <v>3</v>
      </c>
      <c r="H1100" s="1" t="s">
        <v>99</v>
      </c>
      <c r="I1100" s="1">
        <v>1</v>
      </c>
      <c r="J1100" s="1">
        <v>1</v>
      </c>
      <c r="M1100" s="4">
        <v>1034</v>
      </c>
      <c r="N1100" s="1">
        <v>1628</v>
      </c>
      <c r="O1100" s="1">
        <v>3566</v>
      </c>
      <c r="P1100" s="1">
        <v>1938</v>
      </c>
      <c r="S1100" s="1" t="s">
        <v>42</v>
      </c>
      <c r="T1100" s="1" t="s">
        <v>273</v>
      </c>
      <c r="U1100" s="1">
        <v>193</v>
      </c>
      <c r="V1100" s="5">
        <v>43496</v>
      </c>
      <c r="W1100" s="5">
        <v>43139</v>
      </c>
      <c r="X1100" s="1">
        <v>2300000</v>
      </c>
      <c r="Y1100" s="1">
        <v>553105</v>
      </c>
      <c r="Z1100" s="5">
        <v>43333</v>
      </c>
      <c r="AA1100" s="1">
        <v>2300000</v>
      </c>
      <c r="AB1100" s="1" t="s">
        <v>275</v>
      </c>
      <c r="AC1100" s="5">
        <v>43476</v>
      </c>
      <c r="AF1100" s="1">
        <v>10022</v>
      </c>
      <c r="AJ1100" s="1">
        <v>2017</v>
      </c>
      <c r="AK1100" s="1" t="s">
        <v>46</v>
      </c>
      <c r="AL1100" s="1">
        <v>94</v>
      </c>
    </row>
    <row r="1101" spans="1:38" x14ac:dyDescent="0.2">
      <c r="A1101" s="2" t="str">
        <f>HYPERLINK("https://www.compass.com/listing/100-east-53rd-street-unit-12b-manhattan-ny-10022/84017348981296705/","100 E 53rd St, Unit 12B")</f>
        <v>100 E 53rd St, Unit 12B</v>
      </c>
      <c r="B1101" s="2" t="str">
        <f t="shared" si="147"/>
        <v xml:space="preserve">100 East 53rd Street </v>
      </c>
      <c r="C1101" s="1" t="s">
        <v>116</v>
      </c>
      <c r="D1101" s="1" t="s">
        <v>41</v>
      </c>
      <c r="E1101" s="3">
        <v>576233</v>
      </c>
      <c r="F1101" s="1">
        <v>557.28529980657595</v>
      </c>
      <c r="G1101" s="1">
        <v>2</v>
      </c>
      <c r="H1101" s="1" t="s">
        <v>99</v>
      </c>
      <c r="I1101" s="1">
        <v>1</v>
      </c>
      <c r="J1101" s="1">
        <v>1</v>
      </c>
      <c r="K1101" s="1">
        <v>1</v>
      </c>
      <c r="M1101" s="4">
        <v>1034</v>
      </c>
      <c r="N1101" s="1">
        <v>1721</v>
      </c>
      <c r="O1101" s="1">
        <v>3382</v>
      </c>
      <c r="P1101" s="1">
        <v>1661</v>
      </c>
      <c r="Q1101" s="1" t="s">
        <v>42</v>
      </c>
      <c r="S1101" s="1" t="s">
        <v>42</v>
      </c>
      <c r="T1101" s="1" t="s">
        <v>273</v>
      </c>
      <c r="U1101" s="1">
        <v>34</v>
      </c>
      <c r="V1101" s="5">
        <v>43511</v>
      </c>
      <c r="W1101" s="5">
        <v>43368</v>
      </c>
      <c r="X1101" s="1">
        <v>3350000</v>
      </c>
      <c r="Y1101" s="1">
        <v>576233</v>
      </c>
      <c r="Z1101" s="5">
        <v>43402</v>
      </c>
      <c r="AA1101" s="1">
        <v>3350000</v>
      </c>
      <c r="AB1101" s="1" t="s">
        <v>275</v>
      </c>
      <c r="AC1101" s="5">
        <v>43496</v>
      </c>
      <c r="AF1101" s="1">
        <v>10022</v>
      </c>
      <c r="AI1101" s="1" t="s">
        <v>404</v>
      </c>
      <c r="AJ1101" s="1">
        <v>2017</v>
      </c>
      <c r="AK1101" s="1" t="s">
        <v>46</v>
      </c>
      <c r="AL1101" s="1">
        <v>94</v>
      </c>
    </row>
    <row r="1102" spans="1:38" x14ac:dyDescent="0.2">
      <c r="A1102" s="2" t="str">
        <f>HYPERLINK("https://www.compass.com/listing/100-east-53rd-street-unit-16b-manhattan-ny-10022/84182889620574737/","100 E 53rd St, Unit 16B")</f>
        <v>100 E 53rd St, Unit 16B</v>
      </c>
      <c r="B1102" s="2" t="str">
        <f t="shared" si="147"/>
        <v xml:space="preserve">100 East 53rd Street </v>
      </c>
      <c r="C1102" s="1" t="s">
        <v>116</v>
      </c>
      <c r="D1102" s="1" t="s">
        <v>41</v>
      </c>
      <c r="E1102" s="3">
        <v>520545</v>
      </c>
      <c r="F1102" s="1">
        <v>503.42843326885799</v>
      </c>
      <c r="G1102" s="1">
        <v>2</v>
      </c>
      <c r="H1102" s="1" t="s">
        <v>99</v>
      </c>
      <c r="I1102" s="1">
        <v>1</v>
      </c>
      <c r="J1102" s="1">
        <v>1</v>
      </c>
      <c r="K1102" s="1">
        <v>1</v>
      </c>
      <c r="M1102" s="4">
        <v>1034</v>
      </c>
      <c r="N1102" s="1">
        <v>1721</v>
      </c>
      <c r="O1102" s="1">
        <v>3382</v>
      </c>
      <c r="P1102" s="1">
        <v>1661</v>
      </c>
      <c r="Q1102" s="1" t="s">
        <v>42</v>
      </c>
      <c r="S1102" s="1" t="s">
        <v>42</v>
      </c>
      <c r="T1102" s="1" t="s">
        <v>273</v>
      </c>
      <c r="U1102" s="1">
        <v>55</v>
      </c>
      <c r="V1102" s="5">
        <v>43538</v>
      </c>
      <c r="W1102" s="5">
        <v>43368</v>
      </c>
      <c r="X1102" s="1">
        <v>350000</v>
      </c>
      <c r="Y1102" s="1">
        <v>856928</v>
      </c>
      <c r="Z1102" s="5">
        <v>43424</v>
      </c>
      <c r="AA1102" s="1">
        <v>3500000</v>
      </c>
      <c r="AB1102" s="1" t="s">
        <v>275</v>
      </c>
      <c r="AC1102" s="5">
        <v>43501</v>
      </c>
      <c r="AF1102" s="1">
        <v>10022</v>
      </c>
      <c r="AJ1102" s="1">
        <v>2017</v>
      </c>
      <c r="AK1102" s="1" t="s">
        <v>46</v>
      </c>
      <c r="AL1102" s="1">
        <v>94</v>
      </c>
    </row>
    <row r="1103" spans="1:38" x14ac:dyDescent="0.2">
      <c r="A1103" s="2" t="str">
        <f>HYPERLINK("https://www.compass.com/listing/325-lexington-avenue-unit-31c-manhattan-ny-10016/29379739005242433/","325 Lexington Ave, Unit 31C")</f>
        <v>325 Lexington Ave, Unit 31C</v>
      </c>
      <c r="B1103" s="2" t="str">
        <f>HYPERLINK("https://www.compass.com/building/325-lex-condominium-manhattan-ny/281939882467713365/","325 Lex Condominium")</f>
        <v>325 Lex Condominium</v>
      </c>
      <c r="C1103" s="1" t="s">
        <v>59</v>
      </c>
      <c r="D1103" s="1" t="s">
        <v>41</v>
      </c>
      <c r="E1103" s="3">
        <v>2905013</v>
      </c>
      <c r="F1103" s="1">
        <v>2648.14266180492</v>
      </c>
      <c r="G1103" s="1">
        <v>4</v>
      </c>
      <c r="H1103" s="1">
        <v>2</v>
      </c>
      <c r="J1103" s="1">
        <v>2</v>
      </c>
      <c r="M1103" s="4">
        <v>1097</v>
      </c>
      <c r="N1103" s="1">
        <v>1650</v>
      </c>
      <c r="O1103" s="1">
        <v>2009.18</v>
      </c>
      <c r="P1103" s="1">
        <v>359.166666666666</v>
      </c>
      <c r="Q1103" s="1" t="s">
        <v>42</v>
      </c>
      <c r="S1103" s="1" t="s">
        <v>42</v>
      </c>
      <c r="T1103" s="1" t="s">
        <v>273</v>
      </c>
      <c r="U1103" s="1">
        <v>103</v>
      </c>
      <c r="V1103" s="5">
        <v>43701</v>
      </c>
      <c r="W1103" s="5">
        <v>42435</v>
      </c>
      <c r="X1103" s="1">
        <v>2850000</v>
      </c>
      <c r="Y1103" s="1">
        <v>2850000</v>
      </c>
      <c r="AA1103" s="1">
        <v>2905012.5</v>
      </c>
      <c r="AB1103" s="1" t="s">
        <v>405</v>
      </c>
      <c r="AC1103" s="5">
        <v>42538</v>
      </c>
      <c r="AF1103" s="1">
        <v>10016</v>
      </c>
      <c r="AI1103" s="1" t="s">
        <v>205</v>
      </c>
      <c r="AJ1103" s="1">
        <v>2014</v>
      </c>
      <c r="AK1103" s="1" t="s">
        <v>108</v>
      </c>
      <c r="AL1103" s="1">
        <v>125</v>
      </c>
    </row>
    <row r="1104" spans="1:38" x14ac:dyDescent="0.2">
      <c r="A1104" s="2" t="str">
        <f>HYPERLINK("https://www.compass.com/listing/456-west-167th-street-unit-2a-manhattan-ny-10032/758679593288040369/","456 W 167th St, Unit 2A")</f>
        <v>456 W 167th St, Unit 2A</v>
      </c>
      <c r="B1104" s="2" t="str">
        <f>HYPERLINK("https://www.compass.com/building/edgecombe-parc-manhattan-ny/282005897969005013/","Edgecombe Parc")</f>
        <v>Edgecombe Parc</v>
      </c>
      <c r="C1104" s="1" t="s">
        <v>93</v>
      </c>
      <c r="D1104" s="1" t="s">
        <v>41</v>
      </c>
      <c r="E1104" s="3">
        <v>667500</v>
      </c>
      <c r="F1104" s="1">
        <v>704.85744456177395</v>
      </c>
      <c r="G1104" s="1">
        <v>5</v>
      </c>
      <c r="H1104" s="1">
        <v>2</v>
      </c>
      <c r="I1104" s="1">
        <v>2</v>
      </c>
      <c r="J1104" s="1">
        <v>2</v>
      </c>
      <c r="K1104" s="1">
        <v>2</v>
      </c>
      <c r="M1104" s="1">
        <v>947</v>
      </c>
      <c r="N1104" s="1">
        <v>661</v>
      </c>
      <c r="O1104" s="1">
        <v>1390</v>
      </c>
      <c r="P1104" s="1">
        <v>729</v>
      </c>
      <c r="Q1104" s="1" t="s">
        <v>42</v>
      </c>
      <c r="S1104" s="1" t="s">
        <v>42</v>
      </c>
      <c r="T1104" s="1" t="s">
        <v>273</v>
      </c>
      <c r="U1104" s="1">
        <v>22</v>
      </c>
      <c r="V1104" s="5">
        <v>44357</v>
      </c>
      <c r="W1104" s="5">
        <v>44301</v>
      </c>
      <c r="X1104" s="1">
        <v>720000</v>
      </c>
      <c r="Y1104" s="1">
        <v>720000</v>
      </c>
      <c r="Z1104" s="5">
        <v>44323</v>
      </c>
      <c r="AA1104" s="1">
        <v>667500</v>
      </c>
      <c r="AB1104" s="1" t="s">
        <v>406</v>
      </c>
      <c r="AC1104" s="5">
        <v>44356</v>
      </c>
      <c r="AF1104" s="1">
        <v>10032</v>
      </c>
      <c r="AI1104" s="1" t="s">
        <v>48</v>
      </c>
      <c r="AJ1104" s="1">
        <v>2014</v>
      </c>
      <c r="AK1104" s="1" t="s">
        <v>70</v>
      </c>
      <c r="AL1104" s="1">
        <v>49</v>
      </c>
    </row>
    <row r="1105" spans="1:38" x14ac:dyDescent="0.2">
      <c r="A1105" s="2" t="str">
        <f>HYPERLINK("https://www.compass.com/listing/2231-adam-clayton-powell-jr-boulevard-unit-608-manhattan-ny-10027/110690091004858609/","2231 Adam Clayton Powell Jr Blvd, Unit 608")</f>
        <v>2231 Adam Clayton Powell Jr Blvd, Unit 608</v>
      </c>
      <c r="B1105" s="2" t="str">
        <f>HYPERLINK("https://www.compass.com/building/the-aurum-manhattan-ny/307451641162444869/","The Aurum")</f>
        <v>The Aurum</v>
      </c>
      <c r="C1105" s="1" t="s">
        <v>85</v>
      </c>
      <c r="D1105" s="1" t="s">
        <v>41</v>
      </c>
      <c r="E1105" s="3">
        <v>715000</v>
      </c>
      <c r="F1105" s="1">
        <v>1101.69491525423</v>
      </c>
      <c r="G1105" s="1">
        <v>3</v>
      </c>
      <c r="H1105" s="1">
        <v>1</v>
      </c>
      <c r="I1105" s="1">
        <v>1</v>
      </c>
      <c r="J1105" s="1">
        <v>1</v>
      </c>
      <c r="K1105" s="1">
        <v>1</v>
      </c>
      <c r="M1105" s="1">
        <v>649</v>
      </c>
      <c r="N1105" s="1">
        <v>619</v>
      </c>
      <c r="O1105" s="1">
        <v>748</v>
      </c>
      <c r="P1105" s="1">
        <v>129</v>
      </c>
      <c r="Q1105" s="1" t="s">
        <v>42</v>
      </c>
      <c r="S1105" s="1" t="s">
        <v>42</v>
      </c>
      <c r="T1105" s="1" t="s">
        <v>273</v>
      </c>
      <c r="U1105" s="1">
        <v>105</v>
      </c>
      <c r="V1105" s="5">
        <v>43603</v>
      </c>
      <c r="W1105" s="5">
        <v>43405</v>
      </c>
      <c r="X1105" s="1">
        <v>720000</v>
      </c>
      <c r="Y1105" s="1">
        <v>720000</v>
      </c>
      <c r="Z1105" s="5">
        <v>43510</v>
      </c>
      <c r="AA1105" s="1">
        <v>715000</v>
      </c>
      <c r="AB1105" s="1" t="s">
        <v>275</v>
      </c>
      <c r="AC1105" s="5">
        <v>43587</v>
      </c>
      <c r="AF1105" s="1">
        <v>10027</v>
      </c>
      <c r="AI1105" s="1" t="s">
        <v>102</v>
      </c>
      <c r="AJ1105" s="1">
        <v>2016</v>
      </c>
      <c r="AK1105" s="1" t="s">
        <v>108</v>
      </c>
      <c r="AL1105" s="1">
        <v>115</v>
      </c>
    </row>
    <row r="1106" spans="1:38" x14ac:dyDescent="0.2">
      <c r="A1106" s="2" t="str">
        <f>HYPERLINK("https://www.compass.com/listing/172-madison-avenue-unit-6a-manhattan-ny-10016/29376703579159729/","172 Madison Ave, Unit 6A")</f>
        <v>172 Madison Ave, Unit 6A</v>
      </c>
      <c r="B1106" s="2" t="str">
        <f t="shared" ref="B1106:B1107" si="148">HYPERLINK("https://www.compass.com/building/172-madison-ave-manhattan-ny-10016/281937956250376981/","172 Madison Ave")</f>
        <v>172 Madison Ave</v>
      </c>
      <c r="C1106" s="1" t="s">
        <v>120</v>
      </c>
      <c r="D1106" s="1" t="s">
        <v>41</v>
      </c>
      <c r="E1106" s="3">
        <v>2952925</v>
      </c>
      <c r="F1106" s="1">
        <v>1996.5686274509801</v>
      </c>
      <c r="G1106" s="1">
        <v>4</v>
      </c>
      <c r="H1106" s="1">
        <v>2</v>
      </c>
      <c r="J1106" s="1">
        <v>2.5</v>
      </c>
      <c r="M1106" s="4">
        <v>1479</v>
      </c>
      <c r="N1106" s="1">
        <v>2211</v>
      </c>
      <c r="O1106" s="1">
        <v>3241</v>
      </c>
      <c r="P1106" s="1">
        <v>1030</v>
      </c>
      <c r="Q1106" s="1" t="s">
        <v>42</v>
      </c>
      <c r="S1106" s="1" t="s">
        <v>42</v>
      </c>
      <c r="T1106" s="1" t="s">
        <v>273</v>
      </c>
      <c r="U1106" s="1">
        <v>5</v>
      </c>
      <c r="V1106" s="5">
        <v>43062</v>
      </c>
      <c r="W1106" s="5">
        <v>42985</v>
      </c>
      <c r="X1106" s="1">
        <v>3300000</v>
      </c>
      <c r="Y1106" s="1">
        <v>3300000</v>
      </c>
      <c r="Z1106" s="5">
        <v>42990</v>
      </c>
      <c r="AA1106" s="1">
        <v>2952925</v>
      </c>
      <c r="AB1106" s="1" t="s">
        <v>407</v>
      </c>
      <c r="AC1106" s="5">
        <v>43059</v>
      </c>
      <c r="AF1106" s="1">
        <v>10016</v>
      </c>
      <c r="AJ1106" s="1">
        <v>2016</v>
      </c>
      <c r="AK1106" s="1" t="s">
        <v>46</v>
      </c>
      <c r="AL1106" s="1">
        <v>72</v>
      </c>
    </row>
    <row r="1107" spans="1:38" x14ac:dyDescent="0.2">
      <c r="A1107" s="2" t="str">
        <f>HYPERLINK("https://www.compass.com/listing/172-madison-avenue-unit-11a-manhattan-ny-10016/29376707387587809/","172 Madison Ave, Unit 11A")</f>
        <v>172 Madison Ave, Unit 11A</v>
      </c>
      <c r="B1107" s="2" t="str">
        <f t="shared" si="148"/>
        <v>172 Madison Ave</v>
      </c>
      <c r="C1107" s="1" t="s">
        <v>120</v>
      </c>
      <c r="D1107" s="1" t="s">
        <v>41</v>
      </c>
      <c r="E1107" s="3">
        <v>3273674</v>
      </c>
      <c r="F1107" s="1">
        <v>2213.4372887085801</v>
      </c>
      <c r="G1107" s="1">
        <v>4</v>
      </c>
      <c r="H1107" s="1">
        <v>2</v>
      </c>
      <c r="J1107" s="1">
        <v>2.5</v>
      </c>
      <c r="M1107" s="4">
        <v>1479</v>
      </c>
      <c r="N1107" s="1">
        <v>2211</v>
      </c>
      <c r="O1107" s="1">
        <v>4028</v>
      </c>
      <c r="P1107" s="1">
        <v>1817</v>
      </c>
      <c r="Q1107" s="1" t="s">
        <v>42</v>
      </c>
      <c r="S1107" s="1" t="s">
        <v>42</v>
      </c>
      <c r="T1107" s="1" t="s">
        <v>273</v>
      </c>
      <c r="U1107" s="1">
        <v>37</v>
      </c>
      <c r="V1107" s="5">
        <v>42984</v>
      </c>
      <c r="W1107" s="5">
        <v>42828</v>
      </c>
      <c r="Z1107" s="5">
        <v>42865</v>
      </c>
      <c r="AA1107" s="1">
        <v>3273673.75</v>
      </c>
      <c r="AB1107" s="1" t="s">
        <v>408</v>
      </c>
      <c r="AC1107" s="5">
        <v>42926</v>
      </c>
      <c r="AF1107" s="1">
        <v>10016</v>
      </c>
      <c r="AJ1107" s="1">
        <v>2016</v>
      </c>
      <c r="AK1107" s="1" t="s">
        <v>46</v>
      </c>
      <c r="AL1107" s="1">
        <v>72</v>
      </c>
    </row>
    <row r="1108" spans="1:38" x14ac:dyDescent="0.2">
      <c r="A1108" s="2" t="str">
        <f>HYPERLINK("https://www.compass.com/listing/325-lexington-avenue-unit-31b-manhattan-ny-10016/29379738527147329/","325 Lexington Ave, Unit 31B")</f>
        <v>325 Lexington Ave, Unit 31B</v>
      </c>
      <c r="B1108" s="2" t="str">
        <f>HYPERLINK("https://www.compass.com/building/325-lex-condominium-manhattan-ny/281939882467713365/","325 Lex Condominium")</f>
        <v>325 Lex Condominium</v>
      </c>
      <c r="C1108" s="1" t="s">
        <v>59</v>
      </c>
      <c r="D1108" s="1" t="s">
        <v>41</v>
      </c>
      <c r="E1108" s="3">
        <v>2039500</v>
      </c>
      <c r="F1108" s="1">
        <v>2011.3412228796799</v>
      </c>
      <c r="G1108" s="1">
        <v>4</v>
      </c>
      <c r="H1108" s="1">
        <v>2</v>
      </c>
      <c r="J1108" s="1">
        <v>2</v>
      </c>
      <c r="M1108" s="4">
        <v>1014</v>
      </c>
      <c r="N1108" s="1">
        <v>1525.62</v>
      </c>
      <c r="O1108" s="1">
        <v>1857.62</v>
      </c>
      <c r="P1108" s="1">
        <v>332</v>
      </c>
      <c r="Q1108" s="1" t="s">
        <v>42</v>
      </c>
      <c r="S1108" s="1" t="s">
        <v>42</v>
      </c>
      <c r="T1108" s="1" t="s">
        <v>273</v>
      </c>
      <c r="U1108" s="1">
        <v>362</v>
      </c>
      <c r="V1108" s="5">
        <v>43701</v>
      </c>
      <c r="W1108" s="5">
        <v>42389</v>
      </c>
      <c r="X1108" s="1">
        <v>2450000</v>
      </c>
      <c r="Y1108" s="1">
        <v>2150000</v>
      </c>
      <c r="Z1108" s="5">
        <v>42752</v>
      </c>
      <c r="AA1108" s="1">
        <v>2039500</v>
      </c>
      <c r="AB1108" s="1" t="s">
        <v>409</v>
      </c>
      <c r="AC1108" s="5">
        <v>42755</v>
      </c>
      <c r="AF1108" s="1">
        <v>10016</v>
      </c>
      <c r="AI1108" s="1" t="s">
        <v>205</v>
      </c>
      <c r="AJ1108" s="1">
        <v>2014</v>
      </c>
      <c r="AK1108" s="1" t="s">
        <v>108</v>
      </c>
      <c r="AL1108" s="1">
        <v>125</v>
      </c>
    </row>
    <row r="1109" spans="1:38" x14ac:dyDescent="0.2">
      <c r="A1109" s="2" t="str">
        <f>HYPERLINK("https://www.compass.com/listing/100-east-53rd-street-unit-17b-manhattan-ny-10022/84167986109220225/","100 E 53rd St, Unit 17B")</f>
        <v>100 E 53rd St, Unit 17B</v>
      </c>
      <c r="B1109" s="2" t="str">
        <f t="shared" ref="B1109:B1110" si="149">HYPERLINK("https://www.compass.com/building/100-east-53rd-street-manhattan-ny/281952230490310325/","100 East 53rd Street ")</f>
        <v xml:space="preserve">100 East 53rd Street </v>
      </c>
      <c r="C1109" s="1" t="s">
        <v>116</v>
      </c>
      <c r="D1109" s="1" t="s">
        <v>41</v>
      </c>
      <c r="E1109" s="3">
        <v>658553</v>
      </c>
      <c r="F1109" s="1">
        <v>636.89845261121798</v>
      </c>
      <c r="G1109" s="1">
        <v>2</v>
      </c>
      <c r="H1109" s="1" t="s">
        <v>99</v>
      </c>
      <c r="I1109" s="1">
        <v>1</v>
      </c>
      <c r="J1109" s="1">
        <v>1</v>
      </c>
      <c r="M1109" s="4">
        <v>1034</v>
      </c>
      <c r="N1109" s="1">
        <v>1721</v>
      </c>
      <c r="O1109" s="1">
        <v>3382</v>
      </c>
      <c r="P1109" s="1">
        <v>1661</v>
      </c>
      <c r="Q1109" s="1" t="s">
        <v>42</v>
      </c>
      <c r="S1109" s="1" t="s">
        <v>42</v>
      </c>
      <c r="T1109" s="1" t="s">
        <v>273</v>
      </c>
      <c r="U1109" s="1">
        <v>49</v>
      </c>
      <c r="V1109" s="5">
        <v>43496</v>
      </c>
      <c r="W1109" s="5">
        <v>43368</v>
      </c>
      <c r="X1109" s="1">
        <v>3550000</v>
      </c>
      <c r="Y1109" s="1">
        <v>934053</v>
      </c>
      <c r="Z1109" s="5">
        <v>43417</v>
      </c>
      <c r="AA1109" s="1">
        <v>3550000</v>
      </c>
      <c r="AB1109" s="1" t="s">
        <v>275</v>
      </c>
      <c r="AC1109" s="5">
        <v>43491</v>
      </c>
      <c r="AF1109" s="1">
        <v>10022</v>
      </c>
      <c r="AJ1109" s="1">
        <v>2017</v>
      </c>
      <c r="AK1109" s="1" t="s">
        <v>46</v>
      </c>
      <c r="AL1109" s="1">
        <v>94</v>
      </c>
    </row>
    <row r="1110" spans="1:38" x14ac:dyDescent="0.2">
      <c r="A1110" s="2" t="str">
        <f>HYPERLINK("https://www.compass.com/listing/100-east-53rd-street-unit-19b-manhattan-ny-10022/84171678707356081/","100 E 53rd St, Unit 19B")</f>
        <v>100 E 53rd St, Unit 19B</v>
      </c>
      <c r="B1110" s="2" t="str">
        <f t="shared" si="149"/>
        <v xml:space="preserve">100 East 53rd Street </v>
      </c>
      <c r="C1110" s="1" t="s">
        <v>116</v>
      </c>
      <c r="D1110" s="1" t="s">
        <v>41</v>
      </c>
      <c r="E1110" s="3">
        <v>881236</v>
      </c>
      <c r="F1110" s="1">
        <v>852.25918762088895</v>
      </c>
      <c r="G1110" s="1">
        <v>2</v>
      </c>
      <c r="H1110" s="1" t="s">
        <v>99</v>
      </c>
      <c r="I1110" s="1">
        <v>1</v>
      </c>
      <c r="J1110" s="1">
        <v>1</v>
      </c>
      <c r="K1110" s="1">
        <v>1</v>
      </c>
      <c r="M1110" s="4">
        <v>1034</v>
      </c>
      <c r="N1110" s="1">
        <v>1721</v>
      </c>
      <c r="O1110" s="1">
        <v>3382</v>
      </c>
      <c r="P1110" s="1">
        <v>1661</v>
      </c>
      <c r="Q1110" s="1" t="s">
        <v>42</v>
      </c>
      <c r="S1110" s="1" t="s">
        <v>42</v>
      </c>
      <c r="T1110" s="1" t="s">
        <v>273</v>
      </c>
      <c r="U1110" s="1">
        <v>48</v>
      </c>
      <c r="V1110" s="5">
        <v>43538</v>
      </c>
      <c r="W1110" s="5">
        <v>43368</v>
      </c>
      <c r="X1110" s="1">
        <v>3650000</v>
      </c>
      <c r="Y1110" s="1">
        <v>881236</v>
      </c>
      <c r="Z1110" s="5">
        <v>43416</v>
      </c>
      <c r="AA1110" s="1">
        <v>3650000</v>
      </c>
      <c r="AB1110" s="1" t="s">
        <v>275</v>
      </c>
      <c r="AC1110" s="5">
        <v>43497</v>
      </c>
      <c r="AF1110" s="1">
        <v>10022</v>
      </c>
      <c r="AI1110" s="1" t="s">
        <v>404</v>
      </c>
      <c r="AJ1110" s="1">
        <v>2017</v>
      </c>
      <c r="AK1110" s="1" t="s">
        <v>46</v>
      </c>
      <c r="AL1110" s="1">
        <v>94</v>
      </c>
    </row>
    <row r="1111" spans="1:38" x14ac:dyDescent="0.2">
      <c r="A1111" s="2" t="str">
        <f>HYPERLINK("https://www.compass.com/listing/172-madison-avenue-unit-21a-manhattan-ny-10016/29376715079866897/","172 Madison Ave, Unit 21A")</f>
        <v>172 Madison Ave, Unit 21A</v>
      </c>
      <c r="B1111" s="2" t="str">
        <f t="shared" ref="B1111:B1114" si="150">HYPERLINK("https://www.compass.com/building/172-madison-ave-manhattan-ny-10016/281937956250376981/","172 Madison Ave")</f>
        <v>172 Madison Ave</v>
      </c>
      <c r="C1111" s="1" t="s">
        <v>120</v>
      </c>
      <c r="D1111" s="1" t="s">
        <v>41</v>
      </c>
      <c r="E1111" s="3">
        <v>3344678</v>
      </c>
      <c r="F1111" s="1">
        <v>2261.4452332657202</v>
      </c>
      <c r="G1111" s="1">
        <v>4</v>
      </c>
      <c r="H1111" s="1">
        <v>2</v>
      </c>
      <c r="J1111" s="1">
        <v>2.5</v>
      </c>
      <c r="M1111" s="4">
        <v>1479</v>
      </c>
      <c r="N1111" s="1">
        <v>2211</v>
      </c>
      <c r="O1111" s="1">
        <v>3241</v>
      </c>
      <c r="P1111" s="1">
        <v>1030</v>
      </c>
      <c r="Q1111" s="1" t="s">
        <v>42</v>
      </c>
      <c r="S1111" s="1" t="s">
        <v>42</v>
      </c>
      <c r="T1111" s="1" t="s">
        <v>273</v>
      </c>
      <c r="V1111" s="5">
        <v>43071</v>
      </c>
      <c r="Y1111" s="1">
        <v>4050000</v>
      </c>
      <c r="Z1111" s="5">
        <v>42914</v>
      </c>
      <c r="AA1111" s="1">
        <v>3344677.5</v>
      </c>
      <c r="AB1111" s="1" t="s">
        <v>410</v>
      </c>
      <c r="AC1111" s="5">
        <v>43054</v>
      </c>
      <c r="AF1111" s="1">
        <v>10016</v>
      </c>
      <c r="AJ1111" s="1">
        <v>2016</v>
      </c>
      <c r="AK1111" s="1" t="s">
        <v>46</v>
      </c>
      <c r="AL1111" s="1">
        <v>72</v>
      </c>
    </row>
    <row r="1112" spans="1:38" x14ac:dyDescent="0.2">
      <c r="A1112" s="2" t="str">
        <f>HYPERLINK("https://www.compass.com/listing/172-madison-avenue-unit-22a-manhattan-ny-10016/29376715927190897/","172 Madison Ave, Unit 22A")</f>
        <v>172 Madison Ave, Unit 22A</v>
      </c>
      <c r="B1112" s="2" t="str">
        <f t="shared" si="150"/>
        <v>172 Madison Ave</v>
      </c>
      <c r="C1112" s="1" t="s">
        <v>120</v>
      </c>
      <c r="D1112" s="1" t="s">
        <v>41</v>
      </c>
      <c r="E1112" s="3">
        <v>3436594</v>
      </c>
      <c r="F1112" s="1">
        <v>2357.0601851851802</v>
      </c>
      <c r="G1112" s="1">
        <v>4</v>
      </c>
      <c r="H1112" s="1">
        <v>2</v>
      </c>
      <c r="J1112" s="1">
        <v>2.5</v>
      </c>
      <c r="M1112" s="4">
        <v>1458</v>
      </c>
      <c r="N1112" s="1">
        <v>2200</v>
      </c>
      <c r="O1112" s="1">
        <v>3706</v>
      </c>
      <c r="P1112" s="1">
        <v>1506</v>
      </c>
      <c r="Q1112" s="1" t="s">
        <v>42</v>
      </c>
      <c r="S1112" s="1" t="s">
        <v>42</v>
      </c>
      <c r="T1112" s="1" t="s">
        <v>273</v>
      </c>
      <c r="U1112" s="1">
        <v>30</v>
      </c>
      <c r="V1112" s="5">
        <v>43162</v>
      </c>
      <c r="W1112" s="5">
        <v>43131</v>
      </c>
      <c r="X1112" s="1">
        <v>3750000</v>
      </c>
      <c r="Y1112" s="1">
        <v>3750000</v>
      </c>
      <c r="AA1112" s="1">
        <v>3436593.75</v>
      </c>
      <c r="AB1112" s="1" t="s">
        <v>411</v>
      </c>
      <c r="AC1112" s="5">
        <v>43220</v>
      </c>
      <c r="AF1112" s="1">
        <v>10016</v>
      </c>
      <c r="AI1112" s="1" t="s">
        <v>231</v>
      </c>
      <c r="AJ1112" s="1">
        <v>2016</v>
      </c>
      <c r="AK1112" s="1" t="s">
        <v>46</v>
      </c>
      <c r="AL1112" s="1">
        <v>72</v>
      </c>
    </row>
    <row r="1113" spans="1:38" x14ac:dyDescent="0.2">
      <c r="A1113" s="2" t="str">
        <f>HYPERLINK("https://www.compass.com/listing/172-madison-avenue-unit-26b-manhattan-ny-10016/29376718863129185/","172 Madison Ave, Unit 26B")</f>
        <v>172 Madison Ave, Unit 26B</v>
      </c>
      <c r="B1113" s="2" t="str">
        <f t="shared" si="150"/>
        <v>172 Madison Ave</v>
      </c>
      <c r="C1113" s="1" t="s">
        <v>120</v>
      </c>
      <c r="D1113" s="1" t="s">
        <v>41</v>
      </c>
      <c r="E1113" s="3">
        <v>3492598</v>
      </c>
      <c r="F1113" s="1">
        <v>2226.0022307201998</v>
      </c>
      <c r="G1113" s="1">
        <v>4</v>
      </c>
      <c r="H1113" s="1">
        <v>2</v>
      </c>
      <c r="J1113" s="1">
        <v>2.5</v>
      </c>
      <c r="M1113" s="4">
        <v>1569</v>
      </c>
      <c r="N1113" s="1">
        <v>2344</v>
      </c>
      <c r="O1113" s="1">
        <v>3437</v>
      </c>
      <c r="P1113" s="1">
        <v>1093</v>
      </c>
      <c r="Q1113" s="1" t="s">
        <v>42</v>
      </c>
      <c r="S1113" s="1" t="s">
        <v>42</v>
      </c>
      <c r="T1113" s="1" t="s">
        <v>273</v>
      </c>
      <c r="U1113" s="1">
        <v>8</v>
      </c>
      <c r="V1113" s="5">
        <v>43071</v>
      </c>
      <c r="W1113" s="5">
        <v>42985</v>
      </c>
      <c r="X1113" s="1">
        <v>3725000</v>
      </c>
      <c r="Y1113" s="1">
        <v>3725000</v>
      </c>
      <c r="Z1113" s="5">
        <v>42993</v>
      </c>
      <c r="AA1113" s="1">
        <v>3492597.5</v>
      </c>
      <c r="AB1113" s="1" t="s">
        <v>412</v>
      </c>
      <c r="AC1113" s="5">
        <v>43069</v>
      </c>
      <c r="AF1113" s="1">
        <v>10016</v>
      </c>
      <c r="AJ1113" s="1">
        <v>2016</v>
      </c>
      <c r="AK1113" s="1" t="s">
        <v>46</v>
      </c>
      <c r="AL1113" s="1">
        <v>72</v>
      </c>
    </row>
    <row r="1114" spans="1:38" x14ac:dyDescent="0.2">
      <c r="A1114" s="2" t="str">
        <f>HYPERLINK("https://www.compass.com/listing/172-madison-avenue-unit-26a-manhattan-ny-10016/29376718452161953/","172 Madison Ave, Unit 26A")</f>
        <v>172 Madison Ave, Unit 26A</v>
      </c>
      <c r="B1114" s="2" t="str">
        <f t="shared" si="150"/>
        <v>172 Madison Ave</v>
      </c>
      <c r="C1114" s="1" t="s">
        <v>120</v>
      </c>
      <c r="D1114" s="1" t="s">
        <v>41</v>
      </c>
      <c r="E1114" s="3">
        <v>5480619</v>
      </c>
      <c r="F1114" s="1">
        <v>2553.8763373718498</v>
      </c>
      <c r="G1114" s="1">
        <v>5</v>
      </c>
      <c r="H1114" s="1">
        <v>3</v>
      </c>
      <c r="J1114" s="1">
        <v>3.5</v>
      </c>
      <c r="M1114" s="4">
        <v>2146</v>
      </c>
      <c r="N1114" s="1">
        <v>3208</v>
      </c>
      <c r="O1114" s="1">
        <v>5845</v>
      </c>
      <c r="P1114" s="1">
        <v>2637</v>
      </c>
      <c r="Q1114" s="1" t="s">
        <v>42</v>
      </c>
      <c r="S1114" s="1" t="s">
        <v>42</v>
      </c>
      <c r="T1114" s="1" t="s">
        <v>273</v>
      </c>
      <c r="U1114" s="1">
        <v>43</v>
      </c>
      <c r="V1114" s="5">
        <v>43701</v>
      </c>
      <c r="W1114" s="5">
        <v>42829</v>
      </c>
      <c r="Z1114" s="5">
        <v>42872</v>
      </c>
      <c r="AA1114" s="1">
        <v>5480618.6200000001</v>
      </c>
      <c r="AB1114" s="1" t="s">
        <v>413</v>
      </c>
      <c r="AC1114" s="5">
        <v>42880</v>
      </c>
      <c r="AF1114" s="1">
        <v>10016</v>
      </c>
      <c r="AJ1114" s="1">
        <v>2016</v>
      </c>
      <c r="AK1114" s="1" t="s">
        <v>46</v>
      </c>
      <c r="AL1114" s="1">
        <v>72</v>
      </c>
    </row>
    <row r="1115" spans="1:38" x14ac:dyDescent="0.2">
      <c r="A1115" s="2" t="str">
        <f>HYPERLINK("https://www.compass.com/listing/100-east-53rd-street-unit-22b-manhattan-ny-10022/63231025395796113/","100 E 53rd St, Unit 22B")</f>
        <v>100 E 53rd St, Unit 22B</v>
      </c>
      <c r="B1115" s="2" t="str">
        <f t="shared" ref="B1115:B1125" si="151">HYPERLINK("https://www.compass.com/building/100-east-53rd-street-manhattan-ny/281952230490310325/","100 East 53rd Street ")</f>
        <v xml:space="preserve">100 East 53rd Street </v>
      </c>
      <c r="C1115" s="1" t="s">
        <v>116</v>
      </c>
      <c r="D1115" s="1" t="s">
        <v>41</v>
      </c>
      <c r="E1115" s="3">
        <v>2341975</v>
      </c>
      <c r="F1115" s="1">
        <v>2264.9661508703998</v>
      </c>
      <c r="G1115" s="1">
        <v>3</v>
      </c>
      <c r="H1115" s="1" t="s">
        <v>99</v>
      </c>
      <c r="I1115" s="1">
        <v>1</v>
      </c>
      <c r="J1115" s="1">
        <v>1</v>
      </c>
      <c r="K1115" s="1">
        <v>1</v>
      </c>
      <c r="M1115" s="4">
        <v>1034</v>
      </c>
      <c r="N1115" s="1">
        <v>1721</v>
      </c>
      <c r="O1115" s="1">
        <v>3382</v>
      </c>
      <c r="P1115" s="1">
        <v>1661</v>
      </c>
      <c r="S1115" s="1" t="s">
        <v>42</v>
      </c>
      <c r="T1115" s="1" t="s">
        <v>273</v>
      </c>
      <c r="U1115" s="1">
        <v>2</v>
      </c>
      <c r="V1115" s="5">
        <v>44267</v>
      </c>
      <c r="W1115" s="5">
        <v>43340</v>
      </c>
      <c r="X1115" s="1">
        <v>3800000</v>
      </c>
      <c r="Y1115" s="1">
        <v>3800000</v>
      </c>
      <c r="Z1115" s="5">
        <v>43342</v>
      </c>
      <c r="AA1115" s="1">
        <v>2341975</v>
      </c>
      <c r="AB1115" s="1" t="s">
        <v>295</v>
      </c>
      <c r="AC1115" s="5">
        <v>43445</v>
      </c>
      <c r="AF1115" s="1">
        <v>10022</v>
      </c>
      <c r="AJ1115" s="1">
        <v>2017</v>
      </c>
      <c r="AK1115" s="1" t="s">
        <v>46</v>
      </c>
      <c r="AL1115" s="1">
        <v>94</v>
      </c>
    </row>
    <row r="1116" spans="1:38" x14ac:dyDescent="0.2">
      <c r="A1116" s="2" t="str">
        <f>HYPERLINK("https://www.compass.com/listing/100-east-53rd-street-unit-20b-manhattan-ny-10022/65980717548441057/","100 E 53rd St, Unit 20B")</f>
        <v>100 E 53rd St, Unit 20B</v>
      </c>
      <c r="B1116" s="2" t="str">
        <f t="shared" si="151"/>
        <v xml:space="preserve">100 East 53rd Street </v>
      </c>
      <c r="C1116" s="1" t="s">
        <v>116</v>
      </c>
      <c r="D1116" s="1" t="s">
        <v>41</v>
      </c>
      <c r="E1116" s="3">
        <v>2156349</v>
      </c>
      <c r="F1116" s="1">
        <v>2085.4439071566699</v>
      </c>
      <c r="G1116" s="1">
        <v>1</v>
      </c>
      <c r="H1116" s="1" t="s">
        <v>99</v>
      </c>
      <c r="I1116" s="1">
        <v>1</v>
      </c>
      <c r="J1116" s="1">
        <v>1</v>
      </c>
      <c r="M1116" s="4">
        <v>1034</v>
      </c>
      <c r="N1116" s="1">
        <v>1721</v>
      </c>
      <c r="O1116" s="1">
        <v>3382</v>
      </c>
      <c r="P1116" s="1">
        <v>1661</v>
      </c>
      <c r="S1116" s="1" t="s">
        <v>42</v>
      </c>
      <c r="T1116" s="1" t="s">
        <v>273</v>
      </c>
      <c r="U1116" s="1">
        <v>4</v>
      </c>
      <c r="V1116" s="5">
        <v>44267</v>
      </c>
      <c r="W1116" s="5">
        <v>43344</v>
      </c>
      <c r="X1116" s="1">
        <v>3700000</v>
      </c>
      <c r="Y1116" s="1">
        <v>3700000</v>
      </c>
      <c r="Z1116" s="5">
        <v>43348</v>
      </c>
      <c r="AA1116" s="1">
        <v>2156349</v>
      </c>
      <c r="AB1116" s="1" t="s">
        <v>295</v>
      </c>
      <c r="AC1116" s="5">
        <v>43489</v>
      </c>
      <c r="AF1116" s="1">
        <v>10022</v>
      </c>
      <c r="AJ1116" s="1">
        <v>2017</v>
      </c>
      <c r="AK1116" s="1" t="s">
        <v>46</v>
      </c>
      <c r="AL1116" s="1">
        <v>94</v>
      </c>
    </row>
    <row r="1117" spans="1:38" x14ac:dyDescent="0.2">
      <c r="A1117" s="2" t="str">
        <f>HYPERLINK("https://www.compass.com/listing/100-east-53rd-street-unit-28b-manhattan-ny-10022/151367202002464369/","100 E 53rd St, Unit 28B")</f>
        <v>100 E 53rd St, Unit 28B</v>
      </c>
      <c r="B1117" s="2" t="str">
        <f t="shared" si="151"/>
        <v xml:space="preserve">100 East 53rd Street </v>
      </c>
      <c r="C1117" s="1" t="s">
        <v>116</v>
      </c>
      <c r="D1117" s="1" t="s">
        <v>41</v>
      </c>
      <c r="E1117" s="3">
        <v>2752025</v>
      </c>
      <c r="F1117" s="1">
        <v>2001.47272727272</v>
      </c>
      <c r="G1117" s="1">
        <v>3</v>
      </c>
      <c r="H1117" s="1">
        <v>1</v>
      </c>
      <c r="I1117" s="1">
        <v>2</v>
      </c>
      <c r="J1117" s="1">
        <v>1.5</v>
      </c>
      <c r="K1117" s="1">
        <v>1</v>
      </c>
      <c r="L1117" s="1">
        <v>1</v>
      </c>
      <c r="M1117" s="4">
        <v>1375</v>
      </c>
      <c r="N1117" s="1">
        <v>2209</v>
      </c>
      <c r="O1117" s="1">
        <v>4497</v>
      </c>
      <c r="P1117" s="1">
        <v>2288</v>
      </c>
      <c r="S1117" s="1" t="s">
        <v>42</v>
      </c>
      <c r="T1117" s="1" t="s">
        <v>273</v>
      </c>
      <c r="U1117" s="1">
        <v>7</v>
      </c>
      <c r="V1117" s="5">
        <v>44267</v>
      </c>
      <c r="W1117" s="5">
        <v>43461</v>
      </c>
      <c r="X1117" s="1">
        <v>3015000</v>
      </c>
      <c r="Y1117" s="1">
        <v>3015000</v>
      </c>
      <c r="Z1117" s="5">
        <v>43469</v>
      </c>
      <c r="AA1117" s="1">
        <v>2752025</v>
      </c>
      <c r="AB1117" s="1" t="s">
        <v>295</v>
      </c>
      <c r="AC1117" s="5">
        <v>43591</v>
      </c>
      <c r="AF1117" s="1">
        <v>10022</v>
      </c>
      <c r="AJ1117" s="1">
        <v>2017</v>
      </c>
      <c r="AK1117" s="1" t="s">
        <v>49</v>
      </c>
      <c r="AL1117" s="1">
        <v>94</v>
      </c>
    </row>
    <row r="1118" spans="1:38" x14ac:dyDescent="0.2">
      <c r="A1118" s="2" t="str">
        <f>HYPERLINK("https://www.compass.com/listing/100-east-53rd-street-unit-33b-manhattan-ny-10022/358675453401297073/","100 E 53rd St, Unit 33B")</f>
        <v>100 E 53rd St, Unit 33B</v>
      </c>
      <c r="B1118" s="2" t="str">
        <f t="shared" si="151"/>
        <v xml:space="preserve">100 East 53rd Street </v>
      </c>
      <c r="C1118" s="1" t="s">
        <v>116</v>
      </c>
      <c r="D1118" s="1" t="s">
        <v>41</v>
      </c>
      <c r="E1118" s="3">
        <v>2787664</v>
      </c>
      <c r="F1118" s="1">
        <v>2027.3918181818101</v>
      </c>
      <c r="G1118" s="1">
        <v>3</v>
      </c>
      <c r="H1118" s="1">
        <v>1</v>
      </c>
      <c r="I1118" s="1">
        <v>2</v>
      </c>
      <c r="J1118" s="1">
        <v>1.5</v>
      </c>
      <c r="K1118" s="1">
        <v>1</v>
      </c>
      <c r="L1118" s="1">
        <v>1</v>
      </c>
      <c r="M1118" s="4">
        <v>1375</v>
      </c>
      <c r="N1118" s="1">
        <v>2288.54</v>
      </c>
      <c r="O1118" s="1">
        <v>5328.17</v>
      </c>
      <c r="P1118" s="1">
        <v>3039.6666666666601</v>
      </c>
      <c r="Q1118" s="1" t="s">
        <v>42</v>
      </c>
      <c r="S1118" s="1" t="s">
        <v>42</v>
      </c>
      <c r="T1118" s="1" t="s">
        <v>273</v>
      </c>
      <c r="V1118" s="5">
        <v>43816</v>
      </c>
      <c r="W1118" s="5">
        <v>43747</v>
      </c>
      <c r="X1118" s="1">
        <v>2940000</v>
      </c>
      <c r="Y1118" s="1">
        <v>2940000</v>
      </c>
      <c r="Z1118" s="5">
        <v>43747</v>
      </c>
      <c r="AA1118" s="1">
        <v>2787663.75</v>
      </c>
      <c r="AB1118" s="1" t="s">
        <v>414</v>
      </c>
      <c r="AC1118" s="5">
        <v>43811</v>
      </c>
      <c r="AF1118" s="1">
        <v>10022</v>
      </c>
      <c r="AJ1118" s="1">
        <v>2017</v>
      </c>
      <c r="AK1118" s="1" t="s">
        <v>49</v>
      </c>
      <c r="AL1118" s="1">
        <v>94</v>
      </c>
    </row>
    <row r="1119" spans="1:38" x14ac:dyDescent="0.2">
      <c r="A1119" s="2" t="str">
        <f>HYPERLINK("https://www.compass.com/listing/100-east-53rd-street-unit-9a-manhattan-ny-10022/81922835659893265/","100 E 53rd St, Unit 9A")</f>
        <v>100 E 53rd St, Unit 9A</v>
      </c>
      <c r="B1119" s="2" t="str">
        <f t="shared" si="151"/>
        <v xml:space="preserve">100 East 53rd Street </v>
      </c>
      <c r="C1119" s="1" t="s">
        <v>116</v>
      </c>
      <c r="D1119" s="1" t="s">
        <v>41</v>
      </c>
      <c r="E1119" s="3">
        <v>2500000</v>
      </c>
      <c r="F1119" s="1">
        <v>2192.9824561403502</v>
      </c>
      <c r="G1119" s="1">
        <v>3</v>
      </c>
      <c r="H1119" s="1">
        <v>1</v>
      </c>
      <c r="I1119" s="1">
        <v>1.5</v>
      </c>
      <c r="J1119" s="1">
        <v>1.5</v>
      </c>
      <c r="K1119" s="1">
        <v>1</v>
      </c>
      <c r="L1119" s="1">
        <v>1</v>
      </c>
      <c r="M1119" s="4">
        <v>1140</v>
      </c>
      <c r="N1119" s="1">
        <v>1898</v>
      </c>
      <c r="O1119" s="1">
        <v>3730</v>
      </c>
      <c r="P1119" s="1">
        <v>1832</v>
      </c>
      <c r="Q1119" s="1" t="s">
        <v>42</v>
      </c>
      <c r="S1119" s="1" t="s">
        <v>42</v>
      </c>
      <c r="T1119" s="1" t="s">
        <v>273</v>
      </c>
      <c r="U1119" s="1">
        <v>41</v>
      </c>
      <c r="V1119" s="5">
        <v>44267</v>
      </c>
      <c r="W1119" s="5">
        <v>43365</v>
      </c>
      <c r="X1119" s="1">
        <v>3800000</v>
      </c>
      <c r="Y1119" s="1">
        <v>3800000</v>
      </c>
      <c r="Z1119" s="5">
        <v>43407</v>
      </c>
      <c r="AA1119" s="1">
        <v>2500000</v>
      </c>
      <c r="AB1119" s="1" t="s">
        <v>295</v>
      </c>
      <c r="AC1119" s="5">
        <v>43469</v>
      </c>
      <c r="AF1119" s="1">
        <v>10022</v>
      </c>
      <c r="AI1119" s="1" t="s">
        <v>404</v>
      </c>
      <c r="AJ1119" s="1">
        <v>2017</v>
      </c>
      <c r="AK1119" s="1" t="s">
        <v>46</v>
      </c>
      <c r="AL1119" s="1">
        <v>94</v>
      </c>
    </row>
    <row r="1120" spans="1:38" x14ac:dyDescent="0.2">
      <c r="A1120" s="2" t="str">
        <f>HYPERLINK("https://www.compass.com/listing/100-east-53rd-street-unit-24b-manhattan-ny-10022/84022029933612673/","100 E 53rd St, Unit 24B")</f>
        <v>100 E 53rd St, Unit 24B</v>
      </c>
      <c r="B1120" s="2" t="str">
        <f t="shared" si="151"/>
        <v xml:space="preserve">100 East 53rd Street </v>
      </c>
      <c r="C1120" s="1" t="s">
        <v>116</v>
      </c>
      <c r="D1120" s="1" t="s">
        <v>41</v>
      </c>
      <c r="E1120" s="3">
        <v>2650328</v>
      </c>
      <c r="F1120" s="1">
        <v>1927.5112727272699</v>
      </c>
      <c r="G1120" s="1">
        <v>3</v>
      </c>
      <c r="H1120" s="1">
        <v>1</v>
      </c>
      <c r="I1120" s="1">
        <v>1.5</v>
      </c>
      <c r="J1120" s="1">
        <v>1.5</v>
      </c>
      <c r="K1120" s="1">
        <v>1</v>
      </c>
      <c r="L1120" s="1">
        <v>1</v>
      </c>
      <c r="M1120" s="4">
        <v>1375</v>
      </c>
      <c r="N1120" s="1">
        <v>2289</v>
      </c>
      <c r="O1120" s="1">
        <v>4498</v>
      </c>
      <c r="P1120" s="1">
        <v>2209</v>
      </c>
      <c r="Q1120" s="1" t="s">
        <v>42</v>
      </c>
      <c r="S1120" s="1" t="s">
        <v>42</v>
      </c>
      <c r="T1120" s="1" t="s">
        <v>273</v>
      </c>
      <c r="U1120" s="1">
        <v>37</v>
      </c>
      <c r="V1120" s="5">
        <v>44267</v>
      </c>
      <c r="W1120" s="5">
        <v>43368</v>
      </c>
      <c r="X1120" s="1">
        <v>3750000</v>
      </c>
      <c r="Y1120" s="1">
        <v>3750000</v>
      </c>
      <c r="Z1120" s="5">
        <v>43405</v>
      </c>
      <c r="AA1120" s="1">
        <v>2650328</v>
      </c>
      <c r="AB1120" s="1" t="s">
        <v>415</v>
      </c>
      <c r="AC1120" s="5">
        <v>43444</v>
      </c>
      <c r="AF1120" s="1">
        <v>10022</v>
      </c>
      <c r="AI1120" s="1" t="s">
        <v>404</v>
      </c>
      <c r="AJ1120" s="1">
        <v>2017</v>
      </c>
      <c r="AK1120" s="1" t="s">
        <v>46</v>
      </c>
      <c r="AL1120" s="1">
        <v>94</v>
      </c>
    </row>
    <row r="1121" spans="1:38" x14ac:dyDescent="0.2">
      <c r="A1121" s="2" t="str">
        <f>HYPERLINK("https://www.compass.com/listing/100-east-53rd-street-unit-9b-manhattan-ny-10022/370218561821520225/","100 E 53rd St, Unit 9B")</f>
        <v>100 E 53rd St, Unit 9B</v>
      </c>
      <c r="B1121" s="2" t="str">
        <f t="shared" si="151"/>
        <v xml:space="preserve">100 East 53rd Street </v>
      </c>
      <c r="C1121" s="1" t="s">
        <v>116</v>
      </c>
      <c r="D1121" s="1" t="s">
        <v>41</v>
      </c>
      <c r="E1121" s="3">
        <v>3500000</v>
      </c>
      <c r="F1121" s="1">
        <v>1928.37465564738</v>
      </c>
      <c r="G1121" s="1">
        <v>3</v>
      </c>
      <c r="H1121" s="1">
        <v>1</v>
      </c>
      <c r="I1121" s="1">
        <v>2</v>
      </c>
      <c r="J1121" s="1">
        <v>1.5</v>
      </c>
      <c r="K1121" s="1">
        <v>1</v>
      </c>
      <c r="L1121" s="1">
        <v>1</v>
      </c>
      <c r="M1121" s="4">
        <v>1815</v>
      </c>
      <c r="N1121" s="1">
        <v>3020.9</v>
      </c>
      <c r="O1121" s="1">
        <v>7033.1399999999903</v>
      </c>
      <c r="P1121" s="1">
        <v>4012.25</v>
      </c>
      <c r="Q1121" s="1" t="s">
        <v>42</v>
      </c>
      <c r="S1121" s="1" t="s">
        <v>42</v>
      </c>
      <c r="T1121" s="1" t="s">
        <v>273</v>
      </c>
      <c r="U1121" s="1">
        <v>1</v>
      </c>
      <c r="V1121" s="5">
        <v>44267</v>
      </c>
      <c r="W1121" s="5">
        <v>43763</v>
      </c>
      <c r="X1121" s="1">
        <v>3900000</v>
      </c>
      <c r="Y1121" s="1">
        <v>3900000</v>
      </c>
      <c r="Z1121" s="5">
        <v>43764</v>
      </c>
      <c r="AA1121" s="1">
        <v>3500000</v>
      </c>
      <c r="AB1121" s="1" t="s">
        <v>416</v>
      </c>
      <c r="AC1121" s="5">
        <v>43808</v>
      </c>
      <c r="AF1121" s="1">
        <v>10022</v>
      </c>
      <c r="AJ1121" s="1">
        <v>2017</v>
      </c>
      <c r="AK1121" s="1" t="s">
        <v>49</v>
      </c>
      <c r="AL1121" s="1">
        <v>94</v>
      </c>
    </row>
    <row r="1122" spans="1:38" x14ac:dyDescent="0.2">
      <c r="A1122" s="2" t="str">
        <f>HYPERLINK("https://www.compass.com/listing/100-east-53rd-street-unit-42b-manhattan-ny-10022/84013986038681105/","100 E 53rd St, Unit 42B")</f>
        <v>100 E 53rd St, Unit 42B</v>
      </c>
      <c r="B1122" s="2" t="str">
        <f t="shared" si="151"/>
        <v xml:space="preserve">100 East 53rd Street </v>
      </c>
      <c r="C1122" s="1" t="s">
        <v>116</v>
      </c>
      <c r="D1122" s="1" t="s">
        <v>41</v>
      </c>
      <c r="E1122" s="3">
        <v>3488220</v>
      </c>
      <c r="F1122" s="1">
        <v>2536.8872727272701</v>
      </c>
      <c r="G1122" s="1">
        <v>3</v>
      </c>
      <c r="H1122" s="1">
        <v>1</v>
      </c>
      <c r="I1122" s="1">
        <v>1.5</v>
      </c>
      <c r="J1122" s="1">
        <v>1.5</v>
      </c>
      <c r="M1122" s="4">
        <v>1375</v>
      </c>
      <c r="N1122" s="1">
        <v>2289</v>
      </c>
      <c r="O1122" s="1">
        <v>4498</v>
      </c>
      <c r="P1122" s="1">
        <v>2209</v>
      </c>
      <c r="Q1122" s="1" t="s">
        <v>42</v>
      </c>
      <c r="S1122" s="1" t="s">
        <v>42</v>
      </c>
      <c r="T1122" s="1" t="s">
        <v>273</v>
      </c>
      <c r="U1122" s="1">
        <v>31</v>
      </c>
      <c r="V1122" s="5">
        <v>44267</v>
      </c>
      <c r="W1122" s="5">
        <v>43368</v>
      </c>
      <c r="X1122" s="1">
        <v>6150000</v>
      </c>
      <c r="Y1122" s="1">
        <v>6150000</v>
      </c>
      <c r="Z1122" s="5">
        <v>43400</v>
      </c>
      <c r="AA1122" s="1">
        <v>3488220</v>
      </c>
      <c r="AB1122" s="1" t="s">
        <v>295</v>
      </c>
      <c r="AC1122" s="5">
        <v>43521</v>
      </c>
      <c r="AF1122" s="1">
        <v>10022</v>
      </c>
      <c r="AI1122" s="1" t="s">
        <v>404</v>
      </c>
      <c r="AJ1122" s="1">
        <v>2017</v>
      </c>
      <c r="AK1122" s="1" t="s">
        <v>46</v>
      </c>
      <c r="AL1122" s="1">
        <v>94</v>
      </c>
    </row>
    <row r="1123" spans="1:38" x14ac:dyDescent="0.2">
      <c r="A1123" s="2" t="str">
        <f>HYPERLINK("https://www.compass.com/listing/100-east-53rd-street-unit-46b-manhattan-ny-10022/81907021212821905/","100 E 53rd St, Unit 46B")</f>
        <v>100 E 53rd St, Unit 46B</v>
      </c>
      <c r="B1123" s="2" t="str">
        <f t="shared" si="151"/>
        <v xml:space="preserve">100 East 53rd Street </v>
      </c>
      <c r="C1123" s="1" t="s">
        <v>116</v>
      </c>
      <c r="D1123" s="1" t="s">
        <v>41</v>
      </c>
      <c r="E1123" s="3">
        <v>3770275</v>
      </c>
      <c r="F1123" s="1">
        <v>2742.01818181818</v>
      </c>
      <c r="G1123" s="1">
        <v>3</v>
      </c>
      <c r="H1123" s="1">
        <v>1</v>
      </c>
      <c r="I1123" s="1">
        <v>1</v>
      </c>
      <c r="J1123" s="1">
        <v>1.5</v>
      </c>
      <c r="K1123" s="1">
        <v>1</v>
      </c>
      <c r="M1123" s="4">
        <v>1375</v>
      </c>
      <c r="N1123" s="1">
        <v>2289</v>
      </c>
      <c r="O1123" s="1">
        <v>4498</v>
      </c>
      <c r="P1123" s="1">
        <v>2209</v>
      </c>
      <c r="Q1123" s="1" t="s">
        <v>42</v>
      </c>
      <c r="S1123" s="1" t="s">
        <v>42</v>
      </c>
      <c r="T1123" s="1" t="s">
        <v>273</v>
      </c>
      <c r="U1123" s="1">
        <v>38</v>
      </c>
      <c r="V1123" s="5">
        <v>44267</v>
      </c>
      <c r="W1123" s="5">
        <v>43365</v>
      </c>
      <c r="X1123" s="1">
        <v>6425000</v>
      </c>
      <c r="Y1123" s="1">
        <v>6425000</v>
      </c>
      <c r="Z1123" s="5">
        <v>43404</v>
      </c>
      <c r="AA1123" s="1">
        <v>3770275</v>
      </c>
      <c r="AB1123" s="1" t="s">
        <v>295</v>
      </c>
      <c r="AC1123" s="5">
        <v>43518</v>
      </c>
      <c r="AF1123" s="1">
        <v>10022</v>
      </c>
      <c r="AI1123" s="1" t="s">
        <v>404</v>
      </c>
      <c r="AJ1123" s="1">
        <v>2017</v>
      </c>
      <c r="AK1123" s="1" t="s">
        <v>46</v>
      </c>
      <c r="AL1123" s="1">
        <v>94</v>
      </c>
    </row>
    <row r="1124" spans="1:38" x14ac:dyDescent="0.2">
      <c r="A1124" s="2" t="str">
        <f>HYPERLINK("https://www.compass.com/listing/100-east-53rd-street-unit-21b-manhattan-ny-10022/84186895248003665/","100 E 53rd St, Unit 21B")</f>
        <v>100 E 53rd St, Unit 21B</v>
      </c>
      <c r="B1124" s="2" t="str">
        <f t="shared" si="151"/>
        <v xml:space="preserve">100 East 53rd Street </v>
      </c>
      <c r="C1124" s="1" t="s">
        <v>116</v>
      </c>
      <c r="D1124" s="1" t="s">
        <v>41</v>
      </c>
      <c r="E1124" s="3">
        <v>3750000</v>
      </c>
      <c r="F1124" s="1">
        <v>3626.69245647969</v>
      </c>
      <c r="G1124" s="1">
        <v>2</v>
      </c>
      <c r="H1124" s="1" t="s">
        <v>99</v>
      </c>
      <c r="I1124" s="1">
        <v>1</v>
      </c>
      <c r="J1124" s="1">
        <v>1</v>
      </c>
      <c r="K1124" s="1">
        <v>1</v>
      </c>
      <c r="M1124" s="4">
        <v>1034</v>
      </c>
      <c r="N1124" s="1">
        <v>1721</v>
      </c>
      <c r="O1124" s="1">
        <v>3382</v>
      </c>
      <c r="P1124" s="1">
        <v>1661</v>
      </c>
      <c r="Q1124" s="1" t="s">
        <v>42</v>
      </c>
      <c r="S1124" s="1" t="s">
        <v>42</v>
      </c>
      <c r="T1124" s="1" t="s">
        <v>273</v>
      </c>
      <c r="U1124" s="1">
        <v>62</v>
      </c>
      <c r="V1124" s="5">
        <v>43447</v>
      </c>
      <c r="W1124" s="5">
        <v>43368</v>
      </c>
      <c r="X1124" s="1">
        <v>3750000</v>
      </c>
      <c r="Y1124" s="1">
        <v>3750000</v>
      </c>
      <c r="Z1124" s="5">
        <v>43430</v>
      </c>
      <c r="AA1124" s="1">
        <v>3750000</v>
      </c>
      <c r="AB1124" s="1" t="s">
        <v>275</v>
      </c>
      <c r="AC1124" s="5">
        <v>43447</v>
      </c>
      <c r="AF1124" s="1">
        <v>10022</v>
      </c>
      <c r="AI1124" s="1" t="s">
        <v>404</v>
      </c>
      <c r="AJ1124" s="1">
        <v>2017</v>
      </c>
      <c r="AK1124" s="1" t="s">
        <v>46</v>
      </c>
      <c r="AL1124" s="1">
        <v>94</v>
      </c>
    </row>
    <row r="1125" spans="1:38" x14ac:dyDescent="0.2">
      <c r="A1125" s="2" t="str">
        <f>HYPERLINK("https://www.compass.com/listing/100-east-53rd-street-unit-16a-manhattan-ny-10022/84019556552543841/","100 E 53rd St, Unit 16A")</f>
        <v>100 E 53rd St, Unit 16A</v>
      </c>
      <c r="B1125" s="2" t="str">
        <f t="shared" si="151"/>
        <v xml:space="preserve">100 East 53rd Street </v>
      </c>
      <c r="C1125" s="1" t="s">
        <v>116</v>
      </c>
      <c r="D1125" s="1" t="s">
        <v>41</v>
      </c>
      <c r="E1125" s="3">
        <v>1442207</v>
      </c>
      <c r="F1125" s="1">
        <v>732.08477157360403</v>
      </c>
      <c r="G1125" s="1">
        <v>4</v>
      </c>
      <c r="H1125" s="1">
        <v>2</v>
      </c>
      <c r="I1125" s="1">
        <v>2</v>
      </c>
      <c r="J1125" s="1">
        <v>2.5</v>
      </c>
      <c r="K1125" s="1">
        <v>2</v>
      </c>
      <c r="M1125" s="4">
        <v>1970</v>
      </c>
      <c r="N1125" s="1">
        <v>3279</v>
      </c>
      <c r="O1125" s="1">
        <v>6444</v>
      </c>
      <c r="P1125" s="1">
        <v>3165</v>
      </c>
      <c r="Q1125" s="1" t="s">
        <v>42</v>
      </c>
      <c r="S1125" s="1" t="s">
        <v>42</v>
      </c>
      <c r="T1125" s="1" t="s">
        <v>273</v>
      </c>
      <c r="U1125" s="1">
        <v>36</v>
      </c>
      <c r="V1125" s="5">
        <v>43560</v>
      </c>
      <c r="W1125" s="5">
        <v>43368</v>
      </c>
      <c r="X1125" s="1">
        <v>4500000</v>
      </c>
      <c r="Y1125" s="1">
        <v>1442207</v>
      </c>
      <c r="Z1125" s="5">
        <v>43404</v>
      </c>
      <c r="AA1125" s="1">
        <v>4500000</v>
      </c>
      <c r="AB1125" s="1" t="s">
        <v>275</v>
      </c>
      <c r="AC1125" s="5">
        <v>43557</v>
      </c>
      <c r="AF1125" s="1">
        <v>10022</v>
      </c>
      <c r="AI1125" s="1" t="s">
        <v>404</v>
      </c>
      <c r="AJ1125" s="1">
        <v>2017</v>
      </c>
      <c r="AK1125" s="1" t="s">
        <v>46</v>
      </c>
      <c r="AL1125" s="1">
        <v>94</v>
      </c>
    </row>
    <row r="1126" spans="1:38" x14ac:dyDescent="0.2">
      <c r="A1126" s="2" t="str">
        <f>HYPERLINK("https://www.compass.com/listing/101-wall-street-unit-10c-manhattan-ny-10005/754309859829573961/","101 Wall St, Unit 10C")</f>
        <v>101 Wall St, Unit 10C</v>
      </c>
      <c r="B1126" s="2" t="str">
        <f t="shared" ref="B1126:B1127" si="152">HYPERLINK("https://www.compass.com/building/101-wall-st-manhattan-ny-10005/292788767809355381/","101 Wall St")</f>
        <v>101 Wall St</v>
      </c>
      <c r="C1126" s="1" t="s">
        <v>96</v>
      </c>
      <c r="D1126" s="1" t="s">
        <v>41</v>
      </c>
      <c r="E1126" s="3">
        <v>1475000</v>
      </c>
      <c r="F1126" s="1">
        <v>1167.85431512272</v>
      </c>
      <c r="G1126" s="1">
        <v>4</v>
      </c>
      <c r="H1126" s="1">
        <v>2</v>
      </c>
      <c r="I1126" s="1">
        <v>2</v>
      </c>
      <c r="J1126" s="1">
        <v>2</v>
      </c>
      <c r="K1126" s="1">
        <v>2</v>
      </c>
      <c r="M1126" s="4">
        <v>1263</v>
      </c>
      <c r="N1126" s="1">
        <v>1616</v>
      </c>
      <c r="O1126" s="1">
        <v>3681</v>
      </c>
      <c r="P1126" s="1">
        <v>2065</v>
      </c>
      <c r="S1126" s="1" t="s">
        <v>42</v>
      </c>
      <c r="T1126" s="1" t="s">
        <v>273</v>
      </c>
      <c r="U1126" s="1">
        <v>42</v>
      </c>
      <c r="V1126" s="5">
        <v>44421</v>
      </c>
      <c r="W1126" s="5">
        <v>44302</v>
      </c>
      <c r="X1126" s="1">
        <v>1595000</v>
      </c>
      <c r="Y1126" s="1">
        <v>1595000</v>
      </c>
      <c r="Z1126" s="5">
        <v>44344</v>
      </c>
      <c r="AA1126" s="1">
        <v>1475000</v>
      </c>
      <c r="AB1126" s="1" t="s">
        <v>295</v>
      </c>
      <c r="AC1126" s="5">
        <v>44414</v>
      </c>
      <c r="AF1126" s="1">
        <v>10005</v>
      </c>
      <c r="AI1126" s="1" t="s">
        <v>52</v>
      </c>
      <c r="AJ1126" s="1">
        <v>2016</v>
      </c>
      <c r="AK1126" s="1" t="s">
        <v>55</v>
      </c>
      <c r="AL1126" s="1">
        <v>51</v>
      </c>
    </row>
    <row r="1127" spans="1:38" x14ac:dyDescent="0.2">
      <c r="A1127" s="2" t="str">
        <f>HYPERLINK("https://www.compass.com/listing/101-wall-street-unit-20a-manhattan-ny-10005/561587267070750881/","101 Wall St, Unit 20A")</f>
        <v>101 Wall St, Unit 20A</v>
      </c>
      <c r="B1127" s="2" t="str">
        <f t="shared" si="152"/>
        <v>101 Wall St</v>
      </c>
      <c r="C1127" s="1" t="s">
        <v>96</v>
      </c>
      <c r="D1127" s="1" t="s">
        <v>41</v>
      </c>
      <c r="E1127" s="3">
        <v>1250000</v>
      </c>
      <c r="F1127" s="1">
        <v>1298.0269989615699</v>
      </c>
      <c r="G1127" s="1">
        <v>4</v>
      </c>
      <c r="H1127" s="1">
        <v>2</v>
      </c>
      <c r="I1127" s="1">
        <v>2</v>
      </c>
      <c r="J1127" s="1">
        <v>2</v>
      </c>
      <c r="K1127" s="1">
        <v>2</v>
      </c>
      <c r="M1127" s="1">
        <v>963</v>
      </c>
      <c r="N1127" s="1">
        <v>1139</v>
      </c>
      <c r="O1127" s="1">
        <v>3144</v>
      </c>
      <c r="P1127" s="1">
        <v>2005</v>
      </c>
      <c r="Q1127" s="1" t="s">
        <v>42</v>
      </c>
      <c r="S1127" s="1" t="s">
        <v>42</v>
      </c>
      <c r="T1127" s="1" t="s">
        <v>273</v>
      </c>
      <c r="U1127" s="1">
        <v>214</v>
      </c>
      <c r="V1127" s="5">
        <v>44312</v>
      </c>
      <c r="W1127" s="5">
        <v>44029</v>
      </c>
      <c r="X1127" s="1">
        <v>1385000</v>
      </c>
      <c r="Y1127" s="1">
        <v>1325000</v>
      </c>
      <c r="Z1127" s="5">
        <v>44244</v>
      </c>
      <c r="AA1127" s="1">
        <v>1250000</v>
      </c>
      <c r="AB1127" s="1" t="s">
        <v>417</v>
      </c>
      <c r="AC1127" s="5">
        <v>44309</v>
      </c>
      <c r="AF1127" s="1">
        <v>10005</v>
      </c>
      <c r="AI1127" s="1" t="s">
        <v>418</v>
      </c>
      <c r="AJ1127" s="1">
        <v>2016</v>
      </c>
      <c r="AK1127" s="1" t="s">
        <v>55</v>
      </c>
      <c r="AL1127" s="1">
        <v>51</v>
      </c>
    </row>
    <row r="1128" spans="1:38" x14ac:dyDescent="0.2">
      <c r="A1128" s="2" t="str">
        <f>HYPERLINK("https://www.compass.com/listing/100-east-53rd-street-unit-28a-manhattan-ny-10022/29514415975957857/","100 E 53rd St, Unit 28A")</f>
        <v>100 E 53rd St, Unit 28A</v>
      </c>
      <c r="B1128" s="2" t="str">
        <f t="shared" ref="B1128:B1137" si="153">HYPERLINK("https://www.compass.com/building/100-east-53rd-street-manhattan-ny/281952230490310325/","100 East 53rd Street ")</f>
        <v xml:space="preserve">100 East 53rd Street </v>
      </c>
      <c r="C1128" s="1" t="s">
        <v>116</v>
      </c>
      <c r="D1128" s="1" t="s">
        <v>41</v>
      </c>
      <c r="E1128" s="3">
        <v>1750936</v>
      </c>
      <c r="F1128" s="1">
        <v>1068.94749694749</v>
      </c>
      <c r="G1128" s="1">
        <v>4</v>
      </c>
      <c r="H1128" s="1">
        <v>2</v>
      </c>
      <c r="I1128" s="1">
        <v>3</v>
      </c>
      <c r="J1128" s="1">
        <v>2.5</v>
      </c>
      <c r="K1128" s="1">
        <v>2</v>
      </c>
      <c r="L1128" s="1">
        <v>1</v>
      </c>
      <c r="M1128" s="4">
        <v>1638</v>
      </c>
      <c r="N1128" s="1">
        <v>2726.46</v>
      </c>
      <c r="O1128" s="1">
        <v>5358</v>
      </c>
      <c r="P1128" s="1">
        <v>2631.5</v>
      </c>
      <c r="Q1128" s="1" t="s">
        <v>42</v>
      </c>
      <c r="S1128" s="1" t="s">
        <v>42</v>
      </c>
      <c r="T1128" s="1" t="s">
        <v>273</v>
      </c>
      <c r="U1128" s="1">
        <v>329</v>
      </c>
      <c r="V1128" s="5">
        <v>43620</v>
      </c>
      <c r="W1128" s="5">
        <v>43139</v>
      </c>
      <c r="X1128" s="1">
        <v>4575000</v>
      </c>
      <c r="Y1128" s="1">
        <v>4575000</v>
      </c>
      <c r="Z1128" s="5">
        <v>43469</v>
      </c>
      <c r="AA1128" s="1">
        <v>1750936</v>
      </c>
      <c r="AB1128" s="1" t="s">
        <v>275</v>
      </c>
      <c r="AC1128" s="5">
        <v>43593</v>
      </c>
      <c r="AF1128" s="1">
        <v>10022</v>
      </c>
      <c r="AJ1128" s="1">
        <v>2017</v>
      </c>
      <c r="AK1128" s="1" t="s">
        <v>46</v>
      </c>
      <c r="AL1128" s="1">
        <v>94</v>
      </c>
    </row>
    <row r="1129" spans="1:38" x14ac:dyDescent="0.2">
      <c r="A1129" s="2" t="str">
        <f>HYPERLINK("https://www.compass.com/listing/100-east-53rd-street-unit-42a-manhattan-ny-10022/65985744195292721/","100 E 53rd St, Unit 42A")</f>
        <v>100 E 53rd St, Unit 42A</v>
      </c>
      <c r="B1129" s="2" t="str">
        <f t="shared" si="153"/>
        <v xml:space="preserve">100 East 53rd Street </v>
      </c>
      <c r="C1129" s="1" t="s">
        <v>116</v>
      </c>
      <c r="D1129" s="1" t="s">
        <v>41</v>
      </c>
      <c r="E1129" s="3">
        <v>2174044</v>
      </c>
      <c r="F1129" s="1">
        <v>1327.2551892551801</v>
      </c>
      <c r="G1129" s="1">
        <v>4</v>
      </c>
      <c r="H1129" s="1">
        <v>2</v>
      </c>
      <c r="I1129" s="1">
        <v>2.5</v>
      </c>
      <c r="J1129" s="1">
        <v>2.5</v>
      </c>
      <c r="M1129" s="4">
        <v>1638</v>
      </c>
      <c r="N1129" s="1">
        <v>2632</v>
      </c>
      <c r="O1129" s="1">
        <v>5358</v>
      </c>
      <c r="P1129" s="1">
        <v>2726</v>
      </c>
      <c r="S1129" s="1" t="s">
        <v>42</v>
      </c>
      <c r="T1129" s="1" t="s">
        <v>273</v>
      </c>
      <c r="U1129" s="1">
        <v>6</v>
      </c>
      <c r="V1129" s="5">
        <v>43538</v>
      </c>
      <c r="W1129" s="5">
        <v>43344</v>
      </c>
      <c r="X1129" s="1">
        <v>7850000</v>
      </c>
      <c r="Y1129" s="1">
        <v>7850000</v>
      </c>
      <c r="Z1129" s="5">
        <v>43350</v>
      </c>
      <c r="AA1129" s="1">
        <v>2174044</v>
      </c>
      <c r="AB1129" s="1" t="s">
        <v>275</v>
      </c>
      <c r="AC1129" s="5">
        <v>43521</v>
      </c>
      <c r="AF1129" s="1">
        <v>10022</v>
      </c>
      <c r="AJ1129" s="1">
        <v>2017</v>
      </c>
      <c r="AK1129" s="1" t="s">
        <v>46</v>
      </c>
      <c r="AL1129" s="1">
        <v>94</v>
      </c>
    </row>
    <row r="1130" spans="1:38" x14ac:dyDescent="0.2">
      <c r="A1130" s="2" t="str">
        <f>HYPERLINK("https://www.compass.com/listing/100-east-53rd-street-unit-17a-manhattan-ny-10022/29514416529682465/","100 E 53rd St, Unit 17A")</f>
        <v>100 E 53rd St, Unit 17A</v>
      </c>
      <c r="B1130" s="2" t="str">
        <f t="shared" si="153"/>
        <v xml:space="preserve">100 East 53rd Street </v>
      </c>
      <c r="C1130" s="1" t="s">
        <v>116</v>
      </c>
      <c r="D1130" s="1" t="s">
        <v>41</v>
      </c>
      <c r="E1130" s="3">
        <v>4381225</v>
      </c>
      <c r="F1130" s="1">
        <v>2223.97208121827</v>
      </c>
      <c r="G1130" s="1">
        <v>4</v>
      </c>
      <c r="H1130" s="1">
        <v>2</v>
      </c>
      <c r="I1130" s="1">
        <v>2.5</v>
      </c>
      <c r="J1130" s="1">
        <v>2.5</v>
      </c>
      <c r="K1130" s="1">
        <v>2</v>
      </c>
      <c r="L1130" s="1">
        <v>1</v>
      </c>
      <c r="M1130" s="4">
        <v>1970</v>
      </c>
      <c r="N1130" s="1">
        <v>3278.84</v>
      </c>
      <c r="O1130" s="1">
        <v>6443.8</v>
      </c>
      <c r="P1130" s="1">
        <v>3165</v>
      </c>
      <c r="Q1130" s="1" t="s">
        <v>42</v>
      </c>
      <c r="S1130" s="1" t="s">
        <v>42</v>
      </c>
      <c r="T1130" s="1" t="s">
        <v>273</v>
      </c>
      <c r="U1130" s="1">
        <v>263</v>
      </c>
      <c r="V1130" s="5">
        <v>44267</v>
      </c>
      <c r="W1130" s="5">
        <v>43167</v>
      </c>
      <c r="X1130" s="1">
        <v>4700000</v>
      </c>
      <c r="Y1130" s="1">
        <v>4700000</v>
      </c>
      <c r="Z1130" s="5">
        <v>43430</v>
      </c>
      <c r="AA1130" s="1">
        <v>4381225</v>
      </c>
      <c r="AB1130" s="1" t="s">
        <v>295</v>
      </c>
      <c r="AC1130" s="5">
        <v>43479</v>
      </c>
      <c r="AF1130" s="1">
        <v>10022</v>
      </c>
      <c r="AJ1130" s="1">
        <v>2017</v>
      </c>
      <c r="AK1130" s="1" t="s">
        <v>46</v>
      </c>
      <c r="AL1130" s="1">
        <v>94</v>
      </c>
    </row>
    <row r="1131" spans="1:38" x14ac:dyDescent="0.2">
      <c r="A1131" s="2" t="str">
        <f>HYPERLINK("https://www.compass.com/listing/100-east-53rd-street-unit-19a-manhattan-ny-10022/110074654302937217/","100 E 53rd St, Unit 19A")</f>
        <v>100 E 53rd St, Unit 19A</v>
      </c>
      <c r="B1131" s="2" t="str">
        <f t="shared" si="153"/>
        <v xml:space="preserve">100 East 53rd Street </v>
      </c>
      <c r="C1131" s="1" t="s">
        <v>116</v>
      </c>
      <c r="D1131" s="1" t="s">
        <v>41</v>
      </c>
      <c r="E1131" s="3">
        <v>4788525</v>
      </c>
      <c r="F1131" s="1">
        <v>2430.7233502538002</v>
      </c>
      <c r="G1131" s="1">
        <v>4</v>
      </c>
      <c r="H1131" s="1">
        <v>2</v>
      </c>
      <c r="I1131" s="1">
        <v>2.5</v>
      </c>
      <c r="J1131" s="1">
        <v>2.5</v>
      </c>
      <c r="M1131" s="4">
        <v>1970</v>
      </c>
      <c r="N1131" s="1">
        <v>3279</v>
      </c>
      <c r="O1131" s="1">
        <v>6444</v>
      </c>
      <c r="P1131" s="1">
        <v>3165</v>
      </c>
      <c r="Q1131" s="1" t="s">
        <v>42</v>
      </c>
      <c r="S1131" s="1" t="s">
        <v>42</v>
      </c>
      <c r="T1131" s="1" t="s">
        <v>273</v>
      </c>
      <c r="V1131" s="5">
        <v>43461</v>
      </c>
      <c r="W1131" s="5">
        <v>43404</v>
      </c>
      <c r="X1131" s="1">
        <v>6400000</v>
      </c>
      <c r="Y1131" s="1">
        <v>6400000</v>
      </c>
      <c r="Z1131" s="5">
        <v>43404</v>
      </c>
      <c r="AA1131" s="1">
        <v>4788525</v>
      </c>
      <c r="AB1131" s="1" t="s">
        <v>419</v>
      </c>
      <c r="AC1131" s="5">
        <v>43453</v>
      </c>
      <c r="AF1131" s="1">
        <v>10022</v>
      </c>
      <c r="AJ1131" s="1">
        <v>2017</v>
      </c>
      <c r="AK1131" s="1" t="s">
        <v>49</v>
      </c>
      <c r="AL1131" s="1">
        <v>94</v>
      </c>
    </row>
    <row r="1132" spans="1:38" x14ac:dyDescent="0.2">
      <c r="A1132" s="2" t="str">
        <f>HYPERLINK("https://www.compass.com/listing/100-east-53rd-street-unit-30a-manhattan-ny-10022/399224597777487265/","100 E 53rd St, Unit 30A")</f>
        <v>100 E 53rd St, Unit 30A</v>
      </c>
      <c r="B1132" s="2" t="str">
        <f t="shared" si="153"/>
        <v xml:space="preserve">100 East 53rd Street </v>
      </c>
      <c r="C1132" s="1" t="s">
        <v>116</v>
      </c>
      <c r="D1132" s="1" t="s">
        <v>41</v>
      </c>
      <c r="E1132" s="3">
        <v>3881600</v>
      </c>
      <c r="F1132" s="1">
        <v>2369.7191697191602</v>
      </c>
      <c r="G1132" s="1">
        <v>4</v>
      </c>
      <c r="H1132" s="1">
        <v>2</v>
      </c>
      <c r="I1132" s="1">
        <v>3</v>
      </c>
      <c r="J1132" s="1">
        <v>2.5</v>
      </c>
      <c r="K1132" s="1">
        <v>2</v>
      </c>
      <c r="L1132" s="1">
        <v>1</v>
      </c>
      <c r="M1132" s="4">
        <v>1638</v>
      </c>
      <c r="N1132" s="1">
        <v>2726.46</v>
      </c>
      <c r="O1132" s="1">
        <v>6347.48</v>
      </c>
      <c r="P1132" s="1">
        <v>3621</v>
      </c>
      <c r="Q1132" s="1" t="s">
        <v>42</v>
      </c>
      <c r="S1132" s="1" t="s">
        <v>42</v>
      </c>
      <c r="T1132" s="1" t="s">
        <v>273</v>
      </c>
      <c r="V1132" s="5">
        <v>43816</v>
      </c>
      <c r="W1132" s="5">
        <v>43803</v>
      </c>
      <c r="X1132" s="1">
        <v>4250000</v>
      </c>
      <c r="Y1132" s="1">
        <v>4250000</v>
      </c>
      <c r="Z1132" s="5">
        <v>43803</v>
      </c>
      <c r="AA1132" s="1">
        <v>3881600</v>
      </c>
      <c r="AB1132" s="1" t="s">
        <v>420</v>
      </c>
      <c r="AC1132" s="5">
        <v>43808</v>
      </c>
      <c r="AF1132" s="1">
        <v>10022</v>
      </c>
      <c r="AJ1132" s="1">
        <v>2017</v>
      </c>
      <c r="AK1132" s="1" t="s">
        <v>49</v>
      </c>
      <c r="AL1132" s="1">
        <v>94</v>
      </c>
    </row>
    <row r="1133" spans="1:38" x14ac:dyDescent="0.2">
      <c r="A1133" s="2" t="str">
        <f>HYPERLINK("https://www.compass.com/listing/100-east-53rd-street-unit-14a-manhattan-ny-10022/4852350876083303665/","100 E 53rd St, Unit 14A")</f>
        <v>100 E 53rd St, Unit 14A</v>
      </c>
      <c r="B1133" s="2" t="str">
        <f t="shared" si="153"/>
        <v xml:space="preserve">100 East 53rd Street </v>
      </c>
      <c r="C1133" s="1" t="s">
        <v>116</v>
      </c>
      <c r="D1133" s="1" t="s">
        <v>41</v>
      </c>
      <c r="E1133" s="3">
        <v>4279400</v>
      </c>
      <c r="F1133" s="1">
        <v>2172.28426395939</v>
      </c>
      <c r="G1133" s="1">
        <v>4</v>
      </c>
      <c r="H1133" s="1">
        <v>2</v>
      </c>
      <c r="J1133" s="1">
        <v>2.5</v>
      </c>
      <c r="M1133" s="4">
        <v>1970</v>
      </c>
      <c r="N1133" s="1">
        <v>3165</v>
      </c>
      <c r="O1133" s="1">
        <v>6444</v>
      </c>
      <c r="P1133" s="1">
        <v>3279</v>
      </c>
      <c r="Q1133" s="1" t="s">
        <v>42</v>
      </c>
      <c r="S1133" s="1" t="s">
        <v>42</v>
      </c>
      <c r="T1133" s="1" t="s">
        <v>273</v>
      </c>
      <c r="U1133" s="1">
        <v>1</v>
      </c>
      <c r="V1133" s="5">
        <v>44021</v>
      </c>
      <c r="W1133" s="5">
        <v>43334</v>
      </c>
      <c r="X1133" s="1">
        <v>4985000</v>
      </c>
      <c r="Y1133" s="1">
        <v>4985000</v>
      </c>
      <c r="Z1133" s="5">
        <v>43335</v>
      </c>
      <c r="AA1133" s="1">
        <v>4279400</v>
      </c>
      <c r="AB1133" s="1" t="s">
        <v>421</v>
      </c>
      <c r="AC1133" s="5">
        <v>43461</v>
      </c>
      <c r="AF1133" s="1">
        <v>10022</v>
      </c>
      <c r="AJ1133" s="1">
        <v>2017</v>
      </c>
      <c r="AK1133" s="1" t="s">
        <v>46</v>
      </c>
      <c r="AL1133" s="1">
        <v>94</v>
      </c>
    </row>
    <row r="1134" spans="1:38" x14ac:dyDescent="0.2">
      <c r="A1134" s="2" t="str">
        <f>HYPERLINK("https://www.compass.com/listing/100-east-53rd-street-unit-22a-manhattan-ny-10022/59408030118185745/","100 E 53rd St, Unit 22A")</f>
        <v>100 E 53rd St, Unit 22A</v>
      </c>
      <c r="B1134" s="2" t="str">
        <f t="shared" si="153"/>
        <v xml:space="preserve">100 East 53rd Street </v>
      </c>
      <c r="C1134" s="1" t="s">
        <v>116</v>
      </c>
      <c r="D1134" s="1" t="s">
        <v>41</v>
      </c>
      <c r="E1134" s="3">
        <v>6700000</v>
      </c>
      <c r="F1134" s="1">
        <v>3401.01522842639</v>
      </c>
      <c r="G1134" s="1">
        <v>4</v>
      </c>
      <c r="H1134" s="1">
        <v>2</v>
      </c>
      <c r="I1134" s="1">
        <v>2.5</v>
      </c>
      <c r="J1134" s="1">
        <v>2.5</v>
      </c>
      <c r="K1134" s="1">
        <v>2</v>
      </c>
      <c r="L1134" s="1">
        <v>1</v>
      </c>
      <c r="M1134" s="4">
        <v>1970</v>
      </c>
      <c r="N1134" s="1">
        <v>3165</v>
      </c>
      <c r="O1134" s="1">
        <v>6444</v>
      </c>
      <c r="P1134" s="1">
        <v>3279</v>
      </c>
      <c r="S1134" s="1" t="s">
        <v>42</v>
      </c>
      <c r="T1134" s="1" t="s">
        <v>273</v>
      </c>
      <c r="U1134" s="1">
        <v>1</v>
      </c>
      <c r="V1134" s="5">
        <v>43447</v>
      </c>
      <c r="W1134" s="5">
        <v>43334</v>
      </c>
      <c r="X1134" s="1">
        <v>6700000</v>
      </c>
      <c r="Y1134" s="1">
        <v>6700000</v>
      </c>
      <c r="Z1134" s="5">
        <v>43335</v>
      </c>
      <c r="AA1134" s="1">
        <v>6700000</v>
      </c>
      <c r="AB1134" s="1" t="s">
        <v>275</v>
      </c>
      <c r="AC1134" s="5">
        <v>43447</v>
      </c>
      <c r="AF1134" s="1">
        <v>10022</v>
      </c>
      <c r="AJ1134" s="1">
        <v>2017</v>
      </c>
      <c r="AK1134" s="1" t="s">
        <v>46</v>
      </c>
      <c r="AL1134" s="1">
        <v>94</v>
      </c>
    </row>
    <row r="1135" spans="1:38" x14ac:dyDescent="0.2">
      <c r="A1135" s="2" t="str">
        <f>HYPERLINK("https://www.compass.com/listing/100-east-53rd-street-unit-21a-manhattan-ny-10022/62960995592600241/","100 E 53rd St, Unit 21A")</f>
        <v>100 E 53rd St, Unit 21A</v>
      </c>
      <c r="B1135" s="2" t="str">
        <f t="shared" si="153"/>
        <v xml:space="preserve">100 East 53rd Street </v>
      </c>
      <c r="C1135" s="1" t="s">
        <v>116</v>
      </c>
      <c r="D1135" s="1" t="s">
        <v>41</v>
      </c>
      <c r="E1135" s="3">
        <v>6600000</v>
      </c>
      <c r="F1135" s="1">
        <v>3350.2538071065901</v>
      </c>
      <c r="G1135" s="1">
        <v>4</v>
      </c>
      <c r="H1135" s="1">
        <v>2</v>
      </c>
      <c r="I1135" s="1">
        <v>2.5</v>
      </c>
      <c r="J1135" s="1">
        <v>2.5</v>
      </c>
      <c r="K1135" s="1">
        <v>2</v>
      </c>
      <c r="L1135" s="1">
        <v>1</v>
      </c>
      <c r="M1135" s="4">
        <v>1970</v>
      </c>
      <c r="N1135" s="1">
        <v>3279</v>
      </c>
      <c r="O1135" s="1">
        <v>6444</v>
      </c>
      <c r="P1135" s="1">
        <v>3165</v>
      </c>
      <c r="S1135" s="1" t="s">
        <v>42</v>
      </c>
      <c r="T1135" s="1" t="s">
        <v>273</v>
      </c>
      <c r="U1135" s="1">
        <v>1</v>
      </c>
      <c r="V1135" s="5">
        <v>43447</v>
      </c>
      <c r="W1135" s="5">
        <v>43339</v>
      </c>
      <c r="X1135" s="1">
        <v>6600000</v>
      </c>
      <c r="Y1135" s="1">
        <v>6600000</v>
      </c>
      <c r="Z1135" s="5">
        <v>43341</v>
      </c>
      <c r="AA1135" s="1">
        <v>6600000</v>
      </c>
      <c r="AB1135" s="1" t="s">
        <v>275</v>
      </c>
      <c r="AC1135" s="5">
        <v>43447</v>
      </c>
      <c r="AF1135" s="1">
        <v>10022</v>
      </c>
      <c r="AJ1135" s="1">
        <v>2017</v>
      </c>
      <c r="AK1135" s="1" t="s">
        <v>46</v>
      </c>
      <c r="AL1135" s="1">
        <v>94</v>
      </c>
    </row>
    <row r="1136" spans="1:38" x14ac:dyDescent="0.2">
      <c r="A1136" s="2" t="str">
        <f>HYPERLINK("https://www.compass.com/listing/100-east-53rd-street-unit-20a-manhattan-ny-10022/63198100293945473/","100 E 53rd St, Unit 20A")</f>
        <v>100 E 53rd St, Unit 20A</v>
      </c>
      <c r="B1136" s="2" t="str">
        <f t="shared" si="153"/>
        <v xml:space="preserve">100 East 53rd Street </v>
      </c>
      <c r="C1136" s="1" t="s">
        <v>116</v>
      </c>
      <c r="D1136" s="1" t="s">
        <v>41</v>
      </c>
      <c r="E1136" s="3">
        <v>5058361</v>
      </c>
      <c r="F1136" s="1">
        <v>2567.69606598984</v>
      </c>
      <c r="G1136" s="1">
        <v>4</v>
      </c>
      <c r="H1136" s="1">
        <v>2</v>
      </c>
      <c r="I1136" s="1">
        <v>2.5</v>
      </c>
      <c r="J1136" s="1">
        <v>2.5</v>
      </c>
      <c r="M1136" s="4">
        <v>1970</v>
      </c>
      <c r="N1136" s="1">
        <v>3279</v>
      </c>
      <c r="O1136" s="1">
        <v>6444</v>
      </c>
      <c r="P1136" s="1">
        <v>3165</v>
      </c>
      <c r="Q1136" s="1" t="s">
        <v>42</v>
      </c>
      <c r="S1136" s="1" t="s">
        <v>42</v>
      </c>
      <c r="T1136" s="1" t="s">
        <v>273</v>
      </c>
      <c r="U1136" s="1">
        <v>1</v>
      </c>
      <c r="V1136" s="5">
        <v>43449</v>
      </c>
      <c r="W1136" s="5">
        <v>43339</v>
      </c>
      <c r="X1136" s="1">
        <v>6500000</v>
      </c>
      <c r="Y1136" s="1">
        <v>6500000</v>
      </c>
      <c r="Z1136" s="5">
        <v>43341</v>
      </c>
      <c r="AA1136" s="1">
        <v>5058361.25</v>
      </c>
      <c r="AB1136" s="1" t="s">
        <v>422</v>
      </c>
      <c r="AC1136" s="5">
        <v>43448</v>
      </c>
      <c r="AF1136" s="1">
        <v>10022</v>
      </c>
      <c r="AJ1136" s="1">
        <v>2017</v>
      </c>
      <c r="AK1136" s="1" t="s">
        <v>46</v>
      </c>
      <c r="AL1136" s="1">
        <v>94</v>
      </c>
    </row>
    <row r="1137" spans="1:38" x14ac:dyDescent="0.2">
      <c r="A1137" s="2" t="str">
        <f>HYPERLINK("https://www.compass.com/listing/100-east-53rd-street-unit-18a-manhattan-ny-10022/84153502850355617/","100 E 53rd St, Unit 18A")</f>
        <v>100 E 53rd St, Unit 18A</v>
      </c>
      <c r="B1137" s="2" t="str">
        <f t="shared" si="153"/>
        <v xml:space="preserve">100 East 53rd Street </v>
      </c>
      <c r="C1137" s="1" t="s">
        <v>116</v>
      </c>
      <c r="D1137" s="1" t="s">
        <v>41</v>
      </c>
      <c r="E1137" s="3">
        <v>6325000</v>
      </c>
      <c r="F1137" s="1">
        <v>3210.6598984771499</v>
      </c>
      <c r="G1137" s="1">
        <v>4</v>
      </c>
      <c r="H1137" s="1">
        <v>2</v>
      </c>
      <c r="I1137" s="1">
        <v>2.5</v>
      </c>
      <c r="J1137" s="1">
        <v>2.5</v>
      </c>
      <c r="M1137" s="4">
        <v>1970</v>
      </c>
      <c r="N1137" s="1">
        <v>3279</v>
      </c>
      <c r="O1137" s="1">
        <v>6444</v>
      </c>
      <c r="P1137" s="1">
        <v>3165</v>
      </c>
      <c r="Q1137" s="1" t="s">
        <v>42</v>
      </c>
      <c r="S1137" s="1" t="s">
        <v>42</v>
      </c>
      <c r="T1137" s="1" t="s">
        <v>273</v>
      </c>
      <c r="U1137" s="1">
        <v>42</v>
      </c>
      <c r="V1137" s="5">
        <v>43455</v>
      </c>
      <c r="W1137" s="5">
        <v>43368</v>
      </c>
      <c r="X1137" s="1">
        <v>6325000</v>
      </c>
      <c r="Y1137" s="1">
        <v>6325000</v>
      </c>
      <c r="Z1137" s="5">
        <v>43411</v>
      </c>
      <c r="AA1137" s="1">
        <v>6325000</v>
      </c>
      <c r="AB1137" s="1" t="s">
        <v>275</v>
      </c>
      <c r="AC1137" s="5">
        <v>43455</v>
      </c>
      <c r="AF1137" s="1">
        <v>10022</v>
      </c>
      <c r="AJ1137" s="1">
        <v>2017</v>
      </c>
      <c r="AK1137" s="1" t="s">
        <v>46</v>
      </c>
      <c r="AL1137" s="1">
        <v>94</v>
      </c>
    </row>
    <row r="1138" spans="1:38" x14ac:dyDescent="0.2">
      <c r="A1138" s="2" t="str">
        <f>HYPERLINK("https://www.compass.com/listing/135-west-52nd-street-unit-16e-manhattan-ny-10019/718210067991451449/","135 W 52nd St, Unit 16E")</f>
        <v>135 W 52nd St, Unit 16E</v>
      </c>
      <c r="B1138" s="2" t="str">
        <f t="shared" ref="B1138:B1141" si="154">HYPERLINK("https://www.compass.com/building/135-w-52nd-st-manhattan-ny-10019/281943802548121109/","135 W 52nd St")</f>
        <v>135 W 52nd St</v>
      </c>
      <c r="C1138" s="1" t="s">
        <v>219</v>
      </c>
      <c r="D1138" s="1" t="s">
        <v>41</v>
      </c>
      <c r="E1138" s="3">
        <v>2220000</v>
      </c>
      <c r="F1138" s="1">
        <v>1975.0889679715301</v>
      </c>
      <c r="G1138" s="1">
        <v>4</v>
      </c>
      <c r="H1138" s="1">
        <v>2</v>
      </c>
      <c r="I1138" s="1">
        <v>2</v>
      </c>
      <c r="J1138" s="1">
        <v>2</v>
      </c>
      <c r="K1138" s="1">
        <v>2</v>
      </c>
      <c r="M1138" s="4">
        <v>1124</v>
      </c>
      <c r="N1138" s="1">
        <v>1274</v>
      </c>
      <c r="O1138" s="1">
        <v>2894</v>
      </c>
      <c r="P1138" s="1">
        <v>1620</v>
      </c>
      <c r="S1138" s="1" t="s">
        <v>42</v>
      </c>
      <c r="T1138" s="1" t="s">
        <v>273</v>
      </c>
      <c r="U1138" s="1">
        <v>44</v>
      </c>
      <c r="V1138" s="5">
        <v>44379</v>
      </c>
      <c r="W1138" s="5">
        <v>44243</v>
      </c>
      <c r="X1138" s="1">
        <v>2350000</v>
      </c>
      <c r="Y1138" s="1">
        <v>2350000</v>
      </c>
      <c r="Z1138" s="5">
        <v>44287</v>
      </c>
      <c r="AA1138" s="1">
        <v>2220000</v>
      </c>
      <c r="AB1138" s="1" t="s">
        <v>295</v>
      </c>
      <c r="AC1138" s="5">
        <v>44375</v>
      </c>
      <c r="AF1138" s="1">
        <v>10019</v>
      </c>
      <c r="AJ1138" s="1">
        <v>2016</v>
      </c>
      <c r="AK1138" s="1" t="s">
        <v>49</v>
      </c>
      <c r="AL1138" s="1">
        <v>109</v>
      </c>
    </row>
    <row r="1139" spans="1:38" x14ac:dyDescent="0.2">
      <c r="A1139" s="2" t="str">
        <f>HYPERLINK("https://www.compass.com/listing/135-west-52nd-street-unit-12d-manhattan-ny-10019/29511822025442497/","135 W 52nd St, Unit 12D")</f>
        <v>135 W 52nd St, Unit 12D</v>
      </c>
      <c r="B1139" s="2" t="str">
        <f t="shared" si="154"/>
        <v>135 W 52nd St</v>
      </c>
      <c r="C1139" s="1" t="s">
        <v>139</v>
      </c>
      <c r="D1139" s="1" t="s">
        <v>41</v>
      </c>
      <c r="E1139" s="3">
        <v>1715000</v>
      </c>
      <c r="F1139" s="1">
        <v>1897.1238938053</v>
      </c>
      <c r="G1139" s="1">
        <v>3</v>
      </c>
      <c r="H1139" s="1">
        <v>1</v>
      </c>
      <c r="I1139" s="1">
        <v>2</v>
      </c>
      <c r="J1139" s="1">
        <v>2</v>
      </c>
      <c r="M1139" s="1">
        <v>904</v>
      </c>
      <c r="N1139" s="1">
        <v>772</v>
      </c>
      <c r="O1139" s="1">
        <v>1764</v>
      </c>
      <c r="P1139" s="1">
        <v>992</v>
      </c>
      <c r="Q1139" s="1" t="s">
        <v>42</v>
      </c>
      <c r="S1139" s="1" t="s">
        <v>42</v>
      </c>
      <c r="T1139" s="1" t="s">
        <v>273</v>
      </c>
      <c r="U1139" s="1">
        <v>307</v>
      </c>
      <c r="V1139" s="5">
        <v>43488</v>
      </c>
      <c r="W1139" s="5">
        <v>43140</v>
      </c>
      <c r="X1139" s="1">
        <v>1895000</v>
      </c>
      <c r="Y1139" s="1">
        <v>1750000</v>
      </c>
      <c r="Z1139" s="5">
        <v>43447</v>
      </c>
      <c r="AA1139" s="1">
        <v>1715000</v>
      </c>
      <c r="AB1139" s="1" t="s">
        <v>423</v>
      </c>
      <c r="AC1139" s="5">
        <v>43475</v>
      </c>
      <c r="AF1139" s="1">
        <v>10019</v>
      </c>
      <c r="AI1139" s="1" t="s">
        <v>174</v>
      </c>
      <c r="AJ1139" s="1">
        <v>2016</v>
      </c>
      <c r="AK1139" s="1" t="s">
        <v>49</v>
      </c>
      <c r="AL1139" s="1">
        <v>109</v>
      </c>
    </row>
    <row r="1140" spans="1:38" x14ac:dyDescent="0.2">
      <c r="A1140" s="2" t="str">
        <f>HYPERLINK("https://www.compass.com/listing/135-west-52nd-street-unit-17b-manhattan-ny-10019/76554220727212769/","135 W 52nd St, Unit 17B")</f>
        <v>135 W 52nd St, Unit 17B</v>
      </c>
      <c r="B1140" s="2" t="str">
        <f t="shared" si="154"/>
        <v>135 W 52nd St</v>
      </c>
      <c r="C1140" s="1" t="s">
        <v>139</v>
      </c>
      <c r="D1140" s="1" t="s">
        <v>41</v>
      </c>
      <c r="E1140" s="3">
        <v>3316500</v>
      </c>
      <c r="F1140" s="1">
        <v>2035.9116022099399</v>
      </c>
      <c r="G1140" s="1">
        <v>4</v>
      </c>
      <c r="H1140" s="1">
        <v>2</v>
      </c>
      <c r="I1140" s="1">
        <v>3</v>
      </c>
      <c r="J1140" s="1">
        <v>2.5</v>
      </c>
      <c r="K1140" s="1">
        <v>2</v>
      </c>
      <c r="L1140" s="1">
        <v>1</v>
      </c>
      <c r="M1140" s="4">
        <v>1629</v>
      </c>
      <c r="N1140" s="1">
        <v>2240</v>
      </c>
      <c r="O1140" s="1">
        <v>4157</v>
      </c>
      <c r="P1140" s="1">
        <v>1917</v>
      </c>
      <c r="Q1140" s="1" t="s">
        <v>42</v>
      </c>
      <c r="S1140" s="1" t="s">
        <v>42</v>
      </c>
      <c r="T1140" s="1" t="s">
        <v>273</v>
      </c>
      <c r="V1140" s="5">
        <v>43603</v>
      </c>
      <c r="W1140" s="5">
        <v>43394</v>
      </c>
      <c r="AB1140" s="1" t="s">
        <v>275</v>
      </c>
      <c r="AF1140" s="1">
        <v>10019</v>
      </c>
      <c r="AI1140" s="1" t="s">
        <v>133</v>
      </c>
      <c r="AJ1140" s="1">
        <v>2016</v>
      </c>
      <c r="AK1140" s="1" t="s">
        <v>46</v>
      </c>
      <c r="AL1140" s="1">
        <v>109</v>
      </c>
    </row>
    <row r="1141" spans="1:38" x14ac:dyDescent="0.2">
      <c r="A1141" s="2" t="str">
        <f>HYPERLINK("https://www.compass.com/listing/135-west-52nd-street-unit-40a-manhattan-ny-10019/420920204141212177/","135 W 52nd St, Unit 40A")</f>
        <v>135 W 52nd St, Unit 40A</v>
      </c>
      <c r="B1141" s="2" t="str">
        <f t="shared" si="154"/>
        <v>135 W 52nd St</v>
      </c>
      <c r="C1141" s="1" t="s">
        <v>219</v>
      </c>
      <c r="D1141" s="1" t="s">
        <v>41</v>
      </c>
      <c r="E1141" s="3">
        <v>5550000</v>
      </c>
      <c r="F1141" s="1">
        <v>1489.5330112721399</v>
      </c>
      <c r="G1141" s="1">
        <v>6</v>
      </c>
      <c r="H1141" s="1">
        <v>4</v>
      </c>
      <c r="I1141" s="1">
        <v>5</v>
      </c>
      <c r="J1141" s="1">
        <v>4</v>
      </c>
      <c r="K1141" s="1">
        <v>3</v>
      </c>
      <c r="L1141" s="1">
        <v>2</v>
      </c>
      <c r="M1141" s="4">
        <v>3726</v>
      </c>
      <c r="N1141" s="1">
        <v>5457</v>
      </c>
      <c r="O1141" s="1">
        <v>12066</v>
      </c>
      <c r="P1141" s="1">
        <v>6609</v>
      </c>
      <c r="S1141" s="1" t="s">
        <v>42</v>
      </c>
      <c r="T1141" s="1" t="s">
        <v>273</v>
      </c>
      <c r="U1141" s="1">
        <v>392</v>
      </c>
      <c r="V1141" s="5">
        <v>44412</v>
      </c>
      <c r="W1141" s="5">
        <v>43833</v>
      </c>
      <c r="X1141" s="1">
        <v>7950000</v>
      </c>
      <c r="Y1141" s="1">
        <v>5995000</v>
      </c>
      <c r="Z1141" s="5">
        <v>44320</v>
      </c>
      <c r="AA1141" s="1">
        <v>5550000</v>
      </c>
      <c r="AB1141" s="1" t="s">
        <v>295</v>
      </c>
      <c r="AC1141" s="5">
        <v>44406</v>
      </c>
      <c r="AF1141" s="1">
        <v>10019</v>
      </c>
      <c r="AI1141" s="1" t="s">
        <v>231</v>
      </c>
      <c r="AJ1141" s="1">
        <v>2016</v>
      </c>
      <c r="AK1141" s="1" t="s">
        <v>49</v>
      </c>
      <c r="AL1141" s="1">
        <v>109</v>
      </c>
    </row>
    <row r="1142" spans="1:38" x14ac:dyDescent="0.2">
      <c r="A1142" s="2" t="str">
        <f>HYPERLINK("https://www.compass.com/listing/77-east-110th-street-unit-3a-manhattan-ny-10029/73765294677439041/","77 E 110th St, Unit 3A")</f>
        <v>77 E 110th St, Unit 3A</v>
      </c>
      <c r="B1142" s="2" t="str">
        <f>HYPERLINK("https://www.compass.com/building/77-condominiums-manhattan-ny/281992190891244549/","77 Condominiums")</f>
        <v>77 Condominiums</v>
      </c>
      <c r="C1142" s="1" t="s">
        <v>424</v>
      </c>
      <c r="D1142" s="1" t="s">
        <v>41</v>
      </c>
      <c r="E1142" s="3">
        <v>810000</v>
      </c>
      <c r="F1142" s="1">
        <v>784.12391093901203</v>
      </c>
      <c r="G1142" s="1">
        <v>4</v>
      </c>
      <c r="H1142" s="1">
        <v>2</v>
      </c>
      <c r="I1142" s="1">
        <v>1.5</v>
      </c>
      <c r="J1142" s="1">
        <v>1.5</v>
      </c>
      <c r="K1142" s="1">
        <v>1</v>
      </c>
      <c r="L1142" s="1">
        <v>1</v>
      </c>
      <c r="M1142" s="4">
        <v>1033</v>
      </c>
      <c r="N1142" s="1">
        <v>333</v>
      </c>
      <c r="O1142" s="1">
        <v>374</v>
      </c>
      <c r="P1142" s="1">
        <v>41</v>
      </c>
      <c r="Q1142" s="1" t="s">
        <v>42</v>
      </c>
      <c r="S1142" s="1" t="s">
        <v>42</v>
      </c>
      <c r="T1142" s="1" t="s">
        <v>273</v>
      </c>
      <c r="U1142" s="1">
        <v>102</v>
      </c>
      <c r="V1142" s="5">
        <v>43783</v>
      </c>
      <c r="W1142" s="5">
        <v>43364</v>
      </c>
      <c r="X1142" s="1">
        <v>895000</v>
      </c>
      <c r="Y1142" s="1">
        <v>895000</v>
      </c>
      <c r="Z1142" s="5">
        <v>43466</v>
      </c>
      <c r="AA1142" s="1">
        <v>810000</v>
      </c>
      <c r="AB1142" s="1" t="s">
        <v>425</v>
      </c>
      <c r="AC1142" s="5">
        <v>43487</v>
      </c>
      <c r="AF1142" s="1">
        <v>10029</v>
      </c>
      <c r="AI1142" s="1" t="s">
        <v>48</v>
      </c>
      <c r="AJ1142" s="1">
        <v>2013</v>
      </c>
      <c r="AK1142" s="1" t="s">
        <v>75</v>
      </c>
      <c r="AL1142" s="1">
        <v>20</v>
      </c>
    </row>
    <row r="1143" spans="1:38" x14ac:dyDescent="0.2">
      <c r="A1143" s="2" t="str">
        <f>HYPERLINK("https://www.compass.com/listing/135-west-52nd-street-unit-8a-manhattan-ny-10019/339059162583465537/","135 W 52nd St, Unit 8A")</f>
        <v>135 W 52nd St, Unit 8A</v>
      </c>
      <c r="B1143" s="2" t="str">
        <f t="shared" ref="B1143:B1144" si="155">HYPERLINK("https://www.compass.com/building/135-w-52nd-st-manhattan-ny-10019/281943802548121109/","135 W 52nd St")</f>
        <v>135 W 52nd St</v>
      </c>
      <c r="C1143" s="1" t="s">
        <v>139</v>
      </c>
      <c r="D1143" s="1" t="s">
        <v>41</v>
      </c>
      <c r="E1143" s="3">
        <v>3600000</v>
      </c>
      <c r="F1143" s="1">
        <v>1699.71671388101</v>
      </c>
      <c r="G1143" s="1">
        <v>5</v>
      </c>
      <c r="H1143" s="1">
        <v>3</v>
      </c>
      <c r="I1143" s="1">
        <v>3</v>
      </c>
      <c r="J1143" s="1">
        <v>3</v>
      </c>
      <c r="K1143" s="1">
        <v>3</v>
      </c>
      <c r="M1143" s="4">
        <v>2118</v>
      </c>
      <c r="N1143" s="1">
        <v>2819</v>
      </c>
      <c r="O1143" s="1">
        <v>5553</v>
      </c>
      <c r="P1143" s="1">
        <v>2734</v>
      </c>
      <c r="Q1143" s="1" t="s">
        <v>42</v>
      </c>
      <c r="S1143" s="1" t="s">
        <v>42</v>
      </c>
      <c r="T1143" s="1" t="s">
        <v>273</v>
      </c>
      <c r="U1143" s="1">
        <v>159</v>
      </c>
      <c r="V1143" s="5">
        <v>43880</v>
      </c>
      <c r="W1143" s="5">
        <v>43720</v>
      </c>
      <c r="X1143" s="1">
        <v>3950000</v>
      </c>
      <c r="Y1143" s="1">
        <v>3950000</v>
      </c>
      <c r="Z1143" s="5">
        <v>43880</v>
      </c>
      <c r="AA1143" s="1">
        <v>3600000</v>
      </c>
      <c r="AB1143" s="1" t="s">
        <v>426</v>
      </c>
      <c r="AC1143" s="5">
        <v>43910</v>
      </c>
      <c r="AF1143" s="1">
        <v>10019</v>
      </c>
      <c r="AI1143" s="1" t="s">
        <v>63</v>
      </c>
      <c r="AJ1143" s="1">
        <v>2016</v>
      </c>
      <c r="AK1143" s="1" t="s">
        <v>46</v>
      </c>
      <c r="AL1143" s="1">
        <v>109</v>
      </c>
    </row>
    <row r="1144" spans="1:38" x14ac:dyDescent="0.2">
      <c r="A1144" s="2" t="str">
        <f>HYPERLINK("https://www.compass.com/listing/135-west-52nd-street-unit-ph1-manhattan-ny-10019/339128360504602865/","135 W 52nd St, Unit PH1")</f>
        <v>135 W 52nd St, Unit PH1</v>
      </c>
      <c r="B1144" s="2" t="str">
        <f t="shared" si="155"/>
        <v>135 W 52nd St</v>
      </c>
      <c r="C1144" s="1" t="s">
        <v>139</v>
      </c>
      <c r="D1144" s="1" t="s">
        <v>41</v>
      </c>
      <c r="E1144" s="3">
        <v>12810413</v>
      </c>
      <c r="F1144" s="1">
        <v>2486.0105763632801</v>
      </c>
      <c r="G1144" s="1">
        <v>9</v>
      </c>
      <c r="H1144" s="1">
        <v>5</v>
      </c>
      <c r="I1144" s="1">
        <v>6</v>
      </c>
      <c r="J1144" s="1">
        <v>5</v>
      </c>
      <c r="K1144" s="1">
        <v>4</v>
      </c>
      <c r="L1144" s="1">
        <v>2</v>
      </c>
      <c r="M1144" s="4">
        <v>5153</v>
      </c>
      <c r="N1144" s="1">
        <v>9549</v>
      </c>
      <c r="O1144" s="1">
        <v>18923</v>
      </c>
      <c r="P1144" s="1">
        <v>9374</v>
      </c>
      <c r="Q1144" s="1" t="s">
        <v>42</v>
      </c>
      <c r="S1144" s="1" t="s">
        <v>42</v>
      </c>
      <c r="T1144" s="1" t="s">
        <v>273</v>
      </c>
      <c r="U1144" s="1">
        <v>40</v>
      </c>
      <c r="V1144" s="5">
        <v>43768</v>
      </c>
      <c r="W1144" s="5">
        <v>43720</v>
      </c>
      <c r="X1144" s="1">
        <v>13500000</v>
      </c>
      <c r="Y1144" s="1">
        <v>13500000</v>
      </c>
      <c r="Z1144" s="5">
        <v>43761</v>
      </c>
      <c r="AA1144" s="1">
        <v>12810412.5</v>
      </c>
      <c r="AB1144" s="1" t="s">
        <v>427</v>
      </c>
      <c r="AC1144" s="5">
        <v>43803</v>
      </c>
      <c r="AF1144" s="1">
        <v>10019</v>
      </c>
      <c r="AI1144" s="1" t="s">
        <v>428</v>
      </c>
      <c r="AJ1144" s="1">
        <v>2016</v>
      </c>
      <c r="AK1144" s="1" t="s">
        <v>46</v>
      </c>
      <c r="AL1144" s="1">
        <v>109</v>
      </c>
    </row>
    <row r="1145" spans="1:38" x14ac:dyDescent="0.2">
      <c r="A1145" s="2" t="str">
        <f>HYPERLINK("https://www.compass.com/listing/50-clinton-street-unit-6f-manhattan-ny-10002/262020024233904081/","50 Clinton St, Unit 6F")</f>
        <v>50 Clinton St, Unit 6F</v>
      </c>
      <c r="B1145" s="2" t="str">
        <f t="shared" ref="B1145:B1147" si="156">HYPERLINK("https://www.compass.com/building/50-clinton-manhattan-ny/281887574832709909/","50 Clinton")</f>
        <v>50 Clinton</v>
      </c>
      <c r="C1145" s="1" t="s">
        <v>47</v>
      </c>
      <c r="D1145" s="1" t="s">
        <v>41</v>
      </c>
      <c r="E1145" s="3">
        <v>1250000</v>
      </c>
      <c r="F1145" s="1">
        <v>1923.0769230769199</v>
      </c>
      <c r="G1145" s="1">
        <v>4</v>
      </c>
      <c r="H1145" s="1">
        <v>1</v>
      </c>
      <c r="I1145" s="1">
        <v>1</v>
      </c>
      <c r="J1145" s="1">
        <v>1</v>
      </c>
      <c r="K1145" s="1">
        <v>1</v>
      </c>
      <c r="M1145" s="1">
        <v>650</v>
      </c>
      <c r="N1145" s="1">
        <v>750</v>
      </c>
      <c r="O1145" s="1">
        <v>1650</v>
      </c>
      <c r="P1145" s="1">
        <v>900</v>
      </c>
      <c r="Q1145" s="1" t="s">
        <v>42</v>
      </c>
      <c r="S1145" s="1" t="s">
        <v>42</v>
      </c>
      <c r="T1145" s="1" t="s">
        <v>273</v>
      </c>
      <c r="U1145" s="1">
        <v>267</v>
      </c>
      <c r="V1145" s="5">
        <v>44021</v>
      </c>
      <c r="W1145" s="5">
        <v>43614</v>
      </c>
      <c r="X1145" s="1">
        <v>1395000</v>
      </c>
      <c r="Y1145" s="1">
        <v>1295000</v>
      </c>
      <c r="Z1145" s="5">
        <v>43882</v>
      </c>
      <c r="AA1145" s="1">
        <v>1250000</v>
      </c>
      <c r="AB1145" s="1" t="s">
        <v>429</v>
      </c>
      <c r="AC1145" s="5">
        <v>43944</v>
      </c>
      <c r="AF1145" s="1">
        <v>10002</v>
      </c>
      <c r="AI1145" s="1" t="s">
        <v>48</v>
      </c>
      <c r="AJ1145" s="1">
        <v>2016</v>
      </c>
      <c r="AK1145" s="1" t="s">
        <v>49</v>
      </c>
      <c r="AL1145" s="1">
        <v>37</v>
      </c>
    </row>
    <row r="1146" spans="1:38" x14ac:dyDescent="0.2">
      <c r="A1146" s="2" t="str">
        <f>HYPERLINK("https://www.compass.com/listing/50-clinton-street-unit-6a-manhattan-ny-10002/738341143455497673/","50 Clinton St, Unit 6A")</f>
        <v>50 Clinton St, Unit 6A</v>
      </c>
      <c r="B1146" s="2" t="str">
        <f t="shared" si="156"/>
        <v>50 Clinton</v>
      </c>
      <c r="C1146" s="1" t="s">
        <v>47</v>
      </c>
      <c r="D1146" s="1" t="s">
        <v>41</v>
      </c>
      <c r="E1146" s="3">
        <v>1775000</v>
      </c>
      <c r="G1146" s="1">
        <v>2</v>
      </c>
      <c r="H1146" s="1">
        <v>2</v>
      </c>
      <c r="I1146" s="1">
        <v>2</v>
      </c>
      <c r="J1146" s="1">
        <v>2</v>
      </c>
      <c r="K1146" s="1">
        <v>2</v>
      </c>
      <c r="N1146" s="1">
        <v>1255</v>
      </c>
      <c r="O1146" s="1">
        <v>2583</v>
      </c>
      <c r="P1146" s="1">
        <v>1328</v>
      </c>
      <c r="S1146" s="1" t="s">
        <v>42</v>
      </c>
      <c r="T1146" s="1" t="s">
        <v>273</v>
      </c>
      <c r="U1146" s="1">
        <v>14</v>
      </c>
      <c r="V1146" s="5">
        <v>44406</v>
      </c>
      <c r="W1146" s="5">
        <v>44298</v>
      </c>
      <c r="X1146" s="1">
        <v>1775000</v>
      </c>
      <c r="Y1146" s="1">
        <v>1745000</v>
      </c>
      <c r="Z1146" s="5">
        <v>44313</v>
      </c>
      <c r="AA1146" s="1">
        <v>1775000</v>
      </c>
      <c r="AB1146" s="1" t="s">
        <v>275</v>
      </c>
      <c r="AC1146" s="5">
        <v>44406</v>
      </c>
      <c r="AF1146" s="1">
        <v>10002</v>
      </c>
      <c r="AI1146" s="1" t="s">
        <v>48</v>
      </c>
      <c r="AJ1146" s="1">
        <v>2016</v>
      </c>
      <c r="AK1146" s="1" t="s">
        <v>49</v>
      </c>
      <c r="AL1146" s="1">
        <v>37</v>
      </c>
    </row>
    <row r="1147" spans="1:38" x14ac:dyDescent="0.2">
      <c r="A1147" s="2" t="str">
        <f>HYPERLINK("https://www.compass.com/listing/50-clinton-street-unit-4d-manhattan-ny-10002/252050706662477665/","50 Clinton St, Unit 4D")</f>
        <v>50 Clinton St, Unit 4D</v>
      </c>
      <c r="B1147" s="2" t="str">
        <f t="shared" si="156"/>
        <v>50 Clinton</v>
      </c>
      <c r="C1147" s="1" t="s">
        <v>47</v>
      </c>
      <c r="D1147" s="1" t="s">
        <v>41</v>
      </c>
      <c r="E1147" s="3">
        <v>2200000</v>
      </c>
      <c r="F1147" s="1">
        <v>1850.2943650126099</v>
      </c>
      <c r="G1147" s="1">
        <v>5</v>
      </c>
      <c r="H1147" s="1">
        <v>2</v>
      </c>
      <c r="I1147" s="1">
        <v>2</v>
      </c>
      <c r="J1147" s="1">
        <v>2</v>
      </c>
      <c r="K1147" s="1">
        <v>2</v>
      </c>
      <c r="M1147" s="4">
        <v>1189</v>
      </c>
      <c r="N1147" s="1">
        <v>1377</v>
      </c>
      <c r="O1147" s="1">
        <v>3043</v>
      </c>
      <c r="P1147" s="1">
        <v>1666</v>
      </c>
      <c r="Q1147" s="1" t="s">
        <v>42</v>
      </c>
      <c r="S1147" s="1" t="s">
        <v>42</v>
      </c>
      <c r="T1147" s="1" t="s">
        <v>273</v>
      </c>
      <c r="U1147" s="1">
        <v>123</v>
      </c>
      <c r="V1147" s="5">
        <v>43783</v>
      </c>
      <c r="W1147" s="5">
        <v>43603</v>
      </c>
      <c r="X1147" s="1">
        <v>2300000</v>
      </c>
      <c r="Y1147" s="1">
        <v>2300000</v>
      </c>
      <c r="Z1147" s="5">
        <v>43727</v>
      </c>
      <c r="AA1147" s="1">
        <v>2200000</v>
      </c>
      <c r="AB1147" s="1" t="s">
        <v>430</v>
      </c>
      <c r="AC1147" s="5">
        <v>43775</v>
      </c>
      <c r="AF1147" s="1">
        <v>10002</v>
      </c>
      <c r="AI1147" s="1" t="s">
        <v>48</v>
      </c>
      <c r="AJ1147" s="1">
        <v>2016</v>
      </c>
      <c r="AK1147" s="1" t="s">
        <v>46</v>
      </c>
      <c r="AL1147" s="1">
        <v>37</v>
      </c>
    </row>
    <row r="1148" spans="1:38" x14ac:dyDescent="0.2">
      <c r="A1148" s="2" t="str">
        <f>HYPERLINK("https://www.compass.com/listing/42-allen-street-unit-4a-3a-manhattan-ny-10002/505128209387127409/","42 Allen St, Unit 4A/3A")</f>
        <v>42 Allen St, Unit 4A/3A</v>
      </c>
      <c r="B1148" s="2" t="str">
        <f t="shared" ref="B1148:B1151" si="157">HYPERLINK("https://www.compass.com/building/42-allen-manhattan-ny/307432515178187973/","42 Allen")</f>
        <v>42 Allen</v>
      </c>
      <c r="C1148" s="1" t="s">
        <v>47</v>
      </c>
      <c r="D1148" s="1" t="s">
        <v>41</v>
      </c>
      <c r="E1148" s="3">
        <v>1995000</v>
      </c>
      <c r="F1148" s="1">
        <v>1593.45047923322</v>
      </c>
      <c r="G1148" s="1">
        <v>5</v>
      </c>
      <c r="H1148" s="1">
        <v>2</v>
      </c>
      <c r="I1148" s="1">
        <v>3</v>
      </c>
      <c r="J1148" s="1">
        <v>3</v>
      </c>
      <c r="K1148" s="1">
        <v>3</v>
      </c>
      <c r="M1148" s="4">
        <v>1252</v>
      </c>
      <c r="N1148" s="1">
        <v>862</v>
      </c>
      <c r="O1148" s="1">
        <v>2777</v>
      </c>
      <c r="P1148" s="1">
        <v>1915</v>
      </c>
      <c r="S1148" s="1" t="s">
        <v>42</v>
      </c>
      <c r="T1148" s="1" t="s">
        <v>273</v>
      </c>
      <c r="U1148" s="1">
        <v>123</v>
      </c>
      <c r="V1148" s="5">
        <v>44154</v>
      </c>
      <c r="W1148" s="5">
        <v>44002</v>
      </c>
      <c r="X1148" s="1">
        <v>1995000</v>
      </c>
      <c r="Y1148" s="1">
        <v>1995000</v>
      </c>
      <c r="Z1148" s="5">
        <v>44128</v>
      </c>
      <c r="AA1148" s="1">
        <v>1995000</v>
      </c>
      <c r="AB1148" s="1" t="s">
        <v>275</v>
      </c>
      <c r="AC1148" s="5">
        <v>44154</v>
      </c>
      <c r="AF1148" s="1">
        <v>10002</v>
      </c>
      <c r="AI1148" s="1" t="s">
        <v>431</v>
      </c>
      <c r="AJ1148" s="1">
        <v>2019</v>
      </c>
      <c r="AL1148" s="1">
        <v>8</v>
      </c>
    </row>
    <row r="1149" spans="1:38" x14ac:dyDescent="0.2">
      <c r="A1149" s="2" t="str">
        <f>HYPERLINK("https://www.compass.com/listing/42-allen-street-unit-phs-manhattan-ny-10002/749365976688234025/","42 Allen St, Unit PHS")</f>
        <v>42 Allen St, Unit PHS</v>
      </c>
      <c r="B1149" s="2" t="str">
        <f t="shared" si="157"/>
        <v>42 Allen</v>
      </c>
      <c r="C1149" s="1" t="s">
        <v>47</v>
      </c>
      <c r="D1149" s="1" t="s">
        <v>41</v>
      </c>
      <c r="E1149" s="3">
        <v>1975000</v>
      </c>
      <c r="F1149" s="1">
        <v>1467.3105497771101</v>
      </c>
      <c r="G1149" s="1">
        <v>4</v>
      </c>
      <c r="H1149" s="1">
        <v>2</v>
      </c>
      <c r="I1149" s="1">
        <v>3</v>
      </c>
      <c r="J1149" s="1">
        <v>2.5</v>
      </c>
      <c r="K1149" s="1">
        <v>2</v>
      </c>
      <c r="L1149" s="1">
        <v>1</v>
      </c>
      <c r="M1149" s="4">
        <v>1346</v>
      </c>
      <c r="N1149" s="1">
        <v>924</v>
      </c>
      <c r="O1149" s="1">
        <v>2949</v>
      </c>
      <c r="P1149" s="1">
        <v>2025</v>
      </c>
      <c r="Q1149" s="1" t="s">
        <v>42</v>
      </c>
      <c r="S1149" s="1" t="s">
        <v>42</v>
      </c>
      <c r="T1149" s="1" t="s">
        <v>273</v>
      </c>
      <c r="V1149" s="5">
        <v>44344</v>
      </c>
      <c r="Y1149" s="1">
        <v>2095000</v>
      </c>
      <c r="Z1149" s="5">
        <v>44286</v>
      </c>
      <c r="AA1149" s="1">
        <v>1975000</v>
      </c>
      <c r="AB1149" s="1" t="s">
        <v>432</v>
      </c>
      <c r="AC1149" s="5">
        <v>44327</v>
      </c>
      <c r="AF1149" s="1">
        <v>10002</v>
      </c>
      <c r="AI1149" s="1" t="s">
        <v>231</v>
      </c>
      <c r="AJ1149" s="1">
        <v>2019</v>
      </c>
      <c r="AL1149" s="1">
        <v>8</v>
      </c>
    </row>
    <row r="1150" spans="1:38" x14ac:dyDescent="0.2">
      <c r="A1150" s="2" t="str">
        <f>HYPERLINK("https://www.compass.com/listing/42-allen-street-unit-4b-manhattan-ny-10002/662560684779069105/","42 Allen St, Unit 4B")</f>
        <v>42 Allen St, Unit 4B</v>
      </c>
      <c r="B1150" s="2" t="str">
        <f t="shared" si="157"/>
        <v>42 Allen</v>
      </c>
      <c r="C1150" s="1" t="s">
        <v>47</v>
      </c>
      <c r="D1150" s="1" t="s">
        <v>41</v>
      </c>
      <c r="E1150" s="3">
        <v>1725000</v>
      </c>
      <c r="F1150" s="1">
        <v>1281.5750371470999</v>
      </c>
      <c r="G1150" s="1">
        <v>4</v>
      </c>
      <c r="H1150" s="1">
        <v>2</v>
      </c>
      <c r="I1150" s="1">
        <v>3</v>
      </c>
      <c r="J1150" s="1">
        <v>3</v>
      </c>
      <c r="K1150" s="1">
        <v>3</v>
      </c>
      <c r="M1150" s="4">
        <v>1346</v>
      </c>
      <c r="N1150" s="1">
        <v>923</v>
      </c>
      <c r="O1150" s="1">
        <v>2603</v>
      </c>
      <c r="P1150" s="1">
        <v>1680</v>
      </c>
      <c r="Q1150" s="1" t="s">
        <v>42</v>
      </c>
      <c r="S1150" s="1" t="s">
        <v>42</v>
      </c>
      <c r="T1150" s="1" t="s">
        <v>273</v>
      </c>
      <c r="U1150" s="1">
        <v>54</v>
      </c>
      <c r="V1150" s="5">
        <v>44300</v>
      </c>
      <c r="W1150" s="5">
        <v>44166</v>
      </c>
      <c r="X1150" s="1">
        <v>1795000</v>
      </c>
      <c r="Y1150" s="1">
        <v>1795000</v>
      </c>
      <c r="Z1150" s="5">
        <v>44221</v>
      </c>
      <c r="AA1150" s="1">
        <v>1725000</v>
      </c>
      <c r="AB1150" s="1" t="s">
        <v>433</v>
      </c>
      <c r="AC1150" s="5">
        <v>44293</v>
      </c>
      <c r="AF1150" s="1">
        <v>10002</v>
      </c>
      <c r="AI1150" s="1" t="s">
        <v>74</v>
      </c>
      <c r="AJ1150" s="1">
        <v>2019</v>
      </c>
      <c r="AK1150" s="1" t="s">
        <v>75</v>
      </c>
      <c r="AL1150" s="1">
        <v>8</v>
      </c>
    </row>
    <row r="1151" spans="1:38" x14ac:dyDescent="0.2">
      <c r="A1151" s="2" t="str">
        <f>HYPERLINK("https://www.compass.com/listing/42-allen-street-unit-6b-5b-manhattan-ny-10002/477443293897298785/","42 Allen St, Unit 6B/5B")</f>
        <v>42 Allen St, Unit 6B/5B</v>
      </c>
      <c r="B1151" s="2" t="str">
        <f t="shared" si="157"/>
        <v>42 Allen</v>
      </c>
      <c r="C1151" s="1" t="s">
        <v>47</v>
      </c>
      <c r="D1151" s="1" t="s">
        <v>41</v>
      </c>
      <c r="E1151" s="3">
        <v>1895000</v>
      </c>
      <c r="F1151" s="1">
        <v>1407.8751857355101</v>
      </c>
      <c r="G1151" s="1">
        <v>5</v>
      </c>
      <c r="H1151" s="1">
        <v>2</v>
      </c>
      <c r="I1151" s="1">
        <v>3</v>
      </c>
      <c r="J1151" s="1">
        <v>2.5</v>
      </c>
      <c r="K1151" s="1">
        <v>2</v>
      </c>
      <c r="L1151" s="1">
        <v>1</v>
      </c>
      <c r="M1151" s="4">
        <v>1346</v>
      </c>
      <c r="N1151" s="1">
        <v>846</v>
      </c>
      <c r="O1151" s="1">
        <v>2529</v>
      </c>
      <c r="P1151" s="1">
        <v>1683</v>
      </c>
      <c r="S1151" s="1" t="s">
        <v>42</v>
      </c>
      <c r="T1151" s="1" t="s">
        <v>273</v>
      </c>
      <c r="U1151" s="1">
        <v>266</v>
      </c>
      <c r="V1151" s="5">
        <v>44318</v>
      </c>
      <c r="W1151" s="5">
        <v>43911</v>
      </c>
      <c r="X1151" s="1">
        <v>1995000</v>
      </c>
      <c r="Y1151" s="1">
        <v>1895000</v>
      </c>
      <c r="Z1151" s="5">
        <v>44278</v>
      </c>
      <c r="AA1151" s="1">
        <v>1895000</v>
      </c>
      <c r="AB1151" s="1" t="s">
        <v>275</v>
      </c>
      <c r="AC1151" s="5">
        <v>44318</v>
      </c>
      <c r="AF1151" s="1">
        <v>10002</v>
      </c>
      <c r="AI1151" s="1" t="s">
        <v>74</v>
      </c>
      <c r="AJ1151" s="1">
        <v>2019</v>
      </c>
      <c r="AK1151" s="1" t="s">
        <v>75</v>
      </c>
      <c r="AL1151" s="1">
        <v>8</v>
      </c>
    </row>
    <row r="1152" spans="1:38" x14ac:dyDescent="0.2">
      <c r="A1152" s="2" t="str">
        <f>HYPERLINK("https://www.compass.com/listing/196-orchard-street-unit-5f-manhattan-ny-10002/4852351294934884689/","196 Orchard St, Unit 5F")</f>
        <v>196 Orchard St, Unit 5F</v>
      </c>
      <c r="B1152" s="2" t="str">
        <f>HYPERLINK("https://www.compass.com/building/196-orchard-st-manhattan-ny-10002/281886194713760485/","196 Orchard St")</f>
        <v>196 Orchard St</v>
      </c>
      <c r="C1152" s="1" t="s">
        <v>47</v>
      </c>
      <c r="D1152" s="1" t="s">
        <v>41</v>
      </c>
      <c r="E1152" s="3">
        <v>1545649</v>
      </c>
      <c r="F1152" s="1">
        <v>2269.6751101321502</v>
      </c>
      <c r="G1152" s="1">
        <v>3</v>
      </c>
      <c r="H1152" s="1">
        <v>1</v>
      </c>
      <c r="I1152" s="1">
        <v>1</v>
      </c>
      <c r="J1152" s="1">
        <v>1</v>
      </c>
      <c r="M1152" s="1">
        <v>681</v>
      </c>
      <c r="N1152" s="1">
        <v>894.57</v>
      </c>
      <c r="O1152" s="1">
        <v>1790.83</v>
      </c>
      <c r="P1152" s="1">
        <v>896.25</v>
      </c>
      <c r="Q1152" s="1" t="s">
        <v>42</v>
      </c>
      <c r="S1152" s="1" t="s">
        <v>100</v>
      </c>
      <c r="T1152" s="1" t="s">
        <v>273</v>
      </c>
      <c r="U1152" s="1">
        <v>152</v>
      </c>
      <c r="V1152" s="5">
        <v>43461</v>
      </c>
      <c r="W1152" s="5">
        <v>42685</v>
      </c>
      <c r="X1152" s="1">
        <v>1515000</v>
      </c>
      <c r="Y1152" s="1">
        <v>1515000</v>
      </c>
      <c r="AA1152" s="1">
        <v>1545648.75</v>
      </c>
      <c r="AB1152" s="1" t="s">
        <v>434</v>
      </c>
      <c r="AC1152" s="5">
        <v>43448</v>
      </c>
      <c r="AF1152" s="1">
        <v>10002</v>
      </c>
      <c r="AI1152" s="1" t="s">
        <v>165</v>
      </c>
      <c r="AJ1152" s="1">
        <v>2018</v>
      </c>
      <c r="AK1152" s="1" t="s">
        <v>125</v>
      </c>
      <c r="AL1152" s="1">
        <v>89</v>
      </c>
    </row>
    <row r="1153" spans="1:38" x14ac:dyDescent="0.2">
      <c r="A1153" s="2" t="str">
        <f>HYPERLINK("https://www.compass.com/listing/204-forsyth-street-fl-6-manhattan-ny-10002/86222764750526785/","204 Forsyth St, Fl 6")</f>
        <v>204 Forsyth St, Fl 6</v>
      </c>
      <c r="B1153" s="2" t="str">
        <f t="shared" ref="B1153:B1154" si="158">HYPERLINK("https://www.compass.com/building/204-forsyth-st-manhattan-ny-10002/281886285847598005/","204 Forsyth St")</f>
        <v>204 Forsyth St</v>
      </c>
      <c r="C1153" s="1" t="s">
        <v>47</v>
      </c>
      <c r="D1153" s="1" t="s">
        <v>41</v>
      </c>
      <c r="E1153" s="3">
        <v>6000000</v>
      </c>
      <c r="F1153" s="1">
        <v>2110.4467112205398</v>
      </c>
      <c r="G1153" s="1">
        <v>5</v>
      </c>
      <c r="H1153" s="1">
        <v>3</v>
      </c>
      <c r="I1153" s="1">
        <v>4</v>
      </c>
      <c r="J1153" s="1">
        <v>3.5</v>
      </c>
      <c r="K1153" s="1">
        <v>3</v>
      </c>
      <c r="L1153" s="1">
        <v>1</v>
      </c>
      <c r="M1153" s="4">
        <v>2843</v>
      </c>
      <c r="N1153" s="1">
        <v>2619</v>
      </c>
      <c r="O1153" s="1">
        <v>6759</v>
      </c>
      <c r="P1153" s="1">
        <v>4140</v>
      </c>
      <c r="Q1153" s="1" t="s">
        <v>42</v>
      </c>
      <c r="S1153" s="1" t="s">
        <v>42</v>
      </c>
      <c r="T1153" s="1" t="s">
        <v>273</v>
      </c>
      <c r="U1153" s="1">
        <v>92</v>
      </c>
      <c r="V1153" s="5">
        <v>43550</v>
      </c>
      <c r="W1153" s="5">
        <v>43390</v>
      </c>
      <c r="X1153" s="1">
        <v>6495000</v>
      </c>
      <c r="Y1153" s="1">
        <v>6000000</v>
      </c>
      <c r="Z1153" s="5">
        <v>43483</v>
      </c>
      <c r="AA1153" s="1">
        <v>6495000</v>
      </c>
      <c r="AB1153" s="1" t="s">
        <v>275</v>
      </c>
      <c r="AC1153" s="5">
        <v>43537</v>
      </c>
      <c r="AF1153" s="1">
        <v>10002</v>
      </c>
      <c r="AI1153" s="1" t="s">
        <v>48</v>
      </c>
      <c r="AJ1153" s="1">
        <v>2016</v>
      </c>
      <c r="AK1153" s="1" t="s">
        <v>46</v>
      </c>
      <c r="AL1153" s="1">
        <v>11</v>
      </c>
    </row>
    <row r="1154" spans="1:38" x14ac:dyDescent="0.2">
      <c r="A1154" s="2" t="str">
        <f>HYPERLINK("https://www.compass.com/listing/204-forsyth-street-unit-ph-manhattan-ny-10002/206968115295161985/","204 Forsyth St, Unit PH")</f>
        <v>204 Forsyth St, Unit PH</v>
      </c>
      <c r="B1154" s="2" t="str">
        <f t="shared" si="158"/>
        <v>204 Forsyth St</v>
      </c>
      <c r="C1154" s="1" t="s">
        <v>47</v>
      </c>
      <c r="D1154" s="1" t="s">
        <v>41</v>
      </c>
      <c r="E1154" s="3">
        <v>7600000</v>
      </c>
      <c r="F1154" s="1">
        <v>2930.9679907443101</v>
      </c>
      <c r="G1154" s="1">
        <v>6</v>
      </c>
      <c r="H1154" s="1">
        <v>2</v>
      </c>
      <c r="J1154" s="1">
        <v>2.5</v>
      </c>
      <c r="M1154" s="4">
        <v>2593</v>
      </c>
      <c r="N1154" s="1">
        <v>2805.81</v>
      </c>
      <c r="O1154" s="1">
        <v>7491.1399999999903</v>
      </c>
      <c r="P1154" s="1">
        <v>4685.3333333333303</v>
      </c>
      <c r="Q1154" s="1" t="s">
        <v>42</v>
      </c>
      <c r="S1154" s="1" t="s">
        <v>42</v>
      </c>
      <c r="T1154" s="1" t="s">
        <v>273</v>
      </c>
      <c r="U1154" s="1">
        <v>37</v>
      </c>
      <c r="V1154" s="5">
        <v>43620</v>
      </c>
      <c r="W1154" s="5">
        <v>43537</v>
      </c>
      <c r="X1154" s="1">
        <v>7995000</v>
      </c>
      <c r="Y1154" s="1">
        <v>7995000</v>
      </c>
      <c r="Z1154" s="5">
        <v>43575</v>
      </c>
      <c r="AA1154" s="1">
        <v>7600000</v>
      </c>
      <c r="AB1154" s="1" t="s">
        <v>435</v>
      </c>
      <c r="AC1154" s="5">
        <v>43613</v>
      </c>
      <c r="AF1154" s="1">
        <v>10002</v>
      </c>
      <c r="AI1154" s="1" t="s">
        <v>436</v>
      </c>
      <c r="AJ1154" s="1">
        <v>2016</v>
      </c>
      <c r="AK1154" s="1" t="s">
        <v>49</v>
      </c>
      <c r="AL1154" s="1">
        <v>11</v>
      </c>
    </row>
    <row r="1155" spans="1:38" x14ac:dyDescent="0.2">
      <c r="A1155" s="2" t="str">
        <f>HYPERLINK("https://www.compass.com/listing/570-broome-street-unit-7c-manhattan-ny-10013/296914655524067185/","570 Broome St, Unit 7C")</f>
        <v>570 Broome St, Unit 7C</v>
      </c>
      <c r="B1155" s="2" t="str">
        <f>HYPERLINK("https://www.compass.com/building/570-broome-manhattan-ny/292818583757562981/","570 Broome")</f>
        <v>570 Broome</v>
      </c>
      <c r="C1155" s="1" t="s">
        <v>298</v>
      </c>
      <c r="D1155" s="1" t="s">
        <v>41</v>
      </c>
      <c r="E1155" s="3">
        <v>1291677</v>
      </c>
      <c r="F1155" s="1">
        <v>1759.77784741144</v>
      </c>
      <c r="G1155" s="1">
        <v>3</v>
      </c>
      <c r="H1155" s="1">
        <v>1</v>
      </c>
      <c r="I1155" s="1">
        <v>1</v>
      </c>
      <c r="J1155" s="1">
        <v>1</v>
      </c>
      <c r="K1155" s="1">
        <v>1</v>
      </c>
      <c r="M1155" s="1">
        <v>734</v>
      </c>
      <c r="N1155" s="1">
        <v>784</v>
      </c>
      <c r="O1155" s="1">
        <v>1991</v>
      </c>
      <c r="P1155" s="1">
        <v>1207</v>
      </c>
      <c r="Q1155" s="1" t="s">
        <v>332</v>
      </c>
      <c r="S1155" s="1" t="s">
        <v>100</v>
      </c>
      <c r="T1155" s="1" t="s">
        <v>273</v>
      </c>
      <c r="V1155" s="5">
        <v>43792</v>
      </c>
      <c r="W1155" s="5">
        <v>43661</v>
      </c>
      <c r="X1155" s="1">
        <v>1475000</v>
      </c>
      <c r="Y1155" s="1">
        <v>1475000</v>
      </c>
      <c r="Z1155" s="5">
        <v>43661</v>
      </c>
      <c r="AA1155" s="1">
        <v>1291676.94</v>
      </c>
      <c r="AB1155" s="1" t="s">
        <v>437</v>
      </c>
      <c r="AC1155" s="5">
        <v>43822</v>
      </c>
      <c r="AF1155" s="1">
        <v>10013</v>
      </c>
      <c r="AI1155" s="1" t="s">
        <v>80</v>
      </c>
      <c r="AJ1155" s="1">
        <v>2019</v>
      </c>
      <c r="AK1155" s="1" t="s">
        <v>55</v>
      </c>
      <c r="AL1155" s="1">
        <v>54</v>
      </c>
    </row>
    <row r="1156" spans="1:38" x14ac:dyDescent="0.2">
      <c r="A1156" s="2" t="str">
        <f>HYPERLINK("https://www.compass.com/listing/560-west-24th-street-unit-2-manhattan-ny-10011/4852349879407619265/","560 W 24th St, Unit 2")</f>
        <v>560 W 24th St, Unit 2</v>
      </c>
      <c r="B1156" s="2" t="str">
        <f>HYPERLINK("https://www.compass.com/building/five-sixty-manhattan-ny/282058548421098597/","Five Sixty")</f>
        <v>Five Sixty</v>
      </c>
      <c r="C1156" s="1" t="s">
        <v>62</v>
      </c>
      <c r="D1156" s="1" t="s">
        <v>41</v>
      </c>
      <c r="E1156" s="3">
        <v>6753663</v>
      </c>
      <c r="F1156" s="1">
        <v>2100.0194340796002</v>
      </c>
      <c r="G1156" s="1">
        <v>7</v>
      </c>
      <c r="H1156" s="1">
        <v>4</v>
      </c>
      <c r="I1156" s="1">
        <v>4.5</v>
      </c>
      <c r="J1156" s="1">
        <v>4.5</v>
      </c>
      <c r="M1156" s="4">
        <v>3216</v>
      </c>
      <c r="N1156" s="1">
        <v>3576</v>
      </c>
      <c r="O1156" s="1">
        <v>7247.73</v>
      </c>
      <c r="P1156" s="1">
        <v>3671.75</v>
      </c>
      <c r="Q1156" s="1" t="s">
        <v>42</v>
      </c>
      <c r="S1156" s="1" t="s">
        <v>42</v>
      </c>
      <c r="T1156" s="1" t="s">
        <v>273</v>
      </c>
      <c r="U1156" s="1">
        <v>9</v>
      </c>
      <c r="V1156" s="5">
        <v>42494</v>
      </c>
      <c r="W1156" s="5">
        <v>42045</v>
      </c>
      <c r="X1156" s="1">
        <v>6950000</v>
      </c>
      <c r="Y1156" s="1">
        <v>6950000</v>
      </c>
      <c r="Z1156" s="5">
        <v>42054</v>
      </c>
      <c r="AA1156" s="1">
        <v>6950000</v>
      </c>
      <c r="AB1156" s="1" t="s">
        <v>275</v>
      </c>
      <c r="AC1156" s="5">
        <v>42205</v>
      </c>
      <c r="AF1156" s="1">
        <v>10011</v>
      </c>
      <c r="AI1156" s="1" t="s">
        <v>438</v>
      </c>
      <c r="AJ1156" s="1">
        <v>2015</v>
      </c>
      <c r="AK1156" s="1" t="s">
        <v>108</v>
      </c>
      <c r="AL1156" s="1">
        <v>8</v>
      </c>
    </row>
    <row r="1157" spans="1:38" x14ac:dyDescent="0.2">
      <c r="A1157" s="2" t="str">
        <f>HYPERLINK("https://www.compass.com/listing/160-leroy-street-unit-n4a-manhattan-ny-10014/65755120566021649/","160 Leroy St, Unit N4A")</f>
        <v>160 Leroy St, Unit N4A</v>
      </c>
      <c r="B1157" s="2" t="str">
        <f>HYPERLINK("https://www.compass.com/building/160-leroy-st-manhattan-ny-10014/293418469918017093/","160 Leroy St")</f>
        <v>160 Leroy St</v>
      </c>
      <c r="C1157" s="1" t="s">
        <v>67</v>
      </c>
      <c r="D1157" s="1" t="s">
        <v>41</v>
      </c>
      <c r="E1157" s="3">
        <v>6400000</v>
      </c>
      <c r="F1157" s="1">
        <v>3128.0547409579599</v>
      </c>
      <c r="G1157" s="1">
        <v>6</v>
      </c>
      <c r="H1157" s="1">
        <v>3</v>
      </c>
      <c r="J1157" s="1">
        <v>3.5</v>
      </c>
      <c r="M1157" s="4">
        <v>2046</v>
      </c>
      <c r="N1157" s="1">
        <v>2889</v>
      </c>
      <c r="O1157" s="1">
        <v>5694</v>
      </c>
      <c r="P1157" s="1">
        <v>2805</v>
      </c>
      <c r="Q1157" s="1" t="s">
        <v>42</v>
      </c>
      <c r="S1157" s="1" t="s">
        <v>42</v>
      </c>
      <c r="T1157" s="1" t="s">
        <v>273</v>
      </c>
      <c r="U1157" s="1">
        <v>27</v>
      </c>
      <c r="V1157" s="5">
        <v>43343</v>
      </c>
      <c r="W1157" s="5">
        <v>43218</v>
      </c>
      <c r="X1157" s="1">
        <v>6950000</v>
      </c>
      <c r="Y1157" s="1">
        <v>6950000</v>
      </c>
      <c r="Z1157" s="5">
        <v>43246</v>
      </c>
      <c r="AA1157" s="1">
        <v>6400000</v>
      </c>
      <c r="AB1157" s="1" t="s">
        <v>439</v>
      </c>
      <c r="AC1157" s="5">
        <v>43328</v>
      </c>
      <c r="AF1157" s="1">
        <v>10014</v>
      </c>
      <c r="AI1157" s="1" t="s">
        <v>65</v>
      </c>
      <c r="AJ1157" s="1">
        <v>2017</v>
      </c>
      <c r="AK1157" s="1" t="s">
        <v>202</v>
      </c>
      <c r="AL1157" s="1">
        <v>57</v>
      </c>
    </row>
    <row r="1158" spans="1:38" x14ac:dyDescent="0.2">
      <c r="A1158" s="2" t="str">
        <f>HYPERLINK("https://www.compass.com/listing/90-morton-street-unit-ph10a-manhattan-ny-10014/836591649969485617/","90 Morton St, Unit PH10A")</f>
        <v>90 Morton St, Unit PH10A</v>
      </c>
      <c r="B1158" s="2" t="str">
        <f>HYPERLINK("https://www.compass.com/building/90-morton-street-manhattan-ny/292834843018978005/","90 Morton Street")</f>
        <v>90 Morton Street</v>
      </c>
      <c r="C1158" s="1" t="s">
        <v>67</v>
      </c>
      <c r="D1158" s="1" t="s">
        <v>41</v>
      </c>
      <c r="E1158" s="3">
        <v>18000000</v>
      </c>
      <c r="F1158" s="1">
        <v>4893.96411092985</v>
      </c>
      <c r="G1158" s="1">
        <v>6</v>
      </c>
      <c r="H1158" s="1">
        <v>3</v>
      </c>
      <c r="I1158" s="1">
        <v>4</v>
      </c>
      <c r="J1158" s="1">
        <v>3.5</v>
      </c>
      <c r="K1158" s="1">
        <v>3</v>
      </c>
      <c r="L1158" s="1">
        <v>1</v>
      </c>
      <c r="M1158" s="4">
        <v>3678</v>
      </c>
      <c r="N1158" s="1">
        <v>6083</v>
      </c>
      <c r="O1158" s="1">
        <v>11471</v>
      </c>
      <c r="P1158" s="1">
        <v>5388</v>
      </c>
      <c r="Q1158" s="1" t="s">
        <v>42</v>
      </c>
      <c r="S1158" s="1" t="s">
        <v>42</v>
      </c>
      <c r="T1158" s="1" t="s">
        <v>273</v>
      </c>
      <c r="V1158" s="5">
        <v>44426</v>
      </c>
      <c r="W1158" s="5">
        <v>44405</v>
      </c>
      <c r="X1158" s="1">
        <v>18000000</v>
      </c>
      <c r="Y1158" s="1">
        <v>18000000</v>
      </c>
      <c r="Z1158" s="5">
        <v>44405</v>
      </c>
      <c r="AA1158" s="1">
        <v>18000000</v>
      </c>
      <c r="AB1158" s="1" t="s">
        <v>275</v>
      </c>
      <c r="AC1158" s="5">
        <v>44420</v>
      </c>
      <c r="AF1158" s="1">
        <v>10014</v>
      </c>
      <c r="AI1158" s="1" t="s">
        <v>211</v>
      </c>
      <c r="AJ1158" s="1">
        <v>2018</v>
      </c>
      <c r="AK1158" s="1" t="s">
        <v>49</v>
      </c>
      <c r="AL1158" s="1">
        <v>35</v>
      </c>
    </row>
    <row r="1159" spans="1:38" x14ac:dyDescent="0.2">
      <c r="A1159" s="2" t="str">
        <f>HYPERLINK("https://www.compass.com/listing/536-east-13th-street-unit-1-manhattan-ny-10009/466732443175637753/","536 E 13th St, Unit 1")</f>
        <v>536 E 13th St, Unit 1</v>
      </c>
      <c r="B1159" s="2" t="str">
        <f>HYPERLINK("https://www.compass.com/building/536-e-13th-st-manhattan-ny-10009/281900929068843109/","536 E 13th St")</f>
        <v>536 E 13th St</v>
      </c>
      <c r="C1159" s="1" t="s">
        <v>71</v>
      </c>
      <c r="D1159" s="1" t="s">
        <v>41</v>
      </c>
      <c r="E1159" s="3">
        <v>1600000</v>
      </c>
      <c r="F1159" s="1">
        <v>764.08787010506205</v>
      </c>
      <c r="G1159" s="1">
        <v>5</v>
      </c>
      <c r="H1159" s="1">
        <v>2</v>
      </c>
      <c r="I1159" s="1">
        <v>2</v>
      </c>
      <c r="J1159" s="1">
        <v>2</v>
      </c>
      <c r="K1159" s="1">
        <v>2</v>
      </c>
      <c r="M1159" s="4">
        <v>2094</v>
      </c>
      <c r="N1159" s="1">
        <v>893</v>
      </c>
      <c r="O1159" s="1">
        <v>3793</v>
      </c>
      <c r="P1159" s="1">
        <v>2900</v>
      </c>
      <c r="Q1159" s="1" t="s">
        <v>42</v>
      </c>
      <c r="S1159" s="1" t="s">
        <v>42</v>
      </c>
      <c r="T1159" s="1" t="s">
        <v>273</v>
      </c>
      <c r="U1159" s="1">
        <v>197</v>
      </c>
      <c r="V1159" s="5">
        <v>43921</v>
      </c>
      <c r="W1159" s="5">
        <v>43713</v>
      </c>
      <c r="X1159" s="1">
        <v>1900000</v>
      </c>
      <c r="Y1159" s="1">
        <v>1900000</v>
      </c>
      <c r="AA1159" s="1">
        <v>1600000</v>
      </c>
      <c r="AB1159" s="1" t="s">
        <v>440</v>
      </c>
      <c r="AC1159" s="5">
        <v>44036</v>
      </c>
      <c r="AF1159" s="1">
        <v>10009</v>
      </c>
      <c r="AI1159" s="1" t="s">
        <v>441</v>
      </c>
      <c r="AL1159" s="1">
        <v>11</v>
      </c>
    </row>
    <row r="1160" spans="1:38" x14ac:dyDescent="0.2">
      <c r="A1160" s="2" t="str">
        <f>HYPERLINK("https://www.compass.com/listing/90-morton-street-unit-4b-manhattan-ny-10014/820299562805138449/","90 Morton St, Unit 4B")</f>
        <v>90 Morton St, Unit 4B</v>
      </c>
      <c r="B1160" s="2" t="str">
        <f>HYPERLINK("https://www.compass.com/building/90-morton-street-manhattan-ny/292834843018978005/","90 Morton Street")</f>
        <v>90 Morton Street</v>
      </c>
      <c r="C1160" s="1" t="s">
        <v>67</v>
      </c>
      <c r="D1160" s="1" t="s">
        <v>41</v>
      </c>
      <c r="E1160" s="3">
        <v>7850000</v>
      </c>
      <c r="F1160" s="1">
        <v>2693.8915579958798</v>
      </c>
      <c r="G1160" s="1">
        <v>6</v>
      </c>
      <c r="H1160" s="1">
        <v>4</v>
      </c>
      <c r="I1160" s="1">
        <v>4</v>
      </c>
      <c r="J1160" s="1">
        <v>4</v>
      </c>
      <c r="K1160" s="1">
        <v>4</v>
      </c>
      <c r="M1160" s="4">
        <v>2914</v>
      </c>
      <c r="N1160" s="1">
        <v>3850</v>
      </c>
      <c r="O1160" s="1">
        <v>6942</v>
      </c>
      <c r="P1160" s="1">
        <v>3092</v>
      </c>
      <c r="Q1160" s="1" t="s">
        <v>42</v>
      </c>
      <c r="S1160" s="1" t="s">
        <v>42</v>
      </c>
      <c r="T1160" s="1" t="s">
        <v>273</v>
      </c>
      <c r="V1160" s="5">
        <v>44418</v>
      </c>
      <c r="W1160" s="5">
        <v>44383</v>
      </c>
      <c r="X1160" s="1">
        <v>8720000</v>
      </c>
      <c r="Y1160" s="1">
        <v>8720000</v>
      </c>
      <c r="Z1160" s="5">
        <v>44383</v>
      </c>
      <c r="AA1160" s="1">
        <v>7850000</v>
      </c>
      <c r="AB1160" s="1" t="s">
        <v>442</v>
      </c>
      <c r="AC1160" s="5">
        <v>44405</v>
      </c>
      <c r="AF1160" s="1">
        <v>10014</v>
      </c>
      <c r="AI1160" s="1" t="s">
        <v>111</v>
      </c>
      <c r="AJ1160" s="1">
        <v>2018</v>
      </c>
      <c r="AK1160" s="1" t="s">
        <v>49</v>
      </c>
      <c r="AL1160" s="1">
        <v>35</v>
      </c>
    </row>
    <row r="1161" spans="1:38" x14ac:dyDescent="0.2">
      <c r="A1161" s="2" t="str">
        <f>HYPERLINK("https://www.compass.com/listing/536-east-13th-street-unit-1-manhattan-ny-10009/803303093244338377/","536 E 13th St, Unit 1")</f>
        <v>536 E 13th St, Unit 1</v>
      </c>
      <c r="B1161" s="2" t="str">
        <f>HYPERLINK("https://www.compass.com/building/536-e-13th-st-manhattan-ny-10009/281900929068843109/","536 E 13th St")</f>
        <v>536 E 13th St</v>
      </c>
      <c r="C1161" s="1" t="s">
        <v>71</v>
      </c>
      <c r="D1161" s="1" t="s">
        <v>41</v>
      </c>
      <c r="E1161" s="3">
        <v>2112869</v>
      </c>
      <c r="F1161" s="1">
        <v>1595.82231873111</v>
      </c>
      <c r="G1161" s="1">
        <v>4</v>
      </c>
      <c r="H1161" s="1">
        <v>2</v>
      </c>
      <c r="I1161" s="1">
        <v>2</v>
      </c>
      <c r="J1161" s="1">
        <v>2</v>
      </c>
      <c r="K1161" s="1">
        <v>2</v>
      </c>
      <c r="M1161" s="4">
        <v>1324</v>
      </c>
      <c r="N1161" s="1">
        <v>892</v>
      </c>
      <c r="O1161" s="1">
        <v>3213</v>
      </c>
      <c r="P1161" s="1">
        <v>2321</v>
      </c>
      <c r="Q1161" s="1" t="s">
        <v>42</v>
      </c>
      <c r="S1161" s="1" t="s">
        <v>42</v>
      </c>
      <c r="T1161" s="1" t="s">
        <v>273</v>
      </c>
      <c r="U1161" s="1">
        <v>89</v>
      </c>
      <c r="V1161" s="5">
        <v>43239</v>
      </c>
      <c r="W1161" s="5">
        <v>42465</v>
      </c>
      <c r="X1161" s="1">
        <v>2250000</v>
      </c>
      <c r="Y1161" s="1">
        <v>2295000</v>
      </c>
      <c r="Z1161" s="5">
        <v>42465</v>
      </c>
      <c r="AA1161" s="1">
        <v>2112868.75</v>
      </c>
      <c r="AB1161" s="1" t="s">
        <v>443</v>
      </c>
      <c r="AC1161" s="5">
        <v>43334</v>
      </c>
      <c r="AF1161" s="1">
        <v>10009</v>
      </c>
      <c r="AI1161" s="1" t="s">
        <v>52</v>
      </c>
      <c r="AL1161" s="1">
        <v>11</v>
      </c>
    </row>
    <row r="1162" spans="1:38" x14ac:dyDescent="0.2">
      <c r="A1162" s="2" t="str">
        <f>HYPERLINK("https://www.compass.com/listing/26-avenue-b-unit-5-manhattan-ny-10009/29361214089933505/","26 Avenue B, Unit 5")</f>
        <v>26 Avenue B, Unit 5</v>
      </c>
      <c r="B1162" s="2" t="str">
        <f t="shared" ref="B1162:B1165" si="159">HYPERLINK("https://www.compass.com/building/poppy-lofts-manhattan-ny/281899115527288709/","Poppy Lofts")</f>
        <v>Poppy Lofts</v>
      </c>
      <c r="C1162" s="1" t="s">
        <v>71</v>
      </c>
      <c r="D1162" s="1" t="s">
        <v>41</v>
      </c>
      <c r="E1162" s="3">
        <v>1629200</v>
      </c>
      <c r="F1162" s="1">
        <v>1714.94736842105</v>
      </c>
      <c r="G1162" s="1">
        <v>4</v>
      </c>
      <c r="H1162" s="1">
        <v>2</v>
      </c>
      <c r="I1162" s="1">
        <v>2</v>
      </c>
      <c r="J1162" s="1">
        <v>2</v>
      </c>
      <c r="K1162" s="1">
        <v>2</v>
      </c>
      <c r="M1162" s="1">
        <v>950</v>
      </c>
      <c r="N1162" s="1">
        <v>939.75</v>
      </c>
      <c r="O1162" s="1">
        <v>2068.0699999999902</v>
      </c>
      <c r="P1162" s="1">
        <v>1128.3333333333301</v>
      </c>
      <c r="Q1162" s="1" t="s">
        <v>42</v>
      </c>
      <c r="S1162" s="1" t="s">
        <v>42</v>
      </c>
      <c r="T1162" s="1" t="s">
        <v>273</v>
      </c>
      <c r="U1162" s="1">
        <v>43</v>
      </c>
      <c r="V1162" s="5">
        <v>43878</v>
      </c>
      <c r="W1162" s="5">
        <v>42975</v>
      </c>
      <c r="X1162" s="1">
        <v>1625000</v>
      </c>
      <c r="Y1162" s="1">
        <v>1625000</v>
      </c>
      <c r="Z1162" s="5">
        <v>43019</v>
      </c>
      <c r="AA1162" s="1">
        <v>1629200</v>
      </c>
      <c r="AB1162" s="1" t="s">
        <v>444</v>
      </c>
      <c r="AC1162" s="5">
        <v>43070</v>
      </c>
      <c r="AF1162" s="1">
        <v>10009</v>
      </c>
      <c r="AI1162" s="1" t="s">
        <v>445</v>
      </c>
      <c r="AL1162" s="1">
        <v>5</v>
      </c>
    </row>
    <row r="1163" spans="1:38" x14ac:dyDescent="0.2">
      <c r="A1163" s="2" t="str">
        <f>HYPERLINK("https://www.compass.com/listing/26-avenue-b-unit-3-manhattan-ny-10009/4858213523135670049/","26 Avenue B, Unit 3")</f>
        <v>26 Avenue B, Unit 3</v>
      </c>
      <c r="B1163" s="2" t="str">
        <f t="shared" si="159"/>
        <v>Poppy Lofts</v>
      </c>
      <c r="C1163" s="1" t="s">
        <v>71</v>
      </c>
      <c r="D1163" s="1" t="s">
        <v>41</v>
      </c>
      <c r="E1163" s="3">
        <v>1578287</v>
      </c>
      <c r="F1163" s="1">
        <v>1673.68716861081</v>
      </c>
      <c r="G1163" s="1">
        <v>3</v>
      </c>
      <c r="H1163" s="1">
        <v>2</v>
      </c>
      <c r="I1163" s="1">
        <v>2</v>
      </c>
      <c r="J1163" s="1">
        <v>2</v>
      </c>
      <c r="K1163" s="1">
        <v>2</v>
      </c>
      <c r="M1163" s="1">
        <v>943</v>
      </c>
      <c r="N1163" s="1">
        <v>903.62</v>
      </c>
      <c r="O1163" s="1">
        <v>2370.02</v>
      </c>
      <c r="P1163" s="1">
        <v>1466.4166666666599</v>
      </c>
      <c r="Q1163" s="1" t="s">
        <v>42</v>
      </c>
      <c r="S1163" s="1" t="s">
        <v>42</v>
      </c>
      <c r="T1163" s="1" t="s">
        <v>273</v>
      </c>
      <c r="U1163" s="1">
        <v>342</v>
      </c>
      <c r="V1163" s="5">
        <v>43745</v>
      </c>
      <c r="W1163" s="5">
        <v>42746</v>
      </c>
      <c r="X1163" s="1">
        <v>1950000</v>
      </c>
      <c r="Y1163" s="1">
        <v>1795000</v>
      </c>
      <c r="AA1163" s="1">
        <v>1578287</v>
      </c>
      <c r="AB1163" s="1" t="s">
        <v>446</v>
      </c>
      <c r="AC1163" s="5">
        <v>43088</v>
      </c>
      <c r="AF1163" s="1">
        <v>10009</v>
      </c>
      <c r="AI1163" s="1" t="s">
        <v>445</v>
      </c>
      <c r="AK1163" s="1" t="s">
        <v>447</v>
      </c>
      <c r="AL1163" s="1">
        <v>5</v>
      </c>
    </row>
    <row r="1164" spans="1:38" x14ac:dyDescent="0.2">
      <c r="A1164" s="2" t="str">
        <f>HYPERLINK("https://www.compass.com/listing/26-avenue-b-unit-4-manhattan-ny-10009/4858213526566614689/","26 Avenue B, Unit 4")</f>
        <v>26 Avenue B, Unit 4</v>
      </c>
      <c r="B1164" s="2" t="str">
        <f t="shared" si="159"/>
        <v>Poppy Lofts</v>
      </c>
      <c r="C1164" s="1" t="s">
        <v>71</v>
      </c>
      <c r="D1164" s="1" t="s">
        <v>41</v>
      </c>
      <c r="E1164" s="3">
        <v>1573196</v>
      </c>
      <c r="F1164" s="1">
        <v>1668.2887062566199</v>
      </c>
      <c r="G1164" s="1">
        <v>5</v>
      </c>
      <c r="H1164" s="1">
        <v>2</v>
      </c>
      <c r="I1164" s="1">
        <v>2</v>
      </c>
      <c r="J1164" s="1">
        <v>2</v>
      </c>
      <c r="K1164" s="1">
        <v>2</v>
      </c>
      <c r="M1164" s="1">
        <v>943</v>
      </c>
      <c r="N1164" s="1">
        <v>928.05</v>
      </c>
      <c r="O1164" s="1">
        <v>2428.8599999999901</v>
      </c>
      <c r="P1164" s="1">
        <v>1500.8333333333301</v>
      </c>
      <c r="Q1164" s="1" t="s">
        <v>42</v>
      </c>
      <c r="S1164" s="1" t="s">
        <v>42</v>
      </c>
      <c r="T1164" s="1" t="s">
        <v>273</v>
      </c>
      <c r="U1164" s="1">
        <v>158</v>
      </c>
      <c r="V1164" s="5">
        <v>43601</v>
      </c>
      <c r="W1164" s="5">
        <v>42772</v>
      </c>
      <c r="X1164" s="1">
        <v>1825000</v>
      </c>
      <c r="Y1164" s="1">
        <v>1600000</v>
      </c>
      <c r="Z1164" s="5">
        <v>42930</v>
      </c>
      <c r="AA1164" s="1">
        <v>1573196.25</v>
      </c>
      <c r="AB1164" s="1" t="s">
        <v>448</v>
      </c>
      <c r="AC1164" s="5">
        <v>43070</v>
      </c>
      <c r="AF1164" s="1">
        <v>10009</v>
      </c>
      <c r="AI1164" s="1" t="s">
        <v>445</v>
      </c>
      <c r="AK1164" s="1" t="s">
        <v>75</v>
      </c>
      <c r="AL1164" s="1">
        <v>5</v>
      </c>
    </row>
    <row r="1165" spans="1:38" x14ac:dyDescent="0.2">
      <c r="A1165" s="2" t="str">
        <f>HYPERLINK("https://www.compass.com/listing/26-avenue-b-unit-2-manhattan-ny-10009/4858213528588270689/","26 Avenue B, Unit 2")</f>
        <v>26 Avenue B, Unit 2</v>
      </c>
      <c r="B1165" s="2" t="str">
        <f t="shared" si="159"/>
        <v>Poppy Lofts</v>
      </c>
      <c r="C1165" s="1" t="s">
        <v>71</v>
      </c>
      <c r="D1165" s="1" t="s">
        <v>41</v>
      </c>
      <c r="E1165" s="3">
        <v>1705569</v>
      </c>
      <c r="F1165" s="1">
        <v>1808.66251325556</v>
      </c>
      <c r="G1165" s="1">
        <v>3</v>
      </c>
      <c r="H1165" s="1">
        <v>2</v>
      </c>
      <c r="I1165" s="1">
        <v>2</v>
      </c>
      <c r="J1165" s="1">
        <v>2</v>
      </c>
      <c r="K1165" s="1">
        <v>2</v>
      </c>
      <c r="M1165" s="1">
        <v>943</v>
      </c>
      <c r="N1165" s="1">
        <v>842.35</v>
      </c>
      <c r="O1165" s="1">
        <v>2204.61</v>
      </c>
      <c r="P1165" s="1">
        <v>1362.25</v>
      </c>
      <c r="Q1165" s="1" t="s">
        <v>42</v>
      </c>
      <c r="S1165" s="1" t="s">
        <v>42</v>
      </c>
      <c r="T1165" s="1" t="s">
        <v>273</v>
      </c>
      <c r="U1165" s="1">
        <v>134</v>
      </c>
      <c r="V1165" s="5">
        <v>43637</v>
      </c>
      <c r="W1165" s="5">
        <v>42773</v>
      </c>
      <c r="X1165" s="1">
        <v>2099000</v>
      </c>
      <c r="Y1165" s="1">
        <v>1675000</v>
      </c>
      <c r="Z1165" s="5">
        <v>42907</v>
      </c>
      <c r="AA1165" s="1">
        <v>1705568.75</v>
      </c>
      <c r="AB1165" s="1" t="s">
        <v>449</v>
      </c>
      <c r="AC1165" s="5">
        <v>43082</v>
      </c>
      <c r="AF1165" s="1">
        <v>10009</v>
      </c>
      <c r="AI1165" s="1" t="s">
        <v>450</v>
      </c>
      <c r="AK1165" s="1" t="s">
        <v>75</v>
      </c>
      <c r="AL1165" s="1">
        <v>5</v>
      </c>
    </row>
    <row r="1166" spans="1:38" x14ac:dyDescent="0.2">
      <c r="A1166" s="2" t="str">
        <f>HYPERLINK("https://www.compass.com/listing/415-east-6th-street-unit-2-manhattan-ny-10009/783168296428244777/","415 E 6th St, Unit 2")</f>
        <v>415 E 6th St, Unit 2</v>
      </c>
      <c r="B1166" s="2" t="str">
        <f>HYPERLINK("https://www.compass.com/building/415-e-6th-st-manhattan-ny-10009/281899972155161557/","415 E 6th St")</f>
        <v>415 E 6th St</v>
      </c>
      <c r="C1166" s="1" t="s">
        <v>71</v>
      </c>
      <c r="D1166" s="1" t="s">
        <v>41</v>
      </c>
      <c r="E1166" s="3">
        <v>1900000</v>
      </c>
      <c r="F1166" s="1">
        <v>994.243851386708</v>
      </c>
      <c r="G1166" s="1">
        <v>6</v>
      </c>
      <c r="H1166" s="1">
        <v>2</v>
      </c>
      <c r="I1166" s="1">
        <v>3</v>
      </c>
      <c r="J1166" s="1">
        <v>2.5</v>
      </c>
      <c r="M1166" s="4">
        <v>1911</v>
      </c>
      <c r="N1166" s="1">
        <v>1784</v>
      </c>
      <c r="O1166" s="1">
        <v>3670</v>
      </c>
      <c r="P1166" s="1">
        <v>1886</v>
      </c>
      <c r="Q1166" s="1" t="s">
        <v>42</v>
      </c>
      <c r="S1166" s="1" t="s">
        <v>42</v>
      </c>
      <c r="T1166" s="1" t="s">
        <v>273</v>
      </c>
      <c r="U1166" s="1">
        <v>76</v>
      </c>
      <c r="V1166" s="5">
        <v>43180</v>
      </c>
      <c r="W1166" s="5">
        <v>42990</v>
      </c>
      <c r="X1166" s="1">
        <v>1999000</v>
      </c>
      <c r="Y1166" s="1">
        <v>1999000</v>
      </c>
      <c r="Z1166" s="5">
        <v>43067</v>
      </c>
      <c r="AA1166" s="1">
        <v>1900000</v>
      </c>
      <c r="AB1166" s="1" t="s">
        <v>451</v>
      </c>
      <c r="AC1166" s="5">
        <v>43159</v>
      </c>
      <c r="AF1166" s="1">
        <v>10009</v>
      </c>
      <c r="AJ1166" s="1">
        <v>1910</v>
      </c>
      <c r="AL1166" s="1">
        <v>3</v>
      </c>
    </row>
    <row r="1167" spans="1:38" x14ac:dyDescent="0.2">
      <c r="A1167" s="2" t="str">
        <f>HYPERLINK("https://www.compass.com/listing/277-east-7th-street-unit-4-manhattan-ny-10009/226864819536424689/","277 E 7th St, Unit 4")</f>
        <v>277 E 7th St, Unit 4</v>
      </c>
      <c r="B1167" s="2" t="str">
        <f t="shared" ref="B1167:B1168" si="160">HYPERLINK("https://www.compass.com/building/seven-east-village-manhattan-ny/281899280162107413/","Seven East Village")</f>
        <v>Seven East Village</v>
      </c>
      <c r="C1167" s="1" t="s">
        <v>71</v>
      </c>
      <c r="D1167" s="1" t="s">
        <v>41</v>
      </c>
      <c r="E1167" s="3">
        <v>1629200</v>
      </c>
      <c r="F1167" s="1">
        <v>1253.23076923076</v>
      </c>
      <c r="G1167" s="1">
        <v>4</v>
      </c>
      <c r="H1167" s="1">
        <v>2</v>
      </c>
      <c r="I1167" s="1">
        <v>2</v>
      </c>
      <c r="J1167" s="1">
        <v>2</v>
      </c>
      <c r="M1167" s="4">
        <v>1300</v>
      </c>
      <c r="N1167" s="1">
        <v>874.14</v>
      </c>
      <c r="O1167" s="1">
        <v>1242.52</v>
      </c>
      <c r="P1167" s="1">
        <v>368.416666666666</v>
      </c>
      <c r="Q1167" s="1" t="s">
        <v>42</v>
      </c>
      <c r="S1167" s="1" t="s">
        <v>42</v>
      </c>
      <c r="T1167" s="1" t="s">
        <v>273</v>
      </c>
      <c r="U1167" s="1">
        <v>49</v>
      </c>
      <c r="V1167" s="5">
        <v>41640</v>
      </c>
      <c r="W1167" s="5">
        <v>42040</v>
      </c>
      <c r="X1167" s="1">
        <v>1750000</v>
      </c>
      <c r="Y1167" s="1">
        <v>1750000</v>
      </c>
      <c r="Z1167" s="5">
        <v>42105</v>
      </c>
      <c r="AA1167" s="1">
        <v>1629200</v>
      </c>
      <c r="AB1167" s="1" t="s">
        <v>452</v>
      </c>
      <c r="AC1167" s="5">
        <v>42222</v>
      </c>
      <c r="AF1167" s="1">
        <v>10009</v>
      </c>
      <c r="AI1167" s="1" t="s">
        <v>453</v>
      </c>
      <c r="AJ1167" s="1">
        <v>2014</v>
      </c>
      <c r="AL1167" s="1">
        <v>6</v>
      </c>
    </row>
    <row r="1168" spans="1:38" x14ac:dyDescent="0.2">
      <c r="A1168" s="2" t="str">
        <f>HYPERLINK("https://www.compass.com/listing/277-east-7th-street-unit-3-manhattan-ny-10009/29360925119198177/","277 E 7th St, Unit 3")</f>
        <v>277 E 7th St, Unit 3</v>
      </c>
      <c r="B1168" s="2" t="str">
        <f t="shared" si="160"/>
        <v>Seven East Village</v>
      </c>
      <c r="C1168" s="1" t="s">
        <v>71</v>
      </c>
      <c r="D1168" s="1" t="s">
        <v>41</v>
      </c>
      <c r="E1168" s="3">
        <v>1500000</v>
      </c>
      <c r="G1168" s="1">
        <v>4</v>
      </c>
      <c r="H1168" s="1">
        <v>2</v>
      </c>
      <c r="I1168" s="1">
        <v>2</v>
      </c>
      <c r="J1168" s="1">
        <v>2</v>
      </c>
      <c r="N1168" s="1">
        <v>874.14</v>
      </c>
      <c r="O1168" s="1">
        <v>1242.52</v>
      </c>
      <c r="P1168" s="1">
        <v>368.416666666666</v>
      </c>
      <c r="Q1168" s="1" t="s">
        <v>42</v>
      </c>
      <c r="S1168" s="1" t="s">
        <v>42</v>
      </c>
      <c r="T1168" s="1" t="s">
        <v>273</v>
      </c>
      <c r="U1168" s="1">
        <v>37</v>
      </c>
      <c r="V1168" s="5">
        <v>41640</v>
      </c>
      <c r="W1168" s="5">
        <v>42019</v>
      </c>
      <c r="X1168" s="1">
        <v>1695000</v>
      </c>
      <c r="Y1168" s="1">
        <v>1695000</v>
      </c>
      <c r="Z1168" s="5">
        <v>42105</v>
      </c>
      <c r="AA1168" s="1">
        <v>1500000</v>
      </c>
      <c r="AB1168" s="1" t="s">
        <v>454</v>
      </c>
      <c r="AC1168" s="5">
        <v>42248</v>
      </c>
      <c r="AF1168" s="1">
        <v>10009</v>
      </c>
      <c r="AI1168" s="1" t="s">
        <v>455</v>
      </c>
      <c r="AJ1168" s="1">
        <v>2014</v>
      </c>
      <c r="AL1168" s="1">
        <v>6</v>
      </c>
    </row>
    <row r="1169" spans="1:38" x14ac:dyDescent="0.2">
      <c r="A1169" s="2" t="str">
        <f>HYPERLINK("https://www.compass.com/listing/67-avenue-c-unit-5ew-manhattan-ny-10009/192573705266680241/","67 Avenue C, Unit 5EW")</f>
        <v>67 Avenue C, Unit 5EW</v>
      </c>
      <c r="B1169" s="2" t="str">
        <f>HYPERLINK("https://www.compass.com/building/67-avenue-c-manhattan-ny-10009/281901375074352277/","67 Avenue C")</f>
        <v>67 Avenue C</v>
      </c>
      <c r="C1169" s="1" t="s">
        <v>71</v>
      </c>
      <c r="D1169" s="1" t="s">
        <v>41</v>
      </c>
      <c r="E1169" s="3">
        <v>1750000</v>
      </c>
      <c r="F1169" s="1">
        <v>1475.54806070826</v>
      </c>
      <c r="G1169" s="1">
        <v>4</v>
      </c>
      <c r="H1169" s="1">
        <v>3</v>
      </c>
      <c r="I1169" s="1">
        <v>2</v>
      </c>
      <c r="J1169" s="1">
        <v>2</v>
      </c>
      <c r="M1169" s="4">
        <v>1186</v>
      </c>
      <c r="N1169" s="1">
        <v>887</v>
      </c>
      <c r="O1169" s="1">
        <v>1580</v>
      </c>
      <c r="P1169" s="1">
        <v>693</v>
      </c>
      <c r="Q1169" s="1" t="s">
        <v>42</v>
      </c>
      <c r="S1169" s="1" t="s">
        <v>42</v>
      </c>
      <c r="T1169" s="1" t="s">
        <v>273</v>
      </c>
      <c r="U1169" s="1">
        <v>40</v>
      </c>
      <c r="V1169" s="5">
        <v>43677</v>
      </c>
      <c r="W1169" s="5">
        <v>42338</v>
      </c>
      <c r="X1169" s="1">
        <v>1750000</v>
      </c>
      <c r="Y1169" s="1">
        <v>1750000</v>
      </c>
      <c r="Z1169" s="5">
        <v>42378</v>
      </c>
      <c r="AA1169" s="1">
        <v>1750000</v>
      </c>
      <c r="AB1169" s="1" t="s">
        <v>275</v>
      </c>
      <c r="AC1169" s="5">
        <v>42523</v>
      </c>
      <c r="AF1169" s="1">
        <v>10009</v>
      </c>
      <c r="AI1169" s="1" t="s">
        <v>456</v>
      </c>
      <c r="AJ1169" s="1">
        <v>2015</v>
      </c>
      <c r="AL1169" s="1">
        <v>8</v>
      </c>
    </row>
    <row r="1170" spans="1:38" x14ac:dyDescent="0.2">
      <c r="A1170" s="2" t="str">
        <f>HYPERLINK("https://www.compass.com/listing/415-east-6th-street-unit-3-manhattan-ny-10009/783168324861768297/","415 E 6th St, Unit 3")</f>
        <v>415 E 6th St, Unit 3</v>
      </c>
      <c r="B1170" s="2" t="str">
        <f t="shared" ref="B1170:B1171" si="161">HYPERLINK("https://www.compass.com/building/415-e-6th-st-manhattan-ny-10009/281899972155161557/","415 E 6th St")</f>
        <v>415 E 6th St</v>
      </c>
      <c r="C1170" s="1" t="s">
        <v>71</v>
      </c>
      <c r="D1170" s="1" t="s">
        <v>41</v>
      </c>
      <c r="E1170" s="3">
        <v>2320988</v>
      </c>
      <c r="F1170" s="1">
        <v>1228.0357142857099</v>
      </c>
      <c r="G1170" s="1">
        <v>6</v>
      </c>
      <c r="H1170" s="1">
        <v>2</v>
      </c>
      <c r="I1170" s="1">
        <v>3</v>
      </c>
      <c r="J1170" s="1">
        <v>2.5</v>
      </c>
      <c r="M1170" s="4">
        <v>1890</v>
      </c>
      <c r="N1170" s="1">
        <v>1831</v>
      </c>
      <c r="O1170" s="1">
        <v>3767</v>
      </c>
      <c r="P1170" s="1">
        <v>1936</v>
      </c>
      <c r="Q1170" s="1" t="s">
        <v>42</v>
      </c>
      <c r="S1170" s="1" t="s">
        <v>42</v>
      </c>
      <c r="T1170" s="1" t="s">
        <v>273</v>
      </c>
      <c r="U1170" s="1">
        <v>138</v>
      </c>
      <c r="V1170" s="5">
        <v>42950</v>
      </c>
      <c r="W1170" s="5">
        <v>42705</v>
      </c>
      <c r="X1170" s="1">
        <v>2995000</v>
      </c>
      <c r="Y1170" s="1">
        <v>2495000</v>
      </c>
      <c r="Z1170" s="5">
        <v>42852</v>
      </c>
      <c r="AA1170" s="1">
        <v>2320987.5</v>
      </c>
      <c r="AB1170" s="1" t="s">
        <v>457</v>
      </c>
      <c r="AC1170" s="5">
        <v>42947</v>
      </c>
      <c r="AF1170" s="1">
        <v>10009</v>
      </c>
      <c r="AI1170" s="1" t="s">
        <v>231</v>
      </c>
      <c r="AJ1170" s="1">
        <v>1910</v>
      </c>
      <c r="AL1170" s="1">
        <v>3</v>
      </c>
    </row>
    <row r="1171" spans="1:38" x14ac:dyDescent="0.2">
      <c r="A1171" s="2" t="str">
        <f>HYPERLINK("https://www.compass.com/listing/415-east-6th-street-unit-ph-manhattan-ny-10009/783208697487259313/","415 E 6th St, Unit PH")</f>
        <v>415 E 6th St, Unit PH</v>
      </c>
      <c r="B1171" s="2" t="str">
        <f t="shared" si="161"/>
        <v>415 E 6th St</v>
      </c>
      <c r="C1171" s="1" t="s">
        <v>71</v>
      </c>
      <c r="D1171" s="1" t="s">
        <v>41</v>
      </c>
      <c r="E1171" s="3">
        <v>2955980</v>
      </c>
      <c r="F1171" s="1">
        <v>1152.8782176287</v>
      </c>
      <c r="G1171" s="1">
        <v>6</v>
      </c>
      <c r="H1171" s="1">
        <v>3</v>
      </c>
      <c r="I1171" s="1">
        <v>3</v>
      </c>
      <c r="J1171" s="1">
        <v>2.5</v>
      </c>
      <c r="M1171" s="4">
        <v>2564</v>
      </c>
      <c r="N1171" s="1">
        <v>2470</v>
      </c>
      <c r="O1171" s="1">
        <v>5083</v>
      </c>
      <c r="P1171" s="1">
        <v>2613</v>
      </c>
      <c r="Q1171" s="1" t="s">
        <v>42</v>
      </c>
      <c r="S1171" s="1" t="s">
        <v>42</v>
      </c>
      <c r="T1171" s="1" t="s">
        <v>273</v>
      </c>
      <c r="U1171" s="1">
        <v>188</v>
      </c>
      <c r="V1171" s="5">
        <v>42999</v>
      </c>
      <c r="W1171" s="5">
        <v>42769</v>
      </c>
      <c r="X1171" s="1">
        <v>4395000</v>
      </c>
      <c r="Y1171" s="1">
        <v>2999000</v>
      </c>
      <c r="Z1171" s="5">
        <v>42966</v>
      </c>
      <c r="AA1171" s="1">
        <v>2955979.75</v>
      </c>
      <c r="AB1171" s="1" t="s">
        <v>458</v>
      </c>
      <c r="AC1171" s="5">
        <v>42997</v>
      </c>
      <c r="AF1171" s="1">
        <v>10009</v>
      </c>
      <c r="AI1171" s="1" t="s">
        <v>160</v>
      </c>
      <c r="AJ1171" s="1">
        <v>1910</v>
      </c>
      <c r="AL1171" s="1">
        <v>3</v>
      </c>
    </row>
    <row r="1172" spans="1:38" x14ac:dyDescent="0.2">
      <c r="A1172" s="2" t="str">
        <f>HYPERLINK("https://www.compass.com/listing/536-east-13th-street-unit-2r-manhattan-ny-10009/29361338048432865/","536 E 13th St, Unit 2R")</f>
        <v>536 E 13th St, Unit 2R</v>
      </c>
      <c r="B1172" s="2" t="str">
        <f>HYPERLINK("https://www.compass.com/building/536-e-13th-st-manhattan-ny-10009/281900929068843109/","536 E 13th St")</f>
        <v>536 E 13th St</v>
      </c>
      <c r="C1172" s="1" t="s">
        <v>71</v>
      </c>
      <c r="D1172" s="1" t="s">
        <v>41</v>
      </c>
      <c r="E1172" s="3">
        <v>1400094</v>
      </c>
      <c r="G1172" s="1">
        <v>4</v>
      </c>
      <c r="H1172" s="1">
        <v>2</v>
      </c>
      <c r="I1172" s="1">
        <v>1</v>
      </c>
      <c r="J1172" s="1">
        <v>1</v>
      </c>
      <c r="K1172" s="1">
        <v>1</v>
      </c>
      <c r="N1172" s="1">
        <v>459</v>
      </c>
      <c r="O1172" s="1">
        <v>1433</v>
      </c>
      <c r="P1172" s="1">
        <v>974</v>
      </c>
      <c r="Q1172" s="1" t="s">
        <v>42</v>
      </c>
      <c r="S1172" s="1" t="s">
        <v>42</v>
      </c>
      <c r="T1172" s="1" t="s">
        <v>273</v>
      </c>
      <c r="U1172" s="1">
        <v>16</v>
      </c>
      <c r="V1172" s="5">
        <v>43664</v>
      </c>
      <c r="W1172" s="5">
        <v>42654</v>
      </c>
      <c r="X1172" s="1">
        <v>1395000</v>
      </c>
      <c r="Y1172" s="1">
        <v>1395000</v>
      </c>
      <c r="Z1172" s="5">
        <v>42670</v>
      </c>
      <c r="AA1172" s="1">
        <v>1400094</v>
      </c>
      <c r="AB1172" s="1" t="s">
        <v>459</v>
      </c>
      <c r="AC1172" s="5">
        <v>42741</v>
      </c>
      <c r="AF1172" s="1">
        <v>10009</v>
      </c>
      <c r="AI1172" s="1" t="s">
        <v>460</v>
      </c>
      <c r="AL1172" s="1">
        <v>11</v>
      </c>
    </row>
    <row r="1173" spans="1:38" x14ac:dyDescent="0.2">
      <c r="A1173" s="2" t="str">
        <f>HYPERLINK("https://www.compass.com/listing/26-avenue-b-unit-ph6-manhattan-ny-10009/70930869505865329/","26 Avenue B, Unit PH6")</f>
        <v>26 Avenue B, Unit PH6</v>
      </c>
      <c r="B1173" s="2" t="str">
        <f>HYPERLINK("https://www.compass.com/building/poppy-lofts-manhattan-ny/281899115527288709/","Poppy Lofts")</f>
        <v>Poppy Lofts</v>
      </c>
      <c r="C1173" s="1" t="s">
        <v>71</v>
      </c>
      <c r="D1173" s="1" t="s">
        <v>41</v>
      </c>
      <c r="E1173" s="3">
        <v>2100000</v>
      </c>
      <c r="F1173" s="1">
        <v>1604.2780748663099</v>
      </c>
      <c r="G1173" s="1">
        <v>4</v>
      </c>
      <c r="H1173" s="1">
        <v>3</v>
      </c>
      <c r="I1173" s="1">
        <v>3</v>
      </c>
      <c r="J1173" s="1">
        <v>2.5</v>
      </c>
      <c r="K1173" s="1">
        <v>2</v>
      </c>
      <c r="L1173" s="1">
        <v>1</v>
      </c>
      <c r="M1173" s="4">
        <v>1309</v>
      </c>
      <c r="N1173" s="1">
        <v>956.47</v>
      </c>
      <c r="O1173" s="1">
        <v>2493.77</v>
      </c>
      <c r="P1173" s="1">
        <v>1537.3333333333301</v>
      </c>
      <c r="Q1173" s="1" t="s">
        <v>42</v>
      </c>
      <c r="S1173" s="1" t="s">
        <v>42</v>
      </c>
      <c r="T1173" s="1" t="s">
        <v>273</v>
      </c>
      <c r="U1173" s="1">
        <v>140</v>
      </c>
      <c r="V1173" s="5">
        <v>43649</v>
      </c>
      <c r="W1173" s="5">
        <v>42747</v>
      </c>
      <c r="X1173" s="1">
        <v>2215000</v>
      </c>
      <c r="Y1173" s="1">
        <v>2215000</v>
      </c>
      <c r="Z1173" s="5">
        <v>42911</v>
      </c>
      <c r="AA1173" s="1">
        <v>2100000</v>
      </c>
      <c r="AB1173" s="1" t="s">
        <v>275</v>
      </c>
      <c r="AC1173" s="5">
        <v>43075</v>
      </c>
      <c r="AF1173" s="1">
        <v>10009</v>
      </c>
      <c r="AI1173" s="1" t="s">
        <v>445</v>
      </c>
      <c r="AL1173" s="1">
        <v>5</v>
      </c>
    </row>
    <row r="1174" spans="1:38" x14ac:dyDescent="0.2">
      <c r="A1174" s="2" t="str">
        <f>HYPERLINK("https://www.compass.com/listing/100-barrow-street-unit-6d-manhattan-ny-10014/756436587202326777/","100 Barrow St, Unit 6D")</f>
        <v>100 Barrow St, Unit 6D</v>
      </c>
      <c r="B1174" s="2" t="str">
        <f>HYPERLINK("https://www.compass.com/building/100-barrow-manhattan-ny/292834978184618837/","100 Barrow")</f>
        <v>100 Barrow</v>
      </c>
      <c r="C1174" s="1" t="s">
        <v>67</v>
      </c>
      <c r="D1174" s="1" t="s">
        <v>41</v>
      </c>
      <c r="E1174" s="3">
        <v>3750000</v>
      </c>
      <c r="F1174" s="1">
        <v>2321.9814241486001</v>
      </c>
      <c r="G1174" s="1">
        <v>5.5</v>
      </c>
      <c r="H1174" s="1">
        <v>2</v>
      </c>
      <c r="I1174" s="1">
        <v>3</v>
      </c>
      <c r="J1174" s="1">
        <v>2.5</v>
      </c>
      <c r="K1174" s="1">
        <v>2</v>
      </c>
      <c r="L1174" s="1">
        <v>1</v>
      </c>
      <c r="M1174" s="4">
        <v>1615</v>
      </c>
      <c r="N1174" s="1">
        <v>4832</v>
      </c>
      <c r="O1174" s="1">
        <v>4832</v>
      </c>
      <c r="Q1174" s="1" t="s">
        <v>272</v>
      </c>
      <c r="S1174" s="1" t="s">
        <v>272</v>
      </c>
      <c r="T1174" s="1" t="s">
        <v>273</v>
      </c>
      <c r="U1174" s="1">
        <v>80</v>
      </c>
      <c r="V1174" s="5">
        <v>44400</v>
      </c>
      <c r="W1174" s="5">
        <v>44295</v>
      </c>
      <c r="X1174" s="1">
        <v>8888888</v>
      </c>
      <c r="Y1174" s="1">
        <v>8888888</v>
      </c>
      <c r="Z1174" s="5">
        <v>44308</v>
      </c>
      <c r="AA1174" s="1">
        <v>3750000</v>
      </c>
      <c r="AB1174" s="1" t="s">
        <v>461</v>
      </c>
      <c r="AC1174" s="5">
        <v>44390</v>
      </c>
      <c r="AF1174" s="1">
        <v>10014</v>
      </c>
      <c r="AI1174" s="1" t="s">
        <v>131</v>
      </c>
      <c r="AJ1174" s="1">
        <v>2015</v>
      </c>
      <c r="AK1174" s="1" t="s">
        <v>49</v>
      </c>
      <c r="AL1174" s="1">
        <v>33</v>
      </c>
    </row>
    <row r="1175" spans="1:38" x14ac:dyDescent="0.2">
      <c r="A1175" s="2" t="str">
        <f>HYPERLINK("https://www.compass.com/listing/277-east-7th-street-unit-2-manhattan-ny-10009/226864816491394225/","277 E 7th St, Unit 2")</f>
        <v>277 E 7th St, Unit 2</v>
      </c>
      <c r="B1175" s="2" t="str">
        <f>HYPERLINK("https://www.compass.com/building/seven-east-village-manhattan-ny/281899280162107413/","Seven East Village")</f>
        <v>Seven East Village</v>
      </c>
      <c r="C1175" s="1" t="s">
        <v>71</v>
      </c>
      <c r="D1175" s="1" t="s">
        <v>41</v>
      </c>
      <c r="E1175" s="3">
        <v>1527375</v>
      </c>
      <c r="G1175" s="1">
        <v>4</v>
      </c>
      <c r="H1175" s="1">
        <v>2</v>
      </c>
      <c r="I1175" s="1">
        <v>2</v>
      </c>
      <c r="J1175" s="1">
        <v>2</v>
      </c>
      <c r="N1175" s="1">
        <v>861</v>
      </c>
      <c r="O1175" s="1">
        <v>1224</v>
      </c>
      <c r="P1175" s="1">
        <v>363</v>
      </c>
      <c r="Q1175" s="1" t="s">
        <v>42</v>
      </c>
      <c r="S1175" s="1" t="s">
        <v>42</v>
      </c>
      <c r="T1175" s="1" t="s">
        <v>273</v>
      </c>
      <c r="U1175" s="1">
        <v>31</v>
      </c>
      <c r="V1175" s="5">
        <v>41640</v>
      </c>
      <c r="W1175" s="5">
        <v>42056</v>
      </c>
      <c r="X1175" s="1">
        <v>1550000</v>
      </c>
      <c r="Y1175" s="1">
        <v>1550000</v>
      </c>
      <c r="Z1175" s="5">
        <v>42105</v>
      </c>
      <c r="AA1175" s="1">
        <v>1527375</v>
      </c>
      <c r="AB1175" s="1" t="s">
        <v>462</v>
      </c>
      <c r="AC1175" s="5">
        <v>42214</v>
      </c>
      <c r="AF1175" s="1">
        <v>10009</v>
      </c>
      <c r="AI1175" s="1" t="s">
        <v>463</v>
      </c>
      <c r="AJ1175" s="1">
        <v>2014</v>
      </c>
      <c r="AL1175" s="1">
        <v>6</v>
      </c>
    </row>
    <row r="1176" spans="1:38" x14ac:dyDescent="0.2">
      <c r="A1176" s="2" t="str">
        <f>HYPERLINK("https://www.compass.com/listing/67-avenue-c-unit-4a-manhattan-ny-10009/369519311374537601/","67 Avenue C, Unit 4A")</f>
        <v>67 Avenue C, Unit 4A</v>
      </c>
      <c r="B1176" s="2" t="str">
        <f t="shared" ref="B1176:B1180" si="162">HYPERLINK("https://www.compass.com/building/67-avenue-c-manhattan-ny-10009/281901375074352277/","67 Avenue C")</f>
        <v>67 Avenue C</v>
      </c>
      <c r="C1176" s="1" t="s">
        <v>71</v>
      </c>
      <c r="D1176" s="1" t="s">
        <v>41</v>
      </c>
      <c r="E1176" s="3">
        <v>895000</v>
      </c>
      <c r="F1176" s="1">
        <v>1601.07334525939</v>
      </c>
      <c r="G1176" s="1">
        <v>3</v>
      </c>
      <c r="H1176" s="1">
        <v>1</v>
      </c>
      <c r="I1176" s="1">
        <v>1</v>
      </c>
      <c r="J1176" s="1">
        <v>1</v>
      </c>
      <c r="K1176" s="1">
        <v>1</v>
      </c>
      <c r="M1176" s="1">
        <v>559</v>
      </c>
      <c r="N1176" s="1">
        <v>436</v>
      </c>
      <c r="O1176" s="1">
        <v>936</v>
      </c>
      <c r="P1176" s="1">
        <v>500</v>
      </c>
      <c r="Q1176" s="1" t="s">
        <v>42</v>
      </c>
      <c r="S1176" s="1" t="s">
        <v>42</v>
      </c>
      <c r="T1176" s="1" t="s">
        <v>273</v>
      </c>
      <c r="U1176" s="1">
        <v>97</v>
      </c>
      <c r="V1176" s="5">
        <v>44328</v>
      </c>
      <c r="W1176" s="5">
        <v>43764</v>
      </c>
      <c r="X1176" s="1">
        <v>950000</v>
      </c>
      <c r="Y1176" s="1">
        <v>895000</v>
      </c>
      <c r="Z1176" s="5">
        <v>43861</v>
      </c>
      <c r="AA1176" s="1">
        <v>895000</v>
      </c>
      <c r="AB1176" s="1" t="s">
        <v>464</v>
      </c>
      <c r="AC1176" s="5">
        <v>43963</v>
      </c>
      <c r="AF1176" s="1">
        <v>10009</v>
      </c>
      <c r="AI1176" s="1" t="s">
        <v>465</v>
      </c>
      <c r="AJ1176" s="1">
        <v>2015</v>
      </c>
      <c r="AK1176" s="1" t="s">
        <v>108</v>
      </c>
      <c r="AL1176" s="1">
        <v>8</v>
      </c>
    </row>
    <row r="1177" spans="1:38" x14ac:dyDescent="0.2">
      <c r="A1177" s="2" t="str">
        <f>HYPERLINK("https://www.compass.com/listing/67-avenue-c-unit-ph1-manhattan-ny-10009/192573675352986161/","67 Avenue C, Unit PH1")</f>
        <v>67 Avenue C, Unit PH1</v>
      </c>
      <c r="B1177" s="2" t="str">
        <f t="shared" si="162"/>
        <v>67 Avenue C</v>
      </c>
      <c r="C1177" s="1" t="s">
        <v>71</v>
      </c>
      <c r="D1177" s="1" t="s">
        <v>41</v>
      </c>
      <c r="E1177" s="3">
        <v>1595000</v>
      </c>
      <c r="F1177" s="1">
        <v>1843.93063583815</v>
      </c>
      <c r="G1177" s="1">
        <v>3</v>
      </c>
      <c r="H1177" s="1">
        <v>1</v>
      </c>
      <c r="I1177" s="1">
        <v>2</v>
      </c>
      <c r="J1177" s="1">
        <v>2</v>
      </c>
      <c r="M1177" s="1">
        <v>865</v>
      </c>
      <c r="N1177" s="1">
        <v>940</v>
      </c>
      <c r="O1177" s="1">
        <v>1673</v>
      </c>
      <c r="P1177" s="1">
        <v>733</v>
      </c>
      <c r="Q1177" s="1" t="s">
        <v>42</v>
      </c>
      <c r="S1177" s="1" t="s">
        <v>42</v>
      </c>
      <c r="T1177" s="1" t="s">
        <v>273</v>
      </c>
      <c r="U1177" s="1">
        <v>55</v>
      </c>
      <c r="V1177" s="5">
        <v>43678</v>
      </c>
      <c r="W1177" s="5">
        <v>42338</v>
      </c>
      <c r="X1177" s="1">
        <v>1595000</v>
      </c>
      <c r="Y1177" s="1">
        <v>1595000</v>
      </c>
      <c r="Z1177" s="5">
        <v>42393</v>
      </c>
      <c r="AA1177" s="1">
        <v>1595000</v>
      </c>
      <c r="AB1177" s="1" t="s">
        <v>275</v>
      </c>
      <c r="AC1177" s="5">
        <v>42523</v>
      </c>
      <c r="AF1177" s="1">
        <v>10009</v>
      </c>
      <c r="AI1177" s="1" t="s">
        <v>466</v>
      </c>
      <c r="AJ1177" s="1">
        <v>2015</v>
      </c>
      <c r="AL1177" s="1">
        <v>8</v>
      </c>
    </row>
    <row r="1178" spans="1:38" x14ac:dyDescent="0.2">
      <c r="A1178" s="2" t="str">
        <f>HYPERLINK("https://www.compass.com/listing/67-avenue-c-unit-4bw-manhattan-ny-10009/4852272761348818673/","67 Avenue C, Unit 4BW")</f>
        <v>67 Avenue C, Unit 4BW</v>
      </c>
      <c r="B1178" s="2" t="str">
        <f t="shared" si="162"/>
        <v>67 Avenue C</v>
      </c>
      <c r="C1178" s="1" t="s">
        <v>71</v>
      </c>
      <c r="D1178" s="1" t="s">
        <v>41</v>
      </c>
      <c r="E1178" s="3">
        <v>835000</v>
      </c>
      <c r="F1178" s="1">
        <v>1501.7985611510701</v>
      </c>
      <c r="G1178" s="1">
        <v>3</v>
      </c>
      <c r="H1178" s="1">
        <v>1</v>
      </c>
      <c r="I1178" s="1">
        <v>1</v>
      </c>
      <c r="J1178" s="1">
        <v>1</v>
      </c>
      <c r="M1178" s="1">
        <v>556</v>
      </c>
      <c r="N1178" s="1">
        <v>424</v>
      </c>
      <c r="O1178" s="1">
        <v>754</v>
      </c>
      <c r="P1178" s="1">
        <v>330</v>
      </c>
      <c r="Q1178" s="1" t="s">
        <v>42</v>
      </c>
      <c r="S1178" s="1" t="s">
        <v>42</v>
      </c>
      <c r="T1178" s="1" t="s">
        <v>273</v>
      </c>
      <c r="U1178" s="1">
        <v>20</v>
      </c>
      <c r="V1178" s="5">
        <v>43678</v>
      </c>
      <c r="W1178" s="5">
        <v>42338</v>
      </c>
      <c r="X1178" s="1">
        <v>835000</v>
      </c>
      <c r="Y1178" s="1">
        <v>835000</v>
      </c>
      <c r="Z1178" s="5">
        <v>42358</v>
      </c>
      <c r="AA1178" s="1">
        <v>835000</v>
      </c>
      <c r="AB1178" s="1" t="s">
        <v>275</v>
      </c>
      <c r="AC1178" s="5">
        <v>42494</v>
      </c>
      <c r="AF1178" s="1">
        <v>10009</v>
      </c>
      <c r="AI1178" s="1" t="s">
        <v>456</v>
      </c>
      <c r="AJ1178" s="1">
        <v>2015</v>
      </c>
      <c r="AL1178" s="1">
        <v>8</v>
      </c>
    </row>
    <row r="1179" spans="1:38" x14ac:dyDescent="0.2">
      <c r="A1179" s="2" t="str">
        <f>HYPERLINK("https://www.compass.com/listing/67-avenue-c-unit-4ae-manhattan-ny-10009/192573687138904497/","67 Avenue C, Unit 4AE")</f>
        <v>67 Avenue C, Unit 4AE</v>
      </c>
      <c r="B1179" s="2" t="str">
        <f t="shared" si="162"/>
        <v>67 Avenue C</v>
      </c>
      <c r="C1179" s="1" t="s">
        <v>71</v>
      </c>
      <c r="D1179" s="1" t="s">
        <v>41</v>
      </c>
      <c r="E1179" s="3">
        <v>860000</v>
      </c>
      <c r="F1179" s="1">
        <v>1538.4615384615299</v>
      </c>
      <c r="G1179" s="1">
        <v>3</v>
      </c>
      <c r="H1179" s="1">
        <v>1</v>
      </c>
      <c r="I1179" s="1">
        <v>1</v>
      </c>
      <c r="J1179" s="1">
        <v>1</v>
      </c>
      <c r="M1179" s="1">
        <v>559</v>
      </c>
      <c r="N1179" s="1">
        <v>437</v>
      </c>
      <c r="O1179" s="1">
        <v>777</v>
      </c>
      <c r="P1179" s="1">
        <v>340</v>
      </c>
      <c r="Q1179" s="1" t="s">
        <v>42</v>
      </c>
      <c r="S1179" s="1" t="s">
        <v>42</v>
      </c>
      <c r="T1179" s="1" t="s">
        <v>273</v>
      </c>
      <c r="U1179" s="1">
        <v>143</v>
      </c>
      <c r="V1179" s="5">
        <v>43663</v>
      </c>
      <c r="W1179" s="5">
        <v>42338</v>
      </c>
      <c r="X1179" s="1">
        <v>860000</v>
      </c>
      <c r="Y1179" s="1">
        <v>860000</v>
      </c>
      <c r="Z1179" s="5">
        <v>42481</v>
      </c>
      <c r="AA1179" s="1">
        <v>860000</v>
      </c>
      <c r="AB1179" s="1" t="s">
        <v>275</v>
      </c>
      <c r="AC1179" s="5">
        <v>42523</v>
      </c>
      <c r="AF1179" s="1">
        <v>10009</v>
      </c>
      <c r="AI1179" s="1" t="s">
        <v>467</v>
      </c>
      <c r="AJ1179" s="1">
        <v>2015</v>
      </c>
      <c r="AL1179" s="1">
        <v>8</v>
      </c>
    </row>
    <row r="1180" spans="1:38" x14ac:dyDescent="0.2">
      <c r="A1180" s="2" t="str">
        <f>HYPERLINK("https://www.compass.com/listing/67-avenue-c-unit-3ae-manhattan-ny-10009/4852272764586821841/","67 Avenue C, Unit 3AE")</f>
        <v>67 Avenue C, Unit 3AE</v>
      </c>
      <c r="B1180" s="2" t="str">
        <f t="shared" si="162"/>
        <v>67 Avenue C</v>
      </c>
      <c r="C1180" s="1" t="s">
        <v>71</v>
      </c>
      <c r="D1180" s="1" t="s">
        <v>41</v>
      </c>
      <c r="E1180" s="3">
        <v>850000</v>
      </c>
      <c r="F1180" s="1">
        <v>1520.572450805</v>
      </c>
      <c r="G1180" s="1">
        <v>3</v>
      </c>
      <c r="H1180" s="1">
        <v>1</v>
      </c>
      <c r="I1180" s="1">
        <v>1</v>
      </c>
      <c r="J1180" s="1">
        <v>1</v>
      </c>
      <c r="M1180" s="1">
        <v>559</v>
      </c>
      <c r="N1180" s="1">
        <v>432</v>
      </c>
      <c r="O1180" s="1">
        <v>768</v>
      </c>
      <c r="P1180" s="1">
        <v>336</v>
      </c>
      <c r="Q1180" s="1" t="s">
        <v>42</v>
      </c>
      <c r="S1180" s="1" t="s">
        <v>42</v>
      </c>
      <c r="T1180" s="1" t="s">
        <v>273</v>
      </c>
      <c r="U1180" s="1">
        <v>96</v>
      </c>
      <c r="V1180" s="5">
        <v>43678</v>
      </c>
      <c r="W1180" s="5">
        <v>42338</v>
      </c>
      <c r="X1180" s="1">
        <v>850000</v>
      </c>
      <c r="Y1180" s="1">
        <v>850000</v>
      </c>
      <c r="Z1180" s="5">
        <v>42434</v>
      </c>
      <c r="AA1180" s="1">
        <v>850000</v>
      </c>
      <c r="AB1180" s="1" t="s">
        <v>275</v>
      </c>
      <c r="AC1180" s="5">
        <v>42516</v>
      </c>
      <c r="AF1180" s="1">
        <v>10009</v>
      </c>
      <c r="AI1180" s="1" t="s">
        <v>467</v>
      </c>
      <c r="AJ1180" s="1">
        <v>2015</v>
      </c>
      <c r="AL1180" s="1">
        <v>8</v>
      </c>
    </row>
    <row r="1181" spans="1:38" x14ac:dyDescent="0.2">
      <c r="A1181" s="2" t="str">
        <f>HYPERLINK("https://www.compass.com/listing/100-barrow-street-unit-4d-manhattan-ny-10014/29367157796237281/","100 Barrow St, Unit 4D")</f>
        <v>100 Barrow St, Unit 4D</v>
      </c>
      <c r="B1181" s="2" t="str">
        <f t="shared" ref="B1181:B1186" si="163">HYPERLINK("https://www.compass.com/building/100-barrow-manhattan-ny/292834978184618837/","100 Barrow")</f>
        <v>100 Barrow</v>
      </c>
      <c r="C1181" s="1" t="s">
        <v>67</v>
      </c>
      <c r="D1181" s="1" t="s">
        <v>41</v>
      </c>
      <c r="E1181" s="3">
        <v>3372000</v>
      </c>
      <c r="F1181" s="1">
        <v>1892.2558922558901</v>
      </c>
      <c r="G1181" s="1">
        <v>3</v>
      </c>
      <c r="H1181" s="1">
        <v>2</v>
      </c>
      <c r="I1181" s="1">
        <v>3</v>
      </c>
      <c r="J1181" s="1">
        <v>2.5</v>
      </c>
      <c r="M1181" s="4">
        <v>1782</v>
      </c>
      <c r="N1181" s="1">
        <v>4796</v>
      </c>
      <c r="O1181" s="1">
        <v>4796</v>
      </c>
      <c r="Q1181" s="1" t="s">
        <v>272</v>
      </c>
      <c r="S1181" s="1" t="s">
        <v>272</v>
      </c>
      <c r="T1181" s="1" t="s">
        <v>273</v>
      </c>
      <c r="U1181" s="1">
        <v>22</v>
      </c>
      <c r="V1181" s="5">
        <v>43623</v>
      </c>
      <c r="W1181" s="5">
        <v>42888</v>
      </c>
      <c r="X1181" s="1">
        <v>3372000</v>
      </c>
      <c r="Y1181" s="1">
        <v>3372000</v>
      </c>
      <c r="Z1181" s="5">
        <v>42910</v>
      </c>
      <c r="AA1181" s="1">
        <v>3372000</v>
      </c>
      <c r="AB1181" s="1" t="s">
        <v>468</v>
      </c>
      <c r="AC1181" s="5">
        <v>43031</v>
      </c>
      <c r="AF1181" s="1">
        <v>10014</v>
      </c>
      <c r="AJ1181" s="1">
        <v>2015</v>
      </c>
      <c r="AK1181" s="1" t="s">
        <v>46</v>
      </c>
      <c r="AL1181" s="1">
        <v>33</v>
      </c>
    </row>
    <row r="1182" spans="1:38" x14ac:dyDescent="0.2">
      <c r="A1182" s="2" t="str">
        <f>HYPERLINK("https://www.compass.com/listing/100-barrow-street-unit-3a-manhattan-ny-10014/29367159490691185/","100 Barrow St, Unit 3A")</f>
        <v>100 Barrow St, Unit 3A</v>
      </c>
      <c r="B1182" s="2" t="str">
        <f t="shared" si="163"/>
        <v>100 Barrow</v>
      </c>
      <c r="C1182" s="1" t="s">
        <v>67</v>
      </c>
      <c r="D1182" s="1" t="s">
        <v>41</v>
      </c>
      <c r="E1182" s="3">
        <v>3253000</v>
      </c>
      <c r="F1182" s="1">
        <v>1832.6760563380201</v>
      </c>
      <c r="G1182" s="1">
        <v>4</v>
      </c>
      <c r="H1182" s="1">
        <v>2</v>
      </c>
      <c r="I1182" s="1">
        <v>3</v>
      </c>
      <c r="J1182" s="1">
        <v>2.5</v>
      </c>
      <c r="M1182" s="4">
        <v>1775</v>
      </c>
      <c r="N1182" s="1">
        <v>4720</v>
      </c>
      <c r="O1182" s="1">
        <v>4720</v>
      </c>
      <c r="Q1182" s="1" t="s">
        <v>272</v>
      </c>
      <c r="S1182" s="1" t="s">
        <v>272</v>
      </c>
      <c r="T1182" s="1" t="s">
        <v>273</v>
      </c>
      <c r="U1182" s="1">
        <v>57</v>
      </c>
      <c r="V1182" s="5">
        <v>43630</v>
      </c>
      <c r="W1182" s="5">
        <v>43053</v>
      </c>
      <c r="X1182" s="1">
        <v>3253000</v>
      </c>
      <c r="Y1182" s="1">
        <v>3253000</v>
      </c>
      <c r="Z1182" s="5">
        <v>43110</v>
      </c>
      <c r="AA1182" s="1">
        <v>3253000</v>
      </c>
      <c r="AB1182" s="1" t="s">
        <v>469</v>
      </c>
      <c r="AC1182" s="5">
        <v>43186</v>
      </c>
      <c r="AF1182" s="1">
        <v>10014</v>
      </c>
      <c r="AJ1182" s="1">
        <v>2015</v>
      </c>
      <c r="AK1182" s="1" t="s">
        <v>46</v>
      </c>
      <c r="AL1182" s="1">
        <v>33</v>
      </c>
    </row>
    <row r="1183" spans="1:38" x14ac:dyDescent="0.2">
      <c r="A1183" s="2" t="str">
        <f>HYPERLINK("https://www.compass.com/listing/100-barrow-street-unit-5a-manhattan-ny-10014/29367163047461025/","100 Barrow St, Unit 5A")</f>
        <v>100 Barrow St, Unit 5A</v>
      </c>
      <c r="B1183" s="2" t="str">
        <f t="shared" si="163"/>
        <v>100 Barrow</v>
      </c>
      <c r="C1183" s="1" t="s">
        <v>67</v>
      </c>
      <c r="D1183" s="1" t="s">
        <v>41</v>
      </c>
      <c r="E1183" s="3">
        <v>3200000</v>
      </c>
      <c r="F1183" s="1">
        <v>1770.89097952407</v>
      </c>
      <c r="G1183" s="1">
        <v>4</v>
      </c>
      <c r="H1183" s="1">
        <v>2</v>
      </c>
      <c r="I1183" s="1">
        <v>3</v>
      </c>
      <c r="J1183" s="1">
        <v>2.5</v>
      </c>
      <c r="M1183" s="4">
        <v>1807</v>
      </c>
      <c r="N1183" s="1">
        <v>4918</v>
      </c>
      <c r="O1183" s="1">
        <v>4918</v>
      </c>
      <c r="Q1183" s="1" t="s">
        <v>272</v>
      </c>
      <c r="S1183" s="1" t="s">
        <v>272</v>
      </c>
      <c r="T1183" s="1" t="s">
        <v>273</v>
      </c>
      <c r="U1183" s="1">
        <v>270</v>
      </c>
      <c r="V1183" s="5">
        <v>43623</v>
      </c>
      <c r="W1183" s="5">
        <v>42888</v>
      </c>
      <c r="X1183" s="1">
        <v>3350000</v>
      </c>
      <c r="Y1183" s="1">
        <v>3350000</v>
      </c>
      <c r="Z1183" s="5">
        <v>43158</v>
      </c>
      <c r="AA1183" s="1">
        <v>3200000</v>
      </c>
      <c r="AB1183" s="1" t="s">
        <v>470</v>
      </c>
      <c r="AC1183" s="5">
        <v>43214</v>
      </c>
      <c r="AF1183" s="1">
        <v>10014</v>
      </c>
      <c r="AJ1183" s="1">
        <v>2015</v>
      </c>
      <c r="AK1183" s="1" t="s">
        <v>46</v>
      </c>
      <c r="AL1183" s="1">
        <v>33</v>
      </c>
    </row>
    <row r="1184" spans="1:38" x14ac:dyDescent="0.2">
      <c r="A1184" s="2" t="str">
        <f>HYPERLINK("https://www.compass.com/listing/100-barrow-street-unit-4a-manhattan-ny-10014/34689535166133265/","100 Barrow St, Unit 4A")</f>
        <v>100 Barrow St, Unit 4A</v>
      </c>
      <c r="B1184" s="2" t="str">
        <f t="shared" si="163"/>
        <v>100 Barrow</v>
      </c>
      <c r="C1184" s="1" t="s">
        <v>67</v>
      </c>
      <c r="D1184" s="1" t="s">
        <v>41</v>
      </c>
      <c r="E1184" s="3">
        <v>3100000</v>
      </c>
      <c r="F1184" s="1">
        <v>1715.5506364139401</v>
      </c>
      <c r="G1184" s="1">
        <v>4</v>
      </c>
      <c r="H1184" s="1">
        <v>2</v>
      </c>
      <c r="I1184" s="1">
        <v>3</v>
      </c>
      <c r="J1184" s="1">
        <v>2.5</v>
      </c>
      <c r="K1184" s="1">
        <v>2</v>
      </c>
      <c r="L1184" s="1">
        <v>1</v>
      </c>
      <c r="M1184" s="4">
        <v>1807</v>
      </c>
      <c r="N1184" s="1">
        <v>4860</v>
      </c>
      <c r="O1184" s="1">
        <v>4860</v>
      </c>
      <c r="Q1184" s="1" t="s">
        <v>272</v>
      </c>
      <c r="S1184" s="1" t="s">
        <v>272</v>
      </c>
      <c r="T1184" s="1" t="s">
        <v>273</v>
      </c>
      <c r="U1184" s="1">
        <v>301</v>
      </c>
      <c r="V1184" s="5">
        <v>43641</v>
      </c>
      <c r="W1184" s="5">
        <v>43138</v>
      </c>
      <c r="X1184" s="1">
        <v>3320000</v>
      </c>
      <c r="Y1184" s="1">
        <v>3320000</v>
      </c>
      <c r="Z1184" s="5">
        <v>43439</v>
      </c>
      <c r="AA1184" s="1">
        <v>3100000</v>
      </c>
      <c r="AB1184" s="1" t="s">
        <v>471</v>
      </c>
      <c r="AC1184" s="5">
        <v>43454</v>
      </c>
      <c r="AF1184" s="1">
        <v>10014</v>
      </c>
      <c r="AJ1184" s="1">
        <v>2015</v>
      </c>
      <c r="AK1184" s="1" t="s">
        <v>46</v>
      </c>
      <c r="AL1184" s="1">
        <v>33</v>
      </c>
    </row>
    <row r="1185" spans="1:38" x14ac:dyDescent="0.2">
      <c r="A1185" s="2" t="str">
        <f>HYPERLINK("https://www.compass.com/listing/100-barrow-street-unit-5d-manhattan-ny-10014/4852288138606820609/","100 Barrow St, Unit 5D")</f>
        <v>100 Barrow St, Unit 5D</v>
      </c>
      <c r="B1185" s="2" t="str">
        <f t="shared" si="163"/>
        <v>100 Barrow</v>
      </c>
      <c r="C1185" s="1" t="s">
        <v>67</v>
      </c>
      <c r="D1185" s="1" t="s">
        <v>41</v>
      </c>
      <c r="E1185" s="3">
        <v>3372000</v>
      </c>
      <c r="F1185" s="1">
        <v>1926.8571428571399</v>
      </c>
      <c r="G1185" s="1">
        <v>4</v>
      </c>
      <c r="H1185" s="1">
        <v>2</v>
      </c>
      <c r="I1185" s="1">
        <v>3</v>
      </c>
      <c r="J1185" s="1">
        <v>2.5</v>
      </c>
      <c r="M1185" s="4">
        <v>1750</v>
      </c>
      <c r="N1185" s="1">
        <v>4779</v>
      </c>
      <c r="O1185" s="1">
        <v>4779</v>
      </c>
      <c r="Q1185" s="1" t="s">
        <v>272</v>
      </c>
      <c r="S1185" s="1" t="s">
        <v>272</v>
      </c>
      <c r="T1185" s="1" t="s">
        <v>273</v>
      </c>
      <c r="U1185" s="1">
        <v>16</v>
      </c>
      <c r="V1185" s="5">
        <v>43641</v>
      </c>
      <c r="W1185" s="5">
        <v>42872</v>
      </c>
      <c r="X1185" s="1">
        <v>3372000</v>
      </c>
      <c r="Y1185" s="1">
        <v>3372000</v>
      </c>
      <c r="Z1185" s="5">
        <v>42888</v>
      </c>
      <c r="AA1185" s="1">
        <v>3372000</v>
      </c>
      <c r="AB1185" s="1" t="s">
        <v>472</v>
      </c>
      <c r="AC1185" s="5">
        <v>43070</v>
      </c>
      <c r="AF1185" s="1">
        <v>10014</v>
      </c>
      <c r="AJ1185" s="1">
        <v>2015</v>
      </c>
      <c r="AK1185" s="1" t="s">
        <v>46</v>
      </c>
      <c r="AL1185" s="1">
        <v>33</v>
      </c>
    </row>
    <row r="1186" spans="1:38" x14ac:dyDescent="0.2">
      <c r="A1186" s="2" t="str">
        <f>HYPERLINK("https://www.compass.com/listing/100-barrow-street-unit-2a-manhattan-ny-10014/29367160707039361/","100 Barrow St, Unit 2A")</f>
        <v>100 Barrow St, Unit 2A</v>
      </c>
      <c r="B1186" s="2" t="str">
        <f t="shared" si="163"/>
        <v>100 Barrow</v>
      </c>
      <c r="C1186" s="1" t="s">
        <v>67</v>
      </c>
      <c r="D1186" s="1" t="s">
        <v>41</v>
      </c>
      <c r="E1186" s="3">
        <v>2900000</v>
      </c>
      <c r="F1186" s="1">
        <v>1576.0869565217299</v>
      </c>
      <c r="G1186" s="1">
        <v>3</v>
      </c>
      <c r="H1186" s="1">
        <v>2</v>
      </c>
      <c r="I1186" s="1">
        <v>3</v>
      </c>
      <c r="J1186" s="1">
        <v>2.5</v>
      </c>
      <c r="M1186" s="4">
        <v>1840</v>
      </c>
      <c r="N1186" s="1">
        <v>4829</v>
      </c>
      <c r="O1186" s="1">
        <v>4829</v>
      </c>
      <c r="Q1186" s="1" t="s">
        <v>272</v>
      </c>
      <c r="S1186" s="1" t="s">
        <v>272</v>
      </c>
      <c r="T1186" s="1" t="s">
        <v>273</v>
      </c>
      <c r="U1186" s="1">
        <v>324</v>
      </c>
      <c r="V1186" s="5">
        <v>43623</v>
      </c>
      <c r="W1186" s="5">
        <v>42872</v>
      </c>
      <c r="X1186" s="1">
        <v>2978000</v>
      </c>
      <c r="Y1186" s="1">
        <v>2978000</v>
      </c>
      <c r="Z1186" s="5">
        <v>43196</v>
      </c>
      <c r="AA1186" s="1">
        <v>2900000</v>
      </c>
      <c r="AB1186" s="1" t="s">
        <v>473</v>
      </c>
      <c r="AC1186" s="5">
        <v>43234</v>
      </c>
      <c r="AF1186" s="1">
        <v>10014</v>
      </c>
      <c r="AJ1186" s="1">
        <v>2015</v>
      </c>
      <c r="AK1186" s="1" t="s">
        <v>46</v>
      </c>
      <c r="AL1186" s="1">
        <v>33</v>
      </c>
    </row>
    <row r="1187" spans="1:38" x14ac:dyDescent="0.2">
      <c r="A1187" s="2" t="str">
        <f>HYPERLINK("https://www.compass.com/listing/67-avenue-c-unit-3b-manhattan-ny-10009/29361011429588017/","67 Avenue C, Unit 3B")</f>
        <v>67 Avenue C, Unit 3B</v>
      </c>
      <c r="B1187" s="2" t="str">
        <f>HYPERLINK("https://www.compass.com/building/67-avenue-c-manhattan-ny-10009/281901375074352277/","67 Avenue C")</f>
        <v>67 Avenue C</v>
      </c>
      <c r="C1187" s="1" t="s">
        <v>71</v>
      </c>
      <c r="D1187" s="1" t="s">
        <v>41</v>
      </c>
      <c r="E1187" s="3">
        <v>840056</v>
      </c>
      <c r="F1187" s="1">
        <v>1510.8920863309299</v>
      </c>
      <c r="G1187" s="1">
        <v>3</v>
      </c>
      <c r="H1187" s="1">
        <v>1</v>
      </c>
      <c r="I1187" s="1">
        <v>1</v>
      </c>
      <c r="J1187" s="1">
        <v>1</v>
      </c>
      <c r="K1187" s="1">
        <v>1</v>
      </c>
      <c r="M1187" s="1">
        <v>556</v>
      </c>
      <c r="N1187" s="1">
        <v>419</v>
      </c>
      <c r="O1187" s="1">
        <v>745</v>
      </c>
      <c r="P1187" s="1">
        <v>326</v>
      </c>
      <c r="Q1187" s="1" t="s">
        <v>42</v>
      </c>
      <c r="S1187" s="1" t="s">
        <v>42</v>
      </c>
      <c r="T1187" s="1" t="s">
        <v>273</v>
      </c>
      <c r="U1187" s="1">
        <v>51</v>
      </c>
      <c r="V1187" s="5">
        <v>44338</v>
      </c>
      <c r="W1187" s="5">
        <v>42186</v>
      </c>
      <c r="X1187" s="1">
        <v>825000</v>
      </c>
      <c r="Y1187" s="1">
        <v>825000</v>
      </c>
      <c r="Z1187" s="5">
        <v>42237</v>
      </c>
      <c r="AA1187" s="1">
        <v>840056</v>
      </c>
      <c r="AB1187" s="1" t="s">
        <v>474</v>
      </c>
      <c r="AC1187" s="5">
        <v>42515</v>
      </c>
      <c r="AF1187" s="1">
        <v>10009</v>
      </c>
      <c r="AI1187" s="1" t="s">
        <v>445</v>
      </c>
      <c r="AJ1187" s="1">
        <v>2015</v>
      </c>
      <c r="AK1187" s="1" t="s">
        <v>55</v>
      </c>
      <c r="AL1187" s="1">
        <v>8</v>
      </c>
    </row>
    <row r="1188" spans="1:38" x14ac:dyDescent="0.2">
      <c r="A1188" s="2" t="str">
        <f>HYPERLINK("https://www.compass.com/listing/100-barrow-street-unit-4c-manhattan-ny-10014/29367156898611281/","100 Barrow St, Unit 4C")</f>
        <v>100 Barrow St, Unit 4C</v>
      </c>
      <c r="B1188" s="2" t="str">
        <f t="shared" ref="B1188:B1195" si="164">HYPERLINK("https://www.compass.com/building/100-barrow-manhattan-ny/292834978184618837/","100 Barrow")</f>
        <v>100 Barrow</v>
      </c>
      <c r="C1188" s="1" t="s">
        <v>67</v>
      </c>
      <c r="D1188" s="1" t="s">
        <v>41</v>
      </c>
      <c r="E1188" s="3">
        <v>3598886</v>
      </c>
      <c r="F1188" s="1">
        <v>1840.8624040920699</v>
      </c>
      <c r="G1188" s="1">
        <v>4</v>
      </c>
      <c r="H1188" s="1">
        <v>2</v>
      </c>
      <c r="I1188" s="1">
        <v>3</v>
      </c>
      <c r="J1188" s="1">
        <v>2.5</v>
      </c>
      <c r="M1188" s="4">
        <v>1955</v>
      </c>
      <c r="N1188" s="1">
        <v>5239</v>
      </c>
      <c r="O1188" s="1">
        <v>5239</v>
      </c>
      <c r="Q1188" s="1" t="s">
        <v>272</v>
      </c>
      <c r="S1188" s="1" t="s">
        <v>272</v>
      </c>
      <c r="T1188" s="1" t="s">
        <v>273</v>
      </c>
      <c r="U1188" s="1">
        <v>60</v>
      </c>
      <c r="V1188" s="5">
        <v>43623</v>
      </c>
      <c r="W1188" s="5">
        <v>42915</v>
      </c>
      <c r="X1188" s="1">
        <v>3588000</v>
      </c>
      <c r="Y1188" s="1">
        <v>3588000</v>
      </c>
      <c r="Z1188" s="5">
        <v>42975</v>
      </c>
      <c r="AA1188" s="1">
        <v>3598886</v>
      </c>
      <c r="AB1188" s="1" t="s">
        <v>475</v>
      </c>
      <c r="AC1188" s="5">
        <v>43053</v>
      </c>
      <c r="AF1188" s="1">
        <v>10014</v>
      </c>
      <c r="AJ1188" s="1">
        <v>2015</v>
      </c>
      <c r="AK1188" s="1" t="s">
        <v>46</v>
      </c>
      <c r="AL1188" s="1">
        <v>33</v>
      </c>
    </row>
    <row r="1189" spans="1:38" x14ac:dyDescent="0.2">
      <c r="A1189" s="2" t="str">
        <f>HYPERLINK("https://www.compass.com/listing/100-barrow-street-unit-5c-manhattan-ny-10014/29367157301306385/","100 Barrow St, Unit 5C")</f>
        <v>100 Barrow St, Unit 5C</v>
      </c>
      <c r="B1189" s="2" t="str">
        <f t="shared" si="164"/>
        <v>100 Barrow</v>
      </c>
      <c r="C1189" s="1" t="s">
        <v>67</v>
      </c>
      <c r="D1189" s="1" t="s">
        <v>41</v>
      </c>
      <c r="E1189" s="3">
        <v>3575000</v>
      </c>
      <c r="F1189" s="1">
        <v>1819.3384223918499</v>
      </c>
      <c r="G1189" s="1">
        <v>4</v>
      </c>
      <c r="H1189" s="1">
        <v>2</v>
      </c>
      <c r="I1189" s="1">
        <v>3</v>
      </c>
      <c r="J1189" s="1">
        <v>2.5</v>
      </c>
      <c r="M1189" s="4">
        <v>1965</v>
      </c>
      <c r="N1189" s="1">
        <v>5323</v>
      </c>
      <c r="O1189" s="1">
        <v>5323</v>
      </c>
      <c r="Q1189" s="1" t="s">
        <v>272</v>
      </c>
      <c r="S1189" s="1" t="s">
        <v>272</v>
      </c>
      <c r="T1189" s="1" t="s">
        <v>273</v>
      </c>
      <c r="U1189" s="1">
        <v>45</v>
      </c>
      <c r="V1189" s="5">
        <v>43623</v>
      </c>
      <c r="W1189" s="5">
        <v>42975</v>
      </c>
      <c r="X1189" s="1">
        <v>3649000</v>
      </c>
      <c r="Y1189" s="1">
        <v>3649000</v>
      </c>
      <c r="Z1189" s="5">
        <v>43020</v>
      </c>
      <c r="AA1189" s="1">
        <v>3575000</v>
      </c>
      <c r="AB1189" s="1" t="s">
        <v>476</v>
      </c>
      <c r="AC1189" s="5">
        <v>43039</v>
      </c>
      <c r="AF1189" s="1">
        <v>10014</v>
      </c>
      <c r="AJ1189" s="1">
        <v>2015</v>
      </c>
      <c r="AK1189" s="1" t="s">
        <v>46</v>
      </c>
      <c r="AL1189" s="1">
        <v>33</v>
      </c>
    </row>
    <row r="1190" spans="1:38" x14ac:dyDescent="0.2">
      <c r="A1190" s="2" t="str">
        <f>HYPERLINK("https://www.compass.com/listing/100-barrow-street-unit-6c-manhattan-ny-10014/29367158215622753/","100 Barrow St, Unit 6C")</f>
        <v>100 Barrow St, Unit 6C</v>
      </c>
      <c r="B1190" s="2" t="str">
        <f t="shared" si="164"/>
        <v>100 Barrow</v>
      </c>
      <c r="C1190" s="1" t="s">
        <v>67</v>
      </c>
      <c r="D1190" s="1" t="s">
        <v>41</v>
      </c>
      <c r="E1190" s="3">
        <v>3693000</v>
      </c>
      <c r="F1190" s="1">
        <v>1879.38931297709</v>
      </c>
      <c r="G1190" s="1">
        <v>4</v>
      </c>
      <c r="H1190" s="1">
        <v>2</v>
      </c>
      <c r="I1190" s="1">
        <v>3</v>
      </c>
      <c r="J1190" s="1">
        <v>2.5</v>
      </c>
      <c r="M1190" s="4">
        <v>1965</v>
      </c>
      <c r="N1190" s="1">
        <v>5381</v>
      </c>
      <c r="O1190" s="1">
        <v>5381</v>
      </c>
      <c r="Q1190" s="1" t="s">
        <v>272</v>
      </c>
      <c r="S1190" s="1" t="s">
        <v>272</v>
      </c>
      <c r="T1190" s="1" t="s">
        <v>273</v>
      </c>
      <c r="U1190" s="1">
        <v>44</v>
      </c>
      <c r="V1190" s="5">
        <v>43623</v>
      </c>
      <c r="W1190" s="5">
        <v>42872</v>
      </c>
      <c r="X1190" s="1">
        <v>3693000</v>
      </c>
      <c r="Y1190" s="1">
        <v>3693000</v>
      </c>
      <c r="Z1190" s="5">
        <v>42916</v>
      </c>
      <c r="AA1190" s="1">
        <v>3693000</v>
      </c>
      <c r="AB1190" s="1" t="s">
        <v>477</v>
      </c>
      <c r="AC1190" s="5">
        <v>43053</v>
      </c>
      <c r="AF1190" s="1">
        <v>10014</v>
      </c>
      <c r="AJ1190" s="1">
        <v>2015</v>
      </c>
      <c r="AK1190" s="1" t="s">
        <v>46</v>
      </c>
      <c r="AL1190" s="1">
        <v>33</v>
      </c>
    </row>
    <row r="1191" spans="1:38" x14ac:dyDescent="0.2">
      <c r="A1191" s="2" t="str">
        <f>HYPERLINK("https://www.compass.com/listing/100-barrow-street-unit-3c-manhattan-ny-10014/29367159037751281/","100 Barrow St, Unit 3C")</f>
        <v>100 Barrow St, Unit 3C</v>
      </c>
      <c r="B1191" s="2" t="str">
        <f t="shared" si="164"/>
        <v>100 Barrow</v>
      </c>
      <c r="C1191" s="1" t="s">
        <v>67</v>
      </c>
      <c r="D1191" s="1" t="s">
        <v>41</v>
      </c>
      <c r="E1191" s="3">
        <v>3577000</v>
      </c>
      <c r="F1191" s="1">
        <v>1829.66751918158</v>
      </c>
      <c r="G1191" s="1">
        <v>4</v>
      </c>
      <c r="H1191" s="1">
        <v>2</v>
      </c>
      <c r="I1191" s="1">
        <v>3</v>
      </c>
      <c r="J1191" s="1">
        <v>2.5</v>
      </c>
      <c r="M1191" s="4">
        <v>1955</v>
      </c>
      <c r="N1191" s="1">
        <v>5181</v>
      </c>
      <c r="O1191" s="1">
        <v>5181</v>
      </c>
      <c r="Q1191" s="1" t="s">
        <v>272</v>
      </c>
      <c r="S1191" s="1" t="s">
        <v>272</v>
      </c>
      <c r="T1191" s="1" t="s">
        <v>273</v>
      </c>
      <c r="U1191" s="1">
        <v>23</v>
      </c>
      <c r="V1191" s="5">
        <v>43694</v>
      </c>
      <c r="W1191" s="5">
        <v>42962</v>
      </c>
      <c r="X1191" s="1">
        <v>3577000</v>
      </c>
      <c r="Y1191" s="1">
        <v>3577000</v>
      </c>
      <c r="Z1191" s="5">
        <v>42985</v>
      </c>
      <c r="AA1191" s="1">
        <v>3577000</v>
      </c>
      <c r="AB1191" s="1" t="s">
        <v>478</v>
      </c>
      <c r="AC1191" s="5">
        <v>43089</v>
      </c>
      <c r="AF1191" s="1">
        <v>10014</v>
      </c>
      <c r="AJ1191" s="1">
        <v>2015</v>
      </c>
      <c r="AK1191" s="1" t="s">
        <v>46</v>
      </c>
      <c r="AL1191" s="1">
        <v>33</v>
      </c>
    </row>
    <row r="1192" spans="1:38" x14ac:dyDescent="0.2">
      <c r="A1192" s="2" t="str">
        <f>HYPERLINK("https://www.compass.com/listing/100-barrow-street-unit-9a-manhattan-ny-10014/34689469718296129/","100 Barrow St, Unit 9A")</f>
        <v>100 Barrow St, Unit 9A</v>
      </c>
      <c r="B1192" s="2" t="str">
        <f t="shared" si="164"/>
        <v>100 Barrow</v>
      </c>
      <c r="C1192" s="1" t="s">
        <v>67</v>
      </c>
      <c r="D1192" s="1" t="s">
        <v>41</v>
      </c>
      <c r="E1192" s="3">
        <v>4100000</v>
      </c>
      <c r="F1192" s="1">
        <v>2293.06487695749</v>
      </c>
      <c r="G1192" s="1">
        <v>4</v>
      </c>
      <c r="H1192" s="1">
        <v>2</v>
      </c>
      <c r="I1192" s="1">
        <v>3</v>
      </c>
      <c r="J1192" s="1">
        <v>2.5</v>
      </c>
      <c r="K1192" s="1">
        <v>2</v>
      </c>
      <c r="L1192" s="1">
        <v>1</v>
      </c>
      <c r="M1192" s="4">
        <v>1788</v>
      </c>
      <c r="N1192" s="1">
        <v>5102</v>
      </c>
      <c r="O1192" s="1">
        <v>5102</v>
      </c>
      <c r="Q1192" s="1" t="s">
        <v>272</v>
      </c>
      <c r="S1192" s="1" t="s">
        <v>272</v>
      </c>
      <c r="T1192" s="1" t="s">
        <v>273</v>
      </c>
      <c r="U1192" s="1">
        <v>88</v>
      </c>
      <c r="V1192" s="5">
        <v>43866</v>
      </c>
      <c r="W1192" s="5">
        <v>43279</v>
      </c>
      <c r="X1192" s="1">
        <v>4223990</v>
      </c>
      <c r="Y1192" s="1">
        <v>4223990</v>
      </c>
      <c r="Z1192" s="5">
        <v>43367</v>
      </c>
      <c r="AA1192" s="1">
        <v>4100000</v>
      </c>
      <c r="AB1192" s="1" t="s">
        <v>479</v>
      </c>
      <c r="AC1192" s="5">
        <v>43403</v>
      </c>
      <c r="AF1192" s="1">
        <v>10014</v>
      </c>
      <c r="AJ1192" s="1">
        <v>2015</v>
      </c>
      <c r="AK1192" s="1" t="s">
        <v>46</v>
      </c>
      <c r="AL1192" s="1">
        <v>33</v>
      </c>
    </row>
    <row r="1193" spans="1:38" x14ac:dyDescent="0.2">
      <c r="A1193" s="2" t="str">
        <f>HYPERLINK("https://www.compass.com/listing/100-barrow-street-unit-10a-manhattan-ny-10014/34689503222426241/","100 Barrow St, Unit 10A")</f>
        <v>100 Barrow St, Unit 10A</v>
      </c>
      <c r="B1193" s="2" t="str">
        <f t="shared" si="164"/>
        <v>100 Barrow</v>
      </c>
      <c r="C1193" s="1" t="s">
        <v>67</v>
      </c>
      <c r="D1193" s="1" t="s">
        <v>41</v>
      </c>
      <c r="E1193" s="3">
        <v>4150000</v>
      </c>
      <c r="F1193" s="1">
        <v>2332.7712197863898</v>
      </c>
      <c r="G1193" s="1">
        <v>4</v>
      </c>
      <c r="H1193" s="1">
        <v>2</v>
      </c>
      <c r="I1193" s="1">
        <v>3</v>
      </c>
      <c r="J1193" s="1">
        <v>2.5</v>
      </c>
      <c r="K1193" s="1">
        <v>2</v>
      </c>
      <c r="L1193" s="1">
        <v>1</v>
      </c>
      <c r="M1193" s="4">
        <v>1779</v>
      </c>
      <c r="N1193" s="1">
        <v>5137</v>
      </c>
      <c r="O1193" s="1">
        <v>5137</v>
      </c>
      <c r="Q1193" s="1" t="s">
        <v>272</v>
      </c>
      <c r="S1193" s="1" t="s">
        <v>272</v>
      </c>
      <c r="T1193" s="1" t="s">
        <v>273</v>
      </c>
      <c r="U1193" s="1">
        <v>41</v>
      </c>
      <c r="V1193" s="5">
        <v>43866</v>
      </c>
      <c r="W1193" s="5">
        <v>43238</v>
      </c>
      <c r="X1193" s="1">
        <v>4259190</v>
      </c>
      <c r="Y1193" s="1">
        <v>4259190</v>
      </c>
      <c r="Z1193" s="5">
        <v>43279</v>
      </c>
      <c r="AA1193" s="1">
        <v>4150000</v>
      </c>
      <c r="AB1193" s="1" t="s">
        <v>480</v>
      </c>
      <c r="AC1193" s="5">
        <v>43312</v>
      </c>
      <c r="AF1193" s="1">
        <v>10014</v>
      </c>
      <c r="AJ1193" s="1">
        <v>2015</v>
      </c>
      <c r="AK1193" s="1" t="s">
        <v>46</v>
      </c>
      <c r="AL1193" s="1">
        <v>33</v>
      </c>
    </row>
    <row r="1194" spans="1:38" x14ac:dyDescent="0.2">
      <c r="A1194" s="2" t="str">
        <f>HYPERLINK("https://www.compass.com/listing/100-barrow-street-unit-10a-manhattan-ny-10014/783387878359823217/","100 Barrow St, Unit 10A")</f>
        <v>100 Barrow St, Unit 10A</v>
      </c>
      <c r="B1194" s="2" t="str">
        <f t="shared" si="164"/>
        <v>100 Barrow</v>
      </c>
      <c r="C1194" s="1" t="s">
        <v>67</v>
      </c>
      <c r="D1194" s="1" t="s">
        <v>41</v>
      </c>
      <c r="E1194" s="3">
        <v>4150000</v>
      </c>
      <c r="F1194" s="1">
        <v>2332.7712197863898</v>
      </c>
      <c r="G1194" s="1">
        <v>4</v>
      </c>
      <c r="H1194" s="1">
        <v>2</v>
      </c>
      <c r="I1194" s="1">
        <v>3</v>
      </c>
      <c r="J1194" s="1">
        <v>2.5</v>
      </c>
      <c r="M1194" s="4">
        <v>1779</v>
      </c>
      <c r="N1194" s="1">
        <v>5137</v>
      </c>
      <c r="O1194" s="1">
        <v>5137</v>
      </c>
      <c r="Q1194" s="1" t="s">
        <v>272</v>
      </c>
      <c r="S1194" s="1" t="s">
        <v>272</v>
      </c>
      <c r="T1194" s="1" t="s">
        <v>273</v>
      </c>
      <c r="U1194" s="1">
        <v>41</v>
      </c>
      <c r="V1194" s="5">
        <v>43300</v>
      </c>
      <c r="W1194" s="5">
        <v>43237</v>
      </c>
      <c r="X1194" s="1">
        <v>4259190</v>
      </c>
      <c r="Y1194" s="1">
        <v>4259190</v>
      </c>
      <c r="Z1194" s="5">
        <v>43279</v>
      </c>
      <c r="AA1194" s="1">
        <v>4150000</v>
      </c>
      <c r="AB1194" s="1" t="s">
        <v>480</v>
      </c>
      <c r="AC1194" s="5">
        <v>43312</v>
      </c>
      <c r="AF1194" s="1">
        <v>10014</v>
      </c>
      <c r="AJ1194" s="1">
        <v>2015</v>
      </c>
      <c r="AK1194" s="1" t="s">
        <v>46</v>
      </c>
      <c r="AL1194" s="1">
        <v>33</v>
      </c>
    </row>
    <row r="1195" spans="1:38" x14ac:dyDescent="0.2">
      <c r="A1195" s="2" t="str">
        <f>HYPERLINK("https://www.compass.com/listing/100-barrow-street-unit-9a-manhattan-ny-10014/803314613067778313/","100 Barrow St, Unit 9A")</f>
        <v>100 Barrow St, Unit 9A</v>
      </c>
      <c r="B1195" s="2" t="str">
        <f t="shared" si="164"/>
        <v>100 Barrow</v>
      </c>
      <c r="C1195" s="1" t="s">
        <v>67</v>
      </c>
      <c r="D1195" s="1" t="s">
        <v>41</v>
      </c>
      <c r="E1195" s="3">
        <v>4100000</v>
      </c>
      <c r="F1195" s="1">
        <v>2293.06487695749</v>
      </c>
      <c r="G1195" s="1">
        <v>3</v>
      </c>
      <c r="H1195" s="1">
        <v>2</v>
      </c>
      <c r="I1195" s="1">
        <v>3</v>
      </c>
      <c r="J1195" s="1">
        <v>2.5</v>
      </c>
      <c r="M1195" s="4">
        <v>1788</v>
      </c>
      <c r="N1195" s="1">
        <v>5102</v>
      </c>
      <c r="O1195" s="1">
        <v>5102</v>
      </c>
      <c r="Q1195" s="1" t="s">
        <v>272</v>
      </c>
      <c r="S1195" s="1" t="s">
        <v>272</v>
      </c>
      <c r="T1195" s="1" t="s">
        <v>273</v>
      </c>
      <c r="U1195" s="1">
        <v>470</v>
      </c>
      <c r="V1195" s="5">
        <v>43300</v>
      </c>
      <c r="W1195" s="5">
        <v>42789</v>
      </c>
      <c r="X1195" s="1">
        <v>4799990</v>
      </c>
      <c r="Y1195" s="1">
        <v>4799990</v>
      </c>
      <c r="AA1195" s="1">
        <v>4100000</v>
      </c>
      <c r="AB1195" s="1" t="s">
        <v>479</v>
      </c>
      <c r="AC1195" s="5">
        <v>43403</v>
      </c>
      <c r="AF1195" s="1">
        <v>10014</v>
      </c>
      <c r="AJ1195" s="1">
        <v>2015</v>
      </c>
      <c r="AK1195" s="1" t="s">
        <v>46</v>
      </c>
      <c r="AL1195" s="1">
        <v>33</v>
      </c>
    </row>
    <row r="1196" spans="1:38" x14ac:dyDescent="0.2">
      <c r="A1196" s="2" t="str">
        <f>HYPERLINK("https://www.compass.com/listing/67-avenue-c-unit-ph2-manhattan-ny-10009/4852273874324176033/","67 Avenue C, Unit PH2")</f>
        <v>67 Avenue C, Unit PH2</v>
      </c>
      <c r="B1196" s="2" t="str">
        <f>HYPERLINK("https://www.compass.com/building/67-avenue-c-manhattan-ny-10009/281901375074352277/","67 Avenue C")</f>
        <v>67 Avenue C</v>
      </c>
      <c r="C1196" s="1" t="s">
        <v>71</v>
      </c>
      <c r="D1196" s="1" t="s">
        <v>41</v>
      </c>
      <c r="E1196" s="3">
        <v>1250000</v>
      </c>
      <c r="F1196" s="1">
        <v>2111.4864864864799</v>
      </c>
      <c r="G1196" s="1">
        <v>3</v>
      </c>
      <c r="H1196" s="1">
        <v>1</v>
      </c>
      <c r="I1196" s="1">
        <v>1</v>
      </c>
      <c r="J1196" s="1">
        <v>1</v>
      </c>
      <c r="M1196" s="1">
        <v>592</v>
      </c>
      <c r="N1196" s="1">
        <v>483</v>
      </c>
      <c r="O1196" s="1">
        <v>859</v>
      </c>
      <c r="P1196" s="1">
        <v>376</v>
      </c>
      <c r="Q1196" s="1" t="s">
        <v>42</v>
      </c>
      <c r="S1196" s="1" t="s">
        <v>42</v>
      </c>
      <c r="T1196" s="1" t="s">
        <v>273</v>
      </c>
      <c r="U1196" s="1">
        <v>40</v>
      </c>
      <c r="V1196" s="5">
        <v>43673</v>
      </c>
      <c r="W1196" s="5">
        <v>42506</v>
      </c>
      <c r="X1196" s="1">
        <v>1250000</v>
      </c>
      <c r="Y1196" s="1">
        <v>1250000</v>
      </c>
      <c r="Z1196" s="5">
        <v>42546</v>
      </c>
      <c r="AA1196" s="1">
        <v>1250000</v>
      </c>
      <c r="AB1196" s="1" t="s">
        <v>275</v>
      </c>
      <c r="AC1196" s="5">
        <v>42585</v>
      </c>
      <c r="AF1196" s="1">
        <v>10009</v>
      </c>
      <c r="AI1196" s="1" t="s">
        <v>445</v>
      </c>
      <c r="AJ1196" s="1">
        <v>2015</v>
      </c>
      <c r="AL1196" s="1">
        <v>8</v>
      </c>
    </row>
    <row r="1197" spans="1:38" x14ac:dyDescent="0.2">
      <c r="A1197" s="2" t="str">
        <f>HYPERLINK("https://www.compass.com/listing/100-barrow-street-unit-3d-manhattan-ny-10014/29367156017849345/","100 Barrow St, Unit 3D")</f>
        <v>100 Barrow St, Unit 3D</v>
      </c>
      <c r="B1197" s="2" t="str">
        <f>HYPERLINK("https://www.compass.com/building/100-barrow-manhattan-ny/292834978184618837/","100 Barrow")</f>
        <v>100 Barrow</v>
      </c>
      <c r="C1197" s="1" t="s">
        <v>67</v>
      </c>
      <c r="D1197" s="1" t="s">
        <v>41</v>
      </c>
      <c r="E1197" s="3">
        <v>3050000</v>
      </c>
      <c r="F1197" s="1">
        <v>1863.16432498472</v>
      </c>
      <c r="G1197" s="1">
        <v>4</v>
      </c>
      <c r="H1197" s="1">
        <v>2</v>
      </c>
      <c r="I1197" s="1">
        <v>3</v>
      </c>
      <c r="J1197" s="1">
        <v>3</v>
      </c>
      <c r="M1197" s="4">
        <v>1637</v>
      </c>
      <c r="N1197" s="1">
        <v>4397</v>
      </c>
      <c r="O1197" s="1">
        <v>4397</v>
      </c>
      <c r="Q1197" s="1" t="s">
        <v>272</v>
      </c>
      <c r="S1197" s="1" t="s">
        <v>272</v>
      </c>
      <c r="T1197" s="1" t="s">
        <v>273</v>
      </c>
      <c r="U1197" s="1">
        <v>228</v>
      </c>
      <c r="V1197" s="5">
        <v>43623</v>
      </c>
      <c r="W1197" s="5">
        <v>42910</v>
      </c>
      <c r="X1197" s="1">
        <v>3140000</v>
      </c>
      <c r="Y1197" s="1">
        <v>3140000</v>
      </c>
      <c r="Z1197" s="5">
        <v>43138</v>
      </c>
      <c r="AA1197" s="1">
        <v>3050000</v>
      </c>
      <c r="AB1197" s="1" t="s">
        <v>481</v>
      </c>
      <c r="AC1197" s="5">
        <v>43237</v>
      </c>
      <c r="AF1197" s="1">
        <v>10014</v>
      </c>
      <c r="AI1197" s="1" t="s">
        <v>63</v>
      </c>
      <c r="AJ1197" s="1">
        <v>2015</v>
      </c>
      <c r="AK1197" s="1" t="s">
        <v>46</v>
      </c>
      <c r="AL1197" s="1">
        <v>33</v>
      </c>
    </row>
    <row r="1198" spans="1:38" x14ac:dyDescent="0.2">
      <c r="A1198" s="2" t="str">
        <f>HYPERLINK("https://www.compass.com/listing/415-east-6th-street-unit-ph-manhattan-ny-10009/370012947509968113/","415 E 6th St, Unit PH")</f>
        <v>415 E 6th St, Unit PH</v>
      </c>
      <c r="B1198" s="2" t="str">
        <f>HYPERLINK("https://www.compass.com/building/415-e-6th-st-manhattan-ny-10009/281899972155161557/","415 E 6th St")</f>
        <v>415 E 6th St</v>
      </c>
      <c r="C1198" s="1" t="s">
        <v>71</v>
      </c>
      <c r="D1198" s="1" t="s">
        <v>41</v>
      </c>
      <c r="E1198" s="3">
        <v>3600000</v>
      </c>
      <c r="F1198" s="1">
        <v>1066.03494225644</v>
      </c>
      <c r="H1198" s="1">
        <v>3</v>
      </c>
      <c r="I1198" s="1">
        <v>3</v>
      </c>
      <c r="J1198" s="1">
        <v>2.5</v>
      </c>
      <c r="K1198" s="1">
        <v>2</v>
      </c>
      <c r="L1198" s="1">
        <v>1</v>
      </c>
      <c r="M1198" s="4">
        <v>3377</v>
      </c>
      <c r="N1198" s="1">
        <v>2755</v>
      </c>
      <c r="O1198" s="1">
        <v>4765</v>
      </c>
      <c r="P1198" s="1">
        <v>2010</v>
      </c>
      <c r="Q1198" s="1" t="s">
        <v>42</v>
      </c>
      <c r="S1198" s="1" t="s">
        <v>42</v>
      </c>
      <c r="T1198" s="1" t="s">
        <v>273</v>
      </c>
      <c r="U1198" s="1">
        <v>55</v>
      </c>
      <c r="V1198" s="5">
        <v>44246</v>
      </c>
      <c r="W1198" s="5">
        <v>43762</v>
      </c>
      <c r="X1198" s="1">
        <v>3600000</v>
      </c>
      <c r="Y1198" s="1">
        <v>3610000</v>
      </c>
      <c r="AA1198" s="1">
        <v>3600000</v>
      </c>
      <c r="AB1198" s="1" t="s">
        <v>482</v>
      </c>
      <c r="AC1198" s="5">
        <v>43881</v>
      </c>
      <c r="AF1198" s="1">
        <v>10009</v>
      </c>
      <c r="AI1198" s="1" t="s">
        <v>483</v>
      </c>
      <c r="AJ1198" s="1">
        <v>1910</v>
      </c>
      <c r="AL1198" s="1">
        <v>3</v>
      </c>
    </row>
    <row r="1199" spans="1:38" x14ac:dyDescent="0.2">
      <c r="A1199" s="2" t="str">
        <f>HYPERLINK("https://www.compass.com/listing/536-east-13th-street-unit-2f-manhattan-ny-10009/29361337780002625/","536 E 13th St, Unit 2F")</f>
        <v>536 E 13th St, Unit 2F</v>
      </c>
      <c r="B1199" s="2" t="str">
        <f t="shared" ref="B1199:B1205" si="165">HYPERLINK("https://www.compass.com/building/536-e-13th-st-manhattan-ny-10009/281900929068843109/","536 E 13th St")</f>
        <v>536 E 13th St</v>
      </c>
      <c r="C1199" s="1" t="s">
        <v>71</v>
      </c>
      <c r="D1199" s="1" t="s">
        <v>41</v>
      </c>
      <c r="E1199" s="3">
        <v>1323725</v>
      </c>
      <c r="F1199" s="1">
        <v>1594.84939759036</v>
      </c>
      <c r="G1199" s="1">
        <v>4</v>
      </c>
      <c r="H1199" s="1">
        <v>2</v>
      </c>
      <c r="I1199" s="1">
        <v>1</v>
      </c>
      <c r="J1199" s="1">
        <v>1</v>
      </c>
      <c r="M1199" s="1">
        <v>830</v>
      </c>
      <c r="N1199" s="1">
        <v>423</v>
      </c>
      <c r="O1199" s="1">
        <v>1102</v>
      </c>
      <c r="P1199" s="1">
        <v>679</v>
      </c>
      <c r="Q1199" s="1" t="s">
        <v>42</v>
      </c>
      <c r="S1199" s="1" t="s">
        <v>42</v>
      </c>
      <c r="T1199" s="1" t="s">
        <v>273</v>
      </c>
      <c r="U1199" s="1">
        <v>35</v>
      </c>
      <c r="V1199" s="5">
        <v>43677</v>
      </c>
      <c r="W1199" s="5">
        <v>42465</v>
      </c>
      <c r="X1199" s="1">
        <v>1300000</v>
      </c>
      <c r="Y1199" s="1">
        <v>1300000</v>
      </c>
      <c r="Z1199" s="5">
        <v>42500</v>
      </c>
      <c r="AA1199" s="1">
        <v>1323725</v>
      </c>
      <c r="AB1199" s="1" t="s">
        <v>484</v>
      </c>
      <c r="AC1199" s="5">
        <v>42577</v>
      </c>
      <c r="AF1199" s="1">
        <v>10009</v>
      </c>
      <c r="AI1199" s="1" t="s">
        <v>52</v>
      </c>
      <c r="AL1199" s="1">
        <v>11</v>
      </c>
    </row>
    <row r="1200" spans="1:38" x14ac:dyDescent="0.2">
      <c r="A1200" s="2" t="str">
        <f>HYPERLINK("https://www.compass.com/listing/536-east-13th-street-unit-4f-manhattan-ny-10009/29361338912459505/","536 E 13th St, Unit 4F")</f>
        <v>536 E 13th St, Unit 4F</v>
      </c>
      <c r="B1200" s="2" t="str">
        <f t="shared" si="165"/>
        <v>536 E 13th St</v>
      </c>
      <c r="C1200" s="1" t="s">
        <v>71</v>
      </c>
      <c r="D1200" s="1" t="s">
        <v>41</v>
      </c>
      <c r="E1200" s="3">
        <v>1486645</v>
      </c>
      <c r="F1200" s="1">
        <v>1791.13855421686</v>
      </c>
      <c r="G1200" s="1">
        <v>4</v>
      </c>
      <c r="H1200" s="1">
        <v>2</v>
      </c>
      <c r="I1200" s="1">
        <v>1</v>
      </c>
      <c r="J1200" s="1">
        <v>1</v>
      </c>
      <c r="M1200" s="1">
        <v>830</v>
      </c>
      <c r="N1200" s="1">
        <v>423</v>
      </c>
      <c r="O1200" s="1">
        <v>1102</v>
      </c>
      <c r="P1200" s="1">
        <v>679</v>
      </c>
      <c r="Q1200" s="1" t="s">
        <v>42</v>
      </c>
      <c r="S1200" s="1" t="s">
        <v>42</v>
      </c>
      <c r="T1200" s="1" t="s">
        <v>273</v>
      </c>
      <c r="U1200" s="1">
        <v>48</v>
      </c>
      <c r="V1200" s="5">
        <v>43675</v>
      </c>
      <c r="W1200" s="5">
        <v>42465</v>
      </c>
      <c r="X1200" s="1">
        <v>1400000</v>
      </c>
      <c r="Y1200" s="1">
        <v>1400000</v>
      </c>
      <c r="Z1200" s="5">
        <v>42513</v>
      </c>
      <c r="AA1200" s="1">
        <v>1486645</v>
      </c>
      <c r="AB1200" s="1" t="s">
        <v>485</v>
      </c>
      <c r="AC1200" s="5">
        <v>42564</v>
      </c>
      <c r="AF1200" s="1">
        <v>10009</v>
      </c>
      <c r="AI1200" s="1" t="s">
        <v>52</v>
      </c>
      <c r="AL1200" s="1">
        <v>11</v>
      </c>
    </row>
    <row r="1201" spans="1:38" x14ac:dyDescent="0.2">
      <c r="A1201" s="2" t="str">
        <f>HYPERLINK("https://www.compass.com/listing/536-east-13th-street-unit-4r-manhattan-ny-10009/29361339189248321/","536 E 13th St, Unit 4R")</f>
        <v>536 E 13th St, Unit 4R</v>
      </c>
      <c r="B1201" s="2" t="str">
        <f t="shared" si="165"/>
        <v>536 E 13th St</v>
      </c>
      <c r="C1201" s="1" t="s">
        <v>71</v>
      </c>
      <c r="D1201" s="1" t="s">
        <v>41</v>
      </c>
      <c r="E1201" s="3">
        <v>1478499</v>
      </c>
      <c r="F1201" s="1">
        <v>1707.2736720554201</v>
      </c>
      <c r="G1201" s="1">
        <v>4</v>
      </c>
      <c r="H1201" s="1">
        <v>2</v>
      </c>
      <c r="I1201" s="1">
        <v>1</v>
      </c>
      <c r="J1201" s="1">
        <v>1</v>
      </c>
      <c r="M1201" s="1">
        <v>866</v>
      </c>
      <c r="N1201" s="1">
        <v>459</v>
      </c>
      <c r="O1201" s="1">
        <v>1196</v>
      </c>
      <c r="P1201" s="1">
        <v>737</v>
      </c>
      <c r="Q1201" s="1" t="s">
        <v>42</v>
      </c>
      <c r="S1201" s="1" t="s">
        <v>42</v>
      </c>
      <c r="T1201" s="1" t="s">
        <v>273</v>
      </c>
      <c r="U1201" s="1">
        <v>134</v>
      </c>
      <c r="V1201" s="5">
        <v>43664</v>
      </c>
      <c r="W1201" s="5">
        <v>42465</v>
      </c>
      <c r="X1201" s="1">
        <v>1500000</v>
      </c>
      <c r="Y1201" s="1">
        <v>1500000</v>
      </c>
      <c r="Z1201" s="5">
        <v>42599</v>
      </c>
      <c r="AA1201" s="1">
        <v>1478499</v>
      </c>
      <c r="AB1201" s="1" t="s">
        <v>486</v>
      </c>
      <c r="AC1201" s="5">
        <v>42654</v>
      </c>
      <c r="AF1201" s="1">
        <v>10009</v>
      </c>
      <c r="AI1201" s="1" t="s">
        <v>487</v>
      </c>
      <c r="AL1201" s="1">
        <v>11</v>
      </c>
    </row>
    <row r="1202" spans="1:38" x14ac:dyDescent="0.2">
      <c r="A1202" s="2" t="str">
        <f>HYPERLINK("https://www.compass.com/listing/536-east-13th-street-unit-5f-manhattan-ny-10009/29361339474501473/","536 E 13th St, Unit 5F")</f>
        <v>536 E 13th St, Unit 5F</v>
      </c>
      <c r="B1202" s="2" t="str">
        <f t="shared" si="165"/>
        <v>536 E 13th St</v>
      </c>
      <c r="C1202" s="1" t="s">
        <v>71</v>
      </c>
      <c r="D1202" s="1" t="s">
        <v>41</v>
      </c>
      <c r="E1202" s="3">
        <v>1603744</v>
      </c>
      <c r="F1202" s="1">
        <v>1932.2216867469799</v>
      </c>
      <c r="G1202" s="1">
        <v>4</v>
      </c>
      <c r="H1202" s="1">
        <v>2</v>
      </c>
      <c r="I1202" s="1">
        <v>1</v>
      </c>
      <c r="J1202" s="1">
        <v>1</v>
      </c>
      <c r="M1202" s="1">
        <v>830</v>
      </c>
      <c r="N1202" s="1">
        <v>488</v>
      </c>
      <c r="O1202" s="1">
        <v>1272</v>
      </c>
      <c r="P1202" s="1">
        <v>784</v>
      </c>
      <c r="Q1202" s="1" t="s">
        <v>42</v>
      </c>
      <c r="S1202" s="1" t="s">
        <v>42</v>
      </c>
      <c r="T1202" s="1" t="s">
        <v>273</v>
      </c>
      <c r="U1202" s="1">
        <v>24</v>
      </c>
      <c r="V1202" s="5">
        <v>43678</v>
      </c>
      <c r="W1202" s="5">
        <v>42466</v>
      </c>
      <c r="X1202" s="1">
        <v>1600000</v>
      </c>
      <c r="Y1202" s="1">
        <v>1600000</v>
      </c>
      <c r="Z1202" s="5">
        <v>42490</v>
      </c>
      <c r="AA1202" s="1">
        <v>1603744</v>
      </c>
      <c r="AB1202" s="1" t="s">
        <v>488</v>
      </c>
      <c r="AC1202" s="5">
        <v>42546</v>
      </c>
      <c r="AF1202" s="1">
        <v>10009</v>
      </c>
      <c r="AI1202" s="1" t="s">
        <v>489</v>
      </c>
      <c r="AL1202" s="1">
        <v>11</v>
      </c>
    </row>
    <row r="1203" spans="1:38" x14ac:dyDescent="0.2">
      <c r="A1203" s="2" t="str">
        <f>HYPERLINK("https://www.compass.com/listing/536-east-13th-street-unit-5r-manhattan-ny-10009/29361339776486145/","536 E 13th St, Unit 5R")</f>
        <v>536 E 13th St, Unit 5R</v>
      </c>
      <c r="B1203" s="2" t="str">
        <f t="shared" si="165"/>
        <v>536 E 13th St</v>
      </c>
      <c r="C1203" s="1" t="s">
        <v>71</v>
      </c>
      <c r="D1203" s="1" t="s">
        <v>41</v>
      </c>
      <c r="E1203" s="3">
        <v>1549777</v>
      </c>
      <c r="F1203" s="1">
        <v>1789.5808314087701</v>
      </c>
      <c r="G1203" s="1">
        <v>4</v>
      </c>
      <c r="H1203" s="1">
        <v>2</v>
      </c>
      <c r="I1203" s="1">
        <v>1</v>
      </c>
      <c r="J1203" s="1">
        <v>1</v>
      </c>
      <c r="M1203" s="1">
        <v>866</v>
      </c>
      <c r="N1203" s="1">
        <v>459</v>
      </c>
      <c r="O1203" s="1">
        <v>1196</v>
      </c>
      <c r="P1203" s="1">
        <v>737</v>
      </c>
      <c r="Q1203" s="1" t="s">
        <v>42</v>
      </c>
      <c r="S1203" s="1" t="s">
        <v>42</v>
      </c>
      <c r="T1203" s="1" t="s">
        <v>273</v>
      </c>
      <c r="U1203" s="1">
        <v>99</v>
      </c>
      <c r="V1203" s="5">
        <v>43675</v>
      </c>
      <c r="W1203" s="5">
        <v>42466</v>
      </c>
      <c r="X1203" s="1">
        <v>1550000</v>
      </c>
      <c r="Y1203" s="1">
        <v>1550000</v>
      </c>
      <c r="Z1203" s="5">
        <v>42565</v>
      </c>
      <c r="AA1203" s="1">
        <v>1549777</v>
      </c>
      <c r="AB1203" s="1" t="s">
        <v>490</v>
      </c>
      <c r="AC1203" s="5">
        <v>42570</v>
      </c>
      <c r="AF1203" s="1">
        <v>10009</v>
      </c>
      <c r="AI1203" s="1" t="s">
        <v>487</v>
      </c>
      <c r="AL1203" s="1">
        <v>11</v>
      </c>
    </row>
    <row r="1204" spans="1:38" x14ac:dyDescent="0.2">
      <c r="A1204" s="2" t="str">
        <f>HYPERLINK("https://www.compass.com/listing/536-east-13th-street-unit-6f-manhattan-ny-10009/29361340095218001/","536 E 13th St, Unit 6F")</f>
        <v>536 E 13th St, Unit 6F</v>
      </c>
      <c r="B1204" s="2" t="str">
        <f t="shared" si="165"/>
        <v>536 E 13th St</v>
      </c>
      <c r="C1204" s="1" t="s">
        <v>71</v>
      </c>
      <c r="D1204" s="1" t="s">
        <v>41</v>
      </c>
      <c r="E1204" s="3">
        <v>1578288</v>
      </c>
      <c r="F1204" s="1">
        <v>1901.5518072289101</v>
      </c>
      <c r="G1204" s="1">
        <v>4</v>
      </c>
      <c r="H1204" s="1">
        <v>2</v>
      </c>
      <c r="I1204" s="1">
        <v>1</v>
      </c>
      <c r="J1204" s="1">
        <v>1</v>
      </c>
      <c r="M1204" s="1">
        <v>830</v>
      </c>
      <c r="N1204" s="1">
        <v>586</v>
      </c>
      <c r="O1204" s="1">
        <v>1526</v>
      </c>
      <c r="P1204" s="1">
        <v>940</v>
      </c>
      <c r="Q1204" s="1" t="s">
        <v>42</v>
      </c>
      <c r="S1204" s="1" t="s">
        <v>42</v>
      </c>
      <c r="T1204" s="1" t="s">
        <v>273</v>
      </c>
      <c r="V1204" s="5">
        <v>43664</v>
      </c>
      <c r="W1204" s="5">
        <v>42465</v>
      </c>
      <c r="X1204" s="1">
        <v>1700000</v>
      </c>
      <c r="Y1204" s="1">
        <v>1700000</v>
      </c>
      <c r="Z1204" s="5">
        <v>42465</v>
      </c>
      <c r="AA1204" s="1">
        <v>1578288</v>
      </c>
      <c r="AB1204" s="1" t="s">
        <v>491</v>
      </c>
      <c r="AC1204" s="5">
        <v>42489</v>
      </c>
      <c r="AF1204" s="1">
        <v>10009</v>
      </c>
      <c r="AI1204" s="1" t="s">
        <v>489</v>
      </c>
      <c r="AL1204" s="1">
        <v>11</v>
      </c>
    </row>
    <row r="1205" spans="1:38" x14ac:dyDescent="0.2">
      <c r="A1205" s="2" t="str">
        <f>HYPERLINK("https://www.compass.com/listing/536-east-13th-street-unit-6r-manhattan-ny-10009/29361340397248369/","536 E 13th St, Unit 6R")</f>
        <v>536 E 13th St, Unit 6R</v>
      </c>
      <c r="B1205" s="2" t="str">
        <f t="shared" si="165"/>
        <v>536 E 13th St</v>
      </c>
      <c r="C1205" s="1" t="s">
        <v>71</v>
      </c>
      <c r="D1205" s="1" t="s">
        <v>41</v>
      </c>
      <c r="E1205" s="3">
        <v>1629200</v>
      </c>
      <c r="F1205" s="1">
        <v>1881.29330254041</v>
      </c>
      <c r="G1205" s="1">
        <v>4</v>
      </c>
      <c r="H1205" s="1">
        <v>2</v>
      </c>
      <c r="I1205" s="1">
        <v>1</v>
      </c>
      <c r="J1205" s="1">
        <v>1</v>
      </c>
      <c r="M1205" s="1">
        <v>866</v>
      </c>
      <c r="N1205" s="1">
        <v>624</v>
      </c>
      <c r="O1205" s="1">
        <v>1625</v>
      </c>
      <c r="P1205" s="1">
        <v>1001</v>
      </c>
      <c r="Q1205" s="1" t="s">
        <v>42</v>
      </c>
      <c r="S1205" s="1" t="s">
        <v>42</v>
      </c>
      <c r="T1205" s="1" t="s">
        <v>273</v>
      </c>
      <c r="V1205" s="5">
        <v>43664</v>
      </c>
      <c r="W1205" s="5">
        <v>42465</v>
      </c>
      <c r="X1205" s="1">
        <v>1750000</v>
      </c>
      <c r="Y1205" s="1">
        <v>1750000</v>
      </c>
      <c r="Z1205" s="5">
        <v>42465</v>
      </c>
      <c r="AA1205" s="1">
        <v>1629200</v>
      </c>
      <c r="AB1205" s="1" t="s">
        <v>492</v>
      </c>
      <c r="AC1205" s="5">
        <v>42501</v>
      </c>
      <c r="AF1205" s="1">
        <v>10009</v>
      </c>
      <c r="AI1205" s="1" t="s">
        <v>493</v>
      </c>
      <c r="AL1205" s="1">
        <v>11</v>
      </c>
    </row>
    <row r="1206" spans="1:38" x14ac:dyDescent="0.2">
      <c r="A1206" s="2" t="str">
        <f>HYPERLINK("https://www.compass.com/listing/155-west-18th-street-unit-503-manhattan-ny-10011/226605325220926241/","155 W 18th St, Unit 503")</f>
        <v>155 W 18th St, Unit 503</v>
      </c>
      <c r="B1206" s="2" t="str">
        <f>HYPERLINK("https://www.compass.com/building/the-flynn-manhattan-ny/281905793161251925/","The Flynn")</f>
        <v>The Flynn</v>
      </c>
      <c r="C1206" s="1" t="s">
        <v>62</v>
      </c>
      <c r="D1206" s="1" t="s">
        <v>41</v>
      </c>
      <c r="E1206" s="3">
        <v>1755000</v>
      </c>
      <c r="F1206" s="1">
        <v>2517.9340028694401</v>
      </c>
      <c r="G1206" s="1">
        <v>3.5</v>
      </c>
      <c r="H1206" s="1">
        <v>1</v>
      </c>
      <c r="I1206" s="1">
        <v>2</v>
      </c>
      <c r="J1206" s="1">
        <v>1.5</v>
      </c>
      <c r="K1206" s="1">
        <v>1</v>
      </c>
      <c r="L1206" s="1">
        <v>1</v>
      </c>
      <c r="M1206" s="1">
        <v>697</v>
      </c>
      <c r="N1206" s="1">
        <v>945.99</v>
      </c>
      <c r="O1206" s="1">
        <v>2061.7399999999998</v>
      </c>
      <c r="P1206" s="1">
        <v>1115.75</v>
      </c>
      <c r="Q1206" s="1" t="s">
        <v>42</v>
      </c>
      <c r="S1206" s="1" t="s">
        <v>42</v>
      </c>
      <c r="T1206" s="1" t="s">
        <v>273</v>
      </c>
      <c r="U1206" s="1">
        <v>36</v>
      </c>
      <c r="V1206" s="5">
        <v>43694</v>
      </c>
      <c r="W1206" s="5">
        <v>43565</v>
      </c>
      <c r="X1206" s="1">
        <v>1699000</v>
      </c>
      <c r="Y1206" s="1">
        <v>1699000</v>
      </c>
      <c r="Z1206" s="5">
        <v>43601</v>
      </c>
      <c r="AA1206" s="1">
        <v>1755000</v>
      </c>
      <c r="AB1206" s="1" t="s">
        <v>494</v>
      </c>
      <c r="AC1206" s="5">
        <v>43628</v>
      </c>
      <c r="AF1206" s="1">
        <v>10011</v>
      </c>
      <c r="AI1206" s="1" t="s">
        <v>495</v>
      </c>
      <c r="AJ1206" s="1">
        <v>2016</v>
      </c>
      <c r="AK1206" s="1" t="s">
        <v>46</v>
      </c>
      <c r="AL1206" s="1">
        <v>30</v>
      </c>
    </row>
    <row r="1207" spans="1:38" x14ac:dyDescent="0.2">
      <c r="A1207" s="2" t="str">
        <f>HYPERLINK("https://www.compass.com/listing/100-barrow-street-unit-4b-manhattan-ny-10014/29367158618317857/","100 Barrow St, Unit 4B")</f>
        <v>100 Barrow St, Unit 4B</v>
      </c>
      <c r="B1207" s="2" t="str">
        <f t="shared" ref="B1207:B1209" si="166">HYPERLINK("https://www.compass.com/building/100-barrow-manhattan-ny/292834978184618837/","100 Barrow")</f>
        <v>100 Barrow</v>
      </c>
      <c r="C1207" s="1" t="s">
        <v>67</v>
      </c>
      <c r="D1207" s="1" t="s">
        <v>41</v>
      </c>
      <c r="E1207" s="3">
        <v>4382625</v>
      </c>
      <c r="F1207" s="1">
        <v>1814.75155279503</v>
      </c>
      <c r="G1207" s="1">
        <v>5</v>
      </c>
      <c r="H1207" s="1">
        <v>3</v>
      </c>
      <c r="I1207" s="1">
        <v>4</v>
      </c>
      <c r="J1207" s="1">
        <v>3.5</v>
      </c>
      <c r="M1207" s="4">
        <v>2415</v>
      </c>
      <c r="N1207" s="1">
        <v>6417</v>
      </c>
      <c r="O1207" s="1">
        <v>6417</v>
      </c>
      <c r="Q1207" s="1" t="s">
        <v>272</v>
      </c>
      <c r="S1207" s="1" t="s">
        <v>272</v>
      </c>
      <c r="T1207" s="1" t="s">
        <v>273</v>
      </c>
      <c r="U1207" s="1">
        <v>24</v>
      </c>
      <c r="V1207" s="5">
        <v>43649</v>
      </c>
      <c r="W1207" s="5">
        <v>43119</v>
      </c>
      <c r="X1207" s="1">
        <v>5700990</v>
      </c>
      <c r="Y1207" s="1">
        <v>4495000</v>
      </c>
      <c r="Z1207" s="5">
        <v>43143</v>
      </c>
      <c r="AA1207" s="1">
        <v>4382625</v>
      </c>
      <c r="AB1207" s="1" t="s">
        <v>496</v>
      </c>
      <c r="AC1207" s="5">
        <v>43179</v>
      </c>
      <c r="AF1207" s="1">
        <v>10014</v>
      </c>
      <c r="AJ1207" s="1">
        <v>2015</v>
      </c>
      <c r="AK1207" s="1" t="s">
        <v>46</v>
      </c>
      <c r="AL1207" s="1">
        <v>33</v>
      </c>
    </row>
    <row r="1208" spans="1:38" x14ac:dyDescent="0.2">
      <c r="A1208" s="2" t="str">
        <f>HYPERLINK("https://www.compass.com/listing/100-barrow-street-unit-3b-manhattan-ny-10014/29367160228933633/","100 Barrow St, Unit 3B")</f>
        <v>100 Barrow St, Unit 3B</v>
      </c>
      <c r="B1208" s="2" t="str">
        <f t="shared" si="166"/>
        <v>100 Barrow</v>
      </c>
      <c r="C1208" s="1" t="s">
        <v>67</v>
      </c>
      <c r="D1208" s="1" t="s">
        <v>41</v>
      </c>
      <c r="E1208" s="3">
        <v>4367000</v>
      </c>
      <c r="F1208" s="1">
        <v>1808.2815734989599</v>
      </c>
      <c r="G1208" s="1">
        <v>5</v>
      </c>
      <c r="H1208" s="1">
        <v>3</v>
      </c>
      <c r="I1208" s="1">
        <v>4</v>
      </c>
      <c r="J1208" s="1">
        <v>3.5</v>
      </c>
      <c r="M1208" s="4">
        <v>2415</v>
      </c>
      <c r="N1208" s="1">
        <v>6359</v>
      </c>
      <c r="O1208" s="1">
        <v>6359</v>
      </c>
      <c r="Q1208" s="1" t="s">
        <v>272</v>
      </c>
      <c r="S1208" s="1" t="s">
        <v>272</v>
      </c>
      <c r="T1208" s="1" t="s">
        <v>273</v>
      </c>
      <c r="U1208" s="1">
        <v>155</v>
      </c>
      <c r="V1208" s="5">
        <v>43638</v>
      </c>
      <c r="W1208" s="5">
        <v>42990</v>
      </c>
      <c r="X1208" s="1">
        <v>4467000</v>
      </c>
      <c r="Y1208" s="1">
        <v>4467000</v>
      </c>
      <c r="Z1208" s="5">
        <v>43145</v>
      </c>
      <c r="AA1208" s="1">
        <v>4367000</v>
      </c>
      <c r="AB1208" s="1" t="s">
        <v>497</v>
      </c>
      <c r="AC1208" s="5">
        <v>43187</v>
      </c>
      <c r="AF1208" s="1">
        <v>10014</v>
      </c>
      <c r="AJ1208" s="1">
        <v>2015</v>
      </c>
      <c r="AK1208" s="1" t="s">
        <v>46</v>
      </c>
      <c r="AL1208" s="1">
        <v>33</v>
      </c>
    </row>
    <row r="1209" spans="1:38" x14ac:dyDescent="0.2">
      <c r="A1209" s="2" t="str">
        <f>HYPERLINK("https://www.compass.com/listing/100-barrow-street-unit-5b-manhattan-ny-10014/29367162535800865/","100 Barrow St, Unit 5B")</f>
        <v>100 Barrow St, Unit 5B</v>
      </c>
      <c r="B1209" s="2" t="str">
        <f t="shared" si="166"/>
        <v>100 Barrow</v>
      </c>
      <c r="C1209" s="1" t="s">
        <v>67</v>
      </c>
      <c r="D1209" s="1" t="s">
        <v>41</v>
      </c>
      <c r="E1209" s="3">
        <v>4400000</v>
      </c>
      <c r="F1209" s="1">
        <v>1821.94616977225</v>
      </c>
      <c r="G1209" s="1">
        <v>5</v>
      </c>
      <c r="H1209" s="1">
        <v>3</v>
      </c>
      <c r="I1209" s="1">
        <v>4</v>
      </c>
      <c r="J1209" s="1">
        <v>3.5</v>
      </c>
      <c r="M1209" s="4">
        <v>2415</v>
      </c>
      <c r="N1209" s="1">
        <v>6475</v>
      </c>
      <c r="O1209" s="1">
        <v>6475</v>
      </c>
      <c r="Q1209" s="1" t="s">
        <v>272</v>
      </c>
      <c r="S1209" s="1" t="s">
        <v>272</v>
      </c>
      <c r="T1209" s="1" t="s">
        <v>273</v>
      </c>
      <c r="U1209" s="1">
        <v>244</v>
      </c>
      <c r="V1209" s="5">
        <v>43626</v>
      </c>
      <c r="W1209" s="5">
        <v>42873</v>
      </c>
      <c r="X1209" s="1">
        <v>4521000</v>
      </c>
      <c r="Y1209" s="1">
        <v>4521000</v>
      </c>
      <c r="Z1209" s="5">
        <v>43117</v>
      </c>
      <c r="AA1209" s="1">
        <v>4400000</v>
      </c>
      <c r="AB1209" s="1" t="s">
        <v>498</v>
      </c>
      <c r="AC1209" s="5">
        <v>43167</v>
      </c>
      <c r="AF1209" s="1">
        <v>10014</v>
      </c>
      <c r="AJ1209" s="1">
        <v>2015</v>
      </c>
      <c r="AK1209" s="1" t="s">
        <v>46</v>
      </c>
      <c r="AL1209" s="1">
        <v>33</v>
      </c>
    </row>
    <row r="1210" spans="1:38" x14ac:dyDescent="0.2">
      <c r="A1210" s="2" t="str">
        <f>HYPERLINK("https://www.compass.com/listing/37-east-12th-street-manhattan-ny-10003/662564137194968297/","37 E 12th St")</f>
        <v>37 E 12th St</v>
      </c>
      <c r="B1210" s="2" t="str">
        <f>HYPERLINK("https://www.compass.com/building/37-e-12th-st-manhattan-ny-10003/281893347050658069/","37 E 12th St")</f>
        <v>37 E 12th St</v>
      </c>
      <c r="C1210" s="1" t="s">
        <v>277</v>
      </c>
      <c r="D1210" s="1" t="s">
        <v>41</v>
      </c>
      <c r="E1210" s="3">
        <v>9000000</v>
      </c>
      <c r="F1210" s="1">
        <v>1529.0519877675799</v>
      </c>
      <c r="G1210" s="1">
        <v>6</v>
      </c>
      <c r="H1210" s="1">
        <v>3</v>
      </c>
      <c r="I1210" s="1">
        <v>4</v>
      </c>
      <c r="J1210" s="1">
        <v>3.5</v>
      </c>
      <c r="K1210" s="1">
        <v>3</v>
      </c>
      <c r="L1210" s="1">
        <v>1</v>
      </c>
      <c r="M1210" s="4">
        <v>5886</v>
      </c>
      <c r="N1210" s="1">
        <v>12463</v>
      </c>
      <c r="O1210" s="1">
        <v>20460</v>
      </c>
      <c r="P1210" s="1">
        <v>7997</v>
      </c>
      <c r="Q1210" s="1" t="s">
        <v>42</v>
      </c>
      <c r="S1210" s="1" t="s">
        <v>499</v>
      </c>
      <c r="T1210" s="1" t="s">
        <v>273</v>
      </c>
      <c r="U1210" s="1">
        <v>140</v>
      </c>
      <c r="V1210" s="5">
        <v>44387</v>
      </c>
      <c r="W1210" s="5">
        <v>44166</v>
      </c>
      <c r="X1210" s="1">
        <v>9950000</v>
      </c>
      <c r="Y1210" s="1">
        <v>9950000</v>
      </c>
      <c r="Z1210" s="5">
        <v>44307</v>
      </c>
      <c r="AA1210" s="1">
        <v>9000000</v>
      </c>
      <c r="AB1210" s="1" t="s">
        <v>500</v>
      </c>
      <c r="AC1210" s="5">
        <v>44384</v>
      </c>
      <c r="AF1210" s="1">
        <v>10003</v>
      </c>
      <c r="AI1210" s="1" t="s">
        <v>501</v>
      </c>
      <c r="AJ1210" s="1">
        <v>1896</v>
      </c>
      <c r="AK1210" s="1" t="s">
        <v>46</v>
      </c>
      <c r="AL1210" s="1">
        <v>6</v>
      </c>
    </row>
    <row r="1211" spans="1:38" x14ac:dyDescent="0.2">
      <c r="A1211" s="2" t="str">
        <f>HYPERLINK("https://www.compass.com/listing/211-west-14th-street-unit-4c-manhattan-ny-10011/29514440353253745/","211 W 14th St, Unit 4C")</f>
        <v>211 W 14th St, Unit 4C</v>
      </c>
      <c r="B1211" s="2" t="str">
        <f t="shared" ref="B1211:B1215" si="167">HYPERLINK("https://www.compass.com/building/dorsay-manhattan-ny/292801633543285477/","d'Orsay")</f>
        <v>d'Orsay</v>
      </c>
      <c r="C1211" s="1" t="s">
        <v>62</v>
      </c>
      <c r="D1211" s="1" t="s">
        <v>41</v>
      </c>
      <c r="E1211" s="3">
        <v>1723593</v>
      </c>
      <c r="F1211" s="1">
        <v>2417.3814866760099</v>
      </c>
      <c r="G1211" s="1">
        <v>3</v>
      </c>
      <c r="H1211" s="1">
        <v>1</v>
      </c>
      <c r="I1211" s="1">
        <v>1</v>
      </c>
      <c r="J1211" s="1">
        <v>1</v>
      </c>
      <c r="K1211" s="1">
        <v>1</v>
      </c>
      <c r="M1211" s="1">
        <v>713</v>
      </c>
      <c r="N1211" s="1">
        <v>1420</v>
      </c>
      <c r="O1211" s="1">
        <v>2066</v>
      </c>
      <c r="P1211" s="1">
        <v>646</v>
      </c>
      <c r="Q1211" s="1" t="s">
        <v>42</v>
      </c>
      <c r="S1211" s="1" t="s">
        <v>42</v>
      </c>
      <c r="T1211" s="1" t="s">
        <v>273</v>
      </c>
      <c r="V1211" s="5">
        <v>43678</v>
      </c>
      <c r="W1211" s="5">
        <v>43004</v>
      </c>
      <c r="X1211" s="1">
        <v>1695000</v>
      </c>
      <c r="Y1211" s="1">
        <v>1695000</v>
      </c>
      <c r="Z1211" s="5">
        <v>43004</v>
      </c>
      <c r="AA1211" s="1">
        <v>1723593</v>
      </c>
      <c r="AB1211" s="1" t="s">
        <v>502</v>
      </c>
      <c r="AC1211" s="5">
        <v>43281</v>
      </c>
      <c r="AF1211" s="1">
        <v>10011</v>
      </c>
      <c r="AI1211" s="1" t="s">
        <v>61</v>
      </c>
      <c r="AJ1211" s="1">
        <v>2018</v>
      </c>
      <c r="AK1211" s="1" t="s">
        <v>46</v>
      </c>
      <c r="AL1211" s="1">
        <v>21</v>
      </c>
    </row>
    <row r="1212" spans="1:38" x14ac:dyDescent="0.2">
      <c r="A1212" s="2" t="str">
        <f>HYPERLINK("https://www.compass.com/listing/211-west-14th-street-unit-3c-manhattan-ny-10011/29514444329454065/","211 W 14th St, Unit 3C")</f>
        <v>211 W 14th St, Unit 3C</v>
      </c>
      <c r="B1212" s="2" t="str">
        <f t="shared" si="167"/>
        <v>d'Orsay</v>
      </c>
      <c r="C1212" s="1" t="s">
        <v>62</v>
      </c>
      <c r="D1212" s="1" t="s">
        <v>41</v>
      </c>
      <c r="E1212" s="3">
        <v>1705568</v>
      </c>
      <c r="F1212" s="1">
        <v>2392.1009817671802</v>
      </c>
      <c r="G1212" s="1">
        <v>3</v>
      </c>
      <c r="H1212" s="1">
        <v>1</v>
      </c>
      <c r="I1212" s="1">
        <v>1</v>
      </c>
      <c r="J1212" s="1">
        <v>1</v>
      </c>
      <c r="K1212" s="1">
        <v>1</v>
      </c>
      <c r="M1212" s="1">
        <v>713</v>
      </c>
      <c r="N1212" s="1">
        <v>1413</v>
      </c>
      <c r="O1212" s="1">
        <v>2055</v>
      </c>
      <c r="P1212" s="1">
        <v>642</v>
      </c>
      <c r="Q1212" s="1" t="s">
        <v>42</v>
      </c>
      <c r="S1212" s="1" t="s">
        <v>42</v>
      </c>
      <c r="T1212" s="1" t="s">
        <v>273</v>
      </c>
      <c r="U1212" s="1">
        <v>363</v>
      </c>
      <c r="V1212" s="5">
        <v>43678</v>
      </c>
      <c r="W1212" s="5">
        <v>42679</v>
      </c>
      <c r="X1212" s="1">
        <v>1675000</v>
      </c>
      <c r="Y1212" s="1">
        <v>1695000</v>
      </c>
      <c r="Z1212" s="5">
        <v>43042</v>
      </c>
      <c r="AA1212" s="1">
        <v>1705568</v>
      </c>
      <c r="AB1212" s="1" t="s">
        <v>503</v>
      </c>
      <c r="AC1212" s="5">
        <v>43300</v>
      </c>
      <c r="AF1212" s="1">
        <v>10011</v>
      </c>
      <c r="AI1212" s="1" t="s">
        <v>211</v>
      </c>
      <c r="AJ1212" s="1">
        <v>2018</v>
      </c>
      <c r="AK1212" s="1" t="s">
        <v>46</v>
      </c>
      <c r="AL1212" s="1">
        <v>21</v>
      </c>
    </row>
    <row r="1213" spans="1:38" x14ac:dyDescent="0.2">
      <c r="A1213" s="2" t="str">
        <f>HYPERLINK("https://www.compass.com/listing/211-west-14th-street-unit-4c-manhattan-ny-10011/803359848066552897/","211 W 14th St, Unit 4C")</f>
        <v>211 W 14th St, Unit 4C</v>
      </c>
      <c r="B1213" s="2" t="str">
        <f t="shared" si="167"/>
        <v>d'Orsay</v>
      </c>
      <c r="C1213" s="1" t="s">
        <v>62</v>
      </c>
      <c r="D1213" s="1" t="s">
        <v>41</v>
      </c>
      <c r="E1213" s="3">
        <v>1723593</v>
      </c>
      <c r="F1213" s="1">
        <v>2417.3807854137399</v>
      </c>
      <c r="G1213" s="1">
        <v>3</v>
      </c>
      <c r="H1213" s="1">
        <v>1</v>
      </c>
      <c r="I1213" s="1">
        <v>1</v>
      </c>
      <c r="J1213" s="1">
        <v>1</v>
      </c>
      <c r="M1213" s="1">
        <v>713</v>
      </c>
      <c r="N1213" s="1">
        <v>1420</v>
      </c>
      <c r="O1213" s="1">
        <v>1972</v>
      </c>
      <c r="P1213" s="1">
        <v>552</v>
      </c>
      <c r="Q1213" s="1" t="s">
        <v>42</v>
      </c>
      <c r="S1213" s="1" t="s">
        <v>42</v>
      </c>
      <c r="T1213" s="1" t="s">
        <v>273</v>
      </c>
      <c r="V1213" s="5">
        <v>43173</v>
      </c>
      <c r="W1213" s="5">
        <v>43005</v>
      </c>
      <c r="X1213" s="1">
        <v>1690000</v>
      </c>
      <c r="Y1213" s="1">
        <v>1695000</v>
      </c>
      <c r="Z1213" s="5">
        <v>43005</v>
      </c>
      <c r="AA1213" s="1">
        <v>1723592.5</v>
      </c>
      <c r="AB1213" s="1" t="s">
        <v>502</v>
      </c>
      <c r="AC1213" s="5">
        <v>43280</v>
      </c>
      <c r="AF1213" s="1">
        <v>10011</v>
      </c>
      <c r="AI1213" s="1" t="s">
        <v>48</v>
      </c>
      <c r="AJ1213" s="1">
        <v>2018</v>
      </c>
      <c r="AK1213" s="1" t="s">
        <v>46</v>
      </c>
      <c r="AL1213" s="1">
        <v>21</v>
      </c>
    </row>
    <row r="1214" spans="1:38" x14ac:dyDescent="0.2">
      <c r="A1214" s="2" t="str">
        <f>HYPERLINK("https://www.compass.com/listing/211-west-14th-street-unit-4a-manhattan-ny-10011/29514442962187361/","211 W 14th St, Unit 4A")</f>
        <v>211 W 14th St, Unit 4A</v>
      </c>
      <c r="B1214" s="2" t="str">
        <f t="shared" si="167"/>
        <v>d'Orsay</v>
      </c>
      <c r="C1214" s="1" t="s">
        <v>62</v>
      </c>
      <c r="D1214" s="1" t="s">
        <v>41</v>
      </c>
      <c r="E1214" s="3">
        <v>1937425</v>
      </c>
      <c r="F1214" s="1">
        <v>2069.8985042734998</v>
      </c>
      <c r="G1214" s="1">
        <v>3</v>
      </c>
      <c r="H1214" s="1">
        <v>1</v>
      </c>
      <c r="I1214" s="1">
        <v>1</v>
      </c>
      <c r="J1214" s="1">
        <v>1</v>
      </c>
      <c r="K1214" s="1">
        <v>1</v>
      </c>
      <c r="M1214" s="1">
        <v>936</v>
      </c>
      <c r="N1214" s="1">
        <v>1857</v>
      </c>
      <c r="O1214" s="1">
        <v>2701</v>
      </c>
      <c r="P1214" s="1">
        <v>844</v>
      </c>
      <c r="Q1214" s="1" t="s">
        <v>42</v>
      </c>
      <c r="S1214" s="1" t="s">
        <v>42</v>
      </c>
      <c r="T1214" s="1" t="s">
        <v>273</v>
      </c>
      <c r="V1214" s="5">
        <v>43678</v>
      </c>
      <c r="W1214" s="5">
        <v>42696</v>
      </c>
      <c r="X1214" s="1">
        <v>2000000</v>
      </c>
      <c r="Y1214" s="1">
        <v>2000000</v>
      </c>
      <c r="Z1214" s="5">
        <v>42696</v>
      </c>
      <c r="AA1214" s="1">
        <v>1937425</v>
      </c>
      <c r="AB1214" s="1" t="s">
        <v>504</v>
      </c>
      <c r="AC1214" s="5">
        <v>43278</v>
      </c>
      <c r="AF1214" s="1">
        <v>10011</v>
      </c>
      <c r="AI1214" s="1" t="s">
        <v>211</v>
      </c>
      <c r="AJ1214" s="1">
        <v>2018</v>
      </c>
      <c r="AK1214" s="1" t="s">
        <v>46</v>
      </c>
      <c r="AL1214" s="1">
        <v>21</v>
      </c>
    </row>
    <row r="1215" spans="1:38" x14ac:dyDescent="0.2">
      <c r="A1215" s="2" t="str">
        <f>HYPERLINK("https://www.compass.com/listing/211-west-14th-street-unit-4a-manhattan-ny-10011/803369227318659529/","211 W 14th St, Unit 4A")</f>
        <v>211 W 14th St, Unit 4A</v>
      </c>
      <c r="B1215" s="2" t="str">
        <f t="shared" si="167"/>
        <v>d'Orsay</v>
      </c>
      <c r="C1215" s="1" t="s">
        <v>62</v>
      </c>
      <c r="D1215" s="1" t="s">
        <v>41</v>
      </c>
      <c r="E1215" s="3">
        <v>1937425</v>
      </c>
      <c r="F1215" s="1">
        <v>2069.8985042734998</v>
      </c>
      <c r="G1215" s="1">
        <v>3</v>
      </c>
      <c r="H1215" s="1">
        <v>1</v>
      </c>
      <c r="I1215" s="1">
        <v>1</v>
      </c>
      <c r="J1215" s="1">
        <v>1</v>
      </c>
      <c r="M1215" s="1">
        <v>936</v>
      </c>
      <c r="N1215" s="1">
        <v>1856</v>
      </c>
      <c r="O1215" s="1">
        <v>2577</v>
      </c>
      <c r="P1215" s="1">
        <v>721</v>
      </c>
      <c r="Q1215" s="1" t="s">
        <v>42</v>
      </c>
      <c r="S1215" s="1" t="s">
        <v>42</v>
      </c>
      <c r="T1215" s="1" t="s">
        <v>273</v>
      </c>
      <c r="V1215" s="5">
        <v>43173</v>
      </c>
      <c r="W1215" s="5">
        <v>42695</v>
      </c>
      <c r="X1215" s="1">
        <v>2000000</v>
      </c>
      <c r="Y1215" s="1">
        <v>2000000</v>
      </c>
      <c r="Z1215" s="5">
        <v>42696</v>
      </c>
      <c r="AA1215" s="1">
        <v>1937425</v>
      </c>
      <c r="AB1215" s="1" t="s">
        <v>504</v>
      </c>
      <c r="AC1215" s="5">
        <v>43278</v>
      </c>
      <c r="AF1215" s="1">
        <v>10011</v>
      </c>
      <c r="AI1215" s="1" t="s">
        <v>48</v>
      </c>
      <c r="AJ1215" s="1">
        <v>2018</v>
      </c>
      <c r="AK1215" s="1" t="s">
        <v>46</v>
      </c>
      <c r="AL1215" s="1">
        <v>21</v>
      </c>
    </row>
    <row r="1216" spans="1:38" x14ac:dyDescent="0.2">
      <c r="A1216" s="2" t="str">
        <f>HYPERLINK("https://www.compass.com/listing/100-barrow-street-unit-4c-manhattan-ny-10014/334755141337193921/","100 Barrow St, Unit 4C")</f>
        <v>100 Barrow St, Unit 4C</v>
      </c>
      <c r="B1216" s="2" t="str">
        <f>HYPERLINK("https://www.compass.com/building/100-barrow-manhattan-ny/292834978184618837/","100 Barrow")</f>
        <v>100 Barrow</v>
      </c>
      <c r="C1216" s="1" t="s">
        <v>67</v>
      </c>
      <c r="D1216" s="1" t="s">
        <v>41</v>
      </c>
      <c r="E1216" s="3">
        <v>3362500</v>
      </c>
      <c r="F1216" s="1">
        <v>1719.9488491048501</v>
      </c>
      <c r="G1216" s="1">
        <v>6</v>
      </c>
      <c r="H1216" s="1">
        <v>2</v>
      </c>
      <c r="I1216" s="1">
        <v>3</v>
      </c>
      <c r="J1216" s="1">
        <v>2.5</v>
      </c>
      <c r="K1216" s="1">
        <v>2</v>
      </c>
      <c r="L1216" s="1">
        <v>1</v>
      </c>
      <c r="M1216" s="4">
        <v>1955</v>
      </c>
      <c r="N1216" s="1">
        <v>5344</v>
      </c>
      <c r="O1216" s="1">
        <v>5344</v>
      </c>
      <c r="Q1216" s="1" t="s">
        <v>272</v>
      </c>
      <c r="S1216" s="1" t="s">
        <v>505</v>
      </c>
      <c r="T1216" s="1" t="s">
        <v>273</v>
      </c>
      <c r="U1216" s="1">
        <v>167</v>
      </c>
      <c r="V1216" s="5">
        <v>43954</v>
      </c>
      <c r="W1216" s="5">
        <v>43712</v>
      </c>
      <c r="X1216" s="1">
        <v>3700000</v>
      </c>
      <c r="Y1216" s="1">
        <v>3495000</v>
      </c>
      <c r="Z1216" s="5">
        <v>43880</v>
      </c>
      <c r="AA1216" s="1">
        <v>3362500</v>
      </c>
      <c r="AB1216" s="1" t="s">
        <v>506</v>
      </c>
      <c r="AC1216" s="5">
        <v>43949</v>
      </c>
      <c r="AF1216" s="1">
        <v>10014</v>
      </c>
      <c r="AJ1216" s="1">
        <v>2015</v>
      </c>
      <c r="AK1216" s="1" t="s">
        <v>46</v>
      </c>
      <c r="AL1216" s="1">
        <v>33</v>
      </c>
    </row>
    <row r="1217" spans="1:38" x14ac:dyDescent="0.2">
      <c r="A1217" s="2" t="str">
        <f>HYPERLINK("https://www.compass.com/listing/211-west-14th-street-unit-2c-manhattan-ny-10011/29514442400074161/","211 W 14th St, Unit 2C")</f>
        <v>211 W 14th St, Unit 2C</v>
      </c>
      <c r="B1217" s="2" t="str">
        <f t="shared" ref="B1217:B1218" si="168">HYPERLINK("https://www.compass.com/building/dorsay-manhattan-ny/292801633543285477/","d'Orsay")</f>
        <v>d'Orsay</v>
      </c>
      <c r="C1217" s="1" t="s">
        <v>62</v>
      </c>
      <c r="D1217" s="1" t="s">
        <v>41</v>
      </c>
      <c r="E1217" s="3">
        <v>1682863</v>
      </c>
      <c r="F1217" s="1">
        <v>2093.1131840796002</v>
      </c>
      <c r="G1217" s="1">
        <v>3</v>
      </c>
      <c r="H1217" s="1">
        <v>1</v>
      </c>
      <c r="I1217" s="1">
        <v>1</v>
      </c>
      <c r="J1217" s="1">
        <v>1</v>
      </c>
      <c r="K1217" s="1">
        <v>1</v>
      </c>
      <c r="M1217" s="1">
        <v>804</v>
      </c>
      <c r="N1217" s="1">
        <v>1559</v>
      </c>
      <c r="O1217" s="1">
        <v>2267</v>
      </c>
      <c r="P1217" s="1">
        <v>708</v>
      </c>
      <c r="Q1217" s="1" t="s">
        <v>42</v>
      </c>
      <c r="S1217" s="1" t="s">
        <v>42</v>
      </c>
      <c r="T1217" s="1" t="s">
        <v>273</v>
      </c>
      <c r="V1217" s="5">
        <v>43678</v>
      </c>
      <c r="W1217" s="5">
        <v>42721</v>
      </c>
      <c r="X1217" s="1">
        <v>1695000</v>
      </c>
      <c r="Y1217" s="1">
        <v>1695000</v>
      </c>
      <c r="Z1217" s="5">
        <v>42721</v>
      </c>
      <c r="AA1217" s="1">
        <v>1682863</v>
      </c>
      <c r="AB1217" s="1" t="s">
        <v>507</v>
      </c>
      <c r="AC1217" s="5">
        <v>43267</v>
      </c>
      <c r="AF1217" s="1">
        <v>10011</v>
      </c>
      <c r="AI1217" s="1" t="s">
        <v>179</v>
      </c>
      <c r="AJ1217" s="1">
        <v>2018</v>
      </c>
      <c r="AK1217" s="1" t="s">
        <v>46</v>
      </c>
      <c r="AL1217" s="1">
        <v>21</v>
      </c>
    </row>
    <row r="1218" spans="1:38" x14ac:dyDescent="0.2">
      <c r="A1218" s="2" t="str">
        <f>HYPERLINK("https://www.compass.com/listing/211-west-14th-street-unit-2c-manhattan-ny-10011/801632348374115153/","211 W 14th St, Unit 2C")</f>
        <v>211 W 14th St, Unit 2C</v>
      </c>
      <c r="B1218" s="2" t="str">
        <f t="shared" si="168"/>
        <v>d'Orsay</v>
      </c>
      <c r="C1218" s="1" t="s">
        <v>62</v>
      </c>
      <c r="D1218" s="1" t="s">
        <v>41</v>
      </c>
      <c r="E1218" s="3">
        <v>1682863</v>
      </c>
      <c r="F1218" s="1">
        <v>2093.1125621890501</v>
      </c>
      <c r="G1218" s="1">
        <v>3</v>
      </c>
      <c r="H1218" s="1">
        <v>1</v>
      </c>
      <c r="I1218" s="1">
        <v>1</v>
      </c>
      <c r="J1218" s="1">
        <v>1</v>
      </c>
      <c r="M1218" s="1">
        <v>804</v>
      </c>
      <c r="N1218" s="1">
        <v>1558</v>
      </c>
      <c r="O1218" s="1">
        <v>2164</v>
      </c>
      <c r="P1218" s="1">
        <v>606</v>
      </c>
      <c r="Q1218" s="1" t="s">
        <v>42</v>
      </c>
      <c r="S1218" s="1" t="s">
        <v>42</v>
      </c>
      <c r="T1218" s="1" t="s">
        <v>273</v>
      </c>
      <c r="V1218" s="5">
        <v>43173</v>
      </c>
      <c r="W1218" s="5">
        <v>42717</v>
      </c>
      <c r="X1218" s="1">
        <v>1695000</v>
      </c>
      <c r="Y1218" s="1">
        <v>1695000</v>
      </c>
      <c r="Z1218" s="5">
        <v>42718</v>
      </c>
      <c r="AA1218" s="1">
        <v>1682862.5</v>
      </c>
      <c r="AB1218" s="1" t="s">
        <v>507</v>
      </c>
      <c r="AC1218" s="5">
        <v>43266</v>
      </c>
      <c r="AF1218" s="1">
        <v>10011</v>
      </c>
      <c r="AI1218" s="1" t="s">
        <v>48</v>
      </c>
      <c r="AJ1218" s="1">
        <v>2018</v>
      </c>
      <c r="AK1218" s="1" t="s">
        <v>46</v>
      </c>
      <c r="AL1218" s="1">
        <v>21</v>
      </c>
    </row>
    <row r="1219" spans="1:38" x14ac:dyDescent="0.2">
      <c r="A1219" s="2" t="str">
        <f>HYPERLINK("https://www.compass.com/listing/100-avenue-a-unit-6d-manhattan-ny-10009/181086597733710321/","100 Avenue A, Unit 6D")</f>
        <v>100 Avenue A, Unit 6D</v>
      </c>
      <c r="B1219" s="2" t="str">
        <f>HYPERLINK("https://www.compass.com/building/100-avenue-a-manhattan-ny-10009/389273110856657541/","100 Avenue A")</f>
        <v>100 Avenue A</v>
      </c>
      <c r="C1219" s="1" t="s">
        <v>71</v>
      </c>
      <c r="D1219" s="1" t="s">
        <v>41</v>
      </c>
      <c r="E1219" s="3">
        <v>1440000</v>
      </c>
      <c r="F1219" s="1">
        <v>1396.70223084384</v>
      </c>
      <c r="G1219" s="1">
        <v>4</v>
      </c>
      <c r="H1219" s="1">
        <v>2</v>
      </c>
      <c r="I1219" s="1">
        <v>2</v>
      </c>
      <c r="J1219" s="1">
        <v>2</v>
      </c>
      <c r="K1219" s="1">
        <v>2</v>
      </c>
      <c r="M1219" s="4">
        <v>1031</v>
      </c>
      <c r="N1219" s="1">
        <v>1388</v>
      </c>
      <c r="O1219" s="1">
        <v>3002</v>
      </c>
      <c r="P1219" s="1">
        <v>1614</v>
      </c>
      <c r="Q1219" s="1" t="s">
        <v>42</v>
      </c>
      <c r="S1219" s="1" t="s">
        <v>42</v>
      </c>
      <c r="T1219" s="1" t="s">
        <v>273</v>
      </c>
      <c r="U1219" s="1">
        <v>39</v>
      </c>
      <c r="V1219" s="5">
        <v>43694</v>
      </c>
      <c r="W1219" s="5">
        <v>43501</v>
      </c>
      <c r="X1219" s="1">
        <v>1450000</v>
      </c>
      <c r="Y1219" s="1">
        <v>1450000</v>
      </c>
      <c r="Z1219" s="5">
        <v>43540</v>
      </c>
      <c r="AA1219" s="1">
        <v>1440000</v>
      </c>
      <c r="AB1219" s="1" t="s">
        <v>508</v>
      </c>
      <c r="AC1219" s="5">
        <v>43616</v>
      </c>
      <c r="AF1219" s="1">
        <v>10009</v>
      </c>
      <c r="AI1219" s="1" t="s">
        <v>509</v>
      </c>
      <c r="AJ1219" s="1">
        <v>2016</v>
      </c>
      <c r="AK1219" s="1" t="s">
        <v>55</v>
      </c>
    </row>
    <row r="1220" spans="1:38" x14ac:dyDescent="0.2">
      <c r="A1220" s="2" t="str">
        <f>HYPERLINK("https://www.compass.com/listing/211-west-14th-street-unit-3a-manhattan-ny-10011/29514443650011345/","211 W 14th St, Unit 3A")</f>
        <v>211 W 14th St, Unit 3A</v>
      </c>
      <c r="B1220" s="2" t="str">
        <f>HYPERLINK("https://www.compass.com/building/dorsay-manhattan-ny/292801633543285477/","d'Orsay")</f>
        <v>d'Orsay</v>
      </c>
      <c r="C1220" s="1" t="s">
        <v>62</v>
      </c>
      <c r="D1220" s="1" t="s">
        <v>41</v>
      </c>
      <c r="E1220" s="3">
        <v>2013793</v>
      </c>
      <c r="F1220" s="1">
        <v>2151.4882478632398</v>
      </c>
      <c r="G1220" s="1">
        <v>3</v>
      </c>
      <c r="H1220" s="1">
        <v>1</v>
      </c>
      <c r="I1220" s="1">
        <v>1</v>
      </c>
      <c r="J1220" s="1">
        <v>1</v>
      </c>
      <c r="K1220" s="1">
        <v>1</v>
      </c>
      <c r="M1220" s="1">
        <v>936</v>
      </c>
      <c r="N1220" s="1">
        <v>1848</v>
      </c>
      <c r="O1220" s="1">
        <v>2688</v>
      </c>
      <c r="P1220" s="1">
        <v>840</v>
      </c>
      <c r="Q1220" s="1" t="s">
        <v>42</v>
      </c>
      <c r="S1220" s="1" t="s">
        <v>42</v>
      </c>
      <c r="T1220" s="1" t="s">
        <v>273</v>
      </c>
      <c r="U1220" s="1">
        <v>25</v>
      </c>
      <c r="V1220" s="5">
        <v>43700</v>
      </c>
      <c r="W1220" s="5">
        <v>42679</v>
      </c>
      <c r="X1220" s="1">
        <v>1975000</v>
      </c>
      <c r="Y1220" s="1">
        <v>1975000</v>
      </c>
      <c r="Z1220" s="5">
        <v>42704</v>
      </c>
      <c r="AA1220" s="1">
        <v>2013793.75</v>
      </c>
      <c r="AB1220" s="1" t="s">
        <v>510</v>
      </c>
      <c r="AC1220" s="5">
        <v>43279</v>
      </c>
      <c r="AF1220" s="1">
        <v>10011</v>
      </c>
      <c r="AI1220" s="1" t="s">
        <v>211</v>
      </c>
      <c r="AJ1220" s="1">
        <v>2018</v>
      </c>
      <c r="AK1220" s="1" t="s">
        <v>46</v>
      </c>
      <c r="AL1220" s="1">
        <v>21</v>
      </c>
    </row>
    <row r="1221" spans="1:38" x14ac:dyDescent="0.2">
      <c r="A1221" s="2" t="str">
        <f>HYPERLINK("https://www.compass.com/listing/100-barrow-street-unit-10b-manhattan-ny-10014/29367152108760769/","100 Barrow St, Unit 10B")</f>
        <v>100 Barrow St, Unit 10B</v>
      </c>
      <c r="B1221" s="2" t="str">
        <f t="shared" ref="B1221:B1222" si="169">HYPERLINK("https://www.compass.com/building/100-barrow-manhattan-ny/292834978184618837/","100 Barrow")</f>
        <v>100 Barrow</v>
      </c>
      <c r="C1221" s="1" t="s">
        <v>67</v>
      </c>
      <c r="D1221" s="1" t="s">
        <v>41</v>
      </c>
      <c r="E1221" s="3">
        <v>6539990</v>
      </c>
      <c r="F1221" s="1">
        <v>2812.8989247311802</v>
      </c>
      <c r="G1221" s="1">
        <v>4</v>
      </c>
      <c r="H1221" s="1">
        <v>3</v>
      </c>
      <c r="I1221" s="1">
        <v>4</v>
      </c>
      <c r="J1221" s="1">
        <v>3.5</v>
      </c>
      <c r="M1221" s="4">
        <v>2325</v>
      </c>
      <c r="N1221" s="1">
        <v>6535</v>
      </c>
      <c r="O1221" s="1">
        <v>6535</v>
      </c>
      <c r="Q1221" s="1" t="s">
        <v>272</v>
      </c>
      <c r="S1221" s="1" t="s">
        <v>272</v>
      </c>
      <c r="T1221" s="1" t="s">
        <v>273</v>
      </c>
      <c r="V1221" s="5">
        <v>43623</v>
      </c>
      <c r="W1221" s="5">
        <v>42511</v>
      </c>
      <c r="X1221" s="1">
        <v>6539990</v>
      </c>
      <c r="Y1221" s="1">
        <v>6539990</v>
      </c>
      <c r="Z1221" s="5">
        <v>42511</v>
      </c>
      <c r="AA1221" s="1">
        <v>6539990</v>
      </c>
      <c r="AB1221" s="1" t="s">
        <v>511</v>
      </c>
      <c r="AC1221" s="5">
        <v>43026</v>
      </c>
      <c r="AF1221" s="1">
        <v>10014</v>
      </c>
      <c r="AJ1221" s="1">
        <v>2015</v>
      </c>
      <c r="AK1221" s="1" t="s">
        <v>46</v>
      </c>
      <c r="AL1221" s="1">
        <v>33</v>
      </c>
    </row>
    <row r="1222" spans="1:38" x14ac:dyDescent="0.2">
      <c r="A1222" s="2" t="str">
        <f>HYPERLINK("https://www.compass.com/listing/100-barrow-street-unit-9b-manhattan-ny-10014/29367161344618513/","100 Barrow St, Unit 9B")</f>
        <v>100 Barrow St, Unit 9B</v>
      </c>
      <c r="B1222" s="2" t="str">
        <f t="shared" si="169"/>
        <v>100 Barrow</v>
      </c>
      <c r="C1222" s="1" t="s">
        <v>67</v>
      </c>
      <c r="D1222" s="1" t="s">
        <v>41</v>
      </c>
      <c r="E1222" s="3">
        <v>6499990</v>
      </c>
      <c r="F1222" s="1">
        <v>2775.4013663535402</v>
      </c>
      <c r="G1222" s="1">
        <v>4</v>
      </c>
      <c r="H1222" s="1">
        <v>3</v>
      </c>
      <c r="I1222" s="1">
        <v>4</v>
      </c>
      <c r="J1222" s="1">
        <v>3.5</v>
      </c>
      <c r="M1222" s="4">
        <v>2342</v>
      </c>
      <c r="N1222" s="1">
        <v>6520</v>
      </c>
      <c r="O1222" s="1">
        <v>6520</v>
      </c>
      <c r="Q1222" s="1" t="s">
        <v>272</v>
      </c>
      <c r="S1222" s="1" t="s">
        <v>272</v>
      </c>
      <c r="T1222" s="1" t="s">
        <v>273</v>
      </c>
      <c r="U1222" s="1">
        <v>70</v>
      </c>
      <c r="V1222" s="5">
        <v>43673</v>
      </c>
      <c r="W1222" s="5">
        <v>42531</v>
      </c>
      <c r="X1222" s="1">
        <v>6499990</v>
      </c>
      <c r="Y1222" s="1">
        <v>6499990</v>
      </c>
      <c r="Z1222" s="5">
        <v>42601</v>
      </c>
      <c r="AA1222" s="1">
        <v>6499990</v>
      </c>
      <c r="AB1222" s="1" t="s">
        <v>512</v>
      </c>
      <c r="AC1222" s="5">
        <v>43033</v>
      </c>
      <c r="AF1222" s="1">
        <v>10014</v>
      </c>
      <c r="AJ1222" s="1">
        <v>2015</v>
      </c>
      <c r="AK1222" s="1" t="s">
        <v>46</v>
      </c>
      <c r="AL1222" s="1">
        <v>33</v>
      </c>
    </row>
    <row r="1223" spans="1:38" x14ac:dyDescent="0.2">
      <c r="A1223" s="2" t="str">
        <f>HYPERLINK("https://www.compass.com/listing/100-avenue-a-unit-2a-manhattan-ny-10009/29361257064813969/","100 Avenue A, Unit 2A")</f>
        <v>100 Avenue A, Unit 2A</v>
      </c>
      <c r="B1223" s="2" t="str">
        <f t="shared" ref="B1223:B1225" si="170">HYPERLINK("https://www.compass.com/building/100-avenue-a-manhattan-ny-10009/389273110856657541/","100 Avenue A")</f>
        <v>100 Avenue A</v>
      </c>
      <c r="C1223" s="1" t="s">
        <v>71</v>
      </c>
      <c r="D1223" s="1" t="s">
        <v>41</v>
      </c>
      <c r="E1223" s="3">
        <v>1680113</v>
      </c>
      <c r="F1223" s="1">
        <v>1695.3713420787001</v>
      </c>
      <c r="G1223" s="1">
        <v>4</v>
      </c>
      <c r="H1223" s="1">
        <v>2</v>
      </c>
      <c r="I1223" s="1">
        <v>2</v>
      </c>
      <c r="J1223" s="1">
        <v>2</v>
      </c>
      <c r="K1223" s="1">
        <v>2</v>
      </c>
      <c r="M1223" s="1">
        <v>991</v>
      </c>
      <c r="N1223" s="1">
        <v>1279.3599999999999</v>
      </c>
      <c r="O1223" s="1">
        <v>2060.1999999999998</v>
      </c>
      <c r="P1223" s="1">
        <v>780.83333333333303</v>
      </c>
      <c r="Q1223" s="1" t="s">
        <v>42</v>
      </c>
      <c r="S1223" s="1" t="s">
        <v>42</v>
      </c>
      <c r="T1223" s="1" t="s">
        <v>273</v>
      </c>
      <c r="U1223" s="1">
        <v>232</v>
      </c>
      <c r="V1223" s="5">
        <v>43672</v>
      </c>
      <c r="W1223" s="5">
        <v>42432</v>
      </c>
      <c r="X1223" s="1">
        <v>1925000</v>
      </c>
      <c r="Y1223" s="1">
        <v>1750000</v>
      </c>
      <c r="Z1223" s="5">
        <v>42664</v>
      </c>
      <c r="AA1223" s="1">
        <v>1680113</v>
      </c>
      <c r="AB1223" s="1" t="s">
        <v>513</v>
      </c>
      <c r="AC1223" s="5">
        <v>42713</v>
      </c>
      <c r="AF1223" s="1">
        <v>10009</v>
      </c>
      <c r="AI1223" s="1" t="s">
        <v>514</v>
      </c>
      <c r="AJ1223" s="1">
        <v>2016</v>
      </c>
      <c r="AK1223" s="1" t="s">
        <v>108</v>
      </c>
    </row>
    <row r="1224" spans="1:38" x14ac:dyDescent="0.2">
      <c r="A1224" s="2" t="str">
        <f>HYPERLINK("https://www.compass.com/listing/100-avenue-a-unit-2d-manhattan-ny-10009/29361258071446945/","100 Avenue A, Unit 2D")</f>
        <v>100 Avenue A, Unit 2D</v>
      </c>
      <c r="B1224" s="2" t="str">
        <f t="shared" si="170"/>
        <v>100 Avenue A</v>
      </c>
      <c r="C1224" s="1" t="s">
        <v>71</v>
      </c>
      <c r="D1224" s="1" t="s">
        <v>41</v>
      </c>
      <c r="E1224" s="3">
        <v>1863398</v>
      </c>
      <c r="F1224" s="1">
        <v>1816.1773879142299</v>
      </c>
      <c r="G1224" s="1">
        <v>4</v>
      </c>
      <c r="H1224" s="1">
        <v>2</v>
      </c>
      <c r="I1224" s="1">
        <v>2</v>
      </c>
      <c r="J1224" s="1">
        <v>2</v>
      </c>
      <c r="K1224" s="1">
        <v>2</v>
      </c>
      <c r="M1224" s="4">
        <v>1026</v>
      </c>
      <c r="N1224" s="1">
        <v>1726.36</v>
      </c>
      <c r="O1224" s="1">
        <v>2780.0299999999902</v>
      </c>
      <c r="P1224" s="1">
        <v>1053.6666666666599</v>
      </c>
      <c r="Q1224" s="1" t="s">
        <v>42</v>
      </c>
      <c r="S1224" s="1" t="s">
        <v>42</v>
      </c>
      <c r="T1224" s="1" t="s">
        <v>273</v>
      </c>
      <c r="U1224" s="1">
        <v>206</v>
      </c>
      <c r="V1224" s="5">
        <v>43676</v>
      </c>
      <c r="W1224" s="5">
        <v>42623</v>
      </c>
      <c r="X1224" s="1">
        <v>2250000</v>
      </c>
      <c r="Y1224" s="1">
        <v>1990000</v>
      </c>
      <c r="Z1224" s="5">
        <v>42829</v>
      </c>
      <c r="AA1224" s="1">
        <v>1863398</v>
      </c>
      <c r="AB1224" s="1" t="s">
        <v>515</v>
      </c>
      <c r="AC1224" s="5">
        <v>42864</v>
      </c>
      <c r="AF1224" s="1">
        <v>10009</v>
      </c>
      <c r="AI1224" s="1" t="s">
        <v>148</v>
      </c>
      <c r="AJ1224" s="1">
        <v>2016</v>
      </c>
      <c r="AK1224" s="1" t="s">
        <v>108</v>
      </c>
    </row>
    <row r="1225" spans="1:38" x14ac:dyDescent="0.2">
      <c r="A1225" s="2" t="str">
        <f>HYPERLINK("https://www.compass.com/listing/100-avenue-a-unit-4a-manhattan-ny-10009/29361260369920321/","100 Avenue A, Unit 4A")</f>
        <v>100 Avenue A, Unit 4A</v>
      </c>
      <c r="B1225" s="2" t="str">
        <f t="shared" si="170"/>
        <v>100 Avenue A</v>
      </c>
      <c r="C1225" s="1" t="s">
        <v>71</v>
      </c>
      <c r="D1225" s="1" t="s">
        <v>41</v>
      </c>
      <c r="E1225" s="3">
        <v>1800000</v>
      </c>
      <c r="F1225" s="1">
        <v>1816.34712411705</v>
      </c>
      <c r="G1225" s="1">
        <v>4</v>
      </c>
      <c r="H1225" s="1">
        <v>2</v>
      </c>
      <c r="I1225" s="1">
        <v>2</v>
      </c>
      <c r="J1225" s="1">
        <v>2</v>
      </c>
      <c r="K1225" s="1">
        <v>2</v>
      </c>
      <c r="M1225" s="1">
        <v>991</v>
      </c>
      <c r="N1225" s="1">
        <v>1309.92</v>
      </c>
      <c r="O1225" s="1">
        <v>2110.81</v>
      </c>
      <c r="P1225" s="1">
        <v>800.91666666666595</v>
      </c>
      <c r="Q1225" s="1" t="s">
        <v>42</v>
      </c>
      <c r="S1225" s="1" t="s">
        <v>42</v>
      </c>
      <c r="T1225" s="1" t="s">
        <v>273</v>
      </c>
      <c r="V1225" s="5">
        <v>43673</v>
      </c>
      <c r="W1225" s="5">
        <v>42644</v>
      </c>
      <c r="X1225" s="1">
        <v>2025000</v>
      </c>
      <c r="Y1225" s="1">
        <v>2025000</v>
      </c>
      <c r="Z1225" s="5">
        <v>42644</v>
      </c>
      <c r="AA1225" s="1">
        <v>1800000</v>
      </c>
      <c r="AB1225" s="1" t="s">
        <v>516</v>
      </c>
      <c r="AC1225" s="5">
        <v>42720</v>
      </c>
      <c r="AF1225" s="1">
        <v>10009</v>
      </c>
      <c r="AI1225" s="1" t="s">
        <v>514</v>
      </c>
      <c r="AJ1225" s="1">
        <v>2016</v>
      </c>
      <c r="AK1225" s="1" t="s">
        <v>108</v>
      </c>
    </row>
    <row r="1226" spans="1:38" x14ac:dyDescent="0.2">
      <c r="A1226" s="2" t="str">
        <f>HYPERLINK("https://www.compass.com/listing/211-west-14th-street-unit-3a-manhattan-ny-10011/803344185864397073/","211 W 14th St, Unit 3A")</f>
        <v>211 W 14th St, Unit 3A</v>
      </c>
      <c r="B1226" s="2" t="str">
        <f>HYPERLINK("https://www.compass.com/building/dorsay-manhattan-ny/292801633543285477/","d'Orsay")</f>
        <v>d'Orsay</v>
      </c>
      <c r="C1226" s="1" t="s">
        <v>62</v>
      </c>
      <c r="D1226" s="1" t="s">
        <v>41</v>
      </c>
      <c r="E1226" s="3">
        <v>2013794</v>
      </c>
      <c r="F1226" s="1">
        <v>2151.4890491452902</v>
      </c>
      <c r="G1226" s="1">
        <v>3</v>
      </c>
      <c r="H1226" s="1">
        <v>1</v>
      </c>
      <c r="I1226" s="1">
        <v>1</v>
      </c>
      <c r="J1226" s="1">
        <v>1</v>
      </c>
      <c r="M1226" s="1">
        <v>936</v>
      </c>
      <c r="N1226" s="1">
        <v>1847</v>
      </c>
      <c r="O1226" s="1">
        <v>2565</v>
      </c>
      <c r="P1226" s="1">
        <v>718</v>
      </c>
      <c r="Q1226" s="1" t="s">
        <v>42</v>
      </c>
      <c r="S1226" s="1" t="s">
        <v>42</v>
      </c>
      <c r="T1226" s="1" t="s">
        <v>273</v>
      </c>
      <c r="U1226" s="1">
        <v>237</v>
      </c>
      <c r="V1226" s="5">
        <v>43173</v>
      </c>
      <c r="W1226" s="5">
        <v>42466</v>
      </c>
      <c r="X1226" s="1">
        <v>1975000</v>
      </c>
      <c r="Y1226" s="1">
        <v>1975000</v>
      </c>
      <c r="Z1226" s="5">
        <v>42704</v>
      </c>
      <c r="AA1226" s="1">
        <v>2013793.75</v>
      </c>
      <c r="AB1226" s="1" t="s">
        <v>510</v>
      </c>
      <c r="AC1226" s="5">
        <v>43279</v>
      </c>
      <c r="AF1226" s="1">
        <v>10011</v>
      </c>
      <c r="AI1226" s="1" t="s">
        <v>48</v>
      </c>
      <c r="AJ1226" s="1">
        <v>2018</v>
      </c>
      <c r="AK1226" s="1" t="s">
        <v>46</v>
      </c>
      <c r="AL1226" s="1">
        <v>21</v>
      </c>
    </row>
    <row r="1227" spans="1:38" x14ac:dyDescent="0.2">
      <c r="A1227" s="2" t="str">
        <f>HYPERLINK("https://www.compass.com/listing/536-east-13th-street-unit-1-manhattan-ny-10009/29514452944554833/","536 E 13th St, Unit 1")</f>
        <v>536 E 13th St, Unit 1</v>
      </c>
      <c r="B1227" s="2" t="str">
        <f>HYPERLINK("https://www.compass.com/building/536-e-13th-st-manhattan-ny-10009/281900929068843109/","536 E 13th St")</f>
        <v>536 E 13th St</v>
      </c>
      <c r="C1227" s="1" t="s">
        <v>71</v>
      </c>
      <c r="D1227" s="1" t="s">
        <v>41</v>
      </c>
      <c r="E1227" s="3">
        <v>2112869</v>
      </c>
      <c r="F1227" s="1">
        <v>1595.8225075528701</v>
      </c>
      <c r="G1227" s="1">
        <v>5</v>
      </c>
      <c r="H1227" s="1">
        <v>2</v>
      </c>
      <c r="I1227" s="1">
        <v>2</v>
      </c>
      <c r="J1227" s="1">
        <v>2</v>
      </c>
      <c r="K1227" s="1">
        <v>2</v>
      </c>
      <c r="M1227" s="4">
        <v>1324</v>
      </c>
      <c r="N1227" s="1">
        <v>892</v>
      </c>
      <c r="O1227" s="1">
        <v>2713</v>
      </c>
      <c r="P1227" s="1">
        <v>1821</v>
      </c>
      <c r="Q1227" s="1" t="s">
        <v>42</v>
      </c>
      <c r="S1227" s="1" t="s">
        <v>42</v>
      </c>
      <c r="T1227" s="1" t="s">
        <v>273</v>
      </c>
      <c r="U1227" s="1">
        <v>98</v>
      </c>
      <c r="V1227" s="5">
        <v>44139</v>
      </c>
      <c r="W1227" s="5">
        <v>43214</v>
      </c>
      <c r="X1227" s="1">
        <v>2295000</v>
      </c>
      <c r="Y1227" s="1">
        <v>2195000</v>
      </c>
      <c r="Z1227" s="5">
        <v>43312</v>
      </c>
      <c r="AA1227" s="1">
        <v>2112869</v>
      </c>
      <c r="AB1227" s="1" t="s">
        <v>443</v>
      </c>
      <c r="AC1227" s="5">
        <v>43335</v>
      </c>
      <c r="AF1227" s="1">
        <v>10009</v>
      </c>
      <c r="AI1227" s="1" t="s">
        <v>441</v>
      </c>
      <c r="AL1227" s="1">
        <v>11</v>
      </c>
    </row>
    <row r="1228" spans="1:38" x14ac:dyDescent="0.2">
      <c r="A1228" s="2" t="str">
        <f>HYPERLINK("https://www.compass.com/listing/37-east-12th-street-unit-3-manhattan-ny-10003/29365304350018433/","37 E 12th St, Unit 3")</f>
        <v>37 E 12th St, Unit 3</v>
      </c>
      <c r="B1228" s="2" t="str">
        <f>HYPERLINK("https://www.compass.com/building/37-e-12th-st-manhattan-ny-10003/281893347050658069/","37 E 12th St")</f>
        <v>37 E 12th St</v>
      </c>
      <c r="C1228" s="1" t="s">
        <v>277</v>
      </c>
      <c r="D1228" s="1" t="s">
        <v>41</v>
      </c>
      <c r="E1228" s="3">
        <v>6750000</v>
      </c>
      <c r="F1228" s="1">
        <v>2229.1941875825601</v>
      </c>
      <c r="G1228" s="1">
        <v>4</v>
      </c>
      <c r="H1228" s="1">
        <v>2</v>
      </c>
      <c r="I1228" s="1">
        <v>3</v>
      </c>
      <c r="J1228" s="1">
        <v>2.5</v>
      </c>
      <c r="M1228" s="4">
        <v>3028</v>
      </c>
      <c r="N1228" s="1">
        <v>4960</v>
      </c>
      <c r="O1228" s="1">
        <v>7011</v>
      </c>
      <c r="P1228" s="1">
        <v>2051</v>
      </c>
      <c r="Q1228" s="1" t="s">
        <v>42</v>
      </c>
      <c r="S1228" s="1" t="s">
        <v>42</v>
      </c>
      <c r="T1228" s="1" t="s">
        <v>273</v>
      </c>
      <c r="U1228" s="1">
        <v>207</v>
      </c>
      <c r="V1228" s="5">
        <v>43665</v>
      </c>
      <c r="W1228" s="5">
        <v>42266</v>
      </c>
      <c r="X1228" s="1">
        <v>8650000</v>
      </c>
      <c r="Y1228" s="1">
        <v>6995000</v>
      </c>
      <c r="Z1228" s="5">
        <v>42490</v>
      </c>
      <c r="AA1228" s="1">
        <v>6750000</v>
      </c>
      <c r="AB1228" s="1" t="s">
        <v>517</v>
      </c>
      <c r="AC1228" s="5">
        <v>42656</v>
      </c>
      <c r="AF1228" s="1">
        <v>10003</v>
      </c>
      <c r="AJ1228" s="1">
        <v>1896</v>
      </c>
      <c r="AK1228" s="1" t="s">
        <v>49</v>
      </c>
      <c r="AL1228" s="1">
        <v>6</v>
      </c>
    </row>
    <row r="1229" spans="1:38" x14ac:dyDescent="0.2">
      <c r="A1229" s="2" t="str">
        <f>HYPERLINK("https://www.compass.com/listing/100-avenue-a-unit-phc-manhattan-ny-10009/648671096060259849/","100 Avenue A, Unit PHC")</f>
        <v>100 Avenue A, Unit PHC</v>
      </c>
      <c r="B1229" s="2" t="str">
        <f t="shared" ref="B1229:B1233" si="171">HYPERLINK("https://www.compass.com/building/100-avenue-a-manhattan-ny-10009/389273110856657541/","100 Avenue A")</f>
        <v>100 Avenue A</v>
      </c>
      <c r="C1229" s="1" t="s">
        <v>71</v>
      </c>
      <c r="D1229" s="1" t="s">
        <v>41</v>
      </c>
      <c r="E1229" s="3">
        <v>1225000</v>
      </c>
      <c r="F1229" s="1">
        <v>1938.2911392404999</v>
      </c>
      <c r="G1229" s="1">
        <v>3</v>
      </c>
      <c r="H1229" s="1">
        <v>1</v>
      </c>
      <c r="I1229" s="1">
        <v>1</v>
      </c>
      <c r="J1229" s="1">
        <v>1</v>
      </c>
      <c r="K1229" s="1">
        <v>1</v>
      </c>
      <c r="M1229" s="1">
        <v>632</v>
      </c>
      <c r="N1229" s="1">
        <v>940</v>
      </c>
      <c r="O1229" s="1">
        <v>1850</v>
      </c>
      <c r="P1229" s="1">
        <v>910</v>
      </c>
      <c r="Q1229" s="1" t="s">
        <v>42</v>
      </c>
      <c r="S1229" s="1" t="s">
        <v>42</v>
      </c>
      <c r="T1229" s="1" t="s">
        <v>273</v>
      </c>
      <c r="U1229" s="1">
        <v>46</v>
      </c>
      <c r="V1229" s="5">
        <v>44314</v>
      </c>
      <c r="W1229" s="5">
        <v>44145</v>
      </c>
      <c r="X1229" s="1">
        <v>1400000</v>
      </c>
      <c r="Y1229" s="1">
        <v>1400000</v>
      </c>
      <c r="Z1229" s="5">
        <v>44192</v>
      </c>
      <c r="AA1229" s="1">
        <v>1225000</v>
      </c>
      <c r="AB1229" s="1" t="s">
        <v>518</v>
      </c>
      <c r="AC1229" s="5">
        <v>44232</v>
      </c>
      <c r="AF1229" s="1">
        <v>10009</v>
      </c>
      <c r="AI1229" s="1" t="s">
        <v>519</v>
      </c>
      <c r="AJ1229" s="1">
        <v>2016</v>
      </c>
      <c r="AK1229" s="1" t="s">
        <v>55</v>
      </c>
    </row>
    <row r="1230" spans="1:38" x14ac:dyDescent="0.2">
      <c r="A1230" s="2" t="str">
        <f>HYPERLINK("https://www.compass.com/listing/100-avenue-a-unit-3d-manhattan-ny-10009/29361259707185105/","100 Avenue A, Unit 3D")</f>
        <v>100 Avenue A, Unit 3D</v>
      </c>
      <c r="B1230" s="2" t="str">
        <f t="shared" si="171"/>
        <v>100 Avenue A</v>
      </c>
      <c r="C1230" s="1" t="s">
        <v>71</v>
      </c>
      <c r="D1230" s="1" t="s">
        <v>41</v>
      </c>
      <c r="E1230" s="3">
        <v>1900000</v>
      </c>
      <c r="F1230" s="1">
        <v>1835.74879227053</v>
      </c>
      <c r="G1230" s="1">
        <v>4</v>
      </c>
      <c r="H1230" s="1">
        <v>2</v>
      </c>
      <c r="I1230" s="1">
        <v>2</v>
      </c>
      <c r="J1230" s="1">
        <v>2</v>
      </c>
      <c r="K1230" s="1">
        <v>2</v>
      </c>
      <c r="M1230" s="4">
        <v>1035</v>
      </c>
      <c r="N1230" s="1">
        <v>1385.45</v>
      </c>
      <c r="O1230" s="1">
        <v>2230.9299999999998</v>
      </c>
      <c r="P1230" s="1">
        <v>845.5</v>
      </c>
      <c r="Q1230" s="1" t="s">
        <v>42</v>
      </c>
      <c r="S1230" s="1" t="s">
        <v>42</v>
      </c>
      <c r="T1230" s="1" t="s">
        <v>273</v>
      </c>
      <c r="U1230" s="1">
        <v>39</v>
      </c>
      <c r="V1230" s="5">
        <v>43672</v>
      </c>
      <c r="W1230" s="5">
        <v>42500</v>
      </c>
      <c r="X1230" s="1">
        <v>1995000</v>
      </c>
      <c r="Y1230" s="1">
        <v>1995000</v>
      </c>
      <c r="Z1230" s="5">
        <v>42539</v>
      </c>
      <c r="AA1230" s="1">
        <v>1900000</v>
      </c>
      <c r="AB1230" s="1" t="s">
        <v>520</v>
      </c>
      <c r="AC1230" s="5">
        <v>42717</v>
      </c>
      <c r="AF1230" s="1">
        <v>10009</v>
      </c>
      <c r="AI1230" s="1" t="s">
        <v>509</v>
      </c>
      <c r="AJ1230" s="1">
        <v>2016</v>
      </c>
      <c r="AK1230" s="1" t="s">
        <v>108</v>
      </c>
    </row>
    <row r="1231" spans="1:38" x14ac:dyDescent="0.2">
      <c r="A1231" s="2" t="str">
        <f>HYPERLINK("https://www.compass.com/listing/100-avenue-a-unit-5a-manhattan-ny-10009/29361262207030753/","100 Avenue A, Unit 5A")</f>
        <v>100 Avenue A, Unit 5A</v>
      </c>
      <c r="B1231" s="2" t="str">
        <f t="shared" si="171"/>
        <v>100 Avenue A</v>
      </c>
      <c r="C1231" s="1" t="s">
        <v>71</v>
      </c>
      <c r="D1231" s="1" t="s">
        <v>41</v>
      </c>
      <c r="E1231" s="3">
        <v>1934675</v>
      </c>
      <c r="F1231" s="1">
        <v>1956.1931243680399</v>
      </c>
      <c r="G1231" s="1">
        <v>4</v>
      </c>
      <c r="H1231" s="1">
        <v>2</v>
      </c>
      <c r="I1231" s="1">
        <v>2</v>
      </c>
      <c r="J1231" s="1">
        <v>2</v>
      </c>
      <c r="K1231" s="1">
        <v>2</v>
      </c>
      <c r="M1231" s="1">
        <v>989</v>
      </c>
      <c r="N1231" s="1">
        <v>1308.7</v>
      </c>
      <c r="O1231" s="1">
        <v>2107.44</v>
      </c>
      <c r="P1231" s="1">
        <v>798.75</v>
      </c>
      <c r="Q1231" s="1" t="s">
        <v>42</v>
      </c>
      <c r="S1231" s="1" t="s">
        <v>42</v>
      </c>
      <c r="T1231" s="1" t="s">
        <v>273</v>
      </c>
      <c r="U1231" s="1">
        <v>47</v>
      </c>
      <c r="V1231" s="5">
        <v>43672</v>
      </c>
      <c r="W1231" s="5">
        <v>42453</v>
      </c>
      <c r="X1231" s="1">
        <v>2075000</v>
      </c>
      <c r="Y1231" s="1">
        <v>2075000</v>
      </c>
      <c r="Z1231" s="5">
        <v>42591</v>
      </c>
      <c r="AA1231" s="1">
        <v>1934675</v>
      </c>
      <c r="AB1231" s="1" t="s">
        <v>521</v>
      </c>
      <c r="AC1231" s="5">
        <v>42710</v>
      </c>
      <c r="AF1231" s="1">
        <v>10009</v>
      </c>
      <c r="AI1231" s="1" t="s">
        <v>514</v>
      </c>
      <c r="AJ1231" s="1">
        <v>2016</v>
      </c>
      <c r="AK1231" s="1" t="s">
        <v>108</v>
      </c>
    </row>
    <row r="1232" spans="1:38" x14ac:dyDescent="0.2">
      <c r="A1232" s="2" t="str">
        <f>HYPERLINK("https://www.compass.com/listing/100-avenue-a-unit-5d-manhattan-ny-10009/29361263280772593/","100 Avenue A, Unit 5D")</f>
        <v>100 Avenue A, Unit 5D</v>
      </c>
      <c r="B1232" s="2" t="str">
        <f t="shared" si="171"/>
        <v>100 Avenue A</v>
      </c>
      <c r="C1232" s="1" t="s">
        <v>71</v>
      </c>
      <c r="D1232" s="1" t="s">
        <v>41</v>
      </c>
      <c r="E1232" s="3">
        <v>1957475</v>
      </c>
      <c r="F1232" s="1">
        <v>1891.2801932367099</v>
      </c>
      <c r="G1232" s="1">
        <v>4</v>
      </c>
      <c r="H1232" s="1">
        <v>2</v>
      </c>
      <c r="I1232" s="1">
        <v>2</v>
      </c>
      <c r="J1232" s="1">
        <v>2</v>
      </c>
      <c r="K1232" s="1">
        <v>2</v>
      </c>
      <c r="M1232" s="4">
        <v>1035</v>
      </c>
      <c r="N1232" s="1">
        <v>1390.68</v>
      </c>
      <c r="O1232" s="1">
        <v>2240.9499999999998</v>
      </c>
      <c r="P1232" s="1">
        <v>850.25</v>
      </c>
      <c r="Q1232" s="1" t="s">
        <v>42</v>
      </c>
      <c r="S1232" s="1" t="s">
        <v>42</v>
      </c>
      <c r="T1232" s="1" t="s">
        <v>273</v>
      </c>
      <c r="U1232" s="1">
        <v>288</v>
      </c>
      <c r="V1232" s="5">
        <v>43673</v>
      </c>
      <c r="W1232" s="5">
        <v>42432</v>
      </c>
      <c r="X1232" s="1">
        <v>2200000</v>
      </c>
      <c r="Y1232" s="1">
        <v>2200000</v>
      </c>
      <c r="AA1232" s="1">
        <v>1957475</v>
      </c>
      <c r="AB1232" s="1" t="s">
        <v>522</v>
      </c>
      <c r="AC1232" s="5">
        <v>42720</v>
      </c>
      <c r="AF1232" s="1">
        <v>10009</v>
      </c>
      <c r="AI1232" s="1" t="s">
        <v>509</v>
      </c>
      <c r="AJ1232" s="1">
        <v>2016</v>
      </c>
      <c r="AK1232" s="1" t="s">
        <v>108</v>
      </c>
    </row>
    <row r="1233" spans="1:38" x14ac:dyDescent="0.2">
      <c r="A1233" s="2" t="str">
        <f>HYPERLINK("https://www.compass.com/listing/100-avenue-a-unit-6d-manhattan-ny-10009/29361264924899361/","100 Avenue A, Unit 6D")</f>
        <v>100 Avenue A, Unit 6D</v>
      </c>
      <c r="B1233" s="2" t="str">
        <f t="shared" si="171"/>
        <v>100 Avenue A</v>
      </c>
      <c r="C1233" s="1" t="s">
        <v>71</v>
      </c>
      <c r="D1233" s="1" t="s">
        <v>41</v>
      </c>
      <c r="E1233" s="3">
        <v>1934675</v>
      </c>
      <c r="F1233" s="1">
        <v>1876.5033947623599</v>
      </c>
      <c r="G1233" s="1">
        <v>4</v>
      </c>
      <c r="H1233" s="1">
        <v>2</v>
      </c>
      <c r="I1233" s="1">
        <v>2</v>
      </c>
      <c r="J1233" s="1">
        <v>2</v>
      </c>
      <c r="K1233" s="1">
        <v>2</v>
      </c>
      <c r="M1233" s="4">
        <v>1031</v>
      </c>
      <c r="N1233" s="1">
        <v>1380.16</v>
      </c>
      <c r="O1233" s="1">
        <v>2222.5100000000002</v>
      </c>
      <c r="P1233" s="1">
        <v>842.33333333333303</v>
      </c>
      <c r="Q1233" s="1" t="s">
        <v>42</v>
      </c>
      <c r="S1233" s="1" t="s">
        <v>42</v>
      </c>
      <c r="T1233" s="1" t="s">
        <v>273</v>
      </c>
      <c r="U1233" s="1">
        <v>52</v>
      </c>
      <c r="V1233" s="5">
        <v>43675</v>
      </c>
      <c r="W1233" s="5">
        <v>42777</v>
      </c>
      <c r="X1233" s="1">
        <v>1990000</v>
      </c>
      <c r="Y1233" s="1">
        <v>1990000</v>
      </c>
      <c r="Z1233" s="5">
        <v>42829</v>
      </c>
      <c r="AA1233" s="1">
        <v>1934675</v>
      </c>
      <c r="AB1233" s="1" t="s">
        <v>523</v>
      </c>
      <c r="AC1233" s="5">
        <v>42839</v>
      </c>
      <c r="AF1233" s="1">
        <v>10009</v>
      </c>
      <c r="AI1233" s="1" t="s">
        <v>509</v>
      </c>
      <c r="AJ1233" s="1">
        <v>2016</v>
      </c>
      <c r="AK1233" s="1" t="s">
        <v>108</v>
      </c>
    </row>
    <row r="1234" spans="1:38" x14ac:dyDescent="0.2">
      <c r="A1234" s="2" t="str">
        <f>HYPERLINK("https://www.compass.com/listing/37-east-12th-street-unit-6-manhattan-ny-10003/29365305767693201/","37 E 12th St, Unit 6")</f>
        <v>37 E 12th St, Unit 6</v>
      </c>
      <c r="B1234" s="2" t="str">
        <f>HYPERLINK("https://www.compass.com/building/37-e-12th-st-manhattan-ny-10003/281893347050658069/","37 E 12th St")</f>
        <v>37 E 12th St</v>
      </c>
      <c r="C1234" s="1" t="s">
        <v>277</v>
      </c>
      <c r="D1234" s="1" t="s">
        <v>41</v>
      </c>
      <c r="E1234" s="3">
        <v>7232575</v>
      </c>
      <c r="F1234" s="1">
        <v>2393.3074123097199</v>
      </c>
      <c r="G1234" s="1">
        <v>5</v>
      </c>
      <c r="H1234" s="1">
        <v>2</v>
      </c>
      <c r="I1234" s="1">
        <v>3</v>
      </c>
      <c r="J1234" s="1">
        <v>2.5</v>
      </c>
      <c r="M1234" s="4">
        <v>3022</v>
      </c>
      <c r="N1234" s="1">
        <v>6424</v>
      </c>
      <c r="O1234" s="1">
        <v>9611</v>
      </c>
      <c r="P1234" s="1">
        <v>3187</v>
      </c>
      <c r="Q1234" s="1" t="s">
        <v>42</v>
      </c>
      <c r="S1234" s="1" t="s">
        <v>42</v>
      </c>
      <c r="T1234" s="1" t="s">
        <v>273</v>
      </c>
      <c r="U1234" s="1">
        <v>27</v>
      </c>
      <c r="V1234" s="5">
        <v>43665</v>
      </c>
      <c r="W1234" s="5">
        <v>42848</v>
      </c>
      <c r="X1234" s="1">
        <v>7300000</v>
      </c>
      <c r="Y1234" s="1">
        <v>7300000</v>
      </c>
      <c r="Z1234" s="5">
        <v>42875</v>
      </c>
      <c r="AA1234" s="1">
        <v>7232575</v>
      </c>
      <c r="AB1234" s="1" t="s">
        <v>524</v>
      </c>
      <c r="AC1234" s="5">
        <v>42930</v>
      </c>
      <c r="AF1234" s="1">
        <v>10003</v>
      </c>
      <c r="AJ1234" s="1">
        <v>1896</v>
      </c>
      <c r="AK1234" s="1" t="s">
        <v>49</v>
      </c>
      <c r="AL1234" s="1">
        <v>6</v>
      </c>
    </row>
    <row r="1235" spans="1:38" x14ac:dyDescent="0.2">
      <c r="A1235" s="2" t="str">
        <f>HYPERLINK("https://www.compass.com/listing/100-barrow-street-unit-7a-manhattan-ny-10014/4852287219769021633/","100 Barrow St, Unit 7A")</f>
        <v>100 Barrow St, Unit 7A</v>
      </c>
      <c r="B1235" s="2" t="str">
        <f t="shared" ref="B1235:B1237" si="172">HYPERLINK("https://www.compass.com/building/100-barrow-manhattan-ny/292834978184618837/","100 Barrow")</f>
        <v>100 Barrow</v>
      </c>
      <c r="C1235" s="1" t="s">
        <v>67</v>
      </c>
      <c r="D1235" s="1" t="s">
        <v>41</v>
      </c>
      <c r="E1235" s="3">
        <v>10519675</v>
      </c>
      <c r="F1235" s="1">
        <v>2758.8971938106401</v>
      </c>
      <c r="G1235" s="1">
        <v>9</v>
      </c>
      <c r="H1235" s="1">
        <v>4</v>
      </c>
      <c r="I1235" s="1">
        <v>5</v>
      </c>
      <c r="J1235" s="1">
        <v>4.5</v>
      </c>
      <c r="M1235" s="4">
        <v>3813</v>
      </c>
      <c r="N1235" s="1">
        <v>10926</v>
      </c>
      <c r="O1235" s="1">
        <v>10926</v>
      </c>
      <c r="Q1235" s="1" t="s">
        <v>272</v>
      </c>
      <c r="S1235" s="1" t="s">
        <v>272</v>
      </c>
      <c r="T1235" s="1" t="s">
        <v>273</v>
      </c>
      <c r="U1235" s="1">
        <v>155</v>
      </c>
      <c r="V1235" s="5">
        <v>43623</v>
      </c>
      <c r="W1235" s="5">
        <v>42529</v>
      </c>
      <c r="X1235" s="1">
        <v>11809990</v>
      </c>
      <c r="Y1235" s="1">
        <v>11809990</v>
      </c>
      <c r="Z1235" s="5">
        <v>42684</v>
      </c>
      <c r="AA1235" s="1">
        <v>10519675</v>
      </c>
      <c r="AB1235" s="1" t="s">
        <v>525</v>
      </c>
      <c r="AC1235" s="5">
        <v>43077</v>
      </c>
      <c r="AF1235" s="1">
        <v>10014</v>
      </c>
      <c r="AI1235" s="1" t="s">
        <v>526</v>
      </c>
      <c r="AJ1235" s="1">
        <v>2015</v>
      </c>
      <c r="AK1235" s="1" t="s">
        <v>46</v>
      </c>
      <c r="AL1235" s="1">
        <v>33</v>
      </c>
    </row>
    <row r="1236" spans="1:38" x14ac:dyDescent="0.2">
      <c r="A1236" s="2" t="str">
        <f>HYPERLINK("https://www.compass.com/listing/100-barrow-street-unit-7b-manhattan-ny-10014/34698002719429393/","100 Barrow St, Unit 7B")</f>
        <v>100 Barrow St, Unit 7B</v>
      </c>
      <c r="B1236" s="2" t="str">
        <f t="shared" si="172"/>
        <v>100 Barrow</v>
      </c>
      <c r="C1236" s="1" t="s">
        <v>67</v>
      </c>
      <c r="D1236" s="1" t="s">
        <v>41</v>
      </c>
      <c r="E1236" s="3">
        <v>10750000</v>
      </c>
      <c r="F1236" s="1">
        <v>2417.3600179896498</v>
      </c>
      <c r="G1236" s="1">
        <v>8</v>
      </c>
      <c r="H1236" s="1">
        <v>4</v>
      </c>
      <c r="I1236" s="1">
        <v>5</v>
      </c>
      <c r="J1236" s="1">
        <v>4.5</v>
      </c>
      <c r="K1236" s="1">
        <v>4</v>
      </c>
      <c r="L1236" s="1">
        <v>1</v>
      </c>
      <c r="M1236" s="4">
        <v>4447</v>
      </c>
      <c r="N1236" s="1">
        <v>12059</v>
      </c>
      <c r="O1236" s="1">
        <v>12059</v>
      </c>
      <c r="Q1236" s="1" t="s">
        <v>272</v>
      </c>
      <c r="S1236" s="1" t="s">
        <v>272</v>
      </c>
      <c r="T1236" s="1" t="s">
        <v>273</v>
      </c>
      <c r="V1236" s="5">
        <v>43866</v>
      </c>
      <c r="W1236" s="5">
        <v>43315</v>
      </c>
      <c r="X1236" s="1">
        <v>11756790</v>
      </c>
      <c r="Y1236" s="1">
        <v>11756790</v>
      </c>
      <c r="Z1236" s="5">
        <v>43315</v>
      </c>
      <c r="AA1236" s="1">
        <v>10750000</v>
      </c>
      <c r="AB1236" s="1" t="s">
        <v>527</v>
      </c>
      <c r="AC1236" s="5">
        <v>43371</v>
      </c>
      <c r="AF1236" s="1">
        <v>10014</v>
      </c>
      <c r="AI1236" s="1" t="s">
        <v>528</v>
      </c>
      <c r="AJ1236" s="1">
        <v>2015</v>
      </c>
      <c r="AK1236" s="1" t="s">
        <v>46</v>
      </c>
      <c r="AL1236" s="1">
        <v>33</v>
      </c>
    </row>
    <row r="1237" spans="1:38" x14ac:dyDescent="0.2">
      <c r="A1237" s="2" t="str">
        <f>HYPERLINK("https://www.compass.com/listing/100-barrow-street-unit-7b-manhattan-ny-10014/803353808780260017/","100 Barrow St, Unit 7B")</f>
        <v>100 Barrow St, Unit 7B</v>
      </c>
      <c r="B1237" s="2" t="str">
        <f t="shared" si="172"/>
        <v>100 Barrow</v>
      </c>
      <c r="C1237" s="1" t="s">
        <v>67</v>
      </c>
      <c r="D1237" s="1" t="s">
        <v>41</v>
      </c>
      <c r="E1237" s="3">
        <v>10750000</v>
      </c>
      <c r="F1237" s="1">
        <v>2417.3600179896498</v>
      </c>
      <c r="G1237" s="1">
        <v>8</v>
      </c>
      <c r="H1237" s="1">
        <v>4</v>
      </c>
      <c r="I1237" s="1">
        <v>5</v>
      </c>
      <c r="J1237" s="1">
        <v>4.5</v>
      </c>
      <c r="M1237" s="4">
        <v>4447</v>
      </c>
      <c r="N1237" s="1">
        <v>12059</v>
      </c>
      <c r="O1237" s="1">
        <v>12059</v>
      </c>
      <c r="Q1237" s="1" t="s">
        <v>272</v>
      </c>
      <c r="S1237" s="1" t="s">
        <v>272</v>
      </c>
      <c r="T1237" s="1" t="s">
        <v>273</v>
      </c>
      <c r="U1237" s="1">
        <v>611</v>
      </c>
      <c r="V1237" s="5">
        <v>43300</v>
      </c>
      <c r="W1237" s="5">
        <v>42675</v>
      </c>
      <c r="X1237" s="1">
        <v>13359990</v>
      </c>
      <c r="Y1237" s="1">
        <v>11756790</v>
      </c>
      <c r="Z1237" s="5">
        <v>43287</v>
      </c>
      <c r="AA1237" s="1">
        <v>10750000</v>
      </c>
      <c r="AB1237" s="1" t="s">
        <v>527</v>
      </c>
      <c r="AC1237" s="5">
        <v>43371</v>
      </c>
      <c r="AF1237" s="1">
        <v>10014</v>
      </c>
      <c r="AI1237" s="1" t="s">
        <v>76</v>
      </c>
      <c r="AJ1237" s="1">
        <v>2015</v>
      </c>
      <c r="AK1237" s="1" t="s">
        <v>46</v>
      </c>
      <c r="AL1237" s="1">
        <v>33</v>
      </c>
    </row>
    <row r="1238" spans="1:38" x14ac:dyDescent="0.2">
      <c r="A1238" s="2" t="str">
        <f>HYPERLINK("https://www.compass.com/listing/100-avenue-a-unit-7e-manhattan-ny-10009/29361266325837345/","100 Avenue A, Unit 7E")</f>
        <v>100 Avenue A, Unit 7E</v>
      </c>
      <c r="B1238" s="2" t="str">
        <f t="shared" ref="B1238:B1239" si="173">HYPERLINK("https://www.compass.com/building/100-avenue-a-manhattan-ny-10009/389273110856657541/","100 Avenue A")</f>
        <v>100 Avenue A</v>
      </c>
      <c r="C1238" s="1" t="s">
        <v>71</v>
      </c>
      <c r="D1238" s="1" t="s">
        <v>41</v>
      </c>
      <c r="E1238" s="3">
        <v>1303360</v>
      </c>
      <c r="F1238" s="1">
        <v>1880.75036075036</v>
      </c>
      <c r="G1238" s="1">
        <v>3</v>
      </c>
      <c r="H1238" s="1">
        <v>1</v>
      </c>
      <c r="I1238" s="1">
        <v>1</v>
      </c>
      <c r="J1238" s="1">
        <v>1</v>
      </c>
      <c r="K1238" s="1">
        <v>1</v>
      </c>
      <c r="M1238" s="1">
        <v>693</v>
      </c>
      <c r="N1238" s="1">
        <v>917.02</v>
      </c>
      <c r="O1238" s="1">
        <v>1476.69999999999</v>
      </c>
      <c r="P1238" s="1">
        <v>559.66666666666595</v>
      </c>
      <c r="Q1238" s="1" t="s">
        <v>42</v>
      </c>
      <c r="S1238" s="1" t="s">
        <v>42</v>
      </c>
      <c r="T1238" s="1" t="s">
        <v>273</v>
      </c>
      <c r="U1238" s="1">
        <v>21</v>
      </c>
      <c r="V1238" s="5">
        <v>43676</v>
      </c>
      <c r="W1238" s="5">
        <v>42843</v>
      </c>
      <c r="X1238" s="1">
        <v>1400000</v>
      </c>
      <c r="Y1238" s="1">
        <v>1400000</v>
      </c>
      <c r="Z1238" s="5">
        <v>42864</v>
      </c>
      <c r="AA1238" s="1">
        <v>1303360</v>
      </c>
      <c r="AB1238" s="1" t="s">
        <v>529</v>
      </c>
      <c r="AC1238" s="5">
        <v>42874</v>
      </c>
      <c r="AF1238" s="1">
        <v>10009</v>
      </c>
      <c r="AI1238" s="1" t="s">
        <v>514</v>
      </c>
      <c r="AJ1238" s="1">
        <v>2016</v>
      </c>
      <c r="AK1238" s="1" t="s">
        <v>46</v>
      </c>
    </row>
    <row r="1239" spans="1:38" x14ac:dyDescent="0.2">
      <c r="A1239" s="2" t="str">
        <f>HYPERLINK("https://www.compass.com/listing/100-avenue-a-unit-phe-manhattan-ny-10009/560922578787893057/","100 Avenue A, Unit PHE")</f>
        <v>100 Avenue A, Unit PHE</v>
      </c>
      <c r="B1239" s="2" t="str">
        <f t="shared" si="173"/>
        <v>100 Avenue A</v>
      </c>
      <c r="C1239" s="1" t="s">
        <v>71</v>
      </c>
      <c r="D1239" s="1" t="s">
        <v>41</v>
      </c>
      <c r="E1239" s="3">
        <v>1496828</v>
      </c>
      <c r="F1239" s="1">
        <v>2159.9242424242402</v>
      </c>
      <c r="G1239" s="1">
        <v>3</v>
      </c>
      <c r="H1239" s="1">
        <v>1</v>
      </c>
      <c r="I1239" s="1">
        <v>1</v>
      </c>
      <c r="J1239" s="1">
        <v>1</v>
      </c>
      <c r="K1239" s="1">
        <v>1</v>
      </c>
      <c r="M1239" s="1">
        <v>693</v>
      </c>
      <c r="N1239" s="1">
        <v>1071</v>
      </c>
      <c r="O1239" s="1">
        <v>2244</v>
      </c>
      <c r="P1239" s="1">
        <v>1173</v>
      </c>
      <c r="Q1239" s="1" t="s">
        <v>42</v>
      </c>
      <c r="S1239" s="1" t="s">
        <v>42</v>
      </c>
      <c r="T1239" s="1" t="s">
        <v>273</v>
      </c>
      <c r="U1239" s="1">
        <v>65</v>
      </c>
      <c r="V1239" s="5">
        <v>44314</v>
      </c>
      <c r="W1239" s="5">
        <v>44019</v>
      </c>
      <c r="X1239" s="1">
        <v>1499000</v>
      </c>
      <c r="Y1239" s="1">
        <v>1499000</v>
      </c>
      <c r="Z1239" s="5">
        <v>44189</v>
      </c>
      <c r="AA1239" s="1">
        <v>1496827.5</v>
      </c>
      <c r="AB1239" s="1" t="s">
        <v>530</v>
      </c>
      <c r="AC1239" s="5">
        <v>44256</v>
      </c>
      <c r="AF1239" s="1">
        <v>10009</v>
      </c>
      <c r="AI1239" s="1" t="s">
        <v>514</v>
      </c>
      <c r="AJ1239" s="1">
        <v>2016</v>
      </c>
      <c r="AK1239" s="1" t="s">
        <v>531</v>
      </c>
    </row>
    <row r="1240" spans="1:38" x14ac:dyDescent="0.2">
      <c r="A1240" s="2" t="str">
        <f>HYPERLINK("https://www.compass.com/listing/155-west-18th-street-unit-703-manhattan-ny-10011/70930193778242897/","155 W 18th St, Unit 703")</f>
        <v>155 W 18th St, Unit 703</v>
      </c>
      <c r="B1240" s="2" t="str">
        <f>HYPERLINK("https://www.compass.com/building/the-flynn-manhattan-ny/281905793161251925/","The Flynn")</f>
        <v>The Flynn</v>
      </c>
      <c r="C1240" s="1" t="s">
        <v>62</v>
      </c>
      <c r="D1240" s="1" t="s">
        <v>41</v>
      </c>
      <c r="E1240" s="3">
        <v>1807393</v>
      </c>
      <c r="F1240" s="1">
        <v>2593.1032998565202</v>
      </c>
      <c r="G1240" s="1">
        <v>2</v>
      </c>
      <c r="H1240" s="1">
        <v>1</v>
      </c>
      <c r="I1240" s="1">
        <v>2</v>
      </c>
      <c r="J1240" s="1">
        <v>0.5</v>
      </c>
      <c r="L1240" s="1">
        <v>1</v>
      </c>
      <c r="M1240" s="1">
        <v>697</v>
      </c>
      <c r="N1240" s="1">
        <v>1062</v>
      </c>
      <c r="O1240" s="1">
        <v>1876</v>
      </c>
      <c r="P1240" s="1">
        <v>814</v>
      </c>
      <c r="Q1240" s="1" t="s">
        <v>42</v>
      </c>
      <c r="S1240" s="1" t="s">
        <v>42</v>
      </c>
      <c r="T1240" s="1" t="s">
        <v>273</v>
      </c>
      <c r="U1240" s="1">
        <v>2</v>
      </c>
      <c r="V1240" s="5">
        <v>43658</v>
      </c>
      <c r="W1240" s="5">
        <v>42411</v>
      </c>
      <c r="X1240" s="1">
        <v>1850000</v>
      </c>
      <c r="Y1240" s="1">
        <v>1850000</v>
      </c>
      <c r="Z1240" s="5">
        <v>42413</v>
      </c>
      <c r="AA1240" s="1">
        <v>1807393</v>
      </c>
      <c r="AB1240" s="1" t="s">
        <v>532</v>
      </c>
      <c r="AC1240" s="5">
        <v>42649</v>
      </c>
      <c r="AF1240" s="1">
        <v>10011</v>
      </c>
      <c r="AI1240" s="1" t="s">
        <v>495</v>
      </c>
      <c r="AJ1240" s="1">
        <v>2016</v>
      </c>
      <c r="AK1240" s="1" t="s">
        <v>108</v>
      </c>
      <c r="AL1240" s="1">
        <v>30</v>
      </c>
    </row>
    <row r="1241" spans="1:38" x14ac:dyDescent="0.2">
      <c r="A1241" s="2" t="str">
        <f>HYPERLINK("https://www.compass.com/listing/100-avenue-a-unit-4d-manhattan-ny-10009/29361261384941905/","100 Avenue A, Unit 4D")</f>
        <v>100 Avenue A, Unit 4D</v>
      </c>
      <c r="B1241" s="2" t="str">
        <f t="shared" ref="B1241:B1245" si="174">HYPERLINK("https://www.compass.com/building/100-avenue-a-manhattan-ny-10009/389273110856657541/","100 Avenue A")</f>
        <v>100 Avenue A</v>
      </c>
      <c r="C1241" s="1" t="s">
        <v>71</v>
      </c>
      <c r="D1241" s="1" t="s">
        <v>41</v>
      </c>
      <c r="E1241" s="3">
        <v>2150000</v>
      </c>
      <c r="F1241" s="1">
        <v>2077.29468599033</v>
      </c>
      <c r="G1241" s="1">
        <v>4</v>
      </c>
      <c r="H1241" s="1">
        <v>2</v>
      </c>
      <c r="I1241" s="1">
        <v>2</v>
      </c>
      <c r="J1241" s="1">
        <v>2</v>
      </c>
      <c r="K1241" s="1">
        <v>2</v>
      </c>
      <c r="M1241" s="4">
        <v>1035</v>
      </c>
      <c r="N1241" s="1">
        <v>1385.45</v>
      </c>
      <c r="O1241" s="1">
        <v>2231.0300000000002</v>
      </c>
      <c r="P1241" s="1">
        <v>845.58333333333303</v>
      </c>
      <c r="Q1241" s="1" t="s">
        <v>42</v>
      </c>
      <c r="S1241" s="1" t="s">
        <v>42</v>
      </c>
      <c r="T1241" s="1" t="s">
        <v>273</v>
      </c>
      <c r="V1241" s="5">
        <v>43669</v>
      </c>
      <c r="W1241" s="5">
        <v>42432</v>
      </c>
      <c r="X1241" s="1">
        <v>2150000</v>
      </c>
      <c r="Y1241" s="1">
        <v>2150000</v>
      </c>
      <c r="Z1241" s="5">
        <v>42432</v>
      </c>
      <c r="AA1241" s="1">
        <v>2150000</v>
      </c>
      <c r="AB1241" s="1" t="s">
        <v>533</v>
      </c>
      <c r="AC1241" s="5">
        <v>42733</v>
      </c>
      <c r="AF1241" s="1">
        <v>10009</v>
      </c>
      <c r="AI1241" s="1" t="s">
        <v>534</v>
      </c>
      <c r="AJ1241" s="1">
        <v>2016</v>
      </c>
      <c r="AK1241" s="1" t="s">
        <v>108</v>
      </c>
    </row>
    <row r="1242" spans="1:38" x14ac:dyDescent="0.2">
      <c r="A1242" s="2" t="str">
        <f>HYPERLINK("https://www.compass.com/listing/100-avenue-a-unit-6a-manhattan-ny-10009/29361263884711953/","100 Avenue A, Unit 6A")</f>
        <v>100 Avenue A, Unit 6A</v>
      </c>
      <c r="B1242" s="2" t="str">
        <f t="shared" si="174"/>
        <v>100 Avenue A</v>
      </c>
      <c r="C1242" s="1" t="s">
        <v>71</v>
      </c>
      <c r="D1242" s="1" t="s">
        <v>41</v>
      </c>
      <c r="E1242" s="3">
        <v>2250000</v>
      </c>
      <c r="F1242" s="1">
        <v>2293.57798165137</v>
      </c>
      <c r="G1242" s="1">
        <v>4</v>
      </c>
      <c r="H1242" s="1">
        <v>2</v>
      </c>
      <c r="I1242" s="1">
        <v>2</v>
      </c>
      <c r="J1242" s="1">
        <v>2</v>
      </c>
      <c r="K1242" s="1">
        <v>2</v>
      </c>
      <c r="M1242" s="1">
        <v>981</v>
      </c>
      <c r="N1242" s="1">
        <v>1298.1199999999999</v>
      </c>
      <c r="O1242" s="1">
        <v>2090.39</v>
      </c>
      <c r="P1242" s="1">
        <v>792.25</v>
      </c>
      <c r="Q1242" s="1" t="s">
        <v>42</v>
      </c>
      <c r="S1242" s="1" t="s">
        <v>42</v>
      </c>
      <c r="T1242" s="1" t="s">
        <v>273</v>
      </c>
      <c r="V1242" s="5">
        <v>43673</v>
      </c>
      <c r="W1242" s="5">
        <v>42432</v>
      </c>
      <c r="X1242" s="1">
        <v>2250000</v>
      </c>
      <c r="Y1242" s="1">
        <v>2250000</v>
      </c>
      <c r="Z1242" s="5">
        <v>42432</v>
      </c>
      <c r="AA1242" s="1">
        <v>2250000</v>
      </c>
      <c r="AB1242" s="1" t="s">
        <v>535</v>
      </c>
      <c r="AC1242" s="5">
        <v>42725</v>
      </c>
      <c r="AF1242" s="1">
        <v>10009</v>
      </c>
      <c r="AI1242" s="1" t="s">
        <v>514</v>
      </c>
      <c r="AJ1242" s="1">
        <v>2016</v>
      </c>
      <c r="AK1242" s="1" t="s">
        <v>108</v>
      </c>
    </row>
    <row r="1243" spans="1:38" x14ac:dyDescent="0.2">
      <c r="A1243" s="2" t="str">
        <f>HYPERLINK("https://www.compass.com/listing/100-avenue-a-unit-7a-manhattan-ny-10009/29361265654743441/","100 Avenue A, Unit 7A")</f>
        <v>100 Avenue A, Unit 7A</v>
      </c>
      <c r="B1243" s="2" t="str">
        <f t="shared" si="174"/>
        <v>100 Avenue A</v>
      </c>
      <c r="C1243" s="1" t="s">
        <v>71</v>
      </c>
      <c r="D1243" s="1" t="s">
        <v>41</v>
      </c>
      <c r="E1243" s="3">
        <v>2611811</v>
      </c>
      <c r="F1243" s="1">
        <v>2635.53077699293</v>
      </c>
      <c r="G1243" s="1">
        <v>4</v>
      </c>
      <c r="H1243" s="1">
        <v>2</v>
      </c>
      <c r="I1243" s="1">
        <v>2</v>
      </c>
      <c r="J1243" s="1">
        <v>2</v>
      </c>
      <c r="K1243" s="1">
        <v>2</v>
      </c>
      <c r="M1243" s="1">
        <v>991</v>
      </c>
      <c r="N1243" s="1">
        <v>1331.2</v>
      </c>
      <c r="O1243" s="1">
        <v>2143.67</v>
      </c>
      <c r="P1243" s="1">
        <v>812.5</v>
      </c>
      <c r="Q1243" s="1" t="s">
        <v>42</v>
      </c>
      <c r="S1243" s="1" t="s">
        <v>42</v>
      </c>
      <c r="T1243" s="1" t="s">
        <v>273</v>
      </c>
      <c r="U1243" s="1">
        <v>1</v>
      </c>
      <c r="V1243" s="5">
        <v>43669</v>
      </c>
      <c r="W1243" s="5">
        <v>42620</v>
      </c>
      <c r="X1243" s="1">
        <v>2550000</v>
      </c>
      <c r="Y1243" s="1">
        <v>2550000</v>
      </c>
      <c r="Z1243" s="5">
        <v>42621</v>
      </c>
      <c r="AA1243" s="1">
        <v>2611811</v>
      </c>
      <c r="AB1243" s="1" t="s">
        <v>536</v>
      </c>
      <c r="AC1243" s="5">
        <v>42734</v>
      </c>
      <c r="AF1243" s="1">
        <v>10009</v>
      </c>
      <c r="AI1243" s="1" t="s">
        <v>514</v>
      </c>
      <c r="AJ1243" s="1">
        <v>2016</v>
      </c>
      <c r="AK1243" s="1" t="s">
        <v>108</v>
      </c>
    </row>
    <row r="1244" spans="1:38" x14ac:dyDescent="0.2">
      <c r="A1244" s="2" t="str">
        <f>HYPERLINK("https://www.compass.com/listing/100-avenue-a-unit-pha-manhattan-ny-10009/29361266644599201/","100 Avenue A, Unit PHA")</f>
        <v>100 Avenue A, Unit PHA</v>
      </c>
      <c r="B1244" s="2" t="str">
        <f t="shared" si="174"/>
        <v>100 Avenue A</v>
      </c>
      <c r="C1244" s="1" t="s">
        <v>71</v>
      </c>
      <c r="D1244" s="1" t="s">
        <v>41</v>
      </c>
      <c r="E1244" s="3">
        <v>2250000</v>
      </c>
      <c r="F1244" s="1">
        <v>2270.4339051463098</v>
      </c>
      <c r="G1244" s="1">
        <v>4</v>
      </c>
      <c r="H1244" s="1">
        <v>2</v>
      </c>
      <c r="I1244" s="1">
        <v>2</v>
      </c>
      <c r="J1244" s="1">
        <v>2</v>
      </c>
      <c r="K1244" s="1">
        <v>2</v>
      </c>
      <c r="M1244" s="1">
        <v>991</v>
      </c>
      <c r="N1244" s="1">
        <v>1311.35</v>
      </c>
      <c r="O1244" s="1">
        <v>2111.6999999999998</v>
      </c>
      <c r="P1244" s="1">
        <v>800.33333333333303</v>
      </c>
      <c r="Q1244" s="1" t="s">
        <v>42</v>
      </c>
      <c r="S1244" s="1" t="s">
        <v>42</v>
      </c>
      <c r="T1244" s="1" t="s">
        <v>273</v>
      </c>
      <c r="V1244" s="5">
        <v>43664</v>
      </c>
      <c r="W1244" s="5">
        <v>42432</v>
      </c>
      <c r="X1244" s="1">
        <v>2500000</v>
      </c>
      <c r="Y1244" s="1">
        <v>2500000</v>
      </c>
      <c r="Z1244" s="5">
        <v>42432</v>
      </c>
      <c r="AA1244" s="1">
        <v>2250000</v>
      </c>
      <c r="AB1244" s="1" t="s">
        <v>537</v>
      </c>
      <c r="AC1244" s="5">
        <v>42774</v>
      </c>
      <c r="AF1244" s="1">
        <v>10009</v>
      </c>
      <c r="AI1244" s="1" t="s">
        <v>514</v>
      </c>
      <c r="AJ1244" s="1">
        <v>2016</v>
      </c>
      <c r="AK1244" s="1" t="s">
        <v>108</v>
      </c>
    </row>
    <row r="1245" spans="1:38" x14ac:dyDescent="0.2">
      <c r="A1245" s="2" t="str">
        <f>HYPERLINK("https://www.compass.com/listing/100-avenue-a-unit-phb-manhattan-ny-10009/29361266980108353/","100 Avenue A, Unit PHB")</f>
        <v>100 Avenue A, Unit PHB</v>
      </c>
      <c r="B1245" s="2" t="str">
        <f t="shared" si="174"/>
        <v>100 Avenue A</v>
      </c>
      <c r="C1245" s="1" t="s">
        <v>71</v>
      </c>
      <c r="D1245" s="1" t="s">
        <v>41</v>
      </c>
      <c r="E1245" s="3">
        <v>2392888</v>
      </c>
      <c r="F1245" s="1">
        <v>2635.3392070484501</v>
      </c>
      <c r="G1245" s="1">
        <v>4</v>
      </c>
      <c r="H1245" s="1">
        <v>2</v>
      </c>
      <c r="I1245" s="1">
        <v>2</v>
      </c>
      <c r="J1245" s="1">
        <v>2</v>
      </c>
      <c r="K1245" s="1">
        <v>2</v>
      </c>
      <c r="M1245" s="1">
        <v>908</v>
      </c>
      <c r="N1245" s="1">
        <v>1218.06</v>
      </c>
      <c r="O1245" s="1">
        <v>1961.46999999999</v>
      </c>
      <c r="P1245" s="1">
        <v>743.41666666666595</v>
      </c>
      <c r="Q1245" s="1" t="s">
        <v>42</v>
      </c>
      <c r="S1245" s="1" t="s">
        <v>42</v>
      </c>
      <c r="T1245" s="1" t="s">
        <v>273</v>
      </c>
      <c r="U1245" s="1">
        <v>41</v>
      </c>
      <c r="V1245" s="5">
        <v>43675</v>
      </c>
      <c r="W1245" s="5">
        <v>42432</v>
      </c>
      <c r="X1245" s="1">
        <v>2350000</v>
      </c>
      <c r="Y1245" s="1">
        <v>2350000</v>
      </c>
      <c r="Z1245" s="5">
        <v>42473</v>
      </c>
      <c r="AA1245" s="1">
        <v>2392888</v>
      </c>
      <c r="AB1245" s="1" t="s">
        <v>538</v>
      </c>
      <c r="AC1245" s="5">
        <v>42714</v>
      </c>
      <c r="AF1245" s="1">
        <v>10009</v>
      </c>
      <c r="AI1245" s="1" t="s">
        <v>509</v>
      </c>
      <c r="AJ1245" s="1">
        <v>2016</v>
      </c>
      <c r="AK1245" s="1" t="s">
        <v>108</v>
      </c>
    </row>
    <row r="1246" spans="1:38" x14ac:dyDescent="0.2">
      <c r="A1246" s="2" t="str">
        <f>HYPERLINK("https://www.compass.com/listing/225-west-17th-street-unit-6b-manhattan-ny-10011/109432222322319153/","225 W 17th St, Unit 6B")</f>
        <v>225 W 17th St, Unit 6B</v>
      </c>
      <c r="B1246" s="2" t="str">
        <f t="shared" ref="B1246:B1247" si="175">HYPERLINK("https://www.compass.com/building/225-west-17th-street-manhattan-ny/292802090781141541/","225 West 17th Street")</f>
        <v>225 West 17th Street</v>
      </c>
      <c r="C1246" s="1" t="s">
        <v>62</v>
      </c>
      <c r="D1246" s="1" t="s">
        <v>41</v>
      </c>
      <c r="E1246" s="3">
        <v>2050000</v>
      </c>
      <c r="F1246" s="1">
        <v>1382.3331085637201</v>
      </c>
      <c r="G1246" s="1">
        <v>4</v>
      </c>
      <c r="H1246" s="1">
        <v>2</v>
      </c>
      <c r="I1246" s="1">
        <v>3</v>
      </c>
      <c r="J1246" s="1">
        <v>2.5</v>
      </c>
      <c r="K1246" s="1">
        <v>2</v>
      </c>
      <c r="L1246" s="1">
        <v>1</v>
      </c>
      <c r="M1246" s="4">
        <v>1483</v>
      </c>
      <c r="N1246" s="1">
        <v>896</v>
      </c>
      <c r="O1246" s="1">
        <v>2883</v>
      </c>
      <c r="P1246" s="1">
        <v>1987</v>
      </c>
      <c r="Q1246" s="1" t="s">
        <v>42</v>
      </c>
      <c r="S1246" s="1" t="s">
        <v>42</v>
      </c>
      <c r="T1246" s="1" t="s">
        <v>273</v>
      </c>
      <c r="V1246" s="5">
        <v>44342</v>
      </c>
      <c r="W1246" s="5">
        <v>43403</v>
      </c>
      <c r="X1246" s="1">
        <v>2495000</v>
      </c>
      <c r="Y1246" s="1">
        <v>2495000</v>
      </c>
      <c r="Z1246" s="5">
        <v>43403</v>
      </c>
      <c r="AA1246" s="1">
        <v>2050000</v>
      </c>
      <c r="AB1246" s="1" t="s">
        <v>539</v>
      </c>
      <c r="AC1246" s="5">
        <v>43572</v>
      </c>
      <c r="AF1246" s="1">
        <v>10011</v>
      </c>
      <c r="AI1246" s="1" t="s">
        <v>540</v>
      </c>
      <c r="AJ1246" s="1">
        <v>2018</v>
      </c>
      <c r="AK1246" s="1" t="s">
        <v>146</v>
      </c>
      <c r="AL1246" s="1">
        <v>14</v>
      </c>
    </row>
    <row r="1247" spans="1:38" x14ac:dyDescent="0.2">
      <c r="A1247" s="2" t="str">
        <f>HYPERLINK("https://www.compass.com/listing/225-west-17th-street-unit-4b-manhattan-ny-10011/783461292596238401/","225 W 17th St, Unit 4B")</f>
        <v>225 W 17th St, Unit 4B</v>
      </c>
      <c r="B1247" s="2" t="str">
        <f t="shared" si="175"/>
        <v>225 West 17th Street</v>
      </c>
      <c r="C1247" s="1" t="s">
        <v>62</v>
      </c>
      <c r="D1247" s="1" t="s">
        <v>41</v>
      </c>
      <c r="E1247" s="3">
        <v>2115000</v>
      </c>
      <c r="F1247" s="1">
        <v>1419.4630872483201</v>
      </c>
      <c r="G1247" s="1">
        <v>5</v>
      </c>
      <c r="H1247" s="1">
        <v>2</v>
      </c>
      <c r="I1247" s="1">
        <v>3</v>
      </c>
      <c r="J1247" s="1">
        <v>2.5</v>
      </c>
      <c r="K1247" s="1">
        <v>2</v>
      </c>
      <c r="L1247" s="1">
        <v>1</v>
      </c>
      <c r="M1247" s="4">
        <v>1490</v>
      </c>
      <c r="N1247" s="1">
        <v>901</v>
      </c>
      <c r="O1247" s="1">
        <v>2898</v>
      </c>
      <c r="P1247" s="1">
        <v>1997</v>
      </c>
      <c r="Q1247" s="1" t="s">
        <v>42</v>
      </c>
      <c r="S1247" s="1" t="s">
        <v>42</v>
      </c>
      <c r="T1247" s="1" t="s">
        <v>273</v>
      </c>
      <c r="V1247" s="5">
        <v>44342</v>
      </c>
      <c r="W1247" s="5">
        <v>43596</v>
      </c>
      <c r="X1247" s="1">
        <v>2495000</v>
      </c>
      <c r="Y1247" s="1">
        <v>2495000</v>
      </c>
      <c r="AA1247" s="1">
        <v>2115000</v>
      </c>
      <c r="AB1247" s="1" t="s">
        <v>541</v>
      </c>
      <c r="AC1247" s="5">
        <v>43644</v>
      </c>
      <c r="AF1247" s="1">
        <v>10011</v>
      </c>
      <c r="AI1247" s="1" t="s">
        <v>197</v>
      </c>
      <c r="AJ1247" s="1">
        <v>2018</v>
      </c>
      <c r="AK1247" s="1" t="s">
        <v>146</v>
      </c>
      <c r="AL1247" s="1">
        <v>14</v>
      </c>
    </row>
    <row r="1248" spans="1:38" x14ac:dyDescent="0.2">
      <c r="A1248" s="2" t="str">
        <f>HYPERLINK("https://www.compass.com/listing/100-avenue-a-unit-2b-manhattan-ny-10009/29361257366798609/","100 Avenue A, Unit 2B")</f>
        <v>100 Avenue A, Unit 2B</v>
      </c>
      <c r="B1248" s="2" t="str">
        <f t="shared" ref="B1248:B1265" si="176">HYPERLINK("https://www.compass.com/building/100-avenue-a-manhattan-ny-10009/389273110856657541/","100 Avenue A")</f>
        <v>100 Avenue A</v>
      </c>
      <c r="C1248" s="1" t="s">
        <v>71</v>
      </c>
      <c r="D1248" s="1" t="s">
        <v>41</v>
      </c>
      <c r="E1248" s="3">
        <v>1150000</v>
      </c>
      <c r="F1248" s="1">
        <v>1701.1834319526599</v>
      </c>
      <c r="G1248" s="1">
        <v>3</v>
      </c>
      <c r="H1248" s="1">
        <v>1</v>
      </c>
      <c r="I1248" s="1">
        <v>1</v>
      </c>
      <c r="J1248" s="1">
        <v>1</v>
      </c>
      <c r="K1248" s="1">
        <v>1</v>
      </c>
      <c r="M1248" s="1">
        <v>676</v>
      </c>
      <c r="N1248" s="1">
        <v>894.52</v>
      </c>
      <c r="O1248" s="1">
        <v>1440.47</v>
      </c>
      <c r="P1248" s="1">
        <v>545.91666666666595</v>
      </c>
      <c r="Q1248" s="1" t="s">
        <v>42</v>
      </c>
      <c r="S1248" s="1" t="s">
        <v>42</v>
      </c>
      <c r="T1248" s="1" t="s">
        <v>273</v>
      </c>
      <c r="U1248" s="1">
        <v>54</v>
      </c>
      <c r="V1248" s="5">
        <v>43676</v>
      </c>
      <c r="W1248" s="5">
        <v>42762</v>
      </c>
      <c r="X1248" s="1">
        <v>1150000</v>
      </c>
      <c r="Y1248" s="1">
        <v>1150000</v>
      </c>
      <c r="Z1248" s="5">
        <v>42816</v>
      </c>
      <c r="AA1248" s="1">
        <v>1150000</v>
      </c>
      <c r="AB1248" s="1" t="s">
        <v>542</v>
      </c>
      <c r="AC1248" s="5">
        <v>42850</v>
      </c>
      <c r="AF1248" s="1">
        <v>10009</v>
      </c>
      <c r="AI1248" s="1" t="s">
        <v>514</v>
      </c>
      <c r="AJ1248" s="1">
        <v>2016</v>
      </c>
      <c r="AK1248" s="1" t="s">
        <v>108</v>
      </c>
    </row>
    <row r="1249" spans="1:37" x14ac:dyDescent="0.2">
      <c r="A1249" s="2" t="str">
        <f>HYPERLINK("https://www.compass.com/listing/100-avenue-a-unit-2c-manhattan-ny-10009/29361257735862193/","100 Avenue A, Unit 2C")</f>
        <v>100 Avenue A, Unit 2C</v>
      </c>
      <c r="B1249" s="2" t="str">
        <f t="shared" si="176"/>
        <v>100 Avenue A</v>
      </c>
      <c r="C1249" s="1" t="s">
        <v>71</v>
      </c>
      <c r="D1249" s="1" t="s">
        <v>41</v>
      </c>
      <c r="E1249" s="3">
        <v>1308451</v>
      </c>
      <c r="F1249" s="1">
        <v>1938.4459259259199</v>
      </c>
      <c r="G1249" s="1">
        <v>3</v>
      </c>
      <c r="H1249" s="1">
        <v>1</v>
      </c>
      <c r="I1249" s="1">
        <v>1</v>
      </c>
      <c r="J1249" s="1">
        <v>1</v>
      </c>
      <c r="K1249" s="1">
        <v>1</v>
      </c>
      <c r="M1249" s="1">
        <v>675</v>
      </c>
      <c r="N1249" s="1">
        <v>893.2</v>
      </c>
      <c r="O1249" s="1">
        <v>1438.34</v>
      </c>
      <c r="P1249" s="1">
        <v>545.16666666666595</v>
      </c>
      <c r="Q1249" s="1" t="s">
        <v>42</v>
      </c>
      <c r="S1249" s="1" t="s">
        <v>42</v>
      </c>
      <c r="T1249" s="1" t="s">
        <v>273</v>
      </c>
      <c r="V1249" s="5">
        <v>43672</v>
      </c>
      <c r="W1249" s="5">
        <v>42432</v>
      </c>
      <c r="X1249" s="1">
        <v>1285000</v>
      </c>
      <c r="Y1249" s="1">
        <v>1285000</v>
      </c>
      <c r="Z1249" s="5">
        <v>42432</v>
      </c>
      <c r="AA1249" s="1">
        <v>1308451</v>
      </c>
      <c r="AB1249" s="1" t="s">
        <v>543</v>
      </c>
      <c r="AC1249" s="5">
        <v>42718</v>
      </c>
      <c r="AF1249" s="1">
        <v>10009</v>
      </c>
      <c r="AI1249" s="1" t="s">
        <v>514</v>
      </c>
      <c r="AJ1249" s="1">
        <v>2016</v>
      </c>
      <c r="AK1249" s="1" t="s">
        <v>108</v>
      </c>
    </row>
    <row r="1250" spans="1:37" x14ac:dyDescent="0.2">
      <c r="A1250" s="2" t="str">
        <f>HYPERLINK("https://www.compass.com/listing/100-avenue-a-unit-2e-manhattan-ny-10009/29361258440540449/","100 Avenue A, Unit 2E")</f>
        <v>100 Avenue A, Unit 2E</v>
      </c>
      <c r="B1250" s="2" t="str">
        <f t="shared" si="176"/>
        <v>100 Avenue A</v>
      </c>
      <c r="C1250" s="1" t="s">
        <v>71</v>
      </c>
      <c r="D1250" s="1" t="s">
        <v>41</v>
      </c>
      <c r="E1250" s="3">
        <v>1603744</v>
      </c>
      <c r="F1250" s="1">
        <v>2314.2049062049</v>
      </c>
      <c r="G1250" s="1">
        <v>3</v>
      </c>
      <c r="H1250" s="1">
        <v>1</v>
      </c>
      <c r="I1250" s="1">
        <v>1</v>
      </c>
      <c r="J1250" s="1">
        <v>1</v>
      </c>
      <c r="K1250" s="1">
        <v>1</v>
      </c>
      <c r="M1250" s="1">
        <v>693</v>
      </c>
      <c r="N1250" s="1">
        <v>1068.53</v>
      </c>
      <c r="O1250" s="1">
        <v>1720.6799999999901</v>
      </c>
      <c r="P1250" s="1">
        <v>652.16666666666595</v>
      </c>
      <c r="Q1250" s="1" t="s">
        <v>42</v>
      </c>
      <c r="S1250" s="1" t="s">
        <v>42</v>
      </c>
      <c r="T1250" s="1" t="s">
        <v>273</v>
      </c>
      <c r="U1250" s="1">
        <v>2</v>
      </c>
      <c r="V1250" s="5">
        <v>43666</v>
      </c>
      <c r="W1250" s="5">
        <v>42620</v>
      </c>
      <c r="X1250" s="1">
        <v>1575000</v>
      </c>
      <c r="Y1250" s="1">
        <v>1575000</v>
      </c>
      <c r="Z1250" s="5">
        <v>42622</v>
      </c>
      <c r="AA1250" s="1">
        <v>1603744</v>
      </c>
      <c r="AB1250" s="1" t="s">
        <v>544</v>
      </c>
      <c r="AC1250" s="5">
        <v>42748</v>
      </c>
      <c r="AF1250" s="1">
        <v>10009</v>
      </c>
      <c r="AI1250" s="1" t="s">
        <v>148</v>
      </c>
      <c r="AJ1250" s="1">
        <v>2016</v>
      </c>
      <c r="AK1250" s="1" t="s">
        <v>108</v>
      </c>
    </row>
    <row r="1251" spans="1:37" x14ac:dyDescent="0.2">
      <c r="A1251" s="2" t="str">
        <f>HYPERLINK("https://www.compass.com/listing/100-avenue-a-unit-3b-manhattan-ny-10009/29361259069691313/","100 Avenue A, Unit 3B")</f>
        <v>100 Avenue A, Unit 3B</v>
      </c>
      <c r="B1251" s="2" t="str">
        <f t="shared" si="176"/>
        <v>100 Avenue A</v>
      </c>
      <c r="C1251" s="1" t="s">
        <v>71</v>
      </c>
      <c r="D1251" s="1" t="s">
        <v>41</v>
      </c>
      <c r="E1251" s="3">
        <v>1245000</v>
      </c>
      <c r="F1251" s="1">
        <v>1841.71597633136</v>
      </c>
      <c r="G1251" s="1">
        <v>3</v>
      </c>
      <c r="H1251" s="1">
        <v>1</v>
      </c>
      <c r="I1251" s="1">
        <v>1</v>
      </c>
      <c r="J1251" s="1">
        <v>1</v>
      </c>
      <c r="K1251" s="1">
        <v>1</v>
      </c>
      <c r="M1251" s="1">
        <v>676</v>
      </c>
      <c r="N1251" s="1">
        <v>881.43</v>
      </c>
      <c r="O1251" s="1">
        <v>1419.4</v>
      </c>
      <c r="P1251" s="1">
        <v>538</v>
      </c>
      <c r="Q1251" s="1" t="s">
        <v>42</v>
      </c>
      <c r="S1251" s="1" t="s">
        <v>42</v>
      </c>
      <c r="T1251" s="1" t="s">
        <v>273</v>
      </c>
      <c r="U1251" s="1">
        <v>330</v>
      </c>
      <c r="V1251" s="5">
        <v>43677</v>
      </c>
      <c r="W1251" s="5">
        <v>42432</v>
      </c>
      <c r="X1251" s="1">
        <v>1345000</v>
      </c>
      <c r="Y1251" s="1">
        <v>1200000</v>
      </c>
      <c r="Z1251" s="5">
        <v>42762</v>
      </c>
      <c r="AA1251" s="1">
        <v>1245000</v>
      </c>
      <c r="AB1251" s="1" t="s">
        <v>545</v>
      </c>
      <c r="AC1251" s="5">
        <v>42797</v>
      </c>
      <c r="AF1251" s="1">
        <v>10009</v>
      </c>
      <c r="AI1251" s="1" t="s">
        <v>514</v>
      </c>
      <c r="AJ1251" s="1">
        <v>2016</v>
      </c>
      <c r="AK1251" s="1" t="s">
        <v>108</v>
      </c>
    </row>
    <row r="1252" spans="1:37" x14ac:dyDescent="0.2">
      <c r="A1252" s="2" t="str">
        <f>HYPERLINK("https://www.compass.com/listing/100-avenue-a-unit-3c-manhattan-ny-10009/29361259396841777/","100 Avenue A, Unit 3C")</f>
        <v>100 Avenue A, Unit 3C</v>
      </c>
      <c r="B1252" s="2" t="str">
        <f t="shared" si="176"/>
        <v>100 Avenue A</v>
      </c>
      <c r="C1252" s="1" t="s">
        <v>71</v>
      </c>
      <c r="D1252" s="1" t="s">
        <v>41</v>
      </c>
      <c r="E1252" s="3">
        <v>1200000</v>
      </c>
      <c r="F1252" s="1">
        <v>1777.7777777777701</v>
      </c>
      <c r="G1252" s="1">
        <v>3</v>
      </c>
      <c r="H1252" s="1">
        <v>1</v>
      </c>
      <c r="I1252" s="1">
        <v>1</v>
      </c>
      <c r="J1252" s="1">
        <v>1</v>
      </c>
      <c r="K1252" s="1">
        <v>1</v>
      </c>
      <c r="M1252" s="1">
        <v>675</v>
      </c>
      <c r="N1252" s="1">
        <v>893.2</v>
      </c>
      <c r="O1252" s="1">
        <v>1438.34</v>
      </c>
      <c r="P1252" s="1">
        <v>545.16666666666595</v>
      </c>
      <c r="Q1252" s="1" t="s">
        <v>42</v>
      </c>
      <c r="S1252" s="1" t="s">
        <v>42</v>
      </c>
      <c r="T1252" s="1" t="s">
        <v>273</v>
      </c>
      <c r="U1252" s="1">
        <v>1</v>
      </c>
      <c r="V1252" s="5">
        <v>43666</v>
      </c>
      <c r="W1252" s="5">
        <v>42516</v>
      </c>
      <c r="X1252" s="1">
        <v>1335000</v>
      </c>
      <c r="Y1252" s="1">
        <v>1335000</v>
      </c>
      <c r="Z1252" s="5">
        <v>42517</v>
      </c>
      <c r="AA1252" s="1">
        <v>1200000</v>
      </c>
      <c r="AB1252" s="1" t="s">
        <v>546</v>
      </c>
      <c r="AC1252" s="5">
        <v>42760</v>
      </c>
      <c r="AF1252" s="1">
        <v>10009</v>
      </c>
      <c r="AI1252" s="1" t="s">
        <v>514</v>
      </c>
      <c r="AJ1252" s="1">
        <v>2016</v>
      </c>
      <c r="AK1252" s="1" t="s">
        <v>108</v>
      </c>
    </row>
    <row r="1253" spans="1:37" x14ac:dyDescent="0.2">
      <c r="A1253" s="2" t="str">
        <f>HYPERLINK("https://www.compass.com/listing/100-avenue-a-unit-3e-manhattan-ny-10009/29361260042769857/","100 Avenue A, Unit 3E")</f>
        <v>100 Avenue A, Unit 3E</v>
      </c>
      <c r="B1253" s="2" t="str">
        <f t="shared" si="176"/>
        <v>100 Avenue A</v>
      </c>
      <c r="C1253" s="1" t="s">
        <v>71</v>
      </c>
      <c r="D1253" s="1" t="s">
        <v>41</v>
      </c>
      <c r="E1253" s="3">
        <v>1150000</v>
      </c>
      <c r="F1253" s="1">
        <v>1659.4516594516499</v>
      </c>
      <c r="G1253" s="1">
        <v>3</v>
      </c>
      <c r="H1253" s="1">
        <v>1</v>
      </c>
      <c r="I1253" s="1">
        <v>1</v>
      </c>
      <c r="J1253" s="1">
        <v>1</v>
      </c>
      <c r="K1253" s="1">
        <v>1</v>
      </c>
      <c r="M1253" s="1">
        <v>693</v>
      </c>
      <c r="N1253" s="1">
        <v>917.02</v>
      </c>
      <c r="O1253" s="1">
        <v>1476.69999999999</v>
      </c>
      <c r="P1253" s="1">
        <v>559.66666666666595</v>
      </c>
      <c r="Q1253" s="1" t="s">
        <v>42</v>
      </c>
      <c r="S1253" s="1" t="s">
        <v>42</v>
      </c>
      <c r="T1253" s="1" t="s">
        <v>273</v>
      </c>
      <c r="U1253" s="1">
        <v>68</v>
      </c>
      <c r="V1253" s="5">
        <v>43673</v>
      </c>
      <c r="W1253" s="5">
        <v>42432</v>
      </c>
      <c r="X1253" s="1">
        <v>1395000</v>
      </c>
      <c r="Y1253" s="1">
        <v>1395000</v>
      </c>
      <c r="Z1253" s="5">
        <v>42525</v>
      </c>
      <c r="AA1253" s="1">
        <v>1150000</v>
      </c>
      <c r="AB1253" s="1" t="s">
        <v>547</v>
      </c>
      <c r="AC1253" s="5">
        <v>42723</v>
      </c>
      <c r="AF1253" s="1">
        <v>10009</v>
      </c>
      <c r="AI1253" s="1" t="s">
        <v>514</v>
      </c>
      <c r="AJ1253" s="1">
        <v>2016</v>
      </c>
      <c r="AK1253" s="1" t="s">
        <v>108</v>
      </c>
    </row>
    <row r="1254" spans="1:37" x14ac:dyDescent="0.2">
      <c r="A1254" s="2" t="str">
        <f>HYPERLINK("https://www.compass.com/listing/100-avenue-a-unit-4b-manhattan-ny-10009/29361260688652257/","100 Avenue A, Unit 4B")</f>
        <v>100 Avenue A, Unit 4B</v>
      </c>
      <c r="B1254" s="2" t="str">
        <f t="shared" si="176"/>
        <v>100 Avenue A</v>
      </c>
      <c r="C1254" s="1" t="s">
        <v>71</v>
      </c>
      <c r="D1254" s="1" t="s">
        <v>41</v>
      </c>
      <c r="E1254" s="3">
        <v>1318634</v>
      </c>
      <c r="F1254" s="1">
        <v>1950.6420118343101</v>
      </c>
      <c r="G1254" s="1">
        <v>3</v>
      </c>
      <c r="H1254" s="1">
        <v>1</v>
      </c>
      <c r="I1254" s="1">
        <v>1</v>
      </c>
      <c r="J1254" s="1">
        <v>1</v>
      </c>
      <c r="K1254" s="1">
        <v>1</v>
      </c>
      <c r="M1254" s="1">
        <v>676</v>
      </c>
      <c r="N1254" s="1">
        <v>890.16</v>
      </c>
      <c r="O1254" s="1">
        <v>1433.46</v>
      </c>
      <c r="P1254" s="1">
        <v>543.33333333333303</v>
      </c>
      <c r="Q1254" s="1" t="s">
        <v>42</v>
      </c>
      <c r="S1254" s="1" t="s">
        <v>42</v>
      </c>
      <c r="T1254" s="1" t="s">
        <v>273</v>
      </c>
      <c r="U1254" s="1">
        <v>69</v>
      </c>
      <c r="V1254" s="5">
        <v>43666</v>
      </c>
      <c r="W1254" s="5">
        <v>42623</v>
      </c>
      <c r="X1254" s="1">
        <v>1375000</v>
      </c>
      <c r="Y1254" s="1">
        <v>1375000</v>
      </c>
      <c r="Z1254" s="5">
        <v>42692</v>
      </c>
      <c r="AA1254" s="1">
        <v>1318634</v>
      </c>
      <c r="AB1254" s="1" t="s">
        <v>548</v>
      </c>
      <c r="AC1254" s="5">
        <v>42756</v>
      </c>
      <c r="AF1254" s="1">
        <v>10009</v>
      </c>
      <c r="AI1254" s="1" t="s">
        <v>514</v>
      </c>
      <c r="AJ1254" s="1">
        <v>2016</v>
      </c>
      <c r="AK1254" s="1" t="s">
        <v>108</v>
      </c>
    </row>
    <row r="1255" spans="1:37" x14ac:dyDescent="0.2">
      <c r="A1255" s="2" t="str">
        <f>HYPERLINK("https://www.compass.com/listing/100-avenue-a-unit-4c-manhattan-ny-10009/29361260990682577/","100 Avenue A, Unit 4C")</f>
        <v>100 Avenue A, Unit 4C</v>
      </c>
      <c r="B1255" s="2" t="str">
        <f t="shared" si="176"/>
        <v>100 Avenue A</v>
      </c>
      <c r="C1255" s="1" t="s">
        <v>71</v>
      </c>
      <c r="D1255" s="1" t="s">
        <v>41</v>
      </c>
      <c r="E1255" s="3">
        <v>1385000</v>
      </c>
      <c r="F1255" s="1">
        <v>2051.8518518518499</v>
      </c>
      <c r="G1255" s="1">
        <v>3</v>
      </c>
      <c r="H1255" s="1">
        <v>1</v>
      </c>
      <c r="I1255" s="1">
        <v>1</v>
      </c>
      <c r="J1255" s="1">
        <v>1</v>
      </c>
      <c r="K1255" s="1">
        <v>1</v>
      </c>
      <c r="M1255" s="1">
        <v>675</v>
      </c>
      <c r="N1255" s="1">
        <v>893.2</v>
      </c>
      <c r="O1255" s="1">
        <v>1438.34</v>
      </c>
      <c r="P1255" s="1">
        <v>545.16666666666595</v>
      </c>
      <c r="Q1255" s="1" t="s">
        <v>42</v>
      </c>
      <c r="S1255" s="1" t="s">
        <v>42</v>
      </c>
      <c r="T1255" s="1" t="s">
        <v>273</v>
      </c>
      <c r="U1255" s="1">
        <v>35</v>
      </c>
      <c r="V1255" s="5">
        <v>43675</v>
      </c>
      <c r="W1255" s="5">
        <v>42432</v>
      </c>
      <c r="X1255" s="1">
        <v>1385000</v>
      </c>
      <c r="Y1255" s="1">
        <v>1385000</v>
      </c>
      <c r="Z1255" s="5">
        <v>42467</v>
      </c>
      <c r="AA1255" s="1">
        <v>1385000</v>
      </c>
      <c r="AB1255" s="1" t="s">
        <v>549</v>
      </c>
      <c r="AC1255" s="5">
        <v>42713</v>
      </c>
      <c r="AF1255" s="1">
        <v>10009</v>
      </c>
      <c r="AI1255" s="1" t="s">
        <v>514</v>
      </c>
      <c r="AJ1255" s="1">
        <v>2016</v>
      </c>
      <c r="AK1255" s="1" t="s">
        <v>108</v>
      </c>
    </row>
    <row r="1256" spans="1:37" x14ac:dyDescent="0.2">
      <c r="A1256" s="2" t="str">
        <f>HYPERLINK("https://www.compass.com/listing/100-avenue-a-unit-5b-manhattan-ny-10009/29361262509015393/","100 Avenue A, Unit 5B")</f>
        <v>100 Avenue A, Unit 5B</v>
      </c>
      <c r="B1256" s="2" t="str">
        <f t="shared" si="176"/>
        <v>100 Avenue A</v>
      </c>
      <c r="C1256" s="1" t="s">
        <v>71</v>
      </c>
      <c r="D1256" s="1" t="s">
        <v>41</v>
      </c>
      <c r="E1256" s="3">
        <v>1237000</v>
      </c>
      <c r="F1256" s="1">
        <v>1829.88165680473</v>
      </c>
      <c r="G1256" s="1">
        <v>3</v>
      </c>
      <c r="H1256" s="1">
        <v>1</v>
      </c>
      <c r="I1256" s="1">
        <v>1</v>
      </c>
      <c r="J1256" s="1">
        <v>1</v>
      </c>
      <c r="K1256" s="1">
        <v>1</v>
      </c>
      <c r="M1256" s="1">
        <v>676</v>
      </c>
      <c r="N1256" s="1">
        <v>545.95000000000005</v>
      </c>
      <c r="O1256" s="1">
        <v>1440.47</v>
      </c>
      <c r="P1256" s="1">
        <v>894.5</v>
      </c>
      <c r="Q1256" s="1" t="s">
        <v>42</v>
      </c>
      <c r="S1256" s="1" t="s">
        <v>42</v>
      </c>
      <c r="T1256" s="1" t="s">
        <v>273</v>
      </c>
      <c r="V1256" s="5">
        <v>43666</v>
      </c>
      <c r="W1256" s="5">
        <v>42537</v>
      </c>
      <c r="X1256" s="1">
        <v>1445000</v>
      </c>
      <c r="Y1256" s="1">
        <v>1445000</v>
      </c>
      <c r="Z1256" s="5">
        <v>42537</v>
      </c>
      <c r="AA1256" s="1">
        <v>1237000</v>
      </c>
      <c r="AB1256" s="1" t="s">
        <v>550</v>
      </c>
      <c r="AC1256" s="5">
        <v>42748</v>
      </c>
      <c r="AF1256" s="1">
        <v>10009</v>
      </c>
      <c r="AI1256" s="1" t="s">
        <v>514</v>
      </c>
      <c r="AJ1256" s="1">
        <v>2016</v>
      </c>
      <c r="AK1256" s="1" t="s">
        <v>108</v>
      </c>
    </row>
    <row r="1257" spans="1:37" x14ac:dyDescent="0.2">
      <c r="A1257" s="2" t="str">
        <f>HYPERLINK("https://www.compass.com/listing/100-avenue-a-unit-5c-manhattan-ny-10009/29361262810970113/","100 Avenue A, Unit 5C")</f>
        <v>100 Avenue A, Unit 5C</v>
      </c>
      <c r="B1257" s="2" t="str">
        <f t="shared" si="176"/>
        <v>100 Avenue A</v>
      </c>
      <c r="C1257" s="1" t="s">
        <v>71</v>
      </c>
      <c r="D1257" s="1" t="s">
        <v>41</v>
      </c>
      <c r="E1257" s="3">
        <v>1461189</v>
      </c>
      <c r="F1257" s="1">
        <v>2164.72444444444</v>
      </c>
      <c r="G1257" s="1">
        <v>3</v>
      </c>
      <c r="H1257" s="1">
        <v>1</v>
      </c>
      <c r="I1257" s="1">
        <v>1</v>
      </c>
      <c r="J1257" s="1">
        <v>1</v>
      </c>
      <c r="K1257" s="1">
        <v>1</v>
      </c>
      <c r="M1257" s="1">
        <v>675</v>
      </c>
      <c r="N1257" s="1">
        <v>893.2</v>
      </c>
      <c r="O1257" s="1">
        <v>1438.34</v>
      </c>
      <c r="P1257" s="1">
        <v>545.16666666666595</v>
      </c>
      <c r="Q1257" s="1" t="s">
        <v>42</v>
      </c>
      <c r="S1257" s="1" t="s">
        <v>42</v>
      </c>
      <c r="T1257" s="1" t="s">
        <v>273</v>
      </c>
      <c r="V1257" s="5">
        <v>43675</v>
      </c>
      <c r="W1257" s="5">
        <v>42469</v>
      </c>
      <c r="X1257" s="1">
        <v>1435000</v>
      </c>
      <c r="Y1257" s="1">
        <v>1435000</v>
      </c>
      <c r="Z1257" s="5">
        <v>42469</v>
      </c>
      <c r="AA1257" s="1">
        <v>1461189</v>
      </c>
      <c r="AB1257" s="1" t="s">
        <v>551</v>
      </c>
      <c r="AC1257" s="5">
        <v>42713</v>
      </c>
      <c r="AF1257" s="1">
        <v>10009</v>
      </c>
      <c r="AI1257" s="1" t="s">
        <v>514</v>
      </c>
      <c r="AJ1257" s="1">
        <v>2016</v>
      </c>
      <c r="AK1257" s="1" t="s">
        <v>108</v>
      </c>
    </row>
    <row r="1258" spans="1:37" x14ac:dyDescent="0.2">
      <c r="A1258" s="2" t="str">
        <f>HYPERLINK("https://www.compass.com/listing/100-avenue-a-unit-5e-manhattan-ny-10009/29361263574368625/","100 Avenue A, Unit 5E")</f>
        <v>100 Avenue A, Unit 5E</v>
      </c>
      <c r="B1258" s="2" t="str">
        <f t="shared" si="176"/>
        <v>100 Avenue A</v>
      </c>
      <c r="C1258" s="1" t="s">
        <v>71</v>
      </c>
      <c r="D1258" s="1" t="s">
        <v>41</v>
      </c>
      <c r="E1258" s="3">
        <v>1221900</v>
      </c>
      <c r="F1258" s="1">
        <v>1776.0174418604599</v>
      </c>
      <c r="G1258" s="1">
        <v>3</v>
      </c>
      <c r="H1258" s="1">
        <v>1</v>
      </c>
      <c r="I1258" s="1">
        <v>1</v>
      </c>
      <c r="J1258" s="1">
        <v>1</v>
      </c>
      <c r="K1258" s="1">
        <v>1</v>
      </c>
      <c r="M1258" s="1">
        <v>688</v>
      </c>
      <c r="N1258" s="1">
        <v>914.84</v>
      </c>
      <c r="O1258" s="1">
        <v>1473.2</v>
      </c>
      <c r="P1258" s="1">
        <v>558.33333333333303</v>
      </c>
      <c r="Q1258" s="1" t="s">
        <v>42</v>
      </c>
      <c r="S1258" s="1" t="s">
        <v>42</v>
      </c>
      <c r="T1258" s="1" t="s">
        <v>273</v>
      </c>
      <c r="V1258" s="5">
        <v>43664</v>
      </c>
      <c r="W1258" s="5">
        <v>42761</v>
      </c>
      <c r="X1258" s="1">
        <v>1495000</v>
      </c>
      <c r="Y1258" s="1">
        <v>1495000</v>
      </c>
      <c r="Z1258" s="5">
        <v>42761</v>
      </c>
      <c r="AA1258" s="1">
        <v>1221900</v>
      </c>
      <c r="AB1258" s="1" t="s">
        <v>552</v>
      </c>
      <c r="AC1258" s="5">
        <v>42790</v>
      </c>
      <c r="AF1258" s="1">
        <v>10009</v>
      </c>
      <c r="AI1258" s="1" t="s">
        <v>514</v>
      </c>
      <c r="AJ1258" s="1">
        <v>2016</v>
      </c>
      <c r="AK1258" s="1" t="s">
        <v>108</v>
      </c>
    </row>
    <row r="1259" spans="1:37" x14ac:dyDescent="0.2">
      <c r="A1259" s="2" t="str">
        <f>HYPERLINK("https://www.compass.com/listing/100-avenue-a-unit-6b-manhattan-ny-10009/29361264220296705/","100 Avenue A, Unit 6B")</f>
        <v>100 Avenue A, Unit 6B</v>
      </c>
      <c r="B1259" s="2" t="str">
        <f t="shared" si="176"/>
        <v>100 Avenue A</v>
      </c>
      <c r="C1259" s="1" t="s">
        <v>71</v>
      </c>
      <c r="D1259" s="1" t="s">
        <v>41</v>
      </c>
      <c r="E1259" s="3">
        <v>1495000</v>
      </c>
      <c r="F1259" s="1">
        <v>2211.5384615384601</v>
      </c>
      <c r="G1259" s="1">
        <v>3</v>
      </c>
      <c r="H1259" s="1">
        <v>1</v>
      </c>
      <c r="I1259" s="1">
        <v>1</v>
      </c>
      <c r="J1259" s="1">
        <v>1</v>
      </c>
      <c r="K1259" s="1">
        <v>1</v>
      </c>
      <c r="M1259" s="1">
        <v>676</v>
      </c>
      <c r="N1259" s="1">
        <v>894.52</v>
      </c>
      <c r="O1259" s="1">
        <v>1440.47</v>
      </c>
      <c r="P1259" s="1">
        <v>545.91666666666595</v>
      </c>
      <c r="Q1259" s="1" t="s">
        <v>42</v>
      </c>
      <c r="S1259" s="1" t="s">
        <v>42</v>
      </c>
      <c r="T1259" s="1" t="s">
        <v>273</v>
      </c>
      <c r="U1259" s="1">
        <v>16</v>
      </c>
      <c r="V1259" s="5">
        <v>43673</v>
      </c>
      <c r="W1259" s="5">
        <v>42432</v>
      </c>
      <c r="X1259" s="1">
        <v>1495000</v>
      </c>
      <c r="Y1259" s="1">
        <v>1495000</v>
      </c>
      <c r="Z1259" s="5">
        <v>42448</v>
      </c>
      <c r="AA1259" s="1">
        <v>1495000</v>
      </c>
      <c r="AB1259" s="1" t="s">
        <v>553</v>
      </c>
      <c r="AC1259" s="5">
        <v>42725</v>
      </c>
      <c r="AF1259" s="1">
        <v>10009</v>
      </c>
      <c r="AI1259" s="1" t="s">
        <v>514</v>
      </c>
      <c r="AJ1259" s="1">
        <v>2016</v>
      </c>
      <c r="AK1259" s="1" t="s">
        <v>108</v>
      </c>
    </row>
    <row r="1260" spans="1:37" x14ac:dyDescent="0.2">
      <c r="A1260" s="2" t="str">
        <f>HYPERLINK("https://www.compass.com/listing/100-avenue-a-unit-6c-manhattan-ny-10009/29361264589390209/","100 Avenue A, Unit 6C")</f>
        <v>100 Avenue A, Unit 6C</v>
      </c>
      <c r="B1260" s="2" t="str">
        <f t="shared" si="176"/>
        <v>100 Avenue A</v>
      </c>
      <c r="C1260" s="1" t="s">
        <v>71</v>
      </c>
      <c r="D1260" s="1" t="s">
        <v>41</v>
      </c>
      <c r="E1260" s="3">
        <v>1310000</v>
      </c>
      <c r="F1260" s="1">
        <v>1940.74074074074</v>
      </c>
      <c r="G1260" s="1">
        <v>3</v>
      </c>
      <c r="H1260" s="1">
        <v>1</v>
      </c>
      <c r="I1260" s="1">
        <v>1</v>
      </c>
      <c r="J1260" s="1">
        <v>1</v>
      </c>
      <c r="K1260" s="1">
        <v>1</v>
      </c>
      <c r="M1260" s="1">
        <v>675</v>
      </c>
      <c r="N1260" s="1">
        <v>893.2</v>
      </c>
      <c r="O1260" s="1">
        <v>1438.34</v>
      </c>
      <c r="P1260" s="1">
        <v>545.16666666666595</v>
      </c>
      <c r="Q1260" s="1" t="s">
        <v>42</v>
      </c>
      <c r="S1260" s="1" t="s">
        <v>42</v>
      </c>
      <c r="T1260" s="1" t="s">
        <v>273</v>
      </c>
      <c r="U1260" s="1">
        <v>151</v>
      </c>
      <c r="V1260" s="5">
        <v>43676</v>
      </c>
      <c r="W1260" s="5">
        <v>42472</v>
      </c>
      <c r="X1260" s="1">
        <v>1485000</v>
      </c>
      <c r="Y1260" s="1">
        <v>1485000</v>
      </c>
      <c r="Z1260" s="5">
        <v>42756</v>
      </c>
      <c r="AA1260" s="1">
        <v>1310000</v>
      </c>
      <c r="AB1260" s="1" t="s">
        <v>554</v>
      </c>
      <c r="AC1260" s="5">
        <v>42824</v>
      </c>
      <c r="AF1260" s="1">
        <v>10009</v>
      </c>
      <c r="AI1260" s="1" t="s">
        <v>514</v>
      </c>
      <c r="AJ1260" s="1">
        <v>2016</v>
      </c>
      <c r="AK1260" s="1" t="s">
        <v>108</v>
      </c>
    </row>
    <row r="1261" spans="1:37" x14ac:dyDescent="0.2">
      <c r="A1261" s="2" t="str">
        <f>HYPERLINK("https://www.compass.com/listing/100-avenue-a-unit-6e-manhattan-ny-10009/29361265294038545/","100 Avenue A, Unit 6E")</f>
        <v>100 Avenue A, Unit 6E</v>
      </c>
      <c r="B1261" s="2" t="str">
        <f t="shared" si="176"/>
        <v>100 Avenue A</v>
      </c>
      <c r="C1261" s="1" t="s">
        <v>71</v>
      </c>
      <c r="D1261" s="1" t="s">
        <v>41</v>
      </c>
      <c r="E1261" s="3">
        <v>1250000</v>
      </c>
      <c r="F1261" s="1">
        <v>1803.7518037518</v>
      </c>
      <c r="G1261" s="1">
        <v>3</v>
      </c>
      <c r="H1261" s="1">
        <v>1</v>
      </c>
      <c r="I1261" s="1">
        <v>1</v>
      </c>
      <c r="J1261" s="1">
        <v>1</v>
      </c>
      <c r="K1261" s="1">
        <v>1</v>
      </c>
      <c r="M1261" s="1">
        <v>693</v>
      </c>
      <c r="N1261" s="1">
        <v>924</v>
      </c>
      <c r="O1261" s="1">
        <v>1488</v>
      </c>
      <c r="P1261" s="1">
        <v>564</v>
      </c>
      <c r="Q1261" s="1" t="s">
        <v>42</v>
      </c>
      <c r="S1261" s="1" t="s">
        <v>42</v>
      </c>
      <c r="T1261" s="1" t="s">
        <v>273</v>
      </c>
      <c r="U1261" s="1">
        <v>422</v>
      </c>
      <c r="V1261" s="5">
        <v>43676</v>
      </c>
      <c r="W1261" s="5">
        <v>42432</v>
      </c>
      <c r="X1261" s="1">
        <v>1325000</v>
      </c>
      <c r="Y1261" s="1">
        <v>1325000</v>
      </c>
      <c r="Z1261" s="5">
        <v>42854</v>
      </c>
      <c r="AA1261" s="1">
        <v>1250000</v>
      </c>
      <c r="AB1261" s="1" t="s">
        <v>555</v>
      </c>
      <c r="AC1261" s="5">
        <v>42877</v>
      </c>
      <c r="AF1261" s="1">
        <v>10009</v>
      </c>
      <c r="AI1261" s="1" t="s">
        <v>514</v>
      </c>
      <c r="AJ1261" s="1">
        <v>2016</v>
      </c>
      <c r="AK1261" s="1" t="s">
        <v>108</v>
      </c>
    </row>
    <row r="1262" spans="1:37" x14ac:dyDescent="0.2">
      <c r="A1262" s="2" t="str">
        <f>HYPERLINK("https://www.compass.com/listing/100-avenue-a-unit-phc-manhattan-ny-10009/29361267298915889/","100 Avenue A, Unit PHC")</f>
        <v>100 Avenue A, Unit PHC</v>
      </c>
      <c r="B1262" s="2" t="str">
        <f t="shared" si="176"/>
        <v>100 Avenue A</v>
      </c>
      <c r="C1262" s="1" t="s">
        <v>71</v>
      </c>
      <c r="D1262" s="1" t="s">
        <v>41</v>
      </c>
      <c r="E1262" s="3">
        <v>1578288</v>
      </c>
      <c r="F1262" s="1">
        <v>2497.2911392404999</v>
      </c>
      <c r="G1262" s="1">
        <v>3</v>
      </c>
      <c r="H1262" s="1">
        <v>1</v>
      </c>
      <c r="I1262" s="1">
        <v>1</v>
      </c>
      <c r="J1262" s="1">
        <v>1</v>
      </c>
      <c r="K1262" s="1">
        <v>1</v>
      </c>
      <c r="M1262" s="1">
        <v>632</v>
      </c>
      <c r="N1262" s="1">
        <v>852.84</v>
      </c>
      <c r="O1262" s="1">
        <v>1373.35</v>
      </c>
      <c r="P1262" s="1">
        <v>520.5</v>
      </c>
      <c r="Q1262" s="1" t="s">
        <v>42</v>
      </c>
      <c r="S1262" s="1" t="s">
        <v>42</v>
      </c>
      <c r="T1262" s="1" t="s">
        <v>273</v>
      </c>
      <c r="U1262" s="1">
        <v>96</v>
      </c>
      <c r="V1262" s="5">
        <v>43672</v>
      </c>
      <c r="W1262" s="5">
        <v>42433</v>
      </c>
      <c r="X1262" s="1">
        <v>1635000</v>
      </c>
      <c r="Y1262" s="1">
        <v>1635000</v>
      </c>
      <c r="Z1262" s="5">
        <v>42529</v>
      </c>
      <c r="AA1262" s="1">
        <v>1578288</v>
      </c>
      <c r="AB1262" s="1" t="s">
        <v>556</v>
      </c>
      <c r="AC1262" s="5">
        <v>42711</v>
      </c>
      <c r="AF1262" s="1">
        <v>10009</v>
      </c>
      <c r="AI1262" s="1" t="s">
        <v>509</v>
      </c>
      <c r="AJ1262" s="1">
        <v>2016</v>
      </c>
      <c r="AK1262" s="1" t="s">
        <v>108</v>
      </c>
    </row>
    <row r="1263" spans="1:37" x14ac:dyDescent="0.2">
      <c r="A1263" s="2" t="str">
        <f>HYPERLINK("https://www.compass.com/listing/100-avenue-a-unit-phe-manhattan-ny-10009/29361267617677745/","100 Avenue A, Unit PHE")</f>
        <v>100 Avenue A, Unit PHE</v>
      </c>
      <c r="B1263" s="2" t="str">
        <f t="shared" si="176"/>
        <v>100 Avenue A</v>
      </c>
      <c r="C1263" s="1" t="s">
        <v>71</v>
      </c>
      <c r="D1263" s="1" t="s">
        <v>41</v>
      </c>
      <c r="E1263" s="3">
        <v>1400094</v>
      </c>
      <c r="F1263" s="1">
        <v>2020.33766233766</v>
      </c>
      <c r="G1263" s="1">
        <v>3</v>
      </c>
      <c r="H1263" s="1">
        <v>1</v>
      </c>
      <c r="I1263" s="1">
        <v>1</v>
      </c>
      <c r="J1263" s="1">
        <v>1</v>
      </c>
      <c r="K1263" s="1">
        <v>1</v>
      </c>
      <c r="M1263" s="1">
        <v>693</v>
      </c>
      <c r="N1263" s="1">
        <v>941.49</v>
      </c>
      <c r="O1263" s="1">
        <v>1516.12</v>
      </c>
      <c r="P1263" s="1">
        <v>574.66666666666595</v>
      </c>
      <c r="Q1263" s="1" t="s">
        <v>42</v>
      </c>
      <c r="S1263" s="1" t="s">
        <v>42</v>
      </c>
      <c r="T1263" s="1" t="s">
        <v>273</v>
      </c>
      <c r="U1263" s="1">
        <v>47</v>
      </c>
      <c r="V1263" s="5">
        <v>43677</v>
      </c>
      <c r="W1263" s="5">
        <v>42453</v>
      </c>
      <c r="X1263" s="1">
        <v>1675000</v>
      </c>
      <c r="Y1263" s="1">
        <v>1675000</v>
      </c>
      <c r="Z1263" s="5">
        <v>42730</v>
      </c>
      <c r="AA1263" s="1">
        <v>1400094</v>
      </c>
      <c r="AB1263" s="1" t="s">
        <v>557</v>
      </c>
      <c r="AC1263" s="5">
        <v>42766</v>
      </c>
      <c r="AF1263" s="1">
        <v>10009</v>
      </c>
      <c r="AI1263" s="1" t="s">
        <v>514</v>
      </c>
      <c r="AJ1263" s="1">
        <v>2016</v>
      </c>
      <c r="AK1263" s="1" t="s">
        <v>108</v>
      </c>
    </row>
    <row r="1264" spans="1:37" x14ac:dyDescent="0.2">
      <c r="A1264" s="2" t="str">
        <f>HYPERLINK("https://www.compass.com/listing/100-avenue-a-unit-4e-manhattan-ny-10009/50867659448902097/","100 Avenue A, Unit 4E")</f>
        <v>100 Avenue A, Unit 4E</v>
      </c>
      <c r="B1264" s="2" t="str">
        <f t="shared" si="176"/>
        <v>100 Avenue A</v>
      </c>
      <c r="C1264" s="1" t="s">
        <v>71</v>
      </c>
      <c r="D1264" s="1" t="s">
        <v>41</v>
      </c>
      <c r="E1264" s="3">
        <v>1236300</v>
      </c>
      <c r="F1264" s="1">
        <v>1783.9826839826801</v>
      </c>
      <c r="G1264" s="1">
        <v>3</v>
      </c>
      <c r="H1264" s="1">
        <v>1</v>
      </c>
      <c r="I1264" s="1">
        <v>1</v>
      </c>
      <c r="J1264" s="1">
        <v>1</v>
      </c>
      <c r="K1264" s="1">
        <v>1</v>
      </c>
      <c r="M1264" s="1">
        <v>693</v>
      </c>
      <c r="N1264" s="1">
        <v>917.02</v>
      </c>
      <c r="O1264" s="1">
        <v>1476.69999999999</v>
      </c>
      <c r="P1264" s="1">
        <v>559.66666666666595</v>
      </c>
      <c r="Q1264" s="1" t="s">
        <v>42</v>
      </c>
      <c r="S1264" s="1" t="s">
        <v>42</v>
      </c>
      <c r="T1264" s="1" t="s">
        <v>273</v>
      </c>
      <c r="U1264" s="1">
        <v>122</v>
      </c>
      <c r="V1264" s="5">
        <v>42826</v>
      </c>
      <c r="W1264" s="5">
        <v>42499</v>
      </c>
      <c r="X1264" s="1">
        <v>1295000</v>
      </c>
      <c r="Y1264" s="1">
        <v>1295000</v>
      </c>
      <c r="AA1264" s="1">
        <v>1236300</v>
      </c>
      <c r="AB1264" s="1" t="s">
        <v>558</v>
      </c>
      <c r="AC1264" s="5">
        <v>42720</v>
      </c>
      <c r="AF1264" s="1">
        <v>10009</v>
      </c>
      <c r="AI1264" s="1" t="s">
        <v>514</v>
      </c>
      <c r="AJ1264" s="1">
        <v>2016</v>
      </c>
      <c r="AK1264" s="1" t="s">
        <v>108</v>
      </c>
    </row>
    <row r="1265" spans="1:38" x14ac:dyDescent="0.2">
      <c r="A1265" s="2" t="str">
        <f>HYPERLINK("https://www.compass.com/listing/100-avenue-a-unit-4e-manhattan-ny-10009/803322734801082777/","100 Avenue A, Unit 4E")</f>
        <v>100 Avenue A, Unit 4E</v>
      </c>
      <c r="B1265" s="2" t="str">
        <f t="shared" si="176"/>
        <v>100 Avenue A</v>
      </c>
      <c r="C1265" s="1" t="s">
        <v>71</v>
      </c>
      <c r="D1265" s="1" t="s">
        <v>41</v>
      </c>
      <c r="E1265" s="3">
        <v>1236300</v>
      </c>
      <c r="F1265" s="1">
        <v>1783.9826839826801</v>
      </c>
      <c r="G1265" s="1">
        <v>3</v>
      </c>
      <c r="H1265" s="1">
        <v>1</v>
      </c>
      <c r="I1265" s="1">
        <v>1</v>
      </c>
      <c r="J1265" s="1">
        <v>1</v>
      </c>
      <c r="K1265" s="1">
        <v>1</v>
      </c>
      <c r="M1265" s="1">
        <v>693</v>
      </c>
      <c r="N1265" s="1">
        <v>887.91</v>
      </c>
      <c r="O1265" s="1">
        <v>1430.78</v>
      </c>
      <c r="P1265" s="1">
        <v>542.83333333333303</v>
      </c>
      <c r="Q1265" s="1" t="s">
        <v>42</v>
      </c>
      <c r="S1265" s="1" t="s">
        <v>42</v>
      </c>
      <c r="T1265" s="1" t="s">
        <v>273</v>
      </c>
      <c r="U1265" s="1">
        <v>137</v>
      </c>
      <c r="V1265" s="5">
        <v>42721</v>
      </c>
      <c r="W1265" s="5">
        <v>42499</v>
      </c>
      <c r="X1265" s="1">
        <v>1445000</v>
      </c>
      <c r="Y1265" s="1">
        <v>1445000</v>
      </c>
      <c r="Z1265" s="5">
        <v>42636</v>
      </c>
      <c r="AA1265" s="1">
        <v>1236300</v>
      </c>
      <c r="AB1265" s="1" t="s">
        <v>558</v>
      </c>
      <c r="AC1265" s="5">
        <v>42720</v>
      </c>
      <c r="AF1265" s="1">
        <v>10009</v>
      </c>
      <c r="AI1265" s="1" t="s">
        <v>514</v>
      </c>
      <c r="AJ1265" s="1">
        <v>2016</v>
      </c>
      <c r="AK1265" s="1" t="s">
        <v>108</v>
      </c>
    </row>
    <row r="1266" spans="1:38" x14ac:dyDescent="0.2">
      <c r="A1266" s="2" t="str">
        <f>HYPERLINK("https://www.compass.com/listing/211-west-14th-street-unit-8b-manhattan-ny-10011/29514440982475793/","211 W 14th St, Unit 8B")</f>
        <v>211 W 14th St, Unit 8B</v>
      </c>
      <c r="B1266" s="2" t="str">
        <f>HYPERLINK("https://www.compass.com/building/dorsay-manhattan-ny/292801633543285477/","d'Orsay")</f>
        <v>d'Orsay</v>
      </c>
      <c r="C1266" s="1" t="s">
        <v>62</v>
      </c>
      <c r="D1266" s="1" t="s">
        <v>41</v>
      </c>
      <c r="E1266" s="3">
        <v>3460918</v>
      </c>
      <c r="F1266" s="1">
        <v>2578.9254843517101</v>
      </c>
      <c r="G1266" s="1">
        <v>4</v>
      </c>
      <c r="H1266" s="1">
        <v>2</v>
      </c>
      <c r="I1266" s="1">
        <v>3</v>
      </c>
      <c r="J1266" s="1">
        <v>2.5</v>
      </c>
      <c r="K1266" s="1">
        <v>2</v>
      </c>
      <c r="L1266" s="1">
        <v>1</v>
      </c>
      <c r="M1266" s="4">
        <v>1342</v>
      </c>
      <c r="N1266" s="1">
        <v>2743</v>
      </c>
      <c r="O1266" s="1">
        <v>3990</v>
      </c>
      <c r="P1266" s="1">
        <v>1247</v>
      </c>
      <c r="Q1266" s="1" t="s">
        <v>42</v>
      </c>
      <c r="S1266" s="1" t="s">
        <v>42</v>
      </c>
      <c r="T1266" s="1" t="s">
        <v>273</v>
      </c>
      <c r="U1266" s="1">
        <v>252</v>
      </c>
      <c r="V1266" s="5">
        <v>43678</v>
      </c>
      <c r="W1266" s="5">
        <v>42808</v>
      </c>
      <c r="X1266" s="1">
        <v>3425000</v>
      </c>
      <c r="Y1266" s="1">
        <v>3450000</v>
      </c>
      <c r="Z1266" s="5">
        <v>43060</v>
      </c>
      <c r="AA1266" s="1">
        <v>3460918</v>
      </c>
      <c r="AB1266" s="1" t="s">
        <v>559</v>
      </c>
      <c r="AC1266" s="5">
        <v>43341</v>
      </c>
      <c r="AF1266" s="1">
        <v>10011</v>
      </c>
      <c r="AI1266" s="1" t="s">
        <v>238</v>
      </c>
      <c r="AJ1266" s="1">
        <v>2018</v>
      </c>
      <c r="AK1266" s="1" t="s">
        <v>46</v>
      </c>
      <c r="AL1266" s="1">
        <v>21</v>
      </c>
    </row>
    <row r="1267" spans="1:38" x14ac:dyDescent="0.2">
      <c r="A1267" s="2" t="str">
        <f>HYPERLINK("https://www.compass.com/listing/155-west-18th-street-unit-303-manhattan-ny-10011/29373029091910081/","155 W 18th St, Unit 303")</f>
        <v>155 W 18th St, Unit 303</v>
      </c>
      <c r="B1267" s="2" t="str">
        <f t="shared" ref="B1267:B1270" si="177">HYPERLINK("https://www.compass.com/building/the-flynn-manhattan-ny/281905793161251925/","The Flynn")</f>
        <v>The Flynn</v>
      </c>
      <c r="C1267" s="1" t="s">
        <v>62</v>
      </c>
      <c r="D1267" s="1" t="s">
        <v>41</v>
      </c>
      <c r="E1267" s="3">
        <v>1374638</v>
      </c>
      <c r="F1267" s="1">
        <v>1972.2209469153499</v>
      </c>
      <c r="G1267" s="1">
        <v>2</v>
      </c>
      <c r="H1267" s="1">
        <v>1</v>
      </c>
      <c r="I1267" s="1">
        <v>2</v>
      </c>
      <c r="J1267" s="1">
        <v>0.5</v>
      </c>
      <c r="L1267" s="1">
        <v>1</v>
      </c>
      <c r="M1267" s="1">
        <v>697</v>
      </c>
      <c r="N1267" s="1">
        <v>1062</v>
      </c>
      <c r="O1267" s="1">
        <v>1876</v>
      </c>
      <c r="P1267" s="1">
        <v>814</v>
      </c>
      <c r="Q1267" s="1" t="s">
        <v>42</v>
      </c>
      <c r="S1267" s="1" t="s">
        <v>42</v>
      </c>
      <c r="T1267" s="1" t="s">
        <v>273</v>
      </c>
      <c r="U1267" s="1">
        <v>1</v>
      </c>
      <c r="V1267" s="5">
        <v>43640</v>
      </c>
      <c r="W1267" s="5">
        <v>42389</v>
      </c>
      <c r="X1267" s="1">
        <v>1450000</v>
      </c>
      <c r="Y1267" s="1">
        <v>1450000</v>
      </c>
      <c r="Z1267" s="5">
        <v>42390</v>
      </c>
      <c r="AA1267" s="1">
        <v>1374638</v>
      </c>
      <c r="AB1267" s="1" t="s">
        <v>560</v>
      </c>
      <c r="AC1267" s="5">
        <v>42678</v>
      </c>
      <c r="AF1267" s="1">
        <v>10011</v>
      </c>
      <c r="AI1267" s="1" t="s">
        <v>495</v>
      </c>
      <c r="AJ1267" s="1">
        <v>2016</v>
      </c>
      <c r="AK1267" s="1" t="s">
        <v>108</v>
      </c>
      <c r="AL1267" s="1">
        <v>30</v>
      </c>
    </row>
    <row r="1268" spans="1:38" x14ac:dyDescent="0.2">
      <c r="A1268" s="2" t="str">
        <f>HYPERLINK("https://www.compass.com/listing/155-west-18th-street-unit-403-manhattan-ny-10011/29373029981145937/","155 W 18th St, Unit 403")</f>
        <v>155 W 18th St, Unit 403</v>
      </c>
      <c r="B1268" s="2" t="str">
        <f t="shared" si="177"/>
        <v>The Flynn</v>
      </c>
      <c r="C1268" s="1" t="s">
        <v>62</v>
      </c>
      <c r="D1268" s="1" t="s">
        <v>41</v>
      </c>
      <c r="E1268" s="3">
        <v>1476462</v>
      </c>
      <c r="F1268" s="1">
        <v>2118.30989956958</v>
      </c>
      <c r="G1268" s="1">
        <v>2</v>
      </c>
      <c r="H1268" s="1">
        <v>1</v>
      </c>
      <c r="I1268" s="1">
        <v>2</v>
      </c>
      <c r="J1268" s="1">
        <v>0.5</v>
      </c>
      <c r="L1268" s="1">
        <v>1</v>
      </c>
      <c r="M1268" s="1">
        <v>697</v>
      </c>
      <c r="N1268" s="1">
        <v>1062</v>
      </c>
      <c r="O1268" s="1">
        <v>1876</v>
      </c>
      <c r="P1268" s="1">
        <v>814</v>
      </c>
      <c r="Q1268" s="1" t="s">
        <v>42</v>
      </c>
      <c r="S1268" s="1" t="s">
        <v>42</v>
      </c>
      <c r="T1268" s="1" t="s">
        <v>273</v>
      </c>
      <c r="U1268" s="1">
        <v>1</v>
      </c>
      <c r="V1268" s="5">
        <v>43661</v>
      </c>
      <c r="W1268" s="5">
        <v>42389</v>
      </c>
      <c r="X1268" s="1">
        <v>1500000</v>
      </c>
      <c r="Y1268" s="1">
        <v>1500000</v>
      </c>
      <c r="Z1268" s="5">
        <v>42390</v>
      </c>
      <c r="AA1268" s="1">
        <v>1476462</v>
      </c>
      <c r="AB1268" s="1" t="s">
        <v>561</v>
      </c>
      <c r="AC1268" s="5">
        <v>42663</v>
      </c>
      <c r="AF1268" s="1">
        <v>10011</v>
      </c>
      <c r="AI1268" s="1" t="s">
        <v>114</v>
      </c>
      <c r="AJ1268" s="1">
        <v>2016</v>
      </c>
      <c r="AK1268" s="1" t="s">
        <v>108</v>
      </c>
      <c r="AL1268" s="1">
        <v>30</v>
      </c>
    </row>
    <row r="1269" spans="1:38" x14ac:dyDescent="0.2">
      <c r="A1269" s="2" t="str">
        <f>HYPERLINK("https://www.compass.com/listing/155-west-18th-street-unit-603-manhattan-ny-10011/29373032220907249/","155 W 18th St, Unit 603")</f>
        <v>155 W 18th St, Unit 603</v>
      </c>
      <c r="B1269" s="2" t="str">
        <f t="shared" si="177"/>
        <v>The Flynn</v>
      </c>
      <c r="C1269" s="1" t="s">
        <v>62</v>
      </c>
      <c r="D1269" s="1" t="s">
        <v>41</v>
      </c>
      <c r="E1269" s="3">
        <v>1629200</v>
      </c>
      <c r="F1269" s="1">
        <v>2337.4461979913899</v>
      </c>
      <c r="G1269" s="1">
        <v>2</v>
      </c>
      <c r="H1269" s="1">
        <v>1</v>
      </c>
      <c r="I1269" s="1">
        <v>2</v>
      </c>
      <c r="J1269" s="1">
        <v>0.5</v>
      </c>
      <c r="L1269" s="1">
        <v>1</v>
      </c>
      <c r="M1269" s="1">
        <v>697</v>
      </c>
      <c r="N1269" s="1">
        <v>1062</v>
      </c>
      <c r="O1269" s="1">
        <v>1876</v>
      </c>
      <c r="P1269" s="1">
        <v>814</v>
      </c>
      <c r="Q1269" s="1" t="s">
        <v>42</v>
      </c>
      <c r="S1269" s="1" t="s">
        <v>42</v>
      </c>
      <c r="T1269" s="1" t="s">
        <v>273</v>
      </c>
      <c r="U1269" s="1">
        <v>21</v>
      </c>
      <c r="V1269" s="5">
        <v>43640</v>
      </c>
      <c r="W1269" s="5">
        <v>42378</v>
      </c>
      <c r="X1269" s="1">
        <v>1600000</v>
      </c>
      <c r="Y1269" s="1">
        <v>1775000</v>
      </c>
      <c r="Z1269" s="5">
        <v>42399</v>
      </c>
      <c r="AA1269" s="1">
        <v>1629200</v>
      </c>
      <c r="AB1269" s="1" t="s">
        <v>562</v>
      </c>
      <c r="AC1269" s="5">
        <v>42696</v>
      </c>
      <c r="AF1269" s="1">
        <v>10011</v>
      </c>
      <c r="AI1269" s="1" t="s">
        <v>114</v>
      </c>
      <c r="AJ1269" s="1">
        <v>2016</v>
      </c>
      <c r="AK1269" s="1" t="s">
        <v>108</v>
      </c>
      <c r="AL1269" s="1">
        <v>30</v>
      </c>
    </row>
    <row r="1270" spans="1:38" x14ac:dyDescent="0.2">
      <c r="A1270" s="2" t="str">
        <f>HYPERLINK("https://www.compass.com/listing/155-west-18th-street-unit-503-manhattan-ny-10011/4829943417511357521/","155 W 18th St, Unit 503")</f>
        <v>155 W 18th St, Unit 503</v>
      </c>
      <c r="B1270" s="2" t="str">
        <f t="shared" si="177"/>
        <v>The Flynn</v>
      </c>
      <c r="C1270" s="1" t="s">
        <v>62</v>
      </c>
      <c r="D1270" s="1" t="s">
        <v>41</v>
      </c>
      <c r="E1270" s="3">
        <v>1550000</v>
      </c>
      <c r="F1270" s="1">
        <v>2223.8163558106098</v>
      </c>
      <c r="G1270" s="1">
        <v>2</v>
      </c>
      <c r="H1270" s="1">
        <v>1</v>
      </c>
      <c r="I1270" s="1">
        <v>2</v>
      </c>
      <c r="J1270" s="1">
        <v>0.5</v>
      </c>
      <c r="L1270" s="1">
        <v>1</v>
      </c>
      <c r="M1270" s="1">
        <v>697</v>
      </c>
      <c r="N1270" s="1">
        <v>1062</v>
      </c>
      <c r="O1270" s="1">
        <v>1876</v>
      </c>
      <c r="P1270" s="1">
        <v>814</v>
      </c>
      <c r="Q1270" s="1" t="s">
        <v>42</v>
      </c>
      <c r="S1270" s="1" t="s">
        <v>42</v>
      </c>
      <c r="T1270" s="1" t="s">
        <v>273</v>
      </c>
      <c r="U1270" s="1">
        <v>1</v>
      </c>
      <c r="V1270" s="5">
        <v>43658</v>
      </c>
      <c r="W1270" s="5">
        <v>42389</v>
      </c>
      <c r="X1270" s="1">
        <v>1550000</v>
      </c>
      <c r="Y1270" s="1">
        <v>1550000</v>
      </c>
      <c r="Z1270" s="5">
        <v>42390</v>
      </c>
      <c r="AA1270" s="1">
        <v>1550000</v>
      </c>
      <c r="AB1270" s="1" t="s">
        <v>563</v>
      </c>
      <c r="AC1270" s="5">
        <v>42692</v>
      </c>
      <c r="AF1270" s="1">
        <v>10011</v>
      </c>
      <c r="AI1270" s="1" t="s">
        <v>495</v>
      </c>
      <c r="AJ1270" s="1">
        <v>2016</v>
      </c>
      <c r="AK1270" s="1" t="s">
        <v>108</v>
      </c>
      <c r="AL1270" s="1">
        <v>30</v>
      </c>
    </row>
    <row r="1271" spans="1:38" x14ac:dyDescent="0.2">
      <c r="A1271" s="2" t="str">
        <f>HYPERLINK("https://www.compass.com/listing/178-bleecker-street-unit-four-manhattan-ny-10012/29515050951694721/","178 Bleecker St, Unit FOUR")</f>
        <v>178 Bleecker St, Unit FOUR</v>
      </c>
      <c r="B1271" s="2" t="str">
        <f>HYPERLINK("https://www.compass.com/building/178-bleecker-st-manhattan-ny-10012/281913488861850821/","178 Bleecker St")</f>
        <v>178 Bleecker St</v>
      </c>
      <c r="C1271" s="1" t="s">
        <v>277</v>
      </c>
      <c r="D1271" s="1" t="s">
        <v>41</v>
      </c>
      <c r="E1271" s="3">
        <v>1965223</v>
      </c>
      <c r="F1271" s="1">
        <v>1757.8018783542</v>
      </c>
      <c r="G1271" s="1">
        <v>4</v>
      </c>
      <c r="H1271" s="1">
        <v>2</v>
      </c>
      <c r="I1271" s="1">
        <v>2</v>
      </c>
      <c r="J1271" s="1">
        <v>2</v>
      </c>
      <c r="K1271" s="1">
        <v>2</v>
      </c>
      <c r="M1271" s="4">
        <v>1118</v>
      </c>
      <c r="N1271" s="1">
        <v>825</v>
      </c>
      <c r="O1271" s="1">
        <v>2747</v>
      </c>
      <c r="P1271" s="1">
        <v>1922</v>
      </c>
      <c r="Q1271" s="1" t="s">
        <v>42</v>
      </c>
      <c r="S1271" s="1" t="s">
        <v>42</v>
      </c>
      <c r="T1271" s="1" t="s">
        <v>273</v>
      </c>
      <c r="U1271" s="1">
        <v>17</v>
      </c>
      <c r="V1271" s="5">
        <v>43648</v>
      </c>
      <c r="W1271" s="5">
        <v>43361</v>
      </c>
      <c r="X1271" s="1">
        <v>1995000</v>
      </c>
      <c r="Y1271" s="1">
        <v>1995000</v>
      </c>
      <c r="AA1271" s="1">
        <v>1965222.5</v>
      </c>
      <c r="AB1271" s="1" t="s">
        <v>564</v>
      </c>
      <c r="AC1271" s="5">
        <v>43378</v>
      </c>
      <c r="AF1271" s="1">
        <v>10012</v>
      </c>
      <c r="AI1271" s="1" t="s">
        <v>131</v>
      </c>
      <c r="AJ1271" s="1">
        <v>2017</v>
      </c>
      <c r="AL1271" s="1">
        <v>5</v>
      </c>
    </row>
    <row r="1272" spans="1:38" x14ac:dyDescent="0.2">
      <c r="A1272" s="2" t="str">
        <f>HYPERLINK("https://www.compass.com/listing/100-barrow-street-unit-9b-manhattan-ny-10014/467438784561524497/","100 Barrow St, Unit 9B")</f>
        <v>100 Barrow St, Unit 9B</v>
      </c>
      <c r="B1272" s="2" t="str">
        <f>HYPERLINK("https://www.compass.com/building/100-barrow-manhattan-ny/292834978184618837/","100 Barrow")</f>
        <v>100 Barrow</v>
      </c>
      <c r="C1272" s="1" t="s">
        <v>67</v>
      </c>
      <c r="D1272" s="1" t="s">
        <v>41</v>
      </c>
      <c r="E1272" s="3">
        <v>6100000</v>
      </c>
      <c r="F1272" s="1">
        <v>2604.6114432109298</v>
      </c>
      <c r="G1272" s="1">
        <v>5</v>
      </c>
      <c r="H1272" s="1">
        <v>3</v>
      </c>
      <c r="I1272" s="1">
        <v>4</v>
      </c>
      <c r="J1272" s="1">
        <v>3.5</v>
      </c>
      <c r="K1272" s="1">
        <v>3</v>
      </c>
      <c r="L1272" s="1">
        <v>1</v>
      </c>
      <c r="M1272" s="4">
        <v>2342</v>
      </c>
      <c r="N1272" s="1">
        <v>6983</v>
      </c>
      <c r="O1272" s="1">
        <v>6983</v>
      </c>
      <c r="Q1272" s="1" t="s">
        <v>272</v>
      </c>
      <c r="S1272" s="1" t="s">
        <v>272</v>
      </c>
      <c r="T1272" s="1" t="s">
        <v>273</v>
      </c>
      <c r="U1272" s="1">
        <v>199</v>
      </c>
      <c r="V1272" s="5">
        <v>44259</v>
      </c>
      <c r="W1272" s="5">
        <v>43896</v>
      </c>
      <c r="X1272" s="1">
        <v>7250000</v>
      </c>
      <c r="Y1272" s="1">
        <v>6800000</v>
      </c>
      <c r="Z1272" s="5">
        <v>44189</v>
      </c>
      <c r="AA1272" s="1">
        <v>6100000</v>
      </c>
      <c r="AB1272" s="1" t="s">
        <v>565</v>
      </c>
      <c r="AC1272" s="5">
        <v>44258</v>
      </c>
      <c r="AF1272" s="1">
        <v>10014</v>
      </c>
      <c r="AI1272" s="1" t="s">
        <v>177</v>
      </c>
      <c r="AJ1272" s="1">
        <v>2015</v>
      </c>
      <c r="AK1272" s="1" t="s">
        <v>46</v>
      </c>
      <c r="AL1272" s="1">
        <v>33</v>
      </c>
    </row>
    <row r="1273" spans="1:38" x14ac:dyDescent="0.2">
      <c r="A1273" s="2" t="str">
        <f>HYPERLINK("https://www.compass.com/listing/155-west-18th-street-unit-202-manhattan-ny-10011/29373027758121377/","155 W 18th St, Unit 202")</f>
        <v>155 W 18th St, Unit 202</v>
      </c>
      <c r="B1273" s="2" t="str">
        <f>HYPERLINK("https://www.compass.com/building/the-flynn-manhattan-ny/281905793161251925/","The Flynn")</f>
        <v>The Flynn</v>
      </c>
      <c r="C1273" s="1" t="s">
        <v>62</v>
      </c>
      <c r="D1273" s="1" t="s">
        <v>41</v>
      </c>
      <c r="E1273" s="3">
        <v>2189238</v>
      </c>
      <c r="F1273" s="1">
        <v>2019.5922509224999</v>
      </c>
      <c r="G1273" s="1">
        <v>3</v>
      </c>
      <c r="H1273" s="1">
        <v>2</v>
      </c>
      <c r="I1273" s="1">
        <v>3</v>
      </c>
      <c r="J1273" s="1">
        <v>0.5</v>
      </c>
      <c r="L1273" s="1">
        <v>1</v>
      </c>
      <c r="M1273" s="4">
        <v>1084</v>
      </c>
      <c r="N1273" s="1">
        <v>1652</v>
      </c>
      <c r="O1273" s="1">
        <v>2918</v>
      </c>
      <c r="P1273" s="1">
        <v>1266</v>
      </c>
      <c r="Q1273" s="1" t="s">
        <v>42</v>
      </c>
      <c r="S1273" s="1" t="s">
        <v>42</v>
      </c>
      <c r="T1273" s="1" t="s">
        <v>273</v>
      </c>
      <c r="U1273" s="1">
        <v>1</v>
      </c>
      <c r="V1273" s="5">
        <v>43640</v>
      </c>
      <c r="W1273" s="5">
        <v>42389</v>
      </c>
      <c r="X1273" s="1">
        <v>2400000</v>
      </c>
      <c r="Y1273" s="1">
        <v>2400000</v>
      </c>
      <c r="Z1273" s="5">
        <v>42390</v>
      </c>
      <c r="AA1273" s="1">
        <v>2189238</v>
      </c>
      <c r="AB1273" s="1" t="s">
        <v>566</v>
      </c>
      <c r="AC1273" s="5">
        <v>42681</v>
      </c>
      <c r="AF1273" s="1">
        <v>10011</v>
      </c>
      <c r="AI1273" s="1" t="s">
        <v>114</v>
      </c>
      <c r="AJ1273" s="1">
        <v>2016</v>
      </c>
      <c r="AK1273" s="1" t="s">
        <v>108</v>
      </c>
      <c r="AL1273" s="1">
        <v>30</v>
      </c>
    </row>
    <row r="1274" spans="1:38" x14ac:dyDescent="0.2">
      <c r="A1274" s="2" t="str">
        <f>HYPERLINK("https://www.compass.com/listing/100-avenue-a-unit-7c-manhattan-ny-10009/4852309318147520817/","100 Avenue A, Unit 7C")</f>
        <v>100 Avenue A, Unit 7C</v>
      </c>
      <c r="B1274" s="2" t="str">
        <f t="shared" ref="B1274:B1275" si="178">HYPERLINK("https://www.compass.com/building/100-avenue-a-manhattan-ny-10009/389273110856657541/","100 Avenue A")</f>
        <v>100 Avenue A</v>
      </c>
      <c r="C1274" s="1" t="s">
        <v>71</v>
      </c>
      <c r="D1274" s="1" t="s">
        <v>41</v>
      </c>
      <c r="E1274" s="3">
        <v>1880000</v>
      </c>
      <c r="F1274" s="1">
        <v>2685.7142857142799</v>
      </c>
      <c r="G1274" s="1">
        <v>3</v>
      </c>
      <c r="H1274" s="1">
        <v>1</v>
      </c>
      <c r="I1274" s="1">
        <v>1</v>
      </c>
      <c r="J1274" s="1">
        <v>1</v>
      </c>
      <c r="K1274" s="1">
        <v>1</v>
      </c>
      <c r="M1274" s="1">
        <v>700</v>
      </c>
      <c r="N1274" s="1">
        <v>1021.23</v>
      </c>
      <c r="O1274" s="1">
        <v>1644.51</v>
      </c>
      <c r="P1274" s="1">
        <v>623.25</v>
      </c>
      <c r="Q1274" s="1" t="s">
        <v>42</v>
      </c>
      <c r="S1274" s="1" t="s">
        <v>42</v>
      </c>
      <c r="T1274" s="1" t="s">
        <v>273</v>
      </c>
      <c r="V1274" s="5">
        <v>43672</v>
      </c>
      <c r="W1274" s="5">
        <v>42432</v>
      </c>
      <c r="X1274" s="1">
        <v>1880000</v>
      </c>
      <c r="Y1274" s="1">
        <v>1880000</v>
      </c>
      <c r="Z1274" s="5">
        <v>42432</v>
      </c>
      <c r="AA1274" s="1">
        <v>1880000</v>
      </c>
      <c r="AB1274" s="1" t="s">
        <v>275</v>
      </c>
      <c r="AC1274" s="5">
        <v>42730</v>
      </c>
      <c r="AF1274" s="1">
        <v>10009</v>
      </c>
      <c r="AI1274" s="1" t="s">
        <v>567</v>
      </c>
      <c r="AJ1274" s="1">
        <v>2016</v>
      </c>
      <c r="AK1274" s="1" t="s">
        <v>108</v>
      </c>
    </row>
    <row r="1275" spans="1:38" x14ac:dyDescent="0.2">
      <c r="A1275" s="2" t="str">
        <f>HYPERLINK("https://www.compass.com/listing/100-avenue-a-unit-6d-manhattan-ny-10009/803351284287661369/","100 Avenue A, Unit 6D")</f>
        <v>100 Avenue A, Unit 6D</v>
      </c>
      <c r="B1275" s="2" t="str">
        <f t="shared" si="178"/>
        <v>100 Avenue A</v>
      </c>
      <c r="C1275" s="1" t="s">
        <v>71</v>
      </c>
      <c r="D1275" s="1" t="s">
        <v>41</v>
      </c>
      <c r="E1275" s="3">
        <v>1440000</v>
      </c>
      <c r="F1275" s="1">
        <v>1396.70223084384</v>
      </c>
      <c r="G1275" s="1">
        <v>4</v>
      </c>
      <c r="H1275" s="1">
        <v>2</v>
      </c>
      <c r="I1275" s="1">
        <v>2</v>
      </c>
      <c r="J1275" s="1">
        <v>2</v>
      </c>
      <c r="K1275" s="1">
        <v>2</v>
      </c>
      <c r="M1275" s="4">
        <v>1031</v>
      </c>
      <c r="N1275" s="1">
        <v>1388</v>
      </c>
      <c r="O1275" s="1">
        <v>2963</v>
      </c>
      <c r="P1275" s="1">
        <v>1575</v>
      </c>
      <c r="Q1275" s="1" t="s">
        <v>42</v>
      </c>
      <c r="S1275" s="1" t="s">
        <v>42</v>
      </c>
      <c r="T1275" s="1" t="s">
        <v>273</v>
      </c>
      <c r="U1275" s="1">
        <v>150</v>
      </c>
      <c r="V1275" s="5">
        <v>44040</v>
      </c>
      <c r="W1275" s="5">
        <v>43311</v>
      </c>
      <c r="X1275" s="1">
        <v>2100000</v>
      </c>
      <c r="Y1275" s="1">
        <v>1450000</v>
      </c>
      <c r="AA1275" s="1">
        <v>1440000</v>
      </c>
      <c r="AB1275" s="1" t="s">
        <v>508</v>
      </c>
      <c r="AC1275" s="5">
        <v>43616</v>
      </c>
      <c r="AF1275" s="1">
        <v>10009</v>
      </c>
      <c r="AI1275" s="1" t="s">
        <v>109</v>
      </c>
      <c r="AJ1275" s="1">
        <v>2016</v>
      </c>
      <c r="AK1275" s="1" t="s">
        <v>108</v>
      </c>
    </row>
    <row r="1276" spans="1:38" x14ac:dyDescent="0.2">
      <c r="A1276" s="2" t="str">
        <f>HYPERLINK("https://www.compass.com/listing/37-east-12th-street-unit-4-manhattan-ny-10003/29365304861676081/","37 E 12th St, Unit 4")</f>
        <v>37 E 12th St, Unit 4</v>
      </c>
      <c r="B1276" s="2" t="str">
        <f>HYPERLINK("https://www.compass.com/building/37-e-12th-st-manhattan-ny-10003/281893347050658069/","37 E 12th St")</f>
        <v>37 E 12th St</v>
      </c>
      <c r="C1276" s="1" t="s">
        <v>277</v>
      </c>
      <c r="D1276" s="1" t="s">
        <v>41</v>
      </c>
      <c r="E1276" s="3">
        <v>6675000</v>
      </c>
      <c r="F1276" s="1">
        <v>2204.4253632760801</v>
      </c>
      <c r="G1276" s="1">
        <v>4</v>
      </c>
      <c r="H1276" s="1">
        <v>2</v>
      </c>
      <c r="I1276" s="1">
        <v>3</v>
      </c>
      <c r="J1276" s="1">
        <v>2.5</v>
      </c>
      <c r="M1276" s="4">
        <v>3028</v>
      </c>
      <c r="N1276" s="1">
        <v>5461</v>
      </c>
      <c r="O1276" s="1">
        <v>8170</v>
      </c>
      <c r="P1276" s="1">
        <v>2709</v>
      </c>
      <c r="Q1276" s="1" t="s">
        <v>42</v>
      </c>
      <c r="S1276" s="1" t="s">
        <v>42</v>
      </c>
      <c r="T1276" s="1" t="s">
        <v>273</v>
      </c>
      <c r="U1276" s="1">
        <v>175</v>
      </c>
      <c r="V1276" s="5">
        <v>43650</v>
      </c>
      <c r="W1276" s="5">
        <v>42685</v>
      </c>
      <c r="X1276" s="1">
        <v>7050000</v>
      </c>
      <c r="Y1276" s="1">
        <v>7050000</v>
      </c>
      <c r="Z1276" s="5">
        <v>42860</v>
      </c>
      <c r="AA1276" s="1">
        <v>6675000</v>
      </c>
      <c r="AB1276" s="1" t="s">
        <v>568</v>
      </c>
      <c r="AC1276" s="5">
        <v>42968</v>
      </c>
      <c r="AF1276" s="1">
        <v>10003</v>
      </c>
      <c r="AJ1276" s="1">
        <v>1896</v>
      </c>
      <c r="AK1276" s="1" t="s">
        <v>49</v>
      </c>
      <c r="AL1276" s="1">
        <v>6</v>
      </c>
    </row>
    <row r="1277" spans="1:38" x14ac:dyDescent="0.2">
      <c r="A1277" s="2" t="str">
        <f>HYPERLINK("https://www.compass.com/listing/100-avenue-a-unit-7c-manhattan-ny-10009/79570236000544977/","100 Avenue A, Unit 7C")</f>
        <v>100 Avenue A, Unit 7C</v>
      </c>
      <c r="B1277" s="2" t="str">
        <f>HYPERLINK("https://www.compass.com/building/100-avenue-a-manhattan-ny-10009/389273110856657541/","100 Avenue A")</f>
        <v>100 Avenue A</v>
      </c>
      <c r="C1277" s="1" t="s">
        <v>71</v>
      </c>
      <c r="D1277" s="1" t="s">
        <v>41</v>
      </c>
      <c r="E1277" s="3">
        <v>1880000</v>
      </c>
      <c r="F1277" s="1">
        <v>2685.7142857142799</v>
      </c>
      <c r="G1277" s="1">
        <v>3</v>
      </c>
      <c r="H1277" s="1">
        <v>1</v>
      </c>
      <c r="I1277" s="1">
        <v>1</v>
      </c>
      <c r="J1277" s="1">
        <v>1</v>
      </c>
      <c r="M1277" s="1">
        <v>700</v>
      </c>
      <c r="N1277" s="1">
        <v>1021.23</v>
      </c>
      <c r="O1277" s="1">
        <v>1644.51</v>
      </c>
      <c r="P1277" s="1">
        <v>623.25</v>
      </c>
      <c r="Q1277" s="1" t="s">
        <v>42</v>
      </c>
      <c r="S1277" s="1" t="s">
        <v>42</v>
      </c>
      <c r="T1277" s="1" t="s">
        <v>273</v>
      </c>
      <c r="V1277" s="5">
        <v>42815</v>
      </c>
      <c r="AA1277" s="1">
        <v>1880000</v>
      </c>
      <c r="AB1277" s="1" t="s">
        <v>275</v>
      </c>
      <c r="AC1277" s="5">
        <v>42811</v>
      </c>
      <c r="AF1277" s="1">
        <v>10009</v>
      </c>
      <c r="AI1277" s="1" t="s">
        <v>569</v>
      </c>
      <c r="AJ1277" s="1">
        <v>2016</v>
      </c>
      <c r="AK1277" s="1" t="s">
        <v>108</v>
      </c>
    </row>
    <row r="1278" spans="1:38" x14ac:dyDescent="0.2">
      <c r="A1278" s="2" t="str">
        <f>HYPERLINK("https://www.compass.com/listing/225-west-17th-street-unit-5b-manhattan-ny-10011/29510294426467025/","225 W 17th St, Unit 5B")</f>
        <v>225 W 17th St, Unit 5B</v>
      </c>
      <c r="B1278" s="2" t="str">
        <f>HYPERLINK("https://www.compass.com/building/225-west-17th-street-manhattan-ny/292802090781141541/","225 West 17th Street")</f>
        <v>225 West 17th Street</v>
      </c>
      <c r="C1278" s="1" t="s">
        <v>62</v>
      </c>
      <c r="D1278" s="1" t="s">
        <v>41</v>
      </c>
      <c r="E1278" s="3">
        <v>2350000</v>
      </c>
      <c r="F1278" s="1">
        <v>1577.1812080536899</v>
      </c>
      <c r="G1278" s="1">
        <v>6</v>
      </c>
      <c r="H1278" s="1">
        <v>2</v>
      </c>
      <c r="I1278" s="1">
        <v>3</v>
      </c>
      <c r="J1278" s="1">
        <v>2.5</v>
      </c>
      <c r="K1278" s="1">
        <v>2</v>
      </c>
      <c r="L1278" s="1">
        <v>1</v>
      </c>
      <c r="M1278" s="4">
        <v>1490</v>
      </c>
      <c r="N1278" s="1">
        <v>916</v>
      </c>
      <c r="O1278" s="1">
        <v>2768</v>
      </c>
      <c r="P1278" s="1">
        <v>1852</v>
      </c>
      <c r="Q1278" s="1" t="s">
        <v>42</v>
      </c>
      <c r="S1278" s="1" t="s">
        <v>42</v>
      </c>
      <c r="T1278" s="1" t="s">
        <v>273</v>
      </c>
      <c r="V1278" s="5">
        <v>43643</v>
      </c>
      <c r="W1278" s="5">
        <v>42980</v>
      </c>
      <c r="X1278" s="1">
        <v>2900000</v>
      </c>
      <c r="Y1278" s="1">
        <v>2900000</v>
      </c>
      <c r="Z1278" s="5">
        <v>42980</v>
      </c>
      <c r="AA1278" s="1">
        <v>2350000</v>
      </c>
      <c r="AB1278" s="1" t="s">
        <v>570</v>
      </c>
      <c r="AC1278" s="5">
        <v>43546</v>
      </c>
      <c r="AF1278" s="1">
        <v>10011</v>
      </c>
      <c r="AI1278" s="1" t="s">
        <v>540</v>
      </c>
      <c r="AJ1278" s="1">
        <v>2018</v>
      </c>
      <c r="AK1278" s="1" t="s">
        <v>143</v>
      </c>
      <c r="AL1278" s="1">
        <v>14</v>
      </c>
    </row>
    <row r="1279" spans="1:38" x14ac:dyDescent="0.2">
      <c r="A1279" s="2" t="str">
        <f>HYPERLINK("https://www.compass.com/listing/37-east-12th-street-unit-5-manhattan-ny-10003/29365305323089489/","37 E 12th St, Unit 5")</f>
        <v>37 E 12th St, Unit 5</v>
      </c>
      <c r="B1279" s="2" t="str">
        <f>HYPERLINK("https://www.compass.com/building/37-e-12th-st-manhattan-ny-10003/281893347050658069/","37 E 12th St")</f>
        <v>37 E 12th St</v>
      </c>
      <c r="C1279" s="1" t="s">
        <v>277</v>
      </c>
      <c r="D1279" s="1" t="s">
        <v>41</v>
      </c>
      <c r="E1279" s="3">
        <v>6975000</v>
      </c>
      <c r="F1279" s="1">
        <v>2303.5006605019798</v>
      </c>
      <c r="G1279" s="1">
        <v>5</v>
      </c>
      <c r="H1279" s="1">
        <v>3</v>
      </c>
      <c r="I1279" s="1">
        <v>3</v>
      </c>
      <c r="J1279" s="1">
        <v>2.5</v>
      </c>
      <c r="M1279" s="4">
        <v>3028</v>
      </c>
      <c r="N1279" s="1">
        <v>5933</v>
      </c>
      <c r="O1279" s="1">
        <v>8385</v>
      </c>
      <c r="P1279" s="1">
        <v>2452</v>
      </c>
      <c r="Q1279" s="1" t="s">
        <v>42</v>
      </c>
      <c r="S1279" s="1" t="s">
        <v>42</v>
      </c>
      <c r="T1279" s="1" t="s">
        <v>273</v>
      </c>
      <c r="U1279" s="1">
        <v>63</v>
      </c>
      <c r="V1279" s="5">
        <v>43675</v>
      </c>
      <c r="W1279" s="5">
        <v>42410</v>
      </c>
      <c r="X1279" s="1">
        <v>8150000</v>
      </c>
      <c r="Y1279" s="1">
        <v>7150000</v>
      </c>
      <c r="Z1279" s="5">
        <v>42637</v>
      </c>
      <c r="AA1279" s="1">
        <v>6975000</v>
      </c>
      <c r="AB1279" s="1" t="s">
        <v>571</v>
      </c>
      <c r="AC1279" s="5">
        <v>42677</v>
      </c>
      <c r="AF1279" s="1">
        <v>10003</v>
      </c>
      <c r="AJ1279" s="1">
        <v>1896</v>
      </c>
      <c r="AK1279" s="1" t="s">
        <v>49</v>
      </c>
      <c r="AL1279" s="1">
        <v>6</v>
      </c>
    </row>
    <row r="1280" spans="1:38" x14ac:dyDescent="0.2">
      <c r="A1280" s="2" t="str">
        <f>HYPERLINK("https://www.compass.com/listing/155-west-18th-street-unit-802-manhattan-ny-10011/29373033898625969/","155 W 18th St, Unit 802")</f>
        <v>155 W 18th St, Unit 802</v>
      </c>
      <c r="B1280" s="2" t="str">
        <f>HYPERLINK("https://www.compass.com/building/the-flynn-manhattan-ny/281905793161251925/","The Flynn")</f>
        <v>The Flynn</v>
      </c>
      <c r="C1280" s="1" t="s">
        <v>62</v>
      </c>
      <c r="D1280" s="1" t="s">
        <v>41</v>
      </c>
      <c r="E1280" s="3">
        <v>2749275</v>
      </c>
      <c r="F1280" s="1">
        <v>2407.4211908931602</v>
      </c>
      <c r="G1280" s="1">
        <v>3</v>
      </c>
      <c r="H1280" s="1">
        <v>2</v>
      </c>
      <c r="I1280" s="1">
        <v>3</v>
      </c>
      <c r="J1280" s="1">
        <v>0.5</v>
      </c>
      <c r="L1280" s="1">
        <v>1</v>
      </c>
      <c r="M1280" s="4">
        <v>1142</v>
      </c>
      <c r="N1280" s="1">
        <v>1740</v>
      </c>
      <c r="O1280" s="1">
        <v>3074</v>
      </c>
      <c r="P1280" s="1">
        <v>1334</v>
      </c>
      <c r="Q1280" s="1" t="s">
        <v>42</v>
      </c>
      <c r="S1280" s="1" t="s">
        <v>42</v>
      </c>
      <c r="T1280" s="1" t="s">
        <v>273</v>
      </c>
      <c r="U1280" s="1">
        <v>152</v>
      </c>
      <c r="V1280" s="5">
        <v>43631</v>
      </c>
      <c r="W1280" s="5">
        <v>42378</v>
      </c>
      <c r="X1280" s="1">
        <v>2800000</v>
      </c>
      <c r="Y1280" s="1">
        <v>2800000</v>
      </c>
      <c r="Z1280" s="5">
        <v>42530</v>
      </c>
      <c r="AA1280" s="1">
        <v>2749275</v>
      </c>
      <c r="AB1280" s="1" t="s">
        <v>572</v>
      </c>
      <c r="AC1280" s="5">
        <v>42674</v>
      </c>
      <c r="AF1280" s="1">
        <v>10011</v>
      </c>
      <c r="AI1280" s="1" t="s">
        <v>114</v>
      </c>
      <c r="AJ1280" s="1">
        <v>2016</v>
      </c>
      <c r="AK1280" s="1" t="s">
        <v>108</v>
      </c>
      <c r="AL1280" s="1">
        <v>30</v>
      </c>
    </row>
    <row r="1281" spans="1:38" x14ac:dyDescent="0.2">
      <c r="A1281" s="2" t="str">
        <f>HYPERLINK("https://www.compass.com/listing/100-barclay-street-unit-14j-manhattan-ny-10007/202193932157738801/","100 Barclay St, Unit 14J")</f>
        <v>100 Barclay St, Unit 14J</v>
      </c>
      <c r="B1281" s="2" t="str">
        <f>HYPERLINK("https://www.compass.com/building/100-barclay-manhattan-ny/281896670466155525/","100 Barclay")</f>
        <v>100 Barclay</v>
      </c>
      <c r="C1281" s="1" t="s">
        <v>50</v>
      </c>
      <c r="D1281" s="1" t="s">
        <v>41</v>
      </c>
      <c r="E1281" s="3">
        <v>2725000</v>
      </c>
      <c r="F1281" s="1">
        <v>1917.6636171709999</v>
      </c>
      <c r="G1281" s="1">
        <v>6.5</v>
      </c>
      <c r="H1281" s="1">
        <v>2</v>
      </c>
      <c r="I1281" s="1">
        <v>3</v>
      </c>
      <c r="J1281" s="1">
        <v>2.5</v>
      </c>
      <c r="K1281" s="1">
        <v>2</v>
      </c>
      <c r="L1281" s="1">
        <v>1</v>
      </c>
      <c r="M1281" s="4">
        <v>1421</v>
      </c>
      <c r="N1281" s="1">
        <v>1688</v>
      </c>
      <c r="O1281" s="1">
        <v>3225</v>
      </c>
      <c r="P1281" s="1">
        <v>1537</v>
      </c>
      <c r="Q1281" s="1" t="s">
        <v>42</v>
      </c>
      <c r="S1281" s="1" t="s">
        <v>42</v>
      </c>
      <c r="T1281" s="1" t="s">
        <v>273</v>
      </c>
      <c r="U1281" s="1">
        <v>20</v>
      </c>
      <c r="V1281" s="5">
        <v>43684</v>
      </c>
      <c r="W1281" s="5">
        <v>43532</v>
      </c>
      <c r="X1281" s="1">
        <v>2499000</v>
      </c>
      <c r="Y1281" s="1">
        <v>2499000</v>
      </c>
      <c r="Z1281" s="5">
        <v>43552</v>
      </c>
      <c r="AA1281" s="1">
        <v>2725000</v>
      </c>
      <c r="AB1281" s="1" t="s">
        <v>573</v>
      </c>
      <c r="AC1281" s="5">
        <v>43676</v>
      </c>
      <c r="AF1281" s="1">
        <v>10007</v>
      </c>
      <c r="AI1281" s="1" t="s">
        <v>52</v>
      </c>
      <c r="AJ1281" s="1">
        <v>1930</v>
      </c>
      <c r="AK1281" s="1" t="s">
        <v>49</v>
      </c>
      <c r="AL1281" s="1">
        <v>156</v>
      </c>
    </row>
    <row r="1282" spans="1:38" x14ac:dyDescent="0.2">
      <c r="A1282" s="2" t="str">
        <f>HYPERLINK("https://www.compass.com/listing/45-east-22nd-street-unit-20b-manhattan-ny-10010/197776761960918481/","45 E 22nd St, Unit 20B")</f>
        <v>45 E 22nd St, Unit 20B</v>
      </c>
      <c r="B1282" s="2" t="str">
        <f>HYPERLINK("https://www.compass.com/building/madison-square-park-tower-manhattan-ny/281903584482705973/","Madison Square Park Tower")</f>
        <v>Madison Square Park Tower</v>
      </c>
      <c r="C1282" s="1" t="s">
        <v>56</v>
      </c>
      <c r="D1282" s="1" t="s">
        <v>41</v>
      </c>
      <c r="E1282" s="3">
        <v>1924005</v>
      </c>
      <c r="F1282" s="1">
        <v>1716.32957181088</v>
      </c>
      <c r="G1282" s="1">
        <v>3</v>
      </c>
      <c r="H1282" s="1">
        <v>1</v>
      </c>
      <c r="I1282" s="1">
        <v>1</v>
      </c>
      <c r="J1282" s="1">
        <v>1</v>
      </c>
      <c r="K1282" s="1">
        <v>1</v>
      </c>
      <c r="M1282" s="4">
        <v>1121</v>
      </c>
      <c r="N1282" s="1">
        <v>1366</v>
      </c>
      <c r="O1282" s="1">
        <v>4088</v>
      </c>
      <c r="P1282" s="1">
        <v>2722</v>
      </c>
      <c r="Q1282" s="1" t="s">
        <v>42</v>
      </c>
      <c r="S1282" s="1" t="s">
        <v>42</v>
      </c>
      <c r="T1282" s="1" t="s">
        <v>273</v>
      </c>
      <c r="U1282" s="1">
        <v>484</v>
      </c>
      <c r="V1282" s="5">
        <v>43932</v>
      </c>
      <c r="W1282" s="5">
        <v>43404</v>
      </c>
      <c r="X1282" s="1">
        <v>2350000</v>
      </c>
      <c r="Y1282" s="1">
        <v>2195000</v>
      </c>
      <c r="Z1282" s="5">
        <v>43889</v>
      </c>
      <c r="AA1282" s="1">
        <v>1924005.45</v>
      </c>
      <c r="AB1282" s="1" t="s">
        <v>574</v>
      </c>
      <c r="AC1282" s="5">
        <v>43921</v>
      </c>
      <c r="AF1282" s="1">
        <v>10010</v>
      </c>
      <c r="AI1282" s="1" t="s">
        <v>48</v>
      </c>
      <c r="AJ1282" s="1">
        <v>2016</v>
      </c>
      <c r="AK1282" s="1" t="s">
        <v>49</v>
      </c>
      <c r="AL1282" s="1">
        <v>83</v>
      </c>
    </row>
    <row r="1283" spans="1:38" x14ac:dyDescent="0.2">
      <c r="A1283" s="2" t="str">
        <f>HYPERLINK("https://www.compass.com/listing/37-east-12th-street-unit-ph-manhattan-ny-10003/662585409379335113/","37 E 12th St, Unit PH")</f>
        <v>37 E 12th St, Unit PH</v>
      </c>
      <c r="B1283" s="2" t="str">
        <f>HYPERLINK("https://www.compass.com/building/37-e-12th-st-manhattan-ny-10003/281893347050658069/","37 E 12th St")</f>
        <v>37 E 12th St</v>
      </c>
      <c r="C1283" s="1" t="s">
        <v>277</v>
      </c>
      <c r="D1283" s="1" t="s">
        <v>41</v>
      </c>
      <c r="E1283" s="3">
        <v>15500000</v>
      </c>
      <c r="F1283" s="1">
        <v>2450.5928853754899</v>
      </c>
      <c r="G1283" s="1">
        <v>8</v>
      </c>
      <c r="H1283" s="1">
        <v>4</v>
      </c>
      <c r="I1283" s="1">
        <v>5</v>
      </c>
      <c r="J1283" s="1">
        <v>4.5</v>
      </c>
      <c r="K1283" s="1">
        <v>4</v>
      </c>
      <c r="L1283" s="1">
        <v>1</v>
      </c>
      <c r="M1283" s="4">
        <v>6325</v>
      </c>
      <c r="N1283" s="1">
        <v>15485</v>
      </c>
      <c r="O1283" s="1">
        <v>25421</v>
      </c>
      <c r="P1283" s="1">
        <v>9936</v>
      </c>
      <c r="Q1283" s="1" t="s">
        <v>42</v>
      </c>
      <c r="S1283" s="1" t="s">
        <v>42</v>
      </c>
      <c r="T1283" s="1" t="s">
        <v>273</v>
      </c>
      <c r="V1283" s="5">
        <v>44272</v>
      </c>
      <c r="W1283" s="5">
        <v>44166</v>
      </c>
      <c r="X1283" s="1">
        <v>19950000</v>
      </c>
      <c r="Y1283" s="1">
        <v>19950000</v>
      </c>
      <c r="Z1283" s="5">
        <v>44166</v>
      </c>
      <c r="AA1283" s="1">
        <v>15500000</v>
      </c>
      <c r="AB1283" s="1" t="s">
        <v>575</v>
      </c>
      <c r="AC1283" s="5">
        <v>44257</v>
      </c>
      <c r="AF1283" s="1">
        <v>10003</v>
      </c>
      <c r="AI1283" s="1" t="s">
        <v>576</v>
      </c>
      <c r="AJ1283" s="1">
        <v>1896</v>
      </c>
      <c r="AK1283" s="1" t="s">
        <v>46</v>
      </c>
      <c r="AL1283" s="1">
        <v>6</v>
      </c>
    </row>
    <row r="1284" spans="1:38" x14ac:dyDescent="0.2">
      <c r="A1284" s="2" t="str">
        <f>HYPERLINK("https://www.compass.com/listing/45-east-22nd-street-unit-15a-manhattan-ny-10010/54839718965231009/","45 E 22nd St, Unit 15A")</f>
        <v>45 E 22nd St, Unit 15A</v>
      </c>
      <c r="B1284" s="2" t="str">
        <f>HYPERLINK("https://www.compass.com/building/madison-square-park-tower-manhattan-ny/281903584482705973/","Madison Square Park Tower")</f>
        <v>Madison Square Park Tower</v>
      </c>
      <c r="C1284" s="1" t="s">
        <v>56</v>
      </c>
      <c r="D1284" s="1" t="s">
        <v>41</v>
      </c>
      <c r="E1284" s="3">
        <v>2750000</v>
      </c>
      <c r="F1284" s="1">
        <v>1610.0702576112401</v>
      </c>
      <c r="G1284" s="1">
        <v>4</v>
      </c>
      <c r="H1284" s="1">
        <v>2</v>
      </c>
      <c r="I1284" s="1">
        <v>2</v>
      </c>
      <c r="J1284" s="1">
        <v>2</v>
      </c>
      <c r="K1284" s="1">
        <v>2</v>
      </c>
      <c r="M1284" s="4">
        <v>1708</v>
      </c>
      <c r="N1284" s="1">
        <v>1819</v>
      </c>
      <c r="O1284" s="1">
        <v>5605</v>
      </c>
      <c r="P1284" s="1">
        <v>3786</v>
      </c>
      <c r="Q1284" s="1" t="s">
        <v>42</v>
      </c>
      <c r="S1284" s="1" t="s">
        <v>42</v>
      </c>
      <c r="T1284" s="1" t="s">
        <v>273</v>
      </c>
      <c r="U1284" s="1">
        <v>500</v>
      </c>
      <c r="V1284" s="5">
        <v>44338</v>
      </c>
      <c r="W1284" s="5">
        <v>43327</v>
      </c>
      <c r="X1284" s="1">
        <v>3995000</v>
      </c>
      <c r="Y1284" s="1">
        <v>2995000</v>
      </c>
      <c r="Z1284" s="5">
        <v>43851</v>
      </c>
      <c r="AA1284" s="1">
        <v>2750000</v>
      </c>
      <c r="AB1284" s="1" t="s">
        <v>577</v>
      </c>
      <c r="AC1284" s="5">
        <v>44027</v>
      </c>
      <c r="AF1284" s="1">
        <v>10010</v>
      </c>
      <c r="AI1284" s="1" t="s">
        <v>48</v>
      </c>
      <c r="AJ1284" s="1">
        <v>2016</v>
      </c>
      <c r="AK1284" s="1" t="s">
        <v>49</v>
      </c>
      <c r="AL1284" s="1">
        <v>83</v>
      </c>
    </row>
    <row r="1285" spans="1:38" x14ac:dyDescent="0.2">
      <c r="A1285" s="2" t="str">
        <f>HYPERLINK("https://www.compass.com/listing/100-barclay-street-unit-15k-manhattan-ny-10007/4852287181919618385/","100 Barclay St, Unit 15K")</f>
        <v>100 Barclay St, Unit 15K</v>
      </c>
      <c r="B1285" s="2" t="str">
        <f t="shared" ref="B1285:B1288" si="179">HYPERLINK("https://www.compass.com/building/100-barclay-manhattan-ny/281896670466155525/","100 Barclay")</f>
        <v>100 Barclay</v>
      </c>
      <c r="C1285" s="1" t="s">
        <v>50</v>
      </c>
      <c r="D1285" s="1" t="s">
        <v>41</v>
      </c>
      <c r="E1285" s="3">
        <v>2800188</v>
      </c>
      <c r="F1285" s="1">
        <v>1865.54796802131</v>
      </c>
      <c r="G1285" s="1">
        <v>4</v>
      </c>
      <c r="H1285" s="1">
        <v>2</v>
      </c>
      <c r="I1285" s="1">
        <v>3</v>
      </c>
      <c r="J1285" s="1">
        <v>2.5</v>
      </c>
      <c r="M1285" s="4">
        <v>1501</v>
      </c>
      <c r="N1285" s="1">
        <v>1874</v>
      </c>
      <c r="O1285" s="1">
        <v>3713</v>
      </c>
      <c r="P1285" s="1">
        <v>1839</v>
      </c>
      <c r="Q1285" s="1" t="s">
        <v>42</v>
      </c>
      <c r="S1285" s="1" t="s">
        <v>42</v>
      </c>
      <c r="T1285" s="1" t="s">
        <v>273</v>
      </c>
      <c r="U1285" s="1">
        <v>71</v>
      </c>
      <c r="V1285" s="5">
        <v>43081</v>
      </c>
      <c r="W1285" s="5">
        <v>42296</v>
      </c>
      <c r="X1285" s="1">
        <v>3123000</v>
      </c>
      <c r="Y1285" s="1">
        <v>3123000</v>
      </c>
      <c r="Z1285" s="5">
        <v>42368</v>
      </c>
      <c r="AA1285" s="1">
        <v>2800187.5</v>
      </c>
      <c r="AB1285" s="1" t="s">
        <v>578</v>
      </c>
      <c r="AC1285" s="5">
        <v>42702</v>
      </c>
      <c r="AF1285" s="1">
        <v>10007</v>
      </c>
      <c r="AI1285" s="1" t="s">
        <v>52</v>
      </c>
      <c r="AJ1285" s="1">
        <v>1930</v>
      </c>
      <c r="AK1285" s="1" t="s">
        <v>49</v>
      </c>
      <c r="AL1285" s="1">
        <v>156</v>
      </c>
    </row>
    <row r="1286" spans="1:38" x14ac:dyDescent="0.2">
      <c r="A1286" s="2" t="str">
        <f>HYPERLINK("https://www.compass.com/listing/100-barclay-street-unit-14m-manhattan-ny-10007/4852308691627546769/","100 Barclay St, Unit 14M")</f>
        <v>100 Barclay St, Unit 14M</v>
      </c>
      <c r="B1286" s="2" t="str">
        <f t="shared" si="179"/>
        <v>100 Barclay</v>
      </c>
      <c r="C1286" s="1" t="s">
        <v>50</v>
      </c>
      <c r="D1286" s="1" t="s">
        <v>41</v>
      </c>
      <c r="E1286" s="3">
        <v>2902013</v>
      </c>
      <c r="F1286" s="1">
        <v>2279.6641791044699</v>
      </c>
      <c r="G1286" s="1">
        <v>4</v>
      </c>
      <c r="H1286" s="1">
        <v>2</v>
      </c>
      <c r="I1286" s="1">
        <v>3</v>
      </c>
      <c r="J1286" s="1">
        <v>2.5</v>
      </c>
      <c r="K1286" s="1">
        <v>2</v>
      </c>
      <c r="L1286" s="1">
        <v>1</v>
      </c>
      <c r="M1286" s="4">
        <v>1273</v>
      </c>
      <c r="N1286" s="1">
        <v>1698</v>
      </c>
      <c r="O1286" s="1">
        <v>3363</v>
      </c>
      <c r="P1286" s="1">
        <v>1665</v>
      </c>
      <c r="Q1286" s="1" t="s">
        <v>42</v>
      </c>
      <c r="S1286" s="1" t="s">
        <v>42</v>
      </c>
      <c r="T1286" s="1" t="s">
        <v>273</v>
      </c>
      <c r="V1286" s="5">
        <v>44225</v>
      </c>
      <c r="W1286" s="5">
        <v>42271</v>
      </c>
      <c r="X1286" s="1">
        <v>2904000</v>
      </c>
      <c r="Y1286" s="1">
        <v>2904000</v>
      </c>
      <c r="Z1286" s="5">
        <v>42272</v>
      </c>
      <c r="AA1286" s="1">
        <v>2902012.5</v>
      </c>
      <c r="AB1286" s="1" t="s">
        <v>579</v>
      </c>
      <c r="AC1286" s="5">
        <v>42696</v>
      </c>
      <c r="AF1286" s="1">
        <v>10007</v>
      </c>
      <c r="AI1286" s="1" t="s">
        <v>580</v>
      </c>
      <c r="AJ1286" s="1">
        <v>1930</v>
      </c>
      <c r="AK1286" s="1" t="s">
        <v>46</v>
      </c>
      <c r="AL1286" s="1">
        <v>156</v>
      </c>
    </row>
    <row r="1287" spans="1:38" x14ac:dyDescent="0.2">
      <c r="A1287" s="2" t="str">
        <f>HYPERLINK("https://www.compass.com/listing/100-barclay-street-unit-15j-manhattan-ny-10007/50866899700956817/","100 Barclay St, Unit 15J")</f>
        <v>100 Barclay St, Unit 15J</v>
      </c>
      <c r="B1287" s="2" t="str">
        <f t="shared" si="179"/>
        <v>100 Barclay</v>
      </c>
      <c r="C1287" s="1" t="s">
        <v>50</v>
      </c>
      <c r="D1287" s="1" t="s">
        <v>41</v>
      </c>
      <c r="E1287" s="3">
        <v>2545625</v>
      </c>
      <c r="F1287" s="1">
        <v>1905.4079341317299</v>
      </c>
      <c r="G1287" s="1">
        <v>5</v>
      </c>
      <c r="H1287" s="1">
        <v>2</v>
      </c>
      <c r="I1287" s="1">
        <v>3</v>
      </c>
      <c r="J1287" s="1">
        <v>2.5</v>
      </c>
      <c r="M1287" s="4">
        <v>1336</v>
      </c>
      <c r="N1287" s="1">
        <v>1753</v>
      </c>
      <c r="O1287" s="1">
        <v>3429</v>
      </c>
      <c r="P1287" s="1">
        <v>1676</v>
      </c>
      <c r="Q1287" s="1" t="s">
        <v>42</v>
      </c>
      <c r="S1287" s="1" t="s">
        <v>42</v>
      </c>
      <c r="T1287" s="1" t="s">
        <v>273</v>
      </c>
      <c r="V1287" s="5">
        <v>43672</v>
      </c>
      <c r="W1287" s="5">
        <v>42477</v>
      </c>
      <c r="X1287" s="1">
        <v>2549500</v>
      </c>
      <c r="Y1287" s="1">
        <v>2549500</v>
      </c>
      <c r="Z1287" s="5">
        <v>42477</v>
      </c>
      <c r="AA1287" s="1">
        <v>2545625</v>
      </c>
      <c r="AB1287" s="1" t="s">
        <v>581</v>
      </c>
      <c r="AC1287" s="5">
        <v>42705</v>
      </c>
      <c r="AF1287" s="1">
        <v>10007</v>
      </c>
      <c r="AI1287" s="1" t="s">
        <v>52</v>
      </c>
      <c r="AJ1287" s="1">
        <v>1930</v>
      </c>
      <c r="AK1287" s="1" t="s">
        <v>46</v>
      </c>
      <c r="AL1287" s="1">
        <v>156</v>
      </c>
    </row>
    <row r="1288" spans="1:38" x14ac:dyDescent="0.2">
      <c r="A1288" s="2" t="str">
        <f>HYPERLINK("https://www.compass.com/listing/100-barclay-street-unit-15k-manhattan-ny-10007/803358844134598497/","100 Barclay St, Unit 15K")</f>
        <v>100 Barclay St, Unit 15K</v>
      </c>
      <c r="B1288" s="2" t="str">
        <f t="shared" si="179"/>
        <v>100 Barclay</v>
      </c>
      <c r="C1288" s="1" t="s">
        <v>50</v>
      </c>
      <c r="D1288" s="1" t="s">
        <v>41</v>
      </c>
      <c r="E1288" s="3">
        <v>2800188</v>
      </c>
      <c r="F1288" s="1">
        <v>1865.54796802131</v>
      </c>
      <c r="G1288" s="1">
        <v>4</v>
      </c>
      <c r="H1288" s="1">
        <v>2</v>
      </c>
      <c r="I1288" s="1">
        <v>2</v>
      </c>
      <c r="J1288" s="1">
        <v>2.5</v>
      </c>
      <c r="K1288" s="1">
        <v>2</v>
      </c>
      <c r="L1288" s="1">
        <v>1</v>
      </c>
      <c r="M1288" s="4">
        <v>1501</v>
      </c>
      <c r="N1288" s="1">
        <v>1926</v>
      </c>
      <c r="O1288" s="1">
        <v>3768</v>
      </c>
      <c r="P1288" s="1">
        <v>1842</v>
      </c>
      <c r="Q1288" s="1" t="s">
        <v>42</v>
      </c>
      <c r="S1288" s="1" t="s">
        <v>42</v>
      </c>
      <c r="T1288" s="1" t="s">
        <v>273</v>
      </c>
      <c r="U1288" s="1">
        <v>180</v>
      </c>
      <c r="V1288" s="5">
        <v>43020</v>
      </c>
      <c r="W1288" s="5">
        <v>42476</v>
      </c>
      <c r="X1288" s="1">
        <v>3123000</v>
      </c>
      <c r="Y1288" s="1">
        <v>3123000</v>
      </c>
      <c r="Z1288" s="5">
        <v>42657</v>
      </c>
      <c r="AA1288" s="1">
        <v>2800187.5</v>
      </c>
      <c r="AB1288" s="1" t="s">
        <v>578</v>
      </c>
      <c r="AC1288" s="5">
        <v>42702</v>
      </c>
      <c r="AF1288" s="1">
        <v>10007</v>
      </c>
      <c r="AI1288" s="1" t="s">
        <v>52</v>
      </c>
      <c r="AJ1288" s="1">
        <v>1930</v>
      </c>
      <c r="AK1288" s="1" t="s">
        <v>46</v>
      </c>
      <c r="AL1288" s="1">
        <v>156</v>
      </c>
    </row>
    <row r="1289" spans="1:38" x14ac:dyDescent="0.2">
      <c r="A1289" s="2" t="str">
        <f>HYPERLINK("https://www.compass.com/listing/100-avenue-a-unit-7b-manhattan-ny-10009/29361266023807025/","100 Avenue A, Unit 7B")</f>
        <v>100 Avenue A, Unit 7B</v>
      </c>
      <c r="B1289" s="2" t="str">
        <f>HYPERLINK("https://www.compass.com/building/100-avenue-a-manhattan-ny-10009/389273110856657541/","100 Avenue A")</f>
        <v>100 Avenue A</v>
      </c>
      <c r="C1289" s="1" t="s">
        <v>71</v>
      </c>
      <c r="D1289" s="1" t="s">
        <v>41</v>
      </c>
      <c r="E1289" s="3">
        <v>4159551</v>
      </c>
      <c r="F1289" s="1">
        <v>5128.9161528976501</v>
      </c>
      <c r="G1289" s="1">
        <v>4</v>
      </c>
      <c r="H1289" s="1">
        <v>2</v>
      </c>
      <c r="I1289" s="1">
        <v>2</v>
      </c>
      <c r="J1289" s="1">
        <v>2</v>
      </c>
      <c r="K1289" s="1">
        <v>2</v>
      </c>
      <c r="M1289" s="1">
        <v>811</v>
      </c>
      <c r="N1289" s="1">
        <v>1172.4100000000001</v>
      </c>
      <c r="O1289" s="1">
        <v>1887.96</v>
      </c>
      <c r="P1289" s="1">
        <v>715.58333333333303</v>
      </c>
      <c r="Q1289" s="1" t="s">
        <v>42</v>
      </c>
      <c r="S1289" s="1" t="s">
        <v>42</v>
      </c>
      <c r="T1289" s="1" t="s">
        <v>273</v>
      </c>
      <c r="V1289" s="5">
        <v>43673</v>
      </c>
      <c r="W1289" s="5">
        <v>42432</v>
      </c>
      <c r="X1289" s="1">
        <v>2175000</v>
      </c>
      <c r="Y1289" s="1">
        <v>2175000</v>
      </c>
      <c r="Z1289" s="5">
        <v>42432</v>
      </c>
      <c r="AA1289" s="1">
        <v>4159551</v>
      </c>
      <c r="AB1289" s="1" t="s">
        <v>275</v>
      </c>
      <c r="AC1289" s="5">
        <v>42726</v>
      </c>
      <c r="AF1289" s="1">
        <v>10009</v>
      </c>
      <c r="AI1289" s="1" t="s">
        <v>148</v>
      </c>
      <c r="AJ1289" s="1">
        <v>2016</v>
      </c>
      <c r="AK1289" s="1" t="s">
        <v>108</v>
      </c>
    </row>
    <row r="1290" spans="1:38" x14ac:dyDescent="0.2">
      <c r="A1290" s="2" t="str">
        <f>HYPERLINK("https://www.compass.com/listing/277-east-7th-street-unit-phb-manhattan-ny-10009/4852318837028172769/","277 E 7th St, Unit PHB")</f>
        <v>277 E 7th St, Unit PHB</v>
      </c>
      <c r="B1290" s="2" t="str">
        <f t="shared" ref="B1290:B1291" si="180">HYPERLINK("https://www.compass.com/building/seven-east-village-manhattan-ny/281899280162107413/","Seven East Village")</f>
        <v>Seven East Village</v>
      </c>
      <c r="C1290" s="1" t="s">
        <v>71</v>
      </c>
      <c r="D1290" s="1" t="s">
        <v>41</v>
      </c>
      <c r="E1290" s="3">
        <v>2050000</v>
      </c>
      <c r="F1290" s="1">
        <v>1560.12176560121</v>
      </c>
      <c r="G1290" s="1">
        <v>4</v>
      </c>
      <c r="H1290" s="1">
        <v>2</v>
      </c>
      <c r="I1290" s="1">
        <v>2</v>
      </c>
      <c r="J1290" s="1">
        <v>2</v>
      </c>
      <c r="K1290" s="1">
        <v>2</v>
      </c>
      <c r="M1290" s="4">
        <v>1314</v>
      </c>
      <c r="N1290" s="1">
        <v>1100.3599999999999</v>
      </c>
      <c r="O1290" s="1">
        <v>1564.06</v>
      </c>
      <c r="P1290" s="1">
        <v>463.666666666666</v>
      </c>
      <c r="Q1290" s="1" t="s">
        <v>249</v>
      </c>
      <c r="S1290" s="1" t="s">
        <v>250</v>
      </c>
      <c r="T1290" s="1" t="s">
        <v>273</v>
      </c>
      <c r="U1290" s="1">
        <v>16</v>
      </c>
      <c r="V1290" s="5">
        <v>43651</v>
      </c>
      <c r="W1290" s="5">
        <v>42019</v>
      </c>
      <c r="X1290" s="1">
        <v>2050000</v>
      </c>
      <c r="Y1290" s="1">
        <v>2050000</v>
      </c>
      <c r="Z1290" s="5">
        <v>42035</v>
      </c>
      <c r="AA1290" s="1">
        <v>2050000</v>
      </c>
      <c r="AB1290" s="1" t="s">
        <v>275</v>
      </c>
      <c r="AC1290" s="5">
        <v>42216</v>
      </c>
      <c r="AF1290" s="1">
        <v>10009</v>
      </c>
      <c r="AI1290" s="1" t="s">
        <v>582</v>
      </c>
      <c r="AJ1290" s="1">
        <v>2014</v>
      </c>
      <c r="AL1290" s="1">
        <v>6</v>
      </c>
    </row>
    <row r="1291" spans="1:38" x14ac:dyDescent="0.2">
      <c r="A1291" s="2" t="str">
        <f>HYPERLINK("https://www.compass.com/listing/277-east-7th-street-unit-pha-manhattan-ny-10009/4852319706163458433/","277 E 7th St, Unit PHA")</f>
        <v>277 E 7th St, Unit PHA</v>
      </c>
      <c r="B1291" s="2" t="str">
        <f t="shared" si="180"/>
        <v>Seven East Village</v>
      </c>
      <c r="C1291" s="1" t="s">
        <v>71</v>
      </c>
      <c r="D1291" s="1" t="s">
        <v>41</v>
      </c>
      <c r="E1291" s="3">
        <v>2150000</v>
      </c>
      <c r="G1291" s="1">
        <v>4</v>
      </c>
      <c r="H1291" s="1">
        <v>2</v>
      </c>
      <c r="I1291" s="1">
        <v>2</v>
      </c>
      <c r="J1291" s="1">
        <v>2</v>
      </c>
      <c r="K1291" s="1">
        <v>2</v>
      </c>
      <c r="N1291" s="1">
        <v>1186.75</v>
      </c>
      <c r="O1291" s="1">
        <v>1686.86</v>
      </c>
      <c r="P1291" s="1">
        <v>500.08333333333297</v>
      </c>
      <c r="Q1291" s="1" t="s">
        <v>249</v>
      </c>
      <c r="S1291" s="1" t="s">
        <v>250</v>
      </c>
      <c r="T1291" s="1" t="s">
        <v>273</v>
      </c>
      <c r="U1291" s="1">
        <v>1</v>
      </c>
      <c r="V1291" s="5">
        <v>42248</v>
      </c>
      <c r="W1291" s="5">
        <v>42036</v>
      </c>
      <c r="X1291" s="1">
        <v>2150000</v>
      </c>
      <c r="Y1291" s="1">
        <v>2150000</v>
      </c>
      <c r="Z1291" s="5">
        <v>42037</v>
      </c>
      <c r="AA1291" s="1">
        <v>2150000</v>
      </c>
      <c r="AB1291" s="1" t="s">
        <v>275</v>
      </c>
      <c r="AC1291" s="5">
        <v>42248</v>
      </c>
      <c r="AF1291" s="1">
        <v>10009</v>
      </c>
      <c r="AI1291" s="1" t="s">
        <v>456</v>
      </c>
      <c r="AJ1291" s="1">
        <v>2014</v>
      </c>
      <c r="AL1291" s="1">
        <v>6</v>
      </c>
    </row>
    <row r="1292" spans="1:38" x14ac:dyDescent="0.2">
      <c r="A1292" s="2" t="str">
        <f>HYPERLINK("https://www.compass.com/listing/211-west-14th-street-unit-5b-manhattan-ny-10011/50128693741292257/","211 W 14th St, Unit 5B")</f>
        <v>211 W 14th St, Unit 5B</v>
      </c>
      <c r="B1292" s="2" t="str">
        <f t="shared" ref="B1292:B1295" si="181">HYPERLINK("https://www.compass.com/building/dorsay-manhattan-ny/292801633543285477/","d'Orsay")</f>
        <v>d'Orsay</v>
      </c>
      <c r="C1292" s="1" t="s">
        <v>62</v>
      </c>
      <c r="D1292" s="1" t="s">
        <v>41</v>
      </c>
      <c r="E1292" s="3">
        <v>2945000</v>
      </c>
      <c r="F1292" s="1">
        <v>2137.1552975326499</v>
      </c>
      <c r="G1292" s="1">
        <v>4</v>
      </c>
      <c r="H1292" s="1">
        <v>2</v>
      </c>
      <c r="I1292" s="1">
        <v>3</v>
      </c>
      <c r="J1292" s="1">
        <v>2.5</v>
      </c>
      <c r="K1292" s="1">
        <v>2</v>
      </c>
      <c r="L1292" s="1">
        <v>1</v>
      </c>
      <c r="M1292" s="4">
        <v>1378</v>
      </c>
      <c r="N1292" s="1">
        <v>2709.52</v>
      </c>
      <c r="O1292" s="1">
        <v>4630.07</v>
      </c>
      <c r="P1292" s="1">
        <v>1920.5833333333301</v>
      </c>
      <c r="Q1292" s="1" t="s">
        <v>42</v>
      </c>
      <c r="S1292" s="1" t="s">
        <v>42</v>
      </c>
      <c r="T1292" s="1" t="s">
        <v>273</v>
      </c>
      <c r="U1292" s="1">
        <v>393</v>
      </c>
      <c r="V1292" s="5">
        <v>43757</v>
      </c>
      <c r="W1292" s="5">
        <v>43322</v>
      </c>
      <c r="X1292" s="1">
        <v>2995000</v>
      </c>
      <c r="Y1292" s="1">
        <v>2995000</v>
      </c>
      <c r="Z1292" s="5">
        <v>43715</v>
      </c>
      <c r="AA1292" s="1">
        <v>2945000</v>
      </c>
      <c r="AB1292" s="1" t="s">
        <v>583</v>
      </c>
      <c r="AC1292" s="5">
        <v>43728</v>
      </c>
      <c r="AF1292" s="1">
        <v>10011</v>
      </c>
      <c r="AI1292" s="1" t="s">
        <v>48</v>
      </c>
      <c r="AJ1292" s="1">
        <v>2018</v>
      </c>
      <c r="AK1292" s="1" t="s">
        <v>46</v>
      </c>
      <c r="AL1292" s="1">
        <v>21</v>
      </c>
    </row>
    <row r="1293" spans="1:38" x14ac:dyDescent="0.2">
      <c r="A1293" s="2" t="str">
        <f>HYPERLINK("https://www.compass.com/listing/211-west-14th-street-unit-4b-manhattan-ny-10011/29514443968820369/","211 W 14th St, Unit 4B")</f>
        <v>211 W 14th St, Unit 4B</v>
      </c>
      <c r="B1293" s="2" t="str">
        <f t="shared" si="181"/>
        <v>d'Orsay</v>
      </c>
      <c r="C1293" s="1" t="s">
        <v>62</v>
      </c>
      <c r="D1293" s="1" t="s">
        <v>41</v>
      </c>
      <c r="E1293" s="3">
        <v>3052408</v>
      </c>
      <c r="F1293" s="1">
        <v>2177.1811697574799</v>
      </c>
      <c r="G1293" s="1">
        <v>4</v>
      </c>
      <c r="H1293" s="1">
        <v>2</v>
      </c>
      <c r="I1293" s="1">
        <v>3</v>
      </c>
      <c r="J1293" s="1">
        <v>2.5</v>
      </c>
      <c r="K1293" s="1">
        <v>2</v>
      </c>
      <c r="L1293" s="1">
        <v>1</v>
      </c>
      <c r="M1293" s="4">
        <v>1402</v>
      </c>
      <c r="N1293" s="1">
        <v>2745</v>
      </c>
      <c r="O1293" s="1">
        <v>3993</v>
      </c>
      <c r="P1293" s="1">
        <v>1248</v>
      </c>
      <c r="Q1293" s="1" t="s">
        <v>42</v>
      </c>
      <c r="S1293" s="1" t="s">
        <v>42</v>
      </c>
      <c r="T1293" s="1" t="s">
        <v>273</v>
      </c>
      <c r="U1293" s="1">
        <v>4</v>
      </c>
      <c r="V1293" s="5">
        <v>43700</v>
      </c>
      <c r="W1293" s="5">
        <v>43217</v>
      </c>
      <c r="X1293" s="1">
        <v>2995000</v>
      </c>
      <c r="Y1293" s="1">
        <v>2995000</v>
      </c>
      <c r="Z1293" s="5">
        <v>43221</v>
      </c>
      <c r="AA1293" s="1">
        <v>3052408.75</v>
      </c>
      <c r="AB1293" s="1" t="s">
        <v>584</v>
      </c>
      <c r="AC1293" s="5">
        <v>43272</v>
      </c>
      <c r="AF1293" s="1">
        <v>10011</v>
      </c>
      <c r="AI1293" s="1" t="s">
        <v>48</v>
      </c>
      <c r="AJ1293" s="1">
        <v>2018</v>
      </c>
      <c r="AK1293" s="1" t="s">
        <v>46</v>
      </c>
      <c r="AL1293" s="1">
        <v>21</v>
      </c>
    </row>
    <row r="1294" spans="1:38" x14ac:dyDescent="0.2">
      <c r="A1294" s="2" t="str">
        <f>HYPERLINK("https://www.compass.com/listing/211-west-14th-street-unit-9a-manhattan-ny-10011/29514444941898929/","211 W 14th St, Unit 9A")</f>
        <v>211 W 14th St, Unit 9A</v>
      </c>
      <c r="B1294" s="2" t="str">
        <f t="shared" si="181"/>
        <v>d'Orsay</v>
      </c>
      <c r="C1294" s="1" t="s">
        <v>62</v>
      </c>
      <c r="D1294" s="1" t="s">
        <v>41</v>
      </c>
      <c r="E1294" s="3">
        <v>3400000</v>
      </c>
      <c r="F1294" s="1">
        <v>2552.55255255255</v>
      </c>
      <c r="G1294" s="1">
        <v>4</v>
      </c>
      <c r="H1294" s="1">
        <v>2</v>
      </c>
      <c r="I1294" s="1">
        <v>3</v>
      </c>
      <c r="J1294" s="1">
        <v>2.5</v>
      </c>
      <c r="K1294" s="1">
        <v>2</v>
      </c>
      <c r="L1294" s="1">
        <v>1</v>
      </c>
      <c r="M1294" s="4">
        <v>1332</v>
      </c>
      <c r="N1294" s="1">
        <v>2672</v>
      </c>
      <c r="O1294" s="1">
        <v>3887</v>
      </c>
      <c r="P1294" s="1">
        <v>1215</v>
      </c>
      <c r="Q1294" s="1" t="s">
        <v>42</v>
      </c>
      <c r="S1294" s="1" t="s">
        <v>42</v>
      </c>
      <c r="T1294" s="1" t="s">
        <v>273</v>
      </c>
      <c r="U1294" s="1">
        <v>17</v>
      </c>
      <c r="V1294" s="5">
        <v>43678</v>
      </c>
      <c r="W1294" s="5">
        <v>42679</v>
      </c>
      <c r="X1294" s="1">
        <v>3475000</v>
      </c>
      <c r="Y1294" s="1">
        <v>3500000</v>
      </c>
      <c r="Z1294" s="5">
        <v>42696</v>
      </c>
      <c r="AA1294" s="1">
        <v>3400000</v>
      </c>
      <c r="AB1294" s="1" t="s">
        <v>585</v>
      </c>
      <c r="AC1294" s="5">
        <v>43328</v>
      </c>
      <c r="AF1294" s="1">
        <v>10011</v>
      </c>
      <c r="AI1294" s="1" t="s">
        <v>179</v>
      </c>
      <c r="AJ1294" s="1">
        <v>2018</v>
      </c>
      <c r="AK1294" s="1" t="s">
        <v>46</v>
      </c>
      <c r="AL1294" s="1">
        <v>21</v>
      </c>
    </row>
    <row r="1295" spans="1:38" x14ac:dyDescent="0.2">
      <c r="A1295" s="2" t="str">
        <f>HYPERLINK("https://www.compass.com/listing/211-west-14th-street-unit-3b-manhattan-ny-10011/50128692743000001/","211 W 14th St, Unit 3B")</f>
        <v>211 W 14th St, Unit 3B</v>
      </c>
      <c r="B1295" s="2" t="str">
        <f t="shared" si="181"/>
        <v>d'Orsay</v>
      </c>
      <c r="C1295" s="1" t="s">
        <v>62</v>
      </c>
      <c r="D1295" s="1" t="s">
        <v>41</v>
      </c>
      <c r="E1295" s="3">
        <v>3285000</v>
      </c>
      <c r="F1295" s="1">
        <v>2343.0813124108399</v>
      </c>
      <c r="G1295" s="1">
        <v>4</v>
      </c>
      <c r="H1295" s="1">
        <v>2</v>
      </c>
      <c r="I1295" s="1">
        <v>3</v>
      </c>
      <c r="J1295" s="1">
        <v>2.5</v>
      </c>
      <c r="K1295" s="1">
        <v>2</v>
      </c>
      <c r="L1295" s="1">
        <v>1</v>
      </c>
      <c r="M1295" s="4">
        <v>1402</v>
      </c>
      <c r="N1295" s="1">
        <v>2932.66</v>
      </c>
      <c r="O1295" s="1">
        <v>5011.3599999999997</v>
      </c>
      <c r="P1295" s="1">
        <v>2078.6666666666601</v>
      </c>
      <c r="Q1295" s="1" t="s">
        <v>42</v>
      </c>
      <c r="S1295" s="1" t="s">
        <v>42</v>
      </c>
      <c r="T1295" s="1" t="s">
        <v>273</v>
      </c>
      <c r="U1295" s="1">
        <v>404</v>
      </c>
      <c r="V1295" s="5">
        <v>43783</v>
      </c>
      <c r="W1295" s="5">
        <v>43322</v>
      </c>
      <c r="X1295" s="1">
        <v>3350000</v>
      </c>
      <c r="Y1295" s="1">
        <v>3350000</v>
      </c>
      <c r="Z1295" s="5">
        <v>43726</v>
      </c>
      <c r="AA1295" s="1">
        <v>3285000</v>
      </c>
      <c r="AB1295" s="1" t="s">
        <v>586</v>
      </c>
      <c r="AC1295" s="5">
        <v>43756</v>
      </c>
      <c r="AF1295" s="1">
        <v>10011</v>
      </c>
      <c r="AI1295" s="1" t="s">
        <v>211</v>
      </c>
      <c r="AJ1295" s="1">
        <v>2018</v>
      </c>
      <c r="AK1295" s="1" t="s">
        <v>46</v>
      </c>
      <c r="AL1295" s="1">
        <v>21</v>
      </c>
    </row>
    <row r="1296" spans="1:38" x14ac:dyDescent="0.2">
      <c r="A1296" s="2" t="str">
        <f>HYPERLINK("https://www.compass.com/listing/155-west-18th-street-unit-402-manhattan-ny-10011/4829943411555441809/","155 W 18th St, Unit 402")</f>
        <v>155 W 18th St, Unit 402</v>
      </c>
      <c r="B1296" s="2" t="str">
        <f t="shared" ref="B1296:B1297" si="182">HYPERLINK("https://www.compass.com/building/the-flynn-manhattan-ny/281905793161251925/","The Flynn")</f>
        <v>The Flynn</v>
      </c>
      <c r="C1296" s="1" t="s">
        <v>62</v>
      </c>
      <c r="D1296" s="1" t="s">
        <v>41</v>
      </c>
      <c r="E1296" s="3">
        <v>2507441</v>
      </c>
      <c r="F1296" s="1">
        <v>2254.8929856115101</v>
      </c>
      <c r="G1296" s="1">
        <v>3</v>
      </c>
      <c r="H1296" s="1">
        <v>2</v>
      </c>
      <c r="I1296" s="1">
        <v>2</v>
      </c>
      <c r="M1296" s="4">
        <v>1112</v>
      </c>
      <c r="N1296" s="1">
        <v>1695</v>
      </c>
      <c r="O1296" s="1">
        <v>2994</v>
      </c>
      <c r="P1296" s="1">
        <v>1299</v>
      </c>
      <c r="Q1296" s="1" t="s">
        <v>42</v>
      </c>
      <c r="S1296" s="1" t="s">
        <v>42</v>
      </c>
      <c r="T1296" s="1" t="s">
        <v>273</v>
      </c>
      <c r="U1296" s="1">
        <v>40</v>
      </c>
      <c r="V1296" s="5">
        <v>43634</v>
      </c>
      <c r="W1296" s="5">
        <v>42482</v>
      </c>
      <c r="X1296" s="1">
        <v>2400000</v>
      </c>
      <c r="Y1296" s="1">
        <v>2600000</v>
      </c>
      <c r="Z1296" s="5">
        <v>42522</v>
      </c>
      <c r="AA1296" s="1">
        <v>2507441</v>
      </c>
      <c r="AB1296" s="1" t="s">
        <v>587</v>
      </c>
      <c r="AC1296" s="5">
        <v>42677</v>
      </c>
      <c r="AF1296" s="1">
        <v>10011</v>
      </c>
      <c r="AI1296" s="1" t="s">
        <v>114</v>
      </c>
      <c r="AJ1296" s="1">
        <v>2016</v>
      </c>
      <c r="AK1296" s="1" t="s">
        <v>108</v>
      </c>
      <c r="AL1296" s="1">
        <v>30</v>
      </c>
    </row>
    <row r="1297" spans="1:38" x14ac:dyDescent="0.2">
      <c r="A1297" s="2" t="str">
        <f>HYPERLINK("https://www.compass.com/listing/155-west-18th-street-unit-302-manhattan-ny-10011/4829943418501213873/","155 W 18th St, Unit 302")</f>
        <v>155 W 18th St, Unit 302</v>
      </c>
      <c r="B1297" s="2" t="str">
        <f t="shared" si="182"/>
        <v>The Flynn</v>
      </c>
      <c r="C1297" s="1" t="s">
        <v>62</v>
      </c>
      <c r="D1297" s="1" t="s">
        <v>41</v>
      </c>
      <c r="E1297" s="3">
        <v>2341975</v>
      </c>
      <c r="F1297" s="1">
        <v>2106.0926258992799</v>
      </c>
      <c r="G1297" s="1">
        <v>3</v>
      </c>
      <c r="H1297" s="1">
        <v>2</v>
      </c>
      <c r="I1297" s="1">
        <v>2</v>
      </c>
      <c r="M1297" s="4">
        <v>1112</v>
      </c>
      <c r="N1297" s="1">
        <v>1695</v>
      </c>
      <c r="O1297" s="1">
        <v>2994</v>
      </c>
      <c r="P1297" s="1">
        <v>1299</v>
      </c>
      <c r="Q1297" s="1" t="s">
        <v>42</v>
      </c>
      <c r="S1297" s="1" t="s">
        <v>42</v>
      </c>
      <c r="T1297" s="1" t="s">
        <v>273</v>
      </c>
      <c r="U1297" s="1">
        <v>1</v>
      </c>
      <c r="V1297" s="5">
        <v>43661</v>
      </c>
      <c r="W1297" s="5">
        <v>42389</v>
      </c>
      <c r="X1297" s="1">
        <v>2500000</v>
      </c>
      <c r="Y1297" s="1">
        <v>2500000</v>
      </c>
      <c r="Z1297" s="5">
        <v>42390</v>
      </c>
      <c r="AA1297" s="1">
        <v>2341975</v>
      </c>
      <c r="AB1297" s="1" t="s">
        <v>588</v>
      </c>
      <c r="AC1297" s="5">
        <v>42671</v>
      </c>
      <c r="AF1297" s="1">
        <v>10011</v>
      </c>
      <c r="AI1297" s="1" t="s">
        <v>495</v>
      </c>
      <c r="AJ1297" s="1">
        <v>2016</v>
      </c>
      <c r="AK1297" s="1" t="s">
        <v>108</v>
      </c>
      <c r="AL1297" s="1">
        <v>30</v>
      </c>
    </row>
    <row r="1298" spans="1:38" x14ac:dyDescent="0.2">
      <c r="A1298" s="2" t="str">
        <f>HYPERLINK("https://www.compass.com/listing/225-west-17th-street-unit-2b-manhattan-ny-10011/104147519684069745/","225 W 17th St, Unit 2B")</f>
        <v>225 W 17th St, Unit 2B</v>
      </c>
      <c r="B1298" s="2" t="str">
        <f>HYPERLINK("https://www.compass.com/building/225-west-17th-street-manhattan-ny/292802090781141541/","225 West 17th Street")</f>
        <v>225 West 17th Street</v>
      </c>
      <c r="C1298" s="1" t="s">
        <v>62</v>
      </c>
      <c r="D1298" s="1" t="s">
        <v>41</v>
      </c>
      <c r="E1298" s="3">
        <v>2775000</v>
      </c>
      <c r="F1298" s="1">
        <v>1428.9392378990699</v>
      </c>
      <c r="G1298" s="1">
        <v>6</v>
      </c>
      <c r="H1298" s="1">
        <v>2</v>
      </c>
      <c r="I1298" s="1">
        <v>3</v>
      </c>
      <c r="J1298" s="1">
        <v>2.5</v>
      </c>
      <c r="K1298" s="1">
        <v>2</v>
      </c>
      <c r="L1298" s="1">
        <v>1</v>
      </c>
      <c r="M1298" s="4">
        <v>1942</v>
      </c>
      <c r="N1298" s="1">
        <v>1328</v>
      </c>
      <c r="O1298" s="1">
        <v>3941</v>
      </c>
      <c r="P1298" s="1">
        <v>2613</v>
      </c>
      <c r="Q1298" s="1" t="s">
        <v>42</v>
      </c>
      <c r="S1298" s="1" t="s">
        <v>42</v>
      </c>
      <c r="T1298" s="1" t="s">
        <v>273</v>
      </c>
      <c r="U1298" s="1">
        <v>233</v>
      </c>
      <c r="V1298" s="5">
        <v>44342</v>
      </c>
      <c r="W1298" s="5">
        <v>43351</v>
      </c>
      <c r="X1298" s="1">
        <v>3600000</v>
      </c>
      <c r="Y1298" s="1">
        <v>2995000</v>
      </c>
      <c r="Z1298" s="5">
        <v>43585</v>
      </c>
      <c r="AA1298" s="1">
        <v>2775000</v>
      </c>
      <c r="AB1298" s="1" t="s">
        <v>589</v>
      </c>
      <c r="AC1298" s="5">
        <v>43676</v>
      </c>
      <c r="AF1298" s="1">
        <v>10011</v>
      </c>
      <c r="AI1298" s="1" t="s">
        <v>216</v>
      </c>
      <c r="AJ1298" s="1">
        <v>2018</v>
      </c>
      <c r="AK1298" s="1" t="s">
        <v>146</v>
      </c>
      <c r="AL1298" s="1">
        <v>14</v>
      </c>
    </row>
    <row r="1299" spans="1:38" x14ac:dyDescent="0.2">
      <c r="A1299" s="2" t="str">
        <f>HYPERLINK("https://www.compass.com/listing/211-west-14th-street-unit-4b-manhattan-ny-10011/803348543779795841/","211 W 14th St, Unit 4B")</f>
        <v>211 W 14th St, Unit 4B</v>
      </c>
      <c r="B1299" s="2" t="str">
        <f>HYPERLINK("https://www.compass.com/building/dorsay-manhattan-ny/292801633543285477/","d'Orsay")</f>
        <v>d'Orsay</v>
      </c>
      <c r="C1299" s="1" t="s">
        <v>62</v>
      </c>
      <c r="D1299" s="1" t="s">
        <v>41</v>
      </c>
      <c r="E1299" s="3">
        <v>3052409</v>
      </c>
      <c r="F1299" s="1">
        <v>2177.1817047075601</v>
      </c>
      <c r="G1299" s="1">
        <v>4</v>
      </c>
      <c r="H1299" s="1">
        <v>2</v>
      </c>
      <c r="I1299" s="1">
        <v>3</v>
      </c>
      <c r="J1299" s="1">
        <v>2.5</v>
      </c>
      <c r="M1299" s="4">
        <v>1402</v>
      </c>
      <c r="N1299" s="1">
        <v>2743</v>
      </c>
      <c r="O1299" s="1">
        <v>3809</v>
      </c>
      <c r="P1299" s="1">
        <v>1066</v>
      </c>
      <c r="Q1299" s="1" t="s">
        <v>42</v>
      </c>
      <c r="S1299" s="1" t="s">
        <v>42</v>
      </c>
      <c r="T1299" s="1" t="s">
        <v>273</v>
      </c>
      <c r="U1299" s="1">
        <v>333</v>
      </c>
      <c r="V1299" s="5">
        <v>43173</v>
      </c>
      <c r="W1299" s="5">
        <v>42677</v>
      </c>
      <c r="X1299" s="1">
        <v>3125000</v>
      </c>
      <c r="Y1299" s="1">
        <v>3125000</v>
      </c>
      <c r="AA1299" s="1">
        <v>3052408.75</v>
      </c>
      <c r="AB1299" s="1" t="s">
        <v>584</v>
      </c>
      <c r="AC1299" s="5">
        <v>43272</v>
      </c>
      <c r="AF1299" s="1">
        <v>10011</v>
      </c>
      <c r="AI1299" s="1" t="s">
        <v>48</v>
      </c>
      <c r="AJ1299" s="1">
        <v>2018</v>
      </c>
      <c r="AK1299" s="1" t="s">
        <v>46</v>
      </c>
      <c r="AL1299" s="1">
        <v>21</v>
      </c>
    </row>
    <row r="1300" spans="1:38" x14ac:dyDescent="0.2">
      <c r="A1300" s="2" t="str">
        <f>HYPERLINK("https://www.compass.com/listing/100-avenue-a-unit-7e-manhattan-ny-10009/841198724743494209/","100 Avenue A, Unit 7E")</f>
        <v>100 Avenue A, Unit 7E</v>
      </c>
      <c r="B1300" s="2" t="str">
        <f>HYPERLINK("https://www.compass.com/building/100-avenue-a-manhattan-ny-10009/389273110856657541/","100 Avenue A")</f>
        <v>100 Avenue A</v>
      </c>
      <c r="C1300" s="1" t="s">
        <v>71</v>
      </c>
      <c r="D1300" s="1" t="s">
        <v>41</v>
      </c>
      <c r="E1300" s="3">
        <v>1303360</v>
      </c>
      <c r="F1300" s="1">
        <v>1894.41860465116</v>
      </c>
      <c r="G1300" s="1">
        <v>3</v>
      </c>
      <c r="H1300" s="1">
        <v>1</v>
      </c>
      <c r="I1300" s="1">
        <v>1</v>
      </c>
      <c r="J1300" s="1">
        <v>1</v>
      </c>
      <c r="M1300" s="1">
        <v>688</v>
      </c>
      <c r="N1300" s="1">
        <v>917.02</v>
      </c>
      <c r="O1300" s="1">
        <v>1476.69999999999</v>
      </c>
      <c r="P1300" s="1">
        <v>559.66666666666595</v>
      </c>
      <c r="Q1300" s="1" t="s">
        <v>42</v>
      </c>
      <c r="S1300" s="1" t="s">
        <v>42</v>
      </c>
      <c r="T1300" s="1" t="s">
        <v>273</v>
      </c>
      <c r="U1300" s="1">
        <v>80</v>
      </c>
      <c r="V1300" s="5">
        <v>41640</v>
      </c>
      <c r="W1300" s="5">
        <v>42749</v>
      </c>
      <c r="X1300" s="1">
        <v>1400000</v>
      </c>
      <c r="Y1300" s="1">
        <v>1400000</v>
      </c>
      <c r="AA1300" s="1">
        <v>1303360</v>
      </c>
      <c r="AB1300" s="1" t="s">
        <v>529</v>
      </c>
      <c r="AC1300" s="5">
        <v>42874</v>
      </c>
      <c r="AF1300" s="1">
        <v>10009</v>
      </c>
      <c r="AI1300" s="1" t="s">
        <v>514</v>
      </c>
      <c r="AJ1300" s="1">
        <v>2016</v>
      </c>
      <c r="AK1300" s="1" t="s">
        <v>55</v>
      </c>
    </row>
    <row r="1301" spans="1:38" x14ac:dyDescent="0.2">
      <c r="A1301" s="2" t="str">
        <f>HYPERLINK("https://www.compass.com/listing/225-west-17th-street-unit-3b-manhattan-ny-10011/29510293235284657/","225 W 17th St, Unit 3B")</f>
        <v>225 W 17th St, Unit 3B</v>
      </c>
      <c r="B1301" s="2" t="str">
        <f>HYPERLINK("https://www.compass.com/building/225-west-17th-street-manhattan-ny/292802090781141541/","225 West 17th Street")</f>
        <v>225 West 17th Street</v>
      </c>
      <c r="C1301" s="1" t="s">
        <v>62</v>
      </c>
      <c r="D1301" s="1" t="s">
        <v>41</v>
      </c>
      <c r="E1301" s="3">
        <v>2700000</v>
      </c>
      <c r="F1301" s="1">
        <v>1812.0805369127499</v>
      </c>
      <c r="G1301" s="1">
        <v>6</v>
      </c>
      <c r="H1301" s="1">
        <v>2</v>
      </c>
      <c r="I1301" s="1">
        <v>3</v>
      </c>
      <c r="J1301" s="1">
        <v>2.5</v>
      </c>
      <c r="K1301" s="1">
        <v>2</v>
      </c>
      <c r="L1301" s="1">
        <v>1</v>
      </c>
      <c r="M1301" s="4">
        <v>1490</v>
      </c>
      <c r="N1301" s="1">
        <v>933</v>
      </c>
      <c r="O1301" s="1">
        <v>2773</v>
      </c>
      <c r="P1301" s="1">
        <v>1840</v>
      </c>
      <c r="Q1301" s="1" t="s">
        <v>42</v>
      </c>
      <c r="S1301" s="1" t="s">
        <v>42</v>
      </c>
      <c r="T1301" s="1" t="s">
        <v>273</v>
      </c>
      <c r="U1301" s="1">
        <v>181</v>
      </c>
      <c r="V1301" s="5">
        <v>43644</v>
      </c>
      <c r="W1301" s="5">
        <v>42866</v>
      </c>
      <c r="X1301" s="1">
        <v>2950000</v>
      </c>
      <c r="Y1301" s="1">
        <v>2700000</v>
      </c>
      <c r="Z1301" s="5">
        <v>43047</v>
      </c>
      <c r="AA1301" s="1">
        <v>2700000</v>
      </c>
      <c r="AB1301" s="1" t="s">
        <v>275</v>
      </c>
      <c r="AC1301" s="5">
        <v>43573</v>
      </c>
      <c r="AF1301" s="1">
        <v>10011</v>
      </c>
      <c r="AI1301" s="1" t="s">
        <v>540</v>
      </c>
      <c r="AJ1301" s="1">
        <v>2018</v>
      </c>
      <c r="AK1301" s="1" t="s">
        <v>215</v>
      </c>
      <c r="AL1301" s="1">
        <v>14</v>
      </c>
    </row>
    <row r="1302" spans="1:38" x14ac:dyDescent="0.2">
      <c r="A1302" s="2" t="str">
        <f>HYPERLINK("https://www.compass.com/listing/30-warren-street-unit-3b-manhattan-ny-10007/760216022395508985/","30 Warren St, Unit 3B")</f>
        <v>30 Warren St, Unit 3B</v>
      </c>
      <c r="B1302" s="2" t="str">
        <f>HYPERLINK("https://www.compass.com/building/30-warren-manhattan-ny/292789104075095813/","30 WARREN")</f>
        <v>30 WARREN</v>
      </c>
      <c r="C1302" s="1" t="s">
        <v>50</v>
      </c>
      <c r="D1302" s="1" t="s">
        <v>41</v>
      </c>
      <c r="E1302" s="3">
        <v>2350000</v>
      </c>
      <c r="F1302" s="1">
        <v>1857.70750988142</v>
      </c>
      <c r="G1302" s="1">
        <v>4</v>
      </c>
      <c r="H1302" s="1">
        <v>2</v>
      </c>
      <c r="I1302" s="1">
        <v>3</v>
      </c>
      <c r="J1302" s="1">
        <v>2.5</v>
      </c>
      <c r="K1302" s="1">
        <v>2</v>
      </c>
      <c r="L1302" s="1">
        <v>1</v>
      </c>
      <c r="M1302" s="4">
        <v>1265</v>
      </c>
      <c r="N1302" s="1">
        <v>1627.96</v>
      </c>
      <c r="O1302" s="1">
        <v>3357.21</v>
      </c>
      <c r="P1302" s="1">
        <v>1729.25</v>
      </c>
      <c r="Q1302" s="1" t="s">
        <v>42</v>
      </c>
      <c r="S1302" s="1" t="s">
        <v>42</v>
      </c>
      <c r="T1302" s="1" t="s">
        <v>273</v>
      </c>
      <c r="V1302" s="5">
        <v>44358</v>
      </c>
      <c r="W1302" s="5">
        <v>44300</v>
      </c>
      <c r="X1302" s="1">
        <v>2785000</v>
      </c>
      <c r="Y1302" s="1">
        <v>2785000</v>
      </c>
      <c r="Z1302" s="5">
        <v>44301</v>
      </c>
      <c r="AA1302" s="1">
        <v>2350000</v>
      </c>
      <c r="AB1302" s="1" t="s">
        <v>590</v>
      </c>
      <c r="AC1302" s="5">
        <v>44357</v>
      </c>
      <c r="AF1302" s="1">
        <v>10007</v>
      </c>
      <c r="AJ1302" s="1">
        <v>2017</v>
      </c>
      <c r="AK1302" s="1" t="s">
        <v>125</v>
      </c>
      <c r="AL1302" s="1">
        <v>23</v>
      </c>
    </row>
    <row r="1303" spans="1:38" x14ac:dyDescent="0.2">
      <c r="A1303" s="2" t="str">
        <f>HYPERLINK("https://www.compass.com/listing/100-barrow-street-unit-4d-manhattan-ny-10014/533345550182037545/","100 Barrow St, Unit 4D")</f>
        <v>100 Barrow St, Unit 4D</v>
      </c>
      <c r="B1303" s="2" t="str">
        <f>HYPERLINK("https://www.compass.com/building/100-barrow-manhattan-ny/292834978184618837/","100 Barrow")</f>
        <v>100 Barrow</v>
      </c>
      <c r="C1303" s="1" t="s">
        <v>67</v>
      </c>
      <c r="D1303" s="1" t="s">
        <v>41</v>
      </c>
      <c r="E1303" s="3">
        <v>3460000</v>
      </c>
      <c r="F1303" s="1">
        <v>1957.01357466063</v>
      </c>
      <c r="G1303" s="1">
        <v>4</v>
      </c>
      <c r="H1303" s="1">
        <v>2</v>
      </c>
      <c r="I1303" s="1">
        <v>3</v>
      </c>
      <c r="J1303" s="1">
        <v>3</v>
      </c>
      <c r="K1303" s="1">
        <v>3</v>
      </c>
      <c r="M1303" s="4">
        <v>1768</v>
      </c>
      <c r="N1303" s="1">
        <v>5136</v>
      </c>
      <c r="O1303" s="1">
        <v>5136</v>
      </c>
      <c r="Q1303" s="1" t="s">
        <v>272</v>
      </c>
      <c r="S1303" s="1" t="s">
        <v>272</v>
      </c>
      <c r="T1303" s="1" t="s">
        <v>273</v>
      </c>
      <c r="U1303" s="1">
        <v>248</v>
      </c>
      <c r="V1303" s="5">
        <v>44322</v>
      </c>
      <c r="W1303" s="5">
        <v>43987</v>
      </c>
      <c r="X1303" s="1">
        <v>3800000</v>
      </c>
      <c r="Y1303" s="1">
        <v>3800000</v>
      </c>
      <c r="AA1303" s="1">
        <v>3460000</v>
      </c>
      <c r="AB1303" s="1" t="s">
        <v>274</v>
      </c>
      <c r="AC1303" s="5">
        <v>44256</v>
      </c>
      <c r="AF1303" s="1">
        <v>10014</v>
      </c>
      <c r="AJ1303" s="1">
        <v>2015</v>
      </c>
      <c r="AK1303" s="1" t="s">
        <v>46</v>
      </c>
      <c r="AL1303" s="1">
        <v>33</v>
      </c>
    </row>
    <row r="1304" spans="1:38" x14ac:dyDescent="0.2">
      <c r="A1304" s="2" t="str">
        <f>HYPERLINK("https://www.compass.com/listing/100-barclay-street-unit-13h-manhattan-ny-10007/4852264120285671713/","100 Barclay St, Unit 13H")</f>
        <v>100 Barclay St, Unit 13H</v>
      </c>
      <c r="B1304" s="2" t="str">
        <f>HYPERLINK("https://www.compass.com/building/100-barclay-manhattan-ny/281896670466155525/","100 Barclay")</f>
        <v>100 Barclay</v>
      </c>
      <c r="C1304" s="1" t="s">
        <v>50</v>
      </c>
      <c r="D1304" s="1" t="s">
        <v>41</v>
      </c>
      <c r="E1304" s="3">
        <v>2698362</v>
      </c>
      <c r="F1304" s="1">
        <v>1516.78583473861</v>
      </c>
      <c r="G1304" s="1">
        <v>5</v>
      </c>
      <c r="H1304" s="1">
        <v>2</v>
      </c>
      <c r="I1304" s="1">
        <v>3</v>
      </c>
      <c r="J1304" s="1">
        <v>3</v>
      </c>
      <c r="M1304" s="4">
        <v>1779</v>
      </c>
      <c r="N1304" s="1">
        <v>2283</v>
      </c>
      <c r="O1304" s="1">
        <v>4466</v>
      </c>
      <c r="P1304" s="1">
        <v>2183</v>
      </c>
      <c r="Q1304" s="1" t="s">
        <v>42</v>
      </c>
      <c r="S1304" s="1" t="s">
        <v>42</v>
      </c>
      <c r="T1304" s="1" t="s">
        <v>273</v>
      </c>
      <c r="V1304" s="5">
        <v>43623</v>
      </c>
      <c r="W1304" s="5">
        <v>42477</v>
      </c>
      <c r="X1304" s="1">
        <v>2752000</v>
      </c>
      <c r="Y1304" s="1">
        <v>2752000</v>
      </c>
      <c r="Z1304" s="5">
        <v>42477</v>
      </c>
      <c r="AA1304" s="1">
        <v>2698362</v>
      </c>
      <c r="AB1304" s="1" t="s">
        <v>591</v>
      </c>
      <c r="AC1304" s="5">
        <v>42747</v>
      </c>
      <c r="AF1304" s="1">
        <v>10007</v>
      </c>
      <c r="AI1304" s="1" t="s">
        <v>52</v>
      </c>
      <c r="AJ1304" s="1">
        <v>1930</v>
      </c>
      <c r="AK1304" s="1" t="s">
        <v>46</v>
      </c>
      <c r="AL1304" s="1">
        <v>156</v>
      </c>
    </row>
    <row r="1305" spans="1:38" x14ac:dyDescent="0.2">
      <c r="A1305" s="2" t="str">
        <f>HYPERLINK("https://www.compass.com/listing/155-west-18th-street-unit-703-manhattan-ny-10011/70912812372764593/","155 W 18th St, Unit 703")</f>
        <v>155 W 18th St, Unit 703</v>
      </c>
      <c r="B1305" s="2" t="str">
        <f>HYPERLINK("https://www.compass.com/building/the-flynn-manhattan-ny/281905793161251925/","The Flynn")</f>
        <v>The Flynn</v>
      </c>
      <c r="C1305" s="1" t="s">
        <v>62</v>
      </c>
      <c r="D1305" s="1" t="s">
        <v>41</v>
      </c>
      <c r="E1305" s="3">
        <v>1807394</v>
      </c>
      <c r="F1305" s="1">
        <v>2593.1047345767502</v>
      </c>
      <c r="G1305" s="1">
        <v>2</v>
      </c>
      <c r="H1305" s="1">
        <v>1</v>
      </c>
      <c r="I1305" s="1">
        <v>2</v>
      </c>
      <c r="J1305" s="1">
        <v>1.5</v>
      </c>
      <c r="M1305" s="1">
        <v>697</v>
      </c>
      <c r="N1305" s="1">
        <v>1062</v>
      </c>
      <c r="O1305" s="1">
        <v>1876</v>
      </c>
      <c r="P1305" s="1">
        <v>814</v>
      </c>
      <c r="Q1305" s="1" t="s">
        <v>42</v>
      </c>
      <c r="S1305" s="1" t="s">
        <v>42</v>
      </c>
      <c r="T1305" s="1" t="s">
        <v>273</v>
      </c>
      <c r="U1305" s="1">
        <v>2</v>
      </c>
      <c r="V1305" s="5">
        <v>43662</v>
      </c>
      <c r="W1305" s="5">
        <v>42411</v>
      </c>
      <c r="X1305" s="1">
        <v>1850000</v>
      </c>
      <c r="Y1305" s="1">
        <v>1850000</v>
      </c>
      <c r="Z1305" s="5">
        <v>42413</v>
      </c>
      <c r="AA1305" s="1">
        <v>1807394</v>
      </c>
      <c r="AB1305" s="1" t="s">
        <v>532</v>
      </c>
      <c r="AC1305" s="5">
        <v>42649</v>
      </c>
      <c r="AF1305" s="1">
        <v>10011</v>
      </c>
      <c r="AI1305" s="1" t="s">
        <v>592</v>
      </c>
      <c r="AJ1305" s="1">
        <v>2016</v>
      </c>
      <c r="AK1305" s="1" t="s">
        <v>46</v>
      </c>
      <c r="AL1305" s="1">
        <v>30</v>
      </c>
    </row>
    <row r="1306" spans="1:38" x14ac:dyDescent="0.2">
      <c r="A1306" s="2" t="str">
        <f>HYPERLINK("https://www.compass.com/listing/100-barclay-street-unit-13p-manhattan-ny-10007/4852275316795638849/","100 Barclay St, Unit 13P")</f>
        <v>100 Barclay St, Unit 13P</v>
      </c>
      <c r="B1306" s="2" t="str">
        <f t="shared" ref="B1306:B1307" si="183">HYPERLINK("https://www.compass.com/building/100-barclay-manhattan-ny/281896670466155525/","100 Barclay")</f>
        <v>100 Barclay</v>
      </c>
      <c r="C1306" s="1" t="s">
        <v>50</v>
      </c>
      <c r="D1306" s="1" t="s">
        <v>41</v>
      </c>
      <c r="E1306" s="3">
        <v>2978381</v>
      </c>
      <c r="F1306" s="1">
        <v>1888.6372859860401</v>
      </c>
      <c r="G1306" s="1">
        <v>5</v>
      </c>
      <c r="H1306" s="1">
        <v>2</v>
      </c>
      <c r="I1306" s="1">
        <v>2</v>
      </c>
      <c r="J1306" s="1">
        <v>2</v>
      </c>
      <c r="M1306" s="4">
        <v>1577</v>
      </c>
      <c r="N1306" s="1">
        <v>2023</v>
      </c>
      <c r="O1306" s="1">
        <v>3958</v>
      </c>
      <c r="P1306" s="1">
        <v>1935</v>
      </c>
      <c r="Q1306" s="1" t="s">
        <v>42</v>
      </c>
      <c r="S1306" s="1" t="s">
        <v>42</v>
      </c>
      <c r="T1306" s="1" t="s">
        <v>273</v>
      </c>
      <c r="V1306" s="5">
        <v>43623</v>
      </c>
      <c r="W1306" s="5">
        <v>42477</v>
      </c>
      <c r="X1306" s="1">
        <v>2974500</v>
      </c>
      <c r="Y1306" s="1">
        <v>2974500</v>
      </c>
      <c r="Z1306" s="5">
        <v>42477</v>
      </c>
      <c r="AA1306" s="1">
        <v>2978381</v>
      </c>
      <c r="AB1306" s="1" t="s">
        <v>593</v>
      </c>
      <c r="AC1306" s="5">
        <v>42748</v>
      </c>
      <c r="AF1306" s="1">
        <v>10007</v>
      </c>
      <c r="AI1306" s="1" t="s">
        <v>52</v>
      </c>
      <c r="AJ1306" s="1">
        <v>1930</v>
      </c>
      <c r="AK1306" s="1" t="s">
        <v>46</v>
      </c>
      <c r="AL1306" s="1">
        <v>156</v>
      </c>
    </row>
    <row r="1307" spans="1:38" x14ac:dyDescent="0.2">
      <c r="A1307" s="2" t="str">
        <f>HYPERLINK("https://www.compass.com/listing/100-barclay-street-unit-13j-manhattan-ny-10007/4852306547440626625/","100 Barclay St, Unit 13J")</f>
        <v>100 Barclay St, Unit 13J</v>
      </c>
      <c r="B1307" s="2" t="str">
        <f t="shared" si="183"/>
        <v>100 Barclay</v>
      </c>
      <c r="C1307" s="1" t="s">
        <v>50</v>
      </c>
      <c r="D1307" s="1" t="s">
        <v>41</v>
      </c>
      <c r="E1307" s="3">
        <v>1950000</v>
      </c>
      <c r="F1307" s="1">
        <v>1612.9032258064501</v>
      </c>
      <c r="G1307" s="1">
        <v>3</v>
      </c>
      <c r="H1307" s="1">
        <v>1</v>
      </c>
      <c r="I1307" s="1">
        <v>2</v>
      </c>
      <c r="J1307" s="1">
        <v>2</v>
      </c>
      <c r="K1307" s="1">
        <v>2</v>
      </c>
      <c r="M1307" s="4">
        <v>1209</v>
      </c>
      <c r="N1307" s="1">
        <v>1551</v>
      </c>
      <c r="O1307" s="1">
        <v>3034</v>
      </c>
      <c r="P1307" s="1">
        <v>1483</v>
      </c>
      <c r="Q1307" s="1" t="s">
        <v>42</v>
      </c>
      <c r="S1307" s="1" t="s">
        <v>42</v>
      </c>
      <c r="T1307" s="1" t="s">
        <v>273</v>
      </c>
      <c r="U1307" s="1">
        <v>206</v>
      </c>
      <c r="V1307" s="5">
        <v>43623</v>
      </c>
      <c r="W1307" s="5">
        <v>42497</v>
      </c>
      <c r="X1307" s="1">
        <v>1985000</v>
      </c>
      <c r="Y1307" s="1">
        <v>1985000</v>
      </c>
      <c r="Z1307" s="5">
        <v>42703</v>
      </c>
      <c r="AA1307" s="1">
        <v>1950000</v>
      </c>
      <c r="AB1307" s="1" t="s">
        <v>594</v>
      </c>
      <c r="AC1307" s="5">
        <v>42759</v>
      </c>
      <c r="AF1307" s="1">
        <v>10007</v>
      </c>
      <c r="AI1307" s="1" t="s">
        <v>52</v>
      </c>
      <c r="AJ1307" s="1">
        <v>1930</v>
      </c>
      <c r="AK1307" s="1" t="s">
        <v>46</v>
      </c>
      <c r="AL1307" s="1">
        <v>156</v>
      </c>
    </row>
    <row r="1308" spans="1:38" x14ac:dyDescent="0.2">
      <c r="A1308" s="2" t="str">
        <f>HYPERLINK("https://www.compass.com/listing/30-warren-street-unit-2b-manhattan-ny-10007/107235111577178433/","30 Warren St, Unit 2B")</f>
        <v>30 Warren St, Unit 2B</v>
      </c>
      <c r="B1308" s="2" t="str">
        <f>HYPERLINK("https://www.compass.com/building/30-warren-manhattan-ny/292789104075095813/","30 WARREN")</f>
        <v>30 WARREN</v>
      </c>
      <c r="C1308" s="1" t="s">
        <v>50</v>
      </c>
      <c r="D1308" s="1" t="s">
        <v>41</v>
      </c>
      <c r="E1308" s="3">
        <v>2350000</v>
      </c>
      <c r="F1308" s="1">
        <v>1857.70750988142</v>
      </c>
      <c r="G1308" s="1">
        <v>4.5</v>
      </c>
      <c r="H1308" s="1">
        <v>2</v>
      </c>
      <c r="I1308" s="1">
        <v>3</v>
      </c>
      <c r="J1308" s="1">
        <v>2.5</v>
      </c>
      <c r="K1308" s="1">
        <v>2</v>
      </c>
      <c r="L1308" s="1">
        <v>1</v>
      </c>
      <c r="M1308" s="4">
        <v>1265</v>
      </c>
      <c r="N1308" s="1">
        <v>1619.86</v>
      </c>
      <c r="O1308" s="1">
        <v>3340.5</v>
      </c>
      <c r="P1308" s="1">
        <v>1720.6666666666599</v>
      </c>
      <c r="Q1308" s="1" t="s">
        <v>42</v>
      </c>
      <c r="S1308" s="1" t="s">
        <v>42</v>
      </c>
      <c r="T1308" s="1" t="s">
        <v>273</v>
      </c>
      <c r="U1308" s="1">
        <v>771</v>
      </c>
      <c r="V1308" s="5">
        <v>44343</v>
      </c>
      <c r="W1308" s="5">
        <v>43399</v>
      </c>
      <c r="X1308" s="1">
        <v>2665000</v>
      </c>
      <c r="Y1308" s="1">
        <v>2495000</v>
      </c>
      <c r="Z1308" s="5">
        <v>44265</v>
      </c>
      <c r="AA1308" s="1">
        <v>2350000</v>
      </c>
      <c r="AB1308" s="1" t="s">
        <v>595</v>
      </c>
      <c r="AC1308" s="5">
        <v>44341</v>
      </c>
      <c r="AF1308" s="1">
        <v>10007</v>
      </c>
      <c r="AJ1308" s="1">
        <v>2017</v>
      </c>
      <c r="AK1308" s="1" t="s">
        <v>125</v>
      </c>
      <c r="AL1308" s="1">
        <v>23</v>
      </c>
    </row>
    <row r="1309" spans="1:38" x14ac:dyDescent="0.2">
      <c r="A1309" s="2" t="str">
        <f>HYPERLINK("https://www.compass.com/listing/211-west-14th-street-unit-8a-manhattan-ny-10011/29514441737408657/","211 W 14th St, Unit 8A")</f>
        <v>211 W 14th St, Unit 8A</v>
      </c>
      <c r="B1309" s="2" t="str">
        <f t="shared" ref="B1309:B1312" si="184">HYPERLINK("https://www.compass.com/building/dorsay-manhattan-ny/292801633543285477/","d'Orsay")</f>
        <v>d'Orsay</v>
      </c>
      <c r="C1309" s="1" t="s">
        <v>62</v>
      </c>
      <c r="D1309" s="1" t="s">
        <v>41</v>
      </c>
      <c r="E1309" s="3">
        <v>3505600</v>
      </c>
      <c r="F1309" s="1">
        <v>2631.8318318318302</v>
      </c>
      <c r="G1309" s="1">
        <v>4</v>
      </c>
      <c r="H1309" s="1">
        <v>2</v>
      </c>
      <c r="I1309" s="1">
        <v>3</v>
      </c>
      <c r="J1309" s="1">
        <v>2.5</v>
      </c>
      <c r="K1309" s="1">
        <v>2</v>
      </c>
      <c r="L1309" s="1">
        <v>1</v>
      </c>
      <c r="M1309" s="4">
        <v>1332</v>
      </c>
      <c r="N1309" s="1">
        <v>2659</v>
      </c>
      <c r="O1309" s="1">
        <v>12868</v>
      </c>
      <c r="P1309" s="1">
        <v>10209</v>
      </c>
      <c r="Q1309" s="1" t="s">
        <v>42</v>
      </c>
      <c r="S1309" s="1" t="s">
        <v>42</v>
      </c>
      <c r="T1309" s="1" t="s">
        <v>273</v>
      </c>
      <c r="U1309" s="1">
        <v>14</v>
      </c>
      <c r="V1309" s="5">
        <v>43678</v>
      </c>
      <c r="W1309" s="5">
        <v>42696</v>
      </c>
      <c r="X1309" s="1">
        <v>3400000</v>
      </c>
      <c r="Y1309" s="1">
        <v>3425000</v>
      </c>
      <c r="Z1309" s="5">
        <v>42710</v>
      </c>
      <c r="AA1309" s="1">
        <v>3505600</v>
      </c>
      <c r="AB1309" s="1" t="s">
        <v>596</v>
      </c>
      <c r="AC1309" s="5">
        <v>43332</v>
      </c>
      <c r="AF1309" s="1">
        <v>10011</v>
      </c>
      <c r="AI1309" s="1" t="s">
        <v>179</v>
      </c>
      <c r="AJ1309" s="1">
        <v>2018</v>
      </c>
      <c r="AK1309" s="1" t="s">
        <v>46</v>
      </c>
      <c r="AL1309" s="1">
        <v>21</v>
      </c>
    </row>
    <row r="1310" spans="1:38" x14ac:dyDescent="0.2">
      <c r="A1310" s="2" t="str">
        <f>HYPERLINK("https://www.compass.com/listing/211-west-14th-street-unit-10b-manhattan-ny-10011/29514442039440449/","211 W 14th St, Unit 10B")</f>
        <v>211 W 14th St, Unit 10B</v>
      </c>
      <c r="B1310" s="2" t="str">
        <f t="shared" si="184"/>
        <v>d'Orsay</v>
      </c>
      <c r="C1310" s="1" t="s">
        <v>62</v>
      </c>
      <c r="D1310" s="1" t="s">
        <v>41</v>
      </c>
      <c r="E1310" s="3">
        <v>3540000</v>
      </c>
      <c r="F1310" s="1">
        <v>2637.8539493293501</v>
      </c>
      <c r="G1310" s="1">
        <v>4</v>
      </c>
      <c r="H1310" s="1">
        <v>2</v>
      </c>
      <c r="I1310" s="1">
        <v>3</v>
      </c>
      <c r="J1310" s="1">
        <v>2.5</v>
      </c>
      <c r="K1310" s="1">
        <v>2</v>
      </c>
      <c r="L1310" s="1">
        <v>1</v>
      </c>
      <c r="M1310" s="4">
        <v>1342</v>
      </c>
      <c r="N1310" s="1">
        <v>2769</v>
      </c>
      <c r="O1310" s="1">
        <v>4028</v>
      </c>
      <c r="P1310" s="1">
        <v>1259</v>
      </c>
      <c r="Q1310" s="1" t="s">
        <v>42</v>
      </c>
      <c r="S1310" s="1" t="s">
        <v>42</v>
      </c>
      <c r="T1310" s="1" t="s">
        <v>273</v>
      </c>
      <c r="V1310" s="5">
        <v>43678</v>
      </c>
      <c r="W1310" s="5">
        <v>42717</v>
      </c>
      <c r="X1310" s="1">
        <v>3575000</v>
      </c>
      <c r="Y1310" s="1">
        <v>3575000</v>
      </c>
      <c r="Z1310" s="5">
        <v>42717</v>
      </c>
      <c r="AA1310" s="1">
        <v>3540000</v>
      </c>
      <c r="AB1310" s="1" t="s">
        <v>597</v>
      </c>
      <c r="AC1310" s="5">
        <v>43333</v>
      </c>
      <c r="AF1310" s="1">
        <v>10011</v>
      </c>
      <c r="AI1310" s="1" t="s">
        <v>238</v>
      </c>
      <c r="AJ1310" s="1">
        <v>2018</v>
      </c>
      <c r="AK1310" s="1" t="s">
        <v>46</v>
      </c>
      <c r="AL1310" s="1">
        <v>21</v>
      </c>
    </row>
    <row r="1311" spans="1:38" x14ac:dyDescent="0.2">
      <c r="A1311" s="2" t="str">
        <f>HYPERLINK("https://www.compass.com/listing/211-west-14th-street-unit-10a-manhattan-ny-10011/29514442685321393/","211 W 14th St, Unit 10A")</f>
        <v>211 W 14th St, Unit 10A</v>
      </c>
      <c r="B1311" s="2" t="str">
        <f t="shared" si="184"/>
        <v>d'Orsay</v>
      </c>
      <c r="C1311" s="1" t="s">
        <v>62</v>
      </c>
      <c r="D1311" s="1" t="s">
        <v>41</v>
      </c>
      <c r="E1311" s="3">
        <v>3660138</v>
      </c>
      <c r="F1311" s="1">
        <v>2747.8513513513499</v>
      </c>
      <c r="G1311" s="1">
        <v>4</v>
      </c>
      <c r="H1311" s="1">
        <v>2</v>
      </c>
      <c r="I1311" s="1">
        <v>3</v>
      </c>
      <c r="J1311" s="1">
        <v>2.5</v>
      </c>
      <c r="K1311" s="1">
        <v>2</v>
      </c>
      <c r="L1311" s="1">
        <v>1</v>
      </c>
      <c r="M1311" s="4">
        <v>1332</v>
      </c>
      <c r="N1311" s="1">
        <v>2685</v>
      </c>
      <c r="O1311" s="1">
        <v>3905</v>
      </c>
      <c r="P1311" s="1">
        <v>1220</v>
      </c>
      <c r="Q1311" s="1" t="s">
        <v>42</v>
      </c>
      <c r="S1311" s="1" t="s">
        <v>42</v>
      </c>
      <c r="T1311" s="1" t="s">
        <v>273</v>
      </c>
      <c r="V1311" s="5">
        <v>43700</v>
      </c>
      <c r="W1311" s="5">
        <v>42712</v>
      </c>
      <c r="X1311" s="1">
        <v>3575000</v>
      </c>
      <c r="Y1311" s="1">
        <v>3575000</v>
      </c>
      <c r="Z1311" s="5">
        <v>42712</v>
      </c>
      <c r="AA1311" s="1">
        <v>3660138</v>
      </c>
      <c r="AB1311" s="1" t="s">
        <v>598</v>
      </c>
      <c r="AC1311" s="5">
        <v>43333</v>
      </c>
      <c r="AF1311" s="1">
        <v>10011</v>
      </c>
      <c r="AI1311" s="1" t="s">
        <v>179</v>
      </c>
      <c r="AJ1311" s="1">
        <v>2018</v>
      </c>
      <c r="AK1311" s="1" t="s">
        <v>46</v>
      </c>
      <c r="AL1311" s="1">
        <v>21</v>
      </c>
    </row>
    <row r="1312" spans="1:38" x14ac:dyDescent="0.2">
      <c r="A1312" s="2" t="str">
        <f>HYPERLINK("https://www.compass.com/listing/211-west-14th-street-unit-9b-manhattan-ny-10011/29514444665032945/","211 W 14th St, Unit 9B")</f>
        <v>211 W 14th St, Unit 9B</v>
      </c>
      <c r="B1312" s="2" t="str">
        <f t="shared" si="184"/>
        <v>d'Orsay</v>
      </c>
      <c r="C1312" s="1" t="s">
        <v>62</v>
      </c>
      <c r="D1312" s="1" t="s">
        <v>41</v>
      </c>
      <c r="E1312" s="3">
        <v>3500000</v>
      </c>
      <c r="F1312" s="1">
        <v>2608.0476900149001</v>
      </c>
      <c r="G1312" s="1">
        <v>4</v>
      </c>
      <c r="H1312" s="1">
        <v>2</v>
      </c>
      <c r="I1312" s="1">
        <v>3</v>
      </c>
      <c r="J1312" s="1">
        <v>2.5</v>
      </c>
      <c r="K1312" s="1">
        <v>2</v>
      </c>
      <c r="L1312" s="1">
        <v>1</v>
      </c>
      <c r="M1312" s="4">
        <v>1342</v>
      </c>
      <c r="N1312" s="1">
        <v>2756</v>
      </c>
      <c r="O1312" s="1">
        <v>4009</v>
      </c>
      <c r="P1312" s="1">
        <v>1253</v>
      </c>
      <c r="Q1312" s="1" t="s">
        <v>42</v>
      </c>
      <c r="S1312" s="1" t="s">
        <v>42</v>
      </c>
      <c r="T1312" s="1" t="s">
        <v>273</v>
      </c>
      <c r="U1312" s="1">
        <v>125</v>
      </c>
      <c r="V1312" s="5">
        <v>43678</v>
      </c>
      <c r="W1312" s="5">
        <v>42678</v>
      </c>
      <c r="X1312" s="1">
        <v>3475000</v>
      </c>
      <c r="Y1312" s="1">
        <v>3500000</v>
      </c>
      <c r="Z1312" s="5">
        <v>42803</v>
      </c>
      <c r="AA1312" s="1">
        <v>3500000</v>
      </c>
      <c r="AB1312" s="1" t="s">
        <v>599</v>
      </c>
      <c r="AC1312" s="5">
        <v>43369</v>
      </c>
      <c r="AF1312" s="1">
        <v>10011</v>
      </c>
      <c r="AI1312" s="1" t="s">
        <v>238</v>
      </c>
      <c r="AJ1312" s="1">
        <v>2018</v>
      </c>
      <c r="AK1312" s="1" t="s">
        <v>46</v>
      </c>
      <c r="AL1312" s="1">
        <v>21</v>
      </c>
    </row>
    <row r="1313" spans="1:38" x14ac:dyDescent="0.2">
      <c r="A1313" s="2" t="str">
        <f>HYPERLINK("https://www.compass.com/listing/30-warren-street-unit-2c-manhattan-ny-10007/298548351939015617/","30 Warren St, Unit 2C")</f>
        <v>30 Warren St, Unit 2C</v>
      </c>
      <c r="B1313" s="2" t="str">
        <f>HYPERLINK("https://www.compass.com/building/30-warren-manhattan-ny/292789104075095813/","30 WARREN")</f>
        <v>30 WARREN</v>
      </c>
      <c r="C1313" s="1" t="s">
        <v>50</v>
      </c>
      <c r="D1313" s="1" t="s">
        <v>41</v>
      </c>
      <c r="E1313" s="3">
        <v>2995000</v>
      </c>
      <c r="F1313" s="1">
        <v>1798.7987987987899</v>
      </c>
      <c r="G1313" s="1">
        <v>4.5</v>
      </c>
      <c r="H1313" s="1">
        <v>2</v>
      </c>
      <c r="I1313" s="1">
        <v>3</v>
      </c>
      <c r="J1313" s="1">
        <v>2.5</v>
      </c>
      <c r="K1313" s="1">
        <v>2</v>
      </c>
      <c r="L1313" s="1">
        <v>1</v>
      </c>
      <c r="M1313" s="4">
        <v>1665</v>
      </c>
      <c r="N1313" s="1">
        <v>2132</v>
      </c>
      <c r="O1313" s="1">
        <v>3985</v>
      </c>
      <c r="P1313" s="1">
        <v>1853</v>
      </c>
      <c r="Q1313" s="1" t="s">
        <v>42</v>
      </c>
      <c r="S1313" s="1" t="s">
        <v>42</v>
      </c>
      <c r="T1313" s="1" t="s">
        <v>273</v>
      </c>
      <c r="V1313" s="5">
        <v>44348</v>
      </c>
      <c r="W1313" s="5">
        <v>43663</v>
      </c>
      <c r="X1313" s="1">
        <v>3180000</v>
      </c>
      <c r="Y1313" s="1">
        <v>3180000</v>
      </c>
      <c r="Z1313" s="5">
        <v>44182</v>
      </c>
      <c r="AA1313" s="1">
        <v>2995000</v>
      </c>
      <c r="AB1313" s="1" t="s">
        <v>600</v>
      </c>
      <c r="AC1313" s="5">
        <v>44328</v>
      </c>
      <c r="AF1313" s="1">
        <v>10007</v>
      </c>
      <c r="AJ1313" s="1">
        <v>2017</v>
      </c>
      <c r="AK1313" s="1" t="s">
        <v>125</v>
      </c>
      <c r="AL1313" s="1">
        <v>23</v>
      </c>
    </row>
    <row r="1314" spans="1:38" x14ac:dyDescent="0.2">
      <c r="A1314" s="2" t="str">
        <f>HYPERLINK("https://www.compass.com/listing/225-west-17th-street-unit-6a-manhattan-ny-10011/71698446716768273/","225 W 17th St, Unit 6A")</f>
        <v>225 W 17th St, Unit 6A</v>
      </c>
      <c r="B1314" s="2" t="str">
        <f>HYPERLINK("https://www.compass.com/building/225-west-17th-street-manhattan-ny/292802090781141541/","225 West 17th Street")</f>
        <v>225 West 17th Street</v>
      </c>
      <c r="C1314" s="1" t="s">
        <v>62</v>
      </c>
      <c r="D1314" s="1" t="s">
        <v>41</v>
      </c>
      <c r="E1314" s="3">
        <v>4683950</v>
      </c>
      <c r="F1314" s="1">
        <v>2398.3358934971802</v>
      </c>
      <c r="G1314" s="1">
        <v>6</v>
      </c>
      <c r="H1314" s="1">
        <v>2</v>
      </c>
      <c r="I1314" s="1">
        <v>3</v>
      </c>
      <c r="J1314" s="1">
        <v>2.5</v>
      </c>
      <c r="K1314" s="1">
        <v>2</v>
      </c>
      <c r="L1314" s="1">
        <v>1</v>
      </c>
      <c r="M1314" s="4">
        <v>1953</v>
      </c>
      <c r="N1314" s="1">
        <v>1188</v>
      </c>
      <c r="O1314" s="1">
        <v>3844</v>
      </c>
      <c r="P1314" s="1">
        <v>2656</v>
      </c>
      <c r="Q1314" s="1" t="s">
        <v>42</v>
      </c>
      <c r="S1314" s="1" t="s">
        <v>42</v>
      </c>
      <c r="T1314" s="1" t="s">
        <v>273</v>
      </c>
      <c r="U1314" s="1">
        <v>179</v>
      </c>
      <c r="V1314" s="5">
        <v>44342</v>
      </c>
      <c r="W1314" s="5">
        <v>43351</v>
      </c>
      <c r="X1314" s="1">
        <v>4500000</v>
      </c>
      <c r="Y1314" s="1">
        <v>4500000</v>
      </c>
      <c r="Z1314" s="5">
        <v>43530</v>
      </c>
      <c r="AA1314" s="1">
        <v>4683950</v>
      </c>
      <c r="AB1314" s="1" t="s">
        <v>601</v>
      </c>
      <c r="AC1314" s="5">
        <v>43556</v>
      </c>
      <c r="AF1314" s="1">
        <v>10011</v>
      </c>
      <c r="AI1314" s="1" t="s">
        <v>177</v>
      </c>
      <c r="AJ1314" s="1">
        <v>2018</v>
      </c>
      <c r="AK1314" s="1" t="s">
        <v>146</v>
      </c>
      <c r="AL1314" s="1">
        <v>14</v>
      </c>
    </row>
    <row r="1315" spans="1:38" x14ac:dyDescent="0.2">
      <c r="A1315" s="2" t="str">
        <f>HYPERLINK("https://www.compass.com/listing/100-barclay-street-unit-12c-manhattan-ny-10007/4852282345694183281/","100 Barclay St, Unit 12C")</f>
        <v>100 Barclay St, Unit 12C</v>
      </c>
      <c r="B1315" s="2" t="str">
        <f>HYPERLINK("https://www.compass.com/building/100-barclay-manhattan-ny/281896670466155525/","100 Barclay")</f>
        <v>100 Barclay</v>
      </c>
      <c r="C1315" s="1" t="s">
        <v>50</v>
      </c>
      <c r="D1315" s="1" t="s">
        <v>41</v>
      </c>
      <c r="E1315" s="3">
        <v>2115000</v>
      </c>
      <c r="F1315" s="1">
        <v>2029.7504798464399</v>
      </c>
      <c r="G1315" s="1">
        <v>3</v>
      </c>
      <c r="H1315" s="1">
        <v>1</v>
      </c>
      <c r="I1315" s="1">
        <v>1</v>
      </c>
      <c r="J1315" s="1">
        <v>1</v>
      </c>
      <c r="K1315" s="1">
        <v>1</v>
      </c>
      <c r="M1315" s="4">
        <v>1042</v>
      </c>
      <c r="N1315" s="1">
        <v>1337</v>
      </c>
      <c r="O1315" s="1">
        <v>2616</v>
      </c>
      <c r="P1315" s="1">
        <v>1279</v>
      </c>
      <c r="Q1315" s="1" t="s">
        <v>42</v>
      </c>
      <c r="S1315" s="1" t="s">
        <v>42</v>
      </c>
      <c r="T1315" s="1" t="s">
        <v>273</v>
      </c>
      <c r="U1315" s="1">
        <v>52</v>
      </c>
      <c r="V1315" s="5">
        <v>43670</v>
      </c>
      <c r="W1315" s="5">
        <v>42626</v>
      </c>
      <c r="X1315" s="1">
        <v>2178000</v>
      </c>
      <c r="Y1315" s="1">
        <v>2178000</v>
      </c>
      <c r="Z1315" s="5">
        <v>42678</v>
      </c>
      <c r="AA1315" s="1">
        <v>2115000</v>
      </c>
      <c r="AB1315" s="1" t="s">
        <v>602</v>
      </c>
      <c r="AC1315" s="5">
        <v>42755</v>
      </c>
      <c r="AF1315" s="1">
        <v>10007</v>
      </c>
      <c r="AI1315" s="1" t="s">
        <v>52</v>
      </c>
      <c r="AJ1315" s="1">
        <v>1930</v>
      </c>
      <c r="AK1315" s="1" t="s">
        <v>46</v>
      </c>
      <c r="AL1315" s="1">
        <v>156</v>
      </c>
    </row>
    <row r="1316" spans="1:38" x14ac:dyDescent="0.2">
      <c r="A1316" s="2" t="str">
        <f>HYPERLINK("https://www.compass.com/listing/155-west-18th-street-unit-303-manhattan-ny-10011/29373029091910097/","155 W 18th St, Unit 303")</f>
        <v>155 W 18th St, Unit 303</v>
      </c>
      <c r="B1316" s="2" t="str">
        <f t="shared" ref="B1316:B1319" si="185">HYPERLINK("https://www.compass.com/building/the-flynn-manhattan-ny/281905793161251925/","The Flynn")</f>
        <v>The Flynn</v>
      </c>
      <c r="C1316" s="1" t="s">
        <v>62</v>
      </c>
      <c r="D1316" s="1" t="s">
        <v>41</v>
      </c>
      <c r="E1316" s="3">
        <v>1374638</v>
      </c>
      <c r="F1316" s="1">
        <v>1972.2209469153499</v>
      </c>
      <c r="G1316" s="1">
        <v>3</v>
      </c>
      <c r="H1316" s="1">
        <v>1</v>
      </c>
      <c r="I1316" s="1">
        <v>2</v>
      </c>
      <c r="J1316" s="1">
        <v>1.5</v>
      </c>
      <c r="M1316" s="1">
        <v>697</v>
      </c>
      <c r="N1316" s="1">
        <v>1062</v>
      </c>
      <c r="O1316" s="1">
        <v>1876</v>
      </c>
      <c r="P1316" s="1">
        <v>814</v>
      </c>
      <c r="Q1316" s="1" t="s">
        <v>42</v>
      </c>
      <c r="S1316" s="1" t="s">
        <v>42</v>
      </c>
      <c r="T1316" s="1" t="s">
        <v>273</v>
      </c>
      <c r="U1316" s="1">
        <v>1</v>
      </c>
      <c r="V1316" s="5">
        <v>43631</v>
      </c>
      <c r="W1316" s="5">
        <v>42389</v>
      </c>
      <c r="X1316" s="1">
        <v>1450000</v>
      </c>
      <c r="Y1316" s="1">
        <v>1450000</v>
      </c>
      <c r="Z1316" s="5">
        <v>42390</v>
      </c>
      <c r="AA1316" s="1">
        <v>1374638</v>
      </c>
      <c r="AB1316" s="1" t="s">
        <v>560</v>
      </c>
      <c r="AC1316" s="5">
        <v>42678</v>
      </c>
      <c r="AF1316" s="1">
        <v>10011</v>
      </c>
      <c r="AI1316" s="1" t="s">
        <v>592</v>
      </c>
      <c r="AJ1316" s="1">
        <v>2016</v>
      </c>
      <c r="AK1316" s="1" t="s">
        <v>46</v>
      </c>
      <c r="AL1316" s="1">
        <v>30</v>
      </c>
    </row>
    <row r="1317" spans="1:38" x14ac:dyDescent="0.2">
      <c r="A1317" s="2" t="str">
        <f>HYPERLINK("https://www.compass.com/listing/155-west-18th-street-unit-403-manhattan-ny-10011/29373029981145953/","155 W 18th St, Unit 403")</f>
        <v>155 W 18th St, Unit 403</v>
      </c>
      <c r="B1317" s="2" t="str">
        <f t="shared" si="185"/>
        <v>The Flynn</v>
      </c>
      <c r="C1317" s="1" t="s">
        <v>62</v>
      </c>
      <c r="D1317" s="1" t="s">
        <v>41</v>
      </c>
      <c r="E1317" s="3">
        <v>1476463</v>
      </c>
      <c r="F1317" s="1">
        <v>2118.31133428981</v>
      </c>
      <c r="G1317" s="1">
        <v>3</v>
      </c>
      <c r="H1317" s="1">
        <v>1</v>
      </c>
      <c r="I1317" s="1">
        <v>2</v>
      </c>
      <c r="J1317" s="1">
        <v>1.5</v>
      </c>
      <c r="M1317" s="1">
        <v>697</v>
      </c>
      <c r="N1317" s="1">
        <v>1062</v>
      </c>
      <c r="O1317" s="1">
        <v>1876</v>
      </c>
      <c r="P1317" s="1">
        <v>814</v>
      </c>
      <c r="Q1317" s="1" t="s">
        <v>42</v>
      </c>
      <c r="S1317" s="1" t="s">
        <v>42</v>
      </c>
      <c r="T1317" s="1" t="s">
        <v>273</v>
      </c>
      <c r="U1317" s="1">
        <v>1</v>
      </c>
      <c r="V1317" s="5">
        <v>43666</v>
      </c>
      <c r="W1317" s="5">
        <v>42389</v>
      </c>
      <c r="X1317" s="1">
        <v>1500000</v>
      </c>
      <c r="Y1317" s="1">
        <v>1500000</v>
      </c>
      <c r="Z1317" s="5">
        <v>42390</v>
      </c>
      <c r="AA1317" s="1">
        <v>1476463</v>
      </c>
      <c r="AB1317" s="1" t="s">
        <v>561</v>
      </c>
      <c r="AC1317" s="5">
        <v>42663</v>
      </c>
      <c r="AF1317" s="1">
        <v>10011</v>
      </c>
      <c r="AI1317" s="1" t="s">
        <v>114</v>
      </c>
      <c r="AJ1317" s="1">
        <v>2016</v>
      </c>
      <c r="AK1317" s="1" t="s">
        <v>46</v>
      </c>
      <c r="AL1317" s="1">
        <v>30</v>
      </c>
    </row>
    <row r="1318" spans="1:38" x14ac:dyDescent="0.2">
      <c r="A1318" s="2" t="str">
        <f>HYPERLINK("https://www.compass.com/listing/155-west-18th-street-unit-603-manhattan-ny-10011/29373032220907265/","155 W 18th St, Unit 603")</f>
        <v>155 W 18th St, Unit 603</v>
      </c>
      <c r="B1318" s="2" t="str">
        <f t="shared" si="185"/>
        <v>The Flynn</v>
      </c>
      <c r="C1318" s="1" t="s">
        <v>62</v>
      </c>
      <c r="D1318" s="1" t="s">
        <v>41</v>
      </c>
      <c r="E1318" s="3">
        <v>1629200</v>
      </c>
      <c r="F1318" s="1">
        <v>2337.4461979913899</v>
      </c>
      <c r="G1318" s="1">
        <v>3</v>
      </c>
      <c r="H1318" s="1">
        <v>1</v>
      </c>
      <c r="I1318" s="1">
        <v>2</v>
      </c>
      <c r="J1318" s="1">
        <v>1.5</v>
      </c>
      <c r="M1318" s="1">
        <v>697</v>
      </c>
      <c r="N1318" s="1">
        <v>1062</v>
      </c>
      <c r="O1318" s="1">
        <v>1876</v>
      </c>
      <c r="P1318" s="1">
        <v>814</v>
      </c>
      <c r="Q1318" s="1" t="s">
        <v>42</v>
      </c>
      <c r="S1318" s="1" t="s">
        <v>42</v>
      </c>
      <c r="T1318" s="1" t="s">
        <v>273</v>
      </c>
      <c r="U1318" s="1">
        <v>21</v>
      </c>
      <c r="V1318" s="5">
        <v>43631</v>
      </c>
      <c r="W1318" s="5">
        <v>42378</v>
      </c>
      <c r="X1318" s="1">
        <v>1600000</v>
      </c>
      <c r="Y1318" s="1">
        <v>1775000</v>
      </c>
      <c r="Z1318" s="5">
        <v>42399</v>
      </c>
      <c r="AA1318" s="1">
        <v>1629200</v>
      </c>
      <c r="AB1318" s="1" t="s">
        <v>562</v>
      </c>
      <c r="AC1318" s="5">
        <v>42696</v>
      </c>
      <c r="AF1318" s="1">
        <v>10011</v>
      </c>
      <c r="AI1318" s="1" t="s">
        <v>114</v>
      </c>
      <c r="AJ1318" s="1">
        <v>2016</v>
      </c>
      <c r="AK1318" s="1" t="s">
        <v>46</v>
      </c>
      <c r="AL1318" s="1">
        <v>30</v>
      </c>
    </row>
    <row r="1319" spans="1:38" x14ac:dyDescent="0.2">
      <c r="A1319" s="2" t="str">
        <f>HYPERLINK("https://www.compass.com/listing/155-west-18th-street-unit-503-manhattan-ny-10011/4829943417511357537/","155 W 18th St, Unit 503")</f>
        <v>155 W 18th St, Unit 503</v>
      </c>
      <c r="B1319" s="2" t="str">
        <f t="shared" si="185"/>
        <v>The Flynn</v>
      </c>
      <c r="C1319" s="1" t="s">
        <v>62</v>
      </c>
      <c r="D1319" s="1" t="s">
        <v>41</v>
      </c>
      <c r="E1319" s="3">
        <v>1550000</v>
      </c>
      <c r="F1319" s="1">
        <v>2223.8163558106098</v>
      </c>
      <c r="G1319" s="1">
        <v>2</v>
      </c>
      <c r="H1319" s="1">
        <v>1</v>
      </c>
      <c r="I1319" s="1">
        <v>2</v>
      </c>
      <c r="J1319" s="1">
        <v>1.5</v>
      </c>
      <c r="M1319" s="1">
        <v>697</v>
      </c>
      <c r="N1319" s="1">
        <v>1062</v>
      </c>
      <c r="O1319" s="1">
        <v>1876</v>
      </c>
      <c r="P1319" s="1">
        <v>814</v>
      </c>
      <c r="Q1319" s="1" t="s">
        <v>42</v>
      </c>
      <c r="S1319" s="1" t="s">
        <v>42</v>
      </c>
      <c r="T1319" s="1" t="s">
        <v>273</v>
      </c>
      <c r="U1319" s="1">
        <v>1</v>
      </c>
      <c r="V1319" s="5">
        <v>43662</v>
      </c>
      <c r="W1319" s="5">
        <v>42389</v>
      </c>
      <c r="X1319" s="1">
        <v>1550000</v>
      </c>
      <c r="Y1319" s="1">
        <v>1550000</v>
      </c>
      <c r="Z1319" s="5">
        <v>42390</v>
      </c>
      <c r="AA1319" s="1">
        <v>1550000</v>
      </c>
      <c r="AB1319" s="1" t="s">
        <v>563</v>
      </c>
      <c r="AC1319" s="5">
        <v>42692</v>
      </c>
      <c r="AF1319" s="1">
        <v>10011</v>
      </c>
      <c r="AI1319" s="1" t="s">
        <v>592</v>
      </c>
      <c r="AJ1319" s="1">
        <v>2016</v>
      </c>
      <c r="AK1319" s="1" t="s">
        <v>46</v>
      </c>
      <c r="AL1319" s="1">
        <v>30</v>
      </c>
    </row>
    <row r="1320" spans="1:38" x14ac:dyDescent="0.2">
      <c r="A1320" s="2" t="str">
        <f>HYPERLINK("https://www.compass.com/listing/100-barclay-street-unit-13k-manhattan-ny-10007/29513632429639601/","100 Barclay St, Unit 13K")</f>
        <v>100 Barclay St, Unit 13K</v>
      </c>
      <c r="B1320" s="2" t="str">
        <f t="shared" ref="B1320:B1322" si="186">HYPERLINK("https://www.compass.com/building/100-barclay-manhattan-ny/281896670466155525/","100 Barclay")</f>
        <v>100 Barclay</v>
      </c>
      <c r="C1320" s="1" t="s">
        <v>50</v>
      </c>
      <c r="D1320" s="1" t="s">
        <v>41</v>
      </c>
      <c r="E1320" s="3">
        <v>3835000</v>
      </c>
      <c r="F1320" s="1">
        <v>1705.9608540925201</v>
      </c>
      <c r="G1320" s="1">
        <v>6</v>
      </c>
      <c r="H1320" s="1">
        <v>3</v>
      </c>
      <c r="I1320" s="1">
        <v>4</v>
      </c>
      <c r="J1320" s="1">
        <v>3.5</v>
      </c>
      <c r="K1320" s="1">
        <v>3</v>
      </c>
      <c r="L1320" s="1">
        <v>1</v>
      </c>
      <c r="M1320" s="4">
        <v>2248</v>
      </c>
      <c r="N1320" s="1">
        <v>2779</v>
      </c>
      <c r="O1320" s="1">
        <v>5797</v>
      </c>
      <c r="P1320" s="1">
        <v>3018</v>
      </c>
      <c r="Q1320" s="1" t="s">
        <v>42</v>
      </c>
      <c r="S1320" s="1" t="s">
        <v>42</v>
      </c>
      <c r="T1320" s="1" t="s">
        <v>273</v>
      </c>
      <c r="U1320" s="1">
        <v>6</v>
      </c>
      <c r="V1320" s="5">
        <v>43623</v>
      </c>
      <c r="W1320" s="5">
        <v>43327</v>
      </c>
      <c r="X1320" s="1">
        <v>4173000</v>
      </c>
      <c r="Y1320" s="1">
        <v>4173000</v>
      </c>
      <c r="Z1320" s="5">
        <v>43333</v>
      </c>
      <c r="AA1320" s="1">
        <v>3835000</v>
      </c>
      <c r="AB1320" s="1" t="s">
        <v>603</v>
      </c>
      <c r="AC1320" s="5">
        <v>43389</v>
      </c>
      <c r="AF1320" s="1">
        <v>10007</v>
      </c>
      <c r="AI1320" s="1" t="s">
        <v>52</v>
      </c>
      <c r="AJ1320" s="1">
        <v>1930</v>
      </c>
      <c r="AK1320" s="1" t="s">
        <v>46</v>
      </c>
      <c r="AL1320" s="1">
        <v>156</v>
      </c>
    </row>
    <row r="1321" spans="1:38" x14ac:dyDescent="0.2">
      <c r="A1321" s="2" t="str">
        <f>HYPERLINK("https://www.compass.com/listing/100-barclay-street-unit-13g-manhattan-ny-10007/4852275115603263729/","100 Barclay St, Unit 13G")</f>
        <v>100 Barclay St, Unit 13G</v>
      </c>
      <c r="B1321" s="2" t="str">
        <f t="shared" si="186"/>
        <v>100 Barclay</v>
      </c>
      <c r="C1321" s="1" t="s">
        <v>50</v>
      </c>
      <c r="D1321" s="1" t="s">
        <v>41</v>
      </c>
      <c r="E1321" s="3">
        <v>3775000</v>
      </c>
      <c r="F1321" s="1">
        <v>1612.5587355830801</v>
      </c>
      <c r="G1321" s="1">
        <v>5</v>
      </c>
      <c r="H1321" s="1">
        <v>3</v>
      </c>
      <c r="I1321" s="1">
        <v>3</v>
      </c>
      <c r="J1321" s="1">
        <v>3.5</v>
      </c>
      <c r="K1321" s="1">
        <v>3</v>
      </c>
      <c r="L1321" s="1">
        <v>1</v>
      </c>
      <c r="M1321" s="4">
        <v>2341</v>
      </c>
      <c r="N1321" s="1">
        <v>3004</v>
      </c>
      <c r="O1321" s="1">
        <v>5876</v>
      </c>
      <c r="P1321" s="1">
        <v>2872</v>
      </c>
      <c r="Q1321" s="1" t="s">
        <v>42</v>
      </c>
      <c r="S1321" s="1" t="s">
        <v>42</v>
      </c>
      <c r="T1321" s="1" t="s">
        <v>273</v>
      </c>
      <c r="V1321" s="5">
        <v>43623</v>
      </c>
      <c r="W1321" s="5">
        <v>42872</v>
      </c>
      <c r="X1321" s="1">
        <v>3925000</v>
      </c>
      <c r="Y1321" s="1">
        <v>3925000</v>
      </c>
      <c r="Z1321" s="5">
        <v>42872</v>
      </c>
      <c r="AA1321" s="1">
        <v>3775000</v>
      </c>
      <c r="AB1321" s="1" t="s">
        <v>604</v>
      </c>
      <c r="AC1321" s="5">
        <v>42901</v>
      </c>
      <c r="AF1321" s="1">
        <v>10007</v>
      </c>
      <c r="AI1321" s="1" t="s">
        <v>52</v>
      </c>
      <c r="AJ1321" s="1">
        <v>1930</v>
      </c>
      <c r="AK1321" s="1" t="s">
        <v>46</v>
      </c>
      <c r="AL1321" s="1">
        <v>156</v>
      </c>
    </row>
    <row r="1322" spans="1:38" x14ac:dyDescent="0.2">
      <c r="A1322" s="2" t="str">
        <f>HYPERLINK("https://www.compass.com/listing/100-barclay-street-unit-15g-manhattan-ny-10007/4852275716286318961/","100 Barclay St, Unit 15G")</f>
        <v>100 Barclay St, Unit 15G</v>
      </c>
      <c r="B1322" s="2" t="str">
        <f t="shared" si="186"/>
        <v>100 Barclay</v>
      </c>
      <c r="C1322" s="1" t="s">
        <v>50</v>
      </c>
      <c r="D1322" s="1" t="s">
        <v>41</v>
      </c>
      <c r="E1322" s="3">
        <v>3950000</v>
      </c>
      <c r="F1322" s="1">
        <v>1667.37019839594</v>
      </c>
      <c r="G1322" s="1">
        <v>5</v>
      </c>
      <c r="H1322" s="1">
        <v>3</v>
      </c>
      <c r="I1322" s="1">
        <v>3</v>
      </c>
      <c r="J1322" s="1">
        <v>3.5</v>
      </c>
      <c r="K1322" s="1">
        <v>3</v>
      </c>
      <c r="L1322" s="1">
        <v>1</v>
      </c>
      <c r="M1322" s="4">
        <v>2369</v>
      </c>
      <c r="N1322" s="1">
        <v>3040</v>
      </c>
      <c r="O1322" s="1">
        <v>5947</v>
      </c>
      <c r="P1322" s="1">
        <v>2907</v>
      </c>
      <c r="Q1322" s="1" t="s">
        <v>42</v>
      </c>
      <c r="S1322" s="1" t="s">
        <v>42</v>
      </c>
      <c r="T1322" s="1" t="s">
        <v>273</v>
      </c>
      <c r="V1322" s="5">
        <v>43636</v>
      </c>
      <c r="W1322" s="5">
        <v>42864</v>
      </c>
      <c r="X1322" s="1">
        <v>4080000</v>
      </c>
      <c r="Y1322" s="1">
        <v>4080000</v>
      </c>
      <c r="Z1322" s="5">
        <v>42864</v>
      </c>
      <c r="AA1322" s="1">
        <v>3950000</v>
      </c>
      <c r="AB1322" s="1" t="s">
        <v>605</v>
      </c>
      <c r="AC1322" s="5">
        <v>42901</v>
      </c>
      <c r="AF1322" s="1">
        <v>10007</v>
      </c>
      <c r="AI1322" s="1" t="s">
        <v>52</v>
      </c>
      <c r="AJ1322" s="1">
        <v>1930</v>
      </c>
      <c r="AK1322" s="1" t="s">
        <v>46</v>
      </c>
      <c r="AL1322" s="1">
        <v>156</v>
      </c>
    </row>
    <row r="1323" spans="1:38" x14ac:dyDescent="0.2">
      <c r="A1323" s="2" t="str">
        <f>HYPERLINK("https://www.compass.com/listing/178-bleecker-street-unit-ph-manhattan-ny-10012/29515050490294097/","178 Bleecker St, Unit PH")</f>
        <v>178 Bleecker St, Unit PH</v>
      </c>
      <c r="B1323" s="2" t="str">
        <f>HYPERLINK("https://www.compass.com/building/178-bleecker-st-manhattan-ny-10012/281913488861850821/","178 Bleecker St")</f>
        <v>178 Bleecker St</v>
      </c>
      <c r="C1323" s="1" t="s">
        <v>277</v>
      </c>
      <c r="D1323" s="1" t="s">
        <v>41</v>
      </c>
      <c r="E1323" s="3">
        <v>3500000</v>
      </c>
      <c r="F1323" s="1">
        <v>2080.8561236623</v>
      </c>
      <c r="G1323" s="1">
        <v>5</v>
      </c>
      <c r="H1323" s="1">
        <v>2</v>
      </c>
      <c r="I1323" s="1">
        <v>2</v>
      </c>
      <c r="J1323" s="1">
        <v>2</v>
      </c>
      <c r="K1323" s="1">
        <v>2</v>
      </c>
      <c r="M1323" s="4">
        <v>1682</v>
      </c>
      <c r="N1323" s="1">
        <v>1095</v>
      </c>
      <c r="O1323" s="1">
        <v>3457</v>
      </c>
      <c r="P1323" s="1">
        <v>2362</v>
      </c>
      <c r="Q1323" s="1" t="s">
        <v>42</v>
      </c>
      <c r="S1323" s="1" t="s">
        <v>42</v>
      </c>
      <c r="T1323" s="1" t="s">
        <v>273</v>
      </c>
      <c r="U1323" s="1">
        <v>178</v>
      </c>
      <c r="V1323" s="5">
        <v>43633</v>
      </c>
      <c r="W1323" s="5">
        <v>42991</v>
      </c>
      <c r="X1323" s="1">
        <v>3750000</v>
      </c>
      <c r="Y1323" s="1">
        <v>3500000</v>
      </c>
      <c r="AA1323" s="1">
        <v>3500000</v>
      </c>
      <c r="AB1323" s="1" t="s">
        <v>275</v>
      </c>
      <c r="AC1323" s="5">
        <v>43169</v>
      </c>
      <c r="AF1323" s="1">
        <v>10012</v>
      </c>
      <c r="AI1323" s="1" t="s">
        <v>160</v>
      </c>
      <c r="AJ1323" s="1">
        <v>2017</v>
      </c>
      <c r="AL1323" s="1">
        <v>5</v>
      </c>
    </row>
    <row r="1324" spans="1:38" x14ac:dyDescent="0.2">
      <c r="A1324" s="2" t="str">
        <f>HYPERLINK("https://www.compass.com/listing/30-warren-street-unit-5b-manhattan-ny-10007/29580277328175585/","30 Warren St, Unit 5B")</f>
        <v>30 Warren St, Unit 5B</v>
      </c>
      <c r="B1324" s="2" t="str">
        <f>HYPERLINK("https://www.compass.com/building/30-warren-manhattan-ny/292789104075095813/","30 WARREN")</f>
        <v>30 WARREN</v>
      </c>
      <c r="C1324" s="1" t="s">
        <v>50</v>
      </c>
      <c r="D1324" s="1" t="s">
        <v>41</v>
      </c>
      <c r="E1324" s="3">
        <v>1820000</v>
      </c>
      <c r="F1324" s="1">
        <v>1793.10344827586</v>
      </c>
      <c r="G1324" s="1">
        <v>3</v>
      </c>
      <c r="H1324" s="1">
        <v>1</v>
      </c>
      <c r="I1324" s="1">
        <v>2</v>
      </c>
      <c r="J1324" s="1">
        <v>1.5</v>
      </c>
      <c r="K1324" s="1">
        <v>1</v>
      </c>
      <c r="L1324" s="1">
        <v>1</v>
      </c>
      <c r="M1324" s="4">
        <v>1015</v>
      </c>
      <c r="N1324" s="1">
        <v>1319</v>
      </c>
      <c r="O1324" s="1">
        <v>2465</v>
      </c>
      <c r="P1324" s="1">
        <v>1146</v>
      </c>
      <c r="Q1324" s="1" t="s">
        <v>42</v>
      </c>
      <c r="S1324" s="1" t="s">
        <v>42</v>
      </c>
      <c r="T1324" s="1" t="s">
        <v>273</v>
      </c>
      <c r="U1324" s="1">
        <v>240</v>
      </c>
      <c r="V1324" s="5">
        <v>44412</v>
      </c>
      <c r="W1324" s="5">
        <v>43848</v>
      </c>
      <c r="X1324" s="1">
        <v>1820000</v>
      </c>
      <c r="Y1324" s="1">
        <v>1820000</v>
      </c>
      <c r="Z1324" s="5">
        <v>44182</v>
      </c>
      <c r="AA1324" s="1">
        <v>1820000</v>
      </c>
      <c r="AB1324" s="1" t="s">
        <v>606</v>
      </c>
      <c r="AC1324" s="5">
        <v>44368</v>
      </c>
      <c r="AF1324" s="1">
        <v>10007</v>
      </c>
      <c r="AJ1324" s="1">
        <v>2017</v>
      </c>
      <c r="AK1324" s="1" t="s">
        <v>125</v>
      </c>
      <c r="AL1324" s="1">
        <v>23</v>
      </c>
    </row>
    <row r="1325" spans="1:38" x14ac:dyDescent="0.2">
      <c r="A1325" s="2" t="str">
        <f>HYPERLINK("https://www.compass.com/listing/155-west-18th-street-unit-201-manhattan-ny-10011/4829943413803590417/","155 W 18th St, Unit 201")</f>
        <v>155 W 18th St, Unit 201</v>
      </c>
      <c r="B1325" s="2" t="str">
        <f>HYPERLINK("https://www.compass.com/building/the-flynn-manhattan-ny/281905793161251925/","The Flynn")</f>
        <v>The Flynn</v>
      </c>
      <c r="C1325" s="1" t="s">
        <v>62</v>
      </c>
      <c r="D1325" s="1" t="s">
        <v>41</v>
      </c>
      <c r="E1325" s="3">
        <v>5250000</v>
      </c>
      <c r="F1325" s="1">
        <v>2282.6086956521699</v>
      </c>
      <c r="G1325" s="1">
        <v>5</v>
      </c>
      <c r="H1325" s="1">
        <v>3</v>
      </c>
      <c r="I1325" s="1">
        <v>4</v>
      </c>
      <c r="J1325" s="1">
        <v>0.5</v>
      </c>
      <c r="L1325" s="1">
        <v>1</v>
      </c>
      <c r="M1325" s="4">
        <v>2300</v>
      </c>
      <c r="N1325" s="1">
        <v>3504</v>
      </c>
      <c r="O1325" s="1">
        <v>6190</v>
      </c>
      <c r="P1325" s="1">
        <v>2686</v>
      </c>
      <c r="Q1325" s="1" t="s">
        <v>42</v>
      </c>
      <c r="S1325" s="1" t="s">
        <v>42</v>
      </c>
      <c r="T1325" s="1" t="s">
        <v>273</v>
      </c>
      <c r="U1325" s="1">
        <v>103</v>
      </c>
      <c r="V1325" s="5">
        <v>43631</v>
      </c>
      <c r="W1325" s="5">
        <v>42517</v>
      </c>
      <c r="X1325" s="1">
        <v>5250000</v>
      </c>
      <c r="Y1325" s="1">
        <v>5250000</v>
      </c>
      <c r="Z1325" s="5">
        <v>42620</v>
      </c>
      <c r="AA1325" s="1">
        <v>5250000</v>
      </c>
      <c r="AB1325" s="1" t="s">
        <v>607</v>
      </c>
      <c r="AC1325" s="5">
        <v>42705</v>
      </c>
      <c r="AF1325" s="1">
        <v>10011</v>
      </c>
      <c r="AI1325" s="1" t="s">
        <v>608</v>
      </c>
      <c r="AJ1325" s="1">
        <v>2016</v>
      </c>
      <c r="AK1325" s="1" t="s">
        <v>108</v>
      </c>
      <c r="AL1325" s="1">
        <v>30</v>
      </c>
    </row>
    <row r="1326" spans="1:38" x14ac:dyDescent="0.2">
      <c r="A1326" s="2" t="str">
        <f>HYPERLINK("https://www.compass.com/listing/100-barclay-street-unit-14g-manhattan-ny-10007/4852276114971692513/","100 Barclay St, Unit 14G")</f>
        <v>100 Barclay St, Unit 14G</v>
      </c>
      <c r="B1326" s="2" t="str">
        <f t="shared" ref="B1326:B1328" si="187">HYPERLINK("https://www.compass.com/building/100-barclay-manhattan-ny/281896670466155525/","100 Barclay")</f>
        <v>100 Barclay</v>
      </c>
      <c r="C1326" s="1" t="s">
        <v>50</v>
      </c>
      <c r="D1326" s="1" t="s">
        <v>41</v>
      </c>
      <c r="E1326" s="3">
        <v>3825000</v>
      </c>
      <c r="F1326" s="1">
        <v>1614.6053186998699</v>
      </c>
      <c r="G1326" s="1">
        <v>5</v>
      </c>
      <c r="H1326" s="1">
        <v>3</v>
      </c>
      <c r="I1326" s="1">
        <v>3</v>
      </c>
      <c r="J1326" s="1">
        <v>3.5</v>
      </c>
      <c r="K1326" s="1">
        <v>3</v>
      </c>
      <c r="L1326" s="1">
        <v>1</v>
      </c>
      <c r="M1326" s="4">
        <v>2369</v>
      </c>
      <c r="N1326" s="1">
        <v>3040</v>
      </c>
      <c r="O1326" s="1">
        <v>5947</v>
      </c>
      <c r="P1326" s="1">
        <v>2907</v>
      </c>
      <c r="Q1326" s="1" t="s">
        <v>42</v>
      </c>
      <c r="S1326" s="1" t="s">
        <v>42</v>
      </c>
      <c r="T1326" s="1" t="s">
        <v>273</v>
      </c>
      <c r="U1326" s="1">
        <v>91</v>
      </c>
      <c r="V1326" s="5">
        <v>43623</v>
      </c>
      <c r="W1326" s="5">
        <v>42780</v>
      </c>
      <c r="X1326" s="1">
        <v>3985000</v>
      </c>
      <c r="Y1326" s="1">
        <v>3985000</v>
      </c>
      <c r="Z1326" s="5">
        <v>42879</v>
      </c>
      <c r="AA1326" s="1">
        <v>3825000</v>
      </c>
      <c r="AB1326" s="1" t="s">
        <v>609</v>
      </c>
      <c r="AC1326" s="5">
        <v>42927</v>
      </c>
      <c r="AF1326" s="1">
        <v>10007</v>
      </c>
      <c r="AI1326" s="1" t="s">
        <v>52</v>
      </c>
      <c r="AJ1326" s="1">
        <v>1930</v>
      </c>
      <c r="AK1326" s="1" t="s">
        <v>46</v>
      </c>
      <c r="AL1326" s="1">
        <v>156</v>
      </c>
    </row>
    <row r="1327" spans="1:38" x14ac:dyDescent="0.2">
      <c r="A1327" s="2" t="str">
        <f>HYPERLINK("https://www.compass.com/listing/100-barclay-street-unit-12g-manhattan-ny-10007/4852285826807116657/","100 Barclay St, Unit 12G")</f>
        <v>100 Barclay St, Unit 12G</v>
      </c>
      <c r="B1327" s="2" t="str">
        <f t="shared" si="187"/>
        <v>100 Barclay</v>
      </c>
      <c r="C1327" s="1" t="s">
        <v>50</v>
      </c>
      <c r="D1327" s="1" t="s">
        <v>41</v>
      </c>
      <c r="E1327" s="3">
        <v>3700000</v>
      </c>
      <c r="F1327" s="1">
        <v>1580.5211448099101</v>
      </c>
      <c r="G1327" s="1">
        <v>6</v>
      </c>
      <c r="H1327" s="1">
        <v>3</v>
      </c>
      <c r="I1327" s="1">
        <v>3</v>
      </c>
      <c r="J1327" s="1">
        <v>3.5</v>
      </c>
      <c r="K1327" s="1">
        <v>3</v>
      </c>
      <c r="L1327" s="1">
        <v>1</v>
      </c>
      <c r="M1327" s="4">
        <v>2341</v>
      </c>
      <c r="N1327" s="1">
        <v>2894</v>
      </c>
      <c r="O1327" s="1">
        <v>6039</v>
      </c>
      <c r="P1327" s="1">
        <v>3145</v>
      </c>
      <c r="Q1327" s="1" t="s">
        <v>42</v>
      </c>
      <c r="S1327" s="1" t="s">
        <v>42</v>
      </c>
      <c r="T1327" s="1" t="s">
        <v>273</v>
      </c>
      <c r="V1327" s="5">
        <v>43626</v>
      </c>
      <c r="W1327" s="5">
        <v>43007</v>
      </c>
      <c r="X1327" s="1">
        <v>3885000</v>
      </c>
      <c r="Y1327" s="1">
        <v>3885000</v>
      </c>
      <c r="Z1327" s="5">
        <v>43007</v>
      </c>
      <c r="AA1327" s="1">
        <v>3700000</v>
      </c>
      <c r="AB1327" s="1" t="s">
        <v>610</v>
      </c>
      <c r="AC1327" s="5">
        <v>43060</v>
      </c>
      <c r="AF1327" s="1">
        <v>10007</v>
      </c>
      <c r="AI1327" s="1" t="s">
        <v>52</v>
      </c>
      <c r="AJ1327" s="1">
        <v>1930</v>
      </c>
      <c r="AK1327" s="1" t="s">
        <v>46</v>
      </c>
      <c r="AL1327" s="1">
        <v>156</v>
      </c>
    </row>
    <row r="1328" spans="1:38" x14ac:dyDescent="0.2">
      <c r="A1328" s="2" t="str">
        <f>HYPERLINK("https://www.compass.com/listing/100-barclay-street-unit-13s-manhattan-ny-10007/4852274724568317089/","100 Barclay St, Unit 13S")</f>
        <v>100 Barclay St, Unit 13S</v>
      </c>
      <c r="B1328" s="2" t="str">
        <f t="shared" si="187"/>
        <v>100 Barclay</v>
      </c>
      <c r="C1328" s="1" t="s">
        <v>50</v>
      </c>
      <c r="D1328" s="1" t="s">
        <v>41</v>
      </c>
      <c r="E1328" s="3">
        <v>2760475</v>
      </c>
      <c r="F1328" s="1">
        <v>1510.1066739606099</v>
      </c>
      <c r="G1328" s="1">
        <v>4</v>
      </c>
      <c r="H1328" s="1">
        <v>1</v>
      </c>
      <c r="I1328" s="1">
        <v>2</v>
      </c>
      <c r="J1328" s="1">
        <v>2</v>
      </c>
      <c r="M1328" s="4">
        <v>1828</v>
      </c>
      <c r="N1328" s="1">
        <v>2345</v>
      </c>
      <c r="O1328" s="1">
        <v>4588</v>
      </c>
      <c r="P1328" s="1">
        <v>2243</v>
      </c>
      <c r="Q1328" s="1" t="s">
        <v>42</v>
      </c>
      <c r="S1328" s="1" t="s">
        <v>42</v>
      </c>
      <c r="T1328" s="1" t="s">
        <v>273</v>
      </c>
      <c r="V1328" s="5">
        <v>43623</v>
      </c>
      <c r="W1328" s="5">
        <v>42477</v>
      </c>
      <c r="X1328" s="1">
        <v>2711000</v>
      </c>
      <c r="Y1328" s="1">
        <v>2711000</v>
      </c>
      <c r="Z1328" s="5">
        <v>42477</v>
      </c>
      <c r="AA1328" s="1">
        <v>2760475</v>
      </c>
      <c r="AB1328" s="1" t="s">
        <v>611</v>
      </c>
      <c r="AC1328" s="5">
        <v>42754</v>
      </c>
      <c r="AF1328" s="1">
        <v>10007</v>
      </c>
      <c r="AI1328" s="1" t="s">
        <v>52</v>
      </c>
      <c r="AJ1328" s="1">
        <v>1930</v>
      </c>
      <c r="AK1328" s="1" t="s">
        <v>46</v>
      </c>
      <c r="AL1328" s="1">
        <v>156</v>
      </c>
    </row>
    <row r="1329" spans="1:38" x14ac:dyDescent="0.2">
      <c r="A1329" s="2" t="str">
        <f>HYPERLINK("https://www.compass.com/listing/241-west-107th-street-unit-5-manhattan-ny-10025/29430956666427569/","241 W 107th St, Unit 5")</f>
        <v>241 W 107th St, Unit 5</v>
      </c>
      <c r="B1329" s="2" t="str">
        <f>HYPERLINK("https://www.compass.com/building/241-w-107th-st-manhattan-ny-10025/281969820646330101/","241 W 107th St")</f>
        <v>241 W 107th St</v>
      </c>
      <c r="C1329" s="1" t="s">
        <v>57</v>
      </c>
      <c r="D1329" s="1" t="s">
        <v>41</v>
      </c>
      <c r="E1329" s="3">
        <v>2255000</v>
      </c>
      <c r="F1329" s="1">
        <v>1442.7383237363999</v>
      </c>
      <c r="G1329" s="1">
        <v>5</v>
      </c>
      <c r="H1329" s="1">
        <v>3</v>
      </c>
      <c r="I1329" s="1">
        <v>2</v>
      </c>
      <c r="J1329" s="1">
        <v>2</v>
      </c>
      <c r="M1329" s="4">
        <v>1563</v>
      </c>
      <c r="N1329" s="1">
        <v>1196</v>
      </c>
      <c r="O1329" s="1">
        <v>1970</v>
      </c>
      <c r="P1329" s="1">
        <v>774</v>
      </c>
      <c r="Q1329" s="1" t="s">
        <v>42</v>
      </c>
      <c r="S1329" s="1" t="s">
        <v>42</v>
      </c>
      <c r="T1329" s="1" t="s">
        <v>273</v>
      </c>
      <c r="U1329" s="1">
        <v>88</v>
      </c>
      <c r="V1329" s="5">
        <v>43682</v>
      </c>
      <c r="W1329" s="5">
        <v>42168</v>
      </c>
      <c r="X1329" s="1">
        <v>2275000</v>
      </c>
      <c r="Y1329" s="1">
        <v>2275000</v>
      </c>
      <c r="Z1329" s="5">
        <v>42256</v>
      </c>
      <c r="AA1329" s="1">
        <v>2255000</v>
      </c>
      <c r="AB1329" s="1" t="s">
        <v>612</v>
      </c>
      <c r="AC1329" s="5">
        <v>42324</v>
      </c>
      <c r="AF1329" s="1">
        <v>10025</v>
      </c>
      <c r="AI1329" s="1" t="s">
        <v>613</v>
      </c>
      <c r="AJ1329" s="1">
        <v>2014</v>
      </c>
      <c r="AK1329" s="1" t="s">
        <v>75</v>
      </c>
      <c r="AL1329" s="1">
        <v>6</v>
      </c>
    </row>
    <row r="1330" spans="1:38" x14ac:dyDescent="0.2">
      <c r="A1330" s="2" t="str">
        <f>HYPERLINK("https://www.compass.com/listing/100-barclay-street-unit-14k-manhattan-ny-10007/4852270312017901697/","100 Barclay St, Unit 14K")</f>
        <v>100 Barclay St, Unit 14K</v>
      </c>
      <c r="B1330" s="2" t="str">
        <f t="shared" ref="B1330:B1331" si="188">HYPERLINK("https://www.compass.com/building/100-barclay-manhattan-ny/281896670466155525/","100 Barclay")</f>
        <v>100 Barclay</v>
      </c>
      <c r="C1330" s="1" t="s">
        <v>50</v>
      </c>
      <c r="D1330" s="1" t="s">
        <v>41</v>
      </c>
      <c r="E1330" s="3">
        <v>2800188</v>
      </c>
      <c r="F1330" s="1">
        <v>1865.54830113257</v>
      </c>
      <c r="G1330" s="1">
        <v>4</v>
      </c>
      <c r="H1330" s="1">
        <v>2</v>
      </c>
      <c r="I1330" s="1">
        <v>3</v>
      </c>
      <c r="J1330" s="1">
        <v>2.5</v>
      </c>
      <c r="M1330" s="4">
        <v>1501</v>
      </c>
      <c r="N1330" s="1">
        <v>1874</v>
      </c>
      <c r="O1330" s="1">
        <v>3713</v>
      </c>
      <c r="P1330" s="1">
        <v>1839</v>
      </c>
      <c r="Q1330" s="1" t="s">
        <v>42</v>
      </c>
      <c r="S1330" s="1" t="s">
        <v>42</v>
      </c>
      <c r="T1330" s="1" t="s">
        <v>273</v>
      </c>
      <c r="V1330" s="5">
        <v>43623</v>
      </c>
      <c r="W1330" s="5">
        <v>42147</v>
      </c>
      <c r="X1330" s="1">
        <v>2873000</v>
      </c>
      <c r="Y1330" s="1">
        <v>2873000</v>
      </c>
      <c r="Z1330" s="5">
        <v>42147</v>
      </c>
      <c r="AA1330" s="1">
        <v>2800188</v>
      </c>
      <c r="AB1330" s="1" t="s">
        <v>614</v>
      </c>
      <c r="AC1330" s="5">
        <v>42707</v>
      </c>
      <c r="AF1330" s="1">
        <v>10007</v>
      </c>
      <c r="AI1330" s="1" t="s">
        <v>52</v>
      </c>
      <c r="AJ1330" s="1">
        <v>1930</v>
      </c>
      <c r="AK1330" s="1" t="s">
        <v>46</v>
      </c>
      <c r="AL1330" s="1">
        <v>156</v>
      </c>
    </row>
    <row r="1331" spans="1:38" x14ac:dyDescent="0.2">
      <c r="A1331" s="2" t="str">
        <f>HYPERLINK("https://www.compass.com/listing/100-barclay-street-unit-13m-manhattan-ny-10007/4852308975372214369/","100 Barclay St, Unit 13M")</f>
        <v>100 Barclay St, Unit 13M</v>
      </c>
      <c r="B1331" s="2" t="str">
        <f t="shared" si="188"/>
        <v>100 Barclay</v>
      </c>
      <c r="C1331" s="1" t="s">
        <v>50</v>
      </c>
      <c r="D1331" s="1" t="s">
        <v>41</v>
      </c>
      <c r="E1331" s="3">
        <v>2927469</v>
      </c>
      <c r="F1331" s="1">
        <v>2034.3773453787301</v>
      </c>
      <c r="G1331" s="1">
        <v>5</v>
      </c>
      <c r="H1331" s="1">
        <v>2</v>
      </c>
      <c r="I1331" s="1">
        <v>2</v>
      </c>
      <c r="J1331" s="1">
        <v>2</v>
      </c>
      <c r="M1331" s="4">
        <v>1439</v>
      </c>
      <c r="N1331" s="1">
        <v>1793</v>
      </c>
      <c r="O1331" s="1">
        <v>3552</v>
      </c>
      <c r="P1331" s="1">
        <v>1759</v>
      </c>
      <c r="Q1331" s="1" t="s">
        <v>42</v>
      </c>
      <c r="S1331" s="1" t="s">
        <v>42</v>
      </c>
      <c r="T1331" s="1" t="s">
        <v>273</v>
      </c>
      <c r="V1331" s="5">
        <v>43670</v>
      </c>
      <c r="W1331" s="5">
        <v>42168</v>
      </c>
      <c r="X1331" s="1">
        <v>2929000</v>
      </c>
      <c r="Y1331" s="1">
        <v>2929000</v>
      </c>
      <c r="Z1331" s="5">
        <v>42168</v>
      </c>
      <c r="AA1331" s="1">
        <v>2927469</v>
      </c>
      <c r="AB1331" s="1" t="s">
        <v>615</v>
      </c>
      <c r="AC1331" s="5">
        <v>42747</v>
      </c>
      <c r="AF1331" s="1">
        <v>10007</v>
      </c>
      <c r="AI1331" s="1" t="s">
        <v>52</v>
      </c>
      <c r="AJ1331" s="1">
        <v>1930</v>
      </c>
      <c r="AK1331" s="1" t="s">
        <v>46</v>
      </c>
      <c r="AL1331" s="1">
        <v>156</v>
      </c>
    </row>
    <row r="1332" spans="1:38" x14ac:dyDescent="0.2">
      <c r="A1332" s="2" t="str">
        <f>HYPERLINK("https://www.compass.com/listing/45-east-22nd-street-unit-26a-manhattan-ny-10010/29375857403467489/","45 E 22nd St, Unit 26A")</f>
        <v>45 E 22nd St, Unit 26A</v>
      </c>
      <c r="B1332" s="2" t="str">
        <f t="shared" ref="B1332:B1337" si="189">HYPERLINK("https://www.compass.com/building/madison-square-park-tower-manhattan-ny/281903584482705973/","Madison Square Park Tower")</f>
        <v>Madison Square Park Tower</v>
      </c>
      <c r="C1332" s="1" t="s">
        <v>56</v>
      </c>
      <c r="D1332" s="1" t="s">
        <v>41</v>
      </c>
      <c r="E1332" s="3">
        <v>5862065</v>
      </c>
      <c r="F1332" s="1">
        <v>3038.9139450492398</v>
      </c>
      <c r="G1332" s="1">
        <v>4</v>
      </c>
      <c r="H1332" s="1">
        <v>2</v>
      </c>
      <c r="I1332" s="1">
        <v>2</v>
      </c>
      <c r="J1332" s="1">
        <v>2</v>
      </c>
      <c r="K1332" s="1">
        <v>2</v>
      </c>
      <c r="M1332" s="4">
        <v>1929</v>
      </c>
      <c r="N1332" s="1">
        <v>2192</v>
      </c>
      <c r="O1332" s="1">
        <v>5525</v>
      </c>
      <c r="P1332" s="1">
        <v>3333</v>
      </c>
      <c r="Q1332" s="1" t="s">
        <v>42</v>
      </c>
      <c r="S1332" s="1" t="s">
        <v>42</v>
      </c>
      <c r="T1332" s="1" t="s">
        <v>273</v>
      </c>
      <c r="U1332" s="1">
        <v>147</v>
      </c>
      <c r="V1332" s="5">
        <v>43650</v>
      </c>
      <c r="W1332" s="5">
        <v>42179</v>
      </c>
      <c r="X1332" s="1">
        <v>5575000</v>
      </c>
      <c r="Y1332" s="1">
        <v>5575000</v>
      </c>
      <c r="Z1332" s="5">
        <v>42326</v>
      </c>
      <c r="AA1332" s="1">
        <v>5862065</v>
      </c>
      <c r="AB1332" s="1" t="s">
        <v>616</v>
      </c>
      <c r="AC1332" s="5">
        <v>42952</v>
      </c>
      <c r="AF1332" s="1">
        <v>10010</v>
      </c>
      <c r="AI1332" s="1" t="s">
        <v>48</v>
      </c>
      <c r="AJ1332" s="1">
        <v>2016</v>
      </c>
      <c r="AK1332" s="1" t="s">
        <v>46</v>
      </c>
      <c r="AL1332" s="1">
        <v>83</v>
      </c>
    </row>
    <row r="1333" spans="1:38" x14ac:dyDescent="0.2">
      <c r="A1333" s="2" t="str">
        <f>HYPERLINK("https://www.compass.com/listing/45-east-22nd-street-unit-27b-manhattan-ny-10010/29375858611427073/","45 E 22nd St, Unit 27B")</f>
        <v>45 E 22nd St, Unit 27B</v>
      </c>
      <c r="B1333" s="2" t="str">
        <f t="shared" si="189"/>
        <v>Madison Square Park Tower</v>
      </c>
      <c r="C1333" s="1" t="s">
        <v>56</v>
      </c>
      <c r="D1333" s="1" t="s">
        <v>41</v>
      </c>
      <c r="E1333" s="3">
        <v>5086424</v>
      </c>
      <c r="F1333" s="1">
        <v>3422.8966621803502</v>
      </c>
      <c r="G1333" s="1">
        <v>4</v>
      </c>
      <c r="H1333" s="1">
        <v>2</v>
      </c>
      <c r="I1333" s="1">
        <v>2</v>
      </c>
      <c r="J1333" s="1">
        <v>2</v>
      </c>
      <c r="M1333" s="4">
        <v>1486</v>
      </c>
      <c r="N1333" s="1">
        <v>1697</v>
      </c>
      <c r="O1333" s="1">
        <v>4276</v>
      </c>
      <c r="P1333" s="1">
        <v>2579</v>
      </c>
      <c r="Q1333" s="1" t="s">
        <v>42</v>
      </c>
      <c r="S1333" s="1" t="s">
        <v>42</v>
      </c>
      <c r="T1333" s="1" t="s">
        <v>273</v>
      </c>
      <c r="U1333" s="1">
        <v>174</v>
      </c>
      <c r="V1333" s="5">
        <v>42880</v>
      </c>
      <c r="W1333" s="5">
        <v>42689</v>
      </c>
      <c r="X1333" s="1">
        <v>4975000</v>
      </c>
      <c r="Y1333" s="1">
        <v>4975000</v>
      </c>
      <c r="AA1333" s="1">
        <v>5086424.4400000004</v>
      </c>
      <c r="AB1333" s="1" t="s">
        <v>617</v>
      </c>
      <c r="AC1333" s="5">
        <v>42951</v>
      </c>
      <c r="AF1333" s="1">
        <v>10010</v>
      </c>
      <c r="AI1333" s="1" t="s">
        <v>48</v>
      </c>
      <c r="AJ1333" s="1">
        <v>2016</v>
      </c>
      <c r="AK1333" s="1" t="s">
        <v>49</v>
      </c>
      <c r="AL1333" s="1">
        <v>83</v>
      </c>
    </row>
    <row r="1334" spans="1:38" x14ac:dyDescent="0.2">
      <c r="A1334" s="2" t="str">
        <f>HYPERLINK("https://www.compass.com/listing/45-east-22nd-street-unit-30b-manhattan-ny-10010/29375861278930241/","45 E 22nd St, Unit 30B")</f>
        <v>45 E 22nd St, Unit 30B</v>
      </c>
      <c r="B1334" s="2" t="str">
        <f t="shared" si="189"/>
        <v>Madison Square Park Tower</v>
      </c>
      <c r="C1334" s="1" t="s">
        <v>56</v>
      </c>
      <c r="D1334" s="1" t="s">
        <v>41</v>
      </c>
      <c r="E1334" s="3">
        <v>4986158</v>
      </c>
      <c r="F1334" s="1">
        <v>3317.4703925482299</v>
      </c>
      <c r="G1334" s="1">
        <v>4</v>
      </c>
      <c r="H1334" s="1">
        <v>2</v>
      </c>
      <c r="I1334" s="1">
        <v>2</v>
      </c>
      <c r="J1334" s="1">
        <v>2</v>
      </c>
      <c r="M1334" s="4">
        <v>1503</v>
      </c>
      <c r="N1334" s="1">
        <v>1719</v>
      </c>
      <c r="O1334" s="1">
        <v>4332</v>
      </c>
      <c r="P1334" s="1">
        <v>2613</v>
      </c>
      <c r="Q1334" s="1" t="s">
        <v>42</v>
      </c>
      <c r="S1334" s="1" t="s">
        <v>42</v>
      </c>
      <c r="T1334" s="1" t="s">
        <v>273</v>
      </c>
      <c r="U1334" s="1">
        <v>21</v>
      </c>
      <c r="V1334" s="5">
        <v>43649</v>
      </c>
      <c r="W1334" s="5">
        <v>43112</v>
      </c>
      <c r="X1334" s="1">
        <v>4965000</v>
      </c>
      <c r="Y1334" s="1">
        <v>4965000</v>
      </c>
      <c r="Z1334" s="5">
        <v>43133</v>
      </c>
      <c r="AA1334" s="1">
        <v>4986158</v>
      </c>
      <c r="AB1334" s="1" t="s">
        <v>618</v>
      </c>
      <c r="AC1334" s="5">
        <v>43179</v>
      </c>
      <c r="AF1334" s="1">
        <v>10010</v>
      </c>
      <c r="AI1334" s="1" t="s">
        <v>48</v>
      </c>
      <c r="AJ1334" s="1">
        <v>2016</v>
      </c>
      <c r="AK1334" s="1" t="s">
        <v>49</v>
      </c>
      <c r="AL1334" s="1">
        <v>83</v>
      </c>
    </row>
    <row r="1335" spans="1:38" x14ac:dyDescent="0.2">
      <c r="A1335" s="2" t="str">
        <f>HYPERLINK("https://www.compass.com/listing/45-east-22nd-street-unit-35b-manhattan-ny-10010/29375865431365521/","45 E 22nd St, Unit 35B")</f>
        <v>45 E 22nd St, Unit 35B</v>
      </c>
      <c r="B1335" s="2" t="str">
        <f t="shared" si="189"/>
        <v>Madison Square Park Tower</v>
      </c>
      <c r="C1335" s="1" t="s">
        <v>56</v>
      </c>
      <c r="D1335" s="1" t="s">
        <v>41</v>
      </c>
      <c r="E1335" s="3">
        <v>5522032</v>
      </c>
      <c r="F1335" s="1">
        <v>3609.1712418300599</v>
      </c>
      <c r="G1335" s="1">
        <v>4</v>
      </c>
      <c r="H1335" s="1">
        <v>2</v>
      </c>
      <c r="I1335" s="1">
        <v>2</v>
      </c>
      <c r="J1335" s="1">
        <v>2</v>
      </c>
      <c r="M1335" s="4">
        <v>1530</v>
      </c>
      <c r="N1335" s="1">
        <v>1811</v>
      </c>
      <c r="O1335" s="1">
        <v>4565</v>
      </c>
      <c r="P1335" s="1">
        <v>2754</v>
      </c>
      <c r="Q1335" s="1" t="s">
        <v>42</v>
      </c>
      <c r="S1335" s="1" t="s">
        <v>42</v>
      </c>
      <c r="T1335" s="1" t="s">
        <v>273</v>
      </c>
      <c r="U1335" s="1">
        <v>76</v>
      </c>
      <c r="V1335" s="5">
        <v>43668</v>
      </c>
      <c r="W1335" s="5">
        <v>42788</v>
      </c>
      <c r="X1335" s="1">
        <v>5500000</v>
      </c>
      <c r="Y1335" s="1">
        <v>5500000</v>
      </c>
      <c r="Z1335" s="5">
        <v>42864</v>
      </c>
      <c r="AA1335" s="1">
        <v>5522032</v>
      </c>
      <c r="AB1335" s="1" t="s">
        <v>619</v>
      </c>
      <c r="AC1335" s="5">
        <v>42976</v>
      </c>
      <c r="AF1335" s="1">
        <v>10010</v>
      </c>
      <c r="AI1335" s="1" t="s">
        <v>48</v>
      </c>
      <c r="AJ1335" s="1">
        <v>2016</v>
      </c>
      <c r="AK1335" s="1" t="s">
        <v>49</v>
      </c>
      <c r="AL1335" s="1">
        <v>83</v>
      </c>
    </row>
    <row r="1336" spans="1:38" x14ac:dyDescent="0.2">
      <c r="A1336" s="2" t="str">
        <f>HYPERLINK("https://www.compass.com/listing/45-east-22nd-street-unit-37b-manhattan-ny-10010/29375867486499249/","45 E 22nd St, Unit 37B")</f>
        <v>45 E 22nd St, Unit 37B</v>
      </c>
      <c r="B1336" s="2" t="str">
        <f t="shared" si="189"/>
        <v>Madison Square Park Tower</v>
      </c>
      <c r="C1336" s="1" t="s">
        <v>56</v>
      </c>
      <c r="D1336" s="1" t="s">
        <v>41</v>
      </c>
      <c r="E1336" s="3">
        <v>5536960</v>
      </c>
      <c r="F1336" s="1">
        <v>3597.76478232618</v>
      </c>
      <c r="G1336" s="1">
        <v>4</v>
      </c>
      <c r="H1336" s="1">
        <v>2</v>
      </c>
      <c r="I1336" s="1">
        <v>2</v>
      </c>
      <c r="J1336" s="1">
        <v>2</v>
      </c>
      <c r="K1336" s="1">
        <v>2</v>
      </c>
      <c r="M1336" s="4">
        <v>1539</v>
      </c>
      <c r="N1336" s="1">
        <v>1839</v>
      </c>
      <c r="O1336" s="1">
        <v>4634</v>
      </c>
      <c r="P1336" s="1">
        <v>2795</v>
      </c>
      <c r="Q1336" s="1" t="s">
        <v>42</v>
      </c>
      <c r="S1336" s="1" t="s">
        <v>42</v>
      </c>
      <c r="T1336" s="1" t="s">
        <v>273</v>
      </c>
      <c r="U1336" s="1">
        <v>47</v>
      </c>
      <c r="V1336" s="5">
        <v>43662</v>
      </c>
      <c r="W1336" s="5">
        <v>42574</v>
      </c>
      <c r="X1336" s="1">
        <v>5515000</v>
      </c>
      <c r="Y1336" s="1">
        <v>5515000</v>
      </c>
      <c r="Z1336" s="5">
        <v>42621</v>
      </c>
      <c r="AA1336" s="1">
        <v>5536960</v>
      </c>
      <c r="AB1336" s="1" t="s">
        <v>620</v>
      </c>
      <c r="AC1336" s="5">
        <v>42944</v>
      </c>
      <c r="AF1336" s="1">
        <v>10010</v>
      </c>
      <c r="AI1336" s="1" t="s">
        <v>48</v>
      </c>
      <c r="AJ1336" s="1">
        <v>2016</v>
      </c>
      <c r="AK1336" s="1" t="s">
        <v>46</v>
      </c>
      <c r="AL1336" s="1">
        <v>83</v>
      </c>
    </row>
    <row r="1337" spans="1:38" x14ac:dyDescent="0.2">
      <c r="A1337" s="2" t="str">
        <f>HYPERLINK("https://www.compass.com/listing/45-east-22nd-street-unit-38b-manhattan-ny-10010/29375868610647985/","45 E 22nd St, Unit 38B")</f>
        <v>45 E 22nd St, Unit 38B</v>
      </c>
      <c r="B1337" s="2" t="str">
        <f t="shared" si="189"/>
        <v>Madison Square Park Tower</v>
      </c>
      <c r="C1337" s="1" t="s">
        <v>56</v>
      </c>
      <c r="D1337" s="1" t="s">
        <v>41</v>
      </c>
      <c r="E1337" s="3">
        <v>5714521</v>
      </c>
      <c r="F1337" s="1">
        <v>3705.9150453955899</v>
      </c>
      <c r="G1337" s="1">
        <v>4</v>
      </c>
      <c r="H1337" s="1">
        <v>2</v>
      </c>
      <c r="I1337" s="1">
        <v>2</v>
      </c>
      <c r="J1337" s="1">
        <v>2</v>
      </c>
      <c r="K1337" s="1">
        <v>2</v>
      </c>
      <c r="M1337" s="4">
        <v>1542</v>
      </c>
      <c r="N1337" s="1">
        <v>1851</v>
      </c>
      <c r="O1337" s="1">
        <v>4665</v>
      </c>
      <c r="P1337" s="1">
        <v>2814</v>
      </c>
      <c r="Q1337" s="1" t="s">
        <v>42</v>
      </c>
      <c r="S1337" s="1" t="s">
        <v>42</v>
      </c>
      <c r="T1337" s="1" t="s">
        <v>273</v>
      </c>
      <c r="U1337" s="1">
        <v>483</v>
      </c>
      <c r="V1337" s="5">
        <v>43650</v>
      </c>
      <c r="W1337" s="5">
        <v>42091</v>
      </c>
      <c r="X1337" s="1">
        <v>5480000</v>
      </c>
      <c r="Y1337" s="1">
        <v>5590000</v>
      </c>
      <c r="Z1337" s="5">
        <v>42574</v>
      </c>
      <c r="AA1337" s="1">
        <v>5714521</v>
      </c>
      <c r="AB1337" s="1" t="s">
        <v>621</v>
      </c>
      <c r="AC1337" s="5">
        <v>42970</v>
      </c>
      <c r="AF1337" s="1">
        <v>10010</v>
      </c>
      <c r="AI1337" s="1" t="s">
        <v>48</v>
      </c>
      <c r="AJ1337" s="1">
        <v>2016</v>
      </c>
      <c r="AK1337" s="1" t="s">
        <v>46</v>
      </c>
      <c r="AL1337" s="1">
        <v>83</v>
      </c>
    </row>
    <row r="1338" spans="1:38" x14ac:dyDescent="0.2">
      <c r="A1338" s="2" t="str">
        <f>HYPERLINK("https://www.compass.com/listing/100-barclay-street-unit-12n-manhattan-ny-10007/50866912963367713/","100 Barclay St, Unit 12N")</f>
        <v>100 Barclay St, Unit 12N</v>
      </c>
      <c r="B1338" s="2" t="str">
        <f>HYPERLINK("https://www.compass.com/building/100-barclay-manhattan-ny/281896670466155525/","100 Barclay")</f>
        <v>100 Barclay</v>
      </c>
      <c r="C1338" s="1" t="s">
        <v>50</v>
      </c>
      <c r="D1338" s="1" t="s">
        <v>41</v>
      </c>
      <c r="E1338" s="3">
        <v>2749275</v>
      </c>
      <c r="F1338" s="1">
        <v>1735.6534090908999</v>
      </c>
      <c r="G1338" s="1">
        <v>5</v>
      </c>
      <c r="H1338" s="1">
        <v>2</v>
      </c>
      <c r="I1338" s="1">
        <v>3</v>
      </c>
      <c r="J1338" s="1">
        <v>2.5</v>
      </c>
      <c r="M1338" s="4">
        <v>1584</v>
      </c>
      <c r="N1338" s="1">
        <v>2032</v>
      </c>
      <c r="O1338" s="1">
        <v>3976</v>
      </c>
      <c r="P1338" s="1">
        <v>1944</v>
      </c>
      <c r="Q1338" s="1" t="s">
        <v>42</v>
      </c>
      <c r="S1338" s="1" t="s">
        <v>42</v>
      </c>
      <c r="T1338" s="1" t="s">
        <v>273</v>
      </c>
      <c r="V1338" s="5">
        <v>43666</v>
      </c>
      <c r="W1338" s="5">
        <v>42477</v>
      </c>
      <c r="X1338" s="1">
        <v>2823000</v>
      </c>
      <c r="Y1338" s="1">
        <v>2823000</v>
      </c>
      <c r="Z1338" s="5">
        <v>42477</v>
      </c>
      <c r="AA1338" s="1">
        <v>2749275</v>
      </c>
      <c r="AB1338" s="1" t="s">
        <v>622</v>
      </c>
      <c r="AC1338" s="5">
        <v>42755</v>
      </c>
      <c r="AF1338" s="1">
        <v>10007</v>
      </c>
      <c r="AI1338" s="1" t="s">
        <v>52</v>
      </c>
      <c r="AJ1338" s="1">
        <v>1930</v>
      </c>
      <c r="AK1338" s="1" t="s">
        <v>46</v>
      </c>
      <c r="AL1338" s="1">
        <v>156</v>
      </c>
    </row>
    <row r="1339" spans="1:38" x14ac:dyDescent="0.2">
      <c r="A1339" s="2" t="str">
        <f>HYPERLINK("https://www.compass.com/listing/45-east-22nd-street-unit-16a-manhattan-ny-10010/197776760207665393/","45 E 22nd St, Unit 16A")</f>
        <v>45 E 22nd St, Unit 16A</v>
      </c>
      <c r="B1339" s="2" t="str">
        <f>HYPERLINK("https://www.compass.com/building/madison-square-park-tower-manhattan-ny/281903584482705973/","Madison Square Park Tower")</f>
        <v>Madison Square Park Tower</v>
      </c>
      <c r="C1339" s="1" t="s">
        <v>56</v>
      </c>
      <c r="D1339" s="1" t="s">
        <v>41</v>
      </c>
      <c r="E1339" s="3">
        <v>3450000</v>
      </c>
      <c r="F1339" s="1">
        <v>1787.5647668393699</v>
      </c>
      <c r="G1339" s="1">
        <v>4</v>
      </c>
      <c r="H1339" s="1">
        <v>2</v>
      </c>
      <c r="I1339" s="1">
        <v>3</v>
      </c>
      <c r="J1339" s="1">
        <v>2.5</v>
      </c>
      <c r="K1339" s="1">
        <v>2</v>
      </c>
      <c r="L1339" s="1">
        <v>1</v>
      </c>
      <c r="M1339" s="4">
        <v>1930</v>
      </c>
      <c r="N1339" s="1">
        <v>2065</v>
      </c>
      <c r="O1339" s="1">
        <v>6364</v>
      </c>
      <c r="P1339" s="1">
        <v>4299</v>
      </c>
      <c r="Q1339" s="1" t="s">
        <v>42</v>
      </c>
      <c r="S1339" s="1" t="s">
        <v>42</v>
      </c>
      <c r="T1339" s="1" t="s">
        <v>273</v>
      </c>
      <c r="U1339" s="1">
        <v>236</v>
      </c>
      <c r="V1339" s="5">
        <v>44415</v>
      </c>
      <c r="W1339" s="5">
        <v>43524</v>
      </c>
      <c r="X1339" s="1">
        <v>3995000</v>
      </c>
      <c r="Y1339" s="1">
        <v>3650000</v>
      </c>
      <c r="Z1339" s="5">
        <v>43761</v>
      </c>
      <c r="AA1339" s="1">
        <v>3450000</v>
      </c>
      <c r="AB1339" s="1" t="s">
        <v>623</v>
      </c>
      <c r="AC1339" s="5">
        <v>43788</v>
      </c>
      <c r="AF1339" s="1">
        <v>10010</v>
      </c>
      <c r="AI1339" s="1" t="s">
        <v>147</v>
      </c>
      <c r="AJ1339" s="1">
        <v>2016</v>
      </c>
      <c r="AK1339" s="1" t="s">
        <v>46</v>
      </c>
      <c r="AL1339" s="1">
        <v>83</v>
      </c>
    </row>
    <row r="1340" spans="1:38" x14ac:dyDescent="0.2">
      <c r="A1340" s="2" t="str">
        <f>HYPERLINK("https://www.compass.com/listing/49-chambers-street-unit-14g-manhattan-ny-10007/757268598536012809/","49 Chambers St, Unit 14G")</f>
        <v>49 Chambers St, Unit 14G</v>
      </c>
      <c r="B1340" s="2" t="str">
        <f>HYPERLINK("https://www.compass.com/building/49-chambers-manhattan-ny/282058733280852725/","49 Chambers")</f>
        <v>49 Chambers</v>
      </c>
      <c r="C1340" s="1" t="s">
        <v>50</v>
      </c>
      <c r="D1340" s="1" t="s">
        <v>41</v>
      </c>
      <c r="E1340" s="3">
        <v>2205000</v>
      </c>
      <c r="F1340" s="1">
        <v>1919.0600522193199</v>
      </c>
      <c r="G1340" s="1">
        <v>4</v>
      </c>
      <c r="H1340" s="1">
        <v>1</v>
      </c>
      <c r="I1340" s="1">
        <v>2</v>
      </c>
      <c r="J1340" s="1">
        <v>2</v>
      </c>
      <c r="K1340" s="1">
        <v>2</v>
      </c>
      <c r="M1340" s="4">
        <v>1149</v>
      </c>
      <c r="N1340" s="1">
        <v>914</v>
      </c>
      <c r="O1340" s="1">
        <v>2797</v>
      </c>
      <c r="P1340" s="1">
        <v>1883</v>
      </c>
      <c r="Q1340" s="1" t="s">
        <v>42</v>
      </c>
      <c r="S1340" s="1" t="s">
        <v>42</v>
      </c>
      <c r="T1340" s="1" t="s">
        <v>273</v>
      </c>
      <c r="U1340" s="1">
        <v>30</v>
      </c>
      <c r="V1340" s="5">
        <v>44378</v>
      </c>
      <c r="W1340" s="5">
        <v>44298</v>
      </c>
      <c r="X1340" s="1">
        <v>2205000</v>
      </c>
      <c r="Y1340" s="1">
        <v>2205000</v>
      </c>
      <c r="AA1340" s="1">
        <v>2205000</v>
      </c>
      <c r="AB1340" s="1" t="s">
        <v>275</v>
      </c>
      <c r="AC1340" s="5">
        <v>44372</v>
      </c>
      <c r="AF1340" s="1">
        <v>10007</v>
      </c>
      <c r="AI1340" s="1" t="s">
        <v>114</v>
      </c>
      <c r="AJ1340" s="1">
        <v>1910</v>
      </c>
      <c r="AK1340" s="1" t="s">
        <v>49</v>
      </c>
      <c r="AL1340" s="1">
        <v>99</v>
      </c>
    </row>
    <row r="1341" spans="1:38" x14ac:dyDescent="0.2">
      <c r="A1341" s="2" t="str">
        <f>HYPERLINK("https://www.compass.com/listing/45-east-22nd-street-unit-29a-manhattan-ny-10010/29375860347868977/","45 E 22nd St, Unit 29A")</f>
        <v>45 E 22nd St, Unit 29A</v>
      </c>
      <c r="B1341" s="2" t="str">
        <f>HYPERLINK("https://www.compass.com/building/madison-square-park-tower-manhattan-ny/281903584482705973/","Madison Square Park Tower")</f>
        <v>Madison Square Park Tower</v>
      </c>
      <c r="C1341" s="1" t="s">
        <v>56</v>
      </c>
      <c r="D1341" s="1" t="s">
        <v>41</v>
      </c>
      <c r="E1341" s="3">
        <v>5915577</v>
      </c>
      <c r="F1341" s="1">
        <v>3005.8826219512098</v>
      </c>
      <c r="G1341" s="1">
        <v>4</v>
      </c>
      <c r="H1341" s="1">
        <v>2</v>
      </c>
      <c r="I1341" s="1">
        <v>2</v>
      </c>
      <c r="J1341" s="1">
        <v>2</v>
      </c>
      <c r="K1341" s="1">
        <v>2</v>
      </c>
      <c r="M1341" s="4">
        <v>1968</v>
      </c>
      <c r="N1341" s="1">
        <v>2679</v>
      </c>
      <c r="O1341" s="1">
        <v>6127</v>
      </c>
      <c r="P1341" s="1">
        <v>3448</v>
      </c>
      <c r="Q1341" s="1" t="s">
        <v>42</v>
      </c>
      <c r="S1341" s="1" t="s">
        <v>42</v>
      </c>
      <c r="T1341" s="1" t="s">
        <v>273</v>
      </c>
      <c r="U1341" s="1">
        <v>118</v>
      </c>
      <c r="V1341" s="5">
        <v>44225</v>
      </c>
      <c r="W1341" s="5">
        <v>43005</v>
      </c>
      <c r="X1341" s="1">
        <v>5935000</v>
      </c>
      <c r="Y1341" s="1">
        <v>5935000</v>
      </c>
      <c r="Z1341" s="5">
        <v>43123</v>
      </c>
      <c r="AA1341" s="1">
        <v>5915577</v>
      </c>
      <c r="AB1341" s="1" t="s">
        <v>624</v>
      </c>
      <c r="AC1341" s="5">
        <v>43175</v>
      </c>
      <c r="AF1341" s="1">
        <v>10010</v>
      </c>
      <c r="AI1341" s="1" t="s">
        <v>48</v>
      </c>
      <c r="AJ1341" s="1">
        <v>2016</v>
      </c>
      <c r="AK1341" s="1" t="s">
        <v>49</v>
      </c>
      <c r="AL1341" s="1">
        <v>83</v>
      </c>
    </row>
    <row r="1342" spans="1:38" x14ac:dyDescent="0.2">
      <c r="A1342" s="2" t="str">
        <f>HYPERLINK("https://www.compass.com/listing/100-barclay-street-unit-13n-manhattan-ny-10007/4852308833034320785/","100 Barclay St, Unit 13N")</f>
        <v>100 Barclay St, Unit 13N</v>
      </c>
      <c r="B1342" s="2" t="str">
        <f>HYPERLINK("https://www.compass.com/building/100-barclay-manhattan-ny/281896670466155525/","100 Barclay")</f>
        <v>100 Barclay</v>
      </c>
      <c r="C1342" s="1" t="s">
        <v>50</v>
      </c>
      <c r="D1342" s="1" t="s">
        <v>41</v>
      </c>
      <c r="E1342" s="3">
        <v>3232943</v>
      </c>
      <c r="F1342" s="1">
        <v>2040.99936868686</v>
      </c>
      <c r="G1342" s="1">
        <v>5</v>
      </c>
      <c r="H1342" s="1">
        <v>2</v>
      </c>
      <c r="I1342" s="1">
        <v>3</v>
      </c>
      <c r="J1342" s="1">
        <v>2.5</v>
      </c>
      <c r="M1342" s="4">
        <v>1584</v>
      </c>
      <c r="N1342" s="1">
        <v>1979</v>
      </c>
      <c r="O1342" s="1">
        <v>3921</v>
      </c>
      <c r="P1342" s="1">
        <v>1942</v>
      </c>
      <c r="Q1342" s="1" t="s">
        <v>42</v>
      </c>
      <c r="S1342" s="1" t="s">
        <v>42</v>
      </c>
      <c r="T1342" s="1" t="s">
        <v>273</v>
      </c>
      <c r="U1342" s="1">
        <v>38</v>
      </c>
      <c r="V1342" s="5">
        <v>43623</v>
      </c>
      <c r="W1342" s="5">
        <v>42120</v>
      </c>
      <c r="X1342" s="1">
        <v>3221500</v>
      </c>
      <c r="Y1342" s="1">
        <v>3221500</v>
      </c>
      <c r="Z1342" s="5">
        <v>42158</v>
      </c>
      <c r="AA1342" s="1">
        <v>3232943</v>
      </c>
      <c r="AB1342" s="1" t="s">
        <v>625</v>
      </c>
      <c r="AC1342" s="5">
        <v>42748</v>
      </c>
      <c r="AF1342" s="1">
        <v>10007</v>
      </c>
      <c r="AI1342" s="1" t="s">
        <v>52</v>
      </c>
      <c r="AJ1342" s="1">
        <v>1930</v>
      </c>
      <c r="AK1342" s="1" t="s">
        <v>46</v>
      </c>
      <c r="AL1342" s="1">
        <v>156</v>
      </c>
    </row>
    <row r="1343" spans="1:38" x14ac:dyDescent="0.2">
      <c r="A1343" s="2" t="str">
        <f>HYPERLINK("https://www.compass.com/listing/225-west-17th-street-unit-4a-manhattan-ny-10011/29510294829035057/","225 W 17th St, Unit 4A")</f>
        <v>225 W 17th St, Unit 4A</v>
      </c>
      <c r="B1343" s="2" t="str">
        <f>HYPERLINK("https://www.compass.com/building/225-west-17th-street-manhattan-ny/292802090781141541/","225 West 17th Street")</f>
        <v>225 West 17th Street</v>
      </c>
      <c r="C1343" s="1" t="s">
        <v>62</v>
      </c>
      <c r="D1343" s="1" t="s">
        <v>41</v>
      </c>
      <c r="E1343" s="3">
        <v>3400000</v>
      </c>
      <c r="F1343" s="1">
        <v>1740.9114183307699</v>
      </c>
      <c r="G1343" s="1">
        <v>7</v>
      </c>
      <c r="H1343" s="1">
        <v>3</v>
      </c>
      <c r="I1343" s="1">
        <v>3</v>
      </c>
      <c r="J1343" s="1">
        <v>2.5</v>
      </c>
      <c r="K1343" s="1">
        <v>2</v>
      </c>
      <c r="L1343" s="1">
        <v>1</v>
      </c>
      <c r="M1343" s="4">
        <v>1953</v>
      </c>
      <c r="N1343" s="1">
        <v>1188</v>
      </c>
      <c r="O1343" s="1">
        <v>3620</v>
      </c>
      <c r="P1343" s="1">
        <v>2432</v>
      </c>
      <c r="Q1343" s="1" t="s">
        <v>42</v>
      </c>
      <c r="S1343" s="1" t="s">
        <v>42</v>
      </c>
      <c r="T1343" s="1" t="s">
        <v>273</v>
      </c>
      <c r="V1343" s="5">
        <v>43641</v>
      </c>
      <c r="W1343" s="5">
        <v>42980</v>
      </c>
      <c r="X1343" s="1">
        <v>3750000</v>
      </c>
      <c r="Y1343" s="1">
        <v>3750000</v>
      </c>
      <c r="Z1343" s="5">
        <v>42980</v>
      </c>
      <c r="AA1343" s="1">
        <v>3400000</v>
      </c>
      <c r="AB1343" s="1" t="s">
        <v>626</v>
      </c>
      <c r="AC1343" s="5">
        <v>43546</v>
      </c>
      <c r="AF1343" s="1">
        <v>10011</v>
      </c>
      <c r="AI1343" s="1" t="s">
        <v>177</v>
      </c>
      <c r="AJ1343" s="1">
        <v>2018</v>
      </c>
      <c r="AK1343" s="1" t="s">
        <v>143</v>
      </c>
      <c r="AL1343" s="1">
        <v>14</v>
      </c>
    </row>
    <row r="1344" spans="1:38" x14ac:dyDescent="0.2">
      <c r="A1344" s="2" t="str">
        <f>HYPERLINK("https://www.compass.com/listing/100-barclay-street-unit-13e-manhattan-ny-10007/4852309100513475953/","100 Barclay St, Unit 13E")</f>
        <v>100 Barclay St, Unit 13E</v>
      </c>
      <c r="B1344" s="2" t="str">
        <f>HYPERLINK("https://www.compass.com/building/100-barclay-manhattan-ny/281896670466155525/","100 Barclay")</f>
        <v>100 Barclay</v>
      </c>
      <c r="C1344" s="1" t="s">
        <v>50</v>
      </c>
      <c r="D1344" s="1" t="s">
        <v>41</v>
      </c>
      <c r="E1344" s="3">
        <v>2734510</v>
      </c>
      <c r="F1344" s="1">
        <v>1834.01073105298</v>
      </c>
      <c r="G1344" s="1">
        <v>5</v>
      </c>
      <c r="H1344" s="1">
        <v>2</v>
      </c>
      <c r="I1344" s="1">
        <v>2</v>
      </c>
      <c r="J1344" s="1">
        <v>2</v>
      </c>
      <c r="M1344" s="4">
        <v>1491</v>
      </c>
      <c r="N1344" s="1">
        <v>1913</v>
      </c>
      <c r="O1344" s="1">
        <v>3742</v>
      </c>
      <c r="P1344" s="1">
        <v>1829</v>
      </c>
      <c r="Q1344" s="1" t="s">
        <v>42</v>
      </c>
      <c r="S1344" s="1" t="s">
        <v>42</v>
      </c>
      <c r="T1344" s="1" t="s">
        <v>273</v>
      </c>
      <c r="V1344" s="5">
        <v>43623</v>
      </c>
      <c r="W1344" s="5">
        <v>42477</v>
      </c>
      <c r="X1344" s="1">
        <v>2750000</v>
      </c>
      <c r="Y1344" s="1">
        <v>2750000</v>
      </c>
      <c r="Z1344" s="5">
        <v>42477</v>
      </c>
      <c r="AA1344" s="1">
        <v>2734510</v>
      </c>
      <c r="AB1344" s="1" t="s">
        <v>627</v>
      </c>
      <c r="AC1344" s="5">
        <v>42746</v>
      </c>
      <c r="AF1344" s="1">
        <v>10007</v>
      </c>
      <c r="AI1344" s="1" t="s">
        <v>52</v>
      </c>
      <c r="AJ1344" s="1">
        <v>1930</v>
      </c>
      <c r="AK1344" s="1" t="s">
        <v>46</v>
      </c>
      <c r="AL1344" s="1">
        <v>156</v>
      </c>
    </row>
    <row r="1345" spans="1:38" x14ac:dyDescent="0.2">
      <c r="A1345" s="2" t="str">
        <f>HYPERLINK("https://www.compass.com/listing/155-west-18th-street-unit-803-manhattan-ny-10011/29373034376733233/","155 W 18th St, Unit 803")</f>
        <v>155 W 18th St, Unit 803</v>
      </c>
      <c r="B1345" s="2" t="str">
        <f>HYPERLINK("https://www.compass.com/building/the-flynn-manhattan-ny/281905793161251925/","The Flynn")</f>
        <v>The Flynn</v>
      </c>
      <c r="C1345" s="1" t="s">
        <v>62</v>
      </c>
      <c r="D1345" s="1" t="s">
        <v>41</v>
      </c>
      <c r="E1345" s="3">
        <v>3500000</v>
      </c>
      <c r="F1345" s="1">
        <v>2586.84405025868</v>
      </c>
      <c r="G1345" s="1">
        <v>3</v>
      </c>
      <c r="H1345" s="1">
        <v>2</v>
      </c>
      <c r="I1345" s="1">
        <v>3</v>
      </c>
      <c r="J1345" s="1">
        <v>0.5</v>
      </c>
      <c r="L1345" s="1">
        <v>1</v>
      </c>
      <c r="M1345" s="4">
        <v>1353</v>
      </c>
      <c r="N1345" s="1">
        <v>2061</v>
      </c>
      <c r="O1345" s="1">
        <v>3641</v>
      </c>
      <c r="P1345" s="1">
        <v>1580</v>
      </c>
      <c r="Q1345" s="1" t="s">
        <v>42</v>
      </c>
      <c r="S1345" s="1" t="s">
        <v>42</v>
      </c>
      <c r="T1345" s="1" t="s">
        <v>273</v>
      </c>
      <c r="U1345" s="1">
        <v>319</v>
      </c>
      <c r="V1345" s="5">
        <v>43640</v>
      </c>
      <c r="W1345" s="5">
        <v>42385</v>
      </c>
      <c r="X1345" s="1">
        <v>3500000</v>
      </c>
      <c r="Y1345" s="1">
        <v>3500000</v>
      </c>
      <c r="Z1345" s="5">
        <v>42704</v>
      </c>
      <c r="AA1345" s="1">
        <v>3500000</v>
      </c>
      <c r="AB1345" s="1" t="s">
        <v>628</v>
      </c>
      <c r="AC1345" s="5">
        <v>42723</v>
      </c>
      <c r="AF1345" s="1">
        <v>10011</v>
      </c>
      <c r="AI1345" s="1" t="s">
        <v>114</v>
      </c>
      <c r="AJ1345" s="1">
        <v>2016</v>
      </c>
      <c r="AK1345" s="1" t="s">
        <v>108</v>
      </c>
      <c r="AL1345" s="1">
        <v>30</v>
      </c>
    </row>
    <row r="1346" spans="1:38" x14ac:dyDescent="0.2">
      <c r="A1346" s="2" t="str">
        <f>HYPERLINK("https://www.compass.com/listing/100-barclay-street-unit-12q-manhattan-ny-10007/22503163865087649/","100 Barclay St, Unit 12Q")</f>
        <v>100 Barclay St, Unit 12Q</v>
      </c>
      <c r="B1346" s="2" t="str">
        <f>HYPERLINK("https://www.compass.com/building/100-barclay-manhattan-ny/281896670466155525/","100 Barclay")</f>
        <v>100 Barclay</v>
      </c>
      <c r="C1346" s="1" t="s">
        <v>50</v>
      </c>
      <c r="D1346" s="1" t="s">
        <v>41</v>
      </c>
      <c r="E1346" s="3">
        <v>4025000</v>
      </c>
      <c r="F1346" s="1">
        <v>1945.38424359594</v>
      </c>
      <c r="G1346" s="1">
        <v>6</v>
      </c>
      <c r="H1346" s="1">
        <v>3</v>
      </c>
      <c r="I1346" s="1">
        <v>4</v>
      </c>
      <c r="J1346" s="1">
        <v>3.5</v>
      </c>
      <c r="K1346" s="1">
        <v>3</v>
      </c>
      <c r="L1346" s="1">
        <v>1</v>
      </c>
      <c r="M1346" s="4">
        <v>2069</v>
      </c>
      <c r="N1346" s="1">
        <v>2983</v>
      </c>
      <c r="O1346" s="1">
        <v>5720</v>
      </c>
      <c r="P1346" s="1">
        <v>2737</v>
      </c>
      <c r="Q1346" s="1" t="s">
        <v>42</v>
      </c>
      <c r="S1346" s="1" t="s">
        <v>42</v>
      </c>
      <c r="T1346" s="1" t="s">
        <v>273</v>
      </c>
      <c r="U1346" s="1">
        <v>333</v>
      </c>
      <c r="V1346" s="5">
        <v>43844</v>
      </c>
      <c r="W1346" s="5">
        <v>43475</v>
      </c>
      <c r="X1346" s="1">
        <v>4500000</v>
      </c>
      <c r="Y1346" s="1">
        <v>4500000</v>
      </c>
      <c r="Z1346" s="5">
        <v>43809</v>
      </c>
      <c r="AA1346" s="1">
        <v>4025000</v>
      </c>
      <c r="AB1346" s="1" t="s">
        <v>629</v>
      </c>
      <c r="AC1346" s="5">
        <v>43829</v>
      </c>
      <c r="AF1346" s="1">
        <v>10007</v>
      </c>
      <c r="AI1346" s="1" t="s">
        <v>52</v>
      </c>
      <c r="AJ1346" s="1">
        <v>1930</v>
      </c>
      <c r="AK1346" s="1" t="s">
        <v>46</v>
      </c>
      <c r="AL1346" s="1">
        <v>156</v>
      </c>
    </row>
    <row r="1347" spans="1:38" x14ac:dyDescent="0.2">
      <c r="A1347" s="2" t="str">
        <f>HYPERLINK("https://www.compass.com/listing/30-warren-street-unit-4b-manhattan-ny-10007/739559768846067409/","30 Warren St, Unit 4B")</f>
        <v>30 Warren St, Unit 4B</v>
      </c>
      <c r="B1347" s="2" t="str">
        <f>HYPERLINK("https://www.compass.com/building/30-warren-manhattan-ny/292789104075095813/","30 WARREN")</f>
        <v>30 WARREN</v>
      </c>
      <c r="C1347" s="1" t="s">
        <v>50</v>
      </c>
      <c r="D1347" s="1" t="s">
        <v>41</v>
      </c>
      <c r="E1347" s="3">
        <v>2350000</v>
      </c>
      <c r="F1347" s="1">
        <v>1857.70750988142</v>
      </c>
      <c r="G1347" s="1">
        <v>4</v>
      </c>
      <c r="H1347" s="1">
        <v>2</v>
      </c>
      <c r="I1347" s="1">
        <v>2</v>
      </c>
      <c r="J1347" s="1">
        <v>1.5</v>
      </c>
      <c r="K1347" s="1">
        <v>1</v>
      </c>
      <c r="L1347" s="1">
        <v>1</v>
      </c>
      <c r="M1347" s="4">
        <v>1265</v>
      </c>
      <c r="N1347" s="1">
        <v>1636.06</v>
      </c>
      <c r="O1347" s="1">
        <v>3373.8999999999901</v>
      </c>
      <c r="P1347" s="1">
        <v>1737.8333333333301</v>
      </c>
      <c r="Q1347" s="1" t="s">
        <v>42</v>
      </c>
      <c r="S1347" s="1" t="s">
        <v>42</v>
      </c>
      <c r="T1347" s="1" t="s">
        <v>273</v>
      </c>
      <c r="V1347" s="5">
        <v>44317</v>
      </c>
      <c r="W1347" s="5">
        <v>44271</v>
      </c>
      <c r="X1347" s="1">
        <v>2875000</v>
      </c>
      <c r="Y1347" s="1">
        <v>2875000</v>
      </c>
      <c r="Z1347" s="5">
        <v>44271</v>
      </c>
      <c r="AA1347" s="1">
        <v>2350000</v>
      </c>
      <c r="AB1347" s="1" t="s">
        <v>630</v>
      </c>
      <c r="AC1347" s="5">
        <v>44316</v>
      </c>
      <c r="AF1347" s="1">
        <v>10007</v>
      </c>
      <c r="AJ1347" s="1">
        <v>2017</v>
      </c>
      <c r="AK1347" s="1" t="s">
        <v>125</v>
      </c>
      <c r="AL1347" s="1">
        <v>23</v>
      </c>
    </row>
    <row r="1348" spans="1:38" x14ac:dyDescent="0.2">
      <c r="A1348" s="2" t="str">
        <f>HYPERLINK("https://www.compass.com/listing/100-barclay-street-unit-15h-manhattan-ny-10007/192575398029111329/","100 Barclay St, Unit 15H")</f>
        <v>100 Barclay St, Unit 15H</v>
      </c>
      <c r="B1348" s="2" t="str">
        <f t="shared" ref="B1348:B1349" si="190">HYPERLINK("https://www.compass.com/building/100-barclay-manhattan-ny/281896670466155525/","100 Barclay")</f>
        <v>100 Barclay</v>
      </c>
      <c r="C1348" s="1" t="s">
        <v>50</v>
      </c>
      <c r="D1348" s="1" t="s">
        <v>41</v>
      </c>
      <c r="E1348" s="3">
        <v>3103626</v>
      </c>
      <c r="F1348" s="1">
        <v>1744.59021922428</v>
      </c>
      <c r="G1348" s="1">
        <v>4</v>
      </c>
      <c r="H1348" s="1">
        <v>2</v>
      </c>
      <c r="I1348" s="1">
        <v>3</v>
      </c>
      <c r="J1348" s="1">
        <v>3</v>
      </c>
      <c r="K1348" s="1">
        <v>3</v>
      </c>
      <c r="M1348" s="4">
        <v>1779</v>
      </c>
      <c r="N1348" s="1">
        <v>2283</v>
      </c>
      <c r="O1348" s="1">
        <v>4466</v>
      </c>
      <c r="P1348" s="1">
        <v>2183</v>
      </c>
      <c r="Q1348" s="1" t="s">
        <v>42</v>
      </c>
      <c r="S1348" s="1" t="s">
        <v>42</v>
      </c>
      <c r="T1348" s="1" t="s">
        <v>273</v>
      </c>
      <c r="U1348" s="1">
        <v>108</v>
      </c>
      <c r="V1348" s="5">
        <v>43623</v>
      </c>
      <c r="W1348" s="5">
        <v>42665</v>
      </c>
      <c r="X1348" s="1">
        <v>3350000</v>
      </c>
      <c r="Y1348" s="1">
        <v>3350000</v>
      </c>
      <c r="AA1348" s="1">
        <v>3103626</v>
      </c>
      <c r="AB1348" s="1" t="s">
        <v>280</v>
      </c>
      <c r="AC1348" s="5">
        <v>42773</v>
      </c>
      <c r="AF1348" s="1">
        <v>10007</v>
      </c>
      <c r="AI1348" s="1" t="s">
        <v>52</v>
      </c>
      <c r="AJ1348" s="1">
        <v>1930</v>
      </c>
      <c r="AK1348" s="1" t="s">
        <v>46</v>
      </c>
      <c r="AL1348" s="1">
        <v>156</v>
      </c>
    </row>
    <row r="1349" spans="1:38" x14ac:dyDescent="0.2">
      <c r="A1349" s="2" t="str">
        <f>HYPERLINK("https://www.compass.com/listing/100-barclay-street-unit-14j-manhattan-ny-10007/4852270303436354513/","100 Barclay St, Unit 14J")</f>
        <v>100 Barclay St, Unit 14J</v>
      </c>
      <c r="B1349" s="2" t="str">
        <f t="shared" si="190"/>
        <v>100 Barclay</v>
      </c>
      <c r="C1349" s="1" t="s">
        <v>50</v>
      </c>
      <c r="D1349" s="1" t="s">
        <v>41</v>
      </c>
      <c r="E1349" s="3">
        <v>2495221</v>
      </c>
      <c r="F1349" s="1">
        <v>1826.6625183016099</v>
      </c>
      <c r="G1349" s="1">
        <v>5</v>
      </c>
      <c r="H1349" s="1">
        <v>2</v>
      </c>
      <c r="I1349" s="1">
        <v>3</v>
      </c>
      <c r="J1349" s="1">
        <v>2.5</v>
      </c>
      <c r="M1349" s="4">
        <v>1366</v>
      </c>
      <c r="N1349" s="1">
        <v>1706</v>
      </c>
      <c r="O1349" s="1">
        <v>3379</v>
      </c>
      <c r="P1349" s="1">
        <v>1673</v>
      </c>
      <c r="Q1349" s="1" t="s">
        <v>42</v>
      </c>
      <c r="S1349" s="1" t="s">
        <v>42</v>
      </c>
      <c r="T1349" s="1" t="s">
        <v>273</v>
      </c>
      <c r="U1349" s="1">
        <v>21</v>
      </c>
      <c r="V1349" s="5">
        <v>43623</v>
      </c>
      <c r="W1349" s="5">
        <v>42154</v>
      </c>
      <c r="X1349" s="1">
        <v>2500000</v>
      </c>
      <c r="Y1349" s="1">
        <v>2500000</v>
      </c>
      <c r="Z1349" s="5">
        <v>42477</v>
      </c>
      <c r="AA1349" s="1">
        <v>2495221</v>
      </c>
      <c r="AB1349" s="1" t="s">
        <v>631</v>
      </c>
      <c r="AC1349" s="5">
        <v>42696</v>
      </c>
      <c r="AF1349" s="1">
        <v>10007</v>
      </c>
      <c r="AI1349" s="1" t="s">
        <v>52</v>
      </c>
      <c r="AJ1349" s="1">
        <v>1930</v>
      </c>
      <c r="AK1349" s="1" t="s">
        <v>46</v>
      </c>
      <c r="AL1349" s="1">
        <v>156</v>
      </c>
    </row>
    <row r="1350" spans="1:38" x14ac:dyDescent="0.2">
      <c r="A1350" s="2" t="str">
        <f>HYPERLINK("https://www.compass.com/listing/30-warren-street-unit-3c-manhattan-ny-10007/29580277026127953/","30 Warren St, Unit 3C")</f>
        <v>30 Warren St, Unit 3C</v>
      </c>
      <c r="B1350" s="2" t="str">
        <f>HYPERLINK("https://www.compass.com/building/30-warren-manhattan-ny/292789104075095813/","30 WARREN")</f>
        <v>30 WARREN</v>
      </c>
      <c r="C1350" s="1" t="s">
        <v>50</v>
      </c>
      <c r="D1350" s="1" t="s">
        <v>41</v>
      </c>
      <c r="E1350" s="3">
        <v>3275000</v>
      </c>
      <c r="F1350" s="1">
        <v>1966.9669669669599</v>
      </c>
      <c r="G1350" s="1">
        <v>4</v>
      </c>
      <c r="H1350" s="1">
        <v>2</v>
      </c>
      <c r="I1350" s="1">
        <v>3</v>
      </c>
      <c r="J1350" s="1">
        <v>2.5</v>
      </c>
      <c r="K1350" s="1">
        <v>2</v>
      </c>
      <c r="L1350" s="1">
        <v>1</v>
      </c>
      <c r="M1350" s="4">
        <v>1665</v>
      </c>
      <c r="N1350" s="1">
        <v>2123.58</v>
      </c>
      <c r="O1350" s="1">
        <v>3900.85</v>
      </c>
      <c r="P1350" s="1">
        <v>1777.25</v>
      </c>
      <c r="Q1350" s="1" t="s">
        <v>42</v>
      </c>
      <c r="S1350" s="1" t="s">
        <v>42</v>
      </c>
      <c r="T1350" s="1" t="s">
        <v>273</v>
      </c>
      <c r="U1350" s="1">
        <v>385</v>
      </c>
      <c r="V1350" s="5">
        <v>44226</v>
      </c>
      <c r="W1350" s="5">
        <v>43178</v>
      </c>
      <c r="X1350" s="1">
        <v>3275000</v>
      </c>
      <c r="Y1350" s="1">
        <v>3275000</v>
      </c>
      <c r="Z1350" s="5">
        <v>43564</v>
      </c>
      <c r="AA1350" s="1">
        <v>3275000</v>
      </c>
      <c r="AB1350" s="1" t="s">
        <v>632</v>
      </c>
      <c r="AC1350" s="5">
        <v>44217</v>
      </c>
      <c r="AF1350" s="1">
        <v>10007</v>
      </c>
      <c r="AJ1350" s="1">
        <v>2017</v>
      </c>
      <c r="AK1350" s="1" t="s">
        <v>125</v>
      </c>
      <c r="AL1350" s="1">
        <v>23</v>
      </c>
    </row>
    <row r="1351" spans="1:38" x14ac:dyDescent="0.2">
      <c r="A1351" s="2" t="str">
        <f>HYPERLINK("https://www.compass.com/listing/100-barclay-street-unit-11d-manhattan-ny-10007/4852266256310472065/","100 Barclay St, Unit 11D")</f>
        <v>100 Barclay St, Unit 11D</v>
      </c>
      <c r="B1351" s="2" t="str">
        <f t="shared" ref="B1351:B1358" si="191">HYPERLINK("https://www.compass.com/building/100-barclay-manhattan-ny/281896670466155525/","100 Barclay")</f>
        <v>100 Barclay</v>
      </c>
      <c r="C1351" s="1" t="s">
        <v>50</v>
      </c>
      <c r="D1351" s="1" t="s">
        <v>41</v>
      </c>
      <c r="E1351" s="3">
        <v>3054750</v>
      </c>
      <c r="F1351" s="1">
        <v>2252.7654867256601</v>
      </c>
      <c r="G1351" s="1">
        <v>4</v>
      </c>
      <c r="H1351" s="1">
        <v>2</v>
      </c>
      <c r="I1351" s="1">
        <v>2</v>
      </c>
      <c r="J1351" s="1">
        <v>2</v>
      </c>
      <c r="M1351" s="4">
        <v>1356</v>
      </c>
      <c r="N1351" s="1">
        <v>1826</v>
      </c>
      <c r="O1351" s="1">
        <v>3617</v>
      </c>
      <c r="P1351" s="1">
        <v>1791</v>
      </c>
      <c r="Q1351" s="1" t="s">
        <v>42</v>
      </c>
      <c r="S1351" s="1" t="s">
        <v>42</v>
      </c>
      <c r="T1351" s="1" t="s">
        <v>273</v>
      </c>
      <c r="V1351" s="5">
        <v>43623</v>
      </c>
      <c r="W1351" s="5">
        <v>42343</v>
      </c>
      <c r="X1351" s="1">
        <v>3055500</v>
      </c>
      <c r="Y1351" s="1">
        <v>3055500</v>
      </c>
      <c r="Z1351" s="5">
        <v>42343</v>
      </c>
      <c r="AA1351" s="1">
        <v>3054750</v>
      </c>
      <c r="AB1351" s="1" t="s">
        <v>633</v>
      </c>
      <c r="AC1351" s="5">
        <v>42803</v>
      </c>
      <c r="AF1351" s="1">
        <v>10007</v>
      </c>
      <c r="AI1351" s="1" t="s">
        <v>133</v>
      </c>
      <c r="AJ1351" s="1">
        <v>1930</v>
      </c>
      <c r="AK1351" s="1" t="s">
        <v>46</v>
      </c>
      <c r="AL1351" s="1">
        <v>156</v>
      </c>
    </row>
    <row r="1352" spans="1:38" x14ac:dyDescent="0.2">
      <c r="A1352" s="2" t="str">
        <f>HYPERLINK("https://www.compass.com/listing/100-barclay-street-unit-12m-manhattan-ny-10007/4852270656286372961/","100 Barclay St, Unit 12M")</f>
        <v>100 Barclay St, Unit 12M</v>
      </c>
      <c r="B1352" s="2" t="str">
        <f t="shared" si="191"/>
        <v>100 Barclay</v>
      </c>
      <c r="C1352" s="1" t="s">
        <v>50</v>
      </c>
      <c r="D1352" s="1" t="s">
        <v>41</v>
      </c>
      <c r="E1352" s="3">
        <v>3000000</v>
      </c>
      <c r="F1352" s="1">
        <v>2084.78109798471</v>
      </c>
      <c r="G1352" s="1">
        <v>5</v>
      </c>
      <c r="H1352" s="1">
        <v>2</v>
      </c>
      <c r="I1352" s="1">
        <v>3</v>
      </c>
      <c r="J1352" s="1">
        <v>2.5</v>
      </c>
      <c r="K1352" s="1">
        <v>2</v>
      </c>
      <c r="L1352" s="1">
        <v>1</v>
      </c>
      <c r="M1352" s="4">
        <v>1439</v>
      </c>
      <c r="N1352" s="1">
        <v>1793</v>
      </c>
      <c r="O1352" s="1">
        <v>3552</v>
      </c>
      <c r="P1352" s="1">
        <v>1759</v>
      </c>
      <c r="Q1352" s="1" t="s">
        <v>42</v>
      </c>
      <c r="S1352" s="1" t="s">
        <v>42</v>
      </c>
      <c r="T1352" s="1" t="s">
        <v>273</v>
      </c>
      <c r="U1352" s="1">
        <v>49</v>
      </c>
      <c r="V1352" s="5">
        <v>44225</v>
      </c>
      <c r="W1352" s="5">
        <v>42154</v>
      </c>
      <c r="X1352" s="1">
        <v>3111000</v>
      </c>
      <c r="Y1352" s="1">
        <v>3111000</v>
      </c>
      <c r="Z1352" s="5">
        <v>42315</v>
      </c>
      <c r="AA1352" s="1">
        <v>3000000</v>
      </c>
      <c r="AB1352" s="1" t="s">
        <v>634</v>
      </c>
      <c r="AC1352" s="5">
        <v>42741</v>
      </c>
      <c r="AF1352" s="1">
        <v>10007</v>
      </c>
      <c r="AI1352" s="1" t="s">
        <v>52</v>
      </c>
      <c r="AJ1352" s="1">
        <v>1930</v>
      </c>
      <c r="AK1352" s="1" t="s">
        <v>46</v>
      </c>
      <c r="AL1352" s="1">
        <v>156</v>
      </c>
    </row>
    <row r="1353" spans="1:38" x14ac:dyDescent="0.2">
      <c r="A1353" s="2" t="str">
        <f>HYPERLINK("https://www.compass.com/listing/100-barclay-street-unit-11m-manhattan-ny-10007/4852308913640443937/","100 Barclay St, Unit 11M")</f>
        <v>100 Barclay St, Unit 11M</v>
      </c>
      <c r="B1353" s="2" t="str">
        <f t="shared" si="191"/>
        <v>100 Barclay</v>
      </c>
      <c r="C1353" s="1" t="s">
        <v>50</v>
      </c>
      <c r="D1353" s="1" t="s">
        <v>41</v>
      </c>
      <c r="E1353" s="3">
        <v>3197305</v>
      </c>
      <c r="F1353" s="1">
        <v>2224.9860821155098</v>
      </c>
      <c r="G1353" s="1">
        <v>5</v>
      </c>
      <c r="H1353" s="1">
        <v>2</v>
      </c>
      <c r="I1353" s="1">
        <v>2</v>
      </c>
      <c r="J1353" s="1">
        <v>2</v>
      </c>
      <c r="M1353" s="4">
        <v>1437</v>
      </c>
      <c r="N1353" s="1">
        <v>1900</v>
      </c>
      <c r="O1353" s="1">
        <v>3764</v>
      </c>
      <c r="P1353" s="1">
        <v>1864</v>
      </c>
      <c r="Q1353" s="1" t="s">
        <v>42</v>
      </c>
      <c r="S1353" s="1" t="s">
        <v>42</v>
      </c>
      <c r="T1353" s="1" t="s">
        <v>273</v>
      </c>
      <c r="V1353" s="5">
        <v>43641</v>
      </c>
      <c r="W1353" s="5">
        <v>42220</v>
      </c>
      <c r="X1353" s="1">
        <v>3260000</v>
      </c>
      <c r="Y1353" s="1">
        <v>3260000</v>
      </c>
      <c r="Z1353" s="5">
        <v>42221</v>
      </c>
      <c r="AA1353" s="1">
        <v>3197305</v>
      </c>
      <c r="AB1353" s="1" t="s">
        <v>635</v>
      </c>
      <c r="AC1353" s="5">
        <v>42802</v>
      </c>
      <c r="AF1353" s="1">
        <v>10007</v>
      </c>
      <c r="AI1353" s="1" t="s">
        <v>133</v>
      </c>
      <c r="AJ1353" s="1">
        <v>1930</v>
      </c>
      <c r="AK1353" s="1" t="s">
        <v>49</v>
      </c>
      <c r="AL1353" s="1">
        <v>156</v>
      </c>
    </row>
    <row r="1354" spans="1:38" x14ac:dyDescent="0.2">
      <c r="A1354" s="2" t="str">
        <f>HYPERLINK("https://www.compass.com/listing/100-barclay-street-unit-11e-manhattan-ny-10007/4852309108323255281/","100 Barclay St, Unit 11E")</f>
        <v>100 Barclay St, Unit 11E</v>
      </c>
      <c r="B1354" s="2" t="str">
        <f t="shared" si="191"/>
        <v>100 Barclay</v>
      </c>
      <c r="C1354" s="1" t="s">
        <v>50</v>
      </c>
      <c r="D1354" s="1" t="s">
        <v>41</v>
      </c>
      <c r="E1354" s="3">
        <v>3258400</v>
      </c>
      <c r="F1354" s="1">
        <v>2143.6842105263099</v>
      </c>
      <c r="G1354" s="1">
        <v>5</v>
      </c>
      <c r="H1354" s="1">
        <v>2</v>
      </c>
      <c r="I1354" s="1">
        <v>2</v>
      </c>
      <c r="J1354" s="1">
        <v>2</v>
      </c>
      <c r="M1354" s="4">
        <v>1520</v>
      </c>
      <c r="N1354" s="1">
        <v>2004</v>
      </c>
      <c r="O1354" s="1">
        <v>3970</v>
      </c>
      <c r="P1354" s="1">
        <v>1966</v>
      </c>
      <c r="Q1354" s="1" t="s">
        <v>42</v>
      </c>
      <c r="S1354" s="1" t="s">
        <v>42</v>
      </c>
      <c r="T1354" s="1" t="s">
        <v>273</v>
      </c>
      <c r="U1354" s="1">
        <v>27</v>
      </c>
      <c r="V1354" s="5">
        <v>43623</v>
      </c>
      <c r="W1354" s="5">
        <v>42175</v>
      </c>
      <c r="X1354" s="1">
        <v>3263000</v>
      </c>
      <c r="Y1354" s="1">
        <v>3263000</v>
      </c>
      <c r="Z1354" s="5">
        <v>42202</v>
      </c>
      <c r="AA1354" s="1">
        <v>3258400</v>
      </c>
      <c r="AB1354" s="1" t="s">
        <v>636</v>
      </c>
      <c r="AC1354" s="5">
        <v>42807</v>
      </c>
      <c r="AF1354" s="1">
        <v>10007</v>
      </c>
      <c r="AI1354" s="1" t="s">
        <v>52</v>
      </c>
      <c r="AJ1354" s="1">
        <v>1930</v>
      </c>
      <c r="AK1354" s="1" t="s">
        <v>49</v>
      </c>
      <c r="AL1354" s="1">
        <v>156</v>
      </c>
    </row>
    <row r="1355" spans="1:38" x14ac:dyDescent="0.2">
      <c r="A1355" s="2" t="str">
        <f>HYPERLINK("https://www.compass.com/listing/100-barclay-street-unit-16r-manhattan-ny-10007/4852278245409688145/","100 Barclay St, Unit 16R")</f>
        <v>100 Barclay St, Unit 16R</v>
      </c>
      <c r="B1355" s="2" t="str">
        <f t="shared" si="191"/>
        <v>100 Barclay</v>
      </c>
      <c r="C1355" s="1" t="s">
        <v>50</v>
      </c>
      <c r="D1355" s="1" t="s">
        <v>41</v>
      </c>
      <c r="E1355" s="3">
        <v>4200000</v>
      </c>
      <c r="F1355" s="1">
        <v>1988.6363636363601</v>
      </c>
      <c r="G1355" s="1">
        <v>4</v>
      </c>
      <c r="H1355" s="1">
        <v>3</v>
      </c>
      <c r="I1355" s="1">
        <v>3</v>
      </c>
      <c r="J1355" s="1">
        <v>3</v>
      </c>
      <c r="K1355" s="1">
        <v>3</v>
      </c>
      <c r="M1355" s="4">
        <v>2112</v>
      </c>
      <c r="N1355" s="1">
        <v>2778</v>
      </c>
      <c r="O1355" s="1">
        <v>5434</v>
      </c>
      <c r="P1355" s="1">
        <v>2656</v>
      </c>
      <c r="Q1355" s="1" t="s">
        <v>42</v>
      </c>
      <c r="S1355" s="1" t="s">
        <v>42</v>
      </c>
      <c r="T1355" s="1" t="s">
        <v>273</v>
      </c>
      <c r="U1355" s="1">
        <v>133</v>
      </c>
      <c r="V1355" s="5">
        <v>43641</v>
      </c>
      <c r="W1355" s="5">
        <v>42657</v>
      </c>
      <c r="X1355" s="1">
        <v>4880500</v>
      </c>
      <c r="Y1355" s="1">
        <v>4535000</v>
      </c>
      <c r="Z1355" s="5">
        <v>42873</v>
      </c>
      <c r="AA1355" s="1">
        <v>4200000</v>
      </c>
      <c r="AB1355" s="1" t="s">
        <v>637</v>
      </c>
      <c r="AC1355" s="5">
        <v>42943</v>
      </c>
      <c r="AF1355" s="1">
        <v>10007</v>
      </c>
      <c r="AI1355" s="1" t="s">
        <v>103</v>
      </c>
      <c r="AJ1355" s="1">
        <v>1930</v>
      </c>
      <c r="AK1355" s="1" t="s">
        <v>46</v>
      </c>
      <c r="AL1355" s="1">
        <v>156</v>
      </c>
    </row>
    <row r="1356" spans="1:38" x14ac:dyDescent="0.2">
      <c r="A1356" s="2" t="str">
        <f>HYPERLINK("https://www.compass.com/listing/100-barclay-street-unit-11f-manhattan-ny-10007/170170516974370657/","100 Barclay St, Unit 11F")</f>
        <v>100 Barclay St, Unit 11F</v>
      </c>
      <c r="B1356" s="2" t="str">
        <f t="shared" si="191"/>
        <v>100 Barclay</v>
      </c>
      <c r="C1356" s="1" t="s">
        <v>50</v>
      </c>
      <c r="D1356" s="1" t="s">
        <v>41</v>
      </c>
      <c r="E1356" s="3">
        <v>3585600</v>
      </c>
      <c r="F1356" s="1">
        <v>1768.9195855944699</v>
      </c>
      <c r="G1356" s="1">
        <v>7.5</v>
      </c>
      <c r="H1356" s="1">
        <v>3</v>
      </c>
      <c r="I1356" s="1">
        <v>4</v>
      </c>
      <c r="J1356" s="1">
        <v>3.5</v>
      </c>
      <c r="K1356" s="1">
        <v>3</v>
      </c>
      <c r="L1356" s="1">
        <v>1</v>
      </c>
      <c r="M1356" s="4">
        <v>2027</v>
      </c>
      <c r="N1356" s="1">
        <v>2690</v>
      </c>
      <c r="O1356" s="1">
        <v>5518</v>
      </c>
      <c r="P1356" s="1">
        <v>2828</v>
      </c>
      <c r="Q1356" s="1" t="s">
        <v>42</v>
      </c>
      <c r="S1356" s="1" t="s">
        <v>42</v>
      </c>
      <c r="T1356" s="1" t="s">
        <v>273</v>
      </c>
      <c r="U1356" s="1">
        <v>116</v>
      </c>
      <c r="V1356" s="5">
        <v>43697</v>
      </c>
      <c r="W1356" s="5">
        <v>43487</v>
      </c>
      <c r="X1356" s="1">
        <v>4100000</v>
      </c>
      <c r="Y1356" s="1">
        <v>4100000</v>
      </c>
      <c r="Z1356" s="5">
        <v>43603</v>
      </c>
      <c r="AA1356" s="1">
        <v>3585600</v>
      </c>
      <c r="AB1356" s="1" t="s">
        <v>638</v>
      </c>
      <c r="AC1356" s="5">
        <v>43644</v>
      </c>
      <c r="AF1356" s="1">
        <v>10007</v>
      </c>
      <c r="AI1356" s="1" t="s">
        <v>639</v>
      </c>
      <c r="AJ1356" s="1">
        <v>1930</v>
      </c>
      <c r="AK1356" s="1" t="s">
        <v>46</v>
      </c>
      <c r="AL1356" s="1">
        <v>156</v>
      </c>
    </row>
    <row r="1357" spans="1:38" x14ac:dyDescent="0.2">
      <c r="A1357" s="2" t="str">
        <f>HYPERLINK("https://www.compass.com/listing/100-barclay-street-unit-12f-manhattan-ny-10007/23954418651176065/","100 Barclay St, Unit 12F")</f>
        <v>100 Barclay St, Unit 12F</v>
      </c>
      <c r="B1357" s="2" t="str">
        <f t="shared" si="191"/>
        <v>100 Barclay</v>
      </c>
      <c r="C1357" s="1" t="s">
        <v>50</v>
      </c>
      <c r="D1357" s="1" t="s">
        <v>41</v>
      </c>
      <c r="E1357" s="3">
        <v>3550000</v>
      </c>
      <c r="F1357" s="1">
        <v>1750.4930966469401</v>
      </c>
      <c r="G1357" s="1">
        <v>6.5</v>
      </c>
      <c r="H1357" s="1">
        <v>3</v>
      </c>
      <c r="I1357" s="1">
        <v>4</v>
      </c>
      <c r="J1357" s="1">
        <v>3.5</v>
      </c>
      <c r="K1357" s="1">
        <v>3</v>
      </c>
      <c r="L1357" s="1">
        <v>1</v>
      </c>
      <c r="M1357" s="4">
        <v>2028</v>
      </c>
      <c r="N1357" s="1">
        <v>2550</v>
      </c>
      <c r="O1357" s="1">
        <v>5229</v>
      </c>
      <c r="P1357" s="1">
        <v>2679</v>
      </c>
      <c r="Q1357" s="1" t="s">
        <v>42</v>
      </c>
      <c r="S1357" s="1" t="s">
        <v>42</v>
      </c>
      <c r="T1357" s="1" t="s">
        <v>273</v>
      </c>
      <c r="U1357" s="1">
        <v>30</v>
      </c>
      <c r="V1357" s="5">
        <v>43662</v>
      </c>
      <c r="W1357" s="5">
        <v>43432</v>
      </c>
      <c r="X1357" s="1">
        <v>3900000</v>
      </c>
      <c r="Y1357" s="1">
        <v>3900000</v>
      </c>
      <c r="Z1357" s="5">
        <v>43462</v>
      </c>
      <c r="AA1357" s="1">
        <v>3550000</v>
      </c>
      <c r="AB1357" s="1" t="s">
        <v>640</v>
      </c>
      <c r="AC1357" s="5">
        <v>43556</v>
      </c>
      <c r="AF1357" s="1">
        <v>10007</v>
      </c>
      <c r="AI1357" s="1" t="s">
        <v>52</v>
      </c>
      <c r="AJ1357" s="1">
        <v>1930</v>
      </c>
      <c r="AK1357" s="1" t="s">
        <v>46</v>
      </c>
      <c r="AL1357" s="1">
        <v>156</v>
      </c>
    </row>
    <row r="1358" spans="1:38" x14ac:dyDescent="0.2">
      <c r="A1358" s="2" t="str">
        <f>HYPERLINK("https://www.compass.com/listing/100-barclay-street-unit-11k-manhattan-ny-10007/49766312443927505/","100 Barclay St, Unit 11K")</f>
        <v>100 Barclay St, Unit 11K</v>
      </c>
      <c r="B1358" s="2" t="str">
        <f t="shared" si="191"/>
        <v>100 Barclay</v>
      </c>
      <c r="C1358" s="1" t="s">
        <v>50</v>
      </c>
      <c r="D1358" s="1" t="s">
        <v>41</v>
      </c>
      <c r="E1358" s="3">
        <v>4100000</v>
      </c>
      <c r="F1358" s="1">
        <v>1823.0324588706001</v>
      </c>
      <c r="G1358" s="1">
        <v>6.5</v>
      </c>
      <c r="H1358" s="1">
        <v>3</v>
      </c>
      <c r="I1358" s="1">
        <v>4</v>
      </c>
      <c r="J1358" s="1">
        <v>3.5</v>
      </c>
      <c r="K1358" s="1">
        <v>3</v>
      </c>
      <c r="L1358" s="1">
        <v>1</v>
      </c>
      <c r="M1358" s="4">
        <v>2249</v>
      </c>
      <c r="N1358" s="1">
        <v>3211</v>
      </c>
      <c r="O1358" s="1">
        <v>6635</v>
      </c>
      <c r="P1358" s="1">
        <v>3424</v>
      </c>
      <c r="Q1358" s="1" t="s">
        <v>42</v>
      </c>
      <c r="S1358" s="1" t="s">
        <v>42</v>
      </c>
      <c r="T1358" s="1" t="s">
        <v>273</v>
      </c>
      <c r="U1358" s="1">
        <v>5</v>
      </c>
      <c r="V1358" s="5">
        <v>43623</v>
      </c>
      <c r="W1358" s="5">
        <v>43321</v>
      </c>
      <c r="X1358" s="1">
        <v>4450000</v>
      </c>
      <c r="Y1358" s="1">
        <v>4450000</v>
      </c>
      <c r="Z1358" s="5">
        <v>43326</v>
      </c>
      <c r="AA1358" s="1">
        <v>4100000</v>
      </c>
      <c r="AB1358" s="1" t="s">
        <v>641</v>
      </c>
      <c r="AC1358" s="5">
        <v>43481</v>
      </c>
      <c r="AF1358" s="1">
        <v>10007</v>
      </c>
      <c r="AI1358" s="1" t="s">
        <v>103</v>
      </c>
      <c r="AJ1358" s="1">
        <v>1930</v>
      </c>
      <c r="AK1358" s="1" t="s">
        <v>46</v>
      </c>
      <c r="AL1358" s="1">
        <v>156</v>
      </c>
    </row>
    <row r="1359" spans="1:38" x14ac:dyDescent="0.2">
      <c r="A1359" s="2" t="str">
        <f>HYPERLINK("https://www.compass.com/listing/30-warren-street-unit-6a-manhattan-ny-10007/206333272991581185/","30 Warren St, Unit 6A")</f>
        <v>30 Warren St, Unit 6A</v>
      </c>
      <c r="B1359" s="2" t="str">
        <f>HYPERLINK("https://www.compass.com/building/30-warren-manhattan-ny/292789104075095813/","30 WARREN")</f>
        <v>30 WARREN</v>
      </c>
      <c r="C1359" s="1" t="s">
        <v>50</v>
      </c>
      <c r="D1359" s="1" t="s">
        <v>41</v>
      </c>
      <c r="E1359" s="3">
        <v>3450000</v>
      </c>
      <c r="F1359" s="1">
        <v>2103.6585365853598</v>
      </c>
      <c r="G1359" s="1">
        <v>4</v>
      </c>
      <c r="H1359" s="1">
        <v>2</v>
      </c>
      <c r="I1359" s="1">
        <v>2</v>
      </c>
      <c r="J1359" s="1">
        <v>2</v>
      </c>
      <c r="K1359" s="1">
        <v>2</v>
      </c>
      <c r="M1359" s="4">
        <v>1640</v>
      </c>
      <c r="N1359" s="1">
        <v>2155</v>
      </c>
      <c r="O1359" s="1">
        <v>4028</v>
      </c>
      <c r="P1359" s="1">
        <v>1873</v>
      </c>
      <c r="Q1359" s="1" t="s">
        <v>42</v>
      </c>
      <c r="S1359" s="1" t="s">
        <v>42</v>
      </c>
      <c r="T1359" s="1" t="s">
        <v>273</v>
      </c>
      <c r="V1359" s="5">
        <v>44288</v>
      </c>
      <c r="W1359" s="5">
        <v>43536</v>
      </c>
      <c r="X1359" s="1">
        <v>3450000</v>
      </c>
      <c r="Y1359" s="1">
        <v>3450000</v>
      </c>
      <c r="AA1359" s="1">
        <v>3450000</v>
      </c>
      <c r="AB1359" s="1" t="s">
        <v>642</v>
      </c>
      <c r="AC1359" s="5">
        <v>44377</v>
      </c>
      <c r="AF1359" s="1">
        <v>10007</v>
      </c>
      <c r="AJ1359" s="1">
        <v>2017</v>
      </c>
      <c r="AK1359" s="1" t="s">
        <v>125</v>
      </c>
      <c r="AL1359" s="1">
        <v>23</v>
      </c>
    </row>
    <row r="1360" spans="1:38" x14ac:dyDescent="0.2">
      <c r="A1360" s="2" t="str">
        <f>HYPERLINK("https://www.compass.com/listing/49-chambers-street-unit-8c-manhattan-ny-10007/262162502257849425/","49 Chambers St, Unit 8C")</f>
        <v>49 Chambers St, Unit 8C</v>
      </c>
      <c r="B1360" s="2" t="str">
        <f t="shared" ref="B1360:B1361" si="192">HYPERLINK("https://www.compass.com/building/49-chambers-manhattan-ny/282058733280852725/","49 Chambers")</f>
        <v>49 Chambers</v>
      </c>
      <c r="C1360" s="1" t="s">
        <v>50</v>
      </c>
      <c r="D1360" s="1" t="s">
        <v>41</v>
      </c>
      <c r="E1360" s="3">
        <v>1895000</v>
      </c>
      <c r="F1360" s="1">
        <v>1468.99224806201</v>
      </c>
      <c r="G1360" s="1">
        <v>4.5</v>
      </c>
      <c r="H1360" s="1">
        <v>1</v>
      </c>
      <c r="I1360" s="1">
        <v>2</v>
      </c>
      <c r="J1360" s="1">
        <v>1.5</v>
      </c>
      <c r="K1360" s="1">
        <v>1</v>
      </c>
      <c r="L1360" s="1">
        <v>1</v>
      </c>
      <c r="M1360" s="4">
        <v>1290</v>
      </c>
      <c r="N1360" s="1">
        <v>897</v>
      </c>
      <c r="O1360" s="1">
        <v>2648</v>
      </c>
      <c r="P1360" s="1">
        <v>1751</v>
      </c>
      <c r="Q1360" s="1" t="s">
        <v>42</v>
      </c>
      <c r="S1360" s="1" t="s">
        <v>42</v>
      </c>
      <c r="T1360" s="1" t="s">
        <v>273</v>
      </c>
      <c r="U1360" s="1">
        <v>201</v>
      </c>
      <c r="V1360" s="5">
        <v>43932</v>
      </c>
      <c r="W1360" s="5">
        <v>43613</v>
      </c>
      <c r="X1360" s="1">
        <v>1895000</v>
      </c>
      <c r="Y1360" s="1">
        <v>2210000</v>
      </c>
      <c r="Z1360" s="5">
        <v>43816</v>
      </c>
      <c r="AA1360" s="1">
        <v>1895000</v>
      </c>
      <c r="AB1360" s="1" t="s">
        <v>275</v>
      </c>
      <c r="AC1360" s="5">
        <v>43885</v>
      </c>
      <c r="AF1360" s="1">
        <v>10007</v>
      </c>
      <c r="AI1360" s="1" t="s">
        <v>114</v>
      </c>
      <c r="AJ1360" s="1">
        <v>1910</v>
      </c>
      <c r="AK1360" s="1" t="s">
        <v>49</v>
      </c>
      <c r="AL1360" s="1">
        <v>99</v>
      </c>
    </row>
    <row r="1361" spans="1:38" x14ac:dyDescent="0.2">
      <c r="A1361" s="2" t="str">
        <f>HYPERLINK("https://www.compass.com/listing/49-chambers-street-unit-10f-manhattan-ny-10007/354738505200519521/","49 Chambers St, Unit 10F")</f>
        <v>49 Chambers St, Unit 10F</v>
      </c>
      <c r="B1361" s="2" t="str">
        <f t="shared" si="192"/>
        <v>49 Chambers</v>
      </c>
      <c r="C1361" s="1" t="s">
        <v>50</v>
      </c>
      <c r="D1361" s="1" t="s">
        <v>41</v>
      </c>
      <c r="E1361" s="3">
        <v>1730000</v>
      </c>
      <c r="F1361" s="1">
        <v>1787.1900826446199</v>
      </c>
      <c r="G1361" s="1">
        <v>3</v>
      </c>
      <c r="H1361" s="1">
        <v>1</v>
      </c>
      <c r="I1361" s="1">
        <v>2</v>
      </c>
      <c r="J1361" s="1">
        <v>1.5</v>
      </c>
      <c r="K1361" s="1">
        <v>1</v>
      </c>
      <c r="L1361" s="1">
        <v>1</v>
      </c>
      <c r="M1361" s="1">
        <v>968</v>
      </c>
      <c r="N1361" s="1">
        <v>790</v>
      </c>
      <c r="O1361" s="1">
        <v>2459</v>
      </c>
      <c r="P1361" s="1">
        <v>1669</v>
      </c>
      <c r="Q1361" s="1" t="s">
        <v>42</v>
      </c>
      <c r="S1361" s="1" t="s">
        <v>42</v>
      </c>
      <c r="T1361" s="1" t="s">
        <v>273</v>
      </c>
      <c r="U1361" s="1">
        <v>401</v>
      </c>
      <c r="V1361" s="5">
        <v>44314</v>
      </c>
      <c r="W1361" s="5">
        <v>43740</v>
      </c>
      <c r="X1361" s="1">
        <v>1730000</v>
      </c>
      <c r="Y1361" s="1">
        <v>1730000</v>
      </c>
      <c r="Z1361" s="5">
        <v>44236</v>
      </c>
      <c r="AA1361" s="1">
        <v>1730000</v>
      </c>
      <c r="AB1361" s="1" t="s">
        <v>275</v>
      </c>
      <c r="AC1361" s="5">
        <v>44281</v>
      </c>
      <c r="AF1361" s="1">
        <v>10007</v>
      </c>
      <c r="AI1361" s="1" t="s">
        <v>114</v>
      </c>
      <c r="AJ1361" s="1">
        <v>1910</v>
      </c>
      <c r="AK1361" s="1" t="s">
        <v>46</v>
      </c>
      <c r="AL1361" s="1">
        <v>99</v>
      </c>
    </row>
    <row r="1362" spans="1:38" x14ac:dyDescent="0.2">
      <c r="A1362" s="2" t="str">
        <f>HYPERLINK("https://www.compass.com/listing/100-barclay-street-unit-15m-manhattan-ny-10007/4852308157910749489/","100 Barclay St, Unit 15M")</f>
        <v>100 Barclay St, Unit 15M</v>
      </c>
      <c r="B1362" s="2" t="str">
        <f t="shared" ref="B1362:B1363" si="193">HYPERLINK("https://www.compass.com/building/100-barclay-manhattan-ny/281896670466155525/","100 Barclay")</f>
        <v>100 Barclay</v>
      </c>
      <c r="C1362" s="1" t="s">
        <v>50</v>
      </c>
      <c r="D1362" s="1" t="s">
        <v>41</v>
      </c>
      <c r="E1362" s="3">
        <v>2418344</v>
      </c>
      <c r="F1362" s="1">
        <v>1899.7203456402101</v>
      </c>
      <c r="G1362" s="1">
        <v>4</v>
      </c>
      <c r="H1362" s="1">
        <v>2</v>
      </c>
      <c r="I1362" s="1">
        <v>2</v>
      </c>
      <c r="J1362" s="1">
        <v>2</v>
      </c>
      <c r="K1362" s="1">
        <v>2</v>
      </c>
      <c r="M1362" s="4">
        <v>1273</v>
      </c>
      <c r="N1362" s="1">
        <v>1633</v>
      </c>
      <c r="O1362" s="1">
        <v>3195</v>
      </c>
      <c r="P1362" s="1">
        <v>1562</v>
      </c>
      <c r="Q1362" s="1" t="s">
        <v>42</v>
      </c>
      <c r="S1362" s="1" t="s">
        <v>42</v>
      </c>
      <c r="T1362" s="1" t="s">
        <v>273</v>
      </c>
      <c r="U1362" s="1">
        <v>71</v>
      </c>
      <c r="V1362" s="5">
        <v>43623</v>
      </c>
      <c r="W1362" s="5">
        <v>42531</v>
      </c>
      <c r="X1362" s="1">
        <v>2654000</v>
      </c>
      <c r="Y1362" s="1">
        <v>2654000</v>
      </c>
      <c r="Z1362" s="5">
        <v>42602</v>
      </c>
      <c r="AA1362" s="1">
        <v>2418344</v>
      </c>
      <c r="AB1362" s="1" t="s">
        <v>643</v>
      </c>
      <c r="AC1362" s="5">
        <v>42649</v>
      </c>
      <c r="AF1362" s="1">
        <v>10007</v>
      </c>
      <c r="AI1362" s="1" t="s">
        <v>52</v>
      </c>
      <c r="AJ1362" s="1">
        <v>1930</v>
      </c>
      <c r="AK1362" s="1" t="s">
        <v>46</v>
      </c>
      <c r="AL1362" s="1">
        <v>156</v>
      </c>
    </row>
    <row r="1363" spans="1:38" x14ac:dyDescent="0.2">
      <c r="A1363" s="2" t="str">
        <f>HYPERLINK("https://www.compass.com/listing/100-barclay-street-unit-11g-manhattan-ny-10007/803346081689406177/","100 Barclay St, Unit 11G")</f>
        <v>100 Barclay St, Unit 11G</v>
      </c>
      <c r="B1363" s="2" t="str">
        <f t="shared" si="193"/>
        <v>100 Barclay</v>
      </c>
      <c r="C1363" s="1" t="s">
        <v>50</v>
      </c>
      <c r="D1363" s="1" t="s">
        <v>41</v>
      </c>
      <c r="E1363" s="3">
        <v>4350000</v>
      </c>
      <c r="F1363" s="1">
        <v>1857.3868488471301</v>
      </c>
      <c r="G1363" s="1">
        <v>5</v>
      </c>
      <c r="H1363" s="1">
        <v>3</v>
      </c>
      <c r="I1363" s="1">
        <v>4</v>
      </c>
      <c r="J1363" s="1">
        <v>3.5</v>
      </c>
      <c r="K1363" s="1">
        <v>3</v>
      </c>
      <c r="L1363" s="1">
        <v>1</v>
      </c>
      <c r="M1363" s="4">
        <v>2342</v>
      </c>
      <c r="N1363" s="1">
        <v>3270</v>
      </c>
      <c r="O1363" s="1">
        <v>6821</v>
      </c>
      <c r="P1363" s="1">
        <v>3551</v>
      </c>
      <c r="Q1363" s="1" t="s">
        <v>42</v>
      </c>
      <c r="S1363" s="1" t="s">
        <v>42</v>
      </c>
      <c r="T1363" s="1" t="s">
        <v>273</v>
      </c>
      <c r="U1363" s="1">
        <v>55</v>
      </c>
      <c r="V1363" s="5">
        <v>43560</v>
      </c>
      <c r="W1363" s="5">
        <v>43216</v>
      </c>
      <c r="X1363" s="1">
        <v>4796500</v>
      </c>
      <c r="Y1363" s="1">
        <v>4796500</v>
      </c>
      <c r="Z1363" s="5">
        <v>43272</v>
      </c>
      <c r="AA1363" s="1">
        <v>4350000</v>
      </c>
      <c r="AB1363" s="1" t="s">
        <v>644</v>
      </c>
      <c r="AC1363" s="5">
        <v>43370</v>
      </c>
      <c r="AF1363" s="1">
        <v>10007</v>
      </c>
      <c r="AI1363" s="1" t="s">
        <v>103</v>
      </c>
      <c r="AJ1363" s="1">
        <v>1930</v>
      </c>
      <c r="AK1363" s="1" t="s">
        <v>46</v>
      </c>
      <c r="AL1363" s="1">
        <v>156</v>
      </c>
    </row>
    <row r="1364" spans="1:38" x14ac:dyDescent="0.2">
      <c r="A1364" s="2" t="str">
        <f>HYPERLINK("https://www.compass.com/listing/45-east-22nd-street-unit-31a-manhattan-ny-10010/29375861765543761/","45 E 22nd St, Unit 31A")</f>
        <v>45 E 22nd St, Unit 31A</v>
      </c>
      <c r="B1364" s="2" t="str">
        <f t="shared" ref="B1364:B1367" si="194">HYPERLINK("https://www.compass.com/building/madison-square-park-tower-manhattan-ny/281903584482705973/","Madison Square Park Tower")</f>
        <v>Madison Square Park Tower</v>
      </c>
      <c r="C1364" s="1" t="s">
        <v>56</v>
      </c>
      <c r="D1364" s="1" t="s">
        <v>41</v>
      </c>
      <c r="E1364" s="3">
        <v>6494086</v>
      </c>
      <c r="F1364" s="1">
        <v>3247.0430000000001</v>
      </c>
      <c r="G1364" s="1">
        <v>4</v>
      </c>
      <c r="H1364" s="1">
        <v>2</v>
      </c>
      <c r="I1364" s="1">
        <v>2</v>
      </c>
      <c r="J1364" s="1">
        <v>2</v>
      </c>
      <c r="K1364" s="1">
        <v>2</v>
      </c>
      <c r="M1364" s="4">
        <v>2000</v>
      </c>
      <c r="N1364" s="1">
        <v>2319</v>
      </c>
      <c r="O1364" s="1">
        <v>5845</v>
      </c>
      <c r="P1364" s="1">
        <v>3526</v>
      </c>
      <c r="Q1364" s="1" t="s">
        <v>42</v>
      </c>
      <c r="S1364" s="1" t="s">
        <v>42</v>
      </c>
      <c r="T1364" s="1" t="s">
        <v>273</v>
      </c>
      <c r="U1364" s="1">
        <v>93</v>
      </c>
      <c r="V1364" s="5">
        <v>44391</v>
      </c>
      <c r="W1364" s="5">
        <v>42691</v>
      </c>
      <c r="X1364" s="1">
        <v>6550000</v>
      </c>
      <c r="Y1364" s="1">
        <v>6550000</v>
      </c>
      <c r="Z1364" s="5">
        <v>42784</v>
      </c>
      <c r="AA1364" s="1">
        <v>6494086</v>
      </c>
      <c r="AB1364" s="1" t="s">
        <v>645</v>
      </c>
      <c r="AC1364" s="5">
        <v>42977</v>
      </c>
      <c r="AF1364" s="1">
        <v>10010</v>
      </c>
      <c r="AI1364" s="1" t="s">
        <v>179</v>
      </c>
      <c r="AJ1364" s="1">
        <v>2016</v>
      </c>
      <c r="AK1364" s="1" t="s">
        <v>49</v>
      </c>
      <c r="AL1364" s="1">
        <v>83</v>
      </c>
    </row>
    <row r="1365" spans="1:38" x14ac:dyDescent="0.2">
      <c r="A1365" s="2" t="str">
        <f>HYPERLINK("https://www.compass.com/listing/45-east-22nd-street-unit-35a-manhattan-ny-10010/29375864995083633/","45 E 22nd St, Unit 35A")</f>
        <v>45 E 22nd St, Unit 35A</v>
      </c>
      <c r="B1365" s="2" t="str">
        <f t="shared" si="194"/>
        <v>Madison Square Park Tower</v>
      </c>
      <c r="C1365" s="1" t="s">
        <v>56</v>
      </c>
      <c r="D1365" s="1" t="s">
        <v>41</v>
      </c>
      <c r="E1365" s="3">
        <v>6902592</v>
      </c>
      <c r="F1365" s="1">
        <v>3380.30950048971</v>
      </c>
      <c r="G1365" s="1">
        <v>4</v>
      </c>
      <c r="H1365" s="1">
        <v>2</v>
      </c>
      <c r="I1365" s="1">
        <v>2</v>
      </c>
      <c r="J1365" s="1">
        <v>2</v>
      </c>
      <c r="K1365" s="1">
        <v>2</v>
      </c>
      <c r="M1365" s="4">
        <v>2042</v>
      </c>
      <c r="N1365" s="1">
        <v>2418</v>
      </c>
      <c r="O1365" s="1">
        <v>6094</v>
      </c>
      <c r="P1365" s="1">
        <v>3676</v>
      </c>
      <c r="Q1365" s="1" t="s">
        <v>42</v>
      </c>
      <c r="S1365" s="1" t="s">
        <v>42</v>
      </c>
      <c r="T1365" s="1" t="s">
        <v>273</v>
      </c>
      <c r="V1365" s="5">
        <v>43641</v>
      </c>
      <c r="W1365" s="5">
        <v>42776</v>
      </c>
      <c r="X1365" s="1">
        <v>6860000</v>
      </c>
      <c r="Y1365" s="1">
        <v>6860000</v>
      </c>
      <c r="Z1365" s="5">
        <v>42776</v>
      </c>
      <c r="AA1365" s="1">
        <v>6902592</v>
      </c>
      <c r="AB1365" s="1" t="s">
        <v>646</v>
      </c>
      <c r="AC1365" s="5">
        <v>43104</v>
      </c>
      <c r="AF1365" s="1">
        <v>10010</v>
      </c>
      <c r="AI1365" s="1" t="s">
        <v>48</v>
      </c>
      <c r="AJ1365" s="1">
        <v>2016</v>
      </c>
      <c r="AK1365" s="1" t="s">
        <v>49</v>
      </c>
      <c r="AL1365" s="1">
        <v>83</v>
      </c>
    </row>
    <row r="1366" spans="1:38" x14ac:dyDescent="0.2">
      <c r="A1366" s="2" t="str">
        <f>HYPERLINK("https://www.compass.com/listing/45-east-22nd-street-unit-40b-manhattan-ny-10010/29375869482989025/","45 E 22nd St, Unit 40B")</f>
        <v>45 E 22nd St, Unit 40B</v>
      </c>
      <c r="B1366" s="2" t="str">
        <f t="shared" si="194"/>
        <v>Madison Square Park Tower</v>
      </c>
      <c r="C1366" s="1" t="s">
        <v>56</v>
      </c>
      <c r="D1366" s="1" t="s">
        <v>41</v>
      </c>
      <c r="E1366" s="3">
        <v>7821040</v>
      </c>
      <c r="F1366" s="1">
        <v>3647.8731343283498</v>
      </c>
      <c r="G1366" s="1">
        <v>4</v>
      </c>
      <c r="H1366" s="1">
        <v>2</v>
      </c>
      <c r="I1366" s="1">
        <v>2</v>
      </c>
      <c r="J1366" s="1">
        <v>2</v>
      </c>
      <c r="K1366" s="1">
        <v>2</v>
      </c>
      <c r="M1366" s="4">
        <v>2144</v>
      </c>
      <c r="N1366" s="1">
        <v>2585</v>
      </c>
      <c r="O1366" s="1">
        <v>6514</v>
      </c>
      <c r="P1366" s="1">
        <v>3929</v>
      </c>
      <c r="Q1366" s="1" t="s">
        <v>42</v>
      </c>
      <c r="S1366" s="1" t="s">
        <v>42</v>
      </c>
      <c r="T1366" s="1" t="s">
        <v>273</v>
      </c>
      <c r="U1366" s="1">
        <v>64</v>
      </c>
      <c r="V1366" s="5">
        <v>43650</v>
      </c>
      <c r="W1366" s="5">
        <v>42208</v>
      </c>
      <c r="X1366" s="1">
        <v>7650000</v>
      </c>
      <c r="Y1366" s="1">
        <v>7650000</v>
      </c>
      <c r="Z1366" s="5">
        <v>42272</v>
      </c>
      <c r="AA1366" s="1">
        <v>7821040</v>
      </c>
      <c r="AB1366" s="1" t="s">
        <v>647</v>
      </c>
      <c r="AC1366" s="5">
        <v>42979</v>
      </c>
      <c r="AF1366" s="1">
        <v>10010</v>
      </c>
      <c r="AI1366" s="1" t="s">
        <v>45</v>
      </c>
      <c r="AJ1366" s="1">
        <v>2016</v>
      </c>
      <c r="AK1366" s="1" t="s">
        <v>46</v>
      </c>
      <c r="AL1366" s="1">
        <v>83</v>
      </c>
    </row>
    <row r="1367" spans="1:38" x14ac:dyDescent="0.2">
      <c r="A1367" s="2" t="str">
        <f>HYPERLINK("https://www.compass.com/listing/45-east-22nd-street-unit-32a-manhattan-ny-10010/71652571760039873/","45 E 22nd St, Unit 32A")</f>
        <v>45 E 22nd St, Unit 32A</v>
      </c>
      <c r="B1367" s="2" t="str">
        <f t="shared" si="194"/>
        <v>Madison Square Park Tower</v>
      </c>
      <c r="C1367" s="1" t="s">
        <v>56</v>
      </c>
      <c r="D1367" s="1" t="s">
        <v>41</v>
      </c>
      <c r="E1367" s="3">
        <v>6000000</v>
      </c>
      <c r="F1367" s="1">
        <v>2991.0269192422702</v>
      </c>
      <c r="G1367" s="1">
        <v>4</v>
      </c>
      <c r="H1367" s="1">
        <v>2</v>
      </c>
      <c r="I1367" s="1">
        <v>2</v>
      </c>
      <c r="J1367" s="1">
        <v>2</v>
      </c>
      <c r="K1367" s="1">
        <v>2</v>
      </c>
      <c r="M1367" s="4">
        <v>2006</v>
      </c>
      <c r="N1367" s="1">
        <v>2315</v>
      </c>
      <c r="O1367" s="1">
        <v>6998</v>
      </c>
      <c r="P1367" s="1">
        <v>4683</v>
      </c>
      <c r="Q1367" s="1" t="s">
        <v>42</v>
      </c>
      <c r="S1367" s="1" t="s">
        <v>42</v>
      </c>
      <c r="T1367" s="1" t="s">
        <v>273</v>
      </c>
      <c r="U1367" s="1">
        <v>272</v>
      </c>
      <c r="V1367" s="5">
        <v>44320</v>
      </c>
      <c r="W1367" s="5">
        <v>43351</v>
      </c>
      <c r="X1367" s="1">
        <v>6750000</v>
      </c>
      <c r="Y1367" s="1">
        <v>6300000</v>
      </c>
      <c r="Z1367" s="5">
        <v>43624</v>
      </c>
      <c r="AA1367" s="1">
        <v>6000000</v>
      </c>
      <c r="AB1367" s="1" t="s">
        <v>648</v>
      </c>
      <c r="AC1367" s="5">
        <v>43644</v>
      </c>
      <c r="AF1367" s="1">
        <v>10010</v>
      </c>
      <c r="AI1367" s="1" t="s">
        <v>132</v>
      </c>
      <c r="AJ1367" s="1">
        <v>2016</v>
      </c>
      <c r="AK1367" s="1" t="s">
        <v>46</v>
      </c>
      <c r="AL1367" s="1">
        <v>83</v>
      </c>
    </row>
    <row r="1368" spans="1:38" x14ac:dyDescent="0.2">
      <c r="A1368" s="2" t="str">
        <f>HYPERLINK("https://www.compass.com/listing/100-barclay-street-unit-12g-manhattan-ny-10007/4852285826798728033/","100 Barclay St, Unit 12G")</f>
        <v>100 Barclay St, Unit 12G</v>
      </c>
      <c r="B1368" s="2" t="str">
        <f>HYPERLINK("https://www.compass.com/building/100-barclay-manhattan-ny/281896670466155525/","100 Barclay")</f>
        <v>100 Barclay</v>
      </c>
      <c r="C1368" s="1" t="s">
        <v>50</v>
      </c>
      <c r="D1368" s="1" t="s">
        <v>41</v>
      </c>
      <c r="E1368" s="3">
        <v>3700000</v>
      </c>
      <c r="F1368" s="1">
        <v>1580.5211448099101</v>
      </c>
      <c r="G1368" s="1">
        <v>4</v>
      </c>
      <c r="H1368" s="1">
        <v>3</v>
      </c>
      <c r="I1368" s="1">
        <v>3</v>
      </c>
      <c r="J1368" s="1">
        <v>3.5</v>
      </c>
      <c r="K1368" s="1">
        <v>3</v>
      </c>
      <c r="L1368" s="1">
        <v>1</v>
      </c>
      <c r="M1368" s="4">
        <v>2341</v>
      </c>
      <c r="N1368" s="1">
        <v>3004</v>
      </c>
      <c r="O1368" s="1">
        <v>5876</v>
      </c>
      <c r="P1368" s="1">
        <v>2872</v>
      </c>
      <c r="Q1368" s="1" t="s">
        <v>42</v>
      </c>
      <c r="S1368" s="1" t="s">
        <v>42</v>
      </c>
      <c r="T1368" s="1" t="s">
        <v>273</v>
      </c>
      <c r="U1368" s="1">
        <v>176</v>
      </c>
      <c r="V1368" s="5">
        <v>42962</v>
      </c>
      <c r="W1368" s="5">
        <v>42496</v>
      </c>
      <c r="X1368" s="1">
        <v>3990000</v>
      </c>
      <c r="Y1368" s="1">
        <v>3885000</v>
      </c>
      <c r="AA1368" s="1">
        <v>3700000</v>
      </c>
      <c r="AB1368" s="1" t="s">
        <v>610</v>
      </c>
      <c r="AC1368" s="5">
        <v>43060</v>
      </c>
      <c r="AF1368" s="1">
        <v>10007</v>
      </c>
      <c r="AI1368" s="1" t="s">
        <v>52</v>
      </c>
      <c r="AJ1368" s="1">
        <v>1930</v>
      </c>
      <c r="AK1368" s="1" t="s">
        <v>46</v>
      </c>
      <c r="AL1368" s="1">
        <v>156</v>
      </c>
    </row>
    <row r="1369" spans="1:38" x14ac:dyDescent="0.2">
      <c r="A1369" s="2" t="str">
        <f>HYPERLINK("https://www.compass.com/listing/45-east-22nd-street-unit-17a-manhattan-ny-10010/29514226670266689/","45 E 22nd St, Unit 17A")</f>
        <v>45 E 22nd St, Unit 17A</v>
      </c>
      <c r="B1369" s="2" t="str">
        <f>HYPERLINK("https://www.compass.com/building/madison-square-park-tower-manhattan-ny/281903584482705973/","Madison Square Park Tower")</f>
        <v>Madison Square Park Tower</v>
      </c>
      <c r="C1369" s="1" t="s">
        <v>56</v>
      </c>
      <c r="D1369" s="1" t="s">
        <v>41</v>
      </c>
      <c r="E1369" s="3">
        <v>4150000</v>
      </c>
      <c r="F1369" s="1">
        <v>1952.9411764705801</v>
      </c>
      <c r="G1369" s="1">
        <v>5</v>
      </c>
      <c r="H1369" s="1">
        <v>3</v>
      </c>
      <c r="I1369" s="1">
        <v>3</v>
      </c>
      <c r="J1369" s="1">
        <v>3</v>
      </c>
      <c r="K1369" s="1">
        <v>3</v>
      </c>
      <c r="M1369" s="4">
        <v>2125</v>
      </c>
      <c r="N1369" s="1">
        <v>2285</v>
      </c>
      <c r="O1369" s="1">
        <v>7042</v>
      </c>
      <c r="P1369" s="1">
        <v>4757</v>
      </c>
      <c r="Q1369" s="1" t="s">
        <v>42</v>
      </c>
      <c r="S1369" s="1" t="s">
        <v>42</v>
      </c>
      <c r="T1369" s="1" t="s">
        <v>273</v>
      </c>
      <c r="U1369" s="1">
        <v>720</v>
      </c>
      <c r="V1369" s="5">
        <v>43890</v>
      </c>
      <c r="W1369" s="5">
        <v>42983</v>
      </c>
      <c r="X1369" s="1">
        <v>5670000</v>
      </c>
      <c r="Y1369" s="1">
        <v>4750000</v>
      </c>
      <c r="Z1369" s="5">
        <v>43728</v>
      </c>
      <c r="AA1369" s="1">
        <v>4150000</v>
      </c>
      <c r="AB1369" s="1" t="s">
        <v>649</v>
      </c>
      <c r="AC1369" s="5">
        <v>43781</v>
      </c>
      <c r="AF1369" s="1">
        <v>10010</v>
      </c>
      <c r="AI1369" s="1" t="s">
        <v>48</v>
      </c>
      <c r="AJ1369" s="1">
        <v>2016</v>
      </c>
      <c r="AK1369" s="1" t="s">
        <v>49</v>
      </c>
      <c r="AL1369" s="1">
        <v>83</v>
      </c>
    </row>
    <row r="1370" spans="1:38" x14ac:dyDescent="0.2">
      <c r="A1370" s="2" t="str">
        <f>HYPERLINK("https://www.compass.com/listing/100-barclay-street-unit-12p-manhattan-ny-10007/4852308596257472385/","100 Barclay St, Unit 12P")</f>
        <v>100 Barclay St, Unit 12P</v>
      </c>
      <c r="B1370" s="2" t="str">
        <f>HYPERLINK("https://www.compass.com/building/100-barclay-manhattan-ny/281896670466155525/","100 Barclay")</f>
        <v>100 Barclay</v>
      </c>
      <c r="C1370" s="1" t="s">
        <v>50</v>
      </c>
      <c r="D1370" s="1" t="s">
        <v>41</v>
      </c>
      <c r="E1370" s="3">
        <v>3022675</v>
      </c>
      <c r="F1370" s="1">
        <v>1916.72479391249</v>
      </c>
      <c r="G1370" s="1">
        <v>5</v>
      </c>
      <c r="H1370" s="1">
        <v>2</v>
      </c>
      <c r="I1370" s="1">
        <v>3</v>
      </c>
      <c r="J1370" s="1">
        <v>2.5</v>
      </c>
      <c r="K1370" s="1">
        <v>2</v>
      </c>
      <c r="L1370" s="1">
        <v>1</v>
      </c>
      <c r="M1370" s="4">
        <v>1577</v>
      </c>
      <c r="N1370" s="1">
        <v>2023</v>
      </c>
      <c r="O1370" s="1">
        <v>3958</v>
      </c>
      <c r="P1370" s="1">
        <v>1935</v>
      </c>
      <c r="Q1370" s="1" t="s">
        <v>42</v>
      </c>
      <c r="S1370" s="1" t="s">
        <v>42</v>
      </c>
      <c r="T1370" s="1" t="s">
        <v>273</v>
      </c>
      <c r="V1370" s="5">
        <v>44225</v>
      </c>
      <c r="W1370" s="5">
        <v>42479</v>
      </c>
      <c r="X1370" s="1">
        <v>2968500</v>
      </c>
      <c r="Y1370" s="1">
        <v>2968500</v>
      </c>
      <c r="Z1370" s="5">
        <v>42479</v>
      </c>
      <c r="AA1370" s="1">
        <v>3022675</v>
      </c>
      <c r="AB1370" s="1" t="s">
        <v>650</v>
      </c>
      <c r="AC1370" s="5">
        <v>42777</v>
      </c>
      <c r="AF1370" s="1">
        <v>10007</v>
      </c>
      <c r="AI1370" s="1" t="s">
        <v>52</v>
      </c>
      <c r="AJ1370" s="1">
        <v>1930</v>
      </c>
      <c r="AK1370" s="1" t="s">
        <v>46</v>
      </c>
      <c r="AL1370" s="1">
        <v>156</v>
      </c>
    </row>
    <row r="1371" spans="1:38" x14ac:dyDescent="0.2">
      <c r="A1371" s="2" t="str">
        <f>HYPERLINK("https://www.compass.com/listing/30-warren-street-unit-6b-manhattan-ny-10007/135373824983072081/","30 Warren St, Unit 6B")</f>
        <v>30 Warren St, Unit 6B</v>
      </c>
      <c r="B1371" s="2" t="str">
        <f>HYPERLINK("https://www.compass.com/building/30-warren-manhattan-ny/292789104075095813/","30 WARREN")</f>
        <v>30 WARREN</v>
      </c>
      <c r="C1371" s="1" t="s">
        <v>50</v>
      </c>
      <c r="D1371" s="1" t="s">
        <v>41</v>
      </c>
      <c r="E1371" s="3">
        <v>1870000</v>
      </c>
      <c r="F1371" s="1">
        <v>1842.3645320196999</v>
      </c>
      <c r="G1371" s="1">
        <v>3.5</v>
      </c>
      <c r="H1371" s="1">
        <v>1</v>
      </c>
      <c r="I1371" s="1">
        <v>2</v>
      </c>
      <c r="J1371" s="1">
        <v>1.5</v>
      </c>
      <c r="K1371" s="1">
        <v>1</v>
      </c>
      <c r="L1371" s="1">
        <v>1</v>
      </c>
      <c r="M1371" s="4">
        <v>1015</v>
      </c>
      <c r="N1371" s="1">
        <v>1313</v>
      </c>
      <c r="O1371" s="1">
        <v>2412</v>
      </c>
      <c r="P1371" s="1">
        <v>1099</v>
      </c>
      <c r="Q1371" s="1" t="s">
        <v>42</v>
      </c>
      <c r="S1371" s="1" t="s">
        <v>42</v>
      </c>
      <c r="T1371" s="1" t="s">
        <v>273</v>
      </c>
      <c r="U1371" s="1">
        <v>75</v>
      </c>
      <c r="V1371" s="5">
        <v>44412</v>
      </c>
      <c r="W1371" s="5">
        <v>44182</v>
      </c>
      <c r="X1371" s="1">
        <v>1870000</v>
      </c>
      <c r="Y1371" s="1">
        <v>1870000</v>
      </c>
      <c r="Z1371" s="5">
        <v>44257</v>
      </c>
      <c r="AA1371" s="1">
        <v>1870000</v>
      </c>
      <c r="AB1371" s="1" t="s">
        <v>651</v>
      </c>
      <c r="AC1371" s="5">
        <v>44335</v>
      </c>
      <c r="AF1371" s="1">
        <v>10007</v>
      </c>
      <c r="AJ1371" s="1">
        <v>2017</v>
      </c>
      <c r="AK1371" s="1" t="s">
        <v>125</v>
      </c>
      <c r="AL1371" s="1">
        <v>23</v>
      </c>
    </row>
    <row r="1372" spans="1:38" x14ac:dyDescent="0.2">
      <c r="A1372" s="2" t="str">
        <f>HYPERLINK("https://www.compass.com/listing/100-barclay-street-unit-13r-manhattan-ny-10007/4852274062556149409/","100 Barclay St, Unit 13R")</f>
        <v>100 Barclay St, Unit 13R</v>
      </c>
      <c r="B1372" s="2" t="str">
        <f>HYPERLINK("https://www.compass.com/building/100-barclay-manhattan-ny/281896670466155525/","100 Barclay")</f>
        <v>100 Barclay</v>
      </c>
      <c r="C1372" s="1" t="s">
        <v>50</v>
      </c>
      <c r="D1372" s="1" t="s">
        <v>41</v>
      </c>
      <c r="E1372" s="3">
        <v>4353019</v>
      </c>
      <c r="F1372" s="1">
        <v>1987.6799086757901</v>
      </c>
      <c r="G1372" s="1">
        <v>5</v>
      </c>
      <c r="H1372" s="1">
        <v>3</v>
      </c>
      <c r="I1372" s="1">
        <v>3</v>
      </c>
      <c r="J1372" s="1">
        <v>3</v>
      </c>
      <c r="K1372" s="1">
        <v>3</v>
      </c>
      <c r="M1372" s="4">
        <v>2190</v>
      </c>
      <c r="N1372" s="1">
        <v>2810</v>
      </c>
      <c r="O1372" s="1">
        <v>5497</v>
      </c>
      <c r="P1372" s="1">
        <v>2687</v>
      </c>
      <c r="Q1372" s="1" t="s">
        <v>42</v>
      </c>
      <c r="S1372" s="1" t="s">
        <v>42</v>
      </c>
      <c r="T1372" s="1" t="s">
        <v>273</v>
      </c>
      <c r="U1372" s="1">
        <v>73</v>
      </c>
      <c r="V1372" s="5">
        <v>43663</v>
      </c>
      <c r="W1372" s="5">
        <v>42648</v>
      </c>
      <c r="X1372" s="1">
        <v>5030500</v>
      </c>
      <c r="Y1372" s="1">
        <v>4585000</v>
      </c>
      <c r="Z1372" s="5">
        <v>42754</v>
      </c>
      <c r="AA1372" s="1">
        <v>4353019</v>
      </c>
      <c r="AB1372" s="1" t="s">
        <v>652</v>
      </c>
      <c r="AC1372" s="5">
        <v>42852</v>
      </c>
      <c r="AF1372" s="1">
        <v>10007</v>
      </c>
      <c r="AI1372" s="1" t="s">
        <v>133</v>
      </c>
      <c r="AJ1372" s="1">
        <v>1930</v>
      </c>
      <c r="AK1372" s="1" t="s">
        <v>46</v>
      </c>
      <c r="AL1372" s="1">
        <v>156</v>
      </c>
    </row>
    <row r="1373" spans="1:38" x14ac:dyDescent="0.2">
      <c r="A1373" s="2" t="str">
        <f>HYPERLINK("https://www.compass.com/listing/45-east-22nd-street-unit-38a-manhattan-ny-10010/783008274570133913/","45 E 22nd St, Unit 38A")</f>
        <v>45 E 22nd St, Unit 38A</v>
      </c>
      <c r="B1373" s="2" t="str">
        <f t="shared" ref="B1373:B1374" si="195">HYPERLINK("https://www.compass.com/building/madison-square-park-tower-manhattan-ny/281903584482705973/","Madison Square Park Tower")</f>
        <v>Madison Square Park Tower</v>
      </c>
      <c r="C1373" s="1" t="s">
        <v>56</v>
      </c>
      <c r="D1373" s="1" t="s">
        <v>41</v>
      </c>
      <c r="E1373" s="3">
        <v>7220267</v>
      </c>
      <c r="F1373" s="1">
        <v>3481.3246432015399</v>
      </c>
      <c r="G1373" s="1">
        <v>4</v>
      </c>
      <c r="H1373" s="1">
        <v>2</v>
      </c>
      <c r="I1373" s="1">
        <v>2</v>
      </c>
      <c r="J1373" s="1">
        <v>2</v>
      </c>
      <c r="K1373" s="1">
        <v>2</v>
      </c>
      <c r="M1373" s="4">
        <v>2074</v>
      </c>
      <c r="N1373" s="1">
        <v>2489</v>
      </c>
      <c r="O1373" s="1">
        <v>6273</v>
      </c>
      <c r="P1373" s="1">
        <v>3784</v>
      </c>
      <c r="Q1373" s="1" t="s">
        <v>42</v>
      </c>
      <c r="S1373" s="1" t="s">
        <v>42</v>
      </c>
      <c r="T1373" s="1" t="s">
        <v>273</v>
      </c>
      <c r="U1373" s="1">
        <v>104</v>
      </c>
      <c r="V1373" s="5">
        <v>44225</v>
      </c>
      <c r="W1373" s="5">
        <v>42775</v>
      </c>
      <c r="X1373" s="1">
        <v>7190000</v>
      </c>
      <c r="Y1373" s="1">
        <v>7190000</v>
      </c>
      <c r="Z1373" s="5">
        <v>42879</v>
      </c>
      <c r="AA1373" s="1">
        <v>7220267.3099999996</v>
      </c>
      <c r="AB1373" s="1" t="s">
        <v>653</v>
      </c>
      <c r="AC1373" s="5">
        <v>42942</v>
      </c>
      <c r="AF1373" s="1">
        <v>10010</v>
      </c>
      <c r="AI1373" s="1" t="s">
        <v>48</v>
      </c>
      <c r="AJ1373" s="1">
        <v>2016</v>
      </c>
      <c r="AK1373" s="1" t="s">
        <v>49</v>
      </c>
      <c r="AL1373" s="1">
        <v>83</v>
      </c>
    </row>
    <row r="1374" spans="1:38" x14ac:dyDescent="0.2">
      <c r="A1374" s="2" t="str">
        <f>HYPERLINK("https://www.compass.com/listing/45-east-22nd-street-unit-40b-manhattan-ny-10010/79663470815012145/","45 E 22nd St, Unit 40B")</f>
        <v>45 E 22nd St, Unit 40B</v>
      </c>
      <c r="B1374" s="2" t="str">
        <f t="shared" si="195"/>
        <v>Madison Square Park Tower</v>
      </c>
      <c r="C1374" s="1" t="s">
        <v>56</v>
      </c>
      <c r="D1374" s="1" t="s">
        <v>41</v>
      </c>
      <c r="E1374" s="3">
        <v>6616875</v>
      </c>
      <c r="F1374" s="1">
        <v>3086.2290111940201</v>
      </c>
      <c r="G1374" s="1">
        <v>4</v>
      </c>
      <c r="H1374" s="1">
        <v>2</v>
      </c>
      <c r="I1374" s="1">
        <v>2</v>
      </c>
      <c r="J1374" s="1">
        <v>2</v>
      </c>
      <c r="K1374" s="1">
        <v>2</v>
      </c>
      <c r="M1374" s="4">
        <v>2144</v>
      </c>
      <c r="N1374" s="1">
        <v>2649</v>
      </c>
      <c r="O1374" s="1">
        <v>7767</v>
      </c>
      <c r="P1374" s="1">
        <v>5118</v>
      </c>
      <c r="Q1374" s="1" t="s">
        <v>42</v>
      </c>
      <c r="S1374" s="1" t="s">
        <v>42</v>
      </c>
      <c r="T1374" s="1" t="s">
        <v>273</v>
      </c>
      <c r="U1374" s="1">
        <v>335</v>
      </c>
      <c r="V1374" s="5">
        <v>43767</v>
      </c>
      <c r="W1374" s="5">
        <v>43362</v>
      </c>
      <c r="X1374" s="1">
        <v>8195000</v>
      </c>
      <c r="Y1374" s="1">
        <v>7495000</v>
      </c>
      <c r="AA1374" s="1">
        <v>6616875</v>
      </c>
      <c r="AB1374" s="1" t="s">
        <v>654</v>
      </c>
      <c r="AC1374" s="5">
        <v>43718</v>
      </c>
      <c r="AF1374" s="1">
        <v>10010</v>
      </c>
      <c r="AI1374" s="1" t="s">
        <v>238</v>
      </c>
      <c r="AJ1374" s="1">
        <v>2016</v>
      </c>
      <c r="AK1374" s="1" t="s">
        <v>49</v>
      </c>
      <c r="AL1374" s="1">
        <v>83</v>
      </c>
    </row>
    <row r="1375" spans="1:38" x14ac:dyDescent="0.2">
      <c r="A1375" s="2" t="str">
        <f>HYPERLINK("https://www.compass.com/listing/49-chambers-street-unit-6b-manhattan-ny-10007/117986268536688177/","49 Chambers St, Unit 6B")</f>
        <v>49 Chambers St, Unit 6B</v>
      </c>
      <c r="B1375" s="2" t="str">
        <f t="shared" ref="B1375:B1376" si="196">HYPERLINK("https://www.compass.com/building/49-chambers-manhattan-ny/282058733280852725/","49 Chambers")</f>
        <v>49 Chambers</v>
      </c>
      <c r="C1375" s="1" t="s">
        <v>50</v>
      </c>
      <c r="D1375" s="1" t="s">
        <v>41</v>
      </c>
      <c r="E1375" s="3">
        <v>2825000</v>
      </c>
      <c r="F1375" s="1">
        <v>1614.2857142857099</v>
      </c>
      <c r="G1375" s="1">
        <v>4.5</v>
      </c>
      <c r="H1375" s="1">
        <v>2</v>
      </c>
      <c r="I1375" s="1">
        <v>3</v>
      </c>
      <c r="J1375" s="1">
        <v>2.5</v>
      </c>
      <c r="K1375" s="1">
        <v>2</v>
      </c>
      <c r="L1375" s="1">
        <v>1</v>
      </c>
      <c r="M1375" s="4">
        <v>1750</v>
      </c>
      <c r="N1375" s="1">
        <v>1222</v>
      </c>
      <c r="O1375" s="1">
        <v>3397</v>
      </c>
      <c r="P1375" s="1">
        <v>2175</v>
      </c>
      <c r="Q1375" s="1" t="s">
        <v>42</v>
      </c>
      <c r="S1375" s="1" t="s">
        <v>42</v>
      </c>
      <c r="T1375" s="1" t="s">
        <v>273</v>
      </c>
      <c r="U1375" s="1">
        <v>419</v>
      </c>
      <c r="V1375" s="5">
        <v>44398</v>
      </c>
      <c r="W1375" s="5">
        <v>43781</v>
      </c>
      <c r="Y1375" s="1">
        <v>2825000</v>
      </c>
      <c r="Z1375" s="5">
        <v>44296</v>
      </c>
      <c r="AA1375" s="1">
        <v>2825000</v>
      </c>
      <c r="AB1375" s="1" t="s">
        <v>275</v>
      </c>
      <c r="AC1375" s="5">
        <v>44362</v>
      </c>
      <c r="AF1375" s="1">
        <v>10007</v>
      </c>
      <c r="AI1375" s="1" t="s">
        <v>114</v>
      </c>
      <c r="AJ1375" s="1">
        <v>1910</v>
      </c>
      <c r="AK1375" s="1" t="s">
        <v>49</v>
      </c>
      <c r="AL1375" s="1">
        <v>99</v>
      </c>
    </row>
    <row r="1376" spans="1:38" x14ac:dyDescent="0.2">
      <c r="A1376" s="2" t="str">
        <f>HYPERLINK("https://www.compass.com/listing/49-chambers-street-unit-6a-manhattan-ny-10007/361557716673649617/","49 Chambers St, Unit 6A")</f>
        <v>49 Chambers St, Unit 6A</v>
      </c>
      <c r="B1376" s="2" t="str">
        <f t="shared" si="196"/>
        <v>49 Chambers</v>
      </c>
      <c r="C1376" s="1" t="s">
        <v>50</v>
      </c>
      <c r="D1376" s="1" t="s">
        <v>41</v>
      </c>
      <c r="E1376" s="3">
        <v>2900000</v>
      </c>
      <c r="F1376" s="1">
        <v>1589.91228070175</v>
      </c>
      <c r="G1376" s="1">
        <v>4</v>
      </c>
      <c r="H1376" s="1">
        <v>2</v>
      </c>
      <c r="I1376" s="1">
        <v>2</v>
      </c>
      <c r="J1376" s="1">
        <v>2</v>
      </c>
      <c r="K1376" s="1">
        <v>2</v>
      </c>
      <c r="M1376" s="4">
        <v>1824</v>
      </c>
      <c r="N1376" s="1">
        <v>1414</v>
      </c>
      <c r="O1376" s="1">
        <v>4249</v>
      </c>
      <c r="P1376" s="1">
        <v>2835</v>
      </c>
      <c r="Q1376" s="1" t="s">
        <v>42</v>
      </c>
      <c r="S1376" s="1" t="s">
        <v>42</v>
      </c>
      <c r="T1376" s="1" t="s">
        <v>273</v>
      </c>
      <c r="U1376" s="1">
        <v>206</v>
      </c>
      <c r="V1376" s="5">
        <v>44136</v>
      </c>
      <c r="W1376" s="5">
        <v>43749</v>
      </c>
      <c r="X1376" s="1">
        <v>3200000</v>
      </c>
      <c r="Y1376" s="1">
        <v>3200000</v>
      </c>
      <c r="Z1376" s="5">
        <v>44051</v>
      </c>
      <c r="AA1376" s="1">
        <v>2900000</v>
      </c>
      <c r="AB1376" s="1" t="s">
        <v>275</v>
      </c>
      <c r="AC1376" s="5">
        <v>44134</v>
      </c>
      <c r="AF1376" s="1">
        <v>10007</v>
      </c>
      <c r="AI1376" s="1" t="s">
        <v>114</v>
      </c>
      <c r="AJ1376" s="1">
        <v>1910</v>
      </c>
      <c r="AK1376" s="1" t="s">
        <v>46</v>
      </c>
      <c r="AL1376" s="1">
        <v>99</v>
      </c>
    </row>
    <row r="1377" spans="1:38" x14ac:dyDescent="0.2">
      <c r="A1377" s="2" t="str">
        <f>HYPERLINK("https://www.compass.com/listing/30-warren-street-unit-4b-manhattan-ny-10007/841574792960463497/","30 Warren St, Unit 4B")</f>
        <v>30 Warren St, Unit 4B</v>
      </c>
      <c r="B1377" s="2" t="str">
        <f>HYPERLINK("https://www.compass.com/building/30-warren-manhattan-ny/292789104075095813/","30 WARREN")</f>
        <v>30 WARREN</v>
      </c>
      <c r="C1377" s="1" t="s">
        <v>50</v>
      </c>
      <c r="D1377" s="1" t="s">
        <v>41</v>
      </c>
      <c r="E1377" s="3">
        <v>2350000</v>
      </c>
      <c r="F1377" s="1">
        <v>1857.70750988142</v>
      </c>
      <c r="G1377" s="1">
        <v>4</v>
      </c>
      <c r="H1377" s="1">
        <v>2</v>
      </c>
      <c r="J1377" s="1">
        <v>2.5</v>
      </c>
      <c r="M1377" s="4">
        <v>1265</v>
      </c>
      <c r="N1377" s="1">
        <v>1636</v>
      </c>
      <c r="O1377" s="1">
        <v>3373</v>
      </c>
      <c r="P1377" s="1">
        <v>1737</v>
      </c>
      <c r="Q1377" s="1" t="s">
        <v>42</v>
      </c>
      <c r="S1377" s="1" t="s">
        <v>42</v>
      </c>
      <c r="T1377" s="1" t="s">
        <v>273</v>
      </c>
      <c r="U1377" s="1">
        <v>1</v>
      </c>
      <c r="V1377" s="5">
        <v>44273</v>
      </c>
      <c r="W1377" s="5">
        <v>44272</v>
      </c>
      <c r="X1377" s="1">
        <v>2875000</v>
      </c>
      <c r="Y1377" s="1">
        <v>2875000</v>
      </c>
      <c r="Z1377" s="5">
        <v>44273</v>
      </c>
      <c r="AA1377" s="1">
        <v>2350000</v>
      </c>
      <c r="AB1377" s="1" t="s">
        <v>630</v>
      </c>
      <c r="AC1377" s="5">
        <v>44316</v>
      </c>
      <c r="AF1377" s="1">
        <v>10007</v>
      </c>
      <c r="AJ1377" s="1">
        <v>2017</v>
      </c>
      <c r="AK1377" s="1" t="s">
        <v>202</v>
      </c>
      <c r="AL1377" s="1">
        <v>23</v>
      </c>
    </row>
    <row r="1378" spans="1:38" x14ac:dyDescent="0.2">
      <c r="A1378" s="2" t="str">
        <f>HYPERLINK("https://www.compass.com/listing/49-chambers-street-unit-8f-manhattan-ny-10007/226747956680832961/","49 Chambers St, Unit 8F")</f>
        <v>49 Chambers St, Unit 8F</v>
      </c>
      <c r="B1378" s="2" t="str">
        <f>HYPERLINK("https://www.compass.com/building/49-chambers-manhattan-ny/282058733280852725/","49 Chambers")</f>
        <v>49 Chambers</v>
      </c>
      <c r="C1378" s="1" t="s">
        <v>50</v>
      </c>
      <c r="D1378" s="1" t="s">
        <v>41</v>
      </c>
      <c r="E1378" s="3">
        <v>1650000</v>
      </c>
      <c r="F1378" s="1">
        <v>1704.54545454545</v>
      </c>
      <c r="G1378" s="1">
        <v>3</v>
      </c>
      <c r="H1378" s="1">
        <v>1</v>
      </c>
      <c r="I1378" s="1">
        <v>2</v>
      </c>
      <c r="J1378" s="1">
        <v>2</v>
      </c>
      <c r="K1378" s="1">
        <v>2</v>
      </c>
      <c r="M1378" s="1">
        <v>968</v>
      </c>
      <c r="N1378" s="1">
        <v>679</v>
      </c>
      <c r="O1378" s="1">
        <v>2177</v>
      </c>
      <c r="P1378" s="1">
        <v>1498</v>
      </c>
      <c r="Q1378" s="1" t="s">
        <v>42</v>
      </c>
      <c r="S1378" s="1" t="s">
        <v>42</v>
      </c>
      <c r="T1378" s="1" t="s">
        <v>273</v>
      </c>
      <c r="U1378" s="1">
        <v>63</v>
      </c>
      <c r="V1378" s="5">
        <v>44338</v>
      </c>
      <c r="W1378" s="5">
        <v>43564</v>
      </c>
      <c r="X1378" s="1">
        <v>1690000</v>
      </c>
      <c r="Y1378" s="1">
        <v>1690000</v>
      </c>
      <c r="Z1378" s="5">
        <v>43628</v>
      </c>
      <c r="AA1378" s="1">
        <v>1650000</v>
      </c>
      <c r="AB1378" s="1" t="s">
        <v>275</v>
      </c>
      <c r="AC1378" s="5">
        <v>43662</v>
      </c>
      <c r="AF1378" s="1">
        <v>10007</v>
      </c>
      <c r="AI1378" s="1" t="s">
        <v>114</v>
      </c>
      <c r="AJ1378" s="1">
        <v>1910</v>
      </c>
      <c r="AK1378" s="1" t="s">
        <v>49</v>
      </c>
      <c r="AL1378" s="1">
        <v>99</v>
      </c>
    </row>
    <row r="1379" spans="1:38" x14ac:dyDescent="0.2">
      <c r="A1379" s="2" t="str">
        <f>HYPERLINK("https://www.compass.com/listing/277-east-7th-street-unit-1-manhattan-ny-10009/29360924389384321/","277 E 7th St, Unit 1")</f>
        <v>277 E 7th St, Unit 1</v>
      </c>
      <c r="B1379" s="2" t="str">
        <f>HYPERLINK("https://www.compass.com/building/seven-east-village-manhattan-ny/281899280162107413/","Seven East Village")</f>
        <v>Seven East Village</v>
      </c>
      <c r="C1379" s="1" t="s">
        <v>71</v>
      </c>
      <c r="D1379" s="1" t="s">
        <v>41</v>
      </c>
      <c r="E1379" s="3">
        <v>965000</v>
      </c>
      <c r="F1379" s="1">
        <v>1253.2467532467499</v>
      </c>
      <c r="G1379" s="1">
        <v>3</v>
      </c>
      <c r="H1379" s="1">
        <v>1</v>
      </c>
      <c r="I1379" s="1">
        <v>1</v>
      </c>
      <c r="J1379" s="1">
        <v>1</v>
      </c>
      <c r="K1379" s="1">
        <v>1</v>
      </c>
      <c r="M1379" s="1">
        <v>770</v>
      </c>
      <c r="N1379" s="1">
        <v>503.75</v>
      </c>
      <c r="O1379" s="1">
        <v>716.03</v>
      </c>
      <c r="P1379" s="1">
        <v>212.25</v>
      </c>
      <c r="Q1379" s="1" t="s">
        <v>249</v>
      </c>
      <c r="S1379" s="1" t="s">
        <v>250</v>
      </c>
      <c r="T1379" s="1" t="s">
        <v>273</v>
      </c>
      <c r="U1379" s="1">
        <v>102</v>
      </c>
      <c r="V1379" s="5">
        <v>43651</v>
      </c>
      <c r="W1379" s="5">
        <v>42076</v>
      </c>
      <c r="X1379" s="1">
        <v>1200000</v>
      </c>
      <c r="Y1379" s="1">
        <v>999000</v>
      </c>
      <c r="Z1379" s="5">
        <v>42178</v>
      </c>
      <c r="AA1379" s="1">
        <v>965000</v>
      </c>
      <c r="AB1379" s="1" t="s">
        <v>655</v>
      </c>
      <c r="AC1379" s="5">
        <v>42241</v>
      </c>
      <c r="AF1379" s="1">
        <v>10009</v>
      </c>
      <c r="AI1379" s="1" t="s">
        <v>78</v>
      </c>
      <c r="AJ1379" s="1">
        <v>2014</v>
      </c>
      <c r="AL1379" s="1">
        <v>6</v>
      </c>
    </row>
    <row r="1380" spans="1:38" x14ac:dyDescent="0.2">
      <c r="A1380" s="2" t="str">
        <f>HYPERLINK("https://www.compass.com/listing/49-chambers-street-unit-12b-manhattan-ny-10007/694239089634132017/","49 Chambers St, Unit 12B")</f>
        <v>49 Chambers St, Unit 12B</v>
      </c>
      <c r="B1380" s="2" t="str">
        <f>HYPERLINK("https://www.compass.com/building/49-chambers-manhattan-ny/282058733280852725/","49 Chambers")</f>
        <v>49 Chambers</v>
      </c>
      <c r="C1380" s="1" t="s">
        <v>50</v>
      </c>
      <c r="D1380" s="1" t="s">
        <v>41</v>
      </c>
      <c r="E1380" s="3">
        <v>2760000</v>
      </c>
      <c r="F1380" s="1">
        <v>1577.1428571428501</v>
      </c>
      <c r="G1380" s="1">
        <v>5.5</v>
      </c>
      <c r="H1380" s="1">
        <v>2</v>
      </c>
      <c r="I1380" s="1">
        <v>3</v>
      </c>
      <c r="J1380" s="1">
        <v>2.5</v>
      </c>
      <c r="K1380" s="1">
        <v>2</v>
      </c>
      <c r="L1380" s="1">
        <v>1</v>
      </c>
      <c r="M1380" s="4">
        <v>1750</v>
      </c>
      <c r="N1380" s="1">
        <v>1348</v>
      </c>
      <c r="O1380" s="1">
        <v>4030</v>
      </c>
      <c r="P1380" s="1">
        <v>2682</v>
      </c>
      <c r="Q1380" s="1" t="s">
        <v>42</v>
      </c>
      <c r="S1380" s="1" t="s">
        <v>42</v>
      </c>
      <c r="T1380" s="1" t="s">
        <v>273</v>
      </c>
      <c r="U1380" s="1">
        <v>5</v>
      </c>
      <c r="V1380" s="5">
        <v>44314</v>
      </c>
      <c r="W1380" s="5">
        <v>44204</v>
      </c>
      <c r="X1380" s="1">
        <v>3145000</v>
      </c>
      <c r="Y1380" s="1">
        <v>3145000</v>
      </c>
      <c r="Z1380" s="5">
        <v>44210</v>
      </c>
      <c r="AA1380" s="1">
        <v>2760000</v>
      </c>
      <c r="AB1380" s="1" t="s">
        <v>295</v>
      </c>
      <c r="AC1380" s="5">
        <v>44257</v>
      </c>
      <c r="AF1380" s="1">
        <v>10007</v>
      </c>
      <c r="AI1380" s="1" t="s">
        <v>114</v>
      </c>
      <c r="AJ1380" s="1">
        <v>1910</v>
      </c>
      <c r="AK1380" s="1" t="s">
        <v>49</v>
      </c>
      <c r="AL1380" s="1">
        <v>99</v>
      </c>
    </row>
    <row r="1381" spans="1:38" x14ac:dyDescent="0.2">
      <c r="A1381" s="2" t="str">
        <f>HYPERLINK("https://www.compass.com/listing/100-barclay-street-unit-11n-manhattan-ny-10007/4852308743880188657/","100 Barclay St, Unit 11N")</f>
        <v>100 Barclay St, Unit 11N</v>
      </c>
      <c r="B1381" s="2" t="str">
        <f t="shared" ref="B1381:B1385" si="197">HYPERLINK("https://www.compass.com/building/100-barclay-manhattan-ny/281896670466155525/","100 Barclay")</f>
        <v>100 Barclay</v>
      </c>
      <c r="C1381" s="1" t="s">
        <v>50</v>
      </c>
      <c r="D1381" s="1" t="s">
        <v>41</v>
      </c>
      <c r="E1381" s="3">
        <v>3411137</v>
      </c>
      <c r="F1381" s="1">
        <v>2146.71932032725</v>
      </c>
      <c r="G1381" s="1">
        <v>5</v>
      </c>
      <c r="H1381" s="1">
        <v>2</v>
      </c>
      <c r="I1381" s="1">
        <v>3</v>
      </c>
      <c r="J1381" s="1">
        <v>2.5</v>
      </c>
      <c r="M1381" s="4">
        <v>1589</v>
      </c>
      <c r="N1381" s="1">
        <v>2092</v>
      </c>
      <c r="O1381" s="1">
        <v>4144</v>
      </c>
      <c r="P1381" s="1">
        <v>2052</v>
      </c>
      <c r="Q1381" s="1" t="s">
        <v>42</v>
      </c>
      <c r="S1381" s="1" t="s">
        <v>42</v>
      </c>
      <c r="T1381" s="1" t="s">
        <v>273</v>
      </c>
      <c r="V1381" s="5">
        <v>43623</v>
      </c>
      <c r="W1381" s="5">
        <v>42215</v>
      </c>
      <c r="X1381" s="1">
        <v>3407000</v>
      </c>
      <c r="Y1381" s="1">
        <v>3407000</v>
      </c>
      <c r="Z1381" s="5">
        <v>42215</v>
      </c>
      <c r="AA1381" s="1">
        <v>3411137</v>
      </c>
      <c r="AB1381" s="1" t="s">
        <v>656</v>
      </c>
      <c r="AC1381" s="5">
        <v>42802</v>
      </c>
      <c r="AF1381" s="1">
        <v>10007</v>
      </c>
      <c r="AI1381" s="1" t="s">
        <v>133</v>
      </c>
      <c r="AJ1381" s="1">
        <v>1930</v>
      </c>
      <c r="AK1381" s="1" t="s">
        <v>49</v>
      </c>
      <c r="AL1381" s="1">
        <v>156</v>
      </c>
    </row>
    <row r="1382" spans="1:38" x14ac:dyDescent="0.2">
      <c r="A1382" s="2" t="str">
        <f>HYPERLINK("https://www.compass.com/listing/100-barclay-street-unit-16k-manhattan-ny-10007/4852309157170121841/","100 Barclay St, Unit 16K")</f>
        <v>100 Barclay St, Unit 16K</v>
      </c>
      <c r="B1382" s="2" t="str">
        <f t="shared" si="197"/>
        <v>100 Barclay</v>
      </c>
      <c r="C1382" s="1" t="s">
        <v>50</v>
      </c>
      <c r="D1382" s="1" t="s">
        <v>41</v>
      </c>
      <c r="E1382" s="3">
        <v>3054750</v>
      </c>
      <c r="F1382" s="1">
        <v>2035.1432378414299</v>
      </c>
      <c r="G1382" s="1">
        <v>4</v>
      </c>
      <c r="H1382" s="1">
        <v>2</v>
      </c>
      <c r="I1382" s="1">
        <v>3</v>
      </c>
      <c r="J1382" s="1">
        <v>2.5</v>
      </c>
      <c r="M1382" s="4">
        <v>1501</v>
      </c>
      <c r="N1382" s="1">
        <v>1926</v>
      </c>
      <c r="O1382" s="1">
        <v>3768</v>
      </c>
      <c r="P1382" s="1">
        <v>1842</v>
      </c>
      <c r="Q1382" s="1" t="s">
        <v>42</v>
      </c>
      <c r="S1382" s="1" t="s">
        <v>42</v>
      </c>
      <c r="T1382" s="1" t="s">
        <v>273</v>
      </c>
      <c r="V1382" s="5">
        <v>43623</v>
      </c>
      <c r="W1382" s="5">
        <v>42477</v>
      </c>
      <c r="X1382" s="1">
        <v>3473000</v>
      </c>
      <c r="Y1382" s="1">
        <v>3473000</v>
      </c>
      <c r="Z1382" s="5">
        <v>42477</v>
      </c>
      <c r="AA1382" s="1">
        <v>3054750</v>
      </c>
      <c r="AB1382" s="1" t="s">
        <v>657</v>
      </c>
      <c r="AC1382" s="5">
        <v>42692</v>
      </c>
      <c r="AF1382" s="1">
        <v>10007</v>
      </c>
      <c r="AI1382" s="1" t="s">
        <v>52</v>
      </c>
      <c r="AJ1382" s="1">
        <v>1930</v>
      </c>
      <c r="AK1382" s="1" t="s">
        <v>46</v>
      </c>
      <c r="AL1382" s="1">
        <v>156</v>
      </c>
    </row>
    <row r="1383" spans="1:38" x14ac:dyDescent="0.2">
      <c r="A1383" s="2" t="str">
        <f>HYPERLINK("https://www.compass.com/listing/100-barclay-street-unit-16g-manhattan-ny-10007/29513629829266497/","100 Barclay St, Unit 16G")</f>
        <v>100 Barclay St, Unit 16G</v>
      </c>
      <c r="B1383" s="2" t="str">
        <f t="shared" si="197"/>
        <v>100 Barclay</v>
      </c>
      <c r="C1383" s="1" t="s">
        <v>50</v>
      </c>
      <c r="D1383" s="1" t="s">
        <v>41</v>
      </c>
      <c r="E1383" s="3">
        <v>3800000</v>
      </c>
      <c r="F1383" s="1">
        <v>1707.8651685393199</v>
      </c>
      <c r="G1383" s="1">
        <v>5</v>
      </c>
      <c r="H1383" s="1">
        <v>3</v>
      </c>
      <c r="I1383" s="1">
        <v>3</v>
      </c>
      <c r="J1383" s="1">
        <v>3</v>
      </c>
      <c r="K1383" s="1">
        <v>3</v>
      </c>
      <c r="M1383" s="4">
        <v>2225</v>
      </c>
      <c r="N1383" s="1">
        <v>2864</v>
      </c>
      <c r="O1383" s="1">
        <v>5875</v>
      </c>
      <c r="P1383" s="1">
        <v>3011</v>
      </c>
      <c r="Q1383" s="1" t="s">
        <v>42</v>
      </c>
      <c r="S1383" s="1" t="s">
        <v>42</v>
      </c>
      <c r="T1383" s="1" t="s">
        <v>273</v>
      </c>
      <c r="U1383" s="1">
        <v>123</v>
      </c>
      <c r="V1383" s="5">
        <v>43623</v>
      </c>
      <c r="W1383" s="5">
        <v>43280</v>
      </c>
      <c r="X1383" s="1">
        <v>4250000</v>
      </c>
      <c r="Y1383" s="1">
        <v>4250000</v>
      </c>
      <c r="Z1383" s="5">
        <v>43403</v>
      </c>
      <c r="AA1383" s="1">
        <v>3800000</v>
      </c>
      <c r="AB1383" s="1" t="s">
        <v>658</v>
      </c>
      <c r="AC1383" s="5">
        <v>43455</v>
      </c>
      <c r="AF1383" s="1">
        <v>10007</v>
      </c>
      <c r="AI1383" s="1" t="s">
        <v>103</v>
      </c>
      <c r="AJ1383" s="1">
        <v>1930</v>
      </c>
      <c r="AK1383" s="1" t="s">
        <v>46</v>
      </c>
      <c r="AL1383" s="1">
        <v>156</v>
      </c>
    </row>
    <row r="1384" spans="1:38" x14ac:dyDescent="0.2">
      <c r="A1384" s="2" t="str">
        <f>HYPERLINK("https://www.compass.com/listing/100-barclay-street-unit-16c-manhattan-ny-10007/4852269248199789889/","100 Barclay St, Unit 16C")</f>
        <v>100 Barclay St, Unit 16C</v>
      </c>
      <c r="B1384" s="2" t="str">
        <f t="shared" si="197"/>
        <v>100 Barclay</v>
      </c>
      <c r="C1384" s="1" t="s">
        <v>50</v>
      </c>
      <c r="D1384" s="1" t="s">
        <v>41</v>
      </c>
      <c r="E1384" s="3">
        <v>3950000</v>
      </c>
      <c r="F1384" s="1">
        <v>1991.9314170448799</v>
      </c>
      <c r="G1384" s="1">
        <v>5</v>
      </c>
      <c r="H1384" s="1">
        <v>3</v>
      </c>
      <c r="I1384" s="1">
        <v>3</v>
      </c>
      <c r="J1384" s="1">
        <v>3</v>
      </c>
      <c r="K1384" s="1">
        <v>3</v>
      </c>
      <c r="M1384" s="4">
        <v>1983</v>
      </c>
      <c r="N1384" s="1">
        <v>2544</v>
      </c>
      <c r="O1384" s="1">
        <v>4977</v>
      </c>
      <c r="P1384" s="1">
        <v>2433</v>
      </c>
      <c r="Q1384" s="1" t="s">
        <v>42</v>
      </c>
      <c r="S1384" s="1" t="s">
        <v>42</v>
      </c>
      <c r="T1384" s="1" t="s">
        <v>273</v>
      </c>
      <c r="V1384" s="5">
        <v>43623</v>
      </c>
      <c r="W1384" s="5">
        <v>42790</v>
      </c>
      <c r="X1384" s="1">
        <v>4195000</v>
      </c>
      <c r="Y1384" s="1">
        <v>4195000</v>
      </c>
      <c r="Z1384" s="5">
        <v>42790</v>
      </c>
      <c r="AA1384" s="1">
        <v>3950000</v>
      </c>
      <c r="AB1384" s="1" t="s">
        <v>659</v>
      </c>
      <c r="AC1384" s="5">
        <v>42849</v>
      </c>
      <c r="AF1384" s="1">
        <v>10007</v>
      </c>
      <c r="AI1384" s="1" t="s">
        <v>52</v>
      </c>
      <c r="AJ1384" s="1">
        <v>1930</v>
      </c>
      <c r="AK1384" s="1" t="s">
        <v>46</v>
      </c>
      <c r="AL1384" s="1">
        <v>156</v>
      </c>
    </row>
    <row r="1385" spans="1:38" x14ac:dyDescent="0.2">
      <c r="A1385" s="2" t="str">
        <f>HYPERLINK("https://www.compass.com/listing/100-barclay-street-unit-17n-manhattan-ny-10007/4852287210650603009/","100 Barclay St, Unit 17N")</f>
        <v>100 Barclay St, Unit 17N</v>
      </c>
      <c r="B1385" s="2" t="str">
        <f t="shared" si="197"/>
        <v>100 Barclay</v>
      </c>
      <c r="C1385" s="1" t="s">
        <v>50</v>
      </c>
      <c r="D1385" s="1" t="s">
        <v>41</v>
      </c>
      <c r="E1385" s="3">
        <v>3600000</v>
      </c>
      <c r="F1385" s="1">
        <v>1814.5161290322501</v>
      </c>
      <c r="G1385" s="1">
        <v>5</v>
      </c>
      <c r="H1385" s="1">
        <v>3</v>
      </c>
      <c r="I1385" s="1">
        <v>3</v>
      </c>
      <c r="J1385" s="1">
        <v>3</v>
      </c>
      <c r="K1385" s="1">
        <v>3</v>
      </c>
      <c r="M1385" s="4">
        <v>1984</v>
      </c>
      <c r="N1385" s="1">
        <v>2453</v>
      </c>
      <c r="O1385" s="1">
        <v>5111</v>
      </c>
      <c r="P1385" s="1">
        <v>2658</v>
      </c>
      <c r="Q1385" s="1" t="s">
        <v>42</v>
      </c>
      <c r="S1385" s="1" t="s">
        <v>42</v>
      </c>
      <c r="T1385" s="1" t="s">
        <v>273</v>
      </c>
      <c r="U1385" s="1">
        <v>70</v>
      </c>
      <c r="V1385" s="5">
        <v>43623</v>
      </c>
      <c r="W1385" s="5">
        <v>42990</v>
      </c>
      <c r="X1385" s="1">
        <v>4473000</v>
      </c>
      <c r="Y1385" s="1">
        <v>4473000</v>
      </c>
      <c r="Z1385" s="5">
        <v>43060</v>
      </c>
      <c r="AA1385" s="1">
        <v>3600000</v>
      </c>
      <c r="AB1385" s="1" t="s">
        <v>660</v>
      </c>
      <c r="AC1385" s="5">
        <v>43067</v>
      </c>
      <c r="AF1385" s="1">
        <v>10007</v>
      </c>
      <c r="AI1385" s="1" t="s">
        <v>52</v>
      </c>
      <c r="AJ1385" s="1">
        <v>1930</v>
      </c>
      <c r="AK1385" s="1" t="s">
        <v>46</v>
      </c>
      <c r="AL1385" s="1">
        <v>156</v>
      </c>
    </row>
    <row r="1386" spans="1:38" x14ac:dyDescent="0.2">
      <c r="A1386" s="2" t="str">
        <f>HYPERLINK("https://www.compass.com/listing/45-east-22nd-street-unit-48b-manhattan-ny-10010/99232961982918465/","45 E 22nd St, Unit 48B")</f>
        <v>45 E 22nd St, Unit 48B</v>
      </c>
      <c r="B1386" s="2" t="str">
        <f>HYPERLINK("https://www.compass.com/building/madison-square-park-tower-manhattan-ny/281903584482705973/","Madison Square Park Tower")</f>
        <v>Madison Square Park Tower</v>
      </c>
      <c r="C1386" s="1" t="s">
        <v>56</v>
      </c>
      <c r="D1386" s="1" t="s">
        <v>41</v>
      </c>
      <c r="E1386" s="3">
        <v>7032914</v>
      </c>
      <c r="F1386" s="1">
        <v>3242.4684186260902</v>
      </c>
      <c r="G1386" s="1">
        <v>5</v>
      </c>
      <c r="H1386" s="1">
        <v>2</v>
      </c>
      <c r="I1386" s="1">
        <v>2</v>
      </c>
      <c r="J1386" s="1">
        <v>2</v>
      </c>
      <c r="K1386" s="1">
        <v>2</v>
      </c>
      <c r="M1386" s="4">
        <v>2169</v>
      </c>
      <c r="N1386" s="1">
        <v>2673</v>
      </c>
      <c r="O1386" s="1">
        <v>8239</v>
      </c>
      <c r="P1386" s="1">
        <v>5566</v>
      </c>
      <c r="Q1386" s="1" t="s">
        <v>42</v>
      </c>
      <c r="S1386" s="1" t="s">
        <v>42</v>
      </c>
      <c r="T1386" s="1" t="s">
        <v>273</v>
      </c>
      <c r="U1386" s="1">
        <v>264</v>
      </c>
      <c r="V1386" s="5">
        <v>43788</v>
      </c>
      <c r="W1386" s="5">
        <v>43237</v>
      </c>
      <c r="X1386" s="1">
        <v>8325000</v>
      </c>
      <c r="Y1386" s="1">
        <v>7995000</v>
      </c>
      <c r="Z1386" s="5">
        <v>43525</v>
      </c>
      <c r="AA1386" s="1">
        <v>7032914</v>
      </c>
      <c r="AB1386" s="1" t="s">
        <v>661</v>
      </c>
      <c r="AC1386" s="5">
        <v>43559</v>
      </c>
      <c r="AF1386" s="1">
        <v>10010</v>
      </c>
      <c r="AI1386" s="1" t="s">
        <v>48</v>
      </c>
      <c r="AJ1386" s="1">
        <v>2016</v>
      </c>
      <c r="AK1386" s="1" t="s">
        <v>49</v>
      </c>
      <c r="AL1386" s="1">
        <v>83</v>
      </c>
    </row>
    <row r="1387" spans="1:38" x14ac:dyDescent="0.2">
      <c r="A1387" s="2" t="str">
        <f>HYPERLINK("https://www.compass.com/listing/155-west-18th-street-unit-402-manhattan-ny-10011/4829943411555441825/","155 W 18th St, Unit 402")</f>
        <v>155 W 18th St, Unit 402</v>
      </c>
      <c r="B1387" s="2" t="str">
        <f t="shared" ref="B1387:B1388" si="198">HYPERLINK("https://www.compass.com/building/the-flynn-manhattan-ny/281905793161251925/","The Flynn")</f>
        <v>The Flynn</v>
      </c>
      <c r="C1387" s="1" t="s">
        <v>62</v>
      </c>
      <c r="D1387" s="1" t="s">
        <v>41</v>
      </c>
      <c r="E1387" s="3">
        <v>2507441</v>
      </c>
      <c r="F1387" s="1">
        <v>2254.8929856115101</v>
      </c>
      <c r="G1387" s="1">
        <v>3</v>
      </c>
      <c r="H1387" s="1">
        <v>2</v>
      </c>
      <c r="I1387" s="1">
        <v>2</v>
      </c>
      <c r="J1387" s="1">
        <v>2</v>
      </c>
      <c r="M1387" s="4">
        <v>1112</v>
      </c>
      <c r="N1387" s="1">
        <v>1695</v>
      </c>
      <c r="O1387" s="1">
        <v>2994</v>
      </c>
      <c r="P1387" s="1">
        <v>1299</v>
      </c>
      <c r="Q1387" s="1" t="s">
        <v>42</v>
      </c>
      <c r="S1387" s="1" t="s">
        <v>42</v>
      </c>
      <c r="T1387" s="1" t="s">
        <v>273</v>
      </c>
      <c r="U1387" s="1">
        <v>40</v>
      </c>
      <c r="V1387" s="5">
        <v>43640</v>
      </c>
      <c r="W1387" s="5">
        <v>42482</v>
      </c>
      <c r="X1387" s="1">
        <v>2400000</v>
      </c>
      <c r="Y1387" s="1">
        <v>2600000</v>
      </c>
      <c r="Z1387" s="5">
        <v>42522</v>
      </c>
      <c r="AA1387" s="1">
        <v>2507441</v>
      </c>
      <c r="AB1387" s="1" t="s">
        <v>587</v>
      </c>
      <c r="AC1387" s="5">
        <v>42677</v>
      </c>
      <c r="AF1387" s="1">
        <v>10011</v>
      </c>
      <c r="AI1387" s="1" t="s">
        <v>114</v>
      </c>
      <c r="AJ1387" s="1">
        <v>2016</v>
      </c>
      <c r="AK1387" s="1" t="s">
        <v>46</v>
      </c>
      <c r="AL1387" s="1">
        <v>30</v>
      </c>
    </row>
    <row r="1388" spans="1:38" x14ac:dyDescent="0.2">
      <c r="A1388" s="2" t="str">
        <f>HYPERLINK("https://www.compass.com/listing/155-west-18th-street-unit-302-manhattan-ny-10011/4829943418509602497/","155 W 18th St, Unit 302")</f>
        <v>155 W 18th St, Unit 302</v>
      </c>
      <c r="B1388" s="2" t="str">
        <f t="shared" si="198"/>
        <v>The Flynn</v>
      </c>
      <c r="C1388" s="1" t="s">
        <v>62</v>
      </c>
      <c r="D1388" s="1" t="s">
        <v>41</v>
      </c>
      <c r="E1388" s="3">
        <v>2341975</v>
      </c>
      <c r="F1388" s="1">
        <v>2106.0926258992799</v>
      </c>
      <c r="G1388" s="1">
        <v>4</v>
      </c>
      <c r="H1388" s="1">
        <v>2</v>
      </c>
      <c r="I1388" s="1">
        <v>2</v>
      </c>
      <c r="J1388" s="1">
        <v>2</v>
      </c>
      <c r="M1388" s="4">
        <v>1112</v>
      </c>
      <c r="N1388" s="1">
        <v>1695</v>
      </c>
      <c r="O1388" s="1">
        <v>2994</v>
      </c>
      <c r="P1388" s="1">
        <v>1299</v>
      </c>
      <c r="Q1388" s="1" t="s">
        <v>42</v>
      </c>
      <c r="S1388" s="1" t="s">
        <v>42</v>
      </c>
      <c r="T1388" s="1" t="s">
        <v>273</v>
      </c>
      <c r="U1388" s="1">
        <v>1</v>
      </c>
      <c r="V1388" s="5">
        <v>43664</v>
      </c>
      <c r="W1388" s="5">
        <v>42389</v>
      </c>
      <c r="X1388" s="1">
        <v>2500000</v>
      </c>
      <c r="Y1388" s="1">
        <v>2500000</v>
      </c>
      <c r="Z1388" s="5">
        <v>42390</v>
      </c>
      <c r="AA1388" s="1">
        <v>2341975</v>
      </c>
      <c r="AB1388" s="1" t="s">
        <v>588</v>
      </c>
      <c r="AC1388" s="5">
        <v>42671</v>
      </c>
      <c r="AF1388" s="1">
        <v>10011</v>
      </c>
      <c r="AI1388" s="1" t="s">
        <v>592</v>
      </c>
      <c r="AJ1388" s="1">
        <v>2016</v>
      </c>
      <c r="AK1388" s="1" t="s">
        <v>46</v>
      </c>
      <c r="AL1388" s="1">
        <v>30</v>
      </c>
    </row>
    <row r="1389" spans="1:38" x14ac:dyDescent="0.2">
      <c r="A1389" s="2" t="str">
        <f>HYPERLINK("https://www.compass.com/listing/100-barclay-street-unit-11s-manhattan-ny-10007/4852308825585235633/","100 Barclay St, Unit 11S")</f>
        <v>100 Barclay St, Unit 11S</v>
      </c>
      <c r="B1389" s="2" t="str">
        <f>HYPERLINK("https://www.compass.com/building/100-barclay-manhattan-ny/281896670466155525/","100 Barclay")</f>
        <v>100 Barclay</v>
      </c>
      <c r="C1389" s="1" t="s">
        <v>50</v>
      </c>
      <c r="D1389" s="1" t="s">
        <v>41</v>
      </c>
      <c r="E1389" s="3">
        <v>2443800</v>
      </c>
      <c r="F1389" s="1">
        <v>2041.60401002506</v>
      </c>
      <c r="G1389" s="1">
        <v>4</v>
      </c>
      <c r="H1389" s="1">
        <v>1</v>
      </c>
      <c r="I1389" s="1">
        <v>2</v>
      </c>
      <c r="J1389" s="1">
        <v>1.5</v>
      </c>
      <c r="M1389" s="4">
        <v>1197</v>
      </c>
      <c r="N1389" s="1">
        <v>1676</v>
      </c>
      <c r="O1389" s="1">
        <v>3320</v>
      </c>
      <c r="P1389" s="1">
        <v>1644</v>
      </c>
      <c r="Q1389" s="1" t="s">
        <v>42</v>
      </c>
      <c r="S1389" s="1" t="s">
        <v>42</v>
      </c>
      <c r="T1389" s="1" t="s">
        <v>273</v>
      </c>
      <c r="U1389" s="1">
        <v>1</v>
      </c>
      <c r="V1389" s="5">
        <v>43635</v>
      </c>
      <c r="W1389" s="5">
        <v>42188</v>
      </c>
      <c r="X1389" s="1">
        <v>2500000</v>
      </c>
      <c r="Y1389" s="1">
        <v>2500000</v>
      </c>
      <c r="Z1389" s="5">
        <v>42189</v>
      </c>
      <c r="AA1389" s="1">
        <v>2443800</v>
      </c>
      <c r="AB1389" s="1" t="s">
        <v>662</v>
      </c>
      <c r="AC1389" s="5">
        <v>42816</v>
      </c>
      <c r="AF1389" s="1">
        <v>10007</v>
      </c>
      <c r="AI1389" s="1" t="s">
        <v>133</v>
      </c>
      <c r="AJ1389" s="1">
        <v>1930</v>
      </c>
      <c r="AK1389" s="1" t="s">
        <v>46</v>
      </c>
      <c r="AL1389" s="1">
        <v>156</v>
      </c>
    </row>
    <row r="1390" spans="1:38" x14ac:dyDescent="0.2">
      <c r="A1390" s="2" t="str">
        <f>HYPERLINK("https://www.compass.com/listing/30-warren-street-unit-6a-manhattan-ny-10007/815806178880988993/","30 Warren St, Unit 6A")</f>
        <v>30 Warren St, Unit 6A</v>
      </c>
      <c r="B1390" s="2" t="str">
        <f>HYPERLINK("https://www.compass.com/building/30-warren-manhattan-ny/292789104075095813/","30 WARREN")</f>
        <v>30 WARREN</v>
      </c>
      <c r="C1390" s="1" t="s">
        <v>50</v>
      </c>
      <c r="D1390" s="1" t="s">
        <v>41</v>
      </c>
      <c r="E1390" s="3">
        <v>3293491</v>
      </c>
      <c r="F1390" s="1">
        <v>1996.0550424242399</v>
      </c>
      <c r="G1390" s="1">
        <v>5</v>
      </c>
      <c r="H1390" s="1">
        <v>2</v>
      </c>
      <c r="J1390" s="1">
        <v>2</v>
      </c>
      <c r="M1390" s="4">
        <v>1650</v>
      </c>
      <c r="N1390" s="1">
        <v>2155</v>
      </c>
      <c r="O1390" s="1">
        <v>4444</v>
      </c>
      <c r="P1390" s="1">
        <v>2289</v>
      </c>
      <c r="Q1390" s="1" t="s">
        <v>42</v>
      </c>
      <c r="S1390" s="1" t="s">
        <v>42</v>
      </c>
      <c r="T1390" s="1" t="s">
        <v>273</v>
      </c>
      <c r="V1390" s="5">
        <v>44407</v>
      </c>
      <c r="Y1390" s="1">
        <v>3450000</v>
      </c>
      <c r="Z1390" s="5">
        <v>44377</v>
      </c>
      <c r="AA1390" s="1">
        <v>3293490.82</v>
      </c>
      <c r="AB1390" s="1" t="s">
        <v>663</v>
      </c>
      <c r="AC1390" s="5">
        <v>44377</v>
      </c>
      <c r="AF1390" s="1">
        <v>10007</v>
      </c>
      <c r="AJ1390" s="1">
        <v>2017</v>
      </c>
      <c r="AK1390" s="1" t="s">
        <v>202</v>
      </c>
      <c r="AL1390" s="1">
        <v>23</v>
      </c>
    </row>
    <row r="1391" spans="1:38" x14ac:dyDescent="0.2">
      <c r="A1391" s="2" t="str">
        <f>HYPERLINK("https://www.compass.com/listing/155-west-18th-street-unit-202-manhattan-ny-10011/29373027758121393/","155 W 18th St, Unit 202")</f>
        <v>155 W 18th St, Unit 202</v>
      </c>
      <c r="B1391" s="2" t="str">
        <f>HYPERLINK("https://www.compass.com/building/the-flynn-manhattan-ny/281905793161251925/","The Flynn")</f>
        <v>The Flynn</v>
      </c>
      <c r="C1391" s="1" t="s">
        <v>62</v>
      </c>
      <c r="D1391" s="1" t="s">
        <v>41</v>
      </c>
      <c r="E1391" s="3">
        <v>2189238</v>
      </c>
      <c r="F1391" s="1">
        <v>2019.5922509224999</v>
      </c>
      <c r="G1391" s="1">
        <v>4</v>
      </c>
      <c r="H1391" s="1">
        <v>2</v>
      </c>
      <c r="I1391" s="1">
        <v>3</v>
      </c>
      <c r="J1391" s="1">
        <v>2.5</v>
      </c>
      <c r="M1391" s="4">
        <v>1084</v>
      </c>
      <c r="N1391" s="1">
        <v>1652</v>
      </c>
      <c r="O1391" s="1">
        <v>2918</v>
      </c>
      <c r="P1391" s="1">
        <v>1266</v>
      </c>
      <c r="Q1391" s="1" t="s">
        <v>42</v>
      </c>
      <c r="S1391" s="1" t="s">
        <v>42</v>
      </c>
      <c r="T1391" s="1" t="s">
        <v>273</v>
      </c>
      <c r="U1391" s="1">
        <v>1</v>
      </c>
      <c r="V1391" s="5">
        <v>43631</v>
      </c>
      <c r="W1391" s="5">
        <v>42389</v>
      </c>
      <c r="X1391" s="1">
        <v>2400000</v>
      </c>
      <c r="Y1391" s="1">
        <v>2400000</v>
      </c>
      <c r="Z1391" s="5">
        <v>42390</v>
      </c>
      <c r="AA1391" s="1">
        <v>2189238</v>
      </c>
      <c r="AB1391" s="1" t="s">
        <v>566</v>
      </c>
      <c r="AC1391" s="5">
        <v>42681</v>
      </c>
      <c r="AF1391" s="1">
        <v>10011</v>
      </c>
      <c r="AI1391" s="1" t="s">
        <v>114</v>
      </c>
      <c r="AJ1391" s="1">
        <v>2016</v>
      </c>
      <c r="AK1391" s="1" t="s">
        <v>46</v>
      </c>
      <c r="AL1391" s="1">
        <v>30</v>
      </c>
    </row>
    <row r="1392" spans="1:38" x14ac:dyDescent="0.2">
      <c r="A1392" s="2" t="str">
        <f>HYPERLINK("https://www.compass.com/listing/30-warren-street-unit-4c-manhattan-ny-10007/139858245190726113/","30 Warren St, Unit 4C")</f>
        <v>30 Warren St, Unit 4C</v>
      </c>
      <c r="B1392" s="2" t="str">
        <f>HYPERLINK("https://www.compass.com/building/30-warren-manhattan-ny/292789104075095813/","30 WARREN")</f>
        <v>30 WARREN</v>
      </c>
      <c r="C1392" s="1" t="s">
        <v>50</v>
      </c>
      <c r="D1392" s="1" t="s">
        <v>41</v>
      </c>
      <c r="E1392" s="3">
        <v>3265000</v>
      </c>
      <c r="F1392" s="1">
        <v>1960.9609609609599</v>
      </c>
      <c r="G1392" s="1">
        <v>4.5</v>
      </c>
      <c r="H1392" s="1">
        <v>2</v>
      </c>
      <c r="I1392" s="1">
        <v>3</v>
      </c>
      <c r="J1392" s="1">
        <v>2.5</v>
      </c>
      <c r="K1392" s="1">
        <v>2</v>
      </c>
      <c r="L1392" s="1">
        <v>1</v>
      </c>
      <c r="M1392" s="4">
        <v>1665</v>
      </c>
      <c r="N1392" s="1">
        <v>2134</v>
      </c>
      <c r="O1392" s="1">
        <v>3920</v>
      </c>
      <c r="P1392" s="1">
        <v>1786</v>
      </c>
      <c r="Q1392" s="1" t="s">
        <v>42</v>
      </c>
      <c r="S1392" s="1" t="s">
        <v>42</v>
      </c>
      <c r="T1392" s="1" t="s">
        <v>273</v>
      </c>
      <c r="U1392" s="1">
        <v>4</v>
      </c>
      <c r="V1392" s="5">
        <v>44090</v>
      </c>
      <c r="W1392" s="5">
        <v>43444</v>
      </c>
      <c r="X1392" s="1">
        <v>3385000</v>
      </c>
      <c r="Y1392" s="1">
        <v>3385000</v>
      </c>
      <c r="Z1392" s="5">
        <v>43449</v>
      </c>
      <c r="AA1392" s="1">
        <v>3265000</v>
      </c>
      <c r="AB1392" s="1" t="s">
        <v>664</v>
      </c>
      <c r="AC1392" s="5">
        <v>44084</v>
      </c>
      <c r="AF1392" s="1">
        <v>10007</v>
      </c>
      <c r="AJ1392" s="1">
        <v>2017</v>
      </c>
      <c r="AK1392" s="1" t="s">
        <v>125</v>
      </c>
      <c r="AL1392" s="1">
        <v>23</v>
      </c>
    </row>
    <row r="1393" spans="1:38" x14ac:dyDescent="0.2">
      <c r="A1393" s="2" t="str">
        <f>HYPERLINK("https://www.compass.com/listing/100-barclay-street-unit-17r-manhattan-ny-10007/461502434219615313/","100 Barclay St, Unit 17R")</f>
        <v>100 Barclay St, Unit 17R</v>
      </c>
      <c r="B1393" s="2" t="str">
        <f>HYPERLINK("https://www.compass.com/building/100-barclay-manhattan-ny/281896670466155525/","100 Barclay")</f>
        <v>100 Barclay</v>
      </c>
      <c r="C1393" s="1" t="s">
        <v>50</v>
      </c>
      <c r="D1393" s="1" t="s">
        <v>41</v>
      </c>
      <c r="E1393" s="3">
        <v>3900000</v>
      </c>
      <c r="F1393" s="1">
        <v>1846.5909090908999</v>
      </c>
      <c r="G1393" s="1">
        <v>5</v>
      </c>
      <c r="H1393" s="1">
        <v>3</v>
      </c>
      <c r="I1393" s="1">
        <v>3</v>
      </c>
      <c r="J1393" s="1">
        <v>3</v>
      </c>
      <c r="K1393" s="1">
        <v>3</v>
      </c>
      <c r="M1393" s="4">
        <v>2112</v>
      </c>
      <c r="N1393" s="1">
        <v>3045</v>
      </c>
      <c r="O1393" s="1">
        <v>6166</v>
      </c>
      <c r="P1393" s="1">
        <v>3121</v>
      </c>
      <c r="Q1393" s="1" t="s">
        <v>42</v>
      </c>
      <c r="S1393" s="1" t="s">
        <v>42</v>
      </c>
      <c r="T1393" s="1" t="s">
        <v>273</v>
      </c>
      <c r="V1393" s="5">
        <v>44288</v>
      </c>
      <c r="W1393" s="5">
        <v>43887</v>
      </c>
      <c r="X1393" s="1">
        <v>4495000</v>
      </c>
      <c r="Y1393" s="1">
        <v>4495000</v>
      </c>
      <c r="AA1393" s="1">
        <v>3900000</v>
      </c>
      <c r="AB1393" s="1" t="s">
        <v>285</v>
      </c>
      <c r="AC1393" s="5">
        <v>44349</v>
      </c>
      <c r="AF1393" s="1">
        <v>10007</v>
      </c>
      <c r="AI1393" s="1" t="s">
        <v>52</v>
      </c>
      <c r="AJ1393" s="1">
        <v>1930</v>
      </c>
      <c r="AK1393" s="1" t="s">
        <v>46</v>
      </c>
      <c r="AL1393" s="1">
        <v>156</v>
      </c>
    </row>
    <row r="1394" spans="1:38" x14ac:dyDescent="0.2">
      <c r="A1394" s="2" t="str">
        <f>HYPERLINK("https://www.compass.com/listing/155-west-18th-street-unit-404-manhattan-ny-10011/29373030492807665/","155 W 18th St, Unit 404")</f>
        <v>155 W 18th St, Unit 404</v>
      </c>
      <c r="B1394" s="2" t="str">
        <f>HYPERLINK("https://www.compass.com/building/the-flynn-manhattan-ny/281905793161251925/","The Flynn")</f>
        <v>The Flynn</v>
      </c>
      <c r="C1394" s="1" t="s">
        <v>62</v>
      </c>
      <c r="D1394" s="1" t="s">
        <v>41</v>
      </c>
      <c r="E1394" s="3">
        <v>4276650</v>
      </c>
      <c r="F1394" s="1">
        <v>2108.8017751479201</v>
      </c>
      <c r="G1394" s="1">
        <v>4</v>
      </c>
      <c r="H1394" s="1">
        <v>3</v>
      </c>
      <c r="I1394" s="1">
        <v>4</v>
      </c>
      <c r="J1394" s="1">
        <v>0.5</v>
      </c>
      <c r="L1394" s="1">
        <v>1</v>
      </c>
      <c r="M1394" s="4">
        <v>2028</v>
      </c>
      <c r="N1394" s="1">
        <v>3090</v>
      </c>
      <c r="O1394" s="1">
        <v>5459</v>
      </c>
      <c r="P1394" s="1">
        <v>2369</v>
      </c>
      <c r="Q1394" s="1" t="s">
        <v>42</v>
      </c>
      <c r="S1394" s="1" t="s">
        <v>42</v>
      </c>
      <c r="T1394" s="1" t="s">
        <v>273</v>
      </c>
      <c r="U1394" s="1">
        <v>1</v>
      </c>
      <c r="V1394" s="5">
        <v>43658</v>
      </c>
      <c r="W1394" s="5">
        <v>42389</v>
      </c>
      <c r="X1394" s="1">
        <v>4800000</v>
      </c>
      <c r="Y1394" s="1">
        <v>4800000</v>
      </c>
      <c r="Z1394" s="5">
        <v>42390</v>
      </c>
      <c r="AA1394" s="1">
        <v>4276650</v>
      </c>
      <c r="AB1394" s="1" t="s">
        <v>665</v>
      </c>
      <c r="AC1394" s="5">
        <v>42674</v>
      </c>
      <c r="AF1394" s="1">
        <v>10011</v>
      </c>
      <c r="AI1394" s="1" t="s">
        <v>114</v>
      </c>
      <c r="AJ1394" s="1">
        <v>2016</v>
      </c>
      <c r="AK1394" s="1" t="s">
        <v>108</v>
      </c>
      <c r="AL1394" s="1">
        <v>30</v>
      </c>
    </row>
    <row r="1395" spans="1:38" x14ac:dyDescent="0.2">
      <c r="A1395" s="2" t="str">
        <f>HYPERLINK("https://www.compass.com/listing/100-barclay-street-unit-14c-manhattan-ny-10007/4852267566032239537/","100 Barclay St, Unit 14C")</f>
        <v>100 Barclay St, Unit 14C</v>
      </c>
      <c r="B1395" s="2" t="str">
        <f t="shared" ref="B1395:B1396" si="199">HYPERLINK("https://www.compass.com/building/100-barclay-manhattan-ny/281896670466155525/","100 Barclay")</f>
        <v>100 Barclay</v>
      </c>
      <c r="C1395" s="1" t="s">
        <v>50</v>
      </c>
      <c r="D1395" s="1" t="s">
        <v>41</v>
      </c>
      <c r="E1395" s="3">
        <v>4126650</v>
      </c>
      <c r="F1395" s="1">
        <v>2081.0136157337301</v>
      </c>
      <c r="G1395" s="1">
        <v>7</v>
      </c>
      <c r="H1395" s="1">
        <v>3</v>
      </c>
      <c r="I1395" s="1">
        <v>3</v>
      </c>
      <c r="J1395" s="1">
        <v>3</v>
      </c>
      <c r="M1395" s="4">
        <v>1983</v>
      </c>
      <c r="N1395" s="1">
        <v>2476</v>
      </c>
      <c r="O1395" s="1">
        <v>4905</v>
      </c>
      <c r="P1395" s="1">
        <v>2429</v>
      </c>
      <c r="Q1395" s="1" t="s">
        <v>42</v>
      </c>
      <c r="S1395" s="1" t="s">
        <v>42</v>
      </c>
      <c r="T1395" s="1" t="s">
        <v>273</v>
      </c>
      <c r="V1395" s="5">
        <v>43623</v>
      </c>
      <c r="W1395" s="5">
        <v>42166</v>
      </c>
      <c r="X1395" s="1">
        <v>4288500</v>
      </c>
      <c r="Y1395" s="1">
        <v>4288500</v>
      </c>
      <c r="Z1395" s="5">
        <v>42166</v>
      </c>
      <c r="AA1395" s="1">
        <v>4126650</v>
      </c>
      <c r="AB1395" s="1" t="s">
        <v>666</v>
      </c>
      <c r="AC1395" s="5">
        <v>42877</v>
      </c>
      <c r="AF1395" s="1">
        <v>10007</v>
      </c>
      <c r="AI1395" s="1" t="s">
        <v>52</v>
      </c>
      <c r="AJ1395" s="1">
        <v>1930</v>
      </c>
      <c r="AK1395" s="1" t="s">
        <v>49</v>
      </c>
      <c r="AL1395" s="1">
        <v>156</v>
      </c>
    </row>
    <row r="1396" spans="1:38" x14ac:dyDescent="0.2">
      <c r="A1396" s="2" t="str">
        <f>HYPERLINK("https://www.compass.com/listing/100-barclay-street-unit-16n-manhattan-ny-10007/803335808127835409/","100 Barclay St, Unit 16N")</f>
        <v>100 Barclay St, Unit 16N</v>
      </c>
      <c r="B1396" s="2" t="str">
        <f t="shared" si="199"/>
        <v>100 Barclay</v>
      </c>
      <c r="C1396" s="1" t="s">
        <v>50</v>
      </c>
      <c r="D1396" s="1" t="s">
        <v>41</v>
      </c>
      <c r="E1396" s="3">
        <v>3575000</v>
      </c>
      <c r="F1396" s="1">
        <v>1801.9153225806399</v>
      </c>
      <c r="G1396" s="1">
        <v>7</v>
      </c>
      <c r="H1396" s="1">
        <v>3</v>
      </c>
      <c r="I1396" s="1">
        <v>3</v>
      </c>
      <c r="J1396" s="1">
        <v>3</v>
      </c>
      <c r="M1396" s="4">
        <v>1984</v>
      </c>
      <c r="N1396" s="1">
        <v>2480</v>
      </c>
      <c r="O1396" s="1">
        <v>4913</v>
      </c>
      <c r="P1396" s="1">
        <v>2433</v>
      </c>
      <c r="Q1396" s="1" t="s">
        <v>42</v>
      </c>
      <c r="S1396" s="1" t="s">
        <v>42</v>
      </c>
      <c r="T1396" s="1" t="s">
        <v>273</v>
      </c>
      <c r="V1396" s="5">
        <v>43038</v>
      </c>
      <c r="W1396" s="5">
        <v>42159</v>
      </c>
      <c r="X1396" s="1">
        <v>3900000</v>
      </c>
      <c r="Y1396" s="1">
        <v>3900000</v>
      </c>
      <c r="Z1396" s="5">
        <v>42160</v>
      </c>
      <c r="AA1396" s="1">
        <v>3575000</v>
      </c>
      <c r="AB1396" s="1" t="s">
        <v>667</v>
      </c>
      <c r="AC1396" s="5">
        <v>42902</v>
      </c>
      <c r="AF1396" s="1">
        <v>10007</v>
      </c>
      <c r="AI1396" s="1" t="s">
        <v>52</v>
      </c>
      <c r="AJ1396" s="1">
        <v>1930</v>
      </c>
      <c r="AK1396" s="1" t="s">
        <v>49</v>
      </c>
      <c r="AL1396" s="1">
        <v>156</v>
      </c>
    </row>
    <row r="1397" spans="1:38" x14ac:dyDescent="0.2">
      <c r="A1397" s="2" t="str">
        <f>HYPERLINK("https://www.compass.com/listing/155-west-18th-street-unit-301-manhattan-ny-10011/29373028194375313/","155 W 18th St, Unit 301")</f>
        <v>155 W 18th St, Unit 301</v>
      </c>
      <c r="B1397" s="2" t="str">
        <f t="shared" ref="B1397:B1400" si="200">HYPERLINK("https://www.compass.com/building/the-flynn-manhattan-ny/281905793161251925/","The Flynn")</f>
        <v>The Flynn</v>
      </c>
      <c r="C1397" s="1" t="s">
        <v>62</v>
      </c>
      <c r="D1397" s="1" t="s">
        <v>41</v>
      </c>
      <c r="E1397" s="3">
        <v>3864259</v>
      </c>
      <c r="F1397" s="1">
        <v>1980.6555612506399</v>
      </c>
      <c r="G1397" s="1">
        <v>4</v>
      </c>
      <c r="H1397" s="1">
        <v>3</v>
      </c>
      <c r="I1397" s="1">
        <v>4</v>
      </c>
      <c r="J1397" s="1">
        <v>0.5</v>
      </c>
      <c r="L1397" s="1">
        <v>1</v>
      </c>
      <c r="M1397" s="4">
        <v>1951</v>
      </c>
      <c r="N1397" s="1">
        <v>2973</v>
      </c>
      <c r="O1397" s="1">
        <v>5252</v>
      </c>
      <c r="P1397" s="1">
        <v>2279</v>
      </c>
      <c r="Q1397" s="1" t="s">
        <v>42</v>
      </c>
      <c r="S1397" s="1" t="s">
        <v>42</v>
      </c>
      <c r="T1397" s="1" t="s">
        <v>273</v>
      </c>
      <c r="U1397" s="1">
        <v>28</v>
      </c>
      <c r="V1397" s="5">
        <v>43640</v>
      </c>
      <c r="W1397" s="5">
        <v>42483</v>
      </c>
      <c r="X1397" s="1">
        <v>3795000</v>
      </c>
      <c r="Y1397" s="1">
        <v>3950000</v>
      </c>
      <c r="Z1397" s="5">
        <v>42511</v>
      </c>
      <c r="AA1397" s="1">
        <v>3864259</v>
      </c>
      <c r="AB1397" s="1" t="s">
        <v>668</v>
      </c>
      <c r="AC1397" s="5">
        <v>42663</v>
      </c>
      <c r="AF1397" s="1">
        <v>10011</v>
      </c>
      <c r="AI1397" s="1" t="s">
        <v>495</v>
      </c>
      <c r="AJ1397" s="1">
        <v>2016</v>
      </c>
      <c r="AK1397" s="1" t="s">
        <v>108</v>
      </c>
      <c r="AL1397" s="1">
        <v>30</v>
      </c>
    </row>
    <row r="1398" spans="1:38" x14ac:dyDescent="0.2">
      <c r="A1398" s="2" t="str">
        <f>HYPERLINK("https://www.compass.com/listing/155-west-18th-street-unit-401-manhattan-ny-10011/29373029502998193/","155 W 18th St, Unit 401")</f>
        <v>155 W 18th St, Unit 401</v>
      </c>
      <c r="B1398" s="2" t="str">
        <f t="shared" si="200"/>
        <v>The Flynn</v>
      </c>
      <c r="C1398" s="1" t="s">
        <v>62</v>
      </c>
      <c r="D1398" s="1" t="s">
        <v>41</v>
      </c>
      <c r="E1398" s="3">
        <v>3971175</v>
      </c>
      <c r="F1398" s="1">
        <v>2035.4561763198301</v>
      </c>
      <c r="G1398" s="1">
        <v>4</v>
      </c>
      <c r="H1398" s="1">
        <v>3</v>
      </c>
      <c r="I1398" s="1">
        <v>4</v>
      </c>
      <c r="J1398" s="1">
        <v>0.5</v>
      </c>
      <c r="L1398" s="1">
        <v>1</v>
      </c>
      <c r="M1398" s="4">
        <v>1951</v>
      </c>
      <c r="N1398" s="1">
        <v>2973</v>
      </c>
      <c r="O1398" s="1">
        <v>5252</v>
      </c>
      <c r="P1398" s="1">
        <v>2279</v>
      </c>
      <c r="Q1398" s="1" t="s">
        <v>42</v>
      </c>
      <c r="S1398" s="1" t="s">
        <v>42</v>
      </c>
      <c r="T1398" s="1" t="s">
        <v>273</v>
      </c>
      <c r="U1398" s="1">
        <v>1</v>
      </c>
      <c r="V1398" s="5">
        <v>43657</v>
      </c>
      <c r="W1398" s="5">
        <v>42510</v>
      </c>
      <c r="X1398" s="1">
        <v>4050000</v>
      </c>
      <c r="Y1398" s="1">
        <v>4050000</v>
      </c>
      <c r="Z1398" s="5">
        <v>42511</v>
      </c>
      <c r="AA1398" s="1">
        <v>3971175</v>
      </c>
      <c r="AB1398" s="1" t="s">
        <v>669</v>
      </c>
      <c r="AC1398" s="5">
        <v>42661</v>
      </c>
      <c r="AF1398" s="1">
        <v>10011</v>
      </c>
      <c r="AI1398" s="1" t="s">
        <v>114</v>
      </c>
      <c r="AJ1398" s="1">
        <v>2016</v>
      </c>
      <c r="AK1398" s="1" t="s">
        <v>108</v>
      </c>
      <c r="AL1398" s="1">
        <v>30</v>
      </c>
    </row>
    <row r="1399" spans="1:38" x14ac:dyDescent="0.2">
      <c r="A1399" s="2" t="str">
        <f>HYPERLINK("https://www.compass.com/listing/155-west-18th-street-unit-501-manhattan-ny-10011/29373030954227409/","155 W 18th St, Unit 501")</f>
        <v>155 W 18th St, Unit 501</v>
      </c>
      <c r="B1399" s="2" t="str">
        <f t="shared" si="200"/>
        <v>The Flynn</v>
      </c>
      <c r="C1399" s="1" t="s">
        <v>62</v>
      </c>
      <c r="D1399" s="1" t="s">
        <v>41</v>
      </c>
      <c r="E1399" s="3">
        <v>4174825</v>
      </c>
      <c r="F1399" s="1">
        <v>2139.8385443362299</v>
      </c>
      <c r="G1399" s="1">
        <v>4</v>
      </c>
      <c r="H1399" s="1">
        <v>3</v>
      </c>
      <c r="I1399" s="1">
        <v>4</v>
      </c>
      <c r="J1399" s="1">
        <v>0.5</v>
      </c>
      <c r="L1399" s="1">
        <v>1</v>
      </c>
      <c r="M1399" s="4">
        <v>1951</v>
      </c>
      <c r="N1399" s="1">
        <v>2973</v>
      </c>
      <c r="O1399" s="1">
        <v>5252</v>
      </c>
      <c r="P1399" s="1">
        <v>2279</v>
      </c>
      <c r="Q1399" s="1" t="s">
        <v>42</v>
      </c>
      <c r="S1399" s="1" t="s">
        <v>42</v>
      </c>
      <c r="T1399" s="1" t="s">
        <v>273</v>
      </c>
      <c r="U1399" s="1">
        <v>1</v>
      </c>
      <c r="V1399" s="5">
        <v>43640</v>
      </c>
      <c r="W1399" s="5">
        <v>42510</v>
      </c>
      <c r="X1399" s="1">
        <v>4150000</v>
      </c>
      <c r="Y1399" s="1">
        <v>4150000</v>
      </c>
      <c r="Z1399" s="5">
        <v>42511</v>
      </c>
      <c r="AA1399" s="1">
        <v>4174825</v>
      </c>
      <c r="AB1399" s="1" t="s">
        <v>670</v>
      </c>
      <c r="AC1399" s="5">
        <v>42656</v>
      </c>
      <c r="AF1399" s="1">
        <v>10011</v>
      </c>
      <c r="AI1399" s="1" t="s">
        <v>495</v>
      </c>
      <c r="AJ1399" s="1">
        <v>2016</v>
      </c>
      <c r="AK1399" s="1" t="s">
        <v>108</v>
      </c>
      <c r="AL1399" s="1">
        <v>30</v>
      </c>
    </row>
    <row r="1400" spans="1:38" x14ac:dyDescent="0.2">
      <c r="A1400" s="2" t="str">
        <f>HYPERLINK("https://www.compass.com/listing/155-west-18th-street-unit-601-manhattan-ny-10011/4829943410540419489/","155 W 18th St, Unit 601")</f>
        <v>155 W 18th St, Unit 601</v>
      </c>
      <c r="B1400" s="2" t="str">
        <f t="shared" si="200"/>
        <v>The Flynn</v>
      </c>
      <c r="C1400" s="1" t="s">
        <v>62</v>
      </c>
      <c r="D1400" s="1" t="s">
        <v>41</v>
      </c>
      <c r="E1400" s="3">
        <v>4250000</v>
      </c>
      <c r="F1400" s="1">
        <v>2178.3700666324899</v>
      </c>
      <c r="G1400" s="1">
        <v>4</v>
      </c>
      <c r="H1400" s="1">
        <v>3</v>
      </c>
      <c r="I1400" s="1">
        <v>4</v>
      </c>
      <c r="J1400" s="1">
        <v>0.5</v>
      </c>
      <c r="L1400" s="1">
        <v>1</v>
      </c>
      <c r="M1400" s="4">
        <v>1951</v>
      </c>
      <c r="N1400" s="1">
        <v>2973</v>
      </c>
      <c r="O1400" s="1">
        <v>5252</v>
      </c>
      <c r="P1400" s="1">
        <v>2279</v>
      </c>
      <c r="Q1400" s="1" t="s">
        <v>42</v>
      </c>
      <c r="S1400" s="1" t="s">
        <v>42</v>
      </c>
      <c r="T1400" s="1" t="s">
        <v>273</v>
      </c>
      <c r="U1400" s="1">
        <v>208</v>
      </c>
      <c r="V1400" s="5">
        <v>43661</v>
      </c>
      <c r="W1400" s="5">
        <v>42510</v>
      </c>
      <c r="X1400" s="1">
        <v>4250000</v>
      </c>
      <c r="Y1400" s="1">
        <v>4250000</v>
      </c>
      <c r="AA1400" s="1">
        <v>4250000</v>
      </c>
      <c r="AB1400" s="1" t="s">
        <v>671</v>
      </c>
      <c r="AC1400" s="5">
        <v>42742</v>
      </c>
      <c r="AF1400" s="1">
        <v>10011</v>
      </c>
      <c r="AI1400" s="1" t="s">
        <v>114</v>
      </c>
      <c r="AJ1400" s="1">
        <v>2016</v>
      </c>
      <c r="AK1400" s="1" t="s">
        <v>108</v>
      </c>
      <c r="AL1400" s="1">
        <v>30</v>
      </c>
    </row>
    <row r="1401" spans="1:38" x14ac:dyDescent="0.2">
      <c r="A1401" s="2" t="str">
        <f>HYPERLINK("https://www.compass.com/listing/100-barclay-street-unit-13c-manhattan-ny-10007/29513629468505585/","100 Barclay St, Unit 13C")</f>
        <v>100 Barclay St, Unit 13C</v>
      </c>
      <c r="B1401" s="2" t="str">
        <f>HYPERLINK("https://www.compass.com/building/100-barclay-manhattan-ny/281896670466155525/","100 Barclay")</f>
        <v>100 Barclay</v>
      </c>
      <c r="C1401" s="1" t="s">
        <v>50</v>
      </c>
      <c r="D1401" s="1" t="s">
        <v>41</v>
      </c>
      <c r="E1401" s="3">
        <v>2910000</v>
      </c>
      <c r="F1401" s="1">
        <v>2016.6320166320099</v>
      </c>
      <c r="G1401" s="1">
        <v>4</v>
      </c>
      <c r="H1401" s="1">
        <v>2</v>
      </c>
      <c r="I1401" s="1">
        <v>3</v>
      </c>
      <c r="J1401" s="1">
        <v>2.5</v>
      </c>
      <c r="K1401" s="1">
        <v>2</v>
      </c>
      <c r="L1401" s="1">
        <v>1</v>
      </c>
      <c r="M1401" s="4">
        <v>1443</v>
      </c>
      <c r="N1401" s="1">
        <v>2080</v>
      </c>
      <c r="O1401" s="1">
        <v>3992</v>
      </c>
      <c r="P1401" s="1">
        <v>1912</v>
      </c>
      <c r="Q1401" s="1" t="s">
        <v>42</v>
      </c>
      <c r="S1401" s="1" t="s">
        <v>42</v>
      </c>
      <c r="T1401" s="1" t="s">
        <v>273</v>
      </c>
      <c r="U1401" s="1">
        <v>505</v>
      </c>
      <c r="V1401" s="5">
        <v>43694</v>
      </c>
      <c r="W1401" s="5">
        <v>43110</v>
      </c>
      <c r="X1401" s="1">
        <v>3338500</v>
      </c>
      <c r="Y1401" s="1">
        <v>2995000</v>
      </c>
      <c r="Z1401" s="5">
        <v>43615</v>
      </c>
      <c r="AA1401" s="1">
        <v>2910000</v>
      </c>
      <c r="AB1401" s="1" t="s">
        <v>672</v>
      </c>
      <c r="AC1401" s="5">
        <v>43636</v>
      </c>
      <c r="AF1401" s="1">
        <v>10007</v>
      </c>
      <c r="AI1401" s="1" t="s">
        <v>133</v>
      </c>
      <c r="AJ1401" s="1">
        <v>1930</v>
      </c>
      <c r="AK1401" s="1" t="s">
        <v>46</v>
      </c>
      <c r="AL1401" s="1">
        <v>156</v>
      </c>
    </row>
    <row r="1402" spans="1:38" x14ac:dyDescent="0.2">
      <c r="A1402" s="2" t="str">
        <f>HYPERLINK("https://www.compass.com/listing/45-east-22nd-street-unit-34b-manhattan-ny-10010/242657863325991569/","45 E 22nd St, Unit 34B")</f>
        <v>45 E 22nd St, Unit 34B</v>
      </c>
      <c r="B1402" s="2" t="str">
        <f>HYPERLINK("https://www.compass.com/building/madison-square-park-tower-manhattan-ny/281903584482705973/","Madison Square Park Tower")</f>
        <v>Madison Square Park Tower</v>
      </c>
      <c r="C1402" s="1" t="s">
        <v>56</v>
      </c>
      <c r="D1402" s="1" t="s">
        <v>41</v>
      </c>
      <c r="E1402" s="3">
        <v>5150000</v>
      </c>
      <c r="F1402" s="1">
        <v>3366.0130718954201</v>
      </c>
      <c r="G1402" s="1">
        <v>4</v>
      </c>
      <c r="H1402" s="1">
        <v>2</v>
      </c>
      <c r="I1402" s="1">
        <v>2</v>
      </c>
      <c r="J1402" s="1">
        <v>2</v>
      </c>
      <c r="K1402" s="1">
        <v>2</v>
      </c>
      <c r="M1402" s="4">
        <v>1530</v>
      </c>
      <c r="N1402" s="1">
        <v>1776</v>
      </c>
      <c r="O1402" s="1">
        <v>5618</v>
      </c>
      <c r="P1402" s="1">
        <v>3842</v>
      </c>
      <c r="Q1402" s="1" t="s">
        <v>42</v>
      </c>
      <c r="S1402" s="1" t="s">
        <v>42</v>
      </c>
      <c r="T1402" s="1" t="s">
        <v>273</v>
      </c>
      <c r="U1402" s="1">
        <v>204</v>
      </c>
      <c r="V1402" s="5">
        <v>43879</v>
      </c>
      <c r="W1402" s="5">
        <v>43589</v>
      </c>
      <c r="X1402" s="1">
        <v>5495000</v>
      </c>
      <c r="Y1402" s="1">
        <v>5395000</v>
      </c>
      <c r="Z1402" s="5">
        <v>43793</v>
      </c>
      <c r="AA1402" s="1">
        <v>5150000</v>
      </c>
      <c r="AB1402" s="1" t="s">
        <v>673</v>
      </c>
      <c r="AC1402" s="5">
        <v>43865</v>
      </c>
      <c r="AF1402" s="1">
        <v>10010</v>
      </c>
      <c r="AI1402" s="1" t="s">
        <v>48</v>
      </c>
      <c r="AJ1402" s="1">
        <v>2016</v>
      </c>
      <c r="AK1402" s="1" t="s">
        <v>49</v>
      </c>
      <c r="AL1402" s="1">
        <v>83</v>
      </c>
    </row>
    <row r="1403" spans="1:38" x14ac:dyDescent="0.2">
      <c r="A1403" s="2" t="str">
        <f>HYPERLINK("https://www.compass.com/listing/100-barclay-street-unit-14r-manhattan-ny-10007/4852274725675613521/","100 Barclay St, Unit 14R")</f>
        <v>100 Barclay St, Unit 14R</v>
      </c>
      <c r="B1403" s="2" t="str">
        <f>HYPERLINK("https://www.compass.com/building/100-barclay-manhattan-ny/281896670466155525/","100 Barclay")</f>
        <v>100 Barclay</v>
      </c>
      <c r="C1403" s="1" t="s">
        <v>50</v>
      </c>
      <c r="D1403" s="1" t="s">
        <v>41</v>
      </c>
      <c r="E1403" s="3">
        <v>4368475</v>
      </c>
      <c r="F1403" s="1">
        <v>1974.89828209764</v>
      </c>
      <c r="G1403" s="1">
        <v>5</v>
      </c>
      <c r="H1403" s="1">
        <v>3</v>
      </c>
      <c r="I1403" s="1">
        <v>3</v>
      </c>
      <c r="J1403" s="1">
        <v>3</v>
      </c>
      <c r="K1403" s="1">
        <v>3</v>
      </c>
      <c r="M1403" s="4">
        <v>2212</v>
      </c>
      <c r="N1403" s="1">
        <v>2838</v>
      </c>
      <c r="O1403" s="1">
        <v>5552</v>
      </c>
      <c r="P1403" s="1">
        <v>2714</v>
      </c>
      <c r="Q1403" s="1" t="s">
        <v>42</v>
      </c>
      <c r="S1403" s="1" t="s">
        <v>42</v>
      </c>
      <c r="T1403" s="1" t="s">
        <v>273</v>
      </c>
      <c r="U1403" s="1">
        <v>30</v>
      </c>
      <c r="V1403" s="5">
        <v>43623</v>
      </c>
      <c r="W1403" s="5">
        <v>42754</v>
      </c>
      <c r="X1403" s="1">
        <v>4685000</v>
      </c>
      <c r="Y1403" s="1">
        <v>4685000</v>
      </c>
      <c r="Z1403" s="5">
        <v>42784</v>
      </c>
      <c r="AA1403" s="1">
        <v>4368475</v>
      </c>
      <c r="AB1403" s="1" t="s">
        <v>674</v>
      </c>
      <c r="AC1403" s="5">
        <v>42888</v>
      </c>
      <c r="AF1403" s="1">
        <v>10007</v>
      </c>
      <c r="AI1403" s="1" t="s">
        <v>52</v>
      </c>
      <c r="AJ1403" s="1">
        <v>1930</v>
      </c>
      <c r="AK1403" s="1" t="s">
        <v>46</v>
      </c>
      <c r="AL1403" s="1">
        <v>156</v>
      </c>
    </row>
    <row r="1404" spans="1:38" x14ac:dyDescent="0.2">
      <c r="A1404" s="2" t="str">
        <f>HYPERLINK("https://www.compass.com/listing/45-east-22nd-street-unit-18a-manhattan-ny-10010/29375852244473489/","45 E 22nd St, Unit 18A")</f>
        <v>45 E 22nd St, Unit 18A</v>
      </c>
      <c r="B1404" s="2" t="str">
        <f>HYPERLINK("https://www.compass.com/building/madison-square-park-tower-manhattan-ny/281903584482705973/","Madison Square Park Tower")</f>
        <v>Madison Square Park Tower</v>
      </c>
      <c r="C1404" s="1" t="s">
        <v>56</v>
      </c>
      <c r="D1404" s="1" t="s">
        <v>41</v>
      </c>
      <c r="E1404" s="3">
        <v>5820308</v>
      </c>
      <c r="F1404" s="1">
        <v>2722.3143124415301</v>
      </c>
      <c r="G1404" s="1">
        <v>5</v>
      </c>
      <c r="H1404" s="1">
        <v>3</v>
      </c>
      <c r="I1404" s="1">
        <v>3</v>
      </c>
      <c r="J1404" s="1">
        <v>3</v>
      </c>
      <c r="M1404" s="4">
        <v>2138</v>
      </c>
      <c r="N1404" s="1">
        <v>2310</v>
      </c>
      <c r="O1404" s="1">
        <v>5822</v>
      </c>
      <c r="P1404" s="1">
        <v>3512</v>
      </c>
      <c r="Q1404" s="1" t="s">
        <v>42</v>
      </c>
      <c r="S1404" s="1" t="s">
        <v>42</v>
      </c>
      <c r="T1404" s="1" t="s">
        <v>273</v>
      </c>
      <c r="U1404" s="1">
        <v>119</v>
      </c>
      <c r="V1404" s="5">
        <v>43649</v>
      </c>
      <c r="W1404" s="5">
        <v>42865</v>
      </c>
      <c r="X1404" s="1">
        <v>5740000</v>
      </c>
      <c r="Y1404" s="1">
        <v>5740000</v>
      </c>
      <c r="Z1404" s="5">
        <v>42984</v>
      </c>
      <c r="AA1404" s="1">
        <v>5820308</v>
      </c>
      <c r="AB1404" s="1" t="s">
        <v>675</v>
      </c>
      <c r="AC1404" s="5">
        <v>43014</v>
      </c>
      <c r="AF1404" s="1">
        <v>10010</v>
      </c>
      <c r="AI1404" s="1" t="s">
        <v>48</v>
      </c>
      <c r="AJ1404" s="1">
        <v>2016</v>
      </c>
      <c r="AK1404" s="1" t="s">
        <v>49</v>
      </c>
      <c r="AL1404" s="1">
        <v>83</v>
      </c>
    </row>
    <row r="1405" spans="1:38" x14ac:dyDescent="0.2">
      <c r="A1405" s="2" t="str">
        <f>HYPERLINK("https://www.compass.com/listing/100-barclay-street-unit-11b-manhattan-ny-10007/803319323791414425/","100 Barclay St, Unit 11B")</f>
        <v>100 Barclay St, Unit 11B</v>
      </c>
      <c r="B1405" s="2" t="str">
        <f t="shared" ref="B1405:B1411" si="201">HYPERLINK("https://www.compass.com/building/100-barclay-manhattan-ny/281896670466155525/","100 Barclay")</f>
        <v>100 Barclay</v>
      </c>
      <c r="C1405" s="1" t="s">
        <v>50</v>
      </c>
      <c r="D1405" s="1" t="s">
        <v>41</v>
      </c>
      <c r="E1405" s="3">
        <v>4725000</v>
      </c>
      <c r="F1405" s="1">
        <v>1995.35472972972</v>
      </c>
      <c r="G1405" s="1">
        <v>6.5</v>
      </c>
      <c r="H1405" s="1">
        <v>3</v>
      </c>
      <c r="I1405" s="1">
        <v>4</v>
      </c>
      <c r="J1405" s="1">
        <v>3.5</v>
      </c>
      <c r="K1405" s="1">
        <v>3</v>
      </c>
      <c r="L1405" s="1">
        <v>1</v>
      </c>
      <c r="M1405" s="4">
        <v>2368</v>
      </c>
      <c r="N1405" s="1">
        <v>3665</v>
      </c>
      <c r="O1405" s="1">
        <v>7763</v>
      </c>
      <c r="P1405" s="1">
        <v>4098</v>
      </c>
      <c r="Q1405" s="1" t="s">
        <v>42</v>
      </c>
      <c r="S1405" s="1" t="s">
        <v>42</v>
      </c>
      <c r="T1405" s="1" t="s">
        <v>273</v>
      </c>
      <c r="U1405" s="1">
        <v>1</v>
      </c>
      <c r="V1405" s="5">
        <v>44173</v>
      </c>
      <c r="W1405" s="5">
        <v>44082</v>
      </c>
      <c r="X1405" s="1">
        <v>5500000</v>
      </c>
      <c r="Y1405" s="1">
        <v>5500000</v>
      </c>
      <c r="Z1405" s="5">
        <v>44083</v>
      </c>
      <c r="AA1405" s="1">
        <v>4725000</v>
      </c>
      <c r="AB1405" s="1" t="s">
        <v>676</v>
      </c>
      <c r="AC1405" s="5">
        <v>44174</v>
      </c>
      <c r="AF1405" s="1">
        <v>10007</v>
      </c>
      <c r="AI1405" s="1" t="s">
        <v>677</v>
      </c>
      <c r="AJ1405" s="1">
        <v>1930</v>
      </c>
      <c r="AK1405" s="1" t="s">
        <v>46</v>
      </c>
      <c r="AL1405" s="1">
        <v>156</v>
      </c>
    </row>
    <row r="1406" spans="1:38" x14ac:dyDescent="0.2">
      <c r="A1406" s="2" t="str">
        <f>HYPERLINK("https://www.compass.com/listing/100-barclay-street-unit-13a-manhattan-ny-10007/21730714944858433/","100 Barclay St, Unit 13A")</f>
        <v>100 Barclay St, Unit 13A</v>
      </c>
      <c r="B1406" s="2" t="str">
        <f t="shared" si="201"/>
        <v>100 Barclay</v>
      </c>
      <c r="C1406" s="1" t="s">
        <v>50</v>
      </c>
      <c r="D1406" s="1" t="s">
        <v>41</v>
      </c>
      <c r="E1406" s="3">
        <v>4917000</v>
      </c>
      <c r="F1406" s="1">
        <v>1808.3854358219901</v>
      </c>
      <c r="G1406" s="1">
        <v>6.5</v>
      </c>
      <c r="H1406" s="1">
        <v>4</v>
      </c>
      <c r="I1406" s="1">
        <v>4</v>
      </c>
      <c r="J1406" s="1">
        <v>4</v>
      </c>
      <c r="K1406" s="1">
        <v>4</v>
      </c>
      <c r="M1406" s="4">
        <v>2719</v>
      </c>
      <c r="N1406" s="1">
        <v>3920</v>
      </c>
      <c r="O1406" s="1">
        <v>7515</v>
      </c>
      <c r="P1406" s="1">
        <v>3595</v>
      </c>
      <c r="Q1406" s="1" t="s">
        <v>42</v>
      </c>
      <c r="S1406" s="1" t="s">
        <v>42</v>
      </c>
      <c r="T1406" s="1" t="s">
        <v>273</v>
      </c>
      <c r="U1406" s="1">
        <v>218</v>
      </c>
      <c r="V1406" s="5">
        <v>43922</v>
      </c>
      <c r="W1406" s="5">
        <v>43621</v>
      </c>
      <c r="X1406" s="1">
        <v>5225000</v>
      </c>
      <c r="Y1406" s="1">
        <v>5225000</v>
      </c>
      <c r="Z1406" s="5">
        <v>43839</v>
      </c>
      <c r="AA1406" s="1">
        <v>4917000</v>
      </c>
      <c r="AB1406" s="1" t="s">
        <v>678</v>
      </c>
      <c r="AC1406" s="5">
        <v>43887</v>
      </c>
      <c r="AF1406" s="1">
        <v>10007</v>
      </c>
      <c r="AI1406" s="1" t="s">
        <v>133</v>
      </c>
      <c r="AJ1406" s="1">
        <v>1930</v>
      </c>
      <c r="AK1406" s="1" t="s">
        <v>46</v>
      </c>
      <c r="AL1406" s="1">
        <v>156</v>
      </c>
    </row>
    <row r="1407" spans="1:38" x14ac:dyDescent="0.2">
      <c r="A1407" s="2" t="str">
        <f>HYPERLINK("https://www.compass.com/listing/100-barclay-street-unit-23c-manhattan-ny-10007/23228837521331537/","100 Barclay St, Unit 23C")</f>
        <v>100 Barclay St, Unit 23C</v>
      </c>
      <c r="B1407" s="2" t="str">
        <f t="shared" si="201"/>
        <v>100 Barclay</v>
      </c>
      <c r="C1407" s="1" t="s">
        <v>50</v>
      </c>
      <c r="D1407" s="1" t="s">
        <v>41</v>
      </c>
      <c r="E1407" s="3">
        <v>5200000</v>
      </c>
      <c r="F1407" s="1">
        <v>1917.40412979351</v>
      </c>
      <c r="G1407" s="1">
        <v>6</v>
      </c>
      <c r="H1407" s="1">
        <v>3</v>
      </c>
      <c r="I1407" s="1">
        <v>4</v>
      </c>
      <c r="J1407" s="1">
        <v>4</v>
      </c>
      <c r="K1407" s="1">
        <v>4</v>
      </c>
      <c r="M1407" s="4">
        <v>2712</v>
      </c>
      <c r="N1407" s="1">
        <v>3910</v>
      </c>
      <c r="O1407" s="1">
        <v>8215.7900000000009</v>
      </c>
      <c r="P1407" s="1">
        <v>4305.75</v>
      </c>
      <c r="Q1407" s="1" t="s">
        <v>42</v>
      </c>
      <c r="S1407" s="1" t="s">
        <v>42</v>
      </c>
      <c r="T1407" s="1" t="s">
        <v>273</v>
      </c>
      <c r="U1407" s="1">
        <v>599</v>
      </c>
      <c r="V1407" s="5">
        <v>44414</v>
      </c>
      <c r="W1407" s="5">
        <v>43671</v>
      </c>
      <c r="X1407" s="1">
        <v>6025000</v>
      </c>
      <c r="Y1407" s="1">
        <v>6025000</v>
      </c>
      <c r="Z1407" s="5">
        <v>44364</v>
      </c>
      <c r="AA1407" s="1">
        <v>5200000</v>
      </c>
      <c r="AB1407" s="1" t="s">
        <v>275</v>
      </c>
      <c r="AC1407" s="5">
        <v>44405</v>
      </c>
      <c r="AF1407" s="1">
        <v>10007</v>
      </c>
      <c r="AI1407" s="1" t="s">
        <v>52</v>
      </c>
      <c r="AJ1407" s="1">
        <v>1930</v>
      </c>
      <c r="AK1407" s="1" t="s">
        <v>46</v>
      </c>
      <c r="AL1407" s="1">
        <v>156</v>
      </c>
    </row>
    <row r="1408" spans="1:38" x14ac:dyDescent="0.2">
      <c r="A1408" s="2" t="str">
        <f>HYPERLINK("https://www.compass.com/listing/100-barclay-street-unit-16b-manhattan-ny-10007/243472187179162161/","100 Barclay St, Unit 16B")</f>
        <v>100 Barclay St, Unit 16B</v>
      </c>
      <c r="B1408" s="2" t="str">
        <f t="shared" si="201"/>
        <v>100 Barclay</v>
      </c>
      <c r="C1408" s="1" t="s">
        <v>50</v>
      </c>
      <c r="D1408" s="1" t="s">
        <v>41</v>
      </c>
      <c r="E1408" s="3">
        <v>4850000</v>
      </c>
      <c r="F1408" s="1">
        <v>2174.8878923766802</v>
      </c>
      <c r="G1408" s="1">
        <v>6</v>
      </c>
      <c r="H1408" s="1">
        <v>3</v>
      </c>
      <c r="I1408" s="1">
        <v>4</v>
      </c>
      <c r="J1408" s="1">
        <v>3.5</v>
      </c>
      <c r="K1408" s="1">
        <v>3</v>
      </c>
      <c r="L1408" s="1">
        <v>1</v>
      </c>
      <c r="M1408" s="4">
        <v>2230</v>
      </c>
      <c r="N1408" s="1">
        <v>3269</v>
      </c>
      <c r="O1408" s="1">
        <v>6269</v>
      </c>
      <c r="P1408" s="1">
        <v>3000</v>
      </c>
      <c r="Q1408" s="1" t="s">
        <v>42</v>
      </c>
      <c r="S1408" s="1" t="s">
        <v>42</v>
      </c>
      <c r="T1408" s="1" t="s">
        <v>273</v>
      </c>
      <c r="U1408" s="1">
        <v>33</v>
      </c>
      <c r="V1408" s="5">
        <v>43697</v>
      </c>
      <c r="W1408" s="5">
        <v>43588</v>
      </c>
      <c r="X1408" s="1">
        <v>5155000</v>
      </c>
      <c r="Y1408" s="1">
        <v>5155000</v>
      </c>
      <c r="Z1408" s="5">
        <v>43621</v>
      </c>
      <c r="AA1408" s="1">
        <v>4850000</v>
      </c>
      <c r="AB1408" s="1" t="s">
        <v>679</v>
      </c>
      <c r="AC1408" s="5">
        <v>43642</v>
      </c>
      <c r="AF1408" s="1">
        <v>10007</v>
      </c>
      <c r="AI1408" s="1" t="s">
        <v>103</v>
      </c>
      <c r="AJ1408" s="1">
        <v>1930</v>
      </c>
      <c r="AK1408" s="1" t="s">
        <v>46</v>
      </c>
      <c r="AL1408" s="1">
        <v>156</v>
      </c>
    </row>
    <row r="1409" spans="1:38" x14ac:dyDescent="0.2">
      <c r="A1409" s="2" t="str">
        <f>HYPERLINK("https://www.compass.com/listing/100-barclay-street-unit-17a-manhattan-ny-10007/26850074973763137/","100 Barclay St, Unit 17A")</f>
        <v>100 Barclay St, Unit 17A</v>
      </c>
      <c r="B1409" s="2" t="str">
        <f t="shared" si="201"/>
        <v>100 Barclay</v>
      </c>
      <c r="C1409" s="1" t="s">
        <v>50</v>
      </c>
      <c r="D1409" s="1" t="s">
        <v>41</v>
      </c>
      <c r="E1409" s="3">
        <v>4883950</v>
      </c>
      <c r="F1409" s="1">
        <v>1952.0183852917601</v>
      </c>
      <c r="G1409" s="1">
        <v>8</v>
      </c>
      <c r="H1409" s="1">
        <v>4</v>
      </c>
      <c r="I1409" s="1">
        <v>5</v>
      </c>
      <c r="J1409" s="1">
        <v>4.5</v>
      </c>
      <c r="K1409" s="1">
        <v>4</v>
      </c>
      <c r="L1409" s="1">
        <v>1</v>
      </c>
      <c r="M1409" s="4">
        <v>2502</v>
      </c>
      <c r="N1409" s="1">
        <v>3607</v>
      </c>
      <c r="O1409" s="1">
        <v>7304</v>
      </c>
      <c r="P1409" s="1">
        <v>3697</v>
      </c>
      <c r="Q1409" s="1" t="s">
        <v>42</v>
      </c>
      <c r="S1409" s="1" t="s">
        <v>42</v>
      </c>
      <c r="T1409" s="1" t="s">
        <v>273</v>
      </c>
      <c r="U1409" s="1">
        <v>32</v>
      </c>
      <c r="V1409" s="5">
        <v>43978</v>
      </c>
      <c r="W1409" s="5">
        <v>43872</v>
      </c>
      <c r="Y1409" s="1">
        <v>5450000</v>
      </c>
      <c r="Z1409" s="5">
        <v>43904</v>
      </c>
      <c r="AA1409" s="1">
        <v>4883950</v>
      </c>
      <c r="AB1409" s="1" t="s">
        <v>680</v>
      </c>
      <c r="AC1409" s="5">
        <v>43973</v>
      </c>
      <c r="AF1409" s="1">
        <v>10007</v>
      </c>
      <c r="AI1409" s="1" t="s">
        <v>52</v>
      </c>
      <c r="AJ1409" s="1">
        <v>1930</v>
      </c>
      <c r="AK1409" s="1" t="s">
        <v>46</v>
      </c>
      <c r="AL1409" s="1">
        <v>156</v>
      </c>
    </row>
    <row r="1410" spans="1:38" x14ac:dyDescent="0.2">
      <c r="A1410" s="2" t="str">
        <f>HYPERLINK("https://www.compass.com/listing/100-barclay-street-unit-22a-manhattan-ny-10007/27574681078917441/","100 Barclay St, Unit 22A")</f>
        <v>100 Barclay St, Unit 22A</v>
      </c>
      <c r="B1410" s="2" t="str">
        <f t="shared" si="201"/>
        <v>100 Barclay</v>
      </c>
      <c r="C1410" s="1" t="s">
        <v>50</v>
      </c>
      <c r="D1410" s="1" t="s">
        <v>41</v>
      </c>
      <c r="E1410" s="3">
        <v>5838555</v>
      </c>
      <c r="F1410" s="1">
        <v>1962.5394957983101</v>
      </c>
      <c r="G1410" s="1">
        <v>8</v>
      </c>
      <c r="H1410" s="1">
        <v>3</v>
      </c>
      <c r="I1410" s="1">
        <v>4</v>
      </c>
      <c r="J1410" s="1">
        <v>4</v>
      </c>
      <c r="K1410" s="1">
        <v>4</v>
      </c>
      <c r="M1410" s="4">
        <v>2975</v>
      </c>
      <c r="N1410" s="1">
        <v>4289</v>
      </c>
      <c r="O1410" s="1">
        <v>8228</v>
      </c>
      <c r="P1410" s="1">
        <v>3939</v>
      </c>
      <c r="Q1410" s="1" t="s">
        <v>42</v>
      </c>
      <c r="S1410" s="1" t="s">
        <v>42</v>
      </c>
      <c r="T1410" s="1" t="s">
        <v>273</v>
      </c>
      <c r="U1410" s="1">
        <v>74</v>
      </c>
      <c r="V1410" s="5">
        <v>43738</v>
      </c>
      <c r="W1410" s="5">
        <v>43619</v>
      </c>
      <c r="X1410" s="1">
        <v>6400000</v>
      </c>
      <c r="Y1410" s="1">
        <v>6400000</v>
      </c>
      <c r="Z1410" s="5">
        <v>43693</v>
      </c>
      <c r="AA1410" s="1">
        <v>5838555</v>
      </c>
      <c r="AB1410" s="1" t="s">
        <v>681</v>
      </c>
      <c r="AC1410" s="5">
        <v>43724</v>
      </c>
      <c r="AF1410" s="1">
        <v>10007</v>
      </c>
      <c r="AI1410" s="1" t="s">
        <v>52</v>
      </c>
      <c r="AJ1410" s="1">
        <v>1930</v>
      </c>
      <c r="AK1410" s="1" t="s">
        <v>46</v>
      </c>
      <c r="AL1410" s="1">
        <v>156</v>
      </c>
    </row>
    <row r="1411" spans="1:38" x14ac:dyDescent="0.2">
      <c r="A1411" s="2" t="str">
        <f>HYPERLINK("https://www.compass.com/listing/100-barclay-street-unit-16a-manhattan-ny-10007/29513632110967953/","100 Barclay St, Unit 16A")</f>
        <v>100 Barclay St, Unit 16A</v>
      </c>
      <c r="B1411" s="2" t="str">
        <f t="shared" si="201"/>
        <v>100 Barclay</v>
      </c>
      <c r="C1411" s="1" t="s">
        <v>50</v>
      </c>
      <c r="D1411" s="1" t="s">
        <v>41</v>
      </c>
      <c r="E1411" s="3">
        <v>4700000</v>
      </c>
      <c r="F1411" s="1">
        <v>1878.4972022382001</v>
      </c>
      <c r="G1411" s="1">
        <v>6.5</v>
      </c>
      <c r="H1411" s="1">
        <v>4</v>
      </c>
      <c r="I1411" s="1">
        <v>5</v>
      </c>
      <c r="J1411" s="1">
        <v>4.5</v>
      </c>
      <c r="K1411" s="1">
        <v>4</v>
      </c>
      <c r="L1411" s="1">
        <v>1</v>
      </c>
      <c r="M1411" s="4">
        <v>2502</v>
      </c>
      <c r="N1411" s="1">
        <v>3683</v>
      </c>
      <c r="O1411" s="1">
        <v>7456</v>
      </c>
      <c r="P1411" s="1">
        <v>3773</v>
      </c>
      <c r="Q1411" s="1" t="s">
        <v>42</v>
      </c>
      <c r="S1411" s="1" t="s">
        <v>42</v>
      </c>
      <c r="T1411" s="1" t="s">
        <v>273</v>
      </c>
      <c r="U1411" s="1">
        <v>549</v>
      </c>
      <c r="V1411" s="5">
        <v>43984</v>
      </c>
      <c r="W1411" s="5">
        <v>43280</v>
      </c>
      <c r="Y1411" s="1">
        <v>5400000</v>
      </c>
      <c r="Z1411" s="5">
        <v>43871</v>
      </c>
      <c r="AA1411" s="1">
        <v>4700000</v>
      </c>
      <c r="AB1411" s="1" t="s">
        <v>682</v>
      </c>
      <c r="AC1411" s="5">
        <v>43937</v>
      </c>
      <c r="AF1411" s="1">
        <v>10007</v>
      </c>
      <c r="AI1411" s="1" t="s">
        <v>103</v>
      </c>
      <c r="AJ1411" s="1">
        <v>1930</v>
      </c>
      <c r="AK1411" s="1" t="s">
        <v>46</v>
      </c>
      <c r="AL1411" s="1">
        <v>156</v>
      </c>
    </row>
    <row r="1412" spans="1:38" x14ac:dyDescent="0.2">
      <c r="A1412" s="2" t="str">
        <f>HYPERLINK("https://www.compass.com/listing/49-chambers-street-unit-9h-manhattan-ny-10007/241292660080422001/","49 Chambers St, Unit 9H")</f>
        <v>49 Chambers St, Unit 9H</v>
      </c>
      <c r="B1412" s="2" t="str">
        <f>HYPERLINK("https://www.compass.com/building/49-chambers-manhattan-ny/282058733280852725/","49 Chambers")</f>
        <v>49 Chambers</v>
      </c>
      <c r="C1412" s="1" t="s">
        <v>50</v>
      </c>
      <c r="D1412" s="1" t="s">
        <v>41</v>
      </c>
      <c r="E1412" s="3">
        <v>2500000</v>
      </c>
      <c r="F1412" s="1">
        <v>1713.50239890335</v>
      </c>
      <c r="G1412" s="1">
        <v>4</v>
      </c>
      <c r="H1412" s="1">
        <v>2</v>
      </c>
      <c r="I1412" s="1">
        <v>2</v>
      </c>
      <c r="J1412" s="1">
        <v>2</v>
      </c>
      <c r="K1412" s="1">
        <v>2</v>
      </c>
      <c r="M1412" s="4">
        <v>1459</v>
      </c>
      <c r="N1412" s="1">
        <v>1145</v>
      </c>
      <c r="O1412" s="1">
        <v>3470</v>
      </c>
      <c r="P1412" s="1">
        <v>2325</v>
      </c>
      <c r="Q1412" s="1" t="s">
        <v>42</v>
      </c>
      <c r="S1412" s="1" t="s">
        <v>42</v>
      </c>
      <c r="T1412" s="1" t="s">
        <v>273</v>
      </c>
      <c r="U1412" s="1">
        <v>651</v>
      </c>
      <c r="V1412" s="5">
        <v>44404</v>
      </c>
      <c r="W1412" s="5">
        <v>43584</v>
      </c>
      <c r="X1412" s="1">
        <v>2725000</v>
      </c>
      <c r="Y1412" s="1">
        <v>2725000</v>
      </c>
      <c r="Z1412" s="5">
        <v>44331</v>
      </c>
      <c r="AA1412" s="1">
        <v>2500000</v>
      </c>
      <c r="AB1412" s="1" t="s">
        <v>275</v>
      </c>
      <c r="AC1412" s="5">
        <v>44383</v>
      </c>
      <c r="AF1412" s="1">
        <v>10007</v>
      </c>
      <c r="AI1412" s="1" t="s">
        <v>114</v>
      </c>
      <c r="AJ1412" s="1">
        <v>1910</v>
      </c>
      <c r="AK1412" s="1" t="s">
        <v>49</v>
      </c>
      <c r="AL1412" s="1">
        <v>99</v>
      </c>
    </row>
    <row r="1413" spans="1:38" x14ac:dyDescent="0.2">
      <c r="A1413" s="2" t="str">
        <f>HYPERLINK("https://www.compass.com/listing/45-east-22nd-street-unit-27b-manhattan-ny-10010/29375858619815697/","45 E 22nd St, Unit 27B")</f>
        <v>45 E 22nd St, Unit 27B</v>
      </c>
      <c r="B1413" s="2" t="str">
        <f t="shared" ref="B1413:B1414" si="202">HYPERLINK("https://www.compass.com/building/madison-square-park-tower-manhattan-ny/281903584482705973/","Madison Square Park Tower")</f>
        <v>Madison Square Park Tower</v>
      </c>
      <c r="C1413" s="1" t="s">
        <v>56</v>
      </c>
      <c r="D1413" s="1" t="s">
        <v>41</v>
      </c>
      <c r="E1413" s="3">
        <v>5086424</v>
      </c>
      <c r="F1413" s="1">
        <v>3422.8963660834402</v>
      </c>
      <c r="G1413" s="1">
        <v>4</v>
      </c>
      <c r="H1413" s="1">
        <v>2</v>
      </c>
      <c r="I1413" s="1">
        <v>2</v>
      </c>
      <c r="J1413" s="1">
        <v>2</v>
      </c>
      <c r="M1413" s="4">
        <v>1486</v>
      </c>
      <c r="N1413" s="1">
        <v>1676</v>
      </c>
      <c r="O1413" s="1">
        <v>4224</v>
      </c>
      <c r="P1413" s="1">
        <v>2548</v>
      </c>
      <c r="Q1413" s="1" t="s">
        <v>42</v>
      </c>
      <c r="S1413" s="1" t="s">
        <v>42</v>
      </c>
      <c r="T1413" s="1" t="s">
        <v>273</v>
      </c>
      <c r="U1413" s="1">
        <v>205</v>
      </c>
      <c r="V1413" s="5">
        <v>43650</v>
      </c>
      <c r="W1413" s="5">
        <v>42691</v>
      </c>
      <c r="X1413" s="1">
        <v>4975000</v>
      </c>
      <c r="Y1413" s="1">
        <v>4975000</v>
      </c>
      <c r="Z1413" s="5">
        <v>42896</v>
      </c>
      <c r="AA1413" s="1">
        <v>5086424</v>
      </c>
      <c r="AB1413" s="1" t="s">
        <v>617</v>
      </c>
      <c r="AC1413" s="5">
        <v>42952</v>
      </c>
      <c r="AF1413" s="1">
        <v>10010</v>
      </c>
      <c r="AI1413" s="1" t="s">
        <v>48</v>
      </c>
      <c r="AJ1413" s="1">
        <v>2016</v>
      </c>
      <c r="AK1413" s="1" t="s">
        <v>49</v>
      </c>
      <c r="AL1413" s="1">
        <v>83</v>
      </c>
    </row>
    <row r="1414" spans="1:38" x14ac:dyDescent="0.2">
      <c r="A1414" s="2" t="str">
        <f>HYPERLINK("https://www.compass.com/listing/45-east-22nd-street-unit-32b-manhattan-ny-10010/29375863023834993/","45 E 22nd St, Unit 32B")</f>
        <v>45 E 22nd St, Unit 32B</v>
      </c>
      <c r="B1414" s="2" t="str">
        <f t="shared" si="202"/>
        <v>Madison Square Park Tower</v>
      </c>
      <c r="C1414" s="1" t="s">
        <v>56</v>
      </c>
      <c r="D1414" s="1" t="s">
        <v>41</v>
      </c>
      <c r="E1414" s="3">
        <v>5276498</v>
      </c>
      <c r="F1414" s="1">
        <v>3485.1373844121499</v>
      </c>
      <c r="G1414" s="1">
        <v>4</v>
      </c>
      <c r="H1414" s="1">
        <v>2</v>
      </c>
      <c r="I1414" s="1">
        <v>2</v>
      </c>
      <c r="J1414" s="1">
        <v>2</v>
      </c>
      <c r="M1414" s="4">
        <v>1514</v>
      </c>
      <c r="N1414" s="1">
        <v>1747</v>
      </c>
      <c r="O1414" s="1">
        <v>4403</v>
      </c>
      <c r="P1414" s="1">
        <v>2656</v>
      </c>
      <c r="Q1414" s="1" t="s">
        <v>42</v>
      </c>
      <c r="S1414" s="1" t="s">
        <v>42</v>
      </c>
      <c r="T1414" s="1" t="s">
        <v>273</v>
      </c>
      <c r="U1414" s="1">
        <v>13</v>
      </c>
      <c r="V1414" s="5">
        <v>43662</v>
      </c>
      <c r="W1414" s="5">
        <v>42865</v>
      </c>
      <c r="X1414" s="1">
        <v>5255000</v>
      </c>
      <c r="Y1414" s="1">
        <v>5255000</v>
      </c>
      <c r="Z1414" s="5">
        <v>42878</v>
      </c>
      <c r="AA1414" s="1">
        <v>5276498</v>
      </c>
      <c r="AB1414" s="1" t="s">
        <v>683</v>
      </c>
      <c r="AC1414" s="5">
        <v>42943</v>
      </c>
      <c r="AF1414" s="1">
        <v>10010</v>
      </c>
      <c r="AI1414" s="1" t="s">
        <v>48</v>
      </c>
      <c r="AJ1414" s="1">
        <v>2016</v>
      </c>
      <c r="AK1414" s="1" t="s">
        <v>49</v>
      </c>
      <c r="AL1414" s="1">
        <v>83</v>
      </c>
    </row>
    <row r="1415" spans="1:38" x14ac:dyDescent="0.2">
      <c r="A1415" s="2" t="str">
        <f>HYPERLINK("https://www.compass.com/listing/100-barclay-street-unit-16j-manhattan-ny-10007/4852308632882121329/","100 Barclay St, Unit 16J")</f>
        <v>100 Barclay St, Unit 16J</v>
      </c>
      <c r="B1415" s="2" t="str">
        <f>HYPERLINK("https://www.compass.com/building/100-barclay-manhattan-ny/281896670466155525/","100 Barclay")</f>
        <v>100 Barclay</v>
      </c>
      <c r="C1415" s="1" t="s">
        <v>50</v>
      </c>
      <c r="D1415" s="1" t="s">
        <v>41</v>
      </c>
      <c r="E1415" s="3">
        <v>2036500</v>
      </c>
      <c r="F1415" s="1">
        <v>1577.45933384972</v>
      </c>
      <c r="G1415" s="1">
        <v>4</v>
      </c>
      <c r="H1415" s="1">
        <v>1</v>
      </c>
      <c r="I1415" s="1">
        <v>2</v>
      </c>
      <c r="J1415" s="1">
        <v>2</v>
      </c>
      <c r="K1415" s="1">
        <v>2</v>
      </c>
      <c r="M1415" s="4">
        <v>1291</v>
      </c>
      <c r="N1415" s="1">
        <v>1520</v>
      </c>
      <c r="O1415" s="1">
        <v>2974</v>
      </c>
      <c r="P1415" s="1">
        <v>1454</v>
      </c>
      <c r="Q1415" s="1" t="s">
        <v>105</v>
      </c>
      <c r="S1415" s="1" t="s">
        <v>105</v>
      </c>
      <c r="T1415" s="1" t="s">
        <v>273</v>
      </c>
      <c r="V1415" s="5">
        <v>44390</v>
      </c>
      <c r="W1415" s="5">
        <v>42477</v>
      </c>
      <c r="X1415" s="1">
        <v>2055696</v>
      </c>
      <c r="Y1415" s="1">
        <v>2055696</v>
      </c>
      <c r="Z1415" s="5">
        <v>42477</v>
      </c>
      <c r="AA1415" s="1">
        <v>2036500</v>
      </c>
      <c r="AB1415" s="1" t="s">
        <v>684</v>
      </c>
      <c r="AC1415" s="5">
        <v>42726</v>
      </c>
      <c r="AF1415" s="1">
        <v>10007</v>
      </c>
      <c r="AI1415" s="1" t="s">
        <v>52</v>
      </c>
      <c r="AJ1415" s="1">
        <v>1930</v>
      </c>
      <c r="AK1415" s="1" t="s">
        <v>46</v>
      </c>
      <c r="AL1415" s="1">
        <v>156</v>
      </c>
    </row>
    <row r="1416" spans="1:38" x14ac:dyDescent="0.2">
      <c r="A1416" s="2" t="str">
        <f>HYPERLINK("https://www.compass.com/listing/45-east-22nd-street-unit-24b-manhattan-ny-10010/142681999298044273/","45 E 22nd St, Unit 24B")</f>
        <v>45 E 22nd St, Unit 24B</v>
      </c>
      <c r="B1416" s="2" t="str">
        <f t="shared" ref="B1416:B1417" si="203">HYPERLINK("https://www.compass.com/building/madison-square-park-tower-manhattan-ny/281903584482705973/","Madison Square Park Tower")</f>
        <v>Madison Square Park Tower</v>
      </c>
      <c r="C1416" s="1" t="s">
        <v>56</v>
      </c>
      <c r="D1416" s="1" t="s">
        <v>41</v>
      </c>
      <c r="E1416" s="3">
        <v>2408576</v>
      </c>
      <c r="F1416" s="1">
        <v>2101.7242582897002</v>
      </c>
      <c r="G1416" s="1">
        <v>3</v>
      </c>
      <c r="H1416" s="1">
        <v>1</v>
      </c>
      <c r="I1416" s="1">
        <v>1</v>
      </c>
      <c r="J1416" s="1">
        <v>1</v>
      </c>
      <c r="K1416" s="1">
        <v>1</v>
      </c>
      <c r="M1416" s="4">
        <v>1146</v>
      </c>
      <c r="N1416" s="1">
        <v>1274</v>
      </c>
      <c r="O1416" s="1">
        <v>3852</v>
      </c>
      <c r="P1416" s="1">
        <v>2578</v>
      </c>
      <c r="Q1416" s="1" t="s">
        <v>42</v>
      </c>
      <c r="S1416" s="1" t="s">
        <v>42</v>
      </c>
      <c r="T1416" s="1" t="s">
        <v>273</v>
      </c>
      <c r="U1416" s="1">
        <v>293</v>
      </c>
      <c r="V1416" s="5">
        <v>44021</v>
      </c>
      <c r="W1416" s="5">
        <v>43112</v>
      </c>
      <c r="X1416" s="1">
        <v>3200000</v>
      </c>
      <c r="Y1416" s="1">
        <v>2495000</v>
      </c>
      <c r="Z1416" s="5">
        <v>43405</v>
      </c>
      <c r="AA1416" s="1">
        <v>2408576</v>
      </c>
      <c r="AB1416" s="1" t="s">
        <v>685</v>
      </c>
      <c r="AC1416" s="5">
        <v>43525</v>
      </c>
      <c r="AF1416" s="1">
        <v>10010</v>
      </c>
      <c r="AI1416" s="1" t="s">
        <v>48</v>
      </c>
      <c r="AJ1416" s="1">
        <v>2016</v>
      </c>
      <c r="AK1416" s="1" t="s">
        <v>49</v>
      </c>
      <c r="AL1416" s="1">
        <v>83</v>
      </c>
    </row>
    <row r="1417" spans="1:38" x14ac:dyDescent="0.2">
      <c r="A1417" s="2" t="str">
        <f>HYPERLINK("https://www.compass.com/listing/45-east-22nd-street-unit-24b-manhattan-ny-10010/803343464485597793/","45 E 22nd St, Unit 24B")</f>
        <v>45 E 22nd St, Unit 24B</v>
      </c>
      <c r="B1417" s="2" t="str">
        <f t="shared" si="203"/>
        <v>Madison Square Park Tower</v>
      </c>
      <c r="C1417" s="1" t="s">
        <v>56</v>
      </c>
      <c r="D1417" s="1" t="s">
        <v>41</v>
      </c>
      <c r="E1417" s="3">
        <v>2408576</v>
      </c>
      <c r="F1417" s="1">
        <v>2101.7241186736401</v>
      </c>
      <c r="G1417" s="1">
        <v>3</v>
      </c>
      <c r="H1417" s="1">
        <v>1</v>
      </c>
      <c r="I1417" s="1">
        <v>1</v>
      </c>
      <c r="J1417" s="1">
        <v>1</v>
      </c>
      <c r="K1417" s="1">
        <v>1</v>
      </c>
      <c r="M1417" s="4">
        <v>1146</v>
      </c>
      <c r="N1417" s="1">
        <v>1274</v>
      </c>
      <c r="O1417" s="1">
        <v>3852</v>
      </c>
      <c r="P1417" s="1">
        <v>2578</v>
      </c>
      <c r="Q1417" s="1" t="s">
        <v>42</v>
      </c>
      <c r="S1417" s="1" t="s">
        <v>42</v>
      </c>
      <c r="T1417" s="1" t="s">
        <v>273</v>
      </c>
      <c r="U1417" s="1">
        <v>294</v>
      </c>
      <c r="V1417" s="5">
        <v>44388</v>
      </c>
      <c r="W1417" s="5">
        <v>43110</v>
      </c>
      <c r="X1417" s="1">
        <v>3200000</v>
      </c>
      <c r="Y1417" s="1">
        <v>2995000</v>
      </c>
      <c r="AA1417" s="1">
        <v>2408575.84</v>
      </c>
      <c r="AB1417" s="1" t="s">
        <v>685</v>
      </c>
      <c r="AC1417" s="5">
        <v>43524</v>
      </c>
      <c r="AF1417" s="1">
        <v>10010</v>
      </c>
      <c r="AI1417" s="1" t="s">
        <v>48</v>
      </c>
      <c r="AJ1417" s="1">
        <v>2016</v>
      </c>
      <c r="AK1417" s="1" t="s">
        <v>49</v>
      </c>
      <c r="AL1417" s="1">
        <v>83</v>
      </c>
    </row>
    <row r="1418" spans="1:38" x14ac:dyDescent="0.2">
      <c r="A1418" s="2" t="str">
        <f>HYPERLINK("https://www.compass.com/listing/100-barclay-street-unit-14l-manhattan-ny-10007/4852308916626788977/","100 Barclay St, Unit 14L")</f>
        <v>100 Barclay St, Unit 14L</v>
      </c>
      <c r="B1418" s="2" t="str">
        <f t="shared" ref="B1418:B1420" si="204">HYPERLINK("https://www.compass.com/building/100-barclay-manhattan-ny/281896670466155525/","100 Barclay")</f>
        <v>100 Barclay</v>
      </c>
      <c r="C1418" s="1" t="s">
        <v>50</v>
      </c>
      <c r="D1418" s="1" t="s">
        <v>41</v>
      </c>
      <c r="E1418" s="3">
        <v>3818438</v>
      </c>
      <c r="F1418" s="1">
        <v>2367.28952262864</v>
      </c>
      <c r="G1418" s="1">
        <v>4</v>
      </c>
      <c r="H1418" s="1">
        <v>2</v>
      </c>
      <c r="I1418" s="1">
        <v>3</v>
      </c>
      <c r="J1418" s="1">
        <v>2.5</v>
      </c>
      <c r="M1418" s="4">
        <v>1613</v>
      </c>
      <c r="N1418" s="1">
        <v>2165</v>
      </c>
      <c r="O1418" s="1">
        <v>4289</v>
      </c>
      <c r="P1418" s="1">
        <v>2124</v>
      </c>
      <c r="Q1418" s="1" t="s">
        <v>42</v>
      </c>
      <c r="S1418" s="1" t="s">
        <v>42</v>
      </c>
      <c r="T1418" s="1" t="s">
        <v>273</v>
      </c>
      <c r="V1418" s="5">
        <v>43640</v>
      </c>
      <c r="W1418" s="5">
        <v>42180</v>
      </c>
      <c r="X1418" s="1">
        <v>3861000</v>
      </c>
      <c r="Y1418" s="1">
        <v>3861000</v>
      </c>
      <c r="Z1418" s="5">
        <v>42180</v>
      </c>
      <c r="AA1418" s="1">
        <v>3818438</v>
      </c>
      <c r="AB1418" s="1" t="s">
        <v>686</v>
      </c>
      <c r="AC1418" s="5">
        <v>42711</v>
      </c>
      <c r="AF1418" s="1">
        <v>10007</v>
      </c>
      <c r="AI1418" s="1" t="s">
        <v>133</v>
      </c>
      <c r="AJ1418" s="1">
        <v>1930</v>
      </c>
      <c r="AK1418" s="1" t="s">
        <v>46</v>
      </c>
      <c r="AL1418" s="1">
        <v>156</v>
      </c>
    </row>
    <row r="1419" spans="1:38" x14ac:dyDescent="0.2">
      <c r="A1419" s="2" t="str">
        <f>HYPERLINK("https://www.compass.com/listing/100-barclay-street-unit-11p-manhattan-ny-10007/4852308964106312257/","100 Barclay St, Unit 11P")</f>
        <v>100 Barclay St, Unit 11P</v>
      </c>
      <c r="B1419" s="2" t="str">
        <f t="shared" si="204"/>
        <v>100 Barclay</v>
      </c>
      <c r="C1419" s="1" t="s">
        <v>50</v>
      </c>
      <c r="D1419" s="1" t="s">
        <v>41</v>
      </c>
      <c r="E1419" s="3">
        <v>3603078</v>
      </c>
      <c r="F1419" s="1">
        <v>2289.1219822109201</v>
      </c>
      <c r="G1419" s="1">
        <v>5</v>
      </c>
      <c r="H1419" s="1">
        <v>2</v>
      </c>
      <c r="I1419" s="1">
        <v>2</v>
      </c>
      <c r="J1419" s="1">
        <v>2</v>
      </c>
      <c r="M1419" s="4">
        <v>1574</v>
      </c>
      <c r="N1419" s="1">
        <v>2073</v>
      </c>
      <c r="O1419" s="1">
        <v>4107</v>
      </c>
      <c r="P1419" s="1">
        <v>2034</v>
      </c>
      <c r="Q1419" s="1" t="s">
        <v>42</v>
      </c>
      <c r="S1419" s="1" t="s">
        <v>42</v>
      </c>
      <c r="T1419" s="1" t="s">
        <v>273</v>
      </c>
      <c r="V1419" s="5">
        <v>43629</v>
      </c>
      <c r="W1419" s="5">
        <v>42175</v>
      </c>
      <c r="X1419" s="1">
        <v>3600000</v>
      </c>
      <c r="Y1419" s="1">
        <v>3661500</v>
      </c>
      <c r="Z1419" s="5">
        <v>42175</v>
      </c>
      <c r="AA1419" s="1">
        <v>3603078</v>
      </c>
      <c r="AB1419" s="1" t="s">
        <v>687</v>
      </c>
      <c r="AC1419" s="5">
        <v>42817</v>
      </c>
      <c r="AF1419" s="1">
        <v>10007</v>
      </c>
      <c r="AI1419" s="1" t="s">
        <v>52</v>
      </c>
      <c r="AJ1419" s="1">
        <v>1930</v>
      </c>
      <c r="AK1419" s="1" t="s">
        <v>49</v>
      </c>
      <c r="AL1419" s="1">
        <v>156</v>
      </c>
    </row>
    <row r="1420" spans="1:38" x14ac:dyDescent="0.2">
      <c r="A1420" s="2" t="str">
        <f>HYPERLINK("https://www.compass.com/listing/100-barclay-street-unit-15l-manhattan-ny-10007/70921074908383377/","100 Barclay St, Unit 15L")</f>
        <v>100 Barclay St, Unit 15L</v>
      </c>
      <c r="B1420" s="2" t="str">
        <f t="shared" si="204"/>
        <v>100 Barclay</v>
      </c>
      <c r="C1420" s="1" t="s">
        <v>50</v>
      </c>
      <c r="D1420" s="1" t="s">
        <v>41</v>
      </c>
      <c r="E1420" s="3">
        <v>3563875</v>
      </c>
      <c r="F1420" s="1">
        <v>2209.4699318040898</v>
      </c>
      <c r="G1420" s="1">
        <v>4</v>
      </c>
      <c r="H1420" s="1">
        <v>2</v>
      </c>
      <c r="I1420" s="1">
        <v>2</v>
      </c>
      <c r="J1420" s="1">
        <v>2</v>
      </c>
      <c r="M1420" s="4">
        <v>1613</v>
      </c>
      <c r="N1420" s="1">
        <v>2014</v>
      </c>
      <c r="O1420" s="1">
        <v>3990</v>
      </c>
      <c r="P1420" s="1">
        <v>1976</v>
      </c>
      <c r="Q1420" s="1" t="s">
        <v>42</v>
      </c>
      <c r="S1420" s="1" t="s">
        <v>42</v>
      </c>
      <c r="T1420" s="1" t="s">
        <v>273</v>
      </c>
      <c r="V1420" s="5">
        <v>43672</v>
      </c>
      <c r="W1420" s="5">
        <v>42194</v>
      </c>
      <c r="X1420" s="1">
        <v>3611000</v>
      </c>
      <c r="Y1420" s="1">
        <v>3611000</v>
      </c>
      <c r="Z1420" s="5">
        <v>42194</v>
      </c>
      <c r="AA1420" s="1">
        <v>3563875</v>
      </c>
      <c r="AB1420" s="1" t="s">
        <v>688</v>
      </c>
      <c r="AC1420" s="5">
        <v>42706</v>
      </c>
      <c r="AF1420" s="1">
        <v>10007</v>
      </c>
      <c r="AI1420" s="1" t="s">
        <v>52</v>
      </c>
      <c r="AJ1420" s="1">
        <v>1930</v>
      </c>
      <c r="AK1420" s="1" t="s">
        <v>46</v>
      </c>
      <c r="AL1420" s="1">
        <v>156</v>
      </c>
    </row>
    <row r="1421" spans="1:38" x14ac:dyDescent="0.2">
      <c r="A1421" s="2" t="str">
        <f>HYPERLINK("https://www.compass.com/listing/30-warren-street-unit-7b-manhattan-ny-10007/107235112676081121/","30 Warren St, Unit 7B")</f>
        <v>30 Warren St, Unit 7B</v>
      </c>
      <c r="B1421" s="2" t="str">
        <f>HYPERLINK("https://www.compass.com/building/30-warren-manhattan-ny/292789104075095813/","30 WARREN")</f>
        <v>30 WARREN</v>
      </c>
      <c r="C1421" s="1" t="s">
        <v>50</v>
      </c>
      <c r="D1421" s="1" t="s">
        <v>41</v>
      </c>
      <c r="E1421" s="3">
        <v>4853200</v>
      </c>
      <c r="F1421" s="1">
        <v>2197.01222272521</v>
      </c>
      <c r="G1421" s="1">
        <v>5.5</v>
      </c>
      <c r="H1421" s="1">
        <v>3</v>
      </c>
      <c r="I1421" s="1">
        <v>4</v>
      </c>
      <c r="J1421" s="1">
        <v>3.5</v>
      </c>
      <c r="K1421" s="1">
        <v>3</v>
      </c>
      <c r="L1421" s="1">
        <v>1</v>
      </c>
      <c r="M1421" s="4">
        <v>2209</v>
      </c>
      <c r="N1421" s="1">
        <v>3087</v>
      </c>
      <c r="O1421" s="1">
        <v>5670</v>
      </c>
      <c r="P1421" s="1">
        <v>2583</v>
      </c>
      <c r="Q1421" s="1" t="s">
        <v>42</v>
      </c>
      <c r="S1421" s="1" t="s">
        <v>42</v>
      </c>
      <c r="T1421" s="1" t="s">
        <v>273</v>
      </c>
      <c r="U1421" s="1">
        <v>438</v>
      </c>
      <c r="V1421" s="5">
        <v>44133</v>
      </c>
      <c r="W1421" s="5">
        <v>43399</v>
      </c>
      <c r="X1421" s="1">
        <v>5600000</v>
      </c>
      <c r="Y1421" s="1">
        <v>5375000</v>
      </c>
      <c r="Z1421" s="5">
        <v>43838</v>
      </c>
      <c r="AA1421" s="1">
        <v>4853200</v>
      </c>
      <c r="AB1421" s="1" t="s">
        <v>689</v>
      </c>
      <c r="AC1421" s="5">
        <v>44124</v>
      </c>
      <c r="AF1421" s="1">
        <v>10007</v>
      </c>
      <c r="AI1421" s="1" t="s">
        <v>483</v>
      </c>
      <c r="AJ1421" s="1">
        <v>2017</v>
      </c>
      <c r="AK1421" s="1" t="s">
        <v>125</v>
      </c>
      <c r="AL1421" s="1">
        <v>23</v>
      </c>
    </row>
    <row r="1422" spans="1:38" x14ac:dyDescent="0.2">
      <c r="A1422" s="2" t="str">
        <f>HYPERLINK("https://www.compass.com/listing/100-barclay-street-unit-13f-manhattan-ny-10007/4852323156053992641/","100 Barclay St, Unit 13F")</f>
        <v>100 Barclay St, Unit 13F</v>
      </c>
      <c r="B1422" s="2" t="str">
        <f>HYPERLINK("https://www.compass.com/building/100-barclay-manhattan-ny/281896670466155525/","100 Barclay")</f>
        <v>100 Barclay</v>
      </c>
      <c r="C1422" s="1" t="s">
        <v>50</v>
      </c>
      <c r="D1422" s="1" t="s">
        <v>41</v>
      </c>
      <c r="E1422" s="3">
        <v>4205083</v>
      </c>
      <c r="F1422" s="1">
        <v>2073.5123274161701</v>
      </c>
      <c r="G1422" s="1">
        <v>6</v>
      </c>
      <c r="H1422" s="1">
        <v>3</v>
      </c>
      <c r="I1422" s="1">
        <v>4</v>
      </c>
      <c r="J1422" s="1">
        <v>3.5</v>
      </c>
      <c r="M1422" s="4">
        <v>2028</v>
      </c>
      <c r="N1422" s="1">
        <v>2531</v>
      </c>
      <c r="O1422" s="1">
        <v>5014</v>
      </c>
      <c r="P1422" s="1">
        <v>2483</v>
      </c>
      <c r="Q1422" s="1" t="s">
        <v>42</v>
      </c>
      <c r="S1422" s="1" t="s">
        <v>42</v>
      </c>
      <c r="T1422" s="1" t="s">
        <v>273</v>
      </c>
      <c r="V1422" s="5">
        <v>43641</v>
      </c>
      <c r="W1422" s="5">
        <v>42288</v>
      </c>
      <c r="X1422" s="1">
        <v>4299500</v>
      </c>
      <c r="Y1422" s="1">
        <v>4299500</v>
      </c>
      <c r="Z1422" s="5">
        <v>42288</v>
      </c>
      <c r="AA1422" s="1">
        <v>4205083</v>
      </c>
      <c r="AB1422" s="1" t="s">
        <v>690</v>
      </c>
      <c r="AC1422" s="5">
        <v>42747</v>
      </c>
      <c r="AF1422" s="1">
        <v>10007</v>
      </c>
      <c r="AI1422" s="1" t="s">
        <v>52</v>
      </c>
      <c r="AJ1422" s="1">
        <v>1930</v>
      </c>
      <c r="AK1422" s="1" t="s">
        <v>49</v>
      </c>
      <c r="AL1422" s="1">
        <v>156</v>
      </c>
    </row>
    <row r="1423" spans="1:38" x14ac:dyDescent="0.2">
      <c r="A1423" s="2" t="str">
        <f>HYPERLINK("https://www.compass.com/listing/241-west-107th-street-unit-twnh-manhattan-ny-10025/181044423654720273/","241 W 107th St")</f>
        <v>241 W 107th St</v>
      </c>
      <c r="B1423" s="2" t="str">
        <f>HYPERLINK("https://www.compass.com/building/241-w-107th-st-manhattan-ny-10025/281969820646330101/","241 W 107th St")</f>
        <v>241 W 107th St</v>
      </c>
      <c r="C1423" s="1" t="s">
        <v>57</v>
      </c>
      <c r="D1423" s="1" t="s">
        <v>41</v>
      </c>
      <c r="E1423" s="3">
        <v>2260000</v>
      </c>
      <c r="F1423" s="1">
        <v>1093.9012584704701</v>
      </c>
      <c r="G1423" s="1">
        <v>6</v>
      </c>
      <c r="H1423" s="1">
        <v>2</v>
      </c>
      <c r="I1423" s="1">
        <v>3</v>
      </c>
      <c r="J1423" s="1">
        <v>2.5</v>
      </c>
      <c r="M1423" s="4">
        <v>2066</v>
      </c>
      <c r="N1423" s="1">
        <v>1460</v>
      </c>
      <c r="O1423" s="1">
        <v>2405</v>
      </c>
      <c r="P1423" s="1">
        <v>945</v>
      </c>
      <c r="Q1423" s="1" t="s">
        <v>42</v>
      </c>
      <c r="S1423" s="1" t="s">
        <v>42</v>
      </c>
      <c r="T1423" s="1" t="s">
        <v>273</v>
      </c>
      <c r="U1423" s="1">
        <v>17</v>
      </c>
      <c r="V1423" s="5">
        <v>43693</v>
      </c>
      <c r="W1423" s="5">
        <v>42368</v>
      </c>
      <c r="X1423" s="1">
        <v>2295000</v>
      </c>
      <c r="Y1423" s="1">
        <v>2295000</v>
      </c>
      <c r="Z1423" s="5">
        <v>42385</v>
      </c>
      <c r="AA1423" s="1">
        <v>2260000</v>
      </c>
      <c r="AB1423" s="1" t="s">
        <v>691</v>
      </c>
      <c r="AC1423" s="5">
        <v>42447</v>
      </c>
      <c r="AF1423" s="1">
        <v>10025</v>
      </c>
      <c r="AI1423" s="1" t="s">
        <v>692</v>
      </c>
      <c r="AJ1423" s="1">
        <v>2014</v>
      </c>
      <c r="AL1423" s="1">
        <v>6</v>
      </c>
    </row>
    <row r="1424" spans="1:38" x14ac:dyDescent="0.2">
      <c r="A1424" s="2" t="str">
        <f>HYPERLINK("https://www.compass.com/listing/100-barclay-street-unit-17k-manhattan-ny-10007/4852279371647422417/","100 Barclay St, Unit 17K")</f>
        <v>100 Barclay St, Unit 17K</v>
      </c>
      <c r="B1424" s="2" t="str">
        <f>HYPERLINK("https://www.compass.com/building/100-barclay-manhattan-ny/281896670466155525/","100 Barclay")</f>
        <v>100 Barclay</v>
      </c>
      <c r="C1424" s="1" t="s">
        <v>50</v>
      </c>
      <c r="D1424" s="1" t="s">
        <v>41</v>
      </c>
      <c r="E1424" s="3">
        <v>3300000</v>
      </c>
      <c r="F1424" s="1">
        <v>1911.93511008111</v>
      </c>
      <c r="G1424" s="1">
        <v>4</v>
      </c>
      <c r="H1424" s="1">
        <v>2</v>
      </c>
      <c r="I1424" s="1">
        <v>3</v>
      </c>
      <c r="J1424" s="1">
        <v>2.5</v>
      </c>
      <c r="K1424" s="1">
        <v>2</v>
      </c>
      <c r="L1424" s="1">
        <v>1</v>
      </c>
      <c r="M1424" s="4">
        <v>1726</v>
      </c>
      <c r="N1424" s="1">
        <v>2215</v>
      </c>
      <c r="O1424" s="1">
        <v>4333</v>
      </c>
      <c r="P1424" s="1">
        <v>2118</v>
      </c>
      <c r="Q1424" s="1" t="s">
        <v>105</v>
      </c>
      <c r="S1424" s="1" t="s">
        <v>105</v>
      </c>
      <c r="T1424" s="1" t="s">
        <v>273</v>
      </c>
      <c r="V1424" s="5">
        <v>44338</v>
      </c>
      <c r="W1424" s="5">
        <v>42477</v>
      </c>
      <c r="X1424" s="1">
        <v>3349500</v>
      </c>
      <c r="Y1424" s="1">
        <v>3349500</v>
      </c>
      <c r="Z1424" s="5">
        <v>42477</v>
      </c>
      <c r="AA1424" s="1">
        <v>3300000</v>
      </c>
      <c r="AB1424" s="1" t="s">
        <v>693</v>
      </c>
      <c r="AC1424" s="5">
        <v>42619</v>
      </c>
      <c r="AF1424" s="1">
        <v>10007</v>
      </c>
      <c r="AI1424" s="1" t="s">
        <v>52</v>
      </c>
      <c r="AJ1424" s="1">
        <v>1930</v>
      </c>
      <c r="AK1424" s="1" t="s">
        <v>49</v>
      </c>
      <c r="AL1424" s="1">
        <v>156</v>
      </c>
    </row>
    <row r="1425" spans="1:38" x14ac:dyDescent="0.2">
      <c r="A1425" s="2" t="str">
        <f>HYPERLINK("https://www.compass.com/listing/155-west-18th-street-unit-304-manhattan-ny-10011/4829943428156505921/","155 W 18th St, Unit 304")</f>
        <v>155 W 18th St, Unit 304</v>
      </c>
      <c r="B1425" s="2" t="str">
        <f>HYPERLINK("https://www.compass.com/building/the-flynn-manhattan-ny/281905793161251925/","The Flynn")</f>
        <v>The Flynn</v>
      </c>
      <c r="C1425" s="1" t="s">
        <v>62</v>
      </c>
      <c r="D1425" s="1" t="s">
        <v>41</v>
      </c>
      <c r="E1425" s="3">
        <v>4750000</v>
      </c>
      <c r="F1425" s="1">
        <v>2342.2090729782999</v>
      </c>
      <c r="G1425" s="1">
        <v>4</v>
      </c>
      <c r="H1425" s="1">
        <v>3</v>
      </c>
      <c r="I1425" s="1">
        <v>4</v>
      </c>
      <c r="J1425" s="1">
        <v>0.5</v>
      </c>
      <c r="L1425" s="1">
        <v>1</v>
      </c>
      <c r="M1425" s="4">
        <v>2028</v>
      </c>
      <c r="N1425" s="1">
        <v>3090</v>
      </c>
      <c r="O1425" s="1">
        <v>5459</v>
      </c>
      <c r="P1425" s="1">
        <v>2369</v>
      </c>
      <c r="Q1425" s="1" t="s">
        <v>42</v>
      </c>
      <c r="S1425" s="1" t="s">
        <v>42</v>
      </c>
      <c r="T1425" s="1" t="s">
        <v>273</v>
      </c>
      <c r="U1425" s="1">
        <v>38</v>
      </c>
      <c r="V1425" s="5">
        <v>43661</v>
      </c>
      <c r="W1425" s="5">
        <v>42445</v>
      </c>
      <c r="X1425" s="1">
        <v>4300000</v>
      </c>
      <c r="Y1425" s="1">
        <v>4750000</v>
      </c>
      <c r="Z1425" s="5">
        <v>42483</v>
      </c>
      <c r="AA1425" s="1">
        <v>4750000</v>
      </c>
      <c r="AB1425" s="1" t="s">
        <v>694</v>
      </c>
      <c r="AC1425" s="5">
        <v>42692</v>
      </c>
      <c r="AF1425" s="1">
        <v>10011</v>
      </c>
      <c r="AI1425" s="1" t="s">
        <v>495</v>
      </c>
      <c r="AJ1425" s="1">
        <v>2016</v>
      </c>
      <c r="AK1425" s="1" t="s">
        <v>108</v>
      </c>
      <c r="AL1425" s="1">
        <v>30</v>
      </c>
    </row>
    <row r="1426" spans="1:38" x14ac:dyDescent="0.2">
      <c r="A1426" s="2" t="str">
        <f>HYPERLINK("https://www.compass.com/listing/100-barclay-street-unit-12s-manhattan-ny-10007/50873635384103505/","100 Barclay St, Unit 12S")</f>
        <v>100 Barclay St, Unit 12S</v>
      </c>
      <c r="B1426" s="2" t="str">
        <f t="shared" ref="B1426:B1427" si="205">HYPERLINK("https://www.compass.com/building/100-barclay-manhattan-ny/281896670466155525/","100 Barclay")</f>
        <v>100 Barclay</v>
      </c>
      <c r="C1426" s="1" t="s">
        <v>50</v>
      </c>
      <c r="D1426" s="1" t="s">
        <v>41</v>
      </c>
      <c r="E1426" s="3">
        <v>2700000</v>
      </c>
      <c r="F1426" s="1">
        <v>1477.0240700218801</v>
      </c>
      <c r="G1426" s="1">
        <v>4</v>
      </c>
      <c r="H1426" s="1">
        <v>1</v>
      </c>
      <c r="I1426" s="1">
        <v>2</v>
      </c>
      <c r="J1426" s="1">
        <v>2</v>
      </c>
      <c r="K1426" s="1">
        <v>2</v>
      </c>
      <c r="M1426" s="4">
        <v>1828</v>
      </c>
      <c r="N1426" s="1">
        <v>2345</v>
      </c>
      <c r="O1426" s="1">
        <v>4588</v>
      </c>
      <c r="P1426" s="1">
        <v>2243</v>
      </c>
      <c r="Q1426" s="1" t="s">
        <v>42</v>
      </c>
      <c r="S1426" s="1" t="s">
        <v>42</v>
      </c>
      <c r="T1426" s="1" t="s">
        <v>273</v>
      </c>
      <c r="U1426" s="1">
        <v>24</v>
      </c>
      <c r="V1426" s="5">
        <v>43663</v>
      </c>
      <c r="W1426" s="5">
        <v>42720</v>
      </c>
      <c r="X1426" s="1">
        <v>2995000</v>
      </c>
      <c r="Y1426" s="1">
        <v>2995000</v>
      </c>
      <c r="Z1426" s="5">
        <v>42788</v>
      </c>
      <c r="AA1426" s="1">
        <v>2700000</v>
      </c>
      <c r="AB1426" s="1" t="s">
        <v>695</v>
      </c>
      <c r="AC1426" s="5">
        <v>42849</v>
      </c>
      <c r="AF1426" s="1">
        <v>10007</v>
      </c>
      <c r="AI1426" s="1" t="s">
        <v>52</v>
      </c>
      <c r="AJ1426" s="1">
        <v>1930</v>
      </c>
      <c r="AK1426" s="1" t="s">
        <v>46</v>
      </c>
      <c r="AL1426" s="1">
        <v>156</v>
      </c>
    </row>
    <row r="1427" spans="1:38" x14ac:dyDescent="0.2">
      <c r="A1427" s="2" t="str">
        <f>HYPERLINK("https://www.compass.com/listing/100-barclay-street-unit-11j-manhattan-ny-10007/4852282376438417473/","100 Barclay St, Unit 11J")</f>
        <v>100 Barclay St, Unit 11J</v>
      </c>
      <c r="B1427" s="2" t="str">
        <f t="shared" si="205"/>
        <v>100 Barclay</v>
      </c>
      <c r="C1427" s="1" t="s">
        <v>50</v>
      </c>
      <c r="D1427" s="1" t="s">
        <v>41</v>
      </c>
      <c r="E1427" s="3">
        <v>1935000</v>
      </c>
      <c r="F1427" s="1">
        <v>1835.8633776091001</v>
      </c>
      <c r="G1427" s="1">
        <v>3</v>
      </c>
      <c r="H1427" s="1">
        <v>1</v>
      </c>
      <c r="I1427" s="1">
        <v>1</v>
      </c>
      <c r="J1427" s="1">
        <v>1.5</v>
      </c>
      <c r="K1427" s="1">
        <v>1</v>
      </c>
      <c r="L1427" s="1">
        <v>1</v>
      </c>
      <c r="M1427" s="4">
        <v>1054</v>
      </c>
      <c r="N1427" s="1">
        <v>1456</v>
      </c>
      <c r="O1427" s="1">
        <v>2848</v>
      </c>
      <c r="P1427" s="1">
        <v>1392</v>
      </c>
      <c r="Q1427" s="1" t="s">
        <v>42</v>
      </c>
      <c r="S1427" s="1" t="s">
        <v>42</v>
      </c>
      <c r="T1427" s="1" t="s">
        <v>273</v>
      </c>
      <c r="U1427" s="1">
        <v>2</v>
      </c>
      <c r="V1427" s="5">
        <v>43623</v>
      </c>
      <c r="W1427" s="5">
        <v>42626</v>
      </c>
      <c r="X1427" s="1">
        <v>2000000</v>
      </c>
      <c r="Y1427" s="1">
        <v>2000000</v>
      </c>
      <c r="Z1427" s="5">
        <v>42628</v>
      </c>
      <c r="AA1427" s="1">
        <v>1935000</v>
      </c>
      <c r="AB1427" s="1" t="s">
        <v>696</v>
      </c>
      <c r="AC1427" s="5">
        <v>42800</v>
      </c>
      <c r="AF1427" s="1">
        <v>10007</v>
      </c>
      <c r="AI1427" s="1" t="s">
        <v>103</v>
      </c>
      <c r="AJ1427" s="1">
        <v>1930</v>
      </c>
      <c r="AK1427" s="1" t="s">
        <v>46</v>
      </c>
      <c r="AL1427" s="1">
        <v>156</v>
      </c>
    </row>
    <row r="1428" spans="1:38" x14ac:dyDescent="0.2">
      <c r="A1428" s="2" t="str">
        <f>HYPERLINK("https://www.compass.com/listing/211-west-14th-street-unit-6a-manhattan-ny-10011/29514441351498129/","211 W 14th St, Unit 6A")</f>
        <v>211 W 14th St, Unit 6A</v>
      </c>
      <c r="B1428" s="2" t="str">
        <f t="shared" ref="B1428:B1429" si="206">HYPERLINK("https://www.compass.com/building/dorsay-manhattan-ny/292801633543285477/","d'Orsay")</f>
        <v>d'Orsay</v>
      </c>
      <c r="C1428" s="1" t="s">
        <v>62</v>
      </c>
      <c r="D1428" s="1" t="s">
        <v>41</v>
      </c>
      <c r="E1428" s="3">
        <v>3975000</v>
      </c>
      <c r="F1428" s="1">
        <v>2320.4903677758298</v>
      </c>
      <c r="G1428" s="1">
        <v>5</v>
      </c>
      <c r="H1428" s="1">
        <v>3</v>
      </c>
      <c r="I1428" s="1">
        <v>3</v>
      </c>
      <c r="J1428" s="1">
        <v>2.5</v>
      </c>
      <c r="K1428" s="1">
        <v>2</v>
      </c>
      <c r="L1428" s="1">
        <v>1</v>
      </c>
      <c r="M1428" s="4">
        <v>1713</v>
      </c>
      <c r="N1428" s="1">
        <v>3385</v>
      </c>
      <c r="O1428" s="1">
        <v>4701</v>
      </c>
      <c r="P1428" s="1">
        <v>1316</v>
      </c>
      <c r="Q1428" s="1" t="s">
        <v>42</v>
      </c>
      <c r="S1428" s="1" t="s">
        <v>42</v>
      </c>
      <c r="T1428" s="1" t="s">
        <v>273</v>
      </c>
      <c r="U1428" s="1">
        <v>464</v>
      </c>
      <c r="V1428" s="5">
        <v>43480</v>
      </c>
      <c r="W1428" s="5">
        <v>42709</v>
      </c>
      <c r="X1428" s="1">
        <v>4395000</v>
      </c>
      <c r="Y1428" s="1">
        <v>4395000</v>
      </c>
      <c r="AA1428" s="1">
        <v>3975000</v>
      </c>
      <c r="AB1428" s="1" t="s">
        <v>697</v>
      </c>
      <c r="AC1428" s="5">
        <v>43412</v>
      </c>
      <c r="AF1428" s="1">
        <v>10011</v>
      </c>
      <c r="AI1428" s="1" t="s">
        <v>48</v>
      </c>
      <c r="AJ1428" s="1">
        <v>2018</v>
      </c>
      <c r="AK1428" s="1" t="s">
        <v>46</v>
      </c>
      <c r="AL1428" s="1">
        <v>21</v>
      </c>
    </row>
    <row r="1429" spans="1:38" x14ac:dyDescent="0.2">
      <c r="A1429" s="2" t="str">
        <f>HYPERLINK("https://www.compass.com/listing/211-west-14th-street-unit-6a-manhattan-ny-10011/803328853325625897/","211 W 14th St, Unit 6A")</f>
        <v>211 W 14th St, Unit 6A</v>
      </c>
      <c r="B1429" s="2" t="str">
        <f t="shared" si="206"/>
        <v>d'Orsay</v>
      </c>
      <c r="C1429" s="1" t="s">
        <v>62</v>
      </c>
      <c r="D1429" s="1" t="s">
        <v>41</v>
      </c>
      <c r="E1429" s="3">
        <v>3975000</v>
      </c>
      <c r="F1429" s="1">
        <v>2320.4903677758298</v>
      </c>
      <c r="G1429" s="1">
        <v>5</v>
      </c>
      <c r="H1429" s="1">
        <v>3</v>
      </c>
      <c r="I1429" s="1">
        <v>3</v>
      </c>
      <c r="J1429" s="1">
        <v>2.5</v>
      </c>
      <c r="K1429" s="1">
        <v>2</v>
      </c>
      <c r="L1429" s="1">
        <v>1</v>
      </c>
      <c r="M1429" s="4">
        <v>1713</v>
      </c>
      <c r="N1429" s="1">
        <v>3387</v>
      </c>
      <c r="O1429" s="1">
        <v>4926</v>
      </c>
      <c r="P1429" s="1">
        <v>1539</v>
      </c>
      <c r="Q1429" s="1" t="s">
        <v>42</v>
      </c>
      <c r="S1429" s="1" t="s">
        <v>42</v>
      </c>
      <c r="T1429" s="1" t="s">
        <v>273</v>
      </c>
      <c r="U1429" s="1">
        <v>112</v>
      </c>
      <c r="V1429" s="5">
        <v>43678</v>
      </c>
      <c r="W1429" s="5">
        <v>43194</v>
      </c>
      <c r="X1429" s="1">
        <v>4425000</v>
      </c>
      <c r="Y1429" s="1">
        <v>4425000</v>
      </c>
      <c r="AA1429" s="1">
        <v>3975000</v>
      </c>
      <c r="AB1429" s="1" t="s">
        <v>697</v>
      </c>
      <c r="AC1429" s="5">
        <v>43412</v>
      </c>
      <c r="AF1429" s="1">
        <v>10011</v>
      </c>
      <c r="AI1429" s="1" t="s">
        <v>179</v>
      </c>
      <c r="AJ1429" s="1">
        <v>2018</v>
      </c>
      <c r="AK1429" s="1" t="s">
        <v>46</v>
      </c>
      <c r="AL1429" s="1">
        <v>21</v>
      </c>
    </row>
    <row r="1430" spans="1:38" x14ac:dyDescent="0.2">
      <c r="A1430" s="2" t="str">
        <f>HYPERLINK("https://www.compass.com/listing/100-barclay-street-unit-17c-manhattan-ny-10007/4852309401152786097/","100 Barclay St, Unit 17C")</f>
        <v>100 Barclay St, Unit 17C</v>
      </c>
      <c r="B1430" s="2" t="str">
        <f t="shared" ref="B1430:B1431" si="207">HYPERLINK("https://www.compass.com/building/100-barclay-manhattan-ny/281896670466155525/","100 Barclay")</f>
        <v>100 Barclay</v>
      </c>
      <c r="C1430" s="1" t="s">
        <v>50</v>
      </c>
      <c r="D1430" s="1" t="s">
        <v>41</v>
      </c>
      <c r="E1430" s="3">
        <v>4530703</v>
      </c>
      <c r="F1430" s="1">
        <v>2284.7720625315101</v>
      </c>
      <c r="G1430" s="1">
        <v>5</v>
      </c>
      <c r="H1430" s="1">
        <v>3</v>
      </c>
      <c r="I1430" s="1">
        <v>3</v>
      </c>
      <c r="J1430" s="1">
        <v>3</v>
      </c>
      <c r="K1430" s="1">
        <v>3</v>
      </c>
      <c r="M1430" s="4">
        <v>1983</v>
      </c>
      <c r="N1430" s="1">
        <v>2544</v>
      </c>
      <c r="O1430" s="1">
        <v>4977</v>
      </c>
      <c r="P1430" s="1">
        <v>2433</v>
      </c>
      <c r="Q1430" s="1" t="s">
        <v>42</v>
      </c>
      <c r="S1430" s="1" t="s">
        <v>42</v>
      </c>
      <c r="T1430" s="1" t="s">
        <v>273</v>
      </c>
      <c r="U1430" s="1">
        <v>14</v>
      </c>
      <c r="V1430" s="5">
        <v>43623</v>
      </c>
      <c r="W1430" s="5">
        <v>42790</v>
      </c>
      <c r="X1430" s="1">
        <v>4449500</v>
      </c>
      <c r="Y1430" s="1">
        <v>4449500</v>
      </c>
      <c r="Z1430" s="5">
        <v>42804</v>
      </c>
      <c r="AA1430" s="1">
        <v>4530703</v>
      </c>
      <c r="AB1430" s="1" t="s">
        <v>698</v>
      </c>
      <c r="AC1430" s="5">
        <v>42812</v>
      </c>
      <c r="AF1430" s="1">
        <v>10007</v>
      </c>
      <c r="AI1430" s="1" t="s">
        <v>52</v>
      </c>
      <c r="AJ1430" s="1">
        <v>1930</v>
      </c>
      <c r="AK1430" s="1" t="s">
        <v>46</v>
      </c>
      <c r="AL1430" s="1">
        <v>156</v>
      </c>
    </row>
    <row r="1431" spans="1:38" x14ac:dyDescent="0.2">
      <c r="A1431" s="2" t="str">
        <f>HYPERLINK("https://www.compass.com/listing/100-barclay-street-unit-15c-manhattan-ny-10007/803371064860193577/","100 Barclay St, Unit 15C")</f>
        <v>100 Barclay St, Unit 15C</v>
      </c>
      <c r="B1431" s="2" t="str">
        <f t="shared" si="207"/>
        <v>100 Barclay</v>
      </c>
      <c r="C1431" s="1" t="s">
        <v>50</v>
      </c>
      <c r="D1431" s="1" t="s">
        <v>41</v>
      </c>
      <c r="E1431" s="3">
        <v>4388500</v>
      </c>
      <c r="F1431" s="1">
        <v>2213.06101865859</v>
      </c>
      <c r="G1431" s="1">
        <v>6</v>
      </c>
      <c r="H1431" s="1">
        <v>3</v>
      </c>
      <c r="I1431" s="1">
        <v>3</v>
      </c>
      <c r="J1431" s="1">
        <v>3</v>
      </c>
      <c r="K1431" s="1">
        <v>3</v>
      </c>
      <c r="M1431" s="4">
        <v>1983</v>
      </c>
      <c r="N1431" s="1">
        <v>2451</v>
      </c>
      <c r="O1431" s="1">
        <v>5109</v>
      </c>
      <c r="P1431" s="1">
        <v>2658</v>
      </c>
      <c r="Q1431" s="1" t="s">
        <v>42</v>
      </c>
      <c r="S1431" s="1" t="s">
        <v>42</v>
      </c>
      <c r="T1431" s="1" t="s">
        <v>273</v>
      </c>
      <c r="V1431" s="5">
        <v>43371</v>
      </c>
      <c r="W1431" s="5">
        <v>42902</v>
      </c>
      <c r="X1431" s="1">
        <v>4388500</v>
      </c>
      <c r="Y1431" s="1">
        <v>4388500</v>
      </c>
      <c r="AA1431" s="1">
        <v>4388500</v>
      </c>
      <c r="AB1431" s="1" t="s">
        <v>275</v>
      </c>
      <c r="AC1431" s="5">
        <v>42902</v>
      </c>
      <c r="AF1431" s="1">
        <v>10007</v>
      </c>
      <c r="AI1431" s="1" t="s">
        <v>52</v>
      </c>
      <c r="AJ1431" s="1">
        <v>1930</v>
      </c>
      <c r="AK1431" s="1" t="s">
        <v>46</v>
      </c>
      <c r="AL1431" s="1">
        <v>156</v>
      </c>
    </row>
    <row r="1432" spans="1:38" x14ac:dyDescent="0.2">
      <c r="A1432" s="2" t="str">
        <f>HYPERLINK("https://www.compass.com/listing/49-chambers-street-unit-7g-manhattan-ny-10007/445615804761959041/","49 Chambers St, Unit 7G")</f>
        <v>49 Chambers St, Unit 7G</v>
      </c>
      <c r="B1432" s="2" t="str">
        <f>HYPERLINK("https://www.compass.com/building/49-chambers-manhattan-ny/282058733280852725/","49 Chambers")</f>
        <v>49 Chambers</v>
      </c>
      <c r="C1432" s="1" t="s">
        <v>50</v>
      </c>
      <c r="D1432" s="1" t="s">
        <v>41</v>
      </c>
      <c r="E1432" s="3">
        <v>1875000</v>
      </c>
      <c r="F1432" s="1">
        <v>1631.8537859007799</v>
      </c>
      <c r="G1432" s="1">
        <v>4</v>
      </c>
      <c r="H1432" s="1">
        <v>1</v>
      </c>
      <c r="I1432" s="1">
        <v>2</v>
      </c>
      <c r="J1432" s="1">
        <v>1.5</v>
      </c>
      <c r="K1432" s="1">
        <v>1</v>
      </c>
      <c r="L1432" s="1">
        <v>1</v>
      </c>
      <c r="M1432" s="4">
        <v>1149</v>
      </c>
      <c r="N1432" s="1">
        <v>876</v>
      </c>
      <c r="O1432" s="1">
        <v>2602</v>
      </c>
      <c r="P1432" s="1">
        <v>1726</v>
      </c>
      <c r="Q1432" s="1" t="s">
        <v>42</v>
      </c>
      <c r="S1432" s="1" t="s">
        <v>42</v>
      </c>
      <c r="T1432" s="1" t="s">
        <v>273</v>
      </c>
      <c r="U1432" s="1">
        <v>407</v>
      </c>
      <c r="V1432" s="5">
        <v>44404</v>
      </c>
      <c r="W1432" s="5">
        <v>43866</v>
      </c>
      <c r="Z1432" s="5">
        <v>44367</v>
      </c>
      <c r="AA1432" s="1">
        <v>1875000</v>
      </c>
      <c r="AB1432" s="1" t="s">
        <v>275</v>
      </c>
      <c r="AC1432" s="5">
        <v>44400</v>
      </c>
      <c r="AF1432" s="1">
        <v>10007</v>
      </c>
      <c r="AI1432" s="1" t="s">
        <v>114</v>
      </c>
      <c r="AJ1432" s="1">
        <v>1910</v>
      </c>
      <c r="AK1432" s="1" t="s">
        <v>49</v>
      </c>
      <c r="AL1432" s="1">
        <v>99</v>
      </c>
    </row>
    <row r="1433" spans="1:38" x14ac:dyDescent="0.2">
      <c r="A1433" s="2" t="str">
        <f>HYPERLINK("https://www.compass.com/listing/100-barclay-street-unit-16h-manhattan-ny-10007/4852307657152794193/","100 Barclay St, Unit 16H")</f>
        <v>100 Barclay St, Unit 16H</v>
      </c>
      <c r="B1433" s="2" t="str">
        <f t="shared" ref="B1433:B1435" si="208">HYPERLINK("https://www.compass.com/building/100-barclay-manhattan-ny/281896670466155525/","100 Barclay")</f>
        <v>100 Barclay</v>
      </c>
      <c r="C1433" s="1" t="s">
        <v>50</v>
      </c>
      <c r="D1433" s="1" t="s">
        <v>41</v>
      </c>
      <c r="E1433" s="3">
        <v>2902013</v>
      </c>
      <c r="F1433" s="1">
        <v>1631.2608206857701</v>
      </c>
      <c r="G1433" s="1">
        <v>5</v>
      </c>
      <c r="H1433" s="1">
        <v>2</v>
      </c>
      <c r="I1433" s="1">
        <v>3</v>
      </c>
      <c r="J1433" s="1">
        <v>3</v>
      </c>
      <c r="M1433" s="4">
        <v>1779</v>
      </c>
      <c r="N1433" s="1">
        <v>2283</v>
      </c>
      <c r="O1433" s="1">
        <v>4466</v>
      </c>
      <c r="P1433" s="1">
        <v>2183</v>
      </c>
      <c r="Q1433" s="1" t="s">
        <v>42</v>
      </c>
      <c r="S1433" s="1" t="s">
        <v>42</v>
      </c>
      <c r="T1433" s="1" t="s">
        <v>273</v>
      </c>
      <c r="V1433" s="5">
        <v>43668</v>
      </c>
      <c r="W1433" s="5">
        <v>42477</v>
      </c>
      <c r="X1433" s="1">
        <v>2952000</v>
      </c>
      <c r="Y1433" s="1">
        <v>2952000</v>
      </c>
      <c r="Z1433" s="5">
        <v>42477</v>
      </c>
      <c r="AA1433" s="1">
        <v>2902013</v>
      </c>
      <c r="AB1433" s="1" t="s">
        <v>699</v>
      </c>
      <c r="AC1433" s="5">
        <v>42677</v>
      </c>
      <c r="AF1433" s="1">
        <v>10007</v>
      </c>
      <c r="AI1433" s="1" t="s">
        <v>52</v>
      </c>
      <c r="AJ1433" s="1">
        <v>1930</v>
      </c>
      <c r="AK1433" s="1" t="s">
        <v>46</v>
      </c>
      <c r="AL1433" s="1">
        <v>156</v>
      </c>
    </row>
    <row r="1434" spans="1:38" x14ac:dyDescent="0.2">
      <c r="A1434" s="2" t="str">
        <f>HYPERLINK("https://www.compass.com/listing/100-barclay-street-unit-13q-manhattan-ny-10007/536223374203162097/","100 Barclay St, Unit 13Q")</f>
        <v>100 Barclay St, Unit 13Q</v>
      </c>
      <c r="B1434" s="2" t="str">
        <f t="shared" si="208"/>
        <v>100 Barclay</v>
      </c>
      <c r="C1434" s="1" t="s">
        <v>50</v>
      </c>
      <c r="D1434" s="1" t="s">
        <v>41</v>
      </c>
      <c r="E1434" s="3">
        <v>3995000</v>
      </c>
      <c r="F1434" s="1">
        <v>1930.8844852585701</v>
      </c>
      <c r="G1434" s="1">
        <v>4.5</v>
      </c>
      <c r="H1434" s="1">
        <v>3</v>
      </c>
      <c r="I1434" s="1">
        <v>4</v>
      </c>
      <c r="J1434" s="1">
        <v>3.5</v>
      </c>
      <c r="K1434" s="1">
        <v>3</v>
      </c>
      <c r="L1434" s="1">
        <v>1</v>
      </c>
      <c r="M1434" s="4">
        <v>2069</v>
      </c>
      <c r="N1434" s="1">
        <v>2983</v>
      </c>
      <c r="O1434" s="1">
        <v>6317</v>
      </c>
      <c r="P1434" s="1">
        <v>3334</v>
      </c>
      <c r="Q1434" s="1" t="s">
        <v>42</v>
      </c>
      <c r="S1434" s="1" t="s">
        <v>42</v>
      </c>
      <c r="T1434" s="1" t="s">
        <v>273</v>
      </c>
      <c r="U1434" s="1">
        <v>66</v>
      </c>
      <c r="V1434" s="5">
        <v>44230</v>
      </c>
      <c r="W1434" s="5">
        <v>44103</v>
      </c>
      <c r="X1434" s="1">
        <v>3995000</v>
      </c>
      <c r="Y1434" s="1">
        <v>3995000</v>
      </c>
      <c r="Z1434" s="5">
        <v>44170</v>
      </c>
      <c r="AA1434" s="1">
        <v>3995000</v>
      </c>
      <c r="AB1434" s="1" t="s">
        <v>700</v>
      </c>
      <c r="AC1434" s="5">
        <v>44200</v>
      </c>
      <c r="AF1434" s="1">
        <v>10007</v>
      </c>
      <c r="AI1434" s="1" t="s">
        <v>52</v>
      </c>
      <c r="AJ1434" s="1">
        <v>1930</v>
      </c>
      <c r="AK1434" s="1" t="s">
        <v>46</v>
      </c>
      <c r="AL1434" s="1">
        <v>156</v>
      </c>
    </row>
    <row r="1435" spans="1:38" x14ac:dyDescent="0.2">
      <c r="A1435" s="2" t="str">
        <f>HYPERLINK("https://www.compass.com/listing/100-barclay-street-unit-12k-manhattan-ny-10007/4854527434143310561/","100 Barclay St, Unit 12K")</f>
        <v>100 Barclay St, Unit 12K</v>
      </c>
      <c r="B1435" s="2" t="str">
        <f t="shared" si="208"/>
        <v>100 Barclay</v>
      </c>
      <c r="C1435" s="1" t="s">
        <v>50</v>
      </c>
      <c r="D1435" s="1" t="s">
        <v>41</v>
      </c>
      <c r="E1435" s="3">
        <v>3800000</v>
      </c>
      <c r="F1435" s="1">
        <v>1690.3914590747299</v>
      </c>
      <c r="G1435" s="1">
        <v>5</v>
      </c>
      <c r="H1435" s="1">
        <v>3</v>
      </c>
      <c r="I1435" s="1">
        <v>3</v>
      </c>
      <c r="J1435" s="1">
        <v>3.5</v>
      </c>
      <c r="K1435" s="1">
        <v>3</v>
      </c>
      <c r="L1435" s="1">
        <v>1</v>
      </c>
      <c r="M1435" s="4">
        <v>2248</v>
      </c>
      <c r="N1435" s="1">
        <v>2779</v>
      </c>
      <c r="O1435" s="1">
        <v>5797</v>
      </c>
      <c r="P1435" s="1">
        <v>3018</v>
      </c>
      <c r="Q1435" s="1" t="s">
        <v>42</v>
      </c>
      <c r="S1435" s="1" t="s">
        <v>42</v>
      </c>
      <c r="T1435" s="1" t="s">
        <v>273</v>
      </c>
      <c r="U1435" s="1">
        <v>122</v>
      </c>
      <c r="V1435" s="5">
        <v>43638</v>
      </c>
      <c r="W1435" s="5">
        <v>42913</v>
      </c>
      <c r="X1435" s="1">
        <v>4071000</v>
      </c>
      <c r="Y1435" s="1">
        <v>4071000</v>
      </c>
      <c r="Z1435" s="5">
        <v>43194</v>
      </c>
      <c r="AA1435" s="1">
        <v>3800000</v>
      </c>
      <c r="AB1435" s="1" t="s">
        <v>701</v>
      </c>
      <c r="AC1435" s="5">
        <v>43221</v>
      </c>
      <c r="AF1435" s="1">
        <v>10007</v>
      </c>
      <c r="AI1435" s="1" t="s">
        <v>52</v>
      </c>
      <c r="AJ1435" s="1">
        <v>1930</v>
      </c>
      <c r="AK1435" s="1" t="s">
        <v>46</v>
      </c>
      <c r="AL1435" s="1">
        <v>156</v>
      </c>
    </row>
    <row r="1436" spans="1:38" x14ac:dyDescent="0.2">
      <c r="A1436" s="2" t="str">
        <f>HYPERLINK("https://www.compass.com/listing/225-west-17th-street-unit-ph3-manhattan-ny-10011/71698446280625841/","225 W 17th St, Unit PH3")</f>
        <v>225 W 17th St, Unit PH3</v>
      </c>
      <c r="B1436" s="2" t="str">
        <f t="shared" ref="B1436:B1437" si="209">HYPERLINK("https://www.compass.com/building/225-west-17th-street-manhattan-ny/292802090781141541/","225 West 17th Street")</f>
        <v>225 West 17th Street</v>
      </c>
      <c r="C1436" s="1" t="s">
        <v>62</v>
      </c>
      <c r="D1436" s="1" t="s">
        <v>41</v>
      </c>
      <c r="E1436" s="3">
        <v>5600000</v>
      </c>
      <c r="F1436" s="1">
        <v>2187.5</v>
      </c>
      <c r="G1436" s="1">
        <v>6</v>
      </c>
      <c r="H1436" s="1">
        <v>3</v>
      </c>
      <c r="I1436" s="1">
        <v>4</v>
      </c>
      <c r="J1436" s="1">
        <v>3.5</v>
      </c>
      <c r="K1436" s="1">
        <v>3</v>
      </c>
      <c r="L1436" s="1">
        <v>1</v>
      </c>
      <c r="M1436" s="4">
        <v>2560</v>
      </c>
      <c r="N1436" s="1">
        <v>1619</v>
      </c>
      <c r="O1436" s="1">
        <v>5100</v>
      </c>
      <c r="P1436" s="1">
        <v>3481</v>
      </c>
      <c r="Q1436" s="1" t="s">
        <v>42</v>
      </c>
      <c r="S1436" s="1" t="s">
        <v>42</v>
      </c>
      <c r="T1436" s="1" t="s">
        <v>273</v>
      </c>
      <c r="U1436" s="1">
        <v>150</v>
      </c>
      <c r="V1436" s="5">
        <v>44342</v>
      </c>
      <c r="W1436" s="5">
        <v>43351</v>
      </c>
      <c r="X1436" s="1">
        <v>6250000</v>
      </c>
      <c r="Y1436" s="1">
        <v>6250000</v>
      </c>
      <c r="Z1436" s="5">
        <v>43501</v>
      </c>
      <c r="AA1436" s="1">
        <v>5600000</v>
      </c>
      <c r="AB1436" s="1" t="s">
        <v>702</v>
      </c>
      <c r="AC1436" s="5">
        <v>43556</v>
      </c>
      <c r="AF1436" s="1">
        <v>10011</v>
      </c>
      <c r="AI1436" s="1" t="s">
        <v>216</v>
      </c>
      <c r="AJ1436" s="1">
        <v>2018</v>
      </c>
      <c r="AK1436" s="1" t="s">
        <v>146</v>
      </c>
      <c r="AL1436" s="1">
        <v>14</v>
      </c>
    </row>
    <row r="1437" spans="1:38" x14ac:dyDescent="0.2">
      <c r="A1437" s="2" t="str">
        <f>HYPERLINK("https://www.compass.com/listing/225-west-17th-street-unit-2a-manhattan-ny-10011/29510294082503665/","225 W 17th St, Unit 2A")</f>
        <v>225 W 17th St, Unit 2A</v>
      </c>
      <c r="B1437" s="2" t="str">
        <f t="shared" si="209"/>
        <v>225 West 17th Street</v>
      </c>
      <c r="C1437" s="1" t="s">
        <v>62</v>
      </c>
      <c r="D1437" s="1" t="s">
        <v>41</v>
      </c>
      <c r="E1437" s="3">
        <v>3000000</v>
      </c>
      <c r="F1437" s="1">
        <v>1536.0983102918501</v>
      </c>
      <c r="G1437" s="1">
        <v>6</v>
      </c>
      <c r="H1437" s="1">
        <v>3</v>
      </c>
      <c r="I1437" s="1">
        <v>3</v>
      </c>
      <c r="J1437" s="1">
        <v>2.5</v>
      </c>
      <c r="K1437" s="1">
        <v>2</v>
      </c>
      <c r="L1437" s="1">
        <v>1</v>
      </c>
      <c r="M1437" s="4">
        <v>1953</v>
      </c>
      <c r="N1437" s="1">
        <v>1036</v>
      </c>
      <c r="O1437" s="1">
        <v>3094</v>
      </c>
      <c r="P1437" s="1">
        <v>2058</v>
      </c>
      <c r="Q1437" s="1" t="s">
        <v>42</v>
      </c>
      <c r="S1437" s="1" t="s">
        <v>42</v>
      </c>
      <c r="T1437" s="1" t="s">
        <v>273</v>
      </c>
      <c r="V1437" s="5">
        <v>43635</v>
      </c>
      <c r="W1437" s="5">
        <v>43029</v>
      </c>
      <c r="X1437" s="1">
        <v>3250000</v>
      </c>
      <c r="Y1437" s="1">
        <v>3250000</v>
      </c>
      <c r="Z1437" s="5">
        <v>43029</v>
      </c>
      <c r="AA1437" s="1">
        <v>3000000</v>
      </c>
      <c r="AB1437" s="1" t="s">
        <v>703</v>
      </c>
      <c r="AC1437" s="5">
        <v>43531</v>
      </c>
      <c r="AF1437" s="1">
        <v>10011</v>
      </c>
      <c r="AI1437" s="1" t="s">
        <v>177</v>
      </c>
      <c r="AJ1437" s="1">
        <v>2018</v>
      </c>
      <c r="AK1437" s="1" t="s">
        <v>143</v>
      </c>
      <c r="AL1437" s="1">
        <v>14</v>
      </c>
    </row>
    <row r="1438" spans="1:38" x14ac:dyDescent="0.2">
      <c r="A1438" s="2" t="str">
        <f>HYPERLINK("https://www.compass.com/listing/100-barclay-street-unit-17s-manhattan-ny-10007/4852308463172197345/","100 Barclay St, Unit 17S")</f>
        <v>100 Barclay St, Unit 17S</v>
      </c>
      <c r="B1438" s="2" t="str">
        <f t="shared" ref="B1438:B1439" si="210">HYPERLINK("https://www.compass.com/building/100-barclay-manhattan-ny/281896670466155525/","100 Barclay")</f>
        <v>100 Barclay</v>
      </c>
      <c r="C1438" s="1" t="s">
        <v>50</v>
      </c>
      <c r="D1438" s="1" t="s">
        <v>41</v>
      </c>
      <c r="E1438" s="3">
        <v>3175988</v>
      </c>
      <c r="F1438" s="1">
        <v>1771.32598996095</v>
      </c>
      <c r="G1438" s="1">
        <v>3</v>
      </c>
      <c r="H1438" s="1">
        <v>1</v>
      </c>
      <c r="I1438" s="1">
        <v>2</v>
      </c>
      <c r="J1438" s="1">
        <v>2</v>
      </c>
      <c r="K1438" s="1">
        <v>2</v>
      </c>
      <c r="M1438" s="4">
        <v>1793</v>
      </c>
      <c r="N1438" s="1">
        <v>2301</v>
      </c>
      <c r="O1438" s="1">
        <v>4501</v>
      </c>
      <c r="P1438" s="1">
        <v>2200</v>
      </c>
      <c r="Q1438" s="1" t="s">
        <v>42</v>
      </c>
      <c r="S1438" s="1" t="s">
        <v>42</v>
      </c>
      <c r="T1438" s="1" t="s">
        <v>273</v>
      </c>
      <c r="U1438" s="1">
        <v>14</v>
      </c>
      <c r="V1438" s="5">
        <v>42719</v>
      </c>
      <c r="W1438" s="5">
        <v>42677</v>
      </c>
      <c r="X1438" s="1">
        <v>3150500</v>
      </c>
      <c r="Y1438" s="1">
        <v>3150500</v>
      </c>
      <c r="AA1438" s="1">
        <v>3175987.5</v>
      </c>
      <c r="AB1438" s="1" t="s">
        <v>704</v>
      </c>
      <c r="AC1438" s="5">
        <v>42706</v>
      </c>
      <c r="AF1438" s="1">
        <v>10007</v>
      </c>
      <c r="AI1438" s="1" t="s">
        <v>52</v>
      </c>
      <c r="AJ1438" s="1">
        <v>1930</v>
      </c>
      <c r="AK1438" s="1" t="s">
        <v>46</v>
      </c>
      <c r="AL1438" s="1">
        <v>156</v>
      </c>
    </row>
    <row r="1439" spans="1:38" x14ac:dyDescent="0.2">
      <c r="A1439" s="2" t="str">
        <f>HYPERLINK("https://www.compass.com/listing/100-barclay-street-unit-15n-manhattan-ny-10007/4852326581349132305/","100 Barclay St, Unit 15N")</f>
        <v>100 Barclay St, Unit 15N</v>
      </c>
      <c r="B1439" s="2" t="str">
        <f t="shared" si="210"/>
        <v>100 Barclay</v>
      </c>
      <c r="C1439" s="1" t="s">
        <v>50</v>
      </c>
      <c r="D1439" s="1" t="s">
        <v>41</v>
      </c>
      <c r="E1439" s="3">
        <v>4076545</v>
      </c>
      <c r="F1439" s="1">
        <v>2043.3811077694199</v>
      </c>
      <c r="G1439" s="1">
        <v>7</v>
      </c>
      <c r="H1439" s="1">
        <v>3</v>
      </c>
      <c r="I1439" s="1">
        <v>3</v>
      </c>
      <c r="J1439" s="1">
        <v>3</v>
      </c>
      <c r="M1439" s="4">
        <v>1995</v>
      </c>
      <c r="N1439" s="1">
        <v>2491</v>
      </c>
      <c r="O1439" s="1">
        <v>4935</v>
      </c>
      <c r="P1439" s="1">
        <v>2444</v>
      </c>
      <c r="Q1439" s="1" t="s">
        <v>42</v>
      </c>
      <c r="S1439" s="1" t="s">
        <v>42</v>
      </c>
      <c r="T1439" s="1" t="s">
        <v>273</v>
      </c>
      <c r="U1439" s="1">
        <v>56</v>
      </c>
      <c r="V1439" s="5">
        <v>42488</v>
      </c>
      <c r="W1439" s="5">
        <v>42118</v>
      </c>
      <c r="X1439" s="1">
        <v>4396500</v>
      </c>
      <c r="Y1439" s="1">
        <v>4396500</v>
      </c>
      <c r="AA1439" s="1">
        <v>4076545.31</v>
      </c>
      <c r="AB1439" s="1" t="s">
        <v>705</v>
      </c>
      <c r="AC1439" s="5">
        <v>42395</v>
      </c>
      <c r="AF1439" s="1">
        <v>10007</v>
      </c>
      <c r="AI1439" s="1" t="s">
        <v>52</v>
      </c>
      <c r="AJ1439" s="1">
        <v>1930</v>
      </c>
      <c r="AK1439" s="1" t="s">
        <v>46</v>
      </c>
      <c r="AL1439" s="1">
        <v>156</v>
      </c>
    </row>
    <row r="1440" spans="1:38" x14ac:dyDescent="0.2">
      <c r="A1440" s="2" t="str">
        <f>HYPERLINK("https://www.compass.com/listing/100-avenue-a-unit-3a-manhattan-ny-10009/29361258792826817/","100 Avenue A, Unit 3A")</f>
        <v>100 Avenue A, Unit 3A</v>
      </c>
      <c r="B1440" s="2" t="str">
        <f>HYPERLINK("https://www.compass.com/building/100-avenue-a-manhattan-ny-10009/389273110856657541/","100 Avenue A")</f>
        <v>100 Avenue A</v>
      </c>
      <c r="C1440" s="1" t="s">
        <v>71</v>
      </c>
      <c r="D1440" s="1" t="s">
        <v>41</v>
      </c>
      <c r="E1440" s="3">
        <v>1781938</v>
      </c>
      <c r="F1440" s="1">
        <v>1798.1205852674</v>
      </c>
      <c r="G1440" s="1">
        <v>4</v>
      </c>
      <c r="H1440" s="1">
        <v>2</v>
      </c>
      <c r="I1440" s="1">
        <v>2</v>
      </c>
      <c r="J1440" s="1">
        <v>2</v>
      </c>
      <c r="K1440" s="1">
        <v>2</v>
      </c>
      <c r="M1440" s="1">
        <v>991</v>
      </c>
      <c r="N1440" s="1">
        <v>1292.1600000000001</v>
      </c>
      <c r="O1440" s="1">
        <v>2080.81</v>
      </c>
      <c r="P1440" s="1">
        <v>788.66666666666595</v>
      </c>
      <c r="Q1440" s="1" t="s">
        <v>42</v>
      </c>
      <c r="S1440" s="1" t="s">
        <v>42</v>
      </c>
      <c r="T1440" s="1" t="s">
        <v>273</v>
      </c>
      <c r="U1440" s="1">
        <v>21</v>
      </c>
      <c r="V1440" s="5">
        <v>44096</v>
      </c>
      <c r="W1440" s="5">
        <v>42622</v>
      </c>
      <c r="X1440" s="1">
        <v>1800000</v>
      </c>
      <c r="Y1440" s="1">
        <v>1800000</v>
      </c>
      <c r="Z1440" s="5">
        <v>42644</v>
      </c>
      <c r="AA1440" s="1">
        <v>1781937.5</v>
      </c>
      <c r="AB1440" s="1" t="s">
        <v>706</v>
      </c>
      <c r="AC1440" s="5">
        <v>42711</v>
      </c>
      <c r="AF1440" s="1">
        <v>10009</v>
      </c>
      <c r="AI1440" s="1" t="s">
        <v>514</v>
      </c>
      <c r="AJ1440" s="1">
        <v>2016</v>
      </c>
      <c r="AK1440" s="1" t="s">
        <v>108</v>
      </c>
    </row>
    <row r="1441" spans="1:38" x14ac:dyDescent="0.2">
      <c r="A1441" s="2" t="str">
        <f>HYPERLINK("https://www.compass.com/listing/45-east-22nd-street-unit-29b-manhattan-ny-10010/29514226242542481/","45 E 22nd St, Unit 29B")</f>
        <v>45 E 22nd St, Unit 29B</v>
      </c>
      <c r="B1441" s="2" t="str">
        <f>HYPERLINK("https://www.compass.com/building/madison-square-park-tower-manhattan-ny/281903584482705973/","Madison Square Park Tower")</f>
        <v>Madison Square Park Tower</v>
      </c>
      <c r="C1441" s="1" t="s">
        <v>56</v>
      </c>
      <c r="D1441" s="1" t="s">
        <v>41</v>
      </c>
      <c r="E1441" s="3">
        <v>4200000</v>
      </c>
      <c r="F1441" s="1">
        <v>2805.6112224448898</v>
      </c>
      <c r="G1441" s="1">
        <v>4</v>
      </c>
      <c r="H1441" s="1">
        <v>2</v>
      </c>
      <c r="I1441" s="1">
        <v>2</v>
      </c>
      <c r="J1441" s="1">
        <v>2</v>
      </c>
      <c r="K1441" s="1">
        <v>2</v>
      </c>
      <c r="M1441" s="4">
        <v>1497</v>
      </c>
      <c r="N1441" s="1">
        <v>1704</v>
      </c>
      <c r="O1441" s="1">
        <v>5151</v>
      </c>
      <c r="P1441" s="1">
        <v>3447</v>
      </c>
      <c r="Q1441" s="1" t="s">
        <v>42</v>
      </c>
      <c r="S1441" s="1" t="s">
        <v>42</v>
      </c>
      <c r="T1441" s="1" t="s">
        <v>273</v>
      </c>
      <c r="U1441" s="1">
        <v>198</v>
      </c>
      <c r="V1441" s="5">
        <v>44341</v>
      </c>
      <c r="W1441" s="5">
        <v>43237</v>
      </c>
      <c r="X1441" s="1">
        <v>4950000</v>
      </c>
      <c r="Y1441" s="1">
        <v>4495000</v>
      </c>
      <c r="Z1441" s="5">
        <v>43435</v>
      </c>
      <c r="AA1441" s="1">
        <v>4200000</v>
      </c>
      <c r="AB1441" s="1" t="s">
        <v>707</v>
      </c>
      <c r="AC1441" s="5">
        <v>43451</v>
      </c>
      <c r="AF1441" s="1">
        <v>10010</v>
      </c>
      <c r="AI1441" s="1" t="s">
        <v>48</v>
      </c>
      <c r="AJ1441" s="1">
        <v>2016</v>
      </c>
      <c r="AK1441" s="1" t="s">
        <v>49</v>
      </c>
      <c r="AL1441" s="1">
        <v>83</v>
      </c>
    </row>
    <row r="1442" spans="1:38" x14ac:dyDescent="0.2">
      <c r="A1442" s="2" t="str">
        <f>HYPERLINK("https://www.compass.com/listing/49-chambers-street-unit-15g-manhattan-ny-10007/714518909024636369/","49 Chambers St, Unit 15G")</f>
        <v>49 Chambers St, Unit 15G</v>
      </c>
      <c r="B1442" s="2" t="str">
        <f>HYPERLINK("https://www.compass.com/building/49-chambers-manhattan-ny/282058733280852725/","49 Chambers")</f>
        <v>49 Chambers</v>
      </c>
      <c r="C1442" s="1" t="s">
        <v>50</v>
      </c>
      <c r="D1442" s="1" t="s">
        <v>41</v>
      </c>
      <c r="E1442" s="3">
        <v>2235000</v>
      </c>
      <c r="F1442" s="1">
        <v>1945.16971279373</v>
      </c>
      <c r="G1442" s="1">
        <v>4</v>
      </c>
      <c r="H1442" s="1">
        <v>1</v>
      </c>
      <c r="I1442" s="1">
        <v>1</v>
      </c>
      <c r="J1442" s="1">
        <v>1</v>
      </c>
      <c r="K1442" s="1">
        <v>1</v>
      </c>
      <c r="M1442" s="4">
        <v>1149</v>
      </c>
      <c r="N1442" s="1">
        <v>921</v>
      </c>
      <c r="O1442" s="1">
        <v>2827</v>
      </c>
      <c r="P1442" s="1">
        <v>1906</v>
      </c>
      <c r="Q1442" s="1" t="s">
        <v>42</v>
      </c>
      <c r="S1442" s="1" t="s">
        <v>42</v>
      </c>
      <c r="T1442" s="1" t="s">
        <v>273</v>
      </c>
      <c r="V1442" s="5">
        <v>44323</v>
      </c>
      <c r="W1442" s="5">
        <v>44236</v>
      </c>
      <c r="X1442" s="1">
        <v>2235000</v>
      </c>
      <c r="Z1442" s="5">
        <v>44236</v>
      </c>
      <c r="AB1442" s="1" t="s">
        <v>275</v>
      </c>
      <c r="AF1442" s="1">
        <v>10007</v>
      </c>
      <c r="AI1442" s="1" t="s">
        <v>114</v>
      </c>
      <c r="AJ1442" s="1">
        <v>1910</v>
      </c>
      <c r="AK1442" s="1" t="s">
        <v>49</v>
      </c>
      <c r="AL1442" s="1">
        <v>99</v>
      </c>
    </row>
    <row r="1443" spans="1:38" x14ac:dyDescent="0.2">
      <c r="A1443" s="2" t="str">
        <f>HYPERLINK("https://www.compass.com/listing/211-west-14th-street-unit-5a-manhattan-ny-10011/50128694244561009/","211 W 14th St, Unit 5A")</f>
        <v>211 W 14th St, Unit 5A</v>
      </c>
      <c r="B1443" s="2" t="str">
        <f>HYPERLINK("https://www.compass.com/building/dorsay-manhattan-ny/292801633543285477/","d'Orsay")</f>
        <v>d'Orsay</v>
      </c>
      <c r="C1443" s="1" t="s">
        <v>62</v>
      </c>
      <c r="D1443" s="1" t="s">
        <v>41</v>
      </c>
      <c r="E1443" s="3">
        <v>3850000</v>
      </c>
      <c r="F1443" s="1">
        <v>2221.5810732833202</v>
      </c>
      <c r="G1443" s="1">
        <v>5</v>
      </c>
      <c r="H1443" s="1">
        <v>3</v>
      </c>
      <c r="I1443" s="1">
        <v>3</v>
      </c>
      <c r="J1443" s="1">
        <v>2.5</v>
      </c>
      <c r="K1443" s="1">
        <v>2</v>
      </c>
      <c r="L1443" s="1">
        <v>1</v>
      </c>
      <c r="M1443" s="4">
        <v>1733</v>
      </c>
      <c r="N1443" s="1">
        <v>3407.51</v>
      </c>
      <c r="O1443" s="1">
        <v>5216.18</v>
      </c>
      <c r="P1443" s="1">
        <v>1808.6666666666599</v>
      </c>
      <c r="Q1443" s="1" t="s">
        <v>42</v>
      </c>
      <c r="S1443" s="1" t="s">
        <v>42</v>
      </c>
      <c r="T1443" s="1" t="s">
        <v>273</v>
      </c>
      <c r="U1443" s="1">
        <v>260</v>
      </c>
      <c r="V1443" s="5">
        <v>43694</v>
      </c>
      <c r="W1443" s="5">
        <v>43322</v>
      </c>
      <c r="X1443" s="1">
        <v>3875000</v>
      </c>
      <c r="Y1443" s="1">
        <v>3875000</v>
      </c>
      <c r="Z1443" s="5">
        <v>43582</v>
      </c>
      <c r="AA1443" s="1">
        <v>3850000</v>
      </c>
      <c r="AB1443" s="1" t="s">
        <v>708</v>
      </c>
      <c r="AC1443" s="5">
        <v>43619</v>
      </c>
      <c r="AF1443" s="1">
        <v>10011</v>
      </c>
      <c r="AI1443" s="1" t="s">
        <v>48</v>
      </c>
      <c r="AJ1443" s="1">
        <v>2018</v>
      </c>
      <c r="AK1443" s="1" t="s">
        <v>46</v>
      </c>
      <c r="AL1443" s="1">
        <v>21</v>
      </c>
    </row>
    <row r="1444" spans="1:38" x14ac:dyDescent="0.2">
      <c r="A1444" s="2" t="str">
        <f>HYPERLINK("https://www.compass.com/listing/225-west-17th-street-unit-ph1-manhattan-ny-10011/71698447060754737/","225 W 17th St, Unit PH1")</f>
        <v>225 W 17th St, Unit PH1</v>
      </c>
      <c r="B1444" s="2" t="str">
        <f>HYPERLINK("https://www.compass.com/building/225-west-17th-street-manhattan-ny/292802090781141541/","225 West 17th Street")</f>
        <v>225 West 17th Street</v>
      </c>
      <c r="C1444" s="1" t="s">
        <v>62</v>
      </c>
      <c r="D1444" s="1" t="s">
        <v>41</v>
      </c>
      <c r="E1444" s="3">
        <v>6400000</v>
      </c>
      <c r="F1444" s="1">
        <v>2376.5317489788299</v>
      </c>
      <c r="G1444" s="1">
        <v>5</v>
      </c>
      <c r="H1444" s="1">
        <v>3</v>
      </c>
      <c r="I1444" s="1">
        <v>4</v>
      </c>
      <c r="J1444" s="1">
        <v>3.5</v>
      </c>
      <c r="K1444" s="1">
        <v>3</v>
      </c>
      <c r="L1444" s="1">
        <v>1</v>
      </c>
      <c r="M1444" s="4">
        <v>2693</v>
      </c>
      <c r="N1444" s="1">
        <v>1871</v>
      </c>
      <c r="O1444" s="1">
        <v>5533</v>
      </c>
      <c r="P1444" s="1">
        <v>3662</v>
      </c>
      <c r="Q1444" s="1" t="s">
        <v>42</v>
      </c>
      <c r="S1444" s="1" t="s">
        <v>42</v>
      </c>
      <c r="T1444" s="1" t="s">
        <v>273</v>
      </c>
      <c r="U1444" s="1">
        <v>165</v>
      </c>
      <c r="V1444" s="5">
        <v>44342</v>
      </c>
      <c r="W1444" s="5">
        <v>43351</v>
      </c>
      <c r="X1444" s="1">
        <v>7250000</v>
      </c>
      <c r="Y1444" s="1">
        <v>7250000</v>
      </c>
      <c r="Z1444" s="5">
        <v>43516</v>
      </c>
      <c r="AA1444" s="1">
        <v>6400000</v>
      </c>
      <c r="AB1444" s="1" t="s">
        <v>709</v>
      </c>
      <c r="AC1444" s="5">
        <v>43571</v>
      </c>
      <c r="AF1444" s="1">
        <v>10011</v>
      </c>
      <c r="AI1444" s="1" t="s">
        <v>145</v>
      </c>
      <c r="AJ1444" s="1">
        <v>2018</v>
      </c>
      <c r="AK1444" s="1" t="s">
        <v>146</v>
      </c>
      <c r="AL1444" s="1">
        <v>14</v>
      </c>
    </row>
    <row r="1445" spans="1:38" x14ac:dyDescent="0.2">
      <c r="A1445" s="2" t="str">
        <f>HYPERLINK("https://www.compass.com/listing/100-barclay-street-unit-25d-manhattan-ny-10007/606448726216677065/","100 Barclay St, Unit 25D")</f>
        <v>100 Barclay St, Unit 25D</v>
      </c>
      <c r="B1445" s="2" t="str">
        <f t="shared" ref="B1445:B1455" si="211">HYPERLINK("https://www.compass.com/building/100-barclay-manhattan-ny/281896670466155525/","100 Barclay")</f>
        <v>100 Barclay</v>
      </c>
      <c r="C1445" s="1" t="s">
        <v>50</v>
      </c>
      <c r="D1445" s="1" t="s">
        <v>41</v>
      </c>
      <c r="E1445" s="3">
        <v>3900000</v>
      </c>
      <c r="F1445" s="1">
        <v>1668.09238665526</v>
      </c>
      <c r="G1445" s="1">
        <v>7</v>
      </c>
      <c r="H1445" s="1">
        <v>3</v>
      </c>
      <c r="I1445" s="1">
        <v>4</v>
      </c>
      <c r="J1445" s="1">
        <v>3.5</v>
      </c>
      <c r="K1445" s="1">
        <v>3</v>
      </c>
      <c r="L1445" s="1">
        <v>1</v>
      </c>
      <c r="M1445" s="4">
        <v>2338</v>
      </c>
      <c r="N1445" s="1">
        <v>3408</v>
      </c>
      <c r="O1445" s="1">
        <v>7173</v>
      </c>
      <c r="P1445" s="1">
        <v>3765</v>
      </c>
      <c r="Q1445" s="1" t="s">
        <v>42</v>
      </c>
      <c r="S1445" s="1" t="s">
        <v>42</v>
      </c>
      <c r="T1445" s="1" t="s">
        <v>273</v>
      </c>
      <c r="U1445" s="1">
        <v>186</v>
      </c>
      <c r="V1445" s="5">
        <v>44366</v>
      </c>
      <c r="W1445" s="5">
        <v>44088</v>
      </c>
      <c r="X1445" s="1">
        <v>4495000</v>
      </c>
      <c r="Y1445" s="1">
        <v>4195000</v>
      </c>
      <c r="Z1445" s="5">
        <v>44275</v>
      </c>
      <c r="AA1445" s="1">
        <v>3900000</v>
      </c>
      <c r="AB1445" s="1" t="s">
        <v>710</v>
      </c>
      <c r="AC1445" s="5">
        <v>44358</v>
      </c>
      <c r="AF1445" s="1">
        <v>10007</v>
      </c>
      <c r="AI1445" s="1" t="s">
        <v>52</v>
      </c>
      <c r="AJ1445" s="1">
        <v>1930</v>
      </c>
      <c r="AK1445" s="1" t="s">
        <v>46</v>
      </c>
      <c r="AL1445" s="1">
        <v>156</v>
      </c>
    </row>
    <row r="1446" spans="1:38" x14ac:dyDescent="0.2">
      <c r="A1446" s="2" t="str">
        <f>HYPERLINK("https://www.compass.com/listing/100-barclay-street-unit-14n-manhattan-ny-10007/4852288575997218785/","100 Barclay St, Unit 14N")</f>
        <v>100 Barclay St, Unit 14N</v>
      </c>
      <c r="B1446" s="2" t="str">
        <f t="shared" si="211"/>
        <v>100 Barclay</v>
      </c>
      <c r="C1446" s="1" t="s">
        <v>50</v>
      </c>
      <c r="D1446" s="1" t="s">
        <v>41</v>
      </c>
      <c r="E1446" s="3">
        <v>3550000</v>
      </c>
      <c r="F1446" s="1">
        <v>1779.44862155388</v>
      </c>
      <c r="G1446" s="1">
        <v>5</v>
      </c>
      <c r="H1446" s="1">
        <v>3</v>
      </c>
      <c r="I1446" s="1">
        <v>3</v>
      </c>
      <c r="J1446" s="1">
        <v>3</v>
      </c>
      <c r="K1446" s="1">
        <v>3</v>
      </c>
      <c r="M1446" s="4">
        <v>1995</v>
      </c>
      <c r="N1446" s="1">
        <v>2560</v>
      </c>
      <c r="O1446" s="1">
        <v>5008</v>
      </c>
      <c r="P1446" s="1">
        <v>2448</v>
      </c>
      <c r="Q1446" s="1" t="s">
        <v>42</v>
      </c>
      <c r="S1446" s="1" t="s">
        <v>42</v>
      </c>
      <c r="T1446" s="1" t="s">
        <v>273</v>
      </c>
      <c r="U1446" s="1">
        <v>116</v>
      </c>
      <c r="V1446" s="5">
        <v>43641</v>
      </c>
      <c r="W1446" s="5">
        <v>42643</v>
      </c>
      <c r="X1446" s="1">
        <v>3975000</v>
      </c>
      <c r="Y1446" s="1">
        <v>3975000</v>
      </c>
      <c r="Z1446" s="5">
        <v>42759</v>
      </c>
      <c r="AA1446" s="1">
        <v>3550000</v>
      </c>
      <c r="AB1446" s="1" t="s">
        <v>711</v>
      </c>
      <c r="AC1446" s="5">
        <v>42856</v>
      </c>
      <c r="AF1446" s="1">
        <v>10007</v>
      </c>
      <c r="AI1446" s="1" t="s">
        <v>52</v>
      </c>
      <c r="AJ1446" s="1">
        <v>1930</v>
      </c>
      <c r="AK1446" s="1" t="s">
        <v>46</v>
      </c>
      <c r="AL1446" s="1">
        <v>156</v>
      </c>
    </row>
    <row r="1447" spans="1:38" x14ac:dyDescent="0.2">
      <c r="A1447" s="2" t="str">
        <f>HYPERLINK("https://www.compass.com/listing/100-barclay-street-unit-30b-manhattan-ny-10007/21776486520387569/","100 Barclay St, Unit 30B")</f>
        <v>100 Barclay St, Unit 30B</v>
      </c>
      <c r="B1447" s="2" t="str">
        <f t="shared" si="211"/>
        <v>100 Barclay</v>
      </c>
      <c r="C1447" s="1" t="s">
        <v>50</v>
      </c>
      <c r="D1447" s="1" t="s">
        <v>41</v>
      </c>
      <c r="E1447" s="3">
        <v>6951348</v>
      </c>
      <c r="F1447" s="1">
        <v>2417.01947148817</v>
      </c>
      <c r="G1447" s="1">
        <v>6</v>
      </c>
      <c r="H1447" s="1">
        <v>3</v>
      </c>
      <c r="I1447" s="1">
        <v>4</v>
      </c>
      <c r="J1447" s="1">
        <v>4</v>
      </c>
      <c r="K1447" s="1">
        <v>4</v>
      </c>
      <c r="M1447" s="4">
        <v>2876</v>
      </c>
      <c r="N1447" s="1">
        <v>3555</v>
      </c>
      <c r="O1447" s="1">
        <v>7420</v>
      </c>
      <c r="P1447" s="1">
        <v>3865</v>
      </c>
      <c r="Q1447" s="1" t="s">
        <v>42</v>
      </c>
      <c r="S1447" s="1" t="s">
        <v>42</v>
      </c>
      <c r="T1447" s="1" t="s">
        <v>273</v>
      </c>
      <c r="U1447" s="1">
        <v>3</v>
      </c>
      <c r="V1447" s="5">
        <v>43630</v>
      </c>
      <c r="W1447" s="5">
        <v>43320</v>
      </c>
      <c r="X1447" s="1">
        <v>7350000</v>
      </c>
      <c r="Y1447" s="1">
        <v>7350000</v>
      </c>
      <c r="Z1447" s="5">
        <v>43323</v>
      </c>
      <c r="AA1447" s="1">
        <v>6951348</v>
      </c>
      <c r="AB1447" s="1" t="s">
        <v>712</v>
      </c>
      <c r="AC1447" s="5">
        <v>43374</v>
      </c>
      <c r="AF1447" s="1">
        <v>10007</v>
      </c>
      <c r="AI1447" s="1" t="s">
        <v>52</v>
      </c>
      <c r="AJ1447" s="1">
        <v>1930</v>
      </c>
      <c r="AK1447" s="1" t="s">
        <v>46</v>
      </c>
      <c r="AL1447" s="1">
        <v>156</v>
      </c>
    </row>
    <row r="1448" spans="1:38" x14ac:dyDescent="0.2">
      <c r="A1448" s="2" t="str">
        <f>HYPERLINK("https://www.compass.com/listing/100-barclay-street-unit-14d-manhattan-ny-10007/25002984190585665/","100 Barclay St, Unit 14D")</f>
        <v>100 Barclay St, Unit 14D</v>
      </c>
      <c r="B1448" s="2" t="str">
        <f t="shared" si="211"/>
        <v>100 Barclay</v>
      </c>
      <c r="C1448" s="1" t="s">
        <v>50</v>
      </c>
      <c r="D1448" s="1" t="s">
        <v>41</v>
      </c>
      <c r="E1448" s="3">
        <v>6075000</v>
      </c>
      <c r="F1448" s="1">
        <v>1952.7483124397299</v>
      </c>
      <c r="G1448" s="1">
        <v>8</v>
      </c>
      <c r="H1448" s="1">
        <v>4</v>
      </c>
      <c r="I1448" s="1">
        <v>5</v>
      </c>
      <c r="J1448" s="1">
        <v>5</v>
      </c>
      <c r="K1448" s="1">
        <v>5</v>
      </c>
      <c r="M1448" s="4">
        <v>3111</v>
      </c>
      <c r="N1448" s="1">
        <v>4622</v>
      </c>
      <c r="O1448" s="1">
        <v>8870</v>
      </c>
      <c r="P1448" s="1">
        <v>4248</v>
      </c>
      <c r="Q1448" s="1" t="s">
        <v>42</v>
      </c>
      <c r="S1448" s="1" t="s">
        <v>42</v>
      </c>
      <c r="T1448" s="1" t="s">
        <v>273</v>
      </c>
      <c r="U1448" s="1">
        <v>38</v>
      </c>
      <c r="V1448" s="5">
        <v>43697</v>
      </c>
      <c r="W1448" s="5">
        <v>43600</v>
      </c>
      <c r="X1448" s="1">
        <v>6450000</v>
      </c>
      <c r="Y1448" s="1">
        <v>6450000</v>
      </c>
      <c r="Z1448" s="5">
        <v>43638</v>
      </c>
      <c r="AA1448" s="1">
        <v>6075000</v>
      </c>
      <c r="AB1448" s="1" t="s">
        <v>713</v>
      </c>
      <c r="AC1448" s="5">
        <v>43642</v>
      </c>
      <c r="AF1448" s="1">
        <v>10007</v>
      </c>
      <c r="AI1448" s="1" t="s">
        <v>103</v>
      </c>
      <c r="AJ1448" s="1">
        <v>1930</v>
      </c>
      <c r="AK1448" s="1" t="s">
        <v>46</v>
      </c>
      <c r="AL1448" s="1">
        <v>156</v>
      </c>
    </row>
    <row r="1449" spans="1:38" x14ac:dyDescent="0.2">
      <c r="A1449" s="2" t="str">
        <f>HYPERLINK("https://www.compass.com/listing/100-barclay-street-unit-phb-manhattan-ny-10007/4852276263584268785/","100 Barclay St, Unit PHB")</f>
        <v>100 Barclay St, Unit PHB</v>
      </c>
      <c r="B1449" s="2" t="str">
        <f t="shared" si="211"/>
        <v>100 Barclay</v>
      </c>
      <c r="C1449" s="1" t="s">
        <v>50</v>
      </c>
      <c r="D1449" s="1" t="s">
        <v>41</v>
      </c>
      <c r="E1449" s="3">
        <v>11193750</v>
      </c>
      <c r="F1449" s="1">
        <v>2596.5553235908101</v>
      </c>
      <c r="G1449" s="1">
        <v>8</v>
      </c>
      <c r="H1449" s="1">
        <v>5</v>
      </c>
      <c r="I1449" s="1">
        <v>5</v>
      </c>
      <c r="J1449" s="1">
        <v>5.5</v>
      </c>
      <c r="K1449" s="1">
        <v>5</v>
      </c>
      <c r="L1449" s="1">
        <v>1</v>
      </c>
      <c r="M1449" s="4">
        <v>4311</v>
      </c>
      <c r="N1449" s="1">
        <v>5760</v>
      </c>
      <c r="O1449" s="1">
        <v>11268</v>
      </c>
      <c r="P1449" s="1">
        <v>5508</v>
      </c>
      <c r="Q1449" s="1" t="s">
        <v>42</v>
      </c>
      <c r="S1449" s="1" t="s">
        <v>42</v>
      </c>
      <c r="T1449" s="1" t="s">
        <v>273</v>
      </c>
      <c r="V1449" s="5">
        <v>43677</v>
      </c>
      <c r="W1449" s="5">
        <v>42807</v>
      </c>
      <c r="X1449" s="1">
        <v>13200000</v>
      </c>
      <c r="Y1449" s="1">
        <v>13200000</v>
      </c>
      <c r="Z1449" s="5">
        <v>42807</v>
      </c>
      <c r="AA1449" s="1">
        <v>11193750</v>
      </c>
      <c r="AB1449" s="1" t="s">
        <v>275</v>
      </c>
      <c r="AC1449" s="5">
        <v>42908</v>
      </c>
      <c r="AF1449" s="1">
        <v>10007</v>
      </c>
      <c r="AI1449" s="1" t="s">
        <v>103</v>
      </c>
      <c r="AJ1449" s="1">
        <v>1930</v>
      </c>
      <c r="AK1449" s="1" t="s">
        <v>46</v>
      </c>
      <c r="AL1449" s="1">
        <v>156</v>
      </c>
    </row>
    <row r="1450" spans="1:38" x14ac:dyDescent="0.2">
      <c r="A1450" s="2" t="str">
        <f>HYPERLINK("https://www.compass.com/listing/100-barclay-street-unit-23b-manhattan-ny-10007/4852276922039680801/","100 Barclay St, Unit 23B")</f>
        <v>100 Barclay St, Unit 23B</v>
      </c>
      <c r="B1450" s="2" t="str">
        <f t="shared" si="211"/>
        <v>100 Barclay</v>
      </c>
      <c r="C1450" s="1" t="s">
        <v>50</v>
      </c>
      <c r="D1450" s="1" t="s">
        <v>41</v>
      </c>
      <c r="E1450" s="3">
        <v>6250000</v>
      </c>
      <c r="F1450" s="1">
        <v>2177.7003484320499</v>
      </c>
      <c r="G1450" s="1">
        <v>5</v>
      </c>
      <c r="H1450" s="1">
        <v>4</v>
      </c>
      <c r="I1450" s="1">
        <v>4</v>
      </c>
      <c r="J1450" s="1">
        <v>4</v>
      </c>
      <c r="K1450" s="1">
        <v>4</v>
      </c>
      <c r="M1450" s="4">
        <v>2870</v>
      </c>
      <c r="N1450" s="1">
        <v>3682</v>
      </c>
      <c r="O1450" s="1">
        <v>7203</v>
      </c>
      <c r="P1450" s="1">
        <v>3521</v>
      </c>
      <c r="Q1450" s="1" t="s">
        <v>42</v>
      </c>
      <c r="S1450" s="1" t="s">
        <v>42</v>
      </c>
      <c r="T1450" s="1" t="s">
        <v>273</v>
      </c>
      <c r="U1450" s="1">
        <v>115</v>
      </c>
      <c r="V1450" s="5">
        <v>42937</v>
      </c>
      <c r="W1450" s="5">
        <v>42628</v>
      </c>
      <c r="X1450" s="1">
        <v>6825000</v>
      </c>
      <c r="Y1450" s="1">
        <v>6825000</v>
      </c>
      <c r="AA1450" s="1">
        <v>6250000</v>
      </c>
      <c r="AB1450" s="1" t="s">
        <v>714</v>
      </c>
      <c r="AC1450" s="5">
        <v>42922</v>
      </c>
      <c r="AF1450" s="1">
        <v>10007</v>
      </c>
      <c r="AI1450" s="1" t="s">
        <v>52</v>
      </c>
      <c r="AJ1450" s="1">
        <v>1930</v>
      </c>
      <c r="AK1450" s="1" t="s">
        <v>46</v>
      </c>
      <c r="AL1450" s="1">
        <v>156</v>
      </c>
    </row>
    <row r="1451" spans="1:38" x14ac:dyDescent="0.2">
      <c r="A1451" s="2" t="str">
        <f>HYPERLINK("https://www.compass.com/listing/100-barclay-street-unit-27a-manhattan-ny-10007/4852278479116310209/","100 Barclay St, Unit 27A")</f>
        <v>100 Barclay St, Unit 27A</v>
      </c>
      <c r="B1451" s="2" t="str">
        <f t="shared" si="211"/>
        <v>100 Barclay</v>
      </c>
      <c r="C1451" s="1" t="s">
        <v>50</v>
      </c>
      <c r="D1451" s="1" t="s">
        <v>41</v>
      </c>
      <c r="E1451" s="3">
        <v>6700000</v>
      </c>
      <c r="F1451" s="1">
        <v>2252.1008403361302</v>
      </c>
      <c r="G1451" s="1">
        <v>7</v>
      </c>
      <c r="H1451" s="1">
        <v>3</v>
      </c>
      <c r="I1451" s="1">
        <v>4</v>
      </c>
      <c r="J1451" s="1">
        <v>4</v>
      </c>
      <c r="K1451" s="1">
        <v>4</v>
      </c>
      <c r="M1451" s="4">
        <v>2975</v>
      </c>
      <c r="N1451" s="1">
        <v>3817</v>
      </c>
      <c r="O1451" s="1">
        <v>7467</v>
      </c>
      <c r="P1451" s="1">
        <v>3650</v>
      </c>
      <c r="Q1451" s="1" t="s">
        <v>42</v>
      </c>
      <c r="S1451" s="1" t="s">
        <v>42</v>
      </c>
      <c r="T1451" s="1" t="s">
        <v>273</v>
      </c>
      <c r="V1451" s="5">
        <v>43623</v>
      </c>
      <c r="W1451" s="5">
        <v>42922</v>
      </c>
      <c r="X1451" s="1">
        <v>7175000</v>
      </c>
      <c r="Y1451" s="1">
        <v>7175000</v>
      </c>
      <c r="Z1451" s="5">
        <v>42922</v>
      </c>
      <c r="AA1451" s="1">
        <v>6700000</v>
      </c>
      <c r="AB1451" s="1" t="s">
        <v>715</v>
      </c>
      <c r="AC1451" s="5">
        <v>42937</v>
      </c>
      <c r="AF1451" s="1">
        <v>10007</v>
      </c>
      <c r="AI1451" s="1" t="s">
        <v>52</v>
      </c>
      <c r="AJ1451" s="1">
        <v>1930</v>
      </c>
      <c r="AK1451" s="1" t="s">
        <v>46</v>
      </c>
      <c r="AL1451" s="1">
        <v>156</v>
      </c>
    </row>
    <row r="1452" spans="1:38" x14ac:dyDescent="0.2">
      <c r="A1452" s="2" t="str">
        <f>HYPERLINK("https://www.compass.com/listing/100-barclay-street-unit-28c-manhattan-ny-10007/4852279248217449185/","100 Barclay St, Unit 28C")</f>
        <v>100 Barclay St, Unit 28C</v>
      </c>
      <c r="B1452" s="2" t="str">
        <f t="shared" si="211"/>
        <v>100 Barclay</v>
      </c>
      <c r="C1452" s="1" t="s">
        <v>50</v>
      </c>
      <c r="D1452" s="1" t="s">
        <v>41</v>
      </c>
      <c r="E1452" s="3">
        <v>6150000</v>
      </c>
      <c r="F1452" s="1">
        <v>2267.69911504424</v>
      </c>
      <c r="G1452" s="1">
        <v>7</v>
      </c>
      <c r="H1452" s="1">
        <v>4</v>
      </c>
      <c r="I1452" s="1">
        <v>4</v>
      </c>
      <c r="J1452" s="1">
        <v>4</v>
      </c>
      <c r="K1452" s="1">
        <v>4</v>
      </c>
      <c r="M1452" s="4">
        <v>2712</v>
      </c>
      <c r="N1452" s="1">
        <v>3480</v>
      </c>
      <c r="O1452" s="1">
        <v>6808</v>
      </c>
      <c r="P1452" s="1">
        <v>3328</v>
      </c>
      <c r="Q1452" s="1" t="s">
        <v>42</v>
      </c>
      <c r="S1452" s="1" t="s">
        <v>42</v>
      </c>
      <c r="T1452" s="1" t="s">
        <v>273</v>
      </c>
      <c r="U1452" s="1">
        <v>40</v>
      </c>
      <c r="V1452" s="5">
        <v>42880</v>
      </c>
      <c r="W1452" s="5">
        <v>42754</v>
      </c>
      <c r="X1452" s="1">
        <v>6750000</v>
      </c>
      <c r="Y1452" s="1">
        <v>6750000</v>
      </c>
      <c r="Z1452" s="5">
        <v>42795</v>
      </c>
      <c r="AA1452" s="1">
        <v>6150000</v>
      </c>
      <c r="AB1452" s="1" t="s">
        <v>716</v>
      </c>
      <c r="AC1452" s="5">
        <v>42870</v>
      </c>
      <c r="AF1452" s="1">
        <v>10007</v>
      </c>
      <c r="AI1452" s="1" t="s">
        <v>52</v>
      </c>
      <c r="AJ1452" s="1">
        <v>1930</v>
      </c>
      <c r="AK1452" s="1" t="s">
        <v>46</v>
      </c>
      <c r="AL1452" s="1">
        <v>156</v>
      </c>
    </row>
    <row r="1453" spans="1:38" x14ac:dyDescent="0.2">
      <c r="A1453" s="2" t="str">
        <f>HYPERLINK("https://www.compass.com/listing/100-barclay-street-unit-21b-manhattan-ny-10007/803356898925062305/","100 Barclay St, Unit 21B")</f>
        <v>100 Barclay St, Unit 21B</v>
      </c>
      <c r="B1453" s="2" t="str">
        <f t="shared" si="211"/>
        <v>100 Barclay</v>
      </c>
      <c r="C1453" s="1" t="s">
        <v>50</v>
      </c>
      <c r="D1453" s="1" t="s">
        <v>41</v>
      </c>
      <c r="E1453" s="3">
        <v>6650000</v>
      </c>
      <c r="F1453" s="1">
        <v>2317.88079470198</v>
      </c>
      <c r="G1453" s="1">
        <v>6</v>
      </c>
      <c r="H1453" s="1">
        <v>3</v>
      </c>
      <c r="I1453" s="1">
        <v>4</v>
      </c>
      <c r="J1453" s="1">
        <v>4</v>
      </c>
      <c r="K1453" s="1">
        <v>4</v>
      </c>
      <c r="M1453" s="4">
        <v>2869</v>
      </c>
      <c r="N1453" s="1">
        <v>4507</v>
      </c>
      <c r="O1453" s="1">
        <v>9456.93</v>
      </c>
      <c r="P1453" s="1">
        <v>4949.9166666666597</v>
      </c>
      <c r="Q1453" s="1" t="s">
        <v>42</v>
      </c>
      <c r="S1453" s="1" t="s">
        <v>42</v>
      </c>
      <c r="T1453" s="1" t="s">
        <v>273</v>
      </c>
      <c r="U1453" s="1">
        <v>201</v>
      </c>
      <c r="V1453" s="5">
        <v>44220</v>
      </c>
      <c r="W1453" s="5">
        <v>43956</v>
      </c>
      <c r="X1453" s="1">
        <v>7895000</v>
      </c>
      <c r="Y1453" s="1">
        <v>6990000</v>
      </c>
      <c r="Z1453" s="5">
        <v>44206</v>
      </c>
      <c r="AA1453" s="1">
        <v>6650000</v>
      </c>
      <c r="AB1453" s="1" t="s">
        <v>717</v>
      </c>
      <c r="AC1453" s="5">
        <v>44222</v>
      </c>
      <c r="AF1453" s="1">
        <v>10007</v>
      </c>
      <c r="AI1453" s="1" t="s">
        <v>133</v>
      </c>
      <c r="AJ1453" s="1">
        <v>1930</v>
      </c>
      <c r="AK1453" s="1" t="s">
        <v>46</v>
      </c>
      <c r="AL1453" s="1">
        <v>156</v>
      </c>
    </row>
    <row r="1454" spans="1:38" x14ac:dyDescent="0.2">
      <c r="A1454" s="2" t="str">
        <f>HYPERLINK("https://www.compass.com/listing/100-barclay-street-unit-17j-manhattan-ny-10007/4852288504383681633/","100 Barclay St, Unit 17J")</f>
        <v>100 Barclay St, Unit 17J</v>
      </c>
      <c r="B1454" s="2" t="str">
        <f t="shared" si="211"/>
        <v>100 Barclay</v>
      </c>
      <c r="C1454" s="1" t="s">
        <v>50</v>
      </c>
      <c r="D1454" s="1" t="s">
        <v>41</v>
      </c>
      <c r="E1454" s="3">
        <v>1960131</v>
      </c>
      <c r="F1454" s="1">
        <v>1654.11898734177</v>
      </c>
      <c r="G1454" s="1">
        <v>3</v>
      </c>
      <c r="H1454" s="1">
        <v>1</v>
      </c>
      <c r="I1454" s="1">
        <v>2</v>
      </c>
      <c r="J1454" s="1">
        <v>2</v>
      </c>
      <c r="K1454" s="1">
        <v>2</v>
      </c>
      <c r="M1454" s="4">
        <v>1185</v>
      </c>
      <c r="N1454" s="1">
        <v>1520</v>
      </c>
      <c r="O1454" s="1">
        <v>2974</v>
      </c>
      <c r="P1454" s="1">
        <v>1454</v>
      </c>
      <c r="Q1454" s="1" t="s">
        <v>42</v>
      </c>
      <c r="S1454" s="1" t="s">
        <v>42</v>
      </c>
      <c r="T1454" s="1" t="s">
        <v>273</v>
      </c>
      <c r="U1454" s="1">
        <v>2</v>
      </c>
      <c r="V1454" s="5">
        <v>43623</v>
      </c>
      <c r="W1454" s="5">
        <v>42572</v>
      </c>
      <c r="X1454" s="1">
        <v>2100000</v>
      </c>
      <c r="Y1454" s="1">
        <v>2100000</v>
      </c>
      <c r="Z1454" s="5">
        <v>42574</v>
      </c>
      <c r="AA1454" s="1">
        <v>1960131</v>
      </c>
      <c r="AB1454" s="1" t="s">
        <v>718</v>
      </c>
      <c r="AC1454" s="5">
        <v>42629</v>
      </c>
      <c r="AF1454" s="1">
        <v>10007</v>
      </c>
      <c r="AI1454" s="1" t="s">
        <v>52</v>
      </c>
      <c r="AJ1454" s="1">
        <v>1930</v>
      </c>
      <c r="AK1454" s="1" t="s">
        <v>46</v>
      </c>
      <c r="AL1454" s="1">
        <v>156</v>
      </c>
    </row>
    <row r="1455" spans="1:38" x14ac:dyDescent="0.2">
      <c r="A1455" s="2" t="str">
        <f>HYPERLINK("https://www.compass.com/listing/100-barclay-street-unit-11h-manhattan-ny-10007/29513628134672097/","100 Barclay St, Unit 11H")</f>
        <v>100 Barclay St, Unit 11H</v>
      </c>
      <c r="B1455" s="2" t="str">
        <f t="shared" si="211"/>
        <v>100 Barclay</v>
      </c>
      <c r="C1455" s="1" t="s">
        <v>50</v>
      </c>
      <c r="D1455" s="1" t="s">
        <v>41</v>
      </c>
      <c r="E1455" s="3">
        <v>3105663</v>
      </c>
      <c r="F1455" s="1">
        <v>1794.1438474869999</v>
      </c>
      <c r="G1455" s="1">
        <v>5</v>
      </c>
      <c r="H1455" s="1">
        <v>2</v>
      </c>
      <c r="I1455" s="1">
        <v>3</v>
      </c>
      <c r="J1455" s="1">
        <v>3</v>
      </c>
      <c r="M1455" s="4">
        <v>1731</v>
      </c>
      <c r="N1455" s="1">
        <v>2387</v>
      </c>
      <c r="O1455" s="1">
        <v>4670</v>
      </c>
      <c r="P1455" s="1">
        <v>2283</v>
      </c>
      <c r="Q1455" s="1" t="s">
        <v>42</v>
      </c>
      <c r="S1455" s="1" t="s">
        <v>42</v>
      </c>
      <c r="T1455" s="1" t="s">
        <v>273</v>
      </c>
      <c r="V1455" s="5">
        <v>43664</v>
      </c>
      <c r="W1455" s="5">
        <v>42477</v>
      </c>
      <c r="X1455" s="1">
        <v>3114500</v>
      </c>
      <c r="Y1455" s="1">
        <v>3114500</v>
      </c>
      <c r="Z1455" s="5">
        <v>42477</v>
      </c>
      <c r="AA1455" s="1">
        <v>3105663</v>
      </c>
      <c r="AB1455" s="1" t="s">
        <v>719</v>
      </c>
      <c r="AC1455" s="5">
        <v>42803</v>
      </c>
      <c r="AF1455" s="1">
        <v>10007</v>
      </c>
      <c r="AI1455" s="1" t="s">
        <v>133</v>
      </c>
      <c r="AJ1455" s="1">
        <v>1930</v>
      </c>
      <c r="AK1455" s="1" t="s">
        <v>46</v>
      </c>
      <c r="AL1455" s="1">
        <v>156</v>
      </c>
    </row>
    <row r="1456" spans="1:38" x14ac:dyDescent="0.2">
      <c r="A1456" s="2" t="str">
        <f>HYPERLINK("https://www.compass.com/listing/211-west-14th-street-unit-7-manhattan-ny-10011/106223354805008033/","211 W 14th St, Unit 7")</f>
        <v>211 W 14th St, Unit 7</v>
      </c>
      <c r="B1456" s="2" t="str">
        <f>HYPERLINK("https://www.compass.com/building/dorsay-manhattan-ny/292801633543285477/","d'Orsay")</f>
        <v>d'Orsay</v>
      </c>
      <c r="C1456" s="1" t="s">
        <v>62</v>
      </c>
      <c r="D1456" s="1" t="s">
        <v>41</v>
      </c>
      <c r="E1456" s="3">
        <v>7636875</v>
      </c>
      <c r="F1456" s="1">
        <v>2752.0270270270198</v>
      </c>
      <c r="G1456" s="1">
        <v>6</v>
      </c>
      <c r="H1456" s="1">
        <v>3</v>
      </c>
      <c r="I1456" s="1">
        <v>4</v>
      </c>
      <c r="J1456" s="1">
        <v>3.5</v>
      </c>
      <c r="K1456" s="1">
        <v>3</v>
      </c>
      <c r="L1456" s="1">
        <v>1</v>
      </c>
      <c r="M1456" s="4">
        <v>2775</v>
      </c>
      <c r="N1456" s="1">
        <v>5752.11</v>
      </c>
      <c r="O1456" s="1">
        <v>8805.2799999999897</v>
      </c>
      <c r="P1456" s="1">
        <v>3053.1666666666601</v>
      </c>
      <c r="Q1456" s="1" t="s">
        <v>42</v>
      </c>
      <c r="S1456" s="1" t="s">
        <v>42</v>
      </c>
      <c r="T1456" s="1" t="s">
        <v>273</v>
      </c>
      <c r="U1456" s="1">
        <v>145</v>
      </c>
      <c r="V1456" s="5">
        <v>43644</v>
      </c>
      <c r="W1456" s="5">
        <v>43399</v>
      </c>
      <c r="X1456" s="1">
        <v>8150000</v>
      </c>
      <c r="Y1456" s="1">
        <v>7950000</v>
      </c>
      <c r="Z1456" s="5">
        <v>43544</v>
      </c>
      <c r="AA1456" s="1">
        <v>7636875</v>
      </c>
      <c r="AB1456" s="1" t="s">
        <v>720</v>
      </c>
      <c r="AC1456" s="5">
        <v>43563</v>
      </c>
      <c r="AF1456" s="1">
        <v>10011</v>
      </c>
      <c r="AI1456" s="1" t="s">
        <v>211</v>
      </c>
      <c r="AJ1456" s="1">
        <v>2018</v>
      </c>
      <c r="AK1456" s="1" t="s">
        <v>46</v>
      </c>
      <c r="AL1456" s="1">
        <v>21</v>
      </c>
    </row>
    <row r="1457" spans="1:38" x14ac:dyDescent="0.2">
      <c r="A1457" s="2" t="str">
        <f>HYPERLINK("https://www.compass.com/listing/100-barclay-street-unit-13l-manhattan-ny-10007/4852288413593770017/","100 Barclay St, Unit 13L")</f>
        <v>100 Barclay St, Unit 13L</v>
      </c>
      <c r="B1457" s="2" t="str">
        <f t="shared" ref="B1457:B1458" si="212">HYPERLINK("https://www.compass.com/building/100-barclay-manhattan-ny/281896670466155525/","100 Barclay")</f>
        <v>100 Barclay</v>
      </c>
      <c r="C1457" s="1" t="s">
        <v>50</v>
      </c>
      <c r="D1457" s="1" t="s">
        <v>41</v>
      </c>
      <c r="E1457" s="3">
        <v>3977366</v>
      </c>
      <c r="F1457" s="1">
        <v>1789.99369936993</v>
      </c>
      <c r="G1457" s="1">
        <v>5</v>
      </c>
      <c r="H1457" s="1">
        <v>3</v>
      </c>
      <c r="I1457" s="1">
        <v>3</v>
      </c>
      <c r="J1457" s="1">
        <v>3.5</v>
      </c>
      <c r="K1457" s="1">
        <v>3</v>
      </c>
      <c r="L1457" s="1">
        <v>1</v>
      </c>
      <c r="M1457" s="4">
        <v>2222</v>
      </c>
      <c r="N1457" s="1">
        <v>2747</v>
      </c>
      <c r="O1457" s="1">
        <v>5730</v>
      </c>
      <c r="P1457" s="1">
        <v>2983</v>
      </c>
      <c r="Q1457" s="1" t="s">
        <v>42</v>
      </c>
      <c r="S1457" s="1" t="s">
        <v>42</v>
      </c>
      <c r="T1457" s="1" t="s">
        <v>273</v>
      </c>
      <c r="U1457" s="1">
        <v>20</v>
      </c>
      <c r="V1457" s="5">
        <v>43623</v>
      </c>
      <c r="W1457" s="5">
        <v>42760</v>
      </c>
      <c r="X1457" s="1">
        <v>4295000</v>
      </c>
      <c r="Y1457" s="1">
        <v>4295000</v>
      </c>
      <c r="Z1457" s="5">
        <v>42892</v>
      </c>
      <c r="AA1457" s="1">
        <v>3977366</v>
      </c>
      <c r="AB1457" s="1" t="s">
        <v>721</v>
      </c>
      <c r="AC1457" s="5">
        <v>42984</v>
      </c>
      <c r="AF1457" s="1">
        <v>10007</v>
      </c>
      <c r="AI1457" s="1" t="s">
        <v>52</v>
      </c>
      <c r="AJ1457" s="1">
        <v>1930</v>
      </c>
      <c r="AK1457" s="1" t="s">
        <v>46</v>
      </c>
      <c r="AL1457" s="1">
        <v>156</v>
      </c>
    </row>
    <row r="1458" spans="1:38" x14ac:dyDescent="0.2">
      <c r="A1458" s="2" t="str">
        <f>HYPERLINK("https://www.compass.com/listing/100-barclay-street-unit-12l-manhattan-ny-10007/4852308596660125649/","100 Barclay St, Unit 12L")</f>
        <v>100 Barclay St, Unit 12L</v>
      </c>
      <c r="B1458" s="2" t="str">
        <f t="shared" si="212"/>
        <v>100 Barclay</v>
      </c>
      <c r="C1458" s="1" t="s">
        <v>50</v>
      </c>
      <c r="D1458" s="1" t="s">
        <v>41</v>
      </c>
      <c r="E1458" s="3">
        <v>4123913</v>
      </c>
      <c r="F1458" s="1">
        <v>1855.9464446444599</v>
      </c>
      <c r="G1458" s="1">
        <v>6</v>
      </c>
      <c r="H1458" s="1">
        <v>3</v>
      </c>
      <c r="I1458" s="1">
        <v>4</v>
      </c>
      <c r="J1458" s="1">
        <v>3.5</v>
      </c>
      <c r="K1458" s="1">
        <v>3</v>
      </c>
      <c r="L1458" s="1">
        <v>1</v>
      </c>
      <c r="M1458" s="4">
        <v>2222</v>
      </c>
      <c r="N1458" s="1">
        <v>2851</v>
      </c>
      <c r="O1458" s="1">
        <v>5577</v>
      </c>
      <c r="P1458" s="1">
        <v>2726</v>
      </c>
      <c r="Q1458" s="1" t="s">
        <v>42</v>
      </c>
      <c r="S1458" s="1" t="s">
        <v>42</v>
      </c>
      <c r="T1458" s="1" t="s">
        <v>273</v>
      </c>
      <c r="V1458" s="5">
        <v>44225</v>
      </c>
      <c r="W1458" s="5">
        <v>42462</v>
      </c>
      <c r="X1458" s="1">
        <v>4185000</v>
      </c>
      <c r="Y1458" s="1">
        <v>4185000</v>
      </c>
      <c r="Z1458" s="5">
        <v>42462</v>
      </c>
      <c r="AA1458" s="1">
        <v>4123913</v>
      </c>
      <c r="AB1458" s="1" t="s">
        <v>722</v>
      </c>
      <c r="AC1458" s="5">
        <v>42753</v>
      </c>
      <c r="AF1458" s="1">
        <v>10007</v>
      </c>
      <c r="AI1458" s="1" t="s">
        <v>52</v>
      </c>
      <c r="AJ1458" s="1">
        <v>1930</v>
      </c>
      <c r="AK1458" s="1" t="s">
        <v>46</v>
      </c>
      <c r="AL1458" s="1">
        <v>156</v>
      </c>
    </row>
    <row r="1459" spans="1:38" x14ac:dyDescent="0.2">
      <c r="A1459" s="2" t="str">
        <f>HYPERLINK("https://www.compass.com/listing/45-east-22nd-street-unit-46b-manhattan-ny-10010/29375873148810769/","45 E 22nd St, Unit 46B")</f>
        <v>45 E 22nd St, Unit 46B</v>
      </c>
      <c r="B1459" s="2" t="str">
        <f>HYPERLINK("https://www.compass.com/building/madison-square-park-tower-manhattan-ny/281903584482705973/","Madison Square Park Tower")</f>
        <v>Madison Square Park Tower</v>
      </c>
      <c r="C1459" s="1" t="s">
        <v>56</v>
      </c>
      <c r="D1459" s="1" t="s">
        <v>41</v>
      </c>
      <c r="E1459" s="3">
        <v>8076734</v>
      </c>
      <c r="F1459" s="1">
        <v>3732.3170055452802</v>
      </c>
      <c r="G1459" s="1">
        <v>4</v>
      </c>
      <c r="H1459" s="1">
        <v>2</v>
      </c>
      <c r="I1459" s="1">
        <v>2</v>
      </c>
      <c r="J1459" s="1">
        <v>2</v>
      </c>
      <c r="K1459" s="1">
        <v>2</v>
      </c>
      <c r="M1459" s="4">
        <v>2164</v>
      </c>
      <c r="N1459" s="1">
        <v>2678</v>
      </c>
      <c r="O1459" s="1">
        <v>6749</v>
      </c>
      <c r="P1459" s="1">
        <v>4071</v>
      </c>
      <c r="Q1459" s="1" t="s">
        <v>42</v>
      </c>
      <c r="S1459" s="1" t="s">
        <v>42</v>
      </c>
      <c r="T1459" s="1" t="s">
        <v>273</v>
      </c>
      <c r="U1459" s="1">
        <v>110</v>
      </c>
      <c r="V1459" s="5">
        <v>43650</v>
      </c>
      <c r="W1459" s="5">
        <v>42091</v>
      </c>
      <c r="X1459" s="1">
        <v>7900000</v>
      </c>
      <c r="Y1459" s="1">
        <v>7900000</v>
      </c>
      <c r="Z1459" s="5">
        <v>42201</v>
      </c>
      <c r="AA1459" s="1">
        <v>8076734</v>
      </c>
      <c r="AB1459" s="1" t="s">
        <v>723</v>
      </c>
      <c r="AC1459" s="5">
        <v>42958</v>
      </c>
      <c r="AF1459" s="1">
        <v>10010</v>
      </c>
      <c r="AI1459" s="1" t="s">
        <v>48</v>
      </c>
      <c r="AJ1459" s="1">
        <v>2016</v>
      </c>
      <c r="AK1459" s="1" t="s">
        <v>46</v>
      </c>
      <c r="AL1459" s="1">
        <v>83</v>
      </c>
    </row>
    <row r="1460" spans="1:38" x14ac:dyDescent="0.2">
      <c r="A1460" s="2" t="str">
        <f>HYPERLINK("https://www.compass.com/listing/49-chambers-street-unit-15d-manhattan-ny-10007/262162502643704289/","49 Chambers St, Unit 15D")</f>
        <v>49 Chambers St, Unit 15D</v>
      </c>
      <c r="B1460" s="2" t="str">
        <f>HYPERLINK("https://www.compass.com/building/49-chambers-manhattan-ny/282058733280852725/","49 Chambers")</f>
        <v>49 Chambers</v>
      </c>
      <c r="C1460" s="1" t="s">
        <v>50</v>
      </c>
      <c r="D1460" s="1" t="s">
        <v>41</v>
      </c>
      <c r="E1460" s="3">
        <v>3300000</v>
      </c>
      <c r="F1460" s="1">
        <v>1462.7659574468</v>
      </c>
      <c r="G1460" s="1">
        <v>5.5</v>
      </c>
      <c r="H1460" s="1">
        <v>3</v>
      </c>
      <c r="I1460" s="1">
        <v>3</v>
      </c>
      <c r="J1460" s="1">
        <v>2.5</v>
      </c>
      <c r="K1460" s="1">
        <v>2</v>
      </c>
      <c r="L1460" s="1">
        <v>1</v>
      </c>
      <c r="M1460" s="4">
        <v>2256</v>
      </c>
      <c r="N1460" s="1">
        <v>1798</v>
      </c>
      <c r="O1460" s="1">
        <v>5509</v>
      </c>
      <c r="P1460" s="1">
        <v>3711</v>
      </c>
      <c r="Q1460" s="1" t="s">
        <v>42</v>
      </c>
      <c r="S1460" s="1" t="s">
        <v>42</v>
      </c>
      <c r="T1460" s="1" t="s">
        <v>273</v>
      </c>
      <c r="U1460" s="1">
        <v>522</v>
      </c>
      <c r="V1460" s="5">
        <v>44314</v>
      </c>
      <c r="W1460" s="5">
        <v>43613</v>
      </c>
      <c r="X1460" s="1">
        <v>4350000</v>
      </c>
      <c r="Y1460" s="1">
        <v>3995000</v>
      </c>
      <c r="AA1460" s="1">
        <v>3300000</v>
      </c>
      <c r="AB1460" s="1" t="s">
        <v>295</v>
      </c>
      <c r="AC1460" s="5">
        <v>44230</v>
      </c>
      <c r="AF1460" s="1">
        <v>10007</v>
      </c>
      <c r="AI1460" s="1" t="s">
        <v>114</v>
      </c>
      <c r="AJ1460" s="1">
        <v>1910</v>
      </c>
      <c r="AK1460" s="1" t="s">
        <v>49</v>
      </c>
      <c r="AL1460" s="1">
        <v>99</v>
      </c>
    </row>
    <row r="1461" spans="1:38" x14ac:dyDescent="0.2">
      <c r="A1461" s="2" t="str">
        <f>HYPERLINK("https://www.compass.com/listing/225-west-17th-street-unit-3a-manhattan-ny-10011/29510293730127377/","225 W 17th St, Unit 3A")</f>
        <v>225 W 17th St, Unit 3A</v>
      </c>
      <c r="B1461" s="2" t="str">
        <f>HYPERLINK("https://www.compass.com/building/225-west-17th-street-manhattan-ny/292802090781141541/","225 West 17th Street")</f>
        <v>225 West 17th Street</v>
      </c>
      <c r="C1461" s="1" t="s">
        <v>62</v>
      </c>
      <c r="D1461" s="1" t="s">
        <v>41</v>
      </c>
      <c r="E1461" s="3">
        <v>3625000</v>
      </c>
      <c r="F1461" s="1">
        <v>1856.1187916026599</v>
      </c>
      <c r="G1461" s="1">
        <v>7</v>
      </c>
      <c r="H1461" s="1">
        <v>3</v>
      </c>
      <c r="I1461" s="1">
        <v>3</v>
      </c>
      <c r="J1461" s="1">
        <v>2.5</v>
      </c>
      <c r="K1461" s="1">
        <v>2</v>
      </c>
      <c r="L1461" s="1">
        <v>1</v>
      </c>
      <c r="M1461" s="4">
        <v>1953</v>
      </c>
      <c r="N1461" s="1">
        <v>1188</v>
      </c>
      <c r="O1461" s="1">
        <v>3563</v>
      </c>
      <c r="P1461" s="1">
        <v>2375</v>
      </c>
      <c r="Q1461" s="1" t="s">
        <v>42</v>
      </c>
      <c r="S1461" s="1" t="s">
        <v>42</v>
      </c>
      <c r="T1461" s="1" t="s">
        <v>273</v>
      </c>
      <c r="U1461" s="1">
        <v>181</v>
      </c>
      <c r="V1461" s="5">
        <v>43635</v>
      </c>
      <c r="W1461" s="5">
        <v>42866</v>
      </c>
      <c r="X1461" s="1">
        <v>3995000</v>
      </c>
      <c r="Y1461" s="1">
        <v>3625000</v>
      </c>
      <c r="Z1461" s="5">
        <v>43047</v>
      </c>
      <c r="AA1461" s="1">
        <v>3625000</v>
      </c>
      <c r="AB1461" s="1" t="s">
        <v>275</v>
      </c>
      <c r="AC1461" s="5">
        <v>43573</v>
      </c>
      <c r="AF1461" s="1">
        <v>10011</v>
      </c>
      <c r="AI1461" s="1" t="s">
        <v>177</v>
      </c>
      <c r="AJ1461" s="1">
        <v>2018</v>
      </c>
      <c r="AK1461" s="1" t="s">
        <v>215</v>
      </c>
      <c r="AL1461" s="1">
        <v>14</v>
      </c>
    </row>
    <row r="1462" spans="1:38" x14ac:dyDescent="0.2">
      <c r="A1462" s="2" t="str">
        <f>HYPERLINK("https://www.compass.com/listing/211-west-14th-street-unit-6b-manhattan-ny-10011/197699881249277569/","211 W 14th St, Unit 6B")</f>
        <v>211 W 14th St, Unit 6B</v>
      </c>
      <c r="B1462" s="2" t="str">
        <f t="shared" ref="B1462:B1463" si="213">HYPERLINK("https://www.compass.com/building/dorsay-manhattan-ny/292801633543285477/","d'Orsay")</f>
        <v>d'Orsay</v>
      </c>
      <c r="C1462" s="1" t="s">
        <v>62</v>
      </c>
      <c r="D1462" s="1" t="s">
        <v>41</v>
      </c>
      <c r="E1462" s="3">
        <v>3026952</v>
      </c>
      <c r="F1462" s="1">
        <v>2224.06465833945</v>
      </c>
      <c r="G1462" s="1">
        <v>4</v>
      </c>
      <c r="H1462" s="1">
        <v>2</v>
      </c>
      <c r="I1462" s="1">
        <v>3</v>
      </c>
      <c r="J1462" s="1">
        <v>2.5</v>
      </c>
      <c r="K1462" s="1">
        <v>2</v>
      </c>
      <c r="L1462" s="1">
        <v>1</v>
      </c>
      <c r="M1462" s="4">
        <v>1361</v>
      </c>
      <c r="N1462" s="1">
        <v>2689</v>
      </c>
      <c r="O1462" s="1">
        <v>3876</v>
      </c>
      <c r="P1462" s="1">
        <v>1187</v>
      </c>
      <c r="Q1462" s="1" t="s">
        <v>42</v>
      </c>
      <c r="S1462" s="1" t="s">
        <v>42</v>
      </c>
      <c r="T1462" s="1" t="s">
        <v>273</v>
      </c>
      <c r="U1462" s="1">
        <v>9</v>
      </c>
      <c r="V1462" s="5">
        <v>43648</v>
      </c>
      <c r="W1462" s="5">
        <v>43527</v>
      </c>
      <c r="X1462" s="1">
        <v>3085000</v>
      </c>
      <c r="Y1462" s="1">
        <v>3085000</v>
      </c>
      <c r="Z1462" s="5">
        <v>43536</v>
      </c>
      <c r="AA1462" s="1">
        <v>3026952</v>
      </c>
      <c r="AB1462" s="1" t="s">
        <v>724</v>
      </c>
      <c r="AC1462" s="5">
        <v>43545</v>
      </c>
      <c r="AF1462" s="1">
        <v>10011</v>
      </c>
      <c r="AI1462" s="1" t="s">
        <v>48</v>
      </c>
      <c r="AJ1462" s="1">
        <v>2018</v>
      </c>
      <c r="AK1462" s="1" t="s">
        <v>46</v>
      </c>
      <c r="AL1462" s="1">
        <v>21</v>
      </c>
    </row>
    <row r="1463" spans="1:38" x14ac:dyDescent="0.2">
      <c r="A1463" s="2" t="str">
        <f>HYPERLINK("https://www.compass.com/listing/211-west-14th-street-unit-2a-manhattan-ny-10011/50128693128977873/","211 W 14th St, Unit 2A")</f>
        <v>211 W 14th St, Unit 2A</v>
      </c>
      <c r="B1463" s="2" t="str">
        <f t="shared" si="213"/>
        <v>d'Orsay</v>
      </c>
      <c r="C1463" s="1" t="s">
        <v>62</v>
      </c>
      <c r="D1463" s="1" t="s">
        <v>41</v>
      </c>
      <c r="E1463" s="3">
        <v>3768813</v>
      </c>
      <c r="F1463" s="1">
        <v>2037.1959459459399</v>
      </c>
      <c r="G1463" s="1">
        <v>5</v>
      </c>
      <c r="H1463" s="1">
        <v>3</v>
      </c>
      <c r="I1463" s="1">
        <v>4</v>
      </c>
      <c r="J1463" s="1">
        <v>3.5</v>
      </c>
      <c r="K1463" s="1">
        <v>3</v>
      </c>
      <c r="L1463" s="1">
        <v>1</v>
      </c>
      <c r="M1463" s="4">
        <v>1850</v>
      </c>
      <c r="N1463" s="1">
        <v>3680.97</v>
      </c>
      <c r="O1463" s="1">
        <v>6290.08</v>
      </c>
      <c r="P1463" s="1">
        <v>2609.0833333333298</v>
      </c>
      <c r="Q1463" s="1" t="s">
        <v>42</v>
      </c>
      <c r="S1463" s="1" t="s">
        <v>42</v>
      </c>
      <c r="T1463" s="1" t="s">
        <v>273</v>
      </c>
      <c r="U1463" s="1">
        <v>88</v>
      </c>
      <c r="V1463" s="5">
        <v>43710</v>
      </c>
      <c r="W1463" s="5">
        <v>43571</v>
      </c>
      <c r="X1463" s="1">
        <v>3850000</v>
      </c>
      <c r="Y1463" s="1">
        <v>3850000</v>
      </c>
      <c r="Z1463" s="5">
        <v>43659</v>
      </c>
      <c r="AA1463" s="1">
        <v>3768812.5</v>
      </c>
      <c r="AB1463" s="1" t="s">
        <v>725</v>
      </c>
      <c r="AC1463" s="5">
        <v>43697</v>
      </c>
      <c r="AF1463" s="1">
        <v>10011</v>
      </c>
      <c r="AI1463" s="1" t="s">
        <v>211</v>
      </c>
      <c r="AJ1463" s="1">
        <v>2018</v>
      </c>
      <c r="AK1463" s="1" t="s">
        <v>46</v>
      </c>
      <c r="AL1463" s="1">
        <v>21</v>
      </c>
    </row>
    <row r="1464" spans="1:38" x14ac:dyDescent="0.2">
      <c r="A1464" s="2" t="str">
        <f>HYPERLINK("https://www.compass.com/listing/100-barclay-street-unit-16j-manhattan-ny-10007/753720273033964985/","100 Barclay St, Unit 16J")</f>
        <v>100 Barclay St, Unit 16J</v>
      </c>
      <c r="B1464" s="2" t="str">
        <f>HYPERLINK("https://www.compass.com/building/100-barclay-manhattan-ny/281896670466155525/","100 Barclay")</f>
        <v>100 Barclay</v>
      </c>
      <c r="C1464" s="1" t="s">
        <v>50</v>
      </c>
      <c r="D1464" s="1" t="s">
        <v>41</v>
      </c>
      <c r="E1464" s="3">
        <v>1995000</v>
      </c>
      <c r="F1464" s="1">
        <v>1545.3137103020899</v>
      </c>
      <c r="G1464" s="1">
        <v>3.5</v>
      </c>
      <c r="H1464" s="1">
        <v>1</v>
      </c>
      <c r="I1464" s="1">
        <v>2</v>
      </c>
      <c r="J1464" s="1">
        <v>2</v>
      </c>
      <c r="K1464" s="1">
        <v>2</v>
      </c>
      <c r="M1464" s="4">
        <v>1291</v>
      </c>
      <c r="N1464" s="1">
        <v>1708</v>
      </c>
      <c r="O1464" s="1">
        <v>3282</v>
      </c>
      <c r="P1464" s="1">
        <v>1574</v>
      </c>
      <c r="Q1464" s="1" t="s">
        <v>42</v>
      </c>
      <c r="S1464" s="1" t="s">
        <v>42</v>
      </c>
      <c r="T1464" s="1" t="s">
        <v>273</v>
      </c>
      <c r="U1464" s="1">
        <v>38</v>
      </c>
      <c r="V1464" s="5">
        <v>44398</v>
      </c>
      <c r="W1464" s="5">
        <v>44291</v>
      </c>
      <c r="X1464" s="1">
        <v>1995000</v>
      </c>
      <c r="Y1464" s="1">
        <v>1995000</v>
      </c>
      <c r="Z1464" s="5">
        <v>44330</v>
      </c>
      <c r="AA1464" s="1">
        <v>1995000</v>
      </c>
      <c r="AB1464" s="1" t="s">
        <v>726</v>
      </c>
      <c r="AC1464" s="5">
        <v>44392</v>
      </c>
      <c r="AF1464" s="1">
        <v>10007</v>
      </c>
      <c r="AI1464" s="1" t="s">
        <v>52</v>
      </c>
      <c r="AJ1464" s="1">
        <v>1930</v>
      </c>
      <c r="AK1464" s="1" t="s">
        <v>46</v>
      </c>
      <c r="AL1464" s="1">
        <v>156</v>
      </c>
    </row>
    <row r="1465" spans="1:38" x14ac:dyDescent="0.2">
      <c r="A1465" s="2" t="str">
        <f>HYPERLINK("https://www.compass.com/listing/155-west-18th-street-unit-504-manhattan-ny-10011/29373031449152369/","155 W 18th St, Unit 504")</f>
        <v>155 W 18th St, Unit 504</v>
      </c>
      <c r="B1465" s="2" t="str">
        <f t="shared" ref="B1465:B1467" si="214">HYPERLINK("https://www.compass.com/building/the-flynn-manhattan-ny/281905793161251925/","The Flynn")</f>
        <v>The Flynn</v>
      </c>
      <c r="C1465" s="1" t="s">
        <v>62</v>
      </c>
      <c r="D1465" s="1" t="s">
        <v>41</v>
      </c>
      <c r="E1465" s="3">
        <v>4480300</v>
      </c>
      <c r="F1465" s="1">
        <v>2209.2209072978299</v>
      </c>
      <c r="G1465" s="1">
        <v>4</v>
      </c>
      <c r="H1465" s="1">
        <v>3</v>
      </c>
      <c r="I1465" s="1">
        <v>4</v>
      </c>
      <c r="J1465" s="1">
        <v>0.5</v>
      </c>
      <c r="L1465" s="1">
        <v>1</v>
      </c>
      <c r="M1465" s="4">
        <v>2028</v>
      </c>
      <c r="N1465" s="1">
        <v>3090</v>
      </c>
      <c r="O1465" s="1">
        <v>5459</v>
      </c>
      <c r="P1465" s="1">
        <v>2369</v>
      </c>
      <c r="Q1465" s="1" t="s">
        <v>42</v>
      </c>
      <c r="S1465" s="1" t="s">
        <v>42</v>
      </c>
      <c r="T1465" s="1" t="s">
        <v>273</v>
      </c>
      <c r="U1465" s="1">
        <v>12</v>
      </c>
      <c r="V1465" s="5">
        <v>43640</v>
      </c>
      <c r="W1465" s="5">
        <v>42378</v>
      </c>
      <c r="X1465" s="1">
        <v>4400000</v>
      </c>
      <c r="Y1465" s="1">
        <v>4850000</v>
      </c>
      <c r="Z1465" s="5">
        <v>42390</v>
      </c>
      <c r="AA1465" s="1">
        <v>4480300</v>
      </c>
      <c r="AB1465" s="1" t="s">
        <v>727</v>
      </c>
      <c r="AC1465" s="5">
        <v>42656</v>
      </c>
      <c r="AF1465" s="1">
        <v>10011</v>
      </c>
      <c r="AI1465" s="1" t="s">
        <v>495</v>
      </c>
      <c r="AJ1465" s="1">
        <v>2016</v>
      </c>
      <c r="AK1465" s="1" t="s">
        <v>108</v>
      </c>
      <c r="AL1465" s="1">
        <v>30</v>
      </c>
    </row>
    <row r="1466" spans="1:38" x14ac:dyDescent="0.2">
      <c r="A1466" s="2" t="str">
        <f>HYPERLINK("https://www.compass.com/listing/155-west-18th-street-unit-604-manhattan-ny-10011/4829943419809837601/","155 W 18th St, Unit 604")</f>
        <v>155 W 18th St, Unit 604</v>
      </c>
      <c r="B1466" s="2" t="str">
        <f t="shared" si="214"/>
        <v>The Flynn</v>
      </c>
      <c r="C1466" s="1" t="s">
        <v>62</v>
      </c>
      <c r="D1466" s="1" t="s">
        <v>41</v>
      </c>
      <c r="E1466" s="3">
        <v>4900000</v>
      </c>
      <c r="F1466" s="1">
        <v>2416.17357001972</v>
      </c>
      <c r="G1466" s="1">
        <v>4</v>
      </c>
      <c r="H1466" s="1">
        <v>3</v>
      </c>
      <c r="I1466" s="1">
        <v>4</v>
      </c>
      <c r="J1466" s="1">
        <v>0.5</v>
      </c>
      <c r="L1466" s="1">
        <v>1</v>
      </c>
      <c r="M1466" s="4">
        <v>2028</v>
      </c>
      <c r="N1466" s="1">
        <v>3090</v>
      </c>
      <c r="O1466" s="1">
        <v>5459</v>
      </c>
      <c r="P1466" s="1">
        <v>2369</v>
      </c>
      <c r="Q1466" s="1" t="s">
        <v>42</v>
      </c>
      <c r="S1466" s="1" t="s">
        <v>42</v>
      </c>
      <c r="T1466" s="1" t="s">
        <v>273</v>
      </c>
      <c r="U1466" s="1">
        <v>1</v>
      </c>
      <c r="V1466" s="5">
        <v>43640</v>
      </c>
      <c r="W1466" s="5">
        <v>42389</v>
      </c>
      <c r="X1466" s="1">
        <v>4900000</v>
      </c>
      <c r="Y1466" s="1">
        <v>4900000</v>
      </c>
      <c r="Z1466" s="5">
        <v>42390</v>
      </c>
      <c r="AA1466" s="1">
        <v>4900000</v>
      </c>
      <c r="AB1466" s="1" t="s">
        <v>728</v>
      </c>
      <c r="AC1466" s="5">
        <v>42692</v>
      </c>
      <c r="AF1466" s="1">
        <v>10011</v>
      </c>
      <c r="AI1466" s="1" t="s">
        <v>114</v>
      </c>
      <c r="AJ1466" s="1">
        <v>2016</v>
      </c>
      <c r="AK1466" s="1" t="s">
        <v>108</v>
      </c>
      <c r="AL1466" s="1">
        <v>30</v>
      </c>
    </row>
    <row r="1467" spans="1:38" x14ac:dyDescent="0.2">
      <c r="A1467" s="2" t="str">
        <f>HYPERLINK("https://www.compass.com/listing/155-west-18th-street-unit-704-manhattan-ny-10011/4842991090128652945/","155 W 18th St, Unit 704")</f>
        <v>155 W 18th St, Unit 704</v>
      </c>
      <c r="B1467" s="2" t="str">
        <f t="shared" si="214"/>
        <v>The Flynn</v>
      </c>
      <c r="C1467" s="1" t="s">
        <v>62</v>
      </c>
      <c r="D1467" s="1" t="s">
        <v>41</v>
      </c>
      <c r="E1467" s="3">
        <v>5103978</v>
      </c>
      <c r="F1467" s="1">
        <v>2516.7544378698199</v>
      </c>
      <c r="G1467" s="1">
        <v>4</v>
      </c>
      <c r="H1467" s="1">
        <v>3</v>
      </c>
      <c r="I1467" s="1">
        <v>4</v>
      </c>
      <c r="J1467" s="1">
        <v>0.5</v>
      </c>
      <c r="L1467" s="1">
        <v>1</v>
      </c>
      <c r="M1467" s="4">
        <v>2028</v>
      </c>
      <c r="N1467" s="1">
        <v>3090</v>
      </c>
      <c r="O1467" s="1">
        <v>5459</v>
      </c>
      <c r="P1467" s="1">
        <v>2369</v>
      </c>
      <c r="Q1467" s="1" t="s">
        <v>42</v>
      </c>
      <c r="S1467" s="1" t="s">
        <v>42</v>
      </c>
      <c r="T1467" s="1" t="s">
        <v>273</v>
      </c>
      <c r="U1467" s="1">
        <v>9</v>
      </c>
      <c r="V1467" s="5">
        <v>43745</v>
      </c>
      <c r="W1467" s="5">
        <v>42389</v>
      </c>
      <c r="X1467" s="1">
        <v>4950000</v>
      </c>
      <c r="Y1467" s="1">
        <v>4950000</v>
      </c>
      <c r="Z1467" s="5">
        <v>42398</v>
      </c>
      <c r="AA1467" s="1">
        <v>5103978</v>
      </c>
      <c r="AB1467" s="1" t="s">
        <v>729</v>
      </c>
      <c r="AC1467" s="5">
        <v>42661</v>
      </c>
      <c r="AF1467" s="1">
        <v>10011</v>
      </c>
      <c r="AI1467" s="1" t="s">
        <v>495</v>
      </c>
      <c r="AJ1467" s="1">
        <v>2016</v>
      </c>
      <c r="AK1467" s="1" t="s">
        <v>108</v>
      </c>
      <c r="AL1467" s="1">
        <v>30</v>
      </c>
    </row>
    <row r="1468" spans="1:38" x14ac:dyDescent="0.2">
      <c r="A1468" s="2" t="str">
        <f>HYPERLINK("https://www.compass.com/listing/100-barclay-street-unit-14h-manhattan-ny-10007/4852264243195550401/","100 Barclay St, Unit 14H")</f>
        <v>100 Barclay St, Unit 14H</v>
      </c>
      <c r="B1468" s="2" t="str">
        <f>HYPERLINK("https://www.compass.com/building/100-barclay-manhattan-ny/281896670466155525/","100 Barclay")</f>
        <v>100 Barclay</v>
      </c>
      <c r="C1468" s="1" t="s">
        <v>50</v>
      </c>
      <c r="D1468" s="1" t="s">
        <v>41</v>
      </c>
      <c r="E1468" s="3">
        <v>2800188</v>
      </c>
      <c r="F1468" s="1">
        <v>1574.02360876897</v>
      </c>
      <c r="G1468" s="1">
        <v>5</v>
      </c>
      <c r="H1468" s="1">
        <v>3</v>
      </c>
      <c r="I1468" s="1">
        <v>3</v>
      </c>
      <c r="J1468" s="1">
        <v>3</v>
      </c>
      <c r="K1468" s="1">
        <v>3</v>
      </c>
      <c r="M1468" s="4">
        <v>1779</v>
      </c>
      <c r="N1468" s="1">
        <v>2283</v>
      </c>
      <c r="O1468" s="1">
        <v>4466</v>
      </c>
      <c r="P1468" s="1">
        <v>2183</v>
      </c>
      <c r="Q1468" s="1" t="s">
        <v>105</v>
      </c>
      <c r="S1468" s="1" t="s">
        <v>105</v>
      </c>
      <c r="T1468" s="1" t="s">
        <v>273</v>
      </c>
      <c r="V1468" s="5">
        <v>44394</v>
      </c>
      <c r="W1468" s="5">
        <v>42477</v>
      </c>
      <c r="X1468" s="1">
        <v>2852000</v>
      </c>
      <c r="Y1468" s="1">
        <v>2852000</v>
      </c>
      <c r="Z1468" s="5">
        <v>42477</v>
      </c>
      <c r="AA1468" s="1">
        <v>2800188</v>
      </c>
      <c r="AB1468" s="1" t="s">
        <v>730</v>
      </c>
      <c r="AC1468" s="5">
        <v>42696</v>
      </c>
      <c r="AF1468" s="1">
        <v>10007</v>
      </c>
      <c r="AI1468" s="1" t="s">
        <v>52</v>
      </c>
      <c r="AJ1468" s="1">
        <v>1930</v>
      </c>
      <c r="AK1468" s="1" t="s">
        <v>46</v>
      </c>
      <c r="AL1468" s="1">
        <v>156</v>
      </c>
    </row>
    <row r="1469" spans="1:38" x14ac:dyDescent="0.2">
      <c r="A1469" s="2" t="str">
        <f>HYPERLINK("https://www.compass.com/listing/241-west-107th-street-manhattan-ny-10025/29430955416524945/","241 W 107th St")</f>
        <v>241 W 107th St</v>
      </c>
      <c r="B1469" s="2" t="str">
        <f>HYPERLINK("https://www.compass.com/building/241-w-107th-st-manhattan-ny-10025/281969820646330101/","241 W 107th St")</f>
        <v>241 W 107th St</v>
      </c>
      <c r="C1469" s="1" t="s">
        <v>57</v>
      </c>
      <c r="D1469" s="1" t="s">
        <v>41</v>
      </c>
      <c r="E1469" s="3">
        <v>2260000</v>
      </c>
      <c r="F1469" s="1">
        <v>1093.9012584704701</v>
      </c>
      <c r="G1469" s="1">
        <v>6</v>
      </c>
      <c r="H1469" s="1">
        <v>2</v>
      </c>
      <c r="I1469" s="1">
        <v>3</v>
      </c>
      <c r="J1469" s="1">
        <v>2.5</v>
      </c>
      <c r="M1469" s="4">
        <v>2066</v>
      </c>
      <c r="N1469" s="1">
        <v>1460</v>
      </c>
      <c r="O1469" s="1">
        <v>2405</v>
      </c>
      <c r="P1469" s="1">
        <v>945</v>
      </c>
      <c r="Q1469" s="1" t="s">
        <v>42</v>
      </c>
      <c r="S1469" s="1" t="s">
        <v>42</v>
      </c>
      <c r="T1469" s="1" t="s">
        <v>273</v>
      </c>
      <c r="U1469" s="1">
        <v>46</v>
      </c>
      <c r="V1469" s="5">
        <v>42367</v>
      </c>
      <c r="W1469" s="5">
        <v>42315</v>
      </c>
      <c r="Y1469" s="1">
        <v>2295000</v>
      </c>
      <c r="AA1469" s="1">
        <v>2260000</v>
      </c>
      <c r="AB1469" s="1" t="s">
        <v>691</v>
      </c>
      <c r="AC1469" s="5">
        <v>42447</v>
      </c>
      <c r="AF1469" s="1">
        <v>10025</v>
      </c>
      <c r="AI1469" s="1" t="s">
        <v>692</v>
      </c>
      <c r="AJ1469" s="1">
        <v>2014</v>
      </c>
      <c r="AK1469" s="1" t="s">
        <v>75</v>
      </c>
      <c r="AL1469" s="1">
        <v>6</v>
      </c>
    </row>
    <row r="1470" spans="1:38" x14ac:dyDescent="0.2">
      <c r="A1470" s="2" t="str">
        <f>HYPERLINK("https://www.compass.com/listing/155-west-18th-street-unit-701-manhattan-ny-10011/29373032766163857/","155 W 18th St, Unit 701")</f>
        <v>155 W 18th St, Unit 701</v>
      </c>
      <c r="B1470" s="2" t="str">
        <f t="shared" ref="B1470:B1471" si="215">HYPERLINK("https://www.compass.com/building/the-flynn-manhattan-ny/281905793161251925/","The Flynn")</f>
        <v>The Flynn</v>
      </c>
      <c r="C1470" s="1" t="s">
        <v>62</v>
      </c>
      <c r="D1470" s="1" t="s">
        <v>41</v>
      </c>
      <c r="E1470" s="3">
        <v>4429387</v>
      </c>
      <c r="F1470" s="1">
        <v>2266.8306038894498</v>
      </c>
      <c r="G1470" s="1">
        <v>4</v>
      </c>
      <c r="H1470" s="1">
        <v>3</v>
      </c>
      <c r="I1470" s="1">
        <v>4</v>
      </c>
      <c r="J1470" s="1">
        <v>0.5</v>
      </c>
      <c r="L1470" s="1">
        <v>1</v>
      </c>
      <c r="M1470" s="4">
        <v>1954</v>
      </c>
      <c r="N1470" s="1">
        <v>2973</v>
      </c>
      <c r="O1470" s="1">
        <v>5252</v>
      </c>
      <c r="P1470" s="1">
        <v>2279</v>
      </c>
      <c r="Q1470" s="1" t="s">
        <v>42</v>
      </c>
      <c r="S1470" s="1" t="s">
        <v>42</v>
      </c>
      <c r="T1470" s="1" t="s">
        <v>273</v>
      </c>
      <c r="V1470" s="5">
        <v>43658</v>
      </c>
      <c r="W1470" s="5">
        <v>42601</v>
      </c>
      <c r="X1470" s="1">
        <v>4350000</v>
      </c>
      <c r="Y1470" s="1">
        <v>4500000</v>
      </c>
      <c r="Z1470" s="5">
        <v>42620</v>
      </c>
      <c r="AA1470" s="1">
        <v>4429387</v>
      </c>
      <c r="AB1470" s="1" t="s">
        <v>731</v>
      </c>
      <c r="AC1470" s="5">
        <v>42651</v>
      </c>
      <c r="AF1470" s="1">
        <v>10011</v>
      </c>
      <c r="AI1470" s="1" t="s">
        <v>114</v>
      </c>
      <c r="AJ1470" s="1">
        <v>2016</v>
      </c>
      <c r="AK1470" s="1" t="s">
        <v>108</v>
      </c>
      <c r="AL1470" s="1">
        <v>30</v>
      </c>
    </row>
    <row r="1471" spans="1:38" x14ac:dyDescent="0.2">
      <c r="A1471" s="2" t="str">
        <f>HYPERLINK("https://www.compass.com/listing/155-west-18th-street-unit-801-manhattan-ny-10011/4829943427787406929/","155 W 18th St, Unit 801")</f>
        <v>155 W 18th St, Unit 801</v>
      </c>
      <c r="B1471" s="2" t="str">
        <f t="shared" si="215"/>
        <v>The Flynn</v>
      </c>
      <c r="C1471" s="1" t="s">
        <v>62</v>
      </c>
      <c r="D1471" s="1" t="s">
        <v>41</v>
      </c>
      <c r="E1471" s="3">
        <v>4650000</v>
      </c>
      <c r="F1471" s="1">
        <v>2379.7338792220999</v>
      </c>
      <c r="G1471" s="1">
        <v>4</v>
      </c>
      <c r="H1471" s="1">
        <v>3</v>
      </c>
      <c r="I1471" s="1">
        <v>4</v>
      </c>
      <c r="J1471" s="1">
        <v>0.5</v>
      </c>
      <c r="L1471" s="1">
        <v>1</v>
      </c>
      <c r="M1471" s="4">
        <v>1954</v>
      </c>
      <c r="N1471" s="1">
        <v>2973</v>
      </c>
      <c r="O1471" s="1">
        <v>5255</v>
      </c>
      <c r="P1471" s="1">
        <v>2282</v>
      </c>
      <c r="Q1471" s="1" t="s">
        <v>42</v>
      </c>
      <c r="S1471" s="1" t="s">
        <v>42</v>
      </c>
      <c r="T1471" s="1" t="s">
        <v>273</v>
      </c>
      <c r="U1471" s="1">
        <v>1</v>
      </c>
      <c r="V1471" s="5">
        <v>43631</v>
      </c>
      <c r="W1471" s="5">
        <v>42620</v>
      </c>
      <c r="X1471" s="1">
        <v>4650000</v>
      </c>
      <c r="Y1471" s="1">
        <v>4650000</v>
      </c>
      <c r="Z1471" s="5">
        <v>42621</v>
      </c>
      <c r="AA1471" s="1">
        <v>4650000</v>
      </c>
      <c r="AB1471" s="1" t="s">
        <v>732</v>
      </c>
      <c r="AC1471" s="5">
        <v>42705</v>
      </c>
      <c r="AF1471" s="1">
        <v>10011</v>
      </c>
      <c r="AI1471" s="1" t="s">
        <v>114</v>
      </c>
      <c r="AJ1471" s="1">
        <v>2016</v>
      </c>
      <c r="AK1471" s="1" t="s">
        <v>108</v>
      </c>
      <c r="AL1471" s="1">
        <v>30</v>
      </c>
    </row>
    <row r="1472" spans="1:38" x14ac:dyDescent="0.2">
      <c r="A1472" s="2" t="str">
        <f>HYPERLINK("https://www.compass.com/listing/100-barclay-street-unit-17h-manhattan-ny-10007/70920628550559409/","100 Barclay St, Unit 17H")</f>
        <v>100 Barclay St, Unit 17H</v>
      </c>
      <c r="B1472" s="2" t="str">
        <f t="shared" ref="B1472:B1475" si="216">HYPERLINK("https://www.compass.com/building/100-barclay-manhattan-ny/281896670466155525/","100 Barclay")</f>
        <v>100 Barclay</v>
      </c>
      <c r="C1472" s="1" t="s">
        <v>50</v>
      </c>
      <c r="D1472" s="1" t="s">
        <v>41</v>
      </c>
      <c r="E1472" s="3">
        <v>3205451</v>
      </c>
      <c r="F1472" s="1">
        <v>1801.8274311410901</v>
      </c>
      <c r="G1472" s="1">
        <v>5</v>
      </c>
      <c r="H1472" s="1">
        <v>2</v>
      </c>
      <c r="I1472" s="1">
        <v>3</v>
      </c>
      <c r="J1472" s="1">
        <v>3</v>
      </c>
      <c r="M1472" s="4">
        <v>1779</v>
      </c>
      <c r="N1472" s="1">
        <v>2283</v>
      </c>
      <c r="O1472" s="1">
        <v>4466</v>
      </c>
      <c r="P1472" s="1">
        <v>2183</v>
      </c>
      <c r="Q1472" s="1" t="s">
        <v>42</v>
      </c>
      <c r="S1472" s="1" t="s">
        <v>42</v>
      </c>
      <c r="T1472" s="1" t="s">
        <v>273</v>
      </c>
      <c r="V1472" s="5">
        <v>43675</v>
      </c>
      <c r="W1472" s="5">
        <v>42477</v>
      </c>
      <c r="X1472" s="1">
        <v>3202000</v>
      </c>
      <c r="Y1472" s="1">
        <v>3202000</v>
      </c>
      <c r="Z1472" s="5">
        <v>42477</v>
      </c>
      <c r="AA1472" s="1">
        <v>3205451</v>
      </c>
      <c r="AB1472" s="1" t="s">
        <v>733</v>
      </c>
      <c r="AC1472" s="5">
        <v>42648</v>
      </c>
      <c r="AF1472" s="1">
        <v>10007</v>
      </c>
      <c r="AI1472" s="1" t="s">
        <v>52</v>
      </c>
      <c r="AJ1472" s="1">
        <v>1930</v>
      </c>
      <c r="AK1472" s="1" t="s">
        <v>46</v>
      </c>
      <c r="AL1472" s="1">
        <v>156</v>
      </c>
    </row>
    <row r="1473" spans="1:38" x14ac:dyDescent="0.2">
      <c r="A1473" s="2" t="str">
        <f>HYPERLINK("https://www.compass.com/listing/100-barclay-street-unit-19b-manhattan-ny-10007/4852285166254564177/","100 Barclay St, Unit 19B")</f>
        <v>100 Barclay St, Unit 19B</v>
      </c>
      <c r="B1473" s="2" t="str">
        <f t="shared" si="216"/>
        <v>100 Barclay</v>
      </c>
      <c r="C1473" s="1" t="s">
        <v>50</v>
      </c>
      <c r="D1473" s="1" t="s">
        <v>41</v>
      </c>
      <c r="E1473" s="3">
        <v>8655125</v>
      </c>
      <c r="F1473" s="1">
        <v>2369.9685104052501</v>
      </c>
      <c r="G1473" s="1">
        <v>7</v>
      </c>
      <c r="H1473" s="1">
        <v>4</v>
      </c>
      <c r="I1473" s="1">
        <v>4</v>
      </c>
      <c r="J1473" s="1">
        <v>4.5</v>
      </c>
      <c r="K1473" s="1">
        <v>4</v>
      </c>
      <c r="L1473" s="1">
        <v>1</v>
      </c>
      <c r="M1473" s="4">
        <v>3652</v>
      </c>
      <c r="N1473" s="1">
        <v>4961</v>
      </c>
      <c r="O1473" s="1">
        <v>9705</v>
      </c>
      <c r="P1473" s="1">
        <v>4744</v>
      </c>
      <c r="Q1473" s="1" t="s">
        <v>42</v>
      </c>
      <c r="S1473" s="1" t="s">
        <v>42</v>
      </c>
      <c r="T1473" s="1" t="s">
        <v>273</v>
      </c>
      <c r="U1473" s="1">
        <v>53</v>
      </c>
      <c r="V1473" s="5">
        <v>42962</v>
      </c>
      <c r="W1473" s="5">
        <v>42757</v>
      </c>
      <c r="X1473" s="1">
        <v>9850000</v>
      </c>
      <c r="Y1473" s="1">
        <v>9850000</v>
      </c>
      <c r="AA1473" s="1">
        <v>8655125</v>
      </c>
      <c r="AB1473" s="1" t="s">
        <v>734</v>
      </c>
      <c r="AC1473" s="5">
        <v>43027</v>
      </c>
      <c r="AF1473" s="1">
        <v>10007</v>
      </c>
      <c r="AI1473" s="1" t="s">
        <v>103</v>
      </c>
      <c r="AJ1473" s="1">
        <v>1930</v>
      </c>
      <c r="AK1473" s="1" t="s">
        <v>46</v>
      </c>
      <c r="AL1473" s="1">
        <v>156</v>
      </c>
    </row>
    <row r="1474" spans="1:38" x14ac:dyDescent="0.2">
      <c r="A1474" s="2" t="str">
        <f>HYPERLINK("https://www.compass.com/listing/100-barclay-street-unit-19d-manhattan-ny-10007/4859523530330486625/","100 Barclay St, Unit 19D")</f>
        <v>100 Barclay St, Unit 19D</v>
      </c>
      <c r="B1474" s="2" t="str">
        <f t="shared" si="216"/>
        <v>100 Barclay</v>
      </c>
      <c r="C1474" s="1" t="s">
        <v>50</v>
      </c>
      <c r="D1474" s="1" t="s">
        <v>41</v>
      </c>
      <c r="E1474" s="3">
        <v>7425000</v>
      </c>
      <c r="F1474" s="1">
        <v>2165.9859976662701</v>
      </c>
      <c r="G1474" s="1">
        <v>8</v>
      </c>
      <c r="H1474" s="1">
        <v>4</v>
      </c>
      <c r="I1474" s="1">
        <v>4</v>
      </c>
      <c r="J1474" s="1">
        <v>4.5</v>
      </c>
      <c r="K1474" s="1">
        <v>4</v>
      </c>
      <c r="L1474" s="1">
        <v>1</v>
      </c>
      <c r="M1474" s="4">
        <v>3428</v>
      </c>
      <c r="N1474" s="1">
        <v>4566</v>
      </c>
      <c r="O1474" s="1">
        <v>9522</v>
      </c>
      <c r="P1474" s="1">
        <v>4956</v>
      </c>
      <c r="Q1474" s="1" t="s">
        <v>42</v>
      </c>
      <c r="S1474" s="1" t="s">
        <v>42</v>
      </c>
      <c r="T1474" s="1" t="s">
        <v>273</v>
      </c>
      <c r="U1474" s="1">
        <v>84</v>
      </c>
      <c r="V1474" s="5">
        <v>43623</v>
      </c>
      <c r="W1474" s="5">
        <v>43019</v>
      </c>
      <c r="X1474" s="1">
        <v>8500000</v>
      </c>
      <c r="Y1474" s="1">
        <v>7995000</v>
      </c>
      <c r="Z1474" s="5">
        <v>43103</v>
      </c>
      <c r="AA1474" s="1">
        <v>7425000</v>
      </c>
      <c r="AB1474" s="1" t="s">
        <v>735</v>
      </c>
      <c r="AC1474" s="5">
        <v>43182</v>
      </c>
      <c r="AF1474" s="1">
        <v>10007</v>
      </c>
      <c r="AI1474" s="1" t="s">
        <v>133</v>
      </c>
      <c r="AJ1474" s="1">
        <v>1930</v>
      </c>
      <c r="AK1474" s="1" t="s">
        <v>46</v>
      </c>
      <c r="AL1474" s="1">
        <v>156</v>
      </c>
    </row>
    <row r="1475" spans="1:38" x14ac:dyDescent="0.2">
      <c r="A1475" s="2" t="str">
        <f>HYPERLINK("https://www.compass.com/listing/100-barclay-street-unit-23b-manhattan-ny-10007/803331467492841625/","100 Barclay St, Unit 23B")</f>
        <v>100 Barclay St, Unit 23B</v>
      </c>
      <c r="B1475" s="2" t="str">
        <f t="shared" si="216"/>
        <v>100 Barclay</v>
      </c>
      <c r="C1475" s="1" t="s">
        <v>50</v>
      </c>
      <c r="D1475" s="1" t="s">
        <v>41</v>
      </c>
      <c r="E1475" s="3">
        <v>6250000</v>
      </c>
      <c r="F1475" s="1">
        <v>2177.7003484320499</v>
      </c>
      <c r="G1475" s="1">
        <v>5</v>
      </c>
      <c r="H1475" s="1">
        <v>4</v>
      </c>
      <c r="I1475" s="1">
        <v>4</v>
      </c>
      <c r="J1475" s="1">
        <v>4</v>
      </c>
      <c r="K1475" s="1">
        <v>4</v>
      </c>
      <c r="M1475" s="4">
        <v>2870</v>
      </c>
      <c r="N1475" s="1">
        <v>3682</v>
      </c>
      <c r="O1475" s="1">
        <v>7203</v>
      </c>
      <c r="P1475" s="1">
        <v>3521</v>
      </c>
      <c r="Q1475" s="1" t="s">
        <v>42</v>
      </c>
      <c r="S1475" s="1" t="s">
        <v>42</v>
      </c>
      <c r="T1475" s="1" t="s">
        <v>273</v>
      </c>
      <c r="V1475" s="5">
        <v>42931</v>
      </c>
      <c r="W1475" s="5">
        <v>42874</v>
      </c>
      <c r="X1475" s="1">
        <v>6825000</v>
      </c>
      <c r="Y1475" s="1">
        <v>6825000</v>
      </c>
      <c r="Z1475" s="5">
        <v>42874</v>
      </c>
      <c r="AA1475" s="1">
        <v>6250000</v>
      </c>
      <c r="AB1475" s="1" t="s">
        <v>714</v>
      </c>
      <c r="AC1475" s="5">
        <v>42922</v>
      </c>
      <c r="AF1475" s="1">
        <v>10007</v>
      </c>
      <c r="AI1475" s="1" t="s">
        <v>52</v>
      </c>
      <c r="AJ1475" s="1">
        <v>1930</v>
      </c>
      <c r="AK1475" s="1" t="s">
        <v>46</v>
      </c>
      <c r="AL1475" s="1">
        <v>156</v>
      </c>
    </row>
    <row r="1476" spans="1:38" x14ac:dyDescent="0.2">
      <c r="A1476" s="2" t="str">
        <f>HYPERLINK("https://www.compass.com/listing/225-west-17th-street-unit-5a-manhattan-ny-10011/29510295164634145/","225 W 17th St, Unit 5A")</f>
        <v>225 W 17th St, Unit 5A</v>
      </c>
      <c r="B1476" s="2" t="str">
        <f>HYPERLINK("https://www.compass.com/building/225-west-17th-street-manhattan-ny/292802090781141541/","225 West 17th Street")</f>
        <v>225 West 17th Street</v>
      </c>
      <c r="C1476" s="1" t="s">
        <v>62</v>
      </c>
      <c r="D1476" s="1" t="s">
        <v>41</v>
      </c>
      <c r="E1476" s="3">
        <v>4200000</v>
      </c>
      <c r="F1476" s="1">
        <v>2150.5376344085998</v>
      </c>
      <c r="G1476" s="1">
        <v>7</v>
      </c>
      <c r="H1476" s="1">
        <v>3</v>
      </c>
      <c r="I1476" s="1">
        <v>4</v>
      </c>
      <c r="J1476" s="1">
        <v>3.5</v>
      </c>
      <c r="K1476" s="1">
        <v>3</v>
      </c>
      <c r="L1476" s="1">
        <v>1</v>
      </c>
      <c r="M1476" s="4">
        <v>1953</v>
      </c>
      <c r="N1476" s="1">
        <v>1188</v>
      </c>
      <c r="O1476" s="1">
        <v>3666</v>
      </c>
      <c r="P1476" s="1">
        <v>2478</v>
      </c>
      <c r="Q1476" s="1" t="s">
        <v>42</v>
      </c>
      <c r="S1476" s="1" t="s">
        <v>42</v>
      </c>
      <c r="T1476" s="1" t="s">
        <v>273</v>
      </c>
      <c r="V1476" s="5">
        <v>43635</v>
      </c>
      <c r="W1476" s="5">
        <v>43153</v>
      </c>
      <c r="X1476" s="1">
        <v>4250000</v>
      </c>
      <c r="Y1476" s="1">
        <v>4250000</v>
      </c>
      <c r="Z1476" s="5">
        <v>43153</v>
      </c>
      <c r="AA1476" s="1">
        <v>4200000</v>
      </c>
      <c r="AB1476" s="1" t="s">
        <v>736</v>
      </c>
      <c r="AC1476" s="5">
        <v>43538</v>
      </c>
      <c r="AF1476" s="1">
        <v>10011</v>
      </c>
      <c r="AI1476" s="1" t="s">
        <v>177</v>
      </c>
      <c r="AJ1476" s="1">
        <v>2018</v>
      </c>
      <c r="AK1476" s="1" t="s">
        <v>143</v>
      </c>
      <c r="AL1476" s="1">
        <v>14</v>
      </c>
    </row>
    <row r="1477" spans="1:38" x14ac:dyDescent="0.2">
      <c r="A1477" s="2" t="str">
        <f>HYPERLINK("https://www.compass.com/listing/45-east-22nd-street-unit-42a-manhattan-ny-10010/29375870363791857/","45 E 22nd St, Unit 42A")</f>
        <v>45 E 22nd St, Unit 42A</v>
      </c>
      <c r="B1477" s="2" t="str">
        <f t="shared" ref="B1477:B1479" si="217">HYPERLINK("https://www.compass.com/building/madison-square-park-tower-manhattan-ny/281903584482705973/","Madison Square Park Tower")</f>
        <v>Madison Square Park Tower</v>
      </c>
      <c r="C1477" s="1" t="s">
        <v>56</v>
      </c>
      <c r="D1477" s="1" t="s">
        <v>41</v>
      </c>
      <c r="E1477" s="3">
        <v>8435978</v>
      </c>
      <c r="F1477" s="1">
        <v>3467.3152486642002</v>
      </c>
      <c r="G1477" s="1">
        <v>5</v>
      </c>
      <c r="H1477" s="1">
        <v>3</v>
      </c>
      <c r="I1477" s="1">
        <v>3</v>
      </c>
      <c r="J1477" s="1">
        <v>3</v>
      </c>
      <c r="M1477" s="4">
        <v>2433</v>
      </c>
      <c r="N1477" s="1">
        <v>2922</v>
      </c>
      <c r="O1477" s="1">
        <v>7365</v>
      </c>
      <c r="P1477" s="1">
        <v>4443</v>
      </c>
      <c r="Q1477" s="1" t="s">
        <v>42</v>
      </c>
      <c r="S1477" s="1" t="s">
        <v>42</v>
      </c>
      <c r="T1477" s="1" t="s">
        <v>273</v>
      </c>
      <c r="U1477" s="1">
        <v>16</v>
      </c>
      <c r="V1477" s="5">
        <v>43668</v>
      </c>
      <c r="W1477" s="5">
        <v>43111</v>
      </c>
      <c r="X1477" s="1">
        <v>8500000</v>
      </c>
      <c r="Y1477" s="1">
        <v>8500000</v>
      </c>
      <c r="Z1477" s="5">
        <v>43127</v>
      </c>
      <c r="AA1477" s="1">
        <v>8435978</v>
      </c>
      <c r="AB1477" s="1" t="s">
        <v>737</v>
      </c>
      <c r="AC1477" s="5">
        <v>43160</v>
      </c>
      <c r="AF1477" s="1">
        <v>10010</v>
      </c>
      <c r="AI1477" s="1" t="s">
        <v>48</v>
      </c>
      <c r="AJ1477" s="1">
        <v>2016</v>
      </c>
      <c r="AK1477" s="1" t="s">
        <v>49</v>
      </c>
      <c r="AL1477" s="1">
        <v>83</v>
      </c>
    </row>
    <row r="1478" spans="1:38" x14ac:dyDescent="0.2">
      <c r="A1478" s="2" t="str">
        <f>HYPERLINK("https://www.compass.com/listing/45-east-22nd-street-unit-45a-manhattan-ny-10010/29375872385521649/","45 E 22nd St, Unit 45A")</f>
        <v>45 E 22nd St, Unit 45A</v>
      </c>
      <c r="B1478" s="2" t="str">
        <f t="shared" si="217"/>
        <v>Madison Square Park Tower</v>
      </c>
      <c r="C1478" s="1" t="s">
        <v>56</v>
      </c>
      <c r="D1478" s="1" t="s">
        <v>41</v>
      </c>
      <c r="E1478" s="3">
        <v>9399692</v>
      </c>
      <c r="F1478" s="1">
        <v>3817.9090170592999</v>
      </c>
      <c r="G1478" s="1">
        <v>5</v>
      </c>
      <c r="H1478" s="1">
        <v>3</v>
      </c>
      <c r="I1478" s="1">
        <v>3</v>
      </c>
      <c r="J1478" s="1">
        <v>3</v>
      </c>
      <c r="K1478" s="1">
        <v>3</v>
      </c>
      <c r="M1478" s="4">
        <v>2462</v>
      </c>
      <c r="N1478" s="1">
        <v>3033</v>
      </c>
      <c r="O1478" s="1">
        <v>7645</v>
      </c>
      <c r="P1478" s="1">
        <v>4612</v>
      </c>
      <c r="Q1478" s="1" t="s">
        <v>42</v>
      </c>
      <c r="S1478" s="1" t="s">
        <v>42</v>
      </c>
      <c r="T1478" s="1" t="s">
        <v>273</v>
      </c>
      <c r="U1478" s="1">
        <v>32</v>
      </c>
      <c r="V1478" s="5">
        <v>43650</v>
      </c>
      <c r="W1478" s="5">
        <v>42202</v>
      </c>
      <c r="X1478" s="1">
        <v>9195000</v>
      </c>
      <c r="Y1478" s="1">
        <v>9195000</v>
      </c>
      <c r="Z1478" s="5">
        <v>42234</v>
      </c>
      <c r="AA1478" s="1">
        <v>9399692</v>
      </c>
      <c r="AB1478" s="1" t="s">
        <v>738</v>
      </c>
      <c r="AC1478" s="5">
        <v>42979</v>
      </c>
      <c r="AF1478" s="1">
        <v>10010</v>
      </c>
      <c r="AI1478" s="1" t="s">
        <v>48</v>
      </c>
      <c r="AJ1478" s="1">
        <v>2016</v>
      </c>
      <c r="AK1478" s="1" t="s">
        <v>46</v>
      </c>
      <c r="AL1478" s="1">
        <v>83</v>
      </c>
    </row>
    <row r="1479" spans="1:38" x14ac:dyDescent="0.2">
      <c r="A1479" s="2" t="str">
        <f>HYPERLINK("https://www.compass.com/listing/45-east-22nd-street-unit-50a-manhattan-ny-10010/29375874952435745/","45 E 22nd St, Unit 50A")</f>
        <v>45 E 22nd St, Unit 50A</v>
      </c>
      <c r="B1479" s="2" t="str">
        <f t="shared" si="217"/>
        <v>Madison Square Park Tower</v>
      </c>
      <c r="C1479" s="1" t="s">
        <v>56</v>
      </c>
      <c r="D1479" s="1" t="s">
        <v>41</v>
      </c>
      <c r="E1479" s="3">
        <v>9986501</v>
      </c>
      <c r="F1479" s="1">
        <v>4001.0021153846101</v>
      </c>
      <c r="G1479" s="1">
        <v>6</v>
      </c>
      <c r="H1479" s="1">
        <v>3</v>
      </c>
      <c r="I1479" s="1">
        <v>3</v>
      </c>
      <c r="J1479" s="1">
        <v>3</v>
      </c>
      <c r="M1479" s="4">
        <v>2496</v>
      </c>
      <c r="N1479" s="1">
        <v>3141</v>
      </c>
      <c r="O1479" s="1">
        <v>7917</v>
      </c>
      <c r="P1479" s="1">
        <v>4776</v>
      </c>
      <c r="Q1479" s="1" t="s">
        <v>42</v>
      </c>
      <c r="S1479" s="1" t="s">
        <v>42</v>
      </c>
      <c r="T1479" s="1" t="s">
        <v>273</v>
      </c>
      <c r="U1479" s="1">
        <v>1002</v>
      </c>
      <c r="V1479" s="5">
        <v>42880</v>
      </c>
      <c r="W1479" s="5">
        <v>41870</v>
      </c>
      <c r="X1479" s="1">
        <v>9725000</v>
      </c>
      <c r="Y1479" s="1">
        <v>9725000</v>
      </c>
      <c r="AA1479" s="1">
        <v>9986501.2799999993</v>
      </c>
      <c r="AB1479" s="1" t="s">
        <v>739</v>
      </c>
      <c r="AC1479" s="5">
        <v>42977</v>
      </c>
      <c r="AF1479" s="1">
        <v>10010</v>
      </c>
      <c r="AI1479" s="1" t="s">
        <v>48</v>
      </c>
      <c r="AJ1479" s="1">
        <v>2016</v>
      </c>
      <c r="AK1479" s="1" t="s">
        <v>49</v>
      </c>
      <c r="AL1479" s="1">
        <v>83</v>
      </c>
    </row>
    <row r="1480" spans="1:38" x14ac:dyDescent="0.2">
      <c r="A1480" s="2" t="str">
        <f>HYPERLINK("https://www.compass.com/listing/211-west-14th-street-unit-ph-manhattan-ny-10011/216796324937446577/","211 W 14th St, Unit PH")</f>
        <v>211 W 14th St, Unit PH</v>
      </c>
      <c r="B1480" s="2" t="str">
        <f>HYPERLINK("https://www.compass.com/building/dorsay-manhattan-ny/292801633543285477/","d'Orsay")</f>
        <v>d'Orsay</v>
      </c>
      <c r="C1480" s="1" t="s">
        <v>62</v>
      </c>
      <c r="D1480" s="1" t="s">
        <v>41</v>
      </c>
      <c r="E1480" s="3">
        <v>8415000</v>
      </c>
      <c r="F1480" s="1">
        <v>3171.88088955899</v>
      </c>
      <c r="G1480" s="1">
        <v>6</v>
      </c>
      <c r="H1480" s="1">
        <v>3</v>
      </c>
      <c r="I1480" s="1">
        <v>4</v>
      </c>
      <c r="J1480" s="1">
        <v>3.5</v>
      </c>
      <c r="K1480" s="1">
        <v>3</v>
      </c>
      <c r="L1480" s="1">
        <v>1</v>
      </c>
      <c r="M1480" s="4">
        <v>2653</v>
      </c>
      <c r="N1480" s="1">
        <v>6023.84</v>
      </c>
      <c r="O1480" s="1">
        <v>9221.26</v>
      </c>
      <c r="P1480" s="1">
        <v>3197.4166666666601</v>
      </c>
      <c r="Q1480" s="1" t="s">
        <v>42</v>
      </c>
      <c r="S1480" s="1" t="s">
        <v>42</v>
      </c>
      <c r="T1480" s="1" t="s">
        <v>273</v>
      </c>
      <c r="U1480" s="1">
        <v>91</v>
      </c>
      <c r="V1480" s="5">
        <v>43736</v>
      </c>
      <c r="W1480" s="5">
        <v>43551</v>
      </c>
      <c r="X1480" s="1">
        <v>8950000</v>
      </c>
      <c r="Y1480" s="1">
        <v>8950000</v>
      </c>
      <c r="Z1480" s="5">
        <v>43642</v>
      </c>
      <c r="AA1480" s="1">
        <v>8415000</v>
      </c>
      <c r="AB1480" s="1" t="s">
        <v>740</v>
      </c>
      <c r="AC1480" s="5">
        <v>43644</v>
      </c>
      <c r="AF1480" s="1">
        <v>10011</v>
      </c>
      <c r="AI1480" s="1" t="s">
        <v>211</v>
      </c>
      <c r="AJ1480" s="1">
        <v>2018</v>
      </c>
      <c r="AK1480" s="1" t="s">
        <v>46</v>
      </c>
      <c r="AL1480" s="1">
        <v>21</v>
      </c>
    </row>
    <row r="1481" spans="1:38" x14ac:dyDescent="0.2">
      <c r="A1481" s="2" t="str">
        <f>HYPERLINK("https://www.compass.com/listing/45-east-22nd-street-unit-36a-manhattan-ny-10010/29375866018492817/","45 E 22nd St, Unit 36A")</f>
        <v>45 E 22nd St, Unit 36A</v>
      </c>
      <c r="B1481" s="2" t="str">
        <f t="shared" ref="B1481:B1482" si="218">HYPERLINK("https://www.compass.com/building/madison-square-park-tower-manhattan-ny/281903584482705973/","Madison Square Park Tower")</f>
        <v>Madison Square Park Tower</v>
      </c>
      <c r="C1481" s="1" t="s">
        <v>56</v>
      </c>
      <c r="D1481" s="1" t="s">
        <v>41</v>
      </c>
      <c r="E1481" s="3">
        <v>7228723</v>
      </c>
      <c r="F1481" s="1">
        <v>3521.0535801266401</v>
      </c>
      <c r="G1481" s="1">
        <v>4</v>
      </c>
      <c r="H1481" s="1">
        <v>2</v>
      </c>
      <c r="I1481" s="1">
        <v>2</v>
      </c>
      <c r="J1481" s="1">
        <v>2</v>
      </c>
      <c r="M1481" s="4">
        <v>2053</v>
      </c>
      <c r="N1481" s="1">
        <v>2442</v>
      </c>
      <c r="O1481" s="1">
        <v>6154</v>
      </c>
      <c r="P1481" s="1">
        <v>3712</v>
      </c>
      <c r="Q1481" s="1" t="s">
        <v>42</v>
      </c>
      <c r="S1481" s="1" t="s">
        <v>42</v>
      </c>
      <c r="T1481" s="1" t="s">
        <v>273</v>
      </c>
      <c r="V1481" s="5">
        <v>43662</v>
      </c>
      <c r="W1481" s="5">
        <v>42890</v>
      </c>
      <c r="X1481" s="1">
        <v>7070000</v>
      </c>
      <c r="Y1481" s="1">
        <v>7070000</v>
      </c>
      <c r="Z1481" s="5">
        <v>42890</v>
      </c>
      <c r="AA1481" s="1">
        <v>7228723</v>
      </c>
      <c r="AB1481" s="1" t="s">
        <v>741</v>
      </c>
      <c r="AC1481" s="5">
        <v>42941</v>
      </c>
      <c r="AF1481" s="1">
        <v>10010</v>
      </c>
      <c r="AI1481" s="1" t="s">
        <v>48</v>
      </c>
      <c r="AJ1481" s="1">
        <v>2016</v>
      </c>
      <c r="AK1481" s="1" t="s">
        <v>46</v>
      </c>
      <c r="AL1481" s="1">
        <v>83</v>
      </c>
    </row>
    <row r="1482" spans="1:38" x14ac:dyDescent="0.2">
      <c r="A1482" s="2" t="str">
        <f>HYPERLINK("https://www.compass.com/listing/45-east-22nd-street-unit-37a-manhattan-ny-10010/29375867109087137/","45 E 22nd St, Unit 37A")</f>
        <v>45 E 22nd St, Unit 37A</v>
      </c>
      <c r="B1482" s="2" t="str">
        <f t="shared" si="218"/>
        <v>Madison Square Park Tower</v>
      </c>
      <c r="C1482" s="1" t="s">
        <v>56</v>
      </c>
      <c r="D1482" s="1" t="s">
        <v>41</v>
      </c>
      <c r="E1482" s="3">
        <v>7147556</v>
      </c>
      <c r="F1482" s="1">
        <v>3462.9631782945698</v>
      </c>
      <c r="G1482" s="1">
        <v>4</v>
      </c>
      <c r="H1482" s="1">
        <v>2</v>
      </c>
      <c r="I1482" s="1">
        <v>2</v>
      </c>
      <c r="J1482" s="1">
        <v>2</v>
      </c>
      <c r="M1482" s="4">
        <v>2064</v>
      </c>
      <c r="N1482" s="1">
        <v>2466</v>
      </c>
      <c r="O1482" s="1">
        <v>6215</v>
      </c>
      <c r="P1482" s="1">
        <v>3749</v>
      </c>
      <c r="Q1482" s="1" t="s">
        <v>42</v>
      </c>
      <c r="S1482" s="1" t="s">
        <v>42</v>
      </c>
      <c r="T1482" s="1" t="s">
        <v>273</v>
      </c>
      <c r="V1482" s="5">
        <v>43650</v>
      </c>
      <c r="W1482" s="5">
        <v>42747</v>
      </c>
      <c r="X1482" s="1">
        <v>6990000</v>
      </c>
      <c r="Y1482" s="1">
        <v>7090000</v>
      </c>
      <c r="Z1482" s="5">
        <v>42747</v>
      </c>
      <c r="AA1482" s="1">
        <v>7147556</v>
      </c>
      <c r="AB1482" s="1" t="s">
        <v>742</v>
      </c>
      <c r="AC1482" s="5">
        <v>42976</v>
      </c>
      <c r="AF1482" s="1">
        <v>10010</v>
      </c>
      <c r="AI1482" s="1" t="s">
        <v>48</v>
      </c>
      <c r="AJ1482" s="1">
        <v>2016</v>
      </c>
      <c r="AK1482" s="1" t="s">
        <v>49</v>
      </c>
      <c r="AL1482" s="1">
        <v>83</v>
      </c>
    </row>
    <row r="1483" spans="1:38" x14ac:dyDescent="0.2">
      <c r="A1483" s="2" t="str">
        <f>HYPERLINK("https://www.compass.com/listing/100-barclay-street-unit-15a-manhattan-ny-10007/177538146286729041/","100 Barclay St, Unit 15A")</f>
        <v>100 Barclay St, Unit 15A</v>
      </c>
      <c r="B1483" s="2" t="str">
        <f t="shared" ref="B1483:B1489" si="219">HYPERLINK("https://www.compass.com/building/100-barclay-manhattan-ny/281896670466155525/","100 Barclay")</f>
        <v>100 Barclay</v>
      </c>
      <c r="C1483" s="1" t="s">
        <v>50</v>
      </c>
      <c r="D1483" s="1" t="s">
        <v>41</v>
      </c>
      <c r="E1483" s="3">
        <v>5270000</v>
      </c>
      <c r="F1483" s="1">
        <v>1978.9710852421999</v>
      </c>
      <c r="G1483" s="1">
        <v>8</v>
      </c>
      <c r="H1483" s="1">
        <v>4</v>
      </c>
      <c r="I1483" s="1">
        <v>5</v>
      </c>
      <c r="J1483" s="1">
        <v>4.5</v>
      </c>
      <c r="K1483" s="1">
        <v>4</v>
      </c>
      <c r="L1483" s="1">
        <v>1</v>
      </c>
      <c r="M1483" s="4">
        <v>2663</v>
      </c>
      <c r="N1483" s="1">
        <v>3348</v>
      </c>
      <c r="O1483" s="1">
        <v>6875</v>
      </c>
      <c r="P1483" s="1">
        <v>3527</v>
      </c>
      <c r="Q1483" s="1" t="s">
        <v>42</v>
      </c>
      <c r="S1483" s="1" t="s">
        <v>42</v>
      </c>
      <c r="T1483" s="1" t="s">
        <v>273</v>
      </c>
      <c r="U1483" s="1">
        <v>4</v>
      </c>
      <c r="V1483" s="5">
        <v>43670</v>
      </c>
      <c r="W1483" s="5">
        <v>43497</v>
      </c>
      <c r="X1483" s="1">
        <v>5325000</v>
      </c>
      <c r="Y1483" s="1">
        <v>5325000</v>
      </c>
      <c r="Z1483" s="5">
        <v>43501</v>
      </c>
      <c r="AA1483" s="1">
        <v>5270000</v>
      </c>
      <c r="AB1483" s="1" t="s">
        <v>743</v>
      </c>
      <c r="AC1483" s="5">
        <v>43524</v>
      </c>
      <c r="AF1483" s="1">
        <v>10007</v>
      </c>
      <c r="AI1483" s="1" t="s">
        <v>52</v>
      </c>
      <c r="AJ1483" s="1">
        <v>1930</v>
      </c>
      <c r="AK1483" s="1" t="s">
        <v>46</v>
      </c>
      <c r="AL1483" s="1">
        <v>156</v>
      </c>
    </row>
    <row r="1484" spans="1:38" x14ac:dyDescent="0.2">
      <c r="A1484" s="2" t="str">
        <f>HYPERLINK("https://www.compass.com/listing/100-barclay-street-unit-22b-manhattan-ny-10007/254395101718117985/","100 Barclay St, Unit 22B")</f>
        <v>100 Barclay St, Unit 22B</v>
      </c>
      <c r="B1484" s="2" t="str">
        <f t="shared" si="219"/>
        <v>100 Barclay</v>
      </c>
      <c r="C1484" s="1" t="s">
        <v>50</v>
      </c>
      <c r="D1484" s="1" t="s">
        <v>41</v>
      </c>
      <c r="E1484" s="3">
        <v>5753113</v>
      </c>
      <c r="F1484" s="1">
        <v>2004.56881533101</v>
      </c>
      <c r="G1484" s="1">
        <v>7</v>
      </c>
      <c r="H1484" s="1">
        <v>4</v>
      </c>
      <c r="I1484" s="1">
        <v>4</v>
      </c>
      <c r="J1484" s="1">
        <v>4</v>
      </c>
      <c r="K1484" s="1">
        <v>4</v>
      </c>
      <c r="M1484" s="4">
        <v>2870</v>
      </c>
      <c r="N1484" s="1">
        <v>4138</v>
      </c>
      <c r="O1484" s="1">
        <v>7939</v>
      </c>
      <c r="P1484" s="1">
        <v>3801</v>
      </c>
      <c r="Q1484" s="1" t="s">
        <v>42</v>
      </c>
      <c r="S1484" s="1" t="s">
        <v>42</v>
      </c>
      <c r="T1484" s="1" t="s">
        <v>273</v>
      </c>
      <c r="U1484" s="1">
        <v>40</v>
      </c>
      <c r="V1484" s="5">
        <v>43806</v>
      </c>
      <c r="W1484" s="5">
        <v>43603</v>
      </c>
      <c r="X1484" s="1">
        <v>6300000</v>
      </c>
      <c r="Y1484" s="1">
        <v>6300000</v>
      </c>
      <c r="Z1484" s="5">
        <v>43643</v>
      </c>
      <c r="AA1484" s="1">
        <v>5753112.5</v>
      </c>
      <c r="AB1484" s="1" t="s">
        <v>744</v>
      </c>
      <c r="AC1484" s="5">
        <v>43643</v>
      </c>
      <c r="AF1484" s="1">
        <v>10007</v>
      </c>
      <c r="AI1484" s="1" t="s">
        <v>52</v>
      </c>
      <c r="AJ1484" s="1">
        <v>1930</v>
      </c>
      <c r="AK1484" s="1" t="s">
        <v>46</v>
      </c>
      <c r="AL1484" s="1">
        <v>156</v>
      </c>
    </row>
    <row r="1485" spans="1:38" x14ac:dyDescent="0.2">
      <c r="A1485" s="2" t="str">
        <f>HYPERLINK("https://www.compass.com/listing/100-barclay-street-unit-12e-manhattan-ny-10007/4852265624161751169/","100 Barclay St, Unit 12E")</f>
        <v>100 Barclay St, Unit 12E</v>
      </c>
      <c r="B1485" s="2" t="str">
        <f t="shared" si="219"/>
        <v>100 Barclay</v>
      </c>
      <c r="C1485" s="1" t="s">
        <v>50</v>
      </c>
      <c r="D1485" s="1" t="s">
        <v>41</v>
      </c>
      <c r="E1485" s="3">
        <v>2785932</v>
      </c>
      <c r="F1485" s="1">
        <v>1832.85</v>
      </c>
      <c r="G1485" s="1">
        <v>5</v>
      </c>
      <c r="H1485" s="1">
        <v>2</v>
      </c>
      <c r="I1485" s="1">
        <v>2</v>
      </c>
      <c r="J1485" s="1">
        <v>2</v>
      </c>
      <c r="K1485" s="1">
        <v>2</v>
      </c>
      <c r="M1485" s="4">
        <v>1520</v>
      </c>
      <c r="N1485" s="1">
        <v>1950</v>
      </c>
      <c r="O1485" s="1">
        <v>3815</v>
      </c>
      <c r="P1485" s="1">
        <v>1865</v>
      </c>
      <c r="Q1485" s="1" t="s">
        <v>105</v>
      </c>
      <c r="S1485" s="1" t="s">
        <v>105</v>
      </c>
      <c r="T1485" s="1" t="s">
        <v>273</v>
      </c>
      <c r="U1485" s="1">
        <v>444</v>
      </c>
      <c r="V1485" s="5">
        <v>44414</v>
      </c>
      <c r="W1485" s="5">
        <v>42032</v>
      </c>
      <c r="Y1485" s="1">
        <v>2803500</v>
      </c>
      <c r="Z1485" s="5">
        <v>42477</v>
      </c>
      <c r="AA1485" s="1">
        <v>2785932</v>
      </c>
      <c r="AB1485" s="1" t="s">
        <v>745</v>
      </c>
      <c r="AC1485" s="5">
        <v>42752</v>
      </c>
      <c r="AF1485" s="1">
        <v>10007</v>
      </c>
      <c r="AI1485" s="1" t="s">
        <v>52</v>
      </c>
      <c r="AJ1485" s="1">
        <v>1930</v>
      </c>
      <c r="AK1485" s="1" t="s">
        <v>46</v>
      </c>
      <c r="AL1485" s="1">
        <v>156</v>
      </c>
    </row>
    <row r="1486" spans="1:38" x14ac:dyDescent="0.2">
      <c r="A1486" s="2" t="str">
        <f>HYPERLINK("https://www.compass.com/listing/100-barclay-street-unit-23d-manhattan-ny-10007/4852262018016621841/","100 Barclay St, Unit 23D")</f>
        <v>100 Barclay St, Unit 23D</v>
      </c>
      <c r="B1486" s="2" t="str">
        <f t="shared" si="219"/>
        <v>100 Barclay</v>
      </c>
      <c r="C1486" s="1" t="s">
        <v>50</v>
      </c>
      <c r="D1486" s="1" t="s">
        <v>41</v>
      </c>
      <c r="E1486" s="3">
        <v>5045938</v>
      </c>
      <c r="F1486" s="1">
        <v>2158.2284003421701</v>
      </c>
      <c r="G1486" s="1">
        <v>7</v>
      </c>
      <c r="H1486" s="1">
        <v>3</v>
      </c>
      <c r="I1486" s="1">
        <v>4</v>
      </c>
      <c r="J1486" s="1">
        <v>3.5</v>
      </c>
      <c r="M1486" s="4">
        <v>2338</v>
      </c>
      <c r="N1486" s="1">
        <v>2921</v>
      </c>
      <c r="O1486" s="1">
        <v>5786</v>
      </c>
      <c r="P1486" s="1">
        <v>2865</v>
      </c>
      <c r="Q1486" s="1" t="s">
        <v>42</v>
      </c>
      <c r="S1486" s="1" t="s">
        <v>42</v>
      </c>
      <c r="T1486" s="1" t="s">
        <v>273</v>
      </c>
      <c r="U1486" s="1">
        <v>125</v>
      </c>
      <c r="V1486" s="5">
        <v>43623</v>
      </c>
      <c r="W1486" s="5">
        <v>42120</v>
      </c>
      <c r="X1486" s="1">
        <v>5200000</v>
      </c>
      <c r="Y1486" s="1">
        <v>5200000</v>
      </c>
      <c r="Z1486" s="5">
        <v>42245</v>
      </c>
      <c r="AA1486" s="1">
        <v>5045938</v>
      </c>
      <c r="AB1486" s="1" t="s">
        <v>746</v>
      </c>
      <c r="AC1486" s="5">
        <v>42537</v>
      </c>
      <c r="AF1486" s="1">
        <v>10007</v>
      </c>
      <c r="AI1486" s="1" t="s">
        <v>52</v>
      </c>
      <c r="AJ1486" s="1">
        <v>1930</v>
      </c>
      <c r="AK1486" s="1" t="s">
        <v>46</v>
      </c>
      <c r="AL1486" s="1">
        <v>156</v>
      </c>
    </row>
    <row r="1487" spans="1:38" x14ac:dyDescent="0.2">
      <c r="A1487" s="2" t="str">
        <f>HYPERLINK("https://www.compass.com/listing/100-barclay-street-unit-28d-manhattan-ny-10007/4852279279540514593/","100 Barclay St, Unit 28D")</f>
        <v>100 Barclay St, Unit 28D</v>
      </c>
      <c r="B1487" s="2" t="str">
        <f t="shared" si="219"/>
        <v>100 Barclay</v>
      </c>
      <c r="C1487" s="1" t="s">
        <v>50</v>
      </c>
      <c r="D1487" s="1" t="s">
        <v>41</v>
      </c>
      <c r="E1487" s="3">
        <v>5498550</v>
      </c>
      <c r="F1487" s="1">
        <v>2351.8177929854501</v>
      </c>
      <c r="G1487" s="1">
        <v>7</v>
      </c>
      <c r="H1487" s="1">
        <v>3</v>
      </c>
      <c r="I1487" s="1">
        <v>4</v>
      </c>
      <c r="J1487" s="1">
        <v>3.5</v>
      </c>
      <c r="M1487" s="4">
        <v>2338</v>
      </c>
      <c r="N1487" s="1">
        <v>2921</v>
      </c>
      <c r="O1487" s="1">
        <v>5786</v>
      </c>
      <c r="P1487" s="1">
        <v>2865</v>
      </c>
      <c r="Q1487" s="1" t="s">
        <v>42</v>
      </c>
      <c r="S1487" s="1" t="s">
        <v>42</v>
      </c>
      <c r="T1487" s="1" t="s">
        <v>273</v>
      </c>
      <c r="V1487" s="5">
        <v>43623</v>
      </c>
      <c r="W1487" s="5">
        <v>42333</v>
      </c>
      <c r="X1487" s="1">
        <v>5450000</v>
      </c>
      <c r="Y1487" s="1">
        <v>5450000</v>
      </c>
      <c r="Z1487" s="5">
        <v>42333</v>
      </c>
      <c r="AA1487" s="1">
        <v>5498550</v>
      </c>
      <c r="AB1487" s="1" t="s">
        <v>747</v>
      </c>
      <c r="AC1487" s="5">
        <v>42506</v>
      </c>
      <c r="AF1487" s="1">
        <v>10007</v>
      </c>
      <c r="AI1487" s="1" t="s">
        <v>52</v>
      </c>
      <c r="AJ1487" s="1">
        <v>1930</v>
      </c>
      <c r="AK1487" s="1" t="s">
        <v>49</v>
      </c>
      <c r="AL1487" s="1">
        <v>156</v>
      </c>
    </row>
    <row r="1488" spans="1:38" x14ac:dyDescent="0.2">
      <c r="A1488" s="2" t="str">
        <f>HYPERLINK("https://www.compass.com/listing/100-barclay-street-unit-25d-manhattan-ny-10007/4852282279214459521/","100 Barclay St, Unit 25D")</f>
        <v>100 Barclay St, Unit 25D</v>
      </c>
      <c r="B1488" s="2" t="str">
        <f t="shared" si="219"/>
        <v>100 Barclay</v>
      </c>
      <c r="C1488" s="1" t="s">
        <v>50</v>
      </c>
      <c r="D1488" s="1" t="s">
        <v>41</v>
      </c>
      <c r="E1488" s="3">
        <v>4887600</v>
      </c>
      <c r="F1488" s="1">
        <v>2090.5047048759602</v>
      </c>
      <c r="G1488" s="1">
        <v>7</v>
      </c>
      <c r="H1488" s="1">
        <v>3</v>
      </c>
      <c r="I1488" s="1">
        <v>4</v>
      </c>
      <c r="J1488" s="1">
        <v>4</v>
      </c>
      <c r="K1488" s="1">
        <v>4</v>
      </c>
      <c r="M1488" s="4">
        <v>2338</v>
      </c>
      <c r="N1488" s="1">
        <v>2921</v>
      </c>
      <c r="O1488" s="1">
        <v>5786</v>
      </c>
      <c r="P1488" s="1">
        <v>2865</v>
      </c>
      <c r="Q1488" s="1" t="s">
        <v>42</v>
      </c>
      <c r="S1488" s="1" t="s">
        <v>42</v>
      </c>
      <c r="T1488" s="1" t="s">
        <v>273</v>
      </c>
      <c r="U1488" s="1">
        <v>555</v>
      </c>
      <c r="V1488" s="5">
        <v>44225</v>
      </c>
      <c r="W1488" s="5">
        <v>42119</v>
      </c>
      <c r="X1488" s="1">
        <v>5300000</v>
      </c>
      <c r="Y1488" s="1">
        <v>5300000</v>
      </c>
      <c r="AA1488" s="1">
        <v>4887600</v>
      </c>
      <c r="AB1488" s="1" t="s">
        <v>748</v>
      </c>
      <c r="AC1488" s="5">
        <v>42674</v>
      </c>
      <c r="AF1488" s="1">
        <v>10007</v>
      </c>
      <c r="AI1488" s="1" t="s">
        <v>52</v>
      </c>
      <c r="AJ1488" s="1">
        <v>1930</v>
      </c>
      <c r="AK1488" s="1" t="s">
        <v>46</v>
      </c>
      <c r="AL1488" s="1">
        <v>156</v>
      </c>
    </row>
    <row r="1489" spans="1:38" x14ac:dyDescent="0.2">
      <c r="A1489" s="2" t="str">
        <f>HYPERLINK("https://www.compass.com/listing/100-barclay-street-unit-11l-manhattan-ny-10007/4852308965163277073/","100 Barclay St, Unit 11L")</f>
        <v>100 Barclay St, Unit 11L</v>
      </c>
      <c r="B1489" s="2" t="str">
        <f t="shared" si="219"/>
        <v>100 Barclay</v>
      </c>
      <c r="C1489" s="1" t="s">
        <v>50</v>
      </c>
      <c r="D1489" s="1" t="s">
        <v>41</v>
      </c>
      <c r="E1489" s="3">
        <v>4926802</v>
      </c>
      <c r="F1489" s="1">
        <v>2218.2809545249802</v>
      </c>
      <c r="G1489" s="1">
        <v>6</v>
      </c>
      <c r="H1489" s="1">
        <v>3</v>
      </c>
      <c r="I1489" s="1">
        <v>4</v>
      </c>
      <c r="J1489" s="1">
        <v>3.5</v>
      </c>
      <c r="M1489" s="4">
        <v>2221</v>
      </c>
      <c r="N1489" s="1">
        <v>2986</v>
      </c>
      <c r="O1489" s="1">
        <v>5915</v>
      </c>
      <c r="P1489" s="1">
        <v>2929</v>
      </c>
      <c r="Q1489" s="1" t="s">
        <v>42</v>
      </c>
      <c r="S1489" s="1" t="s">
        <v>42</v>
      </c>
      <c r="T1489" s="1" t="s">
        <v>273</v>
      </c>
      <c r="V1489" s="5">
        <v>43623</v>
      </c>
      <c r="W1489" s="5">
        <v>42187</v>
      </c>
      <c r="X1489" s="1">
        <v>4900000</v>
      </c>
      <c r="Y1489" s="1">
        <v>4900000</v>
      </c>
      <c r="Z1489" s="5">
        <v>42187</v>
      </c>
      <c r="AA1489" s="1">
        <v>4926802</v>
      </c>
      <c r="AB1489" s="1" t="s">
        <v>749</v>
      </c>
      <c r="AC1489" s="5">
        <v>42804</v>
      </c>
      <c r="AF1489" s="1">
        <v>10007</v>
      </c>
      <c r="AI1489" s="1" t="s">
        <v>52</v>
      </c>
      <c r="AJ1489" s="1">
        <v>1930</v>
      </c>
      <c r="AK1489" s="1" t="s">
        <v>49</v>
      </c>
      <c r="AL1489" s="1">
        <v>156</v>
      </c>
    </row>
    <row r="1490" spans="1:38" x14ac:dyDescent="0.2">
      <c r="A1490" s="2" t="str">
        <f>HYPERLINK("https://www.compass.com/listing/45-east-22nd-street-unit-51a-manhattan-ny-10010/167421798479060049/","45 E 22nd St, Unit 51A")</f>
        <v>45 E 22nd St, Unit 51A</v>
      </c>
      <c r="B1490" s="2" t="str">
        <f>HYPERLINK("https://www.compass.com/building/madison-square-park-tower-manhattan-ny/281903584482705973/","Madison Square Park Tower")</f>
        <v>Madison Square Park Tower</v>
      </c>
      <c r="C1490" s="1" t="s">
        <v>56</v>
      </c>
      <c r="D1490" s="1" t="s">
        <v>41</v>
      </c>
      <c r="E1490" s="3">
        <v>7450000</v>
      </c>
      <c r="F1490" s="1">
        <v>2974.0518962075798</v>
      </c>
      <c r="G1490" s="1">
        <v>5</v>
      </c>
      <c r="H1490" s="1">
        <v>3</v>
      </c>
      <c r="I1490" s="1">
        <v>3</v>
      </c>
      <c r="J1490" s="1">
        <v>3</v>
      </c>
      <c r="K1490" s="1">
        <v>3</v>
      </c>
      <c r="M1490" s="4">
        <v>2505</v>
      </c>
      <c r="N1490" s="1">
        <v>3127</v>
      </c>
      <c r="O1490" s="1">
        <v>9400</v>
      </c>
      <c r="P1490" s="1">
        <v>6273</v>
      </c>
      <c r="Q1490" s="1" t="s">
        <v>42</v>
      </c>
      <c r="S1490" s="1" t="s">
        <v>42</v>
      </c>
      <c r="T1490" s="1" t="s">
        <v>273</v>
      </c>
      <c r="U1490" s="1">
        <v>161</v>
      </c>
      <c r="V1490" s="5">
        <v>43692</v>
      </c>
      <c r="W1490" s="5">
        <v>43482</v>
      </c>
      <c r="X1490" s="1">
        <v>8999999</v>
      </c>
      <c r="Y1490" s="1">
        <v>7500000</v>
      </c>
      <c r="Z1490" s="5">
        <v>43644</v>
      </c>
      <c r="AA1490" s="1">
        <v>7450000</v>
      </c>
      <c r="AB1490" s="1" t="s">
        <v>275</v>
      </c>
      <c r="AC1490" s="5">
        <v>43671</v>
      </c>
      <c r="AF1490" s="1">
        <v>10010</v>
      </c>
      <c r="AI1490" s="1" t="s">
        <v>48</v>
      </c>
      <c r="AJ1490" s="1">
        <v>2016</v>
      </c>
      <c r="AK1490" s="1" t="s">
        <v>46</v>
      </c>
      <c r="AL1490" s="1">
        <v>83</v>
      </c>
    </row>
    <row r="1491" spans="1:38" x14ac:dyDescent="0.2">
      <c r="A1491" s="2" t="str">
        <f>HYPERLINK("https://www.compass.com/listing/30-warren-street-unit-5c-manhattan-ny-10007/29580278108316145/","30 Warren St, Unit 5C")</f>
        <v>30 Warren St, Unit 5C</v>
      </c>
      <c r="B1491" s="2" t="str">
        <f>HYPERLINK("https://www.compass.com/building/30-warren-manhattan-ny/292789104075095813/","30 WARREN")</f>
        <v>30 WARREN</v>
      </c>
      <c r="C1491" s="1" t="s">
        <v>50</v>
      </c>
      <c r="D1491" s="1" t="s">
        <v>41</v>
      </c>
      <c r="E1491" s="3">
        <v>3882000</v>
      </c>
      <c r="F1491" s="1">
        <v>2027.15404699738</v>
      </c>
      <c r="G1491" s="1">
        <v>5</v>
      </c>
      <c r="H1491" s="1">
        <v>3</v>
      </c>
      <c r="I1491" s="1">
        <v>4</v>
      </c>
      <c r="J1491" s="1">
        <v>3.5</v>
      </c>
      <c r="K1491" s="1">
        <v>3</v>
      </c>
      <c r="L1491" s="1">
        <v>1</v>
      </c>
      <c r="M1491" s="4">
        <v>1915</v>
      </c>
      <c r="N1491" s="1">
        <v>2488.9899999999998</v>
      </c>
      <c r="O1491" s="1">
        <v>5132.83</v>
      </c>
      <c r="P1491" s="1">
        <v>2643.8333333333298</v>
      </c>
      <c r="Q1491" s="1" t="s">
        <v>42</v>
      </c>
      <c r="S1491" s="1" t="s">
        <v>42</v>
      </c>
      <c r="T1491" s="1" t="s">
        <v>273</v>
      </c>
      <c r="U1491" s="1">
        <v>631</v>
      </c>
      <c r="V1491" s="5">
        <v>44349</v>
      </c>
      <c r="W1491" s="5">
        <v>43615</v>
      </c>
      <c r="Y1491" s="1">
        <v>3995000</v>
      </c>
      <c r="Z1491" s="5">
        <v>44340</v>
      </c>
      <c r="AA1491" s="1">
        <v>3882000</v>
      </c>
      <c r="AB1491" s="1" t="s">
        <v>750</v>
      </c>
      <c r="AC1491" s="5">
        <v>44344</v>
      </c>
      <c r="AF1491" s="1">
        <v>10007</v>
      </c>
      <c r="AJ1491" s="1">
        <v>2017</v>
      </c>
      <c r="AK1491" s="1" t="s">
        <v>125</v>
      </c>
      <c r="AL1491" s="1">
        <v>23</v>
      </c>
    </row>
    <row r="1492" spans="1:38" x14ac:dyDescent="0.2">
      <c r="A1492" s="2" t="str">
        <f>HYPERLINK("https://www.compass.com/listing/100-barclay-street-unit-11r-manhattan-ny-10007/18882291510133729/","100 Barclay St, Unit 11R")</f>
        <v>100 Barclay St, Unit 11R</v>
      </c>
      <c r="B1492" s="2" t="str">
        <f>HYPERLINK("https://www.compass.com/building/100-barclay-manhattan-ny/281896670466155525/","100 Barclay")</f>
        <v>100 Barclay</v>
      </c>
      <c r="C1492" s="1" t="s">
        <v>50</v>
      </c>
      <c r="D1492" s="1" t="s">
        <v>41</v>
      </c>
      <c r="E1492" s="3">
        <v>4700000</v>
      </c>
      <c r="F1492" s="1">
        <v>2248.8038277511901</v>
      </c>
      <c r="G1492" s="1">
        <v>5</v>
      </c>
      <c r="H1492" s="1">
        <v>3</v>
      </c>
      <c r="I1492" s="1">
        <v>3</v>
      </c>
      <c r="J1492" s="1">
        <v>3</v>
      </c>
      <c r="K1492" s="1">
        <v>3</v>
      </c>
      <c r="M1492" s="4">
        <v>2090</v>
      </c>
      <c r="N1492" s="1">
        <v>2995</v>
      </c>
      <c r="O1492" s="1">
        <v>6245</v>
      </c>
      <c r="P1492" s="1">
        <v>3250</v>
      </c>
      <c r="Q1492" s="1" t="s">
        <v>42</v>
      </c>
      <c r="S1492" s="1" t="s">
        <v>42</v>
      </c>
      <c r="T1492" s="1" t="s">
        <v>273</v>
      </c>
      <c r="U1492" s="1">
        <v>13</v>
      </c>
      <c r="V1492" s="5">
        <v>43644</v>
      </c>
      <c r="W1492" s="5">
        <v>43328</v>
      </c>
      <c r="X1492" s="1">
        <v>5407000</v>
      </c>
      <c r="Y1492" s="1">
        <v>5407000</v>
      </c>
      <c r="Z1492" s="5">
        <v>43341</v>
      </c>
      <c r="AA1492" s="1">
        <v>4700000</v>
      </c>
      <c r="AB1492" s="1" t="s">
        <v>751</v>
      </c>
      <c r="AC1492" s="5">
        <v>43399</v>
      </c>
      <c r="AF1492" s="1">
        <v>10007</v>
      </c>
      <c r="AI1492" s="1" t="s">
        <v>103</v>
      </c>
      <c r="AJ1492" s="1">
        <v>1930</v>
      </c>
      <c r="AK1492" s="1" t="s">
        <v>46</v>
      </c>
      <c r="AL1492" s="1">
        <v>156</v>
      </c>
    </row>
    <row r="1493" spans="1:38" x14ac:dyDescent="0.2">
      <c r="A1493" s="2" t="str">
        <f>HYPERLINK("https://www.compass.com/listing/241-west-107th-street-unit-4-manhattan-ny-10025/29430956289013713/","241 W 107th St, Unit 4")</f>
        <v>241 W 107th St, Unit 4</v>
      </c>
      <c r="B1493" s="2" t="str">
        <f>HYPERLINK("https://www.compass.com/building/241-w-107th-st-manhattan-ny-10025/281969820646330101/","241 W 107th St")</f>
        <v>241 W 107th St</v>
      </c>
      <c r="C1493" s="1" t="s">
        <v>57</v>
      </c>
      <c r="D1493" s="1" t="s">
        <v>41</v>
      </c>
      <c r="E1493" s="3">
        <v>2270698</v>
      </c>
      <c r="F1493" s="1">
        <v>1452.78182981445</v>
      </c>
      <c r="G1493" s="1">
        <v>5</v>
      </c>
      <c r="H1493" s="1">
        <v>3</v>
      </c>
      <c r="I1493" s="1">
        <v>2</v>
      </c>
      <c r="J1493" s="1">
        <v>2</v>
      </c>
      <c r="M1493" s="4">
        <v>1563</v>
      </c>
      <c r="N1493" s="1">
        <v>1196</v>
      </c>
      <c r="O1493" s="1">
        <v>1970</v>
      </c>
      <c r="P1493" s="1">
        <v>774</v>
      </c>
      <c r="Q1493" s="1" t="s">
        <v>42</v>
      </c>
      <c r="S1493" s="1" t="s">
        <v>42</v>
      </c>
      <c r="T1493" s="1" t="s">
        <v>273</v>
      </c>
      <c r="U1493" s="1">
        <v>174</v>
      </c>
      <c r="V1493" s="5">
        <v>43682</v>
      </c>
      <c r="W1493" s="5">
        <v>41993</v>
      </c>
      <c r="X1493" s="1">
        <v>2325000</v>
      </c>
      <c r="Y1493" s="1">
        <v>2325000</v>
      </c>
      <c r="Z1493" s="5">
        <v>42167</v>
      </c>
      <c r="AA1493" s="1">
        <v>2270698</v>
      </c>
      <c r="AB1493" s="1" t="s">
        <v>752</v>
      </c>
      <c r="AC1493" s="5">
        <v>42340</v>
      </c>
      <c r="AF1493" s="1">
        <v>10025</v>
      </c>
      <c r="AI1493" s="1" t="s">
        <v>753</v>
      </c>
      <c r="AJ1493" s="1">
        <v>2014</v>
      </c>
      <c r="AL1493" s="1">
        <v>6</v>
      </c>
    </row>
    <row r="1494" spans="1:38" x14ac:dyDescent="0.2">
      <c r="A1494" s="2" t="str">
        <f>HYPERLINK("https://www.compass.com/listing/100-barclay-street-unit-25d-manhattan-ny-10007/801630173258539809/","100 Barclay St, Unit 25D")</f>
        <v>100 Barclay St, Unit 25D</v>
      </c>
      <c r="B1494" s="2" t="str">
        <f>HYPERLINK("https://www.compass.com/building/100-barclay-manhattan-ny/281896670466155525/","100 Barclay")</f>
        <v>100 Barclay</v>
      </c>
      <c r="C1494" s="1" t="s">
        <v>50</v>
      </c>
      <c r="D1494" s="1" t="s">
        <v>41</v>
      </c>
      <c r="E1494" s="3">
        <v>4887600</v>
      </c>
      <c r="F1494" s="1">
        <v>2090.5047048759602</v>
      </c>
      <c r="G1494" s="1">
        <v>5</v>
      </c>
      <c r="H1494" s="1">
        <v>3</v>
      </c>
      <c r="I1494" s="1">
        <v>3</v>
      </c>
      <c r="J1494" s="1">
        <v>3.5</v>
      </c>
      <c r="K1494" s="1">
        <v>3</v>
      </c>
      <c r="L1494" s="1">
        <v>1</v>
      </c>
      <c r="M1494" s="4">
        <v>2338</v>
      </c>
      <c r="N1494" s="1">
        <v>3000</v>
      </c>
      <c r="O1494" s="1">
        <v>5869</v>
      </c>
      <c r="P1494" s="1">
        <v>2869</v>
      </c>
      <c r="Q1494" s="1" t="s">
        <v>42</v>
      </c>
      <c r="S1494" s="1" t="s">
        <v>42</v>
      </c>
      <c r="T1494" s="1" t="s">
        <v>273</v>
      </c>
      <c r="U1494" s="1">
        <v>3</v>
      </c>
      <c r="V1494" s="5">
        <v>43020</v>
      </c>
      <c r="W1494" s="5">
        <v>42640</v>
      </c>
      <c r="X1494" s="1">
        <v>5300000</v>
      </c>
      <c r="Y1494" s="1">
        <v>5300000</v>
      </c>
      <c r="Z1494" s="5">
        <v>42643</v>
      </c>
      <c r="AA1494" s="1">
        <v>4887600</v>
      </c>
      <c r="AB1494" s="1" t="s">
        <v>748</v>
      </c>
      <c r="AC1494" s="5">
        <v>42674</v>
      </c>
      <c r="AF1494" s="1">
        <v>10007</v>
      </c>
      <c r="AI1494" s="1" t="s">
        <v>52</v>
      </c>
      <c r="AJ1494" s="1">
        <v>1930</v>
      </c>
      <c r="AK1494" s="1" t="s">
        <v>46</v>
      </c>
      <c r="AL1494" s="1">
        <v>156</v>
      </c>
    </row>
    <row r="1495" spans="1:38" x14ac:dyDescent="0.2">
      <c r="A1495" s="2" t="str">
        <f>HYPERLINK("https://www.compass.com/listing/30-warren-street-unit-ph1-manhattan-ny-10007/97054449561813297/","30 Warren St, Unit PH1")</f>
        <v>30 Warren St, Unit PH1</v>
      </c>
      <c r="B1495" s="2" t="str">
        <f>HYPERLINK("https://www.compass.com/building/30-warren-manhattan-ny/292789104075095813/","30 WARREN")</f>
        <v>30 WARREN</v>
      </c>
      <c r="C1495" s="1" t="s">
        <v>50</v>
      </c>
      <c r="D1495" s="1" t="s">
        <v>41</v>
      </c>
      <c r="E1495" s="3">
        <v>7300000</v>
      </c>
      <c r="F1495" s="1">
        <v>2633.4776334776302</v>
      </c>
      <c r="G1495" s="1">
        <v>5</v>
      </c>
      <c r="H1495" s="1">
        <v>3</v>
      </c>
      <c r="I1495" s="1">
        <v>3</v>
      </c>
      <c r="J1495" s="1">
        <v>3</v>
      </c>
      <c r="K1495" s="1">
        <v>3</v>
      </c>
      <c r="M1495" s="4">
        <v>2772</v>
      </c>
      <c r="N1495" s="1">
        <v>4200</v>
      </c>
      <c r="O1495" s="1">
        <v>7715</v>
      </c>
      <c r="P1495" s="1">
        <v>3515</v>
      </c>
      <c r="Q1495" s="1" t="s">
        <v>42</v>
      </c>
      <c r="S1495" s="1" t="s">
        <v>42</v>
      </c>
      <c r="T1495" s="1" t="s">
        <v>273</v>
      </c>
      <c r="U1495" s="1">
        <v>4</v>
      </c>
      <c r="V1495" s="5">
        <v>44087</v>
      </c>
      <c r="W1495" s="5">
        <v>43385</v>
      </c>
      <c r="X1495" s="1">
        <v>7750000</v>
      </c>
      <c r="Y1495" s="1">
        <v>7750000</v>
      </c>
      <c r="Z1495" s="5">
        <v>43390</v>
      </c>
      <c r="AA1495" s="1">
        <v>7300000</v>
      </c>
      <c r="AB1495" s="1" t="s">
        <v>754</v>
      </c>
      <c r="AC1495" s="5">
        <v>44083</v>
      </c>
      <c r="AF1495" s="1">
        <v>10007</v>
      </c>
      <c r="AI1495" s="1" t="s">
        <v>755</v>
      </c>
      <c r="AJ1495" s="1">
        <v>2017</v>
      </c>
      <c r="AK1495" s="1" t="s">
        <v>125</v>
      </c>
      <c r="AL1495" s="1">
        <v>23</v>
      </c>
    </row>
    <row r="1496" spans="1:38" x14ac:dyDescent="0.2">
      <c r="A1496" s="2" t="str">
        <f>HYPERLINK("https://www.compass.com/listing/100-barclay-street-unit-15s-manhattan-ny-10007/4852308594571361793/","100 Barclay St, Unit 15S")</f>
        <v>100 Barclay St, Unit 15S</v>
      </c>
      <c r="B1496" s="2" t="str">
        <f t="shared" ref="B1496:B1498" si="220">HYPERLINK("https://www.compass.com/building/100-barclay-manhattan-ny/281896670466155525/","100 Barclay")</f>
        <v>100 Barclay</v>
      </c>
      <c r="C1496" s="1" t="s">
        <v>50</v>
      </c>
      <c r="D1496" s="1" t="s">
        <v>41</v>
      </c>
      <c r="E1496" s="3">
        <v>3309312</v>
      </c>
      <c r="F1496" s="1">
        <v>1810.3457330415699</v>
      </c>
      <c r="G1496" s="1">
        <v>4</v>
      </c>
      <c r="H1496" s="1">
        <v>1</v>
      </c>
      <c r="I1496" s="1">
        <v>2</v>
      </c>
      <c r="J1496" s="1">
        <v>2</v>
      </c>
      <c r="M1496" s="4">
        <v>1828</v>
      </c>
      <c r="N1496" s="1">
        <v>2345</v>
      </c>
      <c r="O1496" s="1">
        <v>4588</v>
      </c>
      <c r="P1496" s="1">
        <v>2243</v>
      </c>
      <c r="Q1496" s="1" t="s">
        <v>42</v>
      </c>
      <c r="S1496" s="1" t="s">
        <v>42</v>
      </c>
      <c r="T1496" s="1" t="s">
        <v>273</v>
      </c>
      <c r="V1496" s="5">
        <v>43623</v>
      </c>
      <c r="W1496" s="5">
        <v>42477</v>
      </c>
      <c r="X1496" s="1">
        <v>3356500</v>
      </c>
      <c r="Y1496" s="1">
        <v>3356500</v>
      </c>
      <c r="Z1496" s="5">
        <v>42477</v>
      </c>
      <c r="AA1496" s="1">
        <v>3309312</v>
      </c>
      <c r="AB1496" s="1" t="s">
        <v>756</v>
      </c>
      <c r="AC1496" s="5">
        <v>42675</v>
      </c>
      <c r="AF1496" s="1">
        <v>10007</v>
      </c>
      <c r="AI1496" s="1" t="s">
        <v>52</v>
      </c>
      <c r="AJ1496" s="1">
        <v>1930</v>
      </c>
      <c r="AK1496" s="1" t="s">
        <v>46</v>
      </c>
      <c r="AL1496" s="1">
        <v>156</v>
      </c>
    </row>
    <row r="1497" spans="1:38" x14ac:dyDescent="0.2">
      <c r="A1497" s="2" t="str">
        <f>HYPERLINK("https://www.compass.com/listing/100-barclay-street-unit-16s-manhattan-ny-10007/4852308656563162737/","100 Barclay St, Unit 16S")</f>
        <v>100 Barclay St, Unit 16S</v>
      </c>
      <c r="B1497" s="2" t="str">
        <f t="shared" si="220"/>
        <v>100 Barclay</v>
      </c>
      <c r="C1497" s="1" t="s">
        <v>50</v>
      </c>
      <c r="D1497" s="1" t="s">
        <v>41</v>
      </c>
      <c r="E1497" s="3">
        <v>3074605</v>
      </c>
      <c r="F1497" s="1">
        <v>1681.9502188183801</v>
      </c>
      <c r="G1497" s="1">
        <v>4</v>
      </c>
      <c r="H1497" s="1">
        <v>1</v>
      </c>
      <c r="I1497" s="1">
        <v>2</v>
      </c>
      <c r="J1497" s="1">
        <v>2</v>
      </c>
      <c r="M1497" s="4">
        <v>1828</v>
      </c>
      <c r="N1497" s="1">
        <v>2345</v>
      </c>
      <c r="O1497" s="1">
        <v>4588</v>
      </c>
      <c r="P1497" s="1">
        <v>2243</v>
      </c>
      <c r="Q1497" s="1" t="s">
        <v>42</v>
      </c>
      <c r="S1497" s="1" t="s">
        <v>42</v>
      </c>
      <c r="T1497" s="1" t="s">
        <v>273</v>
      </c>
      <c r="V1497" s="5">
        <v>43623</v>
      </c>
      <c r="W1497" s="5">
        <v>42477</v>
      </c>
      <c r="X1497" s="1">
        <v>3156500</v>
      </c>
      <c r="Y1497" s="1">
        <v>3156500</v>
      </c>
      <c r="Z1497" s="5">
        <v>42477</v>
      </c>
      <c r="AA1497" s="1">
        <v>3074605</v>
      </c>
      <c r="AB1497" s="1" t="s">
        <v>757</v>
      </c>
      <c r="AC1497" s="5">
        <v>42685</v>
      </c>
      <c r="AF1497" s="1">
        <v>10007</v>
      </c>
      <c r="AI1497" s="1" t="s">
        <v>52</v>
      </c>
      <c r="AJ1497" s="1">
        <v>1930</v>
      </c>
      <c r="AK1497" s="1" t="s">
        <v>46</v>
      </c>
      <c r="AL1497" s="1">
        <v>156</v>
      </c>
    </row>
    <row r="1498" spans="1:38" x14ac:dyDescent="0.2">
      <c r="A1498" s="2" t="str">
        <f>HYPERLINK("https://www.compass.com/listing/100-barclay-street-unit-12r-manhattan-ny-10007/4852275055490509665/","100 Barclay St, Unit 12R")</f>
        <v>100 Barclay St, Unit 12R</v>
      </c>
      <c r="B1498" s="2" t="str">
        <f t="shared" si="220"/>
        <v>100 Barclay</v>
      </c>
      <c r="C1498" s="1" t="s">
        <v>50</v>
      </c>
      <c r="D1498" s="1" t="s">
        <v>41</v>
      </c>
      <c r="E1498" s="3">
        <v>4092000</v>
      </c>
      <c r="F1498" s="1">
        <v>1905.02793296089</v>
      </c>
      <c r="G1498" s="1">
        <v>6</v>
      </c>
      <c r="H1498" s="1">
        <v>3</v>
      </c>
      <c r="I1498" s="1">
        <v>3</v>
      </c>
      <c r="J1498" s="1">
        <v>3</v>
      </c>
      <c r="K1498" s="1">
        <v>3</v>
      </c>
      <c r="M1498" s="4">
        <v>2148</v>
      </c>
      <c r="N1498" s="1">
        <v>2756</v>
      </c>
      <c r="O1498" s="1">
        <v>5392</v>
      </c>
      <c r="P1498" s="1">
        <v>2636</v>
      </c>
      <c r="Q1498" s="1" t="s">
        <v>42</v>
      </c>
      <c r="S1498" s="1" t="s">
        <v>42</v>
      </c>
      <c r="T1498" s="1" t="s">
        <v>273</v>
      </c>
      <c r="U1498" s="1">
        <v>19</v>
      </c>
      <c r="V1498" s="5">
        <v>43623</v>
      </c>
      <c r="W1498" s="5">
        <v>42784</v>
      </c>
      <c r="X1498" s="1">
        <v>4485000</v>
      </c>
      <c r="Y1498" s="1">
        <v>4485000</v>
      </c>
      <c r="Z1498" s="5">
        <v>42803</v>
      </c>
      <c r="AA1498" s="1">
        <v>4092000</v>
      </c>
      <c r="AB1498" s="1" t="s">
        <v>758</v>
      </c>
      <c r="AC1498" s="5">
        <v>42913</v>
      </c>
      <c r="AF1498" s="1">
        <v>10007</v>
      </c>
      <c r="AI1498" s="1" t="s">
        <v>52</v>
      </c>
      <c r="AJ1498" s="1">
        <v>1930</v>
      </c>
      <c r="AK1498" s="1" t="s">
        <v>46</v>
      </c>
      <c r="AL1498" s="1">
        <v>156</v>
      </c>
    </row>
    <row r="1499" spans="1:38" x14ac:dyDescent="0.2">
      <c r="A1499" s="2" t="str">
        <f>HYPERLINK("https://www.compass.com/listing/155-west-18th-street-unit-802-manhattan-ny-10011/29373033898625985/","155 W 18th St, Unit 802")</f>
        <v>155 W 18th St, Unit 802</v>
      </c>
      <c r="B1499" s="2" t="str">
        <f>HYPERLINK("https://www.compass.com/building/the-flynn-manhattan-ny/281905793161251925/","The Flynn")</f>
        <v>The Flynn</v>
      </c>
      <c r="C1499" s="1" t="s">
        <v>62</v>
      </c>
      <c r="D1499" s="1" t="s">
        <v>41</v>
      </c>
      <c r="E1499" s="3">
        <v>2749275</v>
      </c>
      <c r="F1499" s="1">
        <v>2407.4211908931602</v>
      </c>
      <c r="G1499" s="1">
        <v>4</v>
      </c>
      <c r="H1499" s="1">
        <v>2</v>
      </c>
      <c r="I1499" s="1">
        <v>3</v>
      </c>
      <c r="J1499" s="1">
        <v>2.5</v>
      </c>
      <c r="M1499" s="4">
        <v>1142</v>
      </c>
      <c r="N1499" s="1">
        <v>1740</v>
      </c>
      <c r="O1499" s="1">
        <v>3074</v>
      </c>
      <c r="P1499" s="1">
        <v>1334</v>
      </c>
      <c r="Q1499" s="1" t="s">
        <v>42</v>
      </c>
      <c r="S1499" s="1" t="s">
        <v>42</v>
      </c>
      <c r="T1499" s="1" t="s">
        <v>273</v>
      </c>
      <c r="U1499" s="1">
        <v>152</v>
      </c>
      <c r="V1499" s="5">
        <v>43640</v>
      </c>
      <c r="W1499" s="5">
        <v>42378</v>
      </c>
      <c r="X1499" s="1">
        <v>2800000</v>
      </c>
      <c r="Y1499" s="1">
        <v>2800000</v>
      </c>
      <c r="Z1499" s="5">
        <v>42530</v>
      </c>
      <c r="AA1499" s="1">
        <v>2749275</v>
      </c>
      <c r="AB1499" s="1" t="s">
        <v>572</v>
      </c>
      <c r="AC1499" s="5">
        <v>42674</v>
      </c>
      <c r="AF1499" s="1">
        <v>10011</v>
      </c>
      <c r="AI1499" s="1" t="s">
        <v>114</v>
      </c>
      <c r="AJ1499" s="1">
        <v>2016</v>
      </c>
      <c r="AK1499" s="1" t="s">
        <v>46</v>
      </c>
      <c r="AL1499" s="1">
        <v>30</v>
      </c>
    </row>
    <row r="1500" spans="1:38" x14ac:dyDescent="0.2">
      <c r="A1500" s="2" t="str">
        <f>HYPERLINK("https://www.compass.com/listing/211-west-14th-street-unit-7-manhattan-ny-10011/803304337652766833/","211 W 14th St, Unit 7")</f>
        <v>211 W 14th St, Unit 7</v>
      </c>
      <c r="B1500" s="2" t="str">
        <f>HYPERLINK("https://www.compass.com/building/dorsay-manhattan-ny/292801633543285477/","d'Orsay")</f>
        <v>d'Orsay</v>
      </c>
      <c r="C1500" s="1" t="s">
        <v>62</v>
      </c>
      <c r="D1500" s="1" t="s">
        <v>41</v>
      </c>
      <c r="E1500" s="3">
        <v>7636875</v>
      </c>
      <c r="F1500" s="1">
        <v>2752.0270270270198</v>
      </c>
      <c r="G1500" s="1">
        <v>6</v>
      </c>
      <c r="H1500" s="1">
        <v>4</v>
      </c>
      <c r="I1500" s="1">
        <v>5</v>
      </c>
      <c r="J1500" s="1">
        <v>4.5</v>
      </c>
      <c r="K1500" s="1">
        <v>4</v>
      </c>
      <c r="L1500" s="1">
        <v>1</v>
      </c>
      <c r="M1500" s="4">
        <v>2775</v>
      </c>
      <c r="N1500" s="1">
        <v>5752</v>
      </c>
      <c r="O1500" s="1">
        <v>7988</v>
      </c>
      <c r="P1500" s="1">
        <v>2236</v>
      </c>
      <c r="Q1500" s="1" t="s">
        <v>42</v>
      </c>
      <c r="S1500" s="1" t="s">
        <v>42</v>
      </c>
      <c r="T1500" s="1" t="s">
        <v>273</v>
      </c>
      <c r="U1500" s="1">
        <v>707</v>
      </c>
      <c r="V1500" s="5">
        <v>43480</v>
      </c>
      <c r="W1500" s="5">
        <v>42466</v>
      </c>
      <c r="X1500" s="1">
        <v>8550000</v>
      </c>
      <c r="Y1500" s="1">
        <v>8750000</v>
      </c>
      <c r="AA1500" s="1">
        <v>7636875</v>
      </c>
      <c r="AB1500" s="1" t="s">
        <v>720</v>
      </c>
      <c r="AC1500" s="5">
        <v>43563</v>
      </c>
      <c r="AF1500" s="1">
        <v>10011</v>
      </c>
      <c r="AI1500" s="1" t="s">
        <v>61</v>
      </c>
      <c r="AJ1500" s="1">
        <v>2018</v>
      </c>
      <c r="AK1500" s="1" t="s">
        <v>46</v>
      </c>
      <c r="AL1500" s="1">
        <v>21</v>
      </c>
    </row>
    <row r="1501" spans="1:38" x14ac:dyDescent="0.2">
      <c r="A1501" s="2" t="str">
        <f>HYPERLINK("https://www.compass.com/listing/49-chambers-street-unit-12d-manhattan-ny-10007/19892173470264033/","49 Chambers St, Unit 12D")</f>
        <v>49 Chambers St, Unit 12D</v>
      </c>
      <c r="B1501" s="2" t="str">
        <f>HYPERLINK("https://www.compass.com/building/49-chambers-manhattan-ny/282058733280852725/","49 Chambers")</f>
        <v>49 Chambers</v>
      </c>
      <c r="C1501" s="1" t="s">
        <v>50</v>
      </c>
      <c r="D1501" s="1" t="s">
        <v>41</v>
      </c>
      <c r="E1501" s="3">
        <v>4030000</v>
      </c>
      <c r="F1501" s="1">
        <v>1786.3475177304899</v>
      </c>
      <c r="G1501" s="1">
        <v>4</v>
      </c>
      <c r="H1501" s="1">
        <v>2</v>
      </c>
      <c r="I1501" s="1">
        <v>3</v>
      </c>
      <c r="J1501" s="1">
        <v>2.5</v>
      </c>
      <c r="K1501" s="1">
        <v>2</v>
      </c>
      <c r="L1501" s="1">
        <v>1</v>
      </c>
      <c r="M1501" s="4">
        <v>2256</v>
      </c>
      <c r="N1501" s="1">
        <v>1630</v>
      </c>
      <c r="O1501" s="1">
        <v>6155</v>
      </c>
      <c r="P1501" s="1">
        <v>4525</v>
      </c>
      <c r="Q1501" s="1" t="s">
        <v>42</v>
      </c>
      <c r="S1501" s="1" t="s">
        <v>42</v>
      </c>
      <c r="T1501" s="1" t="s">
        <v>273</v>
      </c>
      <c r="U1501" s="1">
        <v>96</v>
      </c>
      <c r="V1501" s="5">
        <v>44323</v>
      </c>
      <c r="W1501" s="5">
        <v>43026</v>
      </c>
      <c r="X1501" s="1">
        <v>4200000</v>
      </c>
      <c r="Y1501" s="1">
        <v>4200000</v>
      </c>
      <c r="Z1501" s="5">
        <v>43122</v>
      </c>
      <c r="AA1501" s="1">
        <v>4030000</v>
      </c>
      <c r="AB1501" s="1" t="s">
        <v>275</v>
      </c>
      <c r="AC1501" s="5">
        <v>43615</v>
      </c>
      <c r="AF1501" s="1">
        <v>10007</v>
      </c>
      <c r="AI1501" s="1" t="s">
        <v>114</v>
      </c>
      <c r="AJ1501" s="1">
        <v>1910</v>
      </c>
      <c r="AK1501" s="1" t="s">
        <v>49</v>
      </c>
      <c r="AL1501" s="1">
        <v>99</v>
      </c>
    </row>
    <row r="1502" spans="1:38" x14ac:dyDescent="0.2">
      <c r="A1502" s="2" t="str">
        <f>HYPERLINK("https://www.compass.com/listing/45-east-22nd-street-unit-24b-manhattan-ny-10010/841556918304623473/","45 E 22nd St, Unit 24B")</f>
        <v>45 E 22nd St, Unit 24B</v>
      </c>
      <c r="B1502" s="2" t="str">
        <f>HYPERLINK("https://www.compass.com/building/madison-square-park-tower-manhattan-ny/281903584482705973/","Madison Square Park Tower")</f>
        <v>Madison Square Park Tower</v>
      </c>
      <c r="C1502" s="1" t="s">
        <v>56</v>
      </c>
      <c r="D1502" s="1" t="s">
        <v>41</v>
      </c>
      <c r="E1502" s="3">
        <v>2495000</v>
      </c>
      <c r="F1502" s="1">
        <v>2177.1378708551401</v>
      </c>
      <c r="G1502" s="1">
        <v>3</v>
      </c>
      <c r="H1502" s="1">
        <v>1</v>
      </c>
      <c r="J1502" s="1">
        <v>1</v>
      </c>
      <c r="K1502" s="1">
        <v>1</v>
      </c>
      <c r="M1502" s="4">
        <v>1146</v>
      </c>
      <c r="N1502" s="1">
        <v>1274</v>
      </c>
      <c r="O1502" s="1">
        <v>3852</v>
      </c>
      <c r="P1502" s="1">
        <v>2578</v>
      </c>
      <c r="S1502" s="1" t="s">
        <v>42</v>
      </c>
      <c r="T1502" s="1" t="s">
        <v>273</v>
      </c>
      <c r="U1502" s="1">
        <v>293</v>
      </c>
      <c r="V1502" s="5">
        <v>44415</v>
      </c>
      <c r="W1502" s="5">
        <v>43111</v>
      </c>
      <c r="X1502" s="1">
        <v>3200000</v>
      </c>
      <c r="Y1502" s="1">
        <v>2495000</v>
      </c>
      <c r="Z1502" s="5">
        <v>43404</v>
      </c>
      <c r="AA1502" s="1">
        <v>2495000</v>
      </c>
      <c r="AB1502" s="1" t="s">
        <v>275</v>
      </c>
      <c r="AC1502" s="5">
        <v>44020</v>
      </c>
      <c r="AF1502" s="1">
        <v>10010</v>
      </c>
      <c r="AI1502" s="1" t="s">
        <v>759</v>
      </c>
      <c r="AJ1502" s="1">
        <v>2016</v>
      </c>
      <c r="AK1502" s="1" t="s">
        <v>46</v>
      </c>
      <c r="AL1502" s="1">
        <v>83</v>
      </c>
    </row>
    <row r="1503" spans="1:38" x14ac:dyDescent="0.2">
      <c r="A1503" s="2" t="str">
        <f>HYPERLINK("https://www.compass.com/listing/100-barclay-street-unit-16n-manhattan-ny-10007/4852283303195063057/","100 Barclay St, Unit 16N")</f>
        <v>100 Barclay St, Unit 16N</v>
      </c>
      <c r="B1503" s="2" t="str">
        <f t="shared" ref="B1503:B1510" si="221">HYPERLINK("https://www.compass.com/building/100-barclay-manhattan-ny/281896670466155525/","100 Barclay")</f>
        <v>100 Barclay</v>
      </c>
      <c r="C1503" s="1" t="s">
        <v>50</v>
      </c>
      <c r="D1503" s="1" t="s">
        <v>41</v>
      </c>
      <c r="E1503" s="3">
        <v>3575000</v>
      </c>
      <c r="F1503" s="1">
        <v>1801.9153225806399</v>
      </c>
      <c r="G1503" s="1">
        <v>7</v>
      </c>
      <c r="H1503" s="1">
        <v>3</v>
      </c>
      <c r="I1503" s="1">
        <v>3</v>
      </c>
      <c r="J1503" s="1">
        <v>3</v>
      </c>
      <c r="K1503" s="1">
        <v>3</v>
      </c>
      <c r="M1503" s="4">
        <v>1984</v>
      </c>
      <c r="N1503" s="1">
        <v>2546</v>
      </c>
      <c r="O1503" s="1">
        <v>4980</v>
      </c>
      <c r="P1503" s="1">
        <v>2434</v>
      </c>
      <c r="Q1503" s="1" t="s">
        <v>42</v>
      </c>
      <c r="S1503" s="1" t="s">
        <v>42</v>
      </c>
      <c r="T1503" s="1" t="s">
        <v>273</v>
      </c>
      <c r="V1503" s="5">
        <v>43606</v>
      </c>
      <c r="W1503" s="5">
        <v>42768</v>
      </c>
      <c r="X1503" s="1">
        <v>3900000</v>
      </c>
      <c r="Y1503" s="1">
        <v>3900000</v>
      </c>
      <c r="Z1503" s="5">
        <v>42769</v>
      </c>
      <c r="AA1503" s="1">
        <v>3575000</v>
      </c>
      <c r="AB1503" s="1" t="s">
        <v>667</v>
      </c>
      <c r="AC1503" s="5">
        <v>42902</v>
      </c>
      <c r="AF1503" s="1">
        <v>10007</v>
      </c>
      <c r="AI1503" s="1" t="s">
        <v>52</v>
      </c>
      <c r="AJ1503" s="1">
        <v>1930</v>
      </c>
      <c r="AK1503" s="1" t="s">
        <v>46</v>
      </c>
      <c r="AL1503" s="1">
        <v>156</v>
      </c>
    </row>
    <row r="1504" spans="1:38" x14ac:dyDescent="0.2">
      <c r="A1504" s="2" t="str">
        <f>HYPERLINK("https://www.compass.com/listing/100-barclay-street-unit-14s-manhattan-ny-10007/4852263251611756785/","100 Barclay St, Unit 14S")</f>
        <v>100 Barclay St, Unit 14S</v>
      </c>
      <c r="B1504" s="2" t="str">
        <f t="shared" si="221"/>
        <v>100 Barclay</v>
      </c>
      <c r="C1504" s="1" t="s">
        <v>50</v>
      </c>
      <c r="D1504" s="1" t="s">
        <v>41</v>
      </c>
      <c r="E1504" s="3">
        <v>2672906</v>
      </c>
      <c r="F1504" s="1">
        <v>1462.2024070021801</v>
      </c>
      <c r="G1504" s="1">
        <v>4</v>
      </c>
      <c r="H1504" s="1">
        <v>1</v>
      </c>
      <c r="I1504" s="1">
        <v>2</v>
      </c>
      <c r="J1504" s="1">
        <v>2</v>
      </c>
      <c r="M1504" s="4">
        <v>1828</v>
      </c>
      <c r="N1504" s="1">
        <v>2345</v>
      </c>
      <c r="O1504" s="1">
        <v>4588</v>
      </c>
      <c r="P1504" s="1">
        <v>2243</v>
      </c>
      <c r="Q1504" s="1" t="s">
        <v>42</v>
      </c>
      <c r="S1504" s="1" t="s">
        <v>42</v>
      </c>
      <c r="T1504" s="1" t="s">
        <v>273</v>
      </c>
      <c r="V1504" s="5">
        <v>43623</v>
      </c>
      <c r="W1504" s="5">
        <v>42477</v>
      </c>
      <c r="X1504" s="1">
        <v>2731500</v>
      </c>
      <c r="Y1504" s="1">
        <v>2731500</v>
      </c>
      <c r="Z1504" s="5">
        <v>42477</v>
      </c>
      <c r="AA1504" s="1">
        <v>2672906</v>
      </c>
      <c r="AB1504" s="1" t="s">
        <v>760</v>
      </c>
      <c r="AC1504" s="5">
        <v>42698</v>
      </c>
      <c r="AF1504" s="1">
        <v>10007</v>
      </c>
      <c r="AI1504" s="1" t="s">
        <v>52</v>
      </c>
      <c r="AJ1504" s="1">
        <v>1930</v>
      </c>
      <c r="AK1504" s="1" t="s">
        <v>46</v>
      </c>
      <c r="AL1504" s="1">
        <v>156</v>
      </c>
    </row>
    <row r="1505" spans="1:38" x14ac:dyDescent="0.2">
      <c r="A1505" s="2" t="str">
        <f>HYPERLINK("https://www.compass.com/listing/100-barclay-street-unit-29d-manhattan-ny-10007/4852264157531078785/","100 Barclay St, Unit 29D")</f>
        <v>100 Barclay St, Unit 29D</v>
      </c>
      <c r="B1505" s="2" t="str">
        <f t="shared" si="221"/>
        <v>100 Barclay</v>
      </c>
      <c r="C1505" s="1" t="s">
        <v>50</v>
      </c>
      <c r="D1505" s="1" t="s">
        <v>41</v>
      </c>
      <c r="E1505" s="3">
        <v>5376360</v>
      </c>
      <c r="F1505" s="1">
        <v>2299.55517536355</v>
      </c>
      <c r="G1505" s="1">
        <v>6</v>
      </c>
      <c r="H1505" s="1">
        <v>3</v>
      </c>
      <c r="I1505" s="1">
        <v>3</v>
      </c>
      <c r="J1505" s="1">
        <v>3</v>
      </c>
      <c r="K1505" s="1">
        <v>3</v>
      </c>
      <c r="M1505" s="4">
        <v>2338</v>
      </c>
      <c r="N1505" s="1">
        <v>3000</v>
      </c>
      <c r="O1505" s="1">
        <v>5869</v>
      </c>
      <c r="P1505" s="1">
        <v>2869</v>
      </c>
      <c r="Q1505" s="1" t="s">
        <v>42</v>
      </c>
      <c r="S1505" s="1" t="s">
        <v>42</v>
      </c>
      <c r="T1505" s="1" t="s">
        <v>273</v>
      </c>
      <c r="U1505" s="1">
        <v>95</v>
      </c>
      <c r="V1505" s="5">
        <v>43623</v>
      </c>
      <c r="W1505" s="5">
        <v>42644</v>
      </c>
      <c r="X1505" s="1">
        <v>5500000</v>
      </c>
      <c r="Y1505" s="1">
        <v>5500000</v>
      </c>
      <c r="Z1505" s="5">
        <v>42739</v>
      </c>
      <c r="AA1505" s="1">
        <v>5376360</v>
      </c>
      <c r="AB1505" s="1" t="s">
        <v>761</v>
      </c>
      <c r="AC1505" s="5">
        <v>42752</v>
      </c>
      <c r="AF1505" s="1">
        <v>10007</v>
      </c>
      <c r="AI1505" s="1" t="s">
        <v>52</v>
      </c>
      <c r="AJ1505" s="1">
        <v>1930</v>
      </c>
      <c r="AK1505" s="1" t="s">
        <v>46</v>
      </c>
      <c r="AL1505" s="1">
        <v>156</v>
      </c>
    </row>
    <row r="1506" spans="1:38" x14ac:dyDescent="0.2">
      <c r="A1506" s="2" t="str">
        <f>HYPERLINK("https://www.compass.com/listing/100-barclay-street-unit-29b-manhattan-ny-10007/4852279220887362081/","100 Barclay St, Unit 29B")</f>
        <v>100 Barclay St, Unit 29B</v>
      </c>
      <c r="B1506" s="2" t="str">
        <f t="shared" si="221"/>
        <v>100 Barclay</v>
      </c>
      <c r="C1506" s="1" t="s">
        <v>50</v>
      </c>
      <c r="D1506" s="1" t="s">
        <v>41</v>
      </c>
      <c r="E1506" s="3">
        <v>8196913</v>
      </c>
      <c r="F1506" s="1">
        <v>2856.0672473867498</v>
      </c>
      <c r="G1506" s="1">
        <v>7</v>
      </c>
      <c r="H1506" s="1">
        <v>3</v>
      </c>
      <c r="I1506" s="1">
        <v>4</v>
      </c>
      <c r="J1506" s="1">
        <v>4</v>
      </c>
      <c r="M1506" s="4">
        <v>2870</v>
      </c>
      <c r="N1506" s="1">
        <v>3584</v>
      </c>
      <c r="O1506" s="1">
        <v>7100</v>
      </c>
      <c r="P1506" s="1">
        <v>3516</v>
      </c>
      <c r="Q1506" s="1" t="s">
        <v>42</v>
      </c>
      <c r="S1506" s="1" t="s">
        <v>42</v>
      </c>
      <c r="T1506" s="1" t="s">
        <v>273</v>
      </c>
      <c r="V1506" s="5">
        <v>43623</v>
      </c>
      <c r="W1506" s="5">
        <v>42182</v>
      </c>
      <c r="X1506" s="1">
        <v>8050000</v>
      </c>
      <c r="Y1506" s="1">
        <v>8050000</v>
      </c>
      <c r="Z1506" s="5">
        <v>42182</v>
      </c>
      <c r="AA1506" s="1">
        <v>8196913</v>
      </c>
      <c r="AB1506" s="1" t="s">
        <v>762</v>
      </c>
      <c r="AC1506" s="5">
        <v>42523</v>
      </c>
      <c r="AF1506" s="1">
        <v>10007</v>
      </c>
      <c r="AI1506" s="1" t="s">
        <v>52</v>
      </c>
      <c r="AJ1506" s="1">
        <v>1930</v>
      </c>
      <c r="AK1506" s="1" t="s">
        <v>49</v>
      </c>
      <c r="AL1506" s="1">
        <v>156</v>
      </c>
    </row>
    <row r="1507" spans="1:38" x14ac:dyDescent="0.2">
      <c r="A1507" s="2" t="str">
        <f>HYPERLINK("https://www.compass.com/listing/100-barclay-street-unit-28c-manhattan-ny-10007/803359696769667361/","100 Barclay St, Unit 28C")</f>
        <v>100 Barclay St, Unit 28C</v>
      </c>
      <c r="B1507" s="2" t="str">
        <f t="shared" si="221"/>
        <v>100 Barclay</v>
      </c>
      <c r="C1507" s="1" t="s">
        <v>50</v>
      </c>
      <c r="D1507" s="1" t="s">
        <v>41</v>
      </c>
      <c r="E1507" s="3">
        <v>6150000</v>
      </c>
      <c r="F1507" s="1">
        <v>2267.69911504424</v>
      </c>
      <c r="G1507" s="1">
        <v>5</v>
      </c>
      <c r="H1507" s="1">
        <v>4</v>
      </c>
      <c r="I1507" s="1">
        <v>4</v>
      </c>
      <c r="J1507" s="1">
        <v>4</v>
      </c>
      <c r="M1507" s="4">
        <v>2712</v>
      </c>
      <c r="N1507" s="1">
        <v>3480</v>
      </c>
      <c r="O1507" s="1">
        <v>6808</v>
      </c>
      <c r="P1507" s="1">
        <v>3328</v>
      </c>
      <c r="Q1507" s="1" t="s">
        <v>42</v>
      </c>
      <c r="S1507" s="1" t="s">
        <v>42</v>
      </c>
      <c r="T1507" s="1" t="s">
        <v>273</v>
      </c>
      <c r="V1507" s="5">
        <v>42978</v>
      </c>
      <c r="W1507" s="5">
        <v>42194</v>
      </c>
      <c r="X1507" s="1">
        <v>7075000</v>
      </c>
      <c r="Y1507" s="1">
        <v>7075000</v>
      </c>
      <c r="Z1507" s="5">
        <v>42195</v>
      </c>
      <c r="AA1507" s="1">
        <v>6150000</v>
      </c>
      <c r="AB1507" s="1" t="s">
        <v>716</v>
      </c>
      <c r="AC1507" s="5">
        <v>42870</v>
      </c>
      <c r="AF1507" s="1">
        <v>10007</v>
      </c>
      <c r="AI1507" s="1" t="s">
        <v>52</v>
      </c>
      <c r="AJ1507" s="1">
        <v>1930</v>
      </c>
      <c r="AK1507" s="1" t="s">
        <v>49</v>
      </c>
      <c r="AL1507" s="1">
        <v>156</v>
      </c>
    </row>
    <row r="1508" spans="1:38" x14ac:dyDescent="0.2">
      <c r="A1508" s="2" t="str">
        <f>HYPERLINK("https://www.compass.com/listing/100-barclay-street-unit-11q-manhattan-ny-10007/18882319670638641/","100 Barclay St, Unit 11Q")</f>
        <v>100 Barclay St, Unit 11Q</v>
      </c>
      <c r="B1508" s="2" t="str">
        <f t="shared" si="221"/>
        <v>100 Barclay</v>
      </c>
      <c r="C1508" s="1" t="s">
        <v>50</v>
      </c>
      <c r="D1508" s="1" t="s">
        <v>41</v>
      </c>
      <c r="E1508" s="3">
        <v>4750000</v>
      </c>
      <c r="F1508" s="1">
        <v>2302.4721279689702</v>
      </c>
      <c r="G1508" s="1">
        <v>5</v>
      </c>
      <c r="H1508" s="1">
        <v>3</v>
      </c>
      <c r="I1508" s="1">
        <v>4</v>
      </c>
      <c r="J1508" s="1">
        <v>3.5</v>
      </c>
      <c r="K1508" s="1">
        <v>3</v>
      </c>
      <c r="L1508" s="1">
        <v>1</v>
      </c>
      <c r="M1508" s="4">
        <v>2063</v>
      </c>
      <c r="N1508" s="1">
        <v>2739</v>
      </c>
      <c r="O1508" s="1">
        <v>5624</v>
      </c>
      <c r="P1508" s="1">
        <v>2885</v>
      </c>
      <c r="Q1508" s="1" t="s">
        <v>42</v>
      </c>
      <c r="S1508" s="1" t="s">
        <v>42</v>
      </c>
      <c r="T1508" s="1" t="s">
        <v>273</v>
      </c>
      <c r="U1508" s="1">
        <v>108</v>
      </c>
      <c r="V1508" s="5">
        <v>43670</v>
      </c>
      <c r="W1508" s="5">
        <v>43365</v>
      </c>
      <c r="X1508" s="1">
        <v>5175000</v>
      </c>
      <c r="Y1508" s="1">
        <v>4995000</v>
      </c>
      <c r="Z1508" s="5">
        <v>43473</v>
      </c>
      <c r="AA1508" s="1">
        <v>4750000</v>
      </c>
      <c r="AB1508" s="1" t="s">
        <v>763</v>
      </c>
      <c r="AC1508" s="5">
        <v>43490</v>
      </c>
      <c r="AF1508" s="1">
        <v>10007</v>
      </c>
      <c r="AI1508" s="1" t="s">
        <v>764</v>
      </c>
      <c r="AJ1508" s="1">
        <v>1930</v>
      </c>
      <c r="AK1508" s="1" t="s">
        <v>46</v>
      </c>
      <c r="AL1508" s="1">
        <v>156</v>
      </c>
    </row>
    <row r="1509" spans="1:38" x14ac:dyDescent="0.2">
      <c r="A1509" s="2" t="str">
        <f>HYPERLINK("https://www.compass.com/listing/100-barclay-street-unit-16p-manhattan-ny-10007/4771238350428328913/","100 Barclay St, Unit 16P")</f>
        <v>100 Barclay St, Unit 16P</v>
      </c>
      <c r="B1509" s="2" t="str">
        <f t="shared" si="221"/>
        <v>100 Barclay</v>
      </c>
      <c r="C1509" s="1" t="s">
        <v>50</v>
      </c>
      <c r="D1509" s="1" t="s">
        <v>41</v>
      </c>
      <c r="E1509" s="3">
        <v>6400000</v>
      </c>
      <c r="F1509" s="1">
        <v>2115.70247933884</v>
      </c>
      <c r="G1509" s="1">
        <v>7</v>
      </c>
      <c r="H1509" s="1">
        <v>4</v>
      </c>
      <c r="I1509" s="1">
        <v>5</v>
      </c>
      <c r="J1509" s="1">
        <v>5</v>
      </c>
      <c r="K1509" s="1">
        <v>5</v>
      </c>
      <c r="M1509" s="4">
        <v>3025</v>
      </c>
      <c r="N1509" s="1">
        <v>3786</v>
      </c>
      <c r="O1509" s="1">
        <v>7895</v>
      </c>
      <c r="P1509" s="1">
        <v>4109</v>
      </c>
      <c r="Q1509" s="1" t="s">
        <v>42</v>
      </c>
      <c r="S1509" s="1" t="s">
        <v>42</v>
      </c>
      <c r="T1509" s="1" t="s">
        <v>273</v>
      </c>
      <c r="U1509" s="1">
        <v>86</v>
      </c>
      <c r="V1509" s="5">
        <v>43623</v>
      </c>
      <c r="W1509" s="5">
        <v>42864</v>
      </c>
      <c r="X1509" s="1">
        <v>7000000</v>
      </c>
      <c r="Y1509" s="1">
        <v>7000000</v>
      </c>
      <c r="Z1509" s="5">
        <v>43022</v>
      </c>
      <c r="AA1509" s="1">
        <v>6400000</v>
      </c>
      <c r="AB1509" s="1" t="s">
        <v>765</v>
      </c>
      <c r="AC1509" s="5">
        <v>43088</v>
      </c>
      <c r="AF1509" s="1">
        <v>10007</v>
      </c>
      <c r="AI1509" s="1" t="s">
        <v>103</v>
      </c>
      <c r="AJ1509" s="1">
        <v>1930</v>
      </c>
      <c r="AK1509" s="1" t="s">
        <v>46</v>
      </c>
      <c r="AL1509" s="1">
        <v>156</v>
      </c>
    </row>
    <row r="1510" spans="1:38" x14ac:dyDescent="0.2">
      <c r="A1510" s="2" t="str">
        <f>HYPERLINK("https://www.compass.com/listing/100-barclay-street-unit-17p-manhattan-ny-10007/803303943765660201/","100 Barclay St, Unit 17P")</f>
        <v>100 Barclay St, Unit 17P</v>
      </c>
      <c r="B1510" s="2" t="str">
        <f t="shared" si="221"/>
        <v>100 Barclay</v>
      </c>
      <c r="C1510" s="1" t="s">
        <v>50</v>
      </c>
      <c r="D1510" s="1" t="s">
        <v>41</v>
      </c>
      <c r="E1510" s="3">
        <v>6995000</v>
      </c>
      <c r="F1510" s="1">
        <v>2312.39669421487</v>
      </c>
      <c r="G1510" s="1">
        <v>6</v>
      </c>
      <c r="H1510" s="1">
        <v>4</v>
      </c>
      <c r="I1510" s="1">
        <v>5</v>
      </c>
      <c r="J1510" s="1">
        <v>5</v>
      </c>
      <c r="K1510" s="1">
        <v>5</v>
      </c>
      <c r="M1510" s="4">
        <v>3025</v>
      </c>
      <c r="N1510" s="1">
        <v>3739</v>
      </c>
      <c r="O1510" s="1">
        <v>7801</v>
      </c>
      <c r="P1510" s="1">
        <v>4062</v>
      </c>
      <c r="Q1510" s="1" t="s">
        <v>42</v>
      </c>
      <c r="S1510" s="1" t="s">
        <v>42</v>
      </c>
      <c r="T1510" s="1" t="s">
        <v>273</v>
      </c>
      <c r="V1510" s="5">
        <v>43077</v>
      </c>
      <c r="W1510" s="5">
        <v>42902</v>
      </c>
      <c r="X1510" s="1">
        <v>6995000</v>
      </c>
      <c r="Y1510" s="1">
        <v>6995000</v>
      </c>
      <c r="AB1510" s="1" t="s">
        <v>275</v>
      </c>
      <c r="AC1510" s="5">
        <v>42902</v>
      </c>
      <c r="AF1510" s="1">
        <v>10007</v>
      </c>
      <c r="AI1510" s="1" t="s">
        <v>52</v>
      </c>
      <c r="AJ1510" s="1">
        <v>1930</v>
      </c>
      <c r="AK1510" s="1" t="s">
        <v>46</v>
      </c>
      <c r="AL1510" s="1">
        <v>156</v>
      </c>
    </row>
    <row r="1511" spans="1:38" x14ac:dyDescent="0.2">
      <c r="A1511" s="2" t="str">
        <f>HYPERLINK("https://www.compass.com/listing/559-west-23rd-street-unit-ph11-manhattan-ny-10011/29369738383704401/","559 W 23rd St, Unit PH11")</f>
        <v>559 W 23rd St, Unit PH11</v>
      </c>
      <c r="B1511" s="2" t="str">
        <f>HYPERLINK("https://www.compass.com/building/chelsea-waterside-residences-manhattan-ny/281911750683552581/","Chelsea Waterside Residences")</f>
        <v>Chelsea Waterside Residences</v>
      </c>
      <c r="C1511" s="1" t="s">
        <v>62</v>
      </c>
      <c r="D1511" s="1" t="s">
        <v>41</v>
      </c>
      <c r="E1511" s="3">
        <v>4600000</v>
      </c>
      <c r="F1511" s="1">
        <v>2606.23229461756</v>
      </c>
      <c r="G1511" s="1">
        <v>5</v>
      </c>
      <c r="H1511" s="1">
        <v>3</v>
      </c>
      <c r="I1511" s="1">
        <v>2</v>
      </c>
      <c r="J1511" s="1">
        <v>2</v>
      </c>
      <c r="K1511" s="1">
        <v>2</v>
      </c>
      <c r="M1511" s="4">
        <v>1765</v>
      </c>
      <c r="N1511" s="1">
        <v>1572</v>
      </c>
      <c r="O1511" s="1">
        <v>4467</v>
      </c>
      <c r="P1511" s="1">
        <v>2895</v>
      </c>
      <c r="Q1511" s="1" t="s">
        <v>42</v>
      </c>
      <c r="S1511" s="1" t="s">
        <v>42</v>
      </c>
      <c r="T1511" s="1" t="s">
        <v>273</v>
      </c>
      <c r="U1511" s="1">
        <v>131</v>
      </c>
      <c r="V1511" s="5">
        <v>43672</v>
      </c>
      <c r="W1511" s="5">
        <v>42451</v>
      </c>
      <c r="X1511" s="1">
        <v>5250000</v>
      </c>
      <c r="Y1511" s="1">
        <v>4950000</v>
      </c>
      <c r="Z1511" s="5">
        <v>42676</v>
      </c>
      <c r="AA1511" s="1">
        <v>4600000</v>
      </c>
      <c r="AB1511" s="1" t="s">
        <v>766</v>
      </c>
      <c r="AC1511" s="5">
        <v>42703</v>
      </c>
      <c r="AF1511" s="1">
        <v>10011</v>
      </c>
      <c r="AI1511" s="1" t="s">
        <v>767</v>
      </c>
      <c r="AJ1511" s="1">
        <v>2015</v>
      </c>
      <c r="AK1511" s="1" t="s">
        <v>143</v>
      </c>
      <c r="AL1511" s="1">
        <v>8</v>
      </c>
    </row>
    <row r="1512" spans="1:38" x14ac:dyDescent="0.2">
      <c r="A1512" s="2" t="str">
        <f>HYPERLINK("https://www.compass.com/listing/100-barclay-street-unit-14a-manhattan-ny-10007/29513629107750673/","100 Barclay St, Unit 14A")</f>
        <v>100 Barclay St, Unit 14A</v>
      </c>
      <c r="B1512" s="2" t="str">
        <f t="shared" ref="B1512:B1513" si="222">HYPERLINK("https://www.compass.com/building/100-barclay-manhattan-ny/281896670466155525/","100 Barclay")</f>
        <v>100 Barclay</v>
      </c>
      <c r="C1512" s="1" t="s">
        <v>50</v>
      </c>
      <c r="D1512" s="1" t="s">
        <v>41</v>
      </c>
      <c r="E1512" s="3">
        <v>5600000</v>
      </c>
      <c r="F1512" s="1">
        <v>2102.8914757791899</v>
      </c>
      <c r="G1512" s="1">
        <v>7</v>
      </c>
      <c r="H1512" s="1">
        <v>4</v>
      </c>
      <c r="I1512" s="1">
        <v>5</v>
      </c>
      <c r="J1512" s="1">
        <v>4.5</v>
      </c>
      <c r="M1512" s="4">
        <v>2663</v>
      </c>
      <c r="N1512" s="1">
        <v>3417</v>
      </c>
      <c r="O1512" s="1">
        <v>6684</v>
      </c>
      <c r="P1512" s="1">
        <v>3267</v>
      </c>
      <c r="Q1512" s="1" t="s">
        <v>42</v>
      </c>
      <c r="S1512" s="1" t="s">
        <v>42</v>
      </c>
      <c r="T1512" s="1" t="s">
        <v>273</v>
      </c>
      <c r="V1512" s="5">
        <v>43623</v>
      </c>
      <c r="W1512" s="5">
        <v>42459</v>
      </c>
      <c r="X1512" s="1">
        <v>6046500</v>
      </c>
      <c r="Y1512" s="1">
        <v>6046500</v>
      </c>
      <c r="Z1512" s="5">
        <v>42459</v>
      </c>
      <c r="AA1512" s="1">
        <v>5600000</v>
      </c>
      <c r="AB1512" s="1" t="s">
        <v>275</v>
      </c>
      <c r="AC1512" s="5">
        <v>42704</v>
      </c>
      <c r="AF1512" s="1">
        <v>10007</v>
      </c>
      <c r="AI1512" s="1" t="s">
        <v>52</v>
      </c>
      <c r="AJ1512" s="1">
        <v>1930</v>
      </c>
      <c r="AK1512" s="1" t="s">
        <v>46</v>
      </c>
      <c r="AL1512" s="1">
        <v>156</v>
      </c>
    </row>
    <row r="1513" spans="1:38" x14ac:dyDescent="0.2">
      <c r="A1513" s="2" t="str">
        <f>HYPERLINK("https://www.compass.com/listing/100-barclay-street-unit-24d-manhattan-ny-10007/4852282221358226289/","100 Barclay St, Unit 24D")</f>
        <v>100 Barclay St, Unit 24D</v>
      </c>
      <c r="B1513" s="2" t="str">
        <f t="shared" si="222"/>
        <v>100 Barclay</v>
      </c>
      <c r="C1513" s="1" t="s">
        <v>50</v>
      </c>
      <c r="D1513" s="1" t="s">
        <v>41</v>
      </c>
      <c r="E1513" s="3">
        <v>5078522</v>
      </c>
      <c r="F1513" s="1">
        <v>2172.1650983746699</v>
      </c>
      <c r="G1513" s="1">
        <v>5</v>
      </c>
      <c r="H1513" s="1">
        <v>3</v>
      </c>
      <c r="I1513" s="1">
        <v>3</v>
      </c>
      <c r="J1513" s="1">
        <v>3.5</v>
      </c>
      <c r="K1513" s="1">
        <v>3</v>
      </c>
      <c r="L1513" s="1">
        <v>1</v>
      </c>
      <c r="M1513" s="4">
        <v>2338</v>
      </c>
      <c r="N1513" s="1">
        <v>3000</v>
      </c>
      <c r="O1513" s="1">
        <v>5869</v>
      </c>
      <c r="P1513" s="1">
        <v>2869</v>
      </c>
      <c r="Q1513" s="1" t="s">
        <v>42</v>
      </c>
      <c r="S1513" s="1" t="s">
        <v>42</v>
      </c>
      <c r="T1513" s="1" t="s">
        <v>273</v>
      </c>
      <c r="U1513" s="1">
        <v>148</v>
      </c>
      <c r="V1513" s="5">
        <v>43623</v>
      </c>
      <c r="W1513" s="5">
        <v>42493</v>
      </c>
      <c r="X1513" s="1">
        <v>5250000</v>
      </c>
      <c r="Y1513" s="1">
        <v>5250000</v>
      </c>
      <c r="Z1513" s="5">
        <v>42641</v>
      </c>
      <c r="AA1513" s="1">
        <v>5078522</v>
      </c>
      <c r="AB1513" s="1" t="s">
        <v>768</v>
      </c>
      <c r="AC1513" s="5">
        <v>42663</v>
      </c>
      <c r="AF1513" s="1">
        <v>10007</v>
      </c>
      <c r="AI1513" s="1" t="s">
        <v>52</v>
      </c>
      <c r="AJ1513" s="1">
        <v>1930</v>
      </c>
      <c r="AK1513" s="1" t="s">
        <v>46</v>
      </c>
      <c r="AL1513" s="1">
        <v>156</v>
      </c>
    </row>
    <row r="1514" spans="1:38" x14ac:dyDescent="0.2">
      <c r="A1514" s="2" t="str">
        <f>HYPERLINK("https://www.compass.com/listing/45-east-22nd-street-unit-19a-manhattan-ny-10010/29375852806435009/","45 E 22nd St, Unit 19A")</f>
        <v>45 E 22nd St, Unit 19A</v>
      </c>
      <c r="B1514" s="2" t="str">
        <f>HYPERLINK("https://www.compass.com/building/madison-square-park-tower-manhattan-ny/281903584482705973/","Madison Square Park Tower")</f>
        <v>Madison Square Park Tower</v>
      </c>
      <c r="C1514" s="1" t="s">
        <v>56</v>
      </c>
      <c r="D1514" s="1" t="s">
        <v>41</v>
      </c>
      <c r="E1514" s="3">
        <v>5954820</v>
      </c>
      <c r="F1514" s="1">
        <v>2782.6261682242898</v>
      </c>
      <c r="G1514" s="1">
        <v>5</v>
      </c>
      <c r="H1514" s="1">
        <v>3</v>
      </c>
      <c r="I1514" s="1">
        <v>3</v>
      </c>
      <c r="J1514" s="1">
        <v>3</v>
      </c>
      <c r="M1514" s="4">
        <v>2140</v>
      </c>
      <c r="N1514" s="1">
        <v>2323</v>
      </c>
      <c r="O1514" s="1">
        <v>5856</v>
      </c>
      <c r="P1514" s="1">
        <v>3533</v>
      </c>
      <c r="Q1514" s="1" t="s">
        <v>42</v>
      </c>
      <c r="S1514" s="1" t="s">
        <v>42</v>
      </c>
      <c r="T1514" s="1" t="s">
        <v>273</v>
      </c>
      <c r="U1514" s="1">
        <v>77</v>
      </c>
      <c r="V1514" s="5">
        <v>43650</v>
      </c>
      <c r="W1514" s="5">
        <v>42788</v>
      </c>
      <c r="X1514" s="1">
        <v>5820000</v>
      </c>
      <c r="Y1514" s="1">
        <v>5820000</v>
      </c>
      <c r="Z1514" s="5">
        <v>42865</v>
      </c>
      <c r="AA1514" s="1">
        <v>5954820</v>
      </c>
      <c r="AB1514" s="1" t="s">
        <v>769</v>
      </c>
      <c r="AC1514" s="5">
        <v>42963</v>
      </c>
      <c r="AF1514" s="1">
        <v>10010</v>
      </c>
      <c r="AI1514" s="1" t="s">
        <v>48</v>
      </c>
      <c r="AJ1514" s="1">
        <v>2016</v>
      </c>
      <c r="AK1514" s="1" t="s">
        <v>49</v>
      </c>
      <c r="AL1514" s="1">
        <v>83</v>
      </c>
    </row>
    <row r="1515" spans="1:38" x14ac:dyDescent="0.2">
      <c r="A1515" s="2" t="str">
        <f>HYPERLINK("https://www.compass.com/listing/100-barclay-street-unit-11c-manhattan-ny-10007/4852309073367938801/","100 Barclay St, Unit 11C")</f>
        <v>100 Barclay St, Unit 11C</v>
      </c>
      <c r="B1515" s="2" t="str">
        <f>HYPERLINK("https://www.compass.com/building/100-barclay-manhattan-ny/281896670466155525/","100 Barclay")</f>
        <v>100 Barclay</v>
      </c>
      <c r="C1515" s="1" t="s">
        <v>50</v>
      </c>
      <c r="D1515" s="1" t="s">
        <v>41</v>
      </c>
      <c r="E1515" s="3">
        <v>1934675</v>
      </c>
      <c r="F1515" s="1">
        <v>1840.7944814462401</v>
      </c>
      <c r="G1515" s="1">
        <v>4</v>
      </c>
      <c r="H1515" s="1">
        <v>1</v>
      </c>
      <c r="I1515" s="1">
        <v>1</v>
      </c>
      <c r="J1515" s="1">
        <v>1</v>
      </c>
      <c r="M1515" s="4">
        <v>1051</v>
      </c>
      <c r="N1515" s="1">
        <v>1430</v>
      </c>
      <c r="O1515" s="1">
        <v>2798</v>
      </c>
      <c r="P1515" s="1">
        <v>1368</v>
      </c>
      <c r="Q1515" s="1" t="s">
        <v>42</v>
      </c>
      <c r="S1515" s="1" t="s">
        <v>42</v>
      </c>
      <c r="T1515" s="1" t="s">
        <v>273</v>
      </c>
      <c r="V1515" s="5">
        <v>43629</v>
      </c>
      <c r="W1515" s="5">
        <v>42477</v>
      </c>
      <c r="X1515" s="1">
        <v>1964500</v>
      </c>
      <c r="Y1515" s="1">
        <v>1964500</v>
      </c>
      <c r="Z1515" s="5">
        <v>42477</v>
      </c>
      <c r="AA1515" s="1">
        <v>1934675</v>
      </c>
      <c r="AB1515" s="1" t="s">
        <v>770</v>
      </c>
      <c r="AC1515" s="5">
        <v>42797</v>
      </c>
      <c r="AF1515" s="1">
        <v>10007</v>
      </c>
      <c r="AI1515" s="1" t="s">
        <v>133</v>
      </c>
      <c r="AJ1515" s="1">
        <v>1930</v>
      </c>
      <c r="AK1515" s="1" t="s">
        <v>49</v>
      </c>
      <c r="AL1515" s="1">
        <v>156</v>
      </c>
    </row>
    <row r="1516" spans="1:38" x14ac:dyDescent="0.2">
      <c r="A1516" s="2" t="str">
        <f>HYPERLINK("https://www.compass.com/listing/211-west-14th-street-unit-th-manhattan-ny-10011/4703705670019479057/","211 W 14th St")</f>
        <v>211 W 14th St</v>
      </c>
      <c r="B1516" s="2" t="str">
        <f>HYPERLINK("https://www.compass.com/building/dorsay-manhattan-ny/292801633543285477/","d'Orsay")</f>
        <v>d'Orsay</v>
      </c>
      <c r="C1516" s="1" t="s">
        <v>62</v>
      </c>
      <c r="D1516" s="1" t="s">
        <v>41</v>
      </c>
      <c r="E1516" s="3">
        <v>4700000</v>
      </c>
      <c r="F1516" s="1">
        <v>2258.5295530994699</v>
      </c>
      <c r="G1516" s="1">
        <v>5.5</v>
      </c>
      <c r="H1516" s="1">
        <v>3</v>
      </c>
      <c r="I1516" s="1">
        <v>4</v>
      </c>
      <c r="J1516" s="1">
        <v>3.5</v>
      </c>
      <c r="K1516" s="1">
        <v>3</v>
      </c>
      <c r="L1516" s="1">
        <v>1</v>
      </c>
      <c r="M1516" s="4">
        <v>2081</v>
      </c>
      <c r="N1516" s="1">
        <v>4564.3999999999996</v>
      </c>
      <c r="O1516" s="1">
        <v>7799.7</v>
      </c>
      <c r="P1516" s="1">
        <v>3235.3333333333298</v>
      </c>
      <c r="Q1516" s="1" t="s">
        <v>42</v>
      </c>
      <c r="S1516" s="1" t="s">
        <v>42</v>
      </c>
      <c r="T1516" s="1" t="s">
        <v>273</v>
      </c>
      <c r="U1516" s="1">
        <v>256</v>
      </c>
      <c r="V1516" s="5">
        <v>43750</v>
      </c>
      <c r="W1516" s="5">
        <v>43404</v>
      </c>
      <c r="X1516" s="1">
        <v>5350000</v>
      </c>
      <c r="Y1516" s="1">
        <v>4950000</v>
      </c>
      <c r="Z1516" s="5">
        <v>43660</v>
      </c>
      <c r="AA1516" s="1">
        <v>4700000</v>
      </c>
      <c r="AB1516" s="1" t="s">
        <v>771</v>
      </c>
      <c r="AC1516" s="5">
        <v>43682</v>
      </c>
      <c r="AF1516" s="1">
        <v>10011</v>
      </c>
      <c r="AI1516" s="1" t="s">
        <v>211</v>
      </c>
      <c r="AJ1516" s="1">
        <v>2018</v>
      </c>
      <c r="AK1516" s="1" t="s">
        <v>46</v>
      </c>
      <c r="AL1516" s="1">
        <v>21</v>
      </c>
    </row>
    <row r="1517" spans="1:38" x14ac:dyDescent="0.2">
      <c r="A1517" s="2" t="str">
        <f>HYPERLINK("https://www.compass.com/listing/49-chambers-street-unit-11b-manhattan-ny-10007/493034373678388449/","49 Chambers St, Unit 11B")</f>
        <v>49 Chambers St, Unit 11B</v>
      </c>
      <c r="B1517" s="2" t="str">
        <f>HYPERLINK("https://www.compass.com/building/49-chambers-manhattan-ny/282058733280852725/","49 Chambers")</f>
        <v>49 Chambers</v>
      </c>
      <c r="C1517" s="1" t="s">
        <v>50</v>
      </c>
      <c r="D1517" s="1" t="s">
        <v>41</v>
      </c>
      <c r="E1517" s="3">
        <v>2890000</v>
      </c>
      <c r="F1517" s="1">
        <v>1651.42857142857</v>
      </c>
      <c r="H1517" s="1">
        <v>2</v>
      </c>
      <c r="J1517" s="1">
        <v>2.5</v>
      </c>
      <c r="M1517" s="4">
        <v>1750</v>
      </c>
      <c r="N1517" s="1">
        <v>1235</v>
      </c>
      <c r="O1517" s="1">
        <v>3725</v>
      </c>
      <c r="P1517" s="1">
        <v>2490</v>
      </c>
      <c r="S1517" s="1" t="s">
        <v>42</v>
      </c>
      <c r="T1517" s="1" t="s">
        <v>273</v>
      </c>
      <c r="V1517" s="5">
        <v>44248</v>
      </c>
      <c r="W1517" s="5">
        <v>43932</v>
      </c>
      <c r="X1517" s="1">
        <v>2890000</v>
      </c>
      <c r="AB1517" s="1" t="s">
        <v>275</v>
      </c>
      <c r="AF1517" s="1">
        <v>10007</v>
      </c>
      <c r="AI1517" s="1" t="s">
        <v>114</v>
      </c>
      <c r="AJ1517" s="1">
        <v>1910</v>
      </c>
      <c r="AK1517" s="1" t="s">
        <v>202</v>
      </c>
      <c r="AL1517" s="1">
        <v>99</v>
      </c>
    </row>
    <row r="1518" spans="1:38" x14ac:dyDescent="0.2">
      <c r="A1518" s="2" t="str">
        <f>HYPERLINK("https://www.compass.com/listing/45-east-22nd-street-unit-55-manhattan-ny-10010/29514227333061569/","45 E 22nd St, Unit 55")</f>
        <v>45 E 22nd St, Unit 55</v>
      </c>
      <c r="B1518" s="2" t="str">
        <f t="shared" ref="B1518:B1522" si="223">HYPERLINK("https://www.compass.com/building/madison-square-park-tower-manhattan-ny/281903584482705973/","Madison Square Park Tower")</f>
        <v>Madison Square Park Tower</v>
      </c>
      <c r="C1518" s="1" t="s">
        <v>56</v>
      </c>
      <c r="D1518" s="1" t="s">
        <v>41</v>
      </c>
      <c r="E1518" s="3">
        <v>15995000</v>
      </c>
      <c r="F1518" s="1">
        <v>3439.0453665878299</v>
      </c>
      <c r="G1518" s="1">
        <v>9</v>
      </c>
      <c r="H1518" s="1">
        <v>4</v>
      </c>
      <c r="I1518" s="1">
        <v>5</v>
      </c>
      <c r="J1518" s="1">
        <v>4.5</v>
      </c>
      <c r="K1518" s="1">
        <v>4</v>
      </c>
      <c r="L1518" s="1">
        <v>1</v>
      </c>
      <c r="M1518" s="4">
        <v>4651</v>
      </c>
      <c r="N1518" s="1">
        <v>5876</v>
      </c>
      <c r="O1518" s="1">
        <v>14815</v>
      </c>
      <c r="P1518" s="1">
        <v>8939</v>
      </c>
      <c r="Q1518" s="1" t="s">
        <v>42</v>
      </c>
      <c r="S1518" s="1" t="s">
        <v>42</v>
      </c>
      <c r="T1518" s="1" t="s">
        <v>273</v>
      </c>
      <c r="U1518" s="1">
        <v>147</v>
      </c>
      <c r="V1518" s="5">
        <v>43648</v>
      </c>
      <c r="W1518" s="5">
        <v>43097</v>
      </c>
      <c r="X1518" s="1">
        <v>18995000</v>
      </c>
      <c r="Y1518" s="1">
        <v>15995000</v>
      </c>
      <c r="Z1518" s="5">
        <v>43244</v>
      </c>
      <c r="AA1518" s="1">
        <v>15995000</v>
      </c>
      <c r="AB1518" s="1" t="s">
        <v>275</v>
      </c>
      <c r="AC1518" s="5">
        <v>43482</v>
      </c>
      <c r="AF1518" s="1">
        <v>10010</v>
      </c>
      <c r="AI1518" s="1" t="s">
        <v>48</v>
      </c>
      <c r="AJ1518" s="1">
        <v>2016</v>
      </c>
      <c r="AK1518" s="1" t="s">
        <v>49</v>
      </c>
      <c r="AL1518" s="1">
        <v>83</v>
      </c>
    </row>
    <row r="1519" spans="1:38" x14ac:dyDescent="0.2">
      <c r="A1519" s="2" t="str">
        <f>HYPERLINK("https://www.compass.com/listing/45-east-22nd-street-unit-57a-manhattan-ny-10010/342817786560064481/","45 E 22nd St, Unit 57A")</f>
        <v>45 E 22nd St, Unit 57A</v>
      </c>
      <c r="B1519" s="2" t="str">
        <f t="shared" si="223"/>
        <v>Madison Square Park Tower</v>
      </c>
      <c r="C1519" s="1" t="s">
        <v>56</v>
      </c>
      <c r="D1519" s="1" t="s">
        <v>41</v>
      </c>
      <c r="E1519" s="3">
        <v>12500000</v>
      </c>
      <c r="F1519" s="1">
        <v>2683.55517389437</v>
      </c>
      <c r="G1519" s="1">
        <v>7</v>
      </c>
      <c r="H1519" s="1">
        <v>4</v>
      </c>
      <c r="I1519" s="1">
        <v>5</v>
      </c>
      <c r="J1519" s="1">
        <v>4.5</v>
      </c>
      <c r="K1519" s="1">
        <v>4</v>
      </c>
      <c r="L1519" s="1">
        <v>1</v>
      </c>
      <c r="M1519" s="4">
        <v>4658</v>
      </c>
      <c r="N1519" s="1">
        <v>5937</v>
      </c>
      <c r="O1519" s="1">
        <v>19154</v>
      </c>
      <c r="P1519" s="1">
        <v>13217</v>
      </c>
      <c r="Q1519" s="1" t="s">
        <v>42</v>
      </c>
      <c r="S1519" s="1" t="s">
        <v>42</v>
      </c>
      <c r="T1519" s="1" t="s">
        <v>273</v>
      </c>
      <c r="U1519" s="1">
        <v>393</v>
      </c>
      <c r="V1519" s="5">
        <v>43901</v>
      </c>
      <c r="W1519" s="5">
        <v>43388</v>
      </c>
      <c r="X1519" s="1">
        <v>14500000</v>
      </c>
      <c r="Y1519" s="1">
        <v>14500000</v>
      </c>
      <c r="Z1519" s="5">
        <v>43782</v>
      </c>
      <c r="AA1519" s="1">
        <v>12500000</v>
      </c>
      <c r="AB1519" s="1" t="s">
        <v>772</v>
      </c>
      <c r="AC1519" s="5">
        <v>43847</v>
      </c>
      <c r="AF1519" s="1">
        <v>10010</v>
      </c>
      <c r="AI1519" s="1" t="s">
        <v>48</v>
      </c>
      <c r="AJ1519" s="1">
        <v>2016</v>
      </c>
      <c r="AK1519" s="1" t="s">
        <v>49</v>
      </c>
      <c r="AL1519" s="1">
        <v>83</v>
      </c>
    </row>
    <row r="1520" spans="1:38" x14ac:dyDescent="0.2">
      <c r="A1520" s="2" t="str">
        <f>HYPERLINK("https://www.compass.com/listing/45-east-22nd-street-unit-58-manhattan-ny-10010/385930818752485937/","45 E 22nd St, Unit 58")</f>
        <v>45 E 22nd St, Unit 58</v>
      </c>
      <c r="B1520" s="2" t="str">
        <f t="shared" si="223"/>
        <v>Madison Square Park Tower</v>
      </c>
      <c r="C1520" s="1" t="s">
        <v>56</v>
      </c>
      <c r="D1520" s="1" t="s">
        <v>41</v>
      </c>
      <c r="E1520" s="3">
        <v>14750000</v>
      </c>
      <c r="F1520" s="1">
        <v>3165.2360515021401</v>
      </c>
      <c r="G1520" s="1">
        <v>9</v>
      </c>
      <c r="H1520" s="1">
        <v>4</v>
      </c>
      <c r="I1520" s="1">
        <v>5</v>
      </c>
      <c r="J1520" s="1">
        <v>4.5</v>
      </c>
      <c r="K1520" s="1">
        <v>4</v>
      </c>
      <c r="L1520" s="1">
        <v>1</v>
      </c>
      <c r="M1520" s="4">
        <v>4660</v>
      </c>
      <c r="N1520" s="1">
        <v>5964</v>
      </c>
      <c r="O1520" s="1">
        <v>18380</v>
      </c>
      <c r="P1520" s="1">
        <v>12416</v>
      </c>
      <c r="Q1520" s="1" t="s">
        <v>42</v>
      </c>
      <c r="S1520" s="1" t="s">
        <v>42</v>
      </c>
      <c r="T1520" s="1" t="s">
        <v>273</v>
      </c>
      <c r="U1520" s="1">
        <v>6</v>
      </c>
      <c r="V1520" s="5">
        <v>43929</v>
      </c>
      <c r="W1520" s="5">
        <v>43783</v>
      </c>
      <c r="X1520" s="1">
        <v>14750000</v>
      </c>
      <c r="Y1520" s="1">
        <v>14750000</v>
      </c>
      <c r="Z1520" s="5">
        <v>43790</v>
      </c>
      <c r="AA1520" s="1">
        <v>14750000</v>
      </c>
      <c r="AB1520" s="1" t="s">
        <v>275</v>
      </c>
      <c r="AC1520" s="5">
        <v>43927</v>
      </c>
      <c r="AF1520" s="1">
        <v>10010</v>
      </c>
      <c r="AI1520" s="1" t="s">
        <v>48</v>
      </c>
      <c r="AJ1520" s="1">
        <v>2016</v>
      </c>
      <c r="AK1520" s="1" t="s">
        <v>49</v>
      </c>
      <c r="AL1520" s="1">
        <v>83</v>
      </c>
    </row>
    <row r="1521" spans="1:38" x14ac:dyDescent="0.2">
      <c r="A1521" s="2" t="str">
        <f>HYPERLINK("https://www.compass.com/listing/45-east-22nd-street-unit-58a-manhattan-ny-10010/465318707435231665/","45 E 22nd St, Unit 58A")</f>
        <v>45 E 22nd St, Unit 58A</v>
      </c>
      <c r="B1521" s="2" t="str">
        <f t="shared" si="223"/>
        <v>Madison Square Park Tower</v>
      </c>
      <c r="C1521" s="1" t="s">
        <v>56</v>
      </c>
      <c r="D1521" s="1" t="s">
        <v>41</v>
      </c>
      <c r="E1521" s="3">
        <v>13200000</v>
      </c>
      <c r="F1521" s="1">
        <v>2832.61802575107</v>
      </c>
      <c r="G1521" s="1">
        <v>7</v>
      </c>
      <c r="H1521" s="1">
        <v>4</v>
      </c>
      <c r="I1521" s="1">
        <v>5</v>
      </c>
      <c r="J1521" s="1">
        <v>4.5</v>
      </c>
      <c r="M1521" s="4">
        <v>4660</v>
      </c>
      <c r="N1521" s="1">
        <v>5964</v>
      </c>
      <c r="O1521" s="1">
        <v>18380</v>
      </c>
      <c r="P1521" s="1">
        <v>12416</v>
      </c>
      <c r="Q1521" s="1" t="s">
        <v>42</v>
      </c>
      <c r="S1521" s="1" t="s">
        <v>42</v>
      </c>
      <c r="T1521" s="1" t="s">
        <v>273</v>
      </c>
      <c r="V1521" s="5">
        <v>43893</v>
      </c>
      <c r="Y1521" s="1">
        <v>14750000</v>
      </c>
      <c r="Z1521" s="5">
        <v>43797</v>
      </c>
      <c r="AA1521" s="1">
        <v>13200000</v>
      </c>
      <c r="AB1521" s="1" t="s">
        <v>773</v>
      </c>
      <c r="AC1521" s="5">
        <v>43819</v>
      </c>
      <c r="AF1521" s="1">
        <v>10010</v>
      </c>
      <c r="AI1521" s="1" t="s">
        <v>48</v>
      </c>
      <c r="AJ1521" s="1">
        <v>2016</v>
      </c>
      <c r="AK1521" s="1" t="s">
        <v>49</v>
      </c>
      <c r="AL1521" s="1">
        <v>83</v>
      </c>
    </row>
    <row r="1522" spans="1:38" x14ac:dyDescent="0.2">
      <c r="A1522" s="2" t="str">
        <f>HYPERLINK("https://www.compass.com/listing/45-east-22nd-street-unit-56-manhattan-ny-10010/99232962855338209/","45 E 22nd St, Unit 56")</f>
        <v>45 E 22nd St, Unit 56</v>
      </c>
      <c r="B1522" s="2" t="str">
        <f t="shared" si="223"/>
        <v>Madison Square Park Tower</v>
      </c>
      <c r="C1522" s="1" t="s">
        <v>56</v>
      </c>
      <c r="D1522" s="1" t="s">
        <v>41</v>
      </c>
      <c r="E1522" s="3">
        <v>13190709</v>
      </c>
      <c r="F1522" s="1">
        <v>2833.6646616541302</v>
      </c>
      <c r="G1522" s="1">
        <v>6.5</v>
      </c>
      <c r="H1522" s="1">
        <v>4</v>
      </c>
      <c r="I1522" s="1">
        <v>5</v>
      </c>
      <c r="J1522" s="1">
        <v>4.5</v>
      </c>
      <c r="K1522" s="1">
        <v>4</v>
      </c>
      <c r="L1522" s="1">
        <v>1</v>
      </c>
      <c r="M1522" s="4">
        <v>4655</v>
      </c>
      <c r="N1522" s="1">
        <v>5909</v>
      </c>
      <c r="O1522" s="1">
        <v>18210</v>
      </c>
      <c r="P1522" s="1">
        <v>12301</v>
      </c>
      <c r="Q1522" s="1" t="s">
        <v>42</v>
      </c>
      <c r="S1522" s="1" t="s">
        <v>42</v>
      </c>
      <c r="T1522" s="1" t="s">
        <v>273</v>
      </c>
      <c r="U1522" s="1">
        <v>61</v>
      </c>
      <c r="V1522" s="5">
        <v>43731</v>
      </c>
      <c r="W1522" s="5">
        <v>43524</v>
      </c>
      <c r="X1522" s="1">
        <v>15995000</v>
      </c>
      <c r="Y1522" s="1">
        <v>15995000</v>
      </c>
      <c r="Z1522" s="5">
        <v>43586</v>
      </c>
      <c r="AA1522" s="1">
        <v>13190709</v>
      </c>
      <c r="AB1522" s="1" t="s">
        <v>275</v>
      </c>
      <c r="AC1522" s="5">
        <v>43718</v>
      </c>
      <c r="AF1522" s="1">
        <v>10010</v>
      </c>
      <c r="AI1522" s="1" t="s">
        <v>48</v>
      </c>
      <c r="AJ1522" s="1">
        <v>2016</v>
      </c>
      <c r="AK1522" s="1" t="s">
        <v>49</v>
      </c>
      <c r="AL1522" s="1">
        <v>83</v>
      </c>
    </row>
    <row r="1523" spans="1:38" x14ac:dyDescent="0.2">
      <c r="A1523" s="2" t="str">
        <f>HYPERLINK("https://www.compass.com/listing/225-west-17th-street-unit-ph2-manhattan-ny-10011/180445059886386289/","225 W 17th St, Unit PH2")</f>
        <v>225 W 17th St, Unit PH2</v>
      </c>
      <c r="B1523" s="2" t="str">
        <f>HYPERLINK("https://www.compass.com/building/225-west-17th-street-manhattan-ny/292802090781141541/","225 West 17th Street")</f>
        <v>225 West 17th Street</v>
      </c>
      <c r="C1523" s="1" t="s">
        <v>62</v>
      </c>
      <c r="D1523" s="1" t="s">
        <v>41</v>
      </c>
      <c r="E1523" s="3">
        <v>5550000</v>
      </c>
      <c r="F1523" s="1">
        <v>2243.3306386418699</v>
      </c>
      <c r="G1523" s="1">
        <v>6</v>
      </c>
      <c r="H1523" s="1">
        <v>3</v>
      </c>
      <c r="I1523" s="1">
        <v>4</v>
      </c>
      <c r="J1523" s="1">
        <v>3.5</v>
      </c>
      <c r="K1523" s="1">
        <v>3</v>
      </c>
      <c r="L1523" s="1">
        <v>1</v>
      </c>
      <c r="M1523" s="4">
        <v>2474</v>
      </c>
      <c r="N1523" s="1">
        <v>1564</v>
      </c>
      <c r="O1523" s="1">
        <v>4952</v>
      </c>
      <c r="P1523" s="1">
        <v>3388</v>
      </c>
      <c r="Q1523" s="1" t="s">
        <v>42</v>
      </c>
      <c r="S1523" s="1" t="s">
        <v>42</v>
      </c>
      <c r="T1523" s="1" t="s">
        <v>273</v>
      </c>
      <c r="U1523" s="1">
        <v>15</v>
      </c>
      <c r="V1523" s="5">
        <v>44342</v>
      </c>
      <c r="W1523" s="5">
        <v>43501</v>
      </c>
      <c r="X1523" s="1">
        <v>6250000</v>
      </c>
      <c r="Y1523" s="1">
        <v>6250000</v>
      </c>
      <c r="Z1523" s="5">
        <v>43516</v>
      </c>
      <c r="AA1523" s="1">
        <v>5550000</v>
      </c>
      <c r="AB1523" s="1" t="s">
        <v>774</v>
      </c>
      <c r="AC1523" s="5">
        <v>43620</v>
      </c>
      <c r="AF1523" s="1">
        <v>10011</v>
      </c>
      <c r="AI1523" s="1" t="s">
        <v>216</v>
      </c>
      <c r="AJ1523" s="1">
        <v>2018</v>
      </c>
      <c r="AK1523" s="1" t="s">
        <v>146</v>
      </c>
      <c r="AL1523" s="1">
        <v>14</v>
      </c>
    </row>
    <row r="1524" spans="1:38" x14ac:dyDescent="0.2">
      <c r="A1524" s="2" t="str">
        <f>HYPERLINK("https://www.compass.com/listing/100-barclay-street-unit-14p-manhattan-ny-10007/4852275411821798625/","100 Barclay St, Unit 14P")</f>
        <v>100 Barclay St, Unit 14P</v>
      </c>
      <c r="B1524" s="2" t="str">
        <f t="shared" ref="B1524:B1527" si="224">HYPERLINK("https://www.compass.com/building/100-barclay-manhattan-ny/281896670466155525/","100 Barclay")</f>
        <v>100 Barclay</v>
      </c>
      <c r="C1524" s="1" t="s">
        <v>50</v>
      </c>
      <c r="D1524" s="1" t="s">
        <v>41</v>
      </c>
      <c r="E1524" s="3">
        <v>7400000</v>
      </c>
      <c r="F1524" s="1">
        <v>2306.73316708229</v>
      </c>
      <c r="G1524" s="1">
        <v>7</v>
      </c>
      <c r="H1524" s="1">
        <v>4</v>
      </c>
      <c r="I1524" s="1">
        <v>5</v>
      </c>
      <c r="J1524" s="1">
        <v>5</v>
      </c>
      <c r="K1524" s="1">
        <v>5</v>
      </c>
      <c r="M1524" s="4">
        <v>3208</v>
      </c>
      <c r="N1524" s="1">
        <v>4238</v>
      </c>
      <c r="O1524" s="1">
        <v>8291</v>
      </c>
      <c r="P1524" s="1">
        <v>4053</v>
      </c>
      <c r="Q1524" s="1" t="s">
        <v>42</v>
      </c>
      <c r="S1524" s="1" t="s">
        <v>42</v>
      </c>
      <c r="T1524" s="1" t="s">
        <v>273</v>
      </c>
      <c r="V1524" s="5">
        <v>43623</v>
      </c>
      <c r="W1524" s="5">
        <v>42824</v>
      </c>
      <c r="X1524" s="1">
        <v>7500000</v>
      </c>
      <c r="Y1524" s="1">
        <v>7500000</v>
      </c>
      <c r="Z1524" s="5">
        <v>42824</v>
      </c>
      <c r="AA1524" s="1">
        <v>7400000</v>
      </c>
      <c r="AB1524" s="1" t="s">
        <v>775</v>
      </c>
      <c r="AC1524" s="5">
        <v>42915</v>
      </c>
      <c r="AF1524" s="1">
        <v>10007</v>
      </c>
      <c r="AI1524" s="1" t="s">
        <v>103</v>
      </c>
      <c r="AJ1524" s="1">
        <v>1930</v>
      </c>
      <c r="AK1524" s="1" t="s">
        <v>46</v>
      </c>
      <c r="AL1524" s="1">
        <v>156</v>
      </c>
    </row>
    <row r="1525" spans="1:38" x14ac:dyDescent="0.2">
      <c r="A1525" s="2" t="str">
        <f>HYPERLINK("https://www.compass.com/listing/100-barclay-street-unit-19c-manhattan-ny-10007/18156364165617105/","100 Barclay St, Unit 19C")</f>
        <v>100 Barclay St, Unit 19C</v>
      </c>
      <c r="B1525" s="2" t="str">
        <f t="shared" si="224"/>
        <v>100 Barclay</v>
      </c>
      <c r="C1525" s="1" t="s">
        <v>50</v>
      </c>
      <c r="D1525" s="1" t="s">
        <v>41</v>
      </c>
      <c r="E1525" s="3">
        <v>7095060</v>
      </c>
      <c r="F1525" s="1">
        <v>2203.4347826086901</v>
      </c>
      <c r="G1525" s="1">
        <v>8.5</v>
      </c>
      <c r="H1525" s="1">
        <v>4</v>
      </c>
      <c r="I1525" s="1">
        <v>5</v>
      </c>
      <c r="J1525" s="1">
        <v>4.5</v>
      </c>
      <c r="K1525" s="1">
        <v>4</v>
      </c>
      <c r="L1525" s="1">
        <v>1</v>
      </c>
      <c r="M1525" s="4">
        <v>3220</v>
      </c>
      <c r="N1525" s="1">
        <v>4308</v>
      </c>
      <c r="O1525" s="1">
        <v>8842</v>
      </c>
      <c r="P1525" s="1">
        <v>4534</v>
      </c>
      <c r="Q1525" s="1" t="s">
        <v>42</v>
      </c>
      <c r="S1525" s="1" t="s">
        <v>42</v>
      </c>
      <c r="T1525" s="1" t="s">
        <v>273</v>
      </c>
      <c r="U1525" s="1">
        <v>5</v>
      </c>
      <c r="V1525" s="5">
        <v>43694</v>
      </c>
      <c r="W1525" s="5">
        <v>43584</v>
      </c>
      <c r="X1525" s="1">
        <v>7950000</v>
      </c>
      <c r="Y1525" s="1">
        <v>7950000</v>
      </c>
      <c r="Z1525" s="5">
        <v>43589</v>
      </c>
      <c r="AA1525" s="1">
        <v>7095060</v>
      </c>
      <c r="AB1525" s="1" t="s">
        <v>776</v>
      </c>
      <c r="AC1525" s="5">
        <v>43634</v>
      </c>
      <c r="AF1525" s="1">
        <v>10007</v>
      </c>
      <c r="AI1525" s="1" t="s">
        <v>133</v>
      </c>
      <c r="AJ1525" s="1">
        <v>1930</v>
      </c>
      <c r="AK1525" s="1" t="s">
        <v>46</v>
      </c>
      <c r="AL1525" s="1">
        <v>156</v>
      </c>
    </row>
    <row r="1526" spans="1:38" x14ac:dyDescent="0.2">
      <c r="A1526" s="2" t="str">
        <f>HYPERLINK("https://www.compass.com/listing/100-barclay-street-unit-20a-manhattan-ny-10007/29513632714897073/","100 Barclay St, Unit 20A")</f>
        <v>100 Barclay St, Unit 20A</v>
      </c>
      <c r="B1526" s="2" t="str">
        <f t="shared" si="224"/>
        <v>100 Barclay</v>
      </c>
      <c r="C1526" s="1" t="s">
        <v>50</v>
      </c>
      <c r="D1526" s="1" t="s">
        <v>41</v>
      </c>
      <c r="E1526" s="3">
        <v>8134238</v>
      </c>
      <c r="F1526" s="1">
        <v>2050.4759263927399</v>
      </c>
      <c r="G1526" s="1">
        <v>9</v>
      </c>
      <c r="H1526" s="1">
        <v>4</v>
      </c>
      <c r="I1526" s="1">
        <v>4</v>
      </c>
      <c r="J1526" s="1">
        <v>4.5</v>
      </c>
      <c r="K1526" s="1">
        <v>4</v>
      </c>
      <c r="L1526" s="1">
        <v>1</v>
      </c>
      <c r="M1526" s="4">
        <v>3967</v>
      </c>
      <c r="N1526" s="1">
        <v>4904</v>
      </c>
      <c r="O1526" s="1">
        <v>10231</v>
      </c>
      <c r="P1526" s="1">
        <v>5327</v>
      </c>
      <c r="Q1526" s="1" t="s">
        <v>42</v>
      </c>
      <c r="S1526" s="1" t="s">
        <v>42</v>
      </c>
      <c r="T1526" s="1" t="s">
        <v>273</v>
      </c>
      <c r="U1526" s="1">
        <v>129</v>
      </c>
      <c r="V1526" s="5">
        <v>43630</v>
      </c>
      <c r="W1526" s="5">
        <v>42907</v>
      </c>
      <c r="X1526" s="1">
        <v>10000000</v>
      </c>
      <c r="Y1526" s="1">
        <v>10000000</v>
      </c>
      <c r="Z1526" s="5">
        <v>43133</v>
      </c>
      <c r="AA1526" s="1">
        <v>8134238</v>
      </c>
      <c r="AB1526" s="1" t="s">
        <v>777</v>
      </c>
      <c r="AC1526" s="5">
        <v>43325</v>
      </c>
      <c r="AF1526" s="1">
        <v>10007</v>
      </c>
      <c r="AI1526" s="1" t="s">
        <v>52</v>
      </c>
      <c r="AJ1526" s="1">
        <v>1930</v>
      </c>
      <c r="AK1526" s="1" t="s">
        <v>46</v>
      </c>
      <c r="AL1526" s="1">
        <v>156</v>
      </c>
    </row>
    <row r="1527" spans="1:38" x14ac:dyDescent="0.2">
      <c r="A1527" s="2" t="str">
        <f>HYPERLINK("https://www.compass.com/listing/100-barclay-street-unit-19a-manhattan-ny-10007/4852265626166628849/","100 Barclay St, Unit 19A")</f>
        <v>100 Barclay St, Unit 19A</v>
      </c>
      <c r="B1527" s="2" t="str">
        <f t="shared" si="224"/>
        <v>100 Barclay</v>
      </c>
      <c r="C1527" s="1" t="s">
        <v>50</v>
      </c>
      <c r="D1527" s="1" t="s">
        <v>41</v>
      </c>
      <c r="E1527" s="3">
        <v>8807863</v>
      </c>
      <c r="F1527" s="1">
        <v>2220.2830854550002</v>
      </c>
      <c r="G1527" s="1">
        <v>9</v>
      </c>
      <c r="H1527" s="1">
        <v>4</v>
      </c>
      <c r="I1527" s="1">
        <v>4</v>
      </c>
      <c r="J1527" s="1">
        <v>4.5</v>
      </c>
      <c r="K1527" s="1">
        <v>4</v>
      </c>
      <c r="L1527" s="1">
        <v>1</v>
      </c>
      <c r="M1527" s="4">
        <v>3967</v>
      </c>
      <c r="N1527" s="1">
        <v>5363</v>
      </c>
      <c r="O1527" s="1">
        <v>10492</v>
      </c>
      <c r="P1527" s="1">
        <v>5129</v>
      </c>
      <c r="Q1527" s="1" t="s">
        <v>42</v>
      </c>
      <c r="S1527" s="1" t="s">
        <v>42</v>
      </c>
      <c r="T1527" s="1" t="s">
        <v>273</v>
      </c>
      <c r="U1527" s="1">
        <v>79</v>
      </c>
      <c r="V1527" s="5">
        <v>43623</v>
      </c>
      <c r="W1527" s="5">
        <v>42679</v>
      </c>
      <c r="X1527" s="1">
        <v>9985000</v>
      </c>
      <c r="Y1527" s="1">
        <v>9985000</v>
      </c>
      <c r="Z1527" s="5">
        <v>42758</v>
      </c>
      <c r="AA1527" s="1">
        <v>8807863</v>
      </c>
      <c r="AB1527" s="1" t="s">
        <v>778</v>
      </c>
      <c r="AC1527" s="5">
        <v>42812</v>
      </c>
      <c r="AF1527" s="1">
        <v>10007</v>
      </c>
      <c r="AI1527" s="1" t="s">
        <v>677</v>
      </c>
      <c r="AJ1527" s="1">
        <v>1930</v>
      </c>
      <c r="AK1527" s="1" t="s">
        <v>46</v>
      </c>
      <c r="AL1527" s="1">
        <v>156</v>
      </c>
    </row>
    <row r="1528" spans="1:38" x14ac:dyDescent="0.2">
      <c r="A1528" s="2" t="str">
        <f>HYPERLINK("https://www.compass.com/listing/559-west-23rd-street-unit-ph12-manhattan-ny-10011/29369738836686353/","559 W 23rd St, Unit PH12")</f>
        <v>559 W 23rd St, Unit PH12</v>
      </c>
      <c r="B1528" s="2" t="str">
        <f>HYPERLINK("https://www.compass.com/building/chelsea-waterside-residences-manhattan-ny/281911750683552581/","Chelsea Waterside Residences")</f>
        <v>Chelsea Waterside Residences</v>
      </c>
      <c r="C1528" s="1" t="s">
        <v>62</v>
      </c>
      <c r="D1528" s="1" t="s">
        <v>41</v>
      </c>
      <c r="E1528" s="3">
        <v>4918148</v>
      </c>
      <c r="F1528" s="1">
        <v>2786.48611898017</v>
      </c>
      <c r="G1528" s="1">
        <v>5</v>
      </c>
      <c r="H1528" s="1">
        <v>3</v>
      </c>
      <c r="I1528" s="1">
        <v>2</v>
      </c>
      <c r="J1528" s="1">
        <v>2</v>
      </c>
      <c r="K1528" s="1">
        <v>2</v>
      </c>
      <c r="M1528" s="4">
        <v>1765</v>
      </c>
      <c r="N1528" s="1">
        <v>1823</v>
      </c>
      <c r="O1528" s="1">
        <v>5177</v>
      </c>
      <c r="P1528" s="1">
        <v>3354</v>
      </c>
      <c r="Q1528" s="1" t="s">
        <v>42</v>
      </c>
      <c r="S1528" s="1" t="s">
        <v>42</v>
      </c>
      <c r="T1528" s="1" t="s">
        <v>273</v>
      </c>
      <c r="U1528" s="1">
        <v>68</v>
      </c>
      <c r="V1528" s="5">
        <v>43672</v>
      </c>
      <c r="W1528" s="5">
        <v>42586</v>
      </c>
      <c r="X1528" s="1">
        <v>5350000</v>
      </c>
      <c r="Y1528" s="1">
        <v>5350000</v>
      </c>
      <c r="Z1528" s="5">
        <v>42676</v>
      </c>
      <c r="AA1528" s="1">
        <v>4918148</v>
      </c>
      <c r="AB1528" s="1" t="s">
        <v>779</v>
      </c>
      <c r="AC1528" s="5">
        <v>42703</v>
      </c>
      <c r="AF1528" s="1">
        <v>10011</v>
      </c>
      <c r="AI1528" s="1" t="s">
        <v>780</v>
      </c>
      <c r="AJ1528" s="1">
        <v>2015</v>
      </c>
      <c r="AK1528" s="1" t="s">
        <v>143</v>
      </c>
      <c r="AL1528" s="1">
        <v>8</v>
      </c>
    </row>
    <row r="1529" spans="1:38" x14ac:dyDescent="0.2">
      <c r="A1529" s="2" t="str">
        <f>HYPERLINK("https://www.compass.com/listing/55-west-17th-street-unit-403-manhattan-ny-10011/359206678999477537/","55 W 17th St, Unit 403")</f>
        <v>55 W 17th St, Unit 403</v>
      </c>
      <c r="B1529" s="2" t="str">
        <f>HYPERLINK("https://www.compass.com/building/55-w-17th-st-manhattan-ny-10011/281911689161499829/","55 W 17th St")</f>
        <v>55 W 17th St</v>
      </c>
      <c r="C1529" s="1" t="s">
        <v>56</v>
      </c>
      <c r="D1529" s="1" t="s">
        <v>41</v>
      </c>
      <c r="E1529" s="3">
        <v>1425000</v>
      </c>
      <c r="F1529" s="1">
        <v>1808.3756345177601</v>
      </c>
      <c r="G1529" s="1">
        <v>3</v>
      </c>
      <c r="H1529" s="1">
        <v>1</v>
      </c>
      <c r="I1529" s="1">
        <v>1</v>
      </c>
      <c r="J1529" s="1">
        <v>1</v>
      </c>
      <c r="K1529" s="1">
        <v>1</v>
      </c>
      <c r="M1529" s="1">
        <v>788</v>
      </c>
      <c r="N1529" s="1">
        <v>1042</v>
      </c>
      <c r="O1529" s="1">
        <v>2498</v>
      </c>
      <c r="P1529" s="1">
        <v>1456</v>
      </c>
      <c r="Q1529" s="1" t="s">
        <v>42</v>
      </c>
      <c r="S1529" s="1" t="s">
        <v>42</v>
      </c>
      <c r="T1529" s="1" t="s">
        <v>273</v>
      </c>
      <c r="U1529" s="1">
        <v>299</v>
      </c>
      <c r="V1529" s="5">
        <v>44034</v>
      </c>
      <c r="W1529" s="5">
        <v>43519</v>
      </c>
      <c r="X1529" s="1">
        <v>1795000</v>
      </c>
      <c r="Y1529" s="1">
        <v>1550000</v>
      </c>
      <c r="Z1529" s="5">
        <v>43818</v>
      </c>
      <c r="AA1529" s="1">
        <v>1425000</v>
      </c>
      <c r="AB1529" s="1" t="s">
        <v>781</v>
      </c>
      <c r="AC1529" s="5">
        <v>43886</v>
      </c>
      <c r="AF1529" s="1">
        <v>10011</v>
      </c>
      <c r="AI1529" s="1" t="s">
        <v>212</v>
      </c>
      <c r="AJ1529" s="1">
        <v>2018</v>
      </c>
      <c r="AK1529" s="1" t="s">
        <v>108</v>
      </c>
      <c r="AL1529" s="1">
        <v>52</v>
      </c>
    </row>
    <row r="1530" spans="1:38" x14ac:dyDescent="0.2">
      <c r="A1530" s="2" t="str">
        <f>HYPERLINK("https://www.compass.com/listing/121-east-22nd-street-unit-n309-manhattan-ny-10010/165104141658562097/","121 E 22nd St, Unit N309")</f>
        <v>121 E 22nd St, Unit N309</v>
      </c>
      <c r="B1530" s="2" t="str">
        <f>HYPERLINK("https://www.compass.com/building/121-e-22nd-manhattan-ny/292795784653461493/","121 E 22nd")</f>
        <v>121 E 22nd</v>
      </c>
      <c r="C1530" s="1" t="s">
        <v>64</v>
      </c>
      <c r="D1530" s="1" t="s">
        <v>41</v>
      </c>
      <c r="E1530" s="3">
        <v>2510000</v>
      </c>
      <c r="F1530" s="1">
        <v>1790.2995720399399</v>
      </c>
      <c r="G1530" s="1">
        <v>4</v>
      </c>
      <c r="H1530" s="1">
        <v>2</v>
      </c>
      <c r="I1530" s="1">
        <v>2</v>
      </c>
      <c r="J1530" s="1">
        <v>2</v>
      </c>
      <c r="K1530" s="1">
        <v>2</v>
      </c>
      <c r="M1530" s="4">
        <v>1402</v>
      </c>
      <c r="N1530" s="1">
        <v>1530</v>
      </c>
      <c r="O1530" s="1">
        <v>4249</v>
      </c>
      <c r="P1530" s="1">
        <v>2719</v>
      </c>
      <c r="Q1530" s="1" t="s">
        <v>42</v>
      </c>
      <c r="S1530" s="1" t="s">
        <v>42</v>
      </c>
      <c r="T1530" s="1" t="s">
        <v>273</v>
      </c>
      <c r="U1530" s="1">
        <v>78</v>
      </c>
      <c r="V1530" s="5">
        <v>44057</v>
      </c>
      <c r="W1530" s="5">
        <v>43480</v>
      </c>
      <c r="X1530" s="1">
        <v>2860000</v>
      </c>
      <c r="Y1530" s="1">
        <v>2510000</v>
      </c>
      <c r="Z1530" s="5">
        <v>43558</v>
      </c>
      <c r="AA1530" s="1">
        <v>2510000</v>
      </c>
      <c r="AB1530" s="1" t="s">
        <v>782</v>
      </c>
      <c r="AC1530" s="5">
        <v>43587</v>
      </c>
      <c r="AF1530" s="1">
        <v>10010</v>
      </c>
      <c r="AI1530" s="1" t="s">
        <v>106</v>
      </c>
      <c r="AJ1530" s="1">
        <v>2016</v>
      </c>
      <c r="AK1530" s="1" t="s">
        <v>46</v>
      </c>
      <c r="AL1530" s="1">
        <v>140</v>
      </c>
    </row>
    <row r="1531" spans="1:38" x14ac:dyDescent="0.2">
      <c r="A1531" s="2" t="str">
        <f>HYPERLINK("https://www.compass.com/listing/100-barclay-street-unit-15r-manhattan-ny-10007/4852308770379803169/","100 Barclay St, Unit 15R")</f>
        <v>100 Barclay St, Unit 15R</v>
      </c>
      <c r="B1531" s="2" t="str">
        <f t="shared" ref="B1531:B1538" si="225">HYPERLINK("https://www.compass.com/building/100-barclay-manhattan-ny/281896670466155525/","100 Barclay")</f>
        <v>100 Barclay</v>
      </c>
      <c r="C1531" s="1" t="s">
        <v>50</v>
      </c>
      <c r="D1531" s="1" t="s">
        <v>41</v>
      </c>
      <c r="E1531" s="3">
        <v>4582125</v>
      </c>
      <c r="F1531" s="1">
        <v>2071.4850813743201</v>
      </c>
      <c r="G1531" s="1">
        <v>7</v>
      </c>
      <c r="H1531" s="1">
        <v>3</v>
      </c>
      <c r="I1531" s="1">
        <v>3</v>
      </c>
      <c r="J1531" s="1">
        <v>3</v>
      </c>
      <c r="M1531" s="4">
        <v>2212</v>
      </c>
      <c r="N1531" s="1">
        <v>2838</v>
      </c>
      <c r="O1531" s="1">
        <v>5552</v>
      </c>
      <c r="P1531" s="1">
        <v>2714</v>
      </c>
      <c r="Q1531" s="1" t="s">
        <v>42</v>
      </c>
      <c r="S1531" s="1" t="s">
        <v>42</v>
      </c>
      <c r="T1531" s="1" t="s">
        <v>273</v>
      </c>
      <c r="V1531" s="5">
        <v>43623</v>
      </c>
      <c r="W1531" s="5">
        <v>42454</v>
      </c>
      <c r="X1531" s="1">
        <v>4955500</v>
      </c>
      <c r="Y1531" s="1">
        <v>4955500</v>
      </c>
      <c r="Z1531" s="5">
        <v>42454</v>
      </c>
      <c r="AA1531" s="1">
        <v>4582125</v>
      </c>
      <c r="AB1531" s="1" t="s">
        <v>783</v>
      </c>
      <c r="AC1531" s="5">
        <v>42676</v>
      </c>
      <c r="AF1531" s="1">
        <v>10007</v>
      </c>
      <c r="AI1531" s="1" t="s">
        <v>52</v>
      </c>
      <c r="AJ1531" s="1">
        <v>1930</v>
      </c>
      <c r="AK1531" s="1" t="s">
        <v>46</v>
      </c>
      <c r="AL1531" s="1">
        <v>156</v>
      </c>
    </row>
    <row r="1532" spans="1:38" x14ac:dyDescent="0.2">
      <c r="A1532" s="2" t="str">
        <f>HYPERLINK("https://www.compass.com/listing/100-barclay-street-unit-15d-manhattan-ny-10007/4852308804093621009/","100 Barclay St, Unit 15D")</f>
        <v>100 Barclay St, Unit 15D</v>
      </c>
      <c r="B1532" s="2" t="str">
        <f t="shared" si="225"/>
        <v>100 Barclay</v>
      </c>
      <c r="C1532" s="1" t="s">
        <v>50</v>
      </c>
      <c r="D1532" s="1" t="s">
        <v>41</v>
      </c>
      <c r="E1532" s="3">
        <v>6335552</v>
      </c>
      <c r="F1532" s="1">
        <v>2036.5001607200199</v>
      </c>
      <c r="G1532" s="1">
        <v>9</v>
      </c>
      <c r="H1532" s="1">
        <v>4</v>
      </c>
      <c r="I1532" s="1">
        <v>5</v>
      </c>
      <c r="J1532" s="1">
        <v>5</v>
      </c>
      <c r="M1532" s="4">
        <v>3111</v>
      </c>
      <c r="N1532" s="1">
        <v>3889</v>
      </c>
      <c r="O1532" s="1">
        <v>7704</v>
      </c>
      <c r="P1532" s="1">
        <v>3815</v>
      </c>
      <c r="Q1532" s="1" t="s">
        <v>42</v>
      </c>
      <c r="S1532" s="1" t="s">
        <v>42</v>
      </c>
      <c r="T1532" s="1" t="s">
        <v>273</v>
      </c>
      <c r="U1532" s="1">
        <v>83</v>
      </c>
      <c r="V1532" s="5">
        <v>43664</v>
      </c>
      <c r="W1532" s="5">
        <v>42120</v>
      </c>
      <c r="X1532" s="1">
        <v>6493000</v>
      </c>
      <c r="Y1532" s="1">
        <v>6493000</v>
      </c>
      <c r="Z1532" s="5">
        <v>42241</v>
      </c>
      <c r="AA1532" s="1">
        <v>6335552</v>
      </c>
      <c r="AB1532" s="1" t="s">
        <v>784</v>
      </c>
      <c r="AC1532" s="5">
        <v>42690</v>
      </c>
      <c r="AF1532" s="1">
        <v>10007</v>
      </c>
      <c r="AI1532" s="1" t="s">
        <v>52</v>
      </c>
      <c r="AJ1532" s="1">
        <v>1930</v>
      </c>
      <c r="AK1532" s="1" t="s">
        <v>46</v>
      </c>
      <c r="AL1532" s="1">
        <v>156</v>
      </c>
    </row>
    <row r="1533" spans="1:38" x14ac:dyDescent="0.2">
      <c r="A1533" s="2" t="str">
        <f>HYPERLINK("https://www.compass.com/listing/100-barclay-street-unit-13d-manhattan-ny-10007/557276531624758241/","100 Barclay St, Unit 13D")</f>
        <v>100 Barclay St, Unit 13D</v>
      </c>
      <c r="B1533" s="2" t="str">
        <f t="shared" si="225"/>
        <v>100 Barclay</v>
      </c>
      <c r="C1533" s="1" t="s">
        <v>50</v>
      </c>
      <c r="D1533" s="1" t="s">
        <v>41</v>
      </c>
      <c r="E1533" s="3">
        <v>2610000</v>
      </c>
      <c r="F1533" s="1">
        <v>1643.5768261964699</v>
      </c>
      <c r="G1533" s="1">
        <v>5</v>
      </c>
      <c r="H1533" s="1">
        <v>2</v>
      </c>
      <c r="I1533" s="1">
        <v>3</v>
      </c>
      <c r="J1533" s="1">
        <v>2.5</v>
      </c>
      <c r="K1533" s="1">
        <v>2</v>
      </c>
      <c r="L1533" s="1">
        <v>1</v>
      </c>
      <c r="M1533" s="4">
        <v>1588</v>
      </c>
      <c r="N1533" s="1">
        <v>2527</v>
      </c>
      <c r="O1533" s="1">
        <v>4642</v>
      </c>
      <c r="P1533" s="1">
        <v>2115</v>
      </c>
      <c r="Q1533" s="1" t="s">
        <v>105</v>
      </c>
      <c r="S1533" s="1" t="s">
        <v>105</v>
      </c>
      <c r="T1533" s="1" t="s">
        <v>273</v>
      </c>
      <c r="U1533" s="1">
        <v>335</v>
      </c>
      <c r="V1533" s="5">
        <v>44369</v>
      </c>
      <c r="W1533" s="5">
        <v>44019</v>
      </c>
      <c r="X1533" s="1">
        <v>3150000</v>
      </c>
      <c r="Y1533" s="1">
        <v>3150000</v>
      </c>
      <c r="AA1533" s="1">
        <v>2610000</v>
      </c>
      <c r="AB1533" s="1" t="s">
        <v>279</v>
      </c>
      <c r="AC1533" s="5">
        <v>44354</v>
      </c>
      <c r="AF1533" s="1">
        <v>10007</v>
      </c>
      <c r="AI1533" s="1" t="s">
        <v>52</v>
      </c>
      <c r="AJ1533" s="1">
        <v>1930</v>
      </c>
      <c r="AK1533" s="1" t="s">
        <v>49</v>
      </c>
      <c r="AL1533" s="1">
        <v>156</v>
      </c>
    </row>
    <row r="1534" spans="1:38" x14ac:dyDescent="0.2">
      <c r="A1534" s="2" t="str">
        <f>HYPERLINK("https://www.compass.com/listing/100-barclay-street-unit-12d-manhattan-ny-10007/50866895590625825/","100 Barclay St, Unit 12D")</f>
        <v>100 Barclay St, Unit 12D</v>
      </c>
      <c r="B1534" s="2" t="str">
        <f t="shared" si="225"/>
        <v>100 Barclay</v>
      </c>
      <c r="C1534" s="1" t="s">
        <v>50</v>
      </c>
      <c r="D1534" s="1" t="s">
        <v>41</v>
      </c>
      <c r="E1534" s="3">
        <v>2514059</v>
      </c>
      <c r="F1534" s="1">
        <v>1839.10680321872</v>
      </c>
      <c r="G1534" s="1">
        <v>4</v>
      </c>
      <c r="H1534" s="1">
        <v>2</v>
      </c>
      <c r="I1534" s="1">
        <v>2</v>
      </c>
      <c r="J1534" s="1">
        <v>2</v>
      </c>
      <c r="K1534" s="1">
        <v>2</v>
      </c>
      <c r="M1534" s="4">
        <v>1367</v>
      </c>
      <c r="N1534" s="1">
        <v>1754</v>
      </c>
      <c r="O1534" s="1">
        <v>3431</v>
      </c>
      <c r="P1534" s="1">
        <v>1677</v>
      </c>
      <c r="Q1534" s="1" t="s">
        <v>105</v>
      </c>
      <c r="S1534" s="1" t="s">
        <v>105</v>
      </c>
      <c r="T1534" s="1" t="s">
        <v>273</v>
      </c>
      <c r="V1534" s="5">
        <v>44362</v>
      </c>
      <c r="W1534" s="5">
        <v>42477</v>
      </c>
      <c r="X1534" s="1">
        <v>2550000</v>
      </c>
      <c r="Y1534" s="1">
        <v>2550000</v>
      </c>
      <c r="Z1534" s="5">
        <v>42477</v>
      </c>
      <c r="AA1534" s="1">
        <v>2514059</v>
      </c>
      <c r="AB1534" s="1" t="s">
        <v>785</v>
      </c>
      <c r="AC1534" s="5">
        <v>42753</v>
      </c>
      <c r="AF1534" s="1">
        <v>10007</v>
      </c>
      <c r="AI1534" s="1" t="s">
        <v>52</v>
      </c>
      <c r="AJ1534" s="1">
        <v>1930</v>
      </c>
      <c r="AK1534" s="1" t="s">
        <v>46</v>
      </c>
      <c r="AL1534" s="1">
        <v>156</v>
      </c>
    </row>
    <row r="1535" spans="1:38" x14ac:dyDescent="0.2">
      <c r="A1535" s="2" t="str">
        <f>HYPERLINK("https://www.compass.com/listing/100-barclay-street-unit-15h-manhattan-ny-10007/801630091637649665/","100 Barclay St, Unit 15H")</f>
        <v>100 Barclay St, Unit 15H</v>
      </c>
      <c r="B1535" s="2" t="str">
        <f t="shared" si="225"/>
        <v>100 Barclay</v>
      </c>
      <c r="C1535" s="1" t="s">
        <v>50</v>
      </c>
      <c r="D1535" s="1" t="s">
        <v>41</v>
      </c>
      <c r="E1535" s="3">
        <v>3103626</v>
      </c>
      <c r="F1535" s="1">
        <v>1744.59021922428</v>
      </c>
      <c r="G1535" s="1">
        <v>7</v>
      </c>
      <c r="H1535" s="1">
        <v>2</v>
      </c>
      <c r="I1535" s="1">
        <v>3</v>
      </c>
      <c r="J1535" s="1">
        <v>3</v>
      </c>
      <c r="K1535" s="1">
        <v>3</v>
      </c>
      <c r="M1535" s="4">
        <v>1779</v>
      </c>
      <c r="N1535" s="1">
        <v>2283</v>
      </c>
      <c r="O1535" s="1">
        <v>4466</v>
      </c>
      <c r="P1535" s="1">
        <v>2183</v>
      </c>
      <c r="Q1535" s="1" t="s">
        <v>105</v>
      </c>
      <c r="S1535" s="1" t="s">
        <v>105</v>
      </c>
      <c r="T1535" s="1" t="s">
        <v>273</v>
      </c>
      <c r="V1535" s="5">
        <v>44384</v>
      </c>
      <c r="W1535" s="5">
        <v>42475</v>
      </c>
      <c r="X1535" s="1">
        <v>3150000</v>
      </c>
      <c r="Y1535" s="1">
        <v>3150000</v>
      </c>
      <c r="Z1535" s="5">
        <v>42476</v>
      </c>
      <c r="AA1535" s="1">
        <v>3103626</v>
      </c>
      <c r="AB1535" s="1" t="s">
        <v>280</v>
      </c>
      <c r="AC1535" s="5">
        <v>42773</v>
      </c>
      <c r="AF1535" s="1">
        <v>10007</v>
      </c>
      <c r="AI1535" s="1" t="s">
        <v>52</v>
      </c>
      <c r="AJ1535" s="1">
        <v>1930</v>
      </c>
      <c r="AK1535" s="1" t="s">
        <v>49</v>
      </c>
      <c r="AL1535" s="1">
        <v>156</v>
      </c>
    </row>
    <row r="1536" spans="1:38" x14ac:dyDescent="0.2">
      <c r="A1536" s="2" t="str">
        <f>HYPERLINK("https://www.compass.com/listing/100-barclay-street-unit-13d-manhattan-ny-10007/4852270770606316577/","100 Barclay St, Unit 13D")</f>
        <v>100 Barclay St, Unit 13D</v>
      </c>
      <c r="B1536" s="2" t="str">
        <f t="shared" si="225"/>
        <v>100 Barclay</v>
      </c>
      <c r="C1536" s="1" t="s">
        <v>50</v>
      </c>
      <c r="D1536" s="1" t="s">
        <v>41</v>
      </c>
      <c r="E1536" s="3">
        <v>3139265</v>
      </c>
      <c r="F1536" s="1">
        <v>1976.86712846347</v>
      </c>
      <c r="G1536" s="1">
        <v>4</v>
      </c>
      <c r="H1536" s="1">
        <v>2</v>
      </c>
      <c r="I1536" s="1">
        <v>3</v>
      </c>
      <c r="J1536" s="1">
        <v>2.5</v>
      </c>
      <c r="K1536" s="1">
        <v>2</v>
      </c>
      <c r="L1536" s="1">
        <v>1</v>
      </c>
      <c r="M1536" s="4">
        <v>1588</v>
      </c>
      <c r="N1536" s="1">
        <v>1983</v>
      </c>
      <c r="O1536" s="1">
        <v>3928</v>
      </c>
      <c r="P1536" s="1">
        <v>1945</v>
      </c>
      <c r="Q1536" s="1" t="s">
        <v>105</v>
      </c>
      <c r="S1536" s="1" t="s">
        <v>105</v>
      </c>
      <c r="T1536" s="1" t="s">
        <v>273</v>
      </c>
      <c r="V1536" s="5">
        <v>44359</v>
      </c>
      <c r="W1536" s="5">
        <v>42152</v>
      </c>
      <c r="X1536" s="1">
        <v>3176000</v>
      </c>
      <c r="Y1536" s="1">
        <v>3176000</v>
      </c>
      <c r="Z1536" s="5">
        <v>42152</v>
      </c>
      <c r="AA1536" s="1">
        <v>3139265</v>
      </c>
      <c r="AB1536" s="1" t="s">
        <v>786</v>
      </c>
      <c r="AC1536" s="5">
        <v>42754</v>
      </c>
      <c r="AF1536" s="1">
        <v>10007</v>
      </c>
      <c r="AI1536" s="1" t="s">
        <v>580</v>
      </c>
      <c r="AJ1536" s="1">
        <v>1930</v>
      </c>
      <c r="AK1536" s="1" t="s">
        <v>46</v>
      </c>
      <c r="AL1536" s="1">
        <v>156</v>
      </c>
    </row>
    <row r="1537" spans="1:38" x14ac:dyDescent="0.2">
      <c r="A1537" s="2" t="str">
        <f>HYPERLINK("https://www.compass.com/listing/100-barclay-street-unit-22d-manhattan-ny-10007/4852262774492894753/","100 Barclay St, Unit 22D")</f>
        <v>100 Barclay St, Unit 22D</v>
      </c>
      <c r="B1537" s="2" t="str">
        <f t="shared" si="225"/>
        <v>100 Barclay</v>
      </c>
      <c r="C1537" s="1" t="s">
        <v>50</v>
      </c>
      <c r="D1537" s="1" t="s">
        <v>41</v>
      </c>
      <c r="E1537" s="3">
        <v>5100000</v>
      </c>
      <c r="F1537" s="1">
        <v>2181.35158254918</v>
      </c>
      <c r="G1537" s="1">
        <v>7</v>
      </c>
      <c r="H1537" s="1">
        <v>3</v>
      </c>
      <c r="I1537" s="1">
        <v>4</v>
      </c>
      <c r="J1537" s="1">
        <v>3.5</v>
      </c>
      <c r="M1537" s="4">
        <v>2338</v>
      </c>
      <c r="N1537" s="1">
        <v>3000</v>
      </c>
      <c r="O1537" s="1">
        <v>5869</v>
      </c>
      <c r="P1537" s="1">
        <v>2869</v>
      </c>
      <c r="Q1537" s="1" t="s">
        <v>42</v>
      </c>
      <c r="S1537" s="1" t="s">
        <v>42</v>
      </c>
      <c r="T1537" s="1" t="s">
        <v>273</v>
      </c>
      <c r="U1537" s="1">
        <v>453</v>
      </c>
      <c r="V1537" s="5">
        <v>42810</v>
      </c>
      <c r="W1537" s="5">
        <v>42033</v>
      </c>
      <c r="X1537" s="1">
        <v>5200000</v>
      </c>
      <c r="Y1537" s="1">
        <v>5200000</v>
      </c>
      <c r="Z1537" s="5">
        <v>42487</v>
      </c>
      <c r="AA1537" s="1">
        <v>5100000</v>
      </c>
      <c r="AB1537" s="1" t="s">
        <v>787</v>
      </c>
      <c r="AC1537" s="5">
        <v>42536</v>
      </c>
      <c r="AF1537" s="1">
        <v>10007</v>
      </c>
      <c r="AI1537" s="1" t="s">
        <v>52</v>
      </c>
      <c r="AJ1537" s="1">
        <v>1930</v>
      </c>
      <c r="AK1537" s="1" t="s">
        <v>49</v>
      </c>
      <c r="AL1537" s="1">
        <v>156</v>
      </c>
    </row>
    <row r="1538" spans="1:38" x14ac:dyDescent="0.2">
      <c r="A1538" s="2" t="str">
        <f>HYPERLINK("https://www.compass.com/listing/100-barclay-street-unit-26a-manhattan-ny-10007/44889321832008129/","100 Barclay St, Unit 26A")</f>
        <v>100 Barclay St, Unit 26A</v>
      </c>
      <c r="B1538" s="2" t="str">
        <f t="shared" si="225"/>
        <v>100 Barclay</v>
      </c>
      <c r="C1538" s="1" t="s">
        <v>50</v>
      </c>
      <c r="D1538" s="1" t="s">
        <v>41</v>
      </c>
      <c r="E1538" s="3">
        <v>6174000</v>
      </c>
      <c r="F1538" s="1">
        <v>2075.2941176470499</v>
      </c>
      <c r="G1538" s="1">
        <v>8</v>
      </c>
      <c r="H1538" s="1">
        <v>4</v>
      </c>
      <c r="I1538" s="1">
        <v>4</v>
      </c>
      <c r="J1538" s="1">
        <v>4</v>
      </c>
      <c r="K1538" s="1">
        <v>4</v>
      </c>
      <c r="M1538" s="4">
        <v>2975</v>
      </c>
      <c r="N1538" s="1">
        <v>3678</v>
      </c>
      <c r="O1538" s="1">
        <v>7670</v>
      </c>
      <c r="P1538" s="1">
        <v>3992</v>
      </c>
      <c r="Q1538" s="1" t="s">
        <v>42</v>
      </c>
      <c r="S1538" s="1" t="s">
        <v>42</v>
      </c>
      <c r="T1538" s="1" t="s">
        <v>273</v>
      </c>
      <c r="U1538" s="1">
        <v>1</v>
      </c>
      <c r="V1538" s="5">
        <v>44417</v>
      </c>
      <c r="W1538" s="5">
        <v>43860</v>
      </c>
      <c r="Y1538" s="1">
        <v>6700000</v>
      </c>
      <c r="Z1538" s="5">
        <v>43861</v>
      </c>
      <c r="AA1538" s="1">
        <v>6174000</v>
      </c>
      <c r="AB1538" s="1" t="s">
        <v>788</v>
      </c>
      <c r="AC1538" s="5">
        <v>43949</v>
      </c>
      <c r="AF1538" s="1">
        <v>10007</v>
      </c>
      <c r="AI1538" s="1" t="s">
        <v>52</v>
      </c>
      <c r="AJ1538" s="1">
        <v>1930</v>
      </c>
      <c r="AK1538" s="1" t="s">
        <v>46</v>
      </c>
      <c r="AL1538" s="1">
        <v>156</v>
      </c>
    </row>
    <row r="1539" spans="1:38" x14ac:dyDescent="0.2">
      <c r="A1539" s="2" t="str">
        <f>HYPERLINK("https://www.compass.com/listing/225-west-17th-street-unit-ph4-manhattan-ny-10011/186152353131485265/","225 W 17th St, Unit PH4")</f>
        <v>225 W 17th St, Unit PH4</v>
      </c>
      <c r="B1539" s="2" t="str">
        <f>HYPERLINK("https://www.compass.com/building/225-west-17th-street-manhattan-ny/292802090781141541/","225 West 17th Street")</f>
        <v>225 West 17th Street</v>
      </c>
      <c r="C1539" s="1" t="s">
        <v>62</v>
      </c>
      <c r="D1539" s="1" t="s">
        <v>41</v>
      </c>
      <c r="E1539" s="3">
        <v>5925000</v>
      </c>
      <c r="F1539" s="1">
        <v>2126.70495333811</v>
      </c>
      <c r="G1539" s="1">
        <v>6.5</v>
      </c>
      <c r="H1539" s="1">
        <v>3</v>
      </c>
      <c r="I1539" s="1">
        <v>4</v>
      </c>
      <c r="J1539" s="1">
        <v>3.5</v>
      </c>
      <c r="K1539" s="1">
        <v>3</v>
      </c>
      <c r="L1539" s="1">
        <v>1</v>
      </c>
      <c r="M1539" s="4">
        <v>2786</v>
      </c>
      <c r="N1539" s="1">
        <v>1812</v>
      </c>
      <c r="O1539" s="1">
        <v>5546</v>
      </c>
      <c r="P1539" s="1">
        <v>3734</v>
      </c>
      <c r="Q1539" s="1" t="s">
        <v>42</v>
      </c>
      <c r="S1539" s="1" t="s">
        <v>42</v>
      </c>
      <c r="T1539" s="1" t="s">
        <v>273</v>
      </c>
      <c r="U1539" s="1">
        <v>131</v>
      </c>
      <c r="V1539" s="5">
        <v>44342</v>
      </c>
      <c r="W1539" s="5">
        <v>43510</v>
      </c>
      <c r="X1539" s="1">
        <v>6850000</v>
      </c>
      <c r="Y1539" s="1">
        <v>6495000</v>
      </c>
      <c r="Z1539" s="5">
        <v>43641</v>
      </c>
      <c r="AA1539" s="1">
        <v>5925000</v>
      </c>
      <c r="AB1539" s="1" t="s">
        <v>789</v>
      </c>
      <c r="AC1539" s="5">
        <v>43685</v>
      </c>
      <c r="AF1539" s="1">
        <v>10011</v>
      </c>
      <c r="AI1539" s="1" t="s">
        <v>216</v>
      </c>
      <c r="AJ1539" s="1">
        <v>2018</v>
      </c>
      <c r="AK1539" s="1" t="s">
        <v>146</v>
      </c>
      <c r="AL1539" s="1">
        <v>14</v>
      </c>
    </row>
    <row r="1540" spans="1:38" x14ac:dyDescent="0.2">
      <c r="A1540" s="2" t="str">
        <f>HYPERLINK("https://www.compass.com/listing/100-barclay-street-unit-29a-manhattan-ny-10007/4852279215099221425/","100 Barclay St, Unit 29A")</f>
        <v>100 Barclay St, Unit 29A</v>
      </c>
      <c r="B1540" s="2" t="str">
        <f>HYPERLINK("https://www.compass.com/building/100-barclay-manhattan-ny/281896670466155525/","100 Barclay")</f>
        <v>100 Barclay</v>
      </c>
      <c r="C1540" s="1" t="s">
        <v>50</v>
      </c>
      <c r="D1540" s="1" t="s">
        <v>41</v>
      </c>
      <c r="E1540" s="3">
        <v>8604213</v>
      </c>
      <c r="F1540" s="1">
        <v>2880.55339805825</v>
      </c>
      <c r="G1540" s="1">
        <v>8</v>
      </c>
      <c r="H1540" s="1">
        <v>3</v>
      </c>
      <c r="I1540" s="1">
        <v>4</v>
      </c>
      <c r="J1540" s="1">
        <v>4</v>
      </c>
      <c r="K1540" s="1">
        <v>4</v>
      </c>
      <c r="M1540" s="4">
        <v>2987</v>
      </c>
      <c r="N1540" s="1">
        <v>3730</v>
      </c>
      <c r="O1540" s="1">
        <v>7389</v>
      </c>
      <c r="P1540" s="1">
        <v>3659</v>
      </c>
      <c r="Q1540" s="1" t="s">
        <v>42</v>
      </c>
      <c r="S1540" s="1" t="s">
        <v>42</v>
      </c>
      <c r="T1540" s="1" t="s">
        <v>273</v>
      </c>
      <c r="V1540" s="5">
        <v>44225</v>
      </c>
      <c r="W1540" s="5">
        <v>42154</v>
      </c>
      <c r="X1540" s="1">
        <v>8450000</v>
      </c>
      <c r="Y1540" s="1">
        <v>8450000</v>
      </c>
      <c r="Z1540" s="5">
        <v>42154</v>
      </c>
      <c r="AA1540" s="1">
        <v>8604213</v>
      </c>
      <c r="AB1540" s="1" t="s">
        <v>790</v>
      </c>
      <c r="AC1540" s="5">
        <v>42500</v>
      </c>
      <c r="AF1540" s="1">
        <v>10007</v>
      </c>
      <c r="AI1540" s="1" t="s">
        <v>52</v>
      </c>
      <c r="AJ1540" s="1">
        <v>1930</v>
      </c>
      <c r="AK1540" s="1" t="s">
        <v>49</v>
      </c>
      <c r="AL1540" s="1">
        <v>156</v>
      </c>
    </row>
    <row r="1541" spans="1:38" x14ac:dyDescent="0.2">
      <c r="A1541" s="2" t="str">
        <f>HYPERLINK("https://www.compass.com/listing/49-chambers-street-unit-15b-manhattan-ny-10007/728535261782127537/","49 Chambers St, Unit 15B")</f>
        <v>49 Chambers St, Unit 15B</v>
      </c>
      <c r="B1541" s="2" t="str">
        <f>HYPERLINK("https://www.compass.com/building/49-chambers-manhattan-ny/282058733280852725/","49 Chambers")</f>
        <v>49 Chambers</v>
      </c>
      <c r="C1541" s="1" t="s">
        <v>50</v>
      </c>
      <c r="D1541" s="1" t="s">
        <v>41</v>
      </c>
      <c r="E1541" s="3">
        <v>3245000</v>
      </c>
      <c r="F1541" s="1">
        <v>1854.2857142857099</v>
      </c>
      <c r="G1541" s="1">
        <v>5.5</v>
      </c>
      <c r="H1541" s="1">
        <v>2</v>
      </c>
      <c r="I1541" s="1">
        <v>3</v>
      </c>
      <c r="J1541" s="1">
        <v>2.5</v>
      </c>
      <c r="K1541" s="1">
        <v>2</v>
      </c>
      <c r="L1541" s="1">
        <v>1</v>
      </c>
      <c r="M1541" s="4">
        <v>1750</v>
      </c>
      <c r="N1541" s="1">
        <v>1368</v>
      </c>
      <c r="O1541" s="1">
        <v>4137</v>
      </c>
      <c r="P1541" s="1">
        <v>2769</v>
      </c>
      <c r="Q1541" s="1" t="s">
        <v>42</v>
      </c>
      <c r="S1541" s="1" t="s">
        <v>42</v>
      </c>
      <c r="T1541" s="1" t="s">
        <v>273</v>
      </c>
      <c r="U1541" s="1">
        <v>21</v>
      </c>
      <c r="V1541" s="5">
        <v>44314</v>
      </c>
      <c r="W1541" s="5">
        <v>44236</v>
      </c>
      <c r="X1541" s="1">
        <v>3245000</v>
      </c>
      <c r="Y1541" s="1">
        <v>3245000</v>
      </c>
      <c r="Z1541" s="5">
        <v>44258</v>
      </c>
      <c r="AA1541" s="1">
        <v>3245000</v>
      </c>
      <c r="AB1541" s="1" t="s">
        <v>275</v>
      </c>
      <c r="AC1541" s="5">
        <v>44284</v>
      </c>
      <c r="AF1541" s="1">
        <v>10007</v>
      </c>
      <c r="AI1541" s="1" t="s">
        <v>114</v>
      </c>
      <c r="AJ1541" s="1">
        <v>1910</v>
      </c>
      <c r="AK1541" s="1" t="s">
        <v>49</v>
      </c>
      <c r="AL1541" s="1">
        <v>99</v>
      </c>
    </row>
    <row r="1542" spans="1:38" x14ac:dyDescent="0.2">
      <c r="A1542" s="2" t="str">
        <f>HYPERLINK("https://www.compass.com/listing/121-east-22nd-street-unit-n409-manhattan-ny-10010/221706889635858241/","121 E 22nd St, Unit N409")</f>
        <v>121 E 22nd St, Unit N409</v>
      </c>
      <c r="B1542" s="2" t="str">
        <f t="shared" ref="B1542:B1543" si="226">HYPERLINK("https://www.compass.com/building/121-e-22nd-manhattan-ny/292795784653461493/","121 E 22nd")</f>
        <v>121 E 22nd</v>
      </c>
      <c r="C1542" s="1" t="s">
        <v>64</v>
      </c>
      <c r="D1542" s="1" t="s">
        <v>41</v>
      </c>
      <c r="E1542" s="3">
        <v>2637267</v>
      </c>
      <c r="F1542" s="1">
        <v>1881.0748930099801</v>
      </c>
      <c r="G1542" s="1">
        <v>4</v>
      </c>
      <c r="H1542" s="1">
        <v>2</v>
      </c>
      <c r="I1542" s="1">
        <v>2</v>
      </c>
      <c r="J1542" s="1">
        <v>2</v>
      </c>
      <c r="K1542" s="1">
        <v>2</v>
      </c>
      <c r="M1542" s="4">
        <v>1402</v>
      </c>
      <c r="N1542" s="1">
        <v>1507</v>
      </c>
      <c r="O1542" s="1">
        <v>4183</v>
      </c>
      <c r="P1542" s="1">
        <v>2676</v>
      </c>
      <c r="Q1542" s="1" t="s">
        <v>42</v>
      </c>
      <c r="S1542" s="1" t="s">
        <v>42</v>
      </c>
      <c r="T1542" s="1" t="s">
        <v>273</v>
      </c>
      <c r="U1542" s="1">
        <v>34</v>
      </c>
      <c r="V1542" s="5">
        <v>44334</v>
      </c>
      <c r="W1542" s="5">
        <v>43558</v>
      </c>
      <c r="X1542" s="1">
        <v>2590000</v>
      </c>
      <c r="Y1542" s="1">
        <v>2590000</v>
      </c>
      <c r="Z1542" s="5">
        <v>43592</v>
      </c>
      <c r="AA1542" s="1">
        <v>2637267</v>
      </c>
      <c r="AB1542" s="1" t="s">
        <v>791</v>
      </c>
      <c r="AC1542" s="5">
        <v>43643</v>
      </c>
      <c r="AF1542" s="1">
        <v>10010</v>
      </c>
      <c r="AI1542" s="1" t="s">
        <v>148</v>
      </c>
      <c r="AJ1542" s="1">
        <v>2016</v>
      </c>
      <c r="AK1542" s="1" t="s">
        <v>46</v>
      </c>
      <c r="AL1542" s="1">
        <v>140</v>
      </c>
    </row>
    <row r="1543" spans="1:38" x14ac:dyDescent="0.2">
      <c r="A1543" s="2" t="str">
        <f>HYPERLINK("https://www.compass.com/listing/121-east-22nd-street-unit-n206-manhattan-ny-10010/34697595846685905/","121 E 22nd St, Unit N206")</f>
        <v>121 E 22nd St, Unit N206</v>
      </c>
      <c r="B1543" s="2" t="str">
        <f t="shared" si="226"/>
        <v>121 E 22nd</v>
      </c>
      <c r="C1543" s="1" t="s">
        <v>64</v>
      </c>
      <c r="D1543" s="1" t="s">
        <v>41</v>
      </c>
      <c r="E1543" s="3">
        <v>2596538</v>
      </c>
      <c r="F1543" s="1">
        <v>2008.1500386697601</v>
      </c>
      <c r="G1543" s="1">
        <v>4</v>
      </c>
      <c r="H1543" s="1">
        <v>2</v>
      </c>
      <c r="I1543" s="1">
        <v>2</v>
      </c>
      <c r="J1543" s="1">
        <v>2</v>
      </c>
      <c r="K1543" s="1">
        <v>2</v>
      </c>
      <c r="M1543" s="4">
        <v>1293</v>
      </c>
      <c r="N1543" s="1">
        <v>1297</v>
      </c>
      <c r="O1543" s="1">
        <v>3580</v>
      </c>
      <c r="P1543" s="1">
        <v>2283</v>
      </c>
      <c r="Q1543" s="1" t="s">
        <v>42</v>
      </c>
      <c r="S1543" s="1" t="s">
        <v>42</v>
      </c>
      <c r="T1543" s="1" t="s">
        <v>273</v>
      </c>
      <c r="V1543" s="5">
        <v>44373</v>
      </c>
      <c r="W1543" s="5">
        <v>43315</v>
      </c>
      <c r="X1543" s="1">
        <v>2550000</v>
      </c>
      <c r="Y1543" s="1">
        <v>2550000</v>
      </c>
      <c r="Z1543" s="5">
        <v>43315</v>
      </c>
      <c r="AA1543" s="1">
        <v>2596538</v>
      </c>
      <c r="AB1543" s="1" t="s">
        <v>792</v>
      </c>
      <c r="AC1543" s="5">
        <v>43550</v>
      </c>
      <c r="AF1543" s="1">
        <v>10010</v>
      </c>
      <c r="AI1543" s="1" t="s">
        <v>106</v>
      </c>
      <c r="AJ1543" s="1">
        <v>2016</v>
      </c>
      <c r="AK1543" s="1" t="s">
        <v>46</v>
      </c>
      <c r="AL1543" s="1">
        <v>140</v>
      </c>
    </row>
    <row r="1544" spans="1:38" x14ac:dyDescent="0.2">
      <c r="A1544" s="2" t="str">
        <f>HYPERLINK("https://www.compass.com/listing/45-east-22nd-street-unit-28a-manhattan-ny-10010/803362459540916345/","45 E 22nd St, Unit 28A")</f>
        <v>45 E 22nd St, Unit 28A</v>
      </c>
      <c r="B1544" s="2" t="str">
        <f>HYPERLINK("https://www.compass.com/building/madison-square-park-tower-manhattan-ny/281903584482705973/","Madison Square Park Tower")</f>
        <v>Madison Square Park Tower</v>
      </c>
      <c r="C1544" s="1" t="s">
        <v>56</v>
      </c>
      <c r="D1544" s="1" t="s">
        <v>41</v>
      </c>
      <c r="E1544" s="3">
        <v>5866932</v>
      </c>
      <c r="F1544" s="1">
        <v>3000.9882352941099</v>
      </c>
      <c r="G1544" s="1">
        <v>4</v>
      </c>
      <c r="H1544" s="1">
        <v>2</v>
      </c>
      <c r="I1544" s="1">
        <v>2</v>
      </c>
      <c r="J1544" s="1">
        <v>2</v>
      </c>
      <c r="K1544" s="1">
        <v>2</v>
      </c>
      <c r="M1544" s="4">
        <v>1955</v>
      </c>
      <c r="N1544" s="1">
        <v>2243</v>
      </c>
      <c r="O1544" s="1">
        <v>5652</v>
      </c>
      <c r="P1544" s="1">
        <v>3409</v>
      </c>
      <c r="Q1544" s="1" t="s">
        <v>42</v>
      </c>
      <c r="S1544" s="1" t="s">
        <v>42</v>
      </c>
      <c r="T1544" s="1" t="s">
        <v>273</v>
      </c>
      <c r="U1544" s="1">
        <v>96</v>
      </c>
      <c r="V1544" s="5">
        <v>42973</v>
      </c>
      <c r="W1544" s="5">
        <v>42090</v>
      </c>
      <c r="X1544" s="1">
        <v>5735000</v>
      </c>
      <c r="Y1544" s="1">
        <v>5735000</v>
      </c>
      <c r="Z1544" s="5">
        <v>42186</v>
      </c>
      <c r="AA1544" s="1">
        <v>5866932</v>
      </c>
      <c r="AB1544" s="1" t="s">
        <v>793</v>
      </c>
      <c r="AC1544" s="5">
        <v>42954</v>
      </c>
      <c r="AF1544" s="1">
        <v>10010</v>
      </c>
      <c r="AI1544" s="1" t="s">
        <v>48</v>
      </c>
      <c r="AJ1544" s="1">
        <v>2016</v>
      </c>
      <c r="AK1544" s="1" t="s">
        <v>46</v>
      </c>
      <c r="AL1544" s="1">
        <v>83</v>
      </c>
    </row>
    <row r="1545" spans="1:38" x14ac:dyDescent="0.2">
      <c r="A1545" s="2" t="str">
        <f>HYPERLINK("https://www.compass.com/listing/30-warren-street-unit-8b-manhattan-ny-10007/29580276791253617/","30 Warren St, Unit 8B")</f>
        <v>30 Warren St, Unit 8B</v>
      </c>
      <c r="B1545" s="2" t="str">
        <f>HYPERLINK("https://www.compass.com/building/30-warren-manhattan-ny/292789104075095813/","30 WARREN")</f>
        <v>30 WARREN</v>
      </c>
      <c r="C1545" s="1" t="s">
        <v>50</v>
      </c>
      <c r="D1545" s="1" t="s">
        <v>41</v>
      </c>
      <c r="E1545" s="3">
        <v>4200000</v>
      </c>
      <c r="F1545" s="1">
        <v>2560.9756097560899</v>
      </c>
      <c r="G1545" s="1">
        <v>4</v>
      </c>
      <c r="H1545" s="1">
        <v>2</v>
      </c>
      <c r="I1545" s="1">
        <v>2</v>
      </c>
      <c r="J1545" s="1">
        <v>2</v>
      </c>
      <c r="K1545" s="1">
        <v>2</v>
      </c>
      <c r="M1545" s="4">
        <v>1640</v>
      </c>
      <c r="N1545" s="1">
        <v>2308.42</v>
      </c>
      <c r="O1545" s="1">
        <v>4240.3900000000003</v>
      </c>
      <c r="P1545" s="1">
        <v>1932</v>
      </c>
      <c r="Q1545" s="1" t="s">
        <v>42</v>
      </c>
      <c r="S1545" s="1" t="s">
        <v>42</v>
      </c>
      <c r="T1545" s="1" t="s">
        <v>273</v>
      </c>
      <c r="U1545" s="1">
        <v>30</v>
      </c>
      <c r="V1545" s="5">
        <v>44366</v>
      </c>
      <c r="W1545" s="5">
        <v>44272</v>
      </c>
      <c r="Y1545" s="1">
        <v>4325000</v>
      </c>
      <c r="Z1545" s="5">
        <v>44309</v>
      </c>
      <c r="AA1545" s="1">
        <v>4200000</v>
      </c>
      <c r="AB1545" s="1" t="s">
        <v>794</v>
      </c>
      <c r="AC1545" s="5">
        <v>44364</v>
      </c>
      <c r="AF1545" s="1">
        <v>10007</v>
      </c>
      <c r="AI1545" s="1" t="s">
        <v>131</v>
      </c>
      <c r="AJ1545" s="1">
        <v>2017</v>
      </c>
      <c r="AK1545" s="1" t="s">
        <v>125</v>
      </c>
      <c r="AL1545" s="1">
        <v>23</v>
      </c>
    </row>
    <row r="1546" spans="1:38" x14ac:dyDescent="0.2">
      <c r="A1546" s="2" t="str">
        <f>HYPERLINK("https://www.compass.com/listing/45-east-22nd-street-unit-38a-manhattan-ny-10010/192575211416161473/","45 E 22nd St, Unit 38A")</f>
        <v>45 E 22nd St, Unit 38A</v>
      </c>
      <c r="B1546" s="2" t="str">
        <f t="shared" ref="B1546:B1547" si="227">HYPERLINK("https://www.compass.com/building/madison-square-park-tower-manhattan-ny/281903584482705973/","Madison Square Park Tower")</f>
        <v>Madison Square Park Tower</v>
      </c>
      <c r="C1546" s="1" t="s">
        <v>56</v>
      </c>
      <c r="D1546" s="1" t="s">
        <v>41</v>
      </c>
      <c r="E1546" s="3">
        <v>6400000</v>
      </c>
      <c r="F1546" s="1">
        <v>3085.82449373191</v>
      </c>
      <c r="G1546" s="1">
        <v>4</v>
      </c>
      <c r="H1546" s="1">
        <v>2</v>
      </c>
      <c r="I1546" s="1">
        <v>2</v>
      </c>
      <c r="J1546" s="1">
        <v>2</v>
      </c>
      <c r="K1546" s="1">
        <v>2</v>
      </c>
      <c r="M1546" s="4">
        <v>2074</v>
      </c>
      <c r="N1546" s="1">
        <v>2489</v>
      </c>
      <c r="O1546" s="1">
        <v>6273</v>
      </c>
      <c r="P1546" s="1">
        <v>3784</v>
      </c>
      <c r="Q1546" s="1" t="s">
        <v>42</v>
      </c>
      <c r="S1546" s="1" t="s">
        <v>42</v>
      </c>
      <c r="T1546" s="1" t="s">
        <v>273</v>
      </c>
      <c r="U1546" s="1">
        <v>53</v>
      </c>
      <c r="V1546" s="5">
        <v>44323</v>
      </c>
      <c r="W1546" s="5">
        <v>42636</v>
      </c>
      <c r="AA1546" s="1">
        <v>6400000</v>
      </c>
      <c r="AB1546" s="1" t="s">
        <v>287</v>
      </c>
      <c r="AC1546" s="5">
        <v>44302</v>
      </c>
      <c r="AF1546" s="1">
        <v>10010</v>
      </c>
      <c r="AI1546" s="1" t="s">
        <v>48</v>
      </c>
      <c r="AJ1546" s="1">
        <v>2016</v>
      </c>
      <c r="AK1546" s="1" t="s">
        <v>46</v>
      </c>
      <c r="AL1546" s="1">
        <v>83</v>
      </c>
    </row>
    <row r="1547" spans="1:38" x14ac:dyDescent="0.2">
      <c r="A1547" s="2" t="str">
        <f>HYPERLINK("https://www.compass.com/listing/45-east-22nd-street-unit-36a-manhattan-ny-10010/803303456580133233/","45 E 22nd St, Unit 36A")</f>
        <v>45 E 22nd St, Unit 36A</v>
      </c>
      <c r="B1547" s="2" t="str">
        <f t="shared" si="227"/>
        <v>Madison Square Park Tower</v>
      </c>
      <c r="C1547" s="1" t="s">
        <v>56</v>
      </c>
      <c r="D1547" s="1" t="s">
        <v>41</v>
      </c>
      <c r="E1547" s="3">
        <v>7228723</v>
      </c>
      <c r="F1547" s="1">
        <v>3521.05367754505</v>
      </c>
      <c r="G1547" s="1">
        <v>4</v>
      </c>
      <c r="H1547" s="1">
        <v>2</v>
      </c>
      <c r="I1547" s="1">
        <v>2</v>
      </c>
      <c r="J1547" s="1">
        <v>2</v>
      </c>
      <c r="K1547" s="1">
        <v>2</v>
      </c>
      <c r="M1547" s="4">
        <v>2053</v>
      </c>
      <c r="N1547" s="1">
        <v>2442</v>
      </c>
      <c r="O1547" s="1">
        <v>6155</v>
      </c>
      <c r="P1547" s="1">
        <v>3713</v>
      </c>
      <c r="Q1547" s="1" t="s">
        <v>42</v>
      </c>
      <c r="S1547" s="1" t="s">
        <v>42</v>
      </c>
      <c r="T1547" s="1" t="s">
        <v>273</v>
      </c>
      <c r="V1547" s="5">
        <v>43024</v>
      </c>
      <c r="W1547" s="5">
        <v>42902</v>
      </c>
      <c r="X1547" s="1">
        <v>7070000</v>
      </c>
      <c r="Y1547" s="1">
        <v>7070000</v>
      </c>
      <c r="Z1547" s="5">
        <v>42220</v>
      </c>
      <c r="AA1547" s="1">
        <v>7228723.2000000002</v>
      </c>
      <c r="AB1547" s="1" t="s">
        <v>741</v>
      </c>
      <c r="AC1547" s="5">
        <v>42940</v>
      </c>
      <c r="AF1547" s="1">
        <v>10010</v>
      </c>
      <c r="AI1547" s="1" t="s">
        <v>48</v>
      </c>
      <c r="AJ1547" s="1">
        <v>2016</v>
      </c>
      <c r="AK1547" s="1" t="s">
        <v>46</v>
      </c>
      <c r="AL1547" s="1">
        <v>83</v>
      </c>
    </row>
    <row r="1548" spans="1:38" x14ac:dyDescent="0.2">
      <c r="A1548" s="2" t="str">
        <f>HYPERLINK("https://www.compass.com/listing/100-barclay-street-unit-12j-manhattan-ny-10007/4852264068829946577/","100 Barclay St, Unit 12J")</f>
        <v>100 Barclay St, Unit 12J</v>
      </c>
      <c r="B1548" s="2" t="str">
        <f t="shared" ref="B1548:B1549" si="228">HYPERLINK("https://www.compass.com/building/100-barclay-manhattan-ny/281896670466155525/","100 Barclay")</f>
        <v>100 Barclay</v>
      </c>
      <c r="C1548" s="1" t="s">
        <v>50</v>
      </c>
      <c r="D1548" s="1" t="s">
        <v>41</v>
      </c>
      <c r="E1548" s="3">
        <v>1425550</v>
      </c>
      <c r="F1548" s="1">
        <v>1352.5142314990501</v>
      </c>
      <c r="G1548" s="1">
        <v>4</v>
      </c>
      <c r="H1548" s="1">
        <v>1</v>
      </c>
      <c r="I1548" s="1">
        <v>2</v>
      </c>
      <c r="J1548" s="1">
        <v>1.5</v>
      </c>
      <c r="K1548" s="1">
        <v>1</v>
      </c>
      <c r="L1548" s="1">
        <v>1</v>
      </c>
      <c r="M1548" s="4">
        <v>1054</v>
      </c>
      <c r="N1548" s="1">
        <v>1352</v>
      </c>
      <c r="O1548" s="1">
        <v>2645</v>
      </c>
      <c r="P1548" s="1">
        <v>1293</v>
      </c>
      <c r="Q1548" s="1" t="s">
        <v>105</v>
      </c>
      <c r="S1548" s="1" t="s">
        <v>105</v>
      </c>
      <c r="T1548" s="1" t="s">
        <v>273</v>
      </c>
      <c r="V1548" s="5">
        <v>44338</v>
      </c>
      <c r="W1548" s="5">
        <v>42477</v>
      </c>
      <c r="X1548" s="1">
        <v>1502000</v>
      </c>
      <c r="Y1548" s="1">
        <v>1502000</v>
      </c>
      <c r="Z1548" s="5">
        <v>42477</v>
      </c>
      <c r="AA1548" s="1">
        <v>1425550</v>
      </c>
      <c r="AB1548" s="1" t="s">
        <v>795</v>
      </c>
      <c r="AC1548" s="5">
        <v>42746</v>
      </c>
      <c r="AF1548" s="1">
        <v>10007</v>
      </c>
      <c r="AI1548" s="1" t="s">
        <v>52</v>
      </c>
      <c r="AJ1548" s="1">
        <v>1930</v>
      </c>
      <c r="AK1548" s="1" t="s">
        <v>46</v>
      </c>
      <c r="AL1548" s="1">
        <v>156</v>
      </c>
    </row>
    <row r="1549" spans="1:38" x14ac:dyDescent="0.2">
      <c r="A1549" s="2" t="str">
        <f>HYPERLINK("https://www.compass.com/listing/100-barclay-street-unit-17p-manhattan-ny-10007/783177096342499593/","100 Barclay St, Unit 17P")</f>
        <v>100 Barclay St, Unit 17P</v>
      </c>
      <c r="B1549" s="2" t="str">
        <f t="shared" si="228"/>
        <v>100 Barclay</v>
      </c>
      <c r="C1549" s="1" t="s">
        <v>50</v>
      </c>
      <c r="D1549" s="1" t="s">
        <v>41</v>
      </c>
      <c r="E1549" s="3">
        <v>6180250</v>
      </c>
      <c r="F1549" s="1">
        <v>2043.0578512396601</v>
      </c>
      <c r="G1549" s="1">
        <v>6</v>
      </c>
      <c r="H1549" s="1">
        <v>4</v>
      </c>
      <c r="I1549" s="1">
        <v>5</v>
      </c>
      <c r="J1549" s="1">
        <v>5</v>
      </c>
      <c r="K1549" s="1">
        <v>5</v>
      </c>
      <c r="M1549" s="4">
        <v>3025</v>
      </c>
      <c r="N1549" s="1">
        <v>3881</v>
      </c>
      <c r="O1549" s="1">
        <v>7593</v>
      </c>
      <c r="P1549" s="1">
        <v>3712</v>
      </c>
      <c r="Q1549" s="1" t="s">
        <v>42</v>
      </c>
      <c r="S1549" s="1" t="s">
        <v>42</v>
      </c>
      <c r="T1549" s="1" t="s">
        <v>273</v>
      </c>
      <c r="U1549" s="1">
        <v>122</v>
      </c>
      <c r="V1549" s="5">
        <v>42962</v>
      </c>
      <c r="W1549" s="5">
        <v>42660</v>
      </c>
      <c r="X1549" s="1">
        <v>6995000</v>
      </c>
      <c r="Y1549" s="1">
        <v>6995000</v>
      </c>
      <c r="AA1549" s="1">
        <v>6180250</v>
      </c>
      <c r="AB1549" s="1" t="s">
        <v>796</v>
      </c>
      <c r="AC1549" s="5">
        <v>43076</v>
      </c>
      <c r="AF1549" s="1">
        <v>10007</v>
      </c>
      <c r="AI1549" s="1" t="s">
        <v>52</v>
      </c>
      <c r="AJ1549" s="1">
        <v>1930</v>
      </c>
      <c r="AK1549" s="1" t="s">
        <v>46</v>
      </c>
      <c r="AL1549" s="1">
        <v>156</v>
      </c>
    </row>
    <row r="1550" spans="1:38" x14ac:dyDescent="0.2">
      <c r="A1550" s="2" t="str">
        <f>HYPERLINK("https://www.compass.com/listing/225-west-17th-street-unit-ph2-manhattan-ny-10011/284724223136506497/","225 W 17th St, Unit PH2")</f>
        <v>225 W 17th St, Unit PH2</v>
      </c>
      <c r="B1550" s="2" t="str">
        <f>HYPERLINK("https://www.compass.com/building/225-west-17th-street-manhattan-ny/292802090781141541/","225 West 17th Street")</f>
        <v>225 West 17th Street</v>
      </c>
      <c r="C1550" s="1" t="s">
        <v>62</v>
      </c>
      <c r="D1550" s="1" t="s">
        <v>41</v>
      </c>
      <c r="E1550" s="3">
        <v>6150000</v>
      </c>
      <c r="F1550" s="1">
        <v>2485.8528698464002</v>
      </c>
      <c r="G1550" s="1">
        <v>6</v>
      </c>
      <c r="H1550" s="1">
        <v>3</v>
      </c>
      <c r="I1550" s="1">
        <v>4</v>
      </c>
      <c r="J1550" s="1">
        <v>3.5</v>
      </c>
      <c r="K1550" s="1">
        <v>3</v>
      </c>
      <c r="L1550" s="1">
        <v>1</v>
      </c>
      <c r="M1550" s="4">
        <v>2474</v>
      </c>
      <c r="N1550" s="1">
        <v>1564</v>
      </c>
      <c r="O1550" s="1">
        <v>4952</v>
      </c>
      <c r="P1550" s="1">
        <v>3388</v>
      </c>
      <c r="Q1550" s="1" t="s">
        <v>42</v>
      </c>
      <c r="S1550" s="1" t="s">
        <v>42</v>
      </c>
      <c r="T1550" s="1" t="s">
        <v>273</v>
      </c>
      <c r="V1550" s="5">
        <v>43647</v>
      </c>
      <c r="W1550" s="5">
        <v>43644</v>
      </c>
      <c r="X1550" s="1">
        <v>6150000</v>
      </c>
      <c r="Y1550" s="1">
        <v>6150000</v>
      </c>
      <c r="Z1550" s="5">
        <v>43645</v>
      </c>
      <c r="AA1550" s="1">
        <v>6150000</v>
      </c>
      <c r="AB1550" s="1" t="s">
        <v>275</v>
      </c>
      <c r="AC1550" s="5">
        <v>43647</v>
      </c>
      <c r="AF1550" s="1">
        <v>10011</v>
      </c>
      <c r="AI1550" s="1" t="s">
        <v>216</v>
      </c>
      <c r="AJ1550" s="1">
        <v>2018</v>
      </c>
      <c r="AK1550" s="1" t="s">
        <v>143</v>
      </c>
      <c r="AL1550" s="1">
        <v>14</v>
      </c>
    </row>
    <row r="1551" spans="1:38" x14ac:dyDescent="0.2">
      <c r="A1551" s="2" t="str">
        <f>HYPERLINK("https://www.compass.com/listing/55-west-17th-street-unit-802-manhattan-ny-10011/4853137737672308369/","55 W 17th St, Unit 802")</f>
        <v>55 W 17th St, Unit 802</v>
      </c>
      <c r="B1551" s="2" t="str">
        <f>HYPERLINK("https://www.compass.com/building/55-w-17th-st-manhattan-ny-10011/281911689161499829/","55 W 17th St")</f>
        <v>55 W 17th St</v>
      </c>
      <c r="C1551" s="1" t="s">
        <v>56</v>
      </c>
      <c r="D1551" s="1" t="s">
        <v>41</v>
      </c>
      <c r="E1551" s="3">
        <v>1711990</v>
      </c>
      <c r="F1551" s="1">
        <v>2164.3362831858399</v>
      </c>
      <c r="G1551" s="1">
        <v>3</v>
      </c>
      <c r="H1551" s="1">
        <v>1</v>
      </c>
      <c r="I1551" s="1">
        <v>1</v>
      </c>
      <c r="J1551" s="1">
        <v>1</v>
      </c>
      <c r="M1551" s="1">
        <v>791</v>
      </c>
      <c r="N1551" s="1">
        <v>983</v>
      </c>
      <c r="O1551" s="1">
        <v>2141</v>
      </c>
      <c r="P1551" s="1">
        <v>1158</v>
      </c>
      <c r="Q1551" s="1" t="s">
        <v>42</v>
      </c>
      <c r="S1551" s="1" t="s">
        <v>42</v>
      </c>
      <c r="T1551" s="1" t="s">
        <v>273</v>
      </c>
      <c r="U1551" s="1">
        <v>31</v>
      </c>
      <c r="V1551" s="5">
        <v>43648</v>
      </c>
      <c r="W1551" s="5">
        <v>42424</v>
      </c>
      <c r="X1551" s="1">
        <v>1711990</v>
      </c>
      <c r="Y1551" s="1">
        <v>1711990</v>
      </c>
      <c r="Z1551" s="5">
        <v>42455</v>
      </c>
      <c r="AA1551" s="1">
        <v>1711990</v>
      </c>
      <c r="AB1551" s="1" t="s">
        <v>797</v>
      </c>
      <c r="AC1551" s="5">
        <v>43222</v>
      </c>
      <c r="AF1551" s="1">
        <v>10011</v>
      </c>
      <c r="AI1551" s="1" t="s">
        <v>102</v>
      </c>
      <c r="AJ1551" s="1">
        <v>2018</v>
      </c>
      <c r="AK1551" s="1" t="s">
        <v>55</v>
      </c>
      <c r="AL1551" s="1">
        <v>52</v>
      </c>
    </row>
    <row r="1552" spans="1:38" x14ac:dyDescent="0.2">
      <c r="A1552" s="2" t="str">
        <f>HYPERLINK("https://www.compass.com/listing/100-barclay-street-unit-15h-manhattan-ny-10007/745741511123495905/","100 Barclay St, Unit 15H")</f>
        <v>100 Barclay St, Unit 15H</v>
      </c>
      <c r="B1552" s="2" t="str">
        <f t="shared" ref="B1552:B1553" si="229">HYPERLINK("https://www.compass.com/building/100-barclay-manhattan-ny/281896670466155525/","100 Barclay")</f>
        <v>100 Barclay</v>
      </c>
      <c r="C1552" s="1" t="s">
        <v>50</v>
      </c>
      <c r="D1552" s="1" t="s">
        <v>41</v>
      </c>
      <c r="E1552" s="3">
        <v>3150000</v>
      </c>
      <c r="F1552" s="1">
        <v>1770.6576728499101</v>
      </c>
      <c r="G1552" s="1">
        <v>4.5</v>
      </c>
      <c r="H1552" s="1">
        <v>2</v>
      </c>
      <c r="I1552" s="1">
        <v>3</v>
      </c>
      <c r="J1552" s="1">
        <v>3</v>
      </c>
      <c r="K1552" s="1">
        <v>3</v>
      </c>
      <c r="M1552" s="4">
        <v>1779</v>
      </c>
      <c r="N1552" s="1">
        <v>2856</v>
      </c>
      <c r="O1552" s="1">
        <v>5404</v>
      </c>
      <c r="P1552" s="1">
        <v>2548</v>
      </c>
      <c r="Q1552" s="1" t="s">
        <v>105</v>
      </c>
      <c r="S1552" s="1" t="s">
        <v>105</v>
      </c>
      <c r="T1552" s="1" t="s">
        <v>273</v>
      </c>
      <c r="U1552" s="1">
        <v>121</v>
      </c>
      <c r="V1552" s="5">
        <v>44419</v>
      </c>
      <c r="W1552" s="5">
        <v>44286</v>
      </c>
      <c r="X1552" s="1">
        <v>3150000</v>
      </c>
      <c r="Y1552" s="1">
        <v>3150000</v>
      </c>
      <c r="AA1552" s="1">
        <v>3150000</v>
      </c>
      <c r="AB1552" s="1" t="s">
        <v>275</v>
      </c>
      <c r="AC1552" s="5">
        <v>44407</v>
      </c>
      <c r="AF1552" s="1">
        <v>10007</v>
      </c>
      <c r="AI1552" s="1" t="s">
        <v>52</v>
      </c>
      <c r="AJ1552" s="1">
        <v>1930</v>
      </c>
      <c r="AK1552" s="1" t="s">
        <v>49</v>
      </c>
      <c r="AL1552" s="1">
        <v>156</v>
      </c>
    </row>
    <row r="1553" spans="1:38" x14ac:dyDescent="0.2">
      <c r="A1553" s="2" t="str">
        <f>HYPERLINK("https://www.compass.com/listing/100-barclay-street-unit-17l-manhattan-ny-10007/4852262079807096977/","100 Barclay St, Unit 17L")</f>
        <v>100 Barclay St, Unit 17L</v>
      </c>
      <c r="B1553" s="2" t="str">
        <f t="shared" si="229"/>
        <v>100 Barclay</v>
      </c>
      <c r="C1553" s="1" t="s">
        <v>50</v>
      </c>
      <c r="D1553" s="1" t="s">
        <v>41</v>
      </c>
      <c r="E1553" s="3">
        <v>4429387</v>
      </c>
      <c r="F1553" s="1">
        <v>2146.0208333333298</v>
      </c>
      <c r="G1553" s="1">
        <v>6</v>
      </c>
      <c r="H1553" s="1">
        <v>3</v>
      </c>
      <c r="I1553" s="1">
        <v>3</v>
      </c>
      <c r="J1553" s="1">
        <v>3</v>
      </c>
      <c r="K1553" s="1">
        <v>3</v>
      </c>
      <c r="M1553" s="4">
        <v>2064</v>
      </c>
      <c r="N1553" s="1">
        <v>2577</v>
      </c>
      <c r="O1553" s="1">
        <v>5105</v>
      </c>
      <c r="P1553" s="1">
        <v>2528</v>
      </c>
      <c r="Q1553" s="1" t="s">
        <v>105</v>
      </c>
      <c r="S1553" s="1" t="s">
        <v>105</v>
      </c>
      <c r="T1553" s="1" t="s">
        <v>273</v>
      </c>
      <c r="V1553" s="5">
        <v>44338</v>
      </c>
      <c r="W1553" s="5">
        <v>42173</v>
      </c>
      <c r="X1553" s="1">
        <v>4461000</v>
      </c>
      <c r="Y1553" s="1">
        <v>4461000</v>
      </c>
      <c r="Z1553" s="5">
        <v>42173</v>
      </c>
      <c r="AA1553" s="1">
        <v>4429387</v>
      </c>
      <c r="AB1553" s="1" t="s">
        <v>798</v>
      </c>
      <c r="AC1553" s="5">
        <v>42650</v>
      </c>
      <c r="AF1553" s="1">
        <v>10007</v>
      </c>
      <c r="AI1553" s="1" t="s">
        <v>52</v>
      </c>
      <c r="AJ1553" s="1">
        <v>1930</v>
      </c>
      <c r="AK1553" s="1" t="s">
        <v>49</v>
      </c>
      <c r="AL1553" s="1">
        <v>156</v>
      </c>
    </row>
    <row r="1554" spans="1:38" x14ac:dyDescent="0.2">
      <c r="A1554" s="2" t="str">
        <f>HYPERLINK("https://www.compass.com/listing/155-west-18th-street-unit-803-manhattan-ny-10011/29373034385121857/","155 W 18th St, Unit 803")</f>
        <v>155 W 18th St, Unit 803</v>
      </c>
      <c r="B1554" s="2" t="str">
        <f>HYPERLINK("https://www.compass.com/building/the-flynn-manhattan-ny/281905793161251925/","The Flynn")</f>
        <v>The Flynn</v>
      </c>
      <c r="C1554" s="1" t="s">
        <v>62</v>
      </c>
      <c r="D1554" s="1" t="s">
        <v>41</v>
      </c>
      <c r="E1554" s="3">
        <v>3500000</v>
      </c>
      <c r="F1554" s="1">
        <v>2586.84405025868</v>
      </c>
      <c r="G1554" s="1">
        <v>3</v>
      </c>
      <c r="H1554" s="1">
        <v>2</v>
      </c>
      <c r="I1554" s="1">
        <v>3</v>
      </c>
      <c r="J1554" s="1">
        <v>2.5</v>
      </c>
      <c r="M1554" s="4">
        <v>1353</v>
      </c>
      <c r="N1554" s="1">
        <v>2061</v>
      </c>
      <c r="O1554" s="1">
        <v>3641</v>
      </c>
      <c r="P1554" s="1">
        <v>1580</v>
      </c>
      <c r="Q1554" s="1" t="s">
        <v>42</v>
      </c>
      <c r="S1554" s="1" t="s">
        <v>42</v>
      </c>
      <c r="T1554" s="1" t="s">
        <v>273</v>
      </c>
      <c r="U1554" s="1">
        <v>319</v>
      </c>
      <c r="V1554" s="5">
        <v>43631</v>
      </c>
      <c r="W1554" s="5">
        <v>42385</v>
      </c>
      <c r="X1554" s="1">
        <v>3500000</v>
      </c>
      <c r="Y1554" s="1">
        <v>3500000</v>
      </c>
      <c r="Z1554" s="5">
        <v>42704</v>
      </c>
      <c r="AA1554" s="1">
        <v>3500000</v>
      </c>
      <c r="AB1554" s="1" t="s">
        <v>628</v>
      </c>
      <c r="AC1554" s="5">
        <v>42723</v>
      </c>
      <c r="AF1554" s="1">
        <v>10011</v>
      </c>
      <c r="AI1554" s="1" t="s">
        <v>114</v>
      </c>
      <c r="AJ1554" s="1">
        <v>2016</v>
      </c>
      <c r="AK1554" s="1" t="s">
        <v>46</v>
      </c>
      <c r="AL1554" s="1">
        <v>30</v>
      </c>
    </row>
    <row r="1555" spans="1:38" x14ac:dyDescent="0.2">
      <c r="A1555" s="2" t="str">
        <f>HYPERLINK("https://www.compass.com/listing/100-barclay-street-unit-phc-manhattan-ny-10007/761649639601196129/","100 Barclay St, Unit PHC")</f>
        <v>100 Barclay St, Unit PHC</v>
      </c>
      <c r="B1555" s="2" t="str">
        <f t="shared" ref="B1555:B1557" si="230">HYPERLINK("https://www.compass.com/building/100-barclay-manhattan-ny/281896670466155525/","100 Barclay")</f>
        <v>100 Barclay</v>
      </c>
      <c r="C1555" s="1" t="s">
        <v>50</v>
      </c>
      <c r="D1555" s="1" t="s">
        <v>41</v>
      </c>
      <c r="E1555" s="3">
        <v>12500000</v>
      </c>
      <c r="F1555" s="1">
        <v>2938.4109073812801</v>
      </c>
      <c r="G1555" s="1">
        <v>8</v>
      </c>
      <c r="H1555" s="1">
        <v>4</v>
      </c>
      <c r="I1555" s="1">
        <v>5</v>
      </c>
      <c r="J1555" s="1">
        <v>4.5</v>
      </c>
      <c r="K1555" s="1">
        <v>4</v>
      </c>
      <c r="L1555" s="1">
        <v>1</v>
      </c>
      <c r="M1555" s="4">
        <v>4254</v>
      </c>
      <c r="N1555" s="1">
        <v>6389</v>
      </c>
      <c r="O1555" s="1">
        <v>13409</v>
      </c>
      <c r="P1555" s="1">
        <v>7020</v>
      </c>
      <c r="Q1555" s="1" t="s">
        <v>42</v>
      </c>
      <c r="S1555" s="1" t="s">
        <v>42</v>
      </c>
      <c r="T1555" s="1" t="s">
        <v>273</v>
      </c>
      <c r="U1555" s="1">
        <v>55</v>
      </c>
      <c r="V1555" s="5">
        <v>44398</v>
      </c>
      <c r="W1555" s="5">
        <v>44302</v>
      </c>
      <c r="X1555" s="1">
        <v>12500000</v>
      </c>
      <c r="Y1555" s="1">
        <v>12500000</v>
      </c>
      <c r="Z1555" s="5">
        <v>44358</v>
      </c>
      <c r="AA1555" s="1">
        <v>12500000</v>
      </c>
      <c r="AB1555" s="1" t="s">
        <v>275</v>
      </c>
      <c r="AC1555" s="5">
        <v>44390</v>
      </c>
      <c r="AF1555" s="1">
        <v>10007</v>
      </c>
      <c r="AI1555" s="1" t="s">
        <v>639</v>
      </c>
      <c r="AJ1555" s="1">
        <v>1930</v>
      </c>
      <c r="AK1555" s="1" t="s">
        <v>46</v>
      </c>
      <c r="AL1555" s="1">
        <v>156</v>
      </c>
    </row>
    <row r="1556" spans="1:38" x14ac:dyDescent="0.2">
      <c r="A1556" s="2" t="str">
        <f>HYPERLINK("https://www.compass.com/listing/100-barclay-street-unit-22d-manhattan-ny-10007/803344638471325841/","100 Barclay St, Unit 22D")</f>
        <v>100 Barclay St, Unit 22D</v>
      </c>
      <c r="B1556" s="2" t="str">
        <f t="shared" si="230"/>
        <v>100 Barclay</v>
      </c>
      <c r="C1556" s="1" t="s">
        <v>50</v>
      </c>
      <c r="D1556" s="1" t="s">
        <v>41</v>
      </c>
      <c r="E1556" s="3">
        <v>5100000</v>
      </c>
      <c r="F1556" s="1">
        <v>2181.35158254918</v>
      </c>
      <c r="G1556" s="1">
        <v>7</v>
      </c>
      <c r="H1556" s="1">
        <v>3</v>
      </c>
      <c r="I1556" s="1">
        <v>3</v>
      </c>
      <c r="J1556" s="1">
        <v>3</v>
      </c>
      <c r="K1556" s="1">
        <v>3</v>
      </c>
      <c r="M1556" s="4">
        <v>2338</v>
      </c>
      <c r="N1556" s="1">
        <v>3000</v>
      </c>
      <c r="O1556" s="1">
        <v>5869</v>
      </c>
      <c r="P1556" s="1">
        <v>2869</v>
      </c>
      <c r="Q1556" s="1" t="s">
        <v>42</v>
      </c>
      <c r="S1556" s="1" t="s">
        <v>42</v>
      </c>
      <c r="T1556" s="1" t="s">
        <v>273</v>
      </c>
      <c r="U1556" s="1">
        <v>16</v>
      </c>
      <c r="V1556" s="5">
        <v>42645</v>
      </c>
      <c r="W1556" s="5">
        <v>42476</v>
      </c>
      <c r="X1556" s="1">
        <v>5200000</v>
      </c>
      <c r="Y1556" s="1">
        <v>5200000</v>
      </c>
      <c r="AA1556" s="1">
        <v>5100000</v>
      </c>
      <c r="AB1556" s="1" t="s">
        <v>787</v>
      </c>
      <c r="AC1556" s="5">
        <v>42536</v>
      </c>
      <c r="AF1556" s="1">
        <v>10007</v>
      </c>
      <c r="AI1556" s="1" t="s">
        <v>52</v>
      </c>
      <c r="AJ1556" s="1">
        <v>1930</v>
      </c>
      <c r="AK1556" s="1" t="s">
        <v>46</v>
      </c>
      <c r="AL1556" s="1">
        <v>156</v>
      </c>
    </row>
    <row r="1557" spans="1:38" x14ac:dyDescent="0.2">
      <c r="A1557" s="2" t="str">
        <f>HYPERLINK("https://www.compass.com/listing/100-barclay-street-unit-30d-manhattan-ny-10007/4852282018152585873/","100 Barclay St, Unit 30D")</f>
        <v>100 Barclay St, Unit 30D</v>
      </c>
      <c r="B1557" s="2" t="str">
        <f t="shared" si="230"/>
        <v>100 Barclay</v>
      </c>
      <c r="C1557" s="1" t="s">
        <v>50</v>
      </c>
      <c r="D1557" s="1" t="s">
        <v>41</v>
      </c>
      <c r="E1557" s="3">
        <v>5450000</v>
      </c>
      <c r="F1557" s="1">
        <v>2362.37537928045</v>
      </c>
      <c r="G1557" s="1">
        <v>6</v>
      </c>
      <c r="H1557" s="1">
        <v>3</v>
      </c>
      <c r="I1557" s="1">
        <v>3</v>
      </c>
      <c r="J1557" s="1">
        <v>3.5</v>
      </c>
      <c r="K1557" s="1">
        <v>3</v>
      </c>
      <c r="L1557" s="1">
        <v>1</v>
      </c>
      <c r="M1557" s="4">
        <v>2307</v>
      </c>
      <c r="N1557" s="1">
        <v>2960</v>
      </c>
      <c r="O1557" s="1">
        <v>5791</v>
      </c>
      <c r="P1557" s="1">
        <v>2831</v>
      </c>
      <c r="Q1557" s="1" t="s">
        <v>42</v>
      </c>
      <c r="S1557" s="1" t="s">
        <v>42</v>
      </c>
      <c r="T1557" s="1" t="s">
        <v>273</v>
      </c>
      <c r="U1557" s="1">
        <v>27</v>
      </c>
      <c r="V1557" s="5">
        <v>43623</v>
      </c>
      <c r="W1557" s="5">
        <v>42739</v>
      </c>
      <c r="X1557" s="1">
        <v>5550000</v>
      </c>
      <c r="Y1557" s="1">
        <v>5550000</v>
      </c>
      <c r="Z1557" s="5">
        <v>42766</v>
      </c>
      <c r="AA1557" s="1">
        <v>5450000</v>
      </c>
      <c r="AB1557" s="1" t="s">
        <v>799</v>
      </c>
      <c r="AC1557" s="5">
        <v>42825</v>
      </c>
      <c r="AF1557" s="1">
        <v>10007</v>
      </c>
      <c r="AI1557" s="1" t="s">
        <v>52</v>
      </c>
      <c r="AJ1557" s="1">
        <v>1930</v>
      </c>
      <c r="AK1557" s="1" t="s">
        <v>46</v>
      </c>
      <c r="AL1557" s="1">
        <v>156</v>
      </c>
    </row>
    <row r="1558" spans="1:38" x14ac:dyDescent="0.2">
      <c r="A1558" s="2" t="str">
        <f>HYPERLINK("https://www.compass.com/listing/45-east-22nd-street-unit-20a-manhattan-ny-10010/29375853645371057/","45 E 22nd St, Unit 20A")</f>
        <v>45 E 22nd St, Unit 20A</v>
      </c>
      <c r="B1558" s="2" t="str">
        <f t="shared" ref="B1558:B1562" si="231">HYPERLINK("https://www.compass.com/building/madison-square-park-tower-manhattan-ny/281903584482705973/","Madison Square Park Tower")</f>
        <v>Madison Square Park Tower</v>
      </c>
      <c r="C1558" s="1" t="s">
        <v>56</v>
      </c>
      <c r="D1558" s="1" t="s">
        <v>41</v>
      </c>
      <c r="E1558" s="3">
        <v>6068918</v>
      </c>
      <c r="F1558" s="1">
        <v>2818.81932187645</v>
      </c>
      <c r="G1558" s="1">
        <v>5</v>
      </c>
      <c r="H1558" s="1">
        <v>3</v>
      </c>
      <c r="I1558" s="1">
        <v>3</v>
      </c>
      <c r="J1558" s="1">
        <v>3</v>
      </c>
      <c r="M1558" s="4">
        <v>2153</v>
      </c>
      <c r="N1558" s="1">
        <v>2378</v>
      </c>
      <c r="O1558" s="1">
        <v>5993</v>
      </c>
      <c r="P1558" s="1">
        <v>3615</v>
      </c>
      <c r="Q1558" s="1" t="s">
        <v>42</v>
      </c>
      <c r="S1558" s="1" t="s">
        <v>42</v>
      </c>
      <c r="T1558" s="1" t="s">
        <v>273</v>
      </c>
      <c r="U1558" s="1">
        <v>42</v>
      </c>
      <c r="V1558" s="5">
        <v>43650</v>
      </c>
      <c r="W1558" s="5">
        <v>42742</v>
      </c>
      <c r="X1558" s="1">
        <v>6040000</v>
      </c>
      <c r="Y1558" s="1">
        <v>6040000</v>
      </c>
      <c r="Z1558" s="5">
        <v>42784</v>
      </c>
      <c r="AA1558" s="1">
        <v>6068918</v>
      </c>
      <c r="AB1558" s="1" t="s">
        <v>800</v>
      </c>
      <c r="AC1558" s="5">
        <v>42963</v>
      </c>
      <c r="AF1558" s="1">
        <v>10010</v>
      </c>
      <c r="AI1558" s="1" t="s">
        <v>48</v>
      </c>
      <c r="AJ1558" s="1">
        <v>2016</v>
      </c>
      <c r="AK1558" s="1" t="s">
        <v>49</v>
      </c>
      <c r="AL1558" s="1">
        <v>83</v>
      </c>
    </row>
    <row r="1559" spans="1:38" x14ac:dyDescent="0.2">
      <c r="A1559" s="2" t="str">
        <f>HYPERLINK("https://www.compass.com/listing/45-east-22nd-street-unit-21a-manhattan-ny-10010/29375854182166737/","45 E 22nd St, Unit 21A")</f>
        <v>45 E 22nd St, Unit 21A</v>
      </c>
      <c r="B1559" s="2" t="str">
        <f t="shared" si="231"/>
        <v>Madison Square Park Tower</v>
      </c>
      <c r="C1559" s="1" t="s">
        <v>56</v>
      </c>
      <c r="D1559" s="1" t="s">
        <v>41</v>
      </c>
      <c r="E1559" s="3">
        <v>6413673</v>
      </c>
      <c r="F1559" s="1">
        <v>2959.7014305491398</v>
      </c>
      <c r="G1559" s="1">
        <v>5</v>
      </c>
      <c r="H1559" s="1">
        <v>3</v>
      </c>
      <c r="I1559" s="1">
        <v>3</v>
      </c>
      <c r="J1559" s="1">
        <v>3</v>
      </c>
      <c r="K1559" s="1">
        <v>3</v>
      </c>
      <c r="M1559" s="4">
        <v>2167</v>
      </c>
      <c r="N1559" s="1">
        <v>2405</v>
      </c>
      <c r="O1559" s="1">
        <v>6062</v>
      </c>
      <c r="P1559" s="1">
        <v>3657</v>
      </c>
      <c r="Q1559" s="1" t="s">
        <v>42</v>
      </c>
      <c r="S1559" s="1" t="s">
        <v>42</v>
      </c>
      <c r="T1559" s="1" t="s">
        <v>273</v>
      </c>
      <c r="U1559" s="1">
        <v>322</v>
      </c>
      <c r="V1559" s="5">
        <v>43663</v>
      </c>
      <c r="W1559" s="5">
        <v>42136</v>
      </c>
      <c r="X1559" s="1">
        <v>6270000</v>
      </c>
      <c r="Y1559" s="1">
        <v>6270000</v>
      </c>
      <c r="Z1559" s="5">
        <v>42458</v>
      </c>
      <c r="AA1559" s="1">
        <v>6413673</v>
      </c>
      <c r="AB1559" s="1" t="s">
        <v>801</v>
      </c>
      <c r="AC1559" s="5">
        <v>42942</v>
      </c>
      <c r="AF1559" s="1">
        <v>10010</v>
      </c>
      <c r="AI1559" s="1" t="s">
        <v>48</v>
      </c>
      <c r="AJ1559" s="1">
        <v>2016</v>
      </c>
      <c r="AK1559" s="1" t="s">
        <v>46</v>
      </c>
      <c r="AL1559" s="1">
        <v>83</v>
      </c>
    </row>
    <row r="1560" spans="1:38" x14ac:dyDescent="0.2">
      <c r="A1560" s="2" t="str">
        <f>HYPERLINK("https://www.compass.com/listing/45-east-22nd-street-unit-48a-manhattan-ny-10010/29375874079945297/","45 E 22nd St, Unit 48A")</f>
        <v>45 E 22nd St, Unit 48A</v>
      </c>
      <c r="B1560" s="2" t="str">
        <f t="shared" si="231"/>
        <v>Madison Square Park Tower</v>
      </c>
      <c r="C1560" s="1" t="s">
        <v>56</v>
      </c>
      <c r="D1560" s="1" t="s">
        <v>41</v>
      </c>
      <c r="E1560" s="3">
        <v>9550000</v>
      </c>
      <c r="F1560" s="1">
        <v>3847.70346494762</v>
      </c>
      <c r="G1560" s="1">
        <v>6</v>
      </c>
      <c r="H1560" s="1">
        <v>3</v>
      </c>
      <c r="I1560" s="1">
        <v>3</v>
      </c>
      <c r="J1560" s="1">
        <v>3</v>
      </c>
      <c r="M1560" s="4">
        <v>2482</v>
      </c>
      <c r="N1560" s="1">
        <v>3059</v>
      </c>
      <c r="O1560" s="1">
        <v>7710</v>
      </c>
      <c r="P1560" s="1">
        <v>4651</v>
      </c>
      <c r="Q1560" s="1" t="s">
        <v>42</v>
      </c>
      <c r="S1560" s="1" t="s">
        <v>42</v>
      </c>
      <c r="T1560" s="1" t="s">
        <v>273</v>
      </c>
      <c r="V1560" s="5">
        <v>43650</v>
      </c>
      <c r="W1560" s="5">
        <v>42865</v>
      </c>
      <c r="X1560" s="1">
        <v>9600000</v>
      </c>
      <c r="Y1560" s="1">
        <v>9600000</v>
      </c>
      <c r="Z1560" s="5">
        <v>42865</v>
      </c>
      <c r="AA1560" s="1">
        <v>9550000</v>
      </c>
      <c r="AB1560" s="1" t="s">
        <v>802</v>
      </c>
      <c r="AC1560" s="5">
        <v>42961</v>
      </c>
      <c r="AF1560" s="1">
        <v>10010</v>
      </c>
      <c r="AI1560" s="1" t="s">
        <v>48</v>
      </c>
      <c r="AJ1560" s="1">
        <v>2016</v>
      </c>
      <c r="AK1560" s="1" t="s">
        <v>49</v>
      </c>
      <c r="AL1560" s="1">
        <v>83</v>
      </c>
    </row>
    <row r="1561" spans="1:38" x14ac:dyDescent="0.2">
      <c r="A1561" s="2" t="str">
        <f>HYPERLINK("https://www.compass.com/listing/45-east-22nd-street-unit-50a-manhattan-ny-10010/29375874952435761/","45 E 22nd St, Unit 50A")</f>
        <v>45 E 22nd St, Unit 50A</v>
      </c>
      <c r="B1561" s="2" t="str">
        <f t="shared" si="231"/>
        <v>Madison Square Park Tower</v>
      </c>
      <c r="C1561" s="1" t="s">
        <v>56</v>
      </c>
      <c r="D1561" s="1" t="s">
        <v>41</v>
      </c>
      <c r="E1561" s="3">
        <v>9986501</v>
      </c>
      <c r="F1561" s="1">
        <v>4001.0020032051202</v>
      </c>
      <c r="G1561" s="1">
        <v>6</v>
      </c>
      <c r="H1561" s="1">
        <v>3</v>
      </c>
      <c r="I1561" s="1">
        <v>3</v>
      </c>
      <c r="J1561" s="1">
        <v>3</v>
      </c>
      <c r="M1561" s="4">
        <v>2496</v>
      </c>
      <c r="N1561" s="1">
        <v>3103</v>
      </c>
      <c r="O1561" s="1">
        <v>7821</v>
      </c>
      <c r="P1561" s="1">
        <v>4718</v>
      </c>
      <c r="Q1561" s="1" t="s">
        <v>42</v>
      </c>
      <c r="S1561" s="1" t="s">
        <v>42</v>
      </c>
      <c r="T1561" s="1" t="s">
        <v>273</v>
      </c>
      <c r="V1561" s="5">
        <v>43650</v>
      </c>
      <c r="W1561" s="5">
        <v>42719</v>
      </c>
      <c r="X1561" s="1">
        <v>9870000</v>
      </c>
      <c r="Y1561" s="1">
        <v>9870000</v>
      </c>
      <c r="Z1561" s="5">
        <v>42719</v>
      </c>
      <c r="AA1561" s="1">
        <v>9986501</v>
      </c>
      <c r="AB1561" s="1" t="s">
        <v>739</v>
      </c>
      <c r="AC1561" s="5">
        <v>42978</v>
      </c>
      <c r="AF1561" s="1">
        <v>10010</v>
      </c>
      <c r="AI1561" s="1" t="s">
        <v>48</v>
      </c>
      <c r="AJ1561" s="1">
        <v>2016</v>
      </c>
      <c r="AK1561" s="1" t="s">
        <v>49</v>
      </c>
      <c r="AL1561" s="1">
        <v>83</v>
      </c>
    </row>
    <row r="1562" spans="1:38" x14ac:dyDescent="0.2">
      <c r="A1562" s="2" t="str">
        <f>HYPERLINK("https://www.compass.com/listing/45-east-22nd-street-unit-46a-manhattan-ny-10010/29517555991320689/","45 E 22nd St, Unit 46A")</f>
        <v>45 E 22nd St, Unit 46A</v>
      </c>
      <c r="B1562" s="2" t="str">
        <f t="shared" si="231"/>
        <v>Madison Square Park Tower</v>
      </c>
      <c r="C1562" s="1" t="s">
        <v>56</v>
      </c>
      <c r="D1562" s="1" t="s">
        <v>41</v>
      </c>
      <c r="E1562" s="3">
        <v>8824118</v>
      </c>
      <c r="F1562" s="1">
        <v>3576.8617754357501</v>
      </c>
      <c r="G1562" s="1">
        <v>6</v>
      </c>
      <c r="H1562" s="1">
        <v>3</v>
      </c>
      <c r="I1562" s="1">
        <v>3</v>
      </c>
      <c r="J1562" s="1">
        <v>3</v>
      </c>
      <c r="K1562" s="1">
        <v>3</v>
      </c>
      <c r="M1562" s="4">
        <v>2467</v>
      </c>
      <c r="N1562" s="1">
        <v>3015</v>
      </c>
      <c r="O1562" s="1">
        <v>7599</v>
      </c>
      <c r="P1562" s="1">
        <v>4584</v>
      </c>
      <c r="Q1562" s="1" t="s">
        <v>42</v>
      </c>
      <c r="S1562" s="1" t="s">
        <v>42</v>
      </c>
      <c r="T1562" s="1" t="s">
        <v>273</v>
      </c>
      <c r="V1562" s="5">
        <v>44225</v>
      </c>
      <c r="W1562" s="5">
        <v>43225</v>
      </c>
      <c r="X1562" s="1">
        <v>9375000</v>
      </c>
      <c r="Y1562" s="1">
        <v>9375000</v>
      </c>
      <c r="Z1562" s="5">
        <v>43225</v>
      </c>
      <c r="AA1562" s="1">
        <v>8824118</v>
      </c>
      <c r="AB1562" s="1" t="s">
        <v>803</v>
      </c>
      <c r="AC1562" s="5">
        <v>43245</v>
      </c>
      <c r="AF1562" s="1">
        <v>10010</v>
      </c>
      <c r="AI1562" s="1" t="s">
        <v>211</v>
      </c>
      <c r="AJ1562" s="1">
        <v>2016</v>
      </c>
      <c r="AK1562" s="1" t="s">
        <v>49</v>
      </c>
      <c r="AL1562" s="1">
        <v>83</v>
      </c>
    </row>
    <row r="1563" spans="1:38" x14ac:dyDescent="0.2">
      <c r="A1563" s="2" t="str">
        <f>HYPERLINK("https://www.compass.com/listing/225-west-17th-street-unit-3-manhattan-ny-10011/421001544966142833/","225 W 17th St, Unit 3")</f>
        <v>225 W 17th St, Unit 3</v>
      </c>
      <c r="B1563" s="2" t="str">
        <f>HYPERLINK("https://www.compass.com/building/225-west-17th-street-manhattan-ny/292802090781141541/","225 West 17th Street")</f>
        <v>225 West 17th Street</v>
      </c>
      <c r="C1563" s="1" t="s">
        <v>62</v>
      </c>
      <c r="D1563" s="1" t="s">
        <v>41</v>
      </c>
      <c r="E1563" s="3">
        <v>6000000</v>
      </c>
      <c r="F1563" s="1">
        <v>1742.66627940749</v>
      </c>
      <c r="G1563" s="1">
        <v>7.5</v>
      </c>
      <c r="H1563" s="1">
        <v>5</v>
      </c>
      <c r="I1563" s="1">
        <v>4</v>
      </c>
      <c r="J1563" s="1">
        <v>3.5</v>
      </c>
      <c r="K1563" s="1">
        <v>3</v>
      </c>
      <c r="L1563" s="1">
        <v>1</v>
      </c>
      <c r="M1563" s="4">
        <v>3443</v>
      </c>
      <c r="N1563" s="1">
        <v>2122</v>
      </c>
      <c r="O1563" s="1">
        <v>6090</v>
      </c>
      <c r="P1563" s="1">
        <v>3968</v>
      </c>
      <c r="Q1563" s="1" t="s">
        <v>42</v>
      </c>
      <c r="S1563" s="1" t="s">
        <v>42</v>
      </c>
      <c r="T1563" s="1" t="s">
        <v>273</v>
      </c>
      <c r="U1563" s="1">
        <v>73</v>
      </c>
      <c r="V1563" s="5">
        <v>44336</v>
      </c>
      <c r="W1563" s="5">
        <v>43833</v>
      </c>
      <c r="X1563" s="1">
        <v>6995000</v>
      </c>
      <c r="Y1563" s="1">
        <v>6750000</v>
      </c>
      <c r="Z1563" s="5">
        <v>43907</v>
      </c>
      <c r="AA1563" s="1">
        <v>6750000</v>
      </c>
      <c r="AB1563" s="1" t="s">
        <v>275</v>
      </c>
      <c r="AC1563" s="5">
        <v>44020</v>
      </c>
      <c r="AF1563" s="1">
        <v>10011</v>
      </c>
      <c r="AI1563" s="1" t="s">
        <v>216</v>
      </c>
      <c r="AJ1563" s="1">
        <v>2018</v>
      </c>
      <c r="AK1563" s="1" t="s">
        <v>146</v>
      </c>
      <c r="AL1563" s="1">
        <v>14</v>
      </c>
    </row>
    <row r="1564" spans="1:38" x14ac:dyDescent="0.2">
      <c r="A1564" s="2" t="str">
        <f>HYPERLINK("https://www.compass.com/listing/100-barclay-street-unit-26d-manhattan-ny-10007/4852261395657407233/","100 Barclay St, Unit 26D")</f>
        <v>100 Barclay St, Unit 26D</v>
      </c>
      <c r="B1564" s="2" t="str">
        <f t="shared" ref="B1564:B1566" si="232">HYPERLINK("https://www.compass.com/building/100-barclay-manhattan-ny/281896670466155525/","100 Barclay")</f>
        <v>100 Barclay</v>
      </c>
      <c r="C1564" s="1" t="s">
        <v>50</v>
      </c>
      <c r="D1564" s="1" t="s">
        <v>41</v>
      </c>
      <c r="E1564" s="3">
        <v>5177000</v>
      </c>
      <c r="F1564" s="1">
        <v>2214.2857142857101</v>
      </c>
      <c r="G1564" s="1">
        <v>6</v>
      </c>
      <c r="H1564" s="1">
        <v>3</v>
      </c>
      <c r="I1564" s="1">
        <v>4</v>
      </c>
      <c r="J1564" s="1">
        <v>3.5</v>
      </c>
      <c r="M1564" s="4">
        <v>2338</v>
      </c>
      <c r="N1564" s="1">
        <v>3000</v>
      </c>
      <c r="O1564" s="1">
        <v>5869</v>
      </c>
      <c r="P1564" s="1">
        <v>2869</v>
      </c>
      <c r="Q1564" s="1" t="s">
        <v>42</v>
      </c>
      <c r="S1564" s="1" t="s">
        <v>42</v>
      </c>
      <c r="T1564" s="1" t="s">
        <v>273</v>
      </c>
      <c r="V1564" s="5">
        <v>43623</v>
      </c>
      <c r="W1564" s="5">
        <v>42448</v>
      </c>
      <c r="X1564" s="1">
        <v>5350000</v>
      </c>
      <c r="Y1564" s="1">
        <v>5350000</v>
      </c>
      <c r="Z1564" s="5">
        <v>42448</v>
      </c>
      <c r="AA1564" s="1">
        <v>5177000</v>
      </c>
      <c r="AB1564" s="1" t="s">
        <v>804</v>
      </c>
      <c r="AC1564" s="5">
        <v>42551</v>
      </c>
      <c r="AF1564" s="1">
        <v>10007</v>
      </c>
      <c r="AI1564" s="1" t="s">
        <v>52</v>
      </c>
      <c r="AJ1564" s="1">
        <v>1930</v>
      </c>
      <c r="AK1564" s="1" t="s">
        <v>49</v>
      </c>
      <c r="AL1564" s="1">
        <v>156</v>
      </c>
    </row>
    <row r="1565" spans="1:38" x14ac:dyDescent="0.2">
      <c r="A1565" s="2" t="str">
        <f>HYPERLINK("https://www.compass.com/listing/100-barclay-street-unit-27d-manhattan-ny-10007/4852279367721553105/","100 Barclay St, Unit 27D")</f>
        <v>100 Barclay St, Unit 27D</v>
      </c>
      <c r="B1565" s="2" t="str">
        <f t="shared" si="232"/>
        <v>100 Barclay</v>
      </c>
      <c r="C1565" s="1" t="s">
        <v>50</v>
      </c>
      <c r="D1565" s="1" t="s">
        <v>41</v>
      </c>
      <c r="E1565" s="3">
        <v>5300000</v>
      </c>
      <c r="F1565" s="1">
        <v>2266.8947818648398</v>
      </c>
      <c r="G1565" s="1">
        <v>7</v>
      </c>
      <c r="H1565" s="1">
        <v>3</v>
      </c>
      <c r="I1565" s="1">
        <v>4</v>
      </c>
      <c r="J1565" s="1">
        <v>3.5</v>
      </c>
      <c r="M1565" s="4">
        <v>2338</v>
      </c>
      <c r="N1565" s="1">
        <v>3000</v>
      </c>
      <c r="O1565" s="1">
        <v>5869</v>
      </c>
      <c r="P1565" s="1">
        <v>2869</v>
      </c>
      <c r="Q1565" s="1" t="s">
        <v>42</v>
      </c>
      <c r="S1565" s="1" t="s">
        <v>42</v>
      </c>
      <c r="T1565" s="1" t="s">
        <v>273</v>
      </c>
      <c r="V1565" s="5">
        <v>43623</v>
      </c>
      <c r="W1565" s="5">
        <v>42488</v>
      </c>
      <c r="X1565" s="1">
        <v>5400000</v>
      </c>
      <c r="Y1565" s="1">
        <v>5400000</v>
      </c>
      <c r="Z1565" s="5">
        <v>42488</v>
      </c>
      <c r="AA1565" s="1">
        <v>5300000</v>
      </c>
      <c r="AB1565" s="1" t="s">
        <v>805</v>
      </c>
      <c r="AC1565" s="5">
        <v>42543</v>
      </c>
      <c r="AF1565" s="1">
        <v>10007</v>
      </c>
      <c r="AI1565" s="1" t="s">
        <v>52</v>
      </c>
      <c r="AJ1565" s="1">
        <v>1930</v>
      </c>
      <c r="AK1565" s="1" t="s">
        <v>49</v>
      </c>
      <c r="AL1565" s="1">
        <v>156</v>
      </c>
    </row>
    <row r="1566" spans="1:38" x14ac:dyDescent="0.2">
      <c r="A1566" s="2" t="str">
        <f>HYPERLINK("https://www.compass.com/listing/100-barclay-street-unit-13r-manhattan-ny-10007/69425827871246977/","100 Barclay St, Unit 13R")</f>
        <v>100 Barclay St, Unit 13R</v>
      </c>
      <c r="B1566" s="2" t="str">
        <f t="shared" si="232"/>
        <v>100 Barclay</v>
      </c>
      <c r="C1566" s="1" t="s">
        <v>50</v>
      </c>
      <c r="D1566" s="1" t="s">
        <v>41</v>
      </c>
      <c r="E1566" s="3">
        <v>3575000</v>
      </c>
      <c r="F1566" s="1">
        <v>1632.4200913242</v>
      </c>
      <c r="G1566" s="1">
        <v>7</v>
      </c>
      <c r="H1566" s="1">
        <v>3</v>
      </c>
      <c r="I1566" s="1">
        <v>3</v>
      </c>
      <c r="J1566" s="1">
        <v>3</v>
      </c>
      <c r="K1566" s="1">
        <v>3</v>
      </c>
      <c r="M1566" s="4">
        <v>2190</v>
      </c>
      <c r="N1566" s="1">
        <v>2810</v>
      </c>
      <c r="O1566" s="1">
        <v>5497</v>
      </c>
      <c r="P1566" s="1">
        <v>2687</v>
      </c>
      <c r="Q1566" s="1" t="s">
        <v>42</v>
      </c>
      <c r="S1566" s="1" t="s">
        <v>42</v>
      </c>
      <c r="T1566" s="1" t="s">
        <v>273</v>
      </c>
      <c r="U1566" s="1">
        <v>204</v>
      </c>
      <c r="V1566" s="5">
        <v>43643</v>
      </c>
      <c r="W1566" s="5">
        <v>43348</v>
      </c>
      <c r="X1566" s="1">
        <v>4650000</v>
      </c>
      <c r="Y1566" s="1">
        <v>3500000</v>
      </c>
      <c r="Z1566" s="5">
        <v>43552</v>
      </c>
      <c r="AA1566" s="1">
        <v>3575000</v>
      </c>
      <c r="AB1566" s="1" t="s">
        <v>806</v>
      </c>
      <c r="AC1566" s="5">
        <v>43599</v>
      </c>
      <c r="AF1566" s="1">
        <v>10007</v>
      </c>
      <c r="AI1566" s="1" t="s">
        <v>52</v>
      </c>
      <c r="AJ1566" s="1">
        <v>1930</v>
      </c>
      <c r="AK1566" s="1" t="s">
        <v>46</v>
      </c>
      <c r="AL1566" s="1">
        <v>156</v>
      </c>
    </row>
    <row r="1567" spans="1:38" x14ac:dyDescent="0.2">
      <c r="A1567" s="2" t="str">
        <f>HYPERLINK("https://www.compass.com/listing/45-east-22nd-street-unit-17b-manhattan-ny-10010/29375851757860017/","45 E 22nd St, Unit 17B")</f>
        <v>45 E 22nd St, Unit 17B</v>
      </c>
      <c r="B1567" s="2" t="str">
        <f>HYPERLINK("https://www.compass.com/building/madison-square-park-tower-manhattan-ny/281903584482705973/","Madison Square Park Tower")</f>
        <v>Madison Square Park Tower</v>
      </c>
      <c r="C1567" s="1" t="s">
        <v>56</v>
      </c>
      <c r="D1567" s="1" t="s">
        <v>41</v>
      </c>
      <c r="E1567" s="3">
        <v>2614183</v>
      </c>
      <c r="F1567" s="1">
        <v>2396.1347387717601</v>
      </c>
      <c r="G1567" s="1">
        <v>3</v>
      </c>
      <c r="H1567" s="1">
        <v>1</v>
      </c>
      <c r="I1567" s="1">
        <v>1</v>
      </c>
      <c r="J1567" s="1">
        <v>1</v>
      </c>
      <c r="K1567" s="1">
        <v>1</v>
      </c>
      <c r="M1567" s="4">
        <v>1091</v>
      </c>
      <c r="N1567" s="1">
        <v>1188</v>
      </c>
      <c r="O1567" s="1">
        <v>2994</v>
      </c>
      <c r="P1567" s="1">
        <v>1806</v>
      </c>
      <c r="Q1567" s="1" t="s">
        <v>42</v>
      </c>
      <c r="S1567" s="1" t="s">
        <v>42</v>
      </c>
      <c r="T1567" s="1" t="s">
        <v>273</v>
      </c>
      <c r="U1567" s="1">
        <v>13</v>
      </c>
      <c r="V1567" s="5">
        <v>43650</v>
      </c>
      <c r="W1567" s="5">
        <v>42112</v>
      </c>
      <c r="X1567" s="1">
        <v>2600000</v>
      </c>
      <c r="Y1567" s="1">
        <v>2600000</v>
      </c>
      <c r="Z1567" s="5">
        <v>42125</v>
      </c>
      <c r="AA1567" s="1">
        <v>2614183</v>
      </c>
      <c r="AB1567" s="1" t="s">
        <v>807</v>
      </c>
      <c r="AC1567" s="5">
        <v>42962</v>
      </c>
      <c r="AF1567" s="1">
        <v>10010</v>
      </c>
      <c r="AI1567" s="1" t="s">
        <v>48</v>
      </c>
      <c r="AJ1567" s="1">
        <v>2016</v>
      </c>
      <c r="AK1567" s="1" t="s">
        <v>46</v>
      </c>
      <c r="AL1567" s="1">
        <v>83</v>
      </c>
    </row>
    <row r="1568" spans="1:38" x14ac:dyDescent="0.2">
      <c r="A1568" s="2" t="str">
        <f>HYPERLINK("https://www.compass.com/listing/514-west-24th-street-unit-6e-manhattan-ny-10011/484588743544706577/","514 W 24th St, Unit 6E")</f>
        <v>514 W 24th St, Unit 6E</v>
      </c>
      <c r="B1568" s="2" t="str">
        <f>HYPERLINK("https://www.compass.com/building/the-fitzroy-manhattan-ny/281911423242627685/","The Fitzroy")</f>
        <v>The Fitzroy</v>
      </c>
      <c r="C1568" s="1" t="s">
        <v>62</v>
      </c>
      <c r="D1568" s="1" t="s">
        <v>41</v>
      </c>
      <c r="E1568" s="3">
        <v>4500000</v>
      </c>
      <c r="F1568" s="1">
        <v>1976.28458498023</v>
      </c>
      <c r="G1568" s="1">
        <v>6.5</v>
      </c>
      <c r="H1568" s="1">
        <v>2</v>
      </c>
      <c r="I1568" s="1">
        <v>3</v>
      </c>
      <c r="J1568" s="1">
        <v>2.5</v>
      </c>
      <c r="K1568" s="1">
        <v>2</v>
      </c>
      <c r="L1568" s="1">
        <v>1</v>
      </c>
      <c r="M1568" s="4">
        <v>2277</v>
      </c>
      <c r="N1568" s="1">
        <v>3038</v>
      </c>
      <c r="O1568" s="1">
        <v>7106</v>
      </c>
      <c r="P1568" s="1">
        <v>4068</v>
      </c>
      <c r="Q1568" s="1" t="s">
        <v>42</v>
      </c>
      <c r="S1568" s="1" t="s">
        <v>42</v>
      </c>
      <c r="T1568" s="1" t="s">
        <v>273</v>
      </c>
      <c r="U1568" s="1">
        <v>126</v>
      </c>
      <c r="V1568" s="5">
        <v>44341</v>
      </c>
      <c r="W1568" s="5">
        <v>43920</v>
      </c>
      <c r="X1568" s="1">
        <v>5925000</v>
      </c>
      <c r="Y1568" s="1">
        <v>4950000</v>
      </c>
      <c r="Z1568" s="5">
        <v>44131</v>
      </c>
      <c r="AA1568" s="1">
        <v>4500000</v>
      </c>
      <c r="AB1568" s="1" t="s">
        <v>808</v>
      </c>
      <c r="AC1568" s="5">
        <v>44186</v>
      </c>
      <c r="AF1568" s="1">
        <v>10011</v>
      </c>
      <c r="AI1568" s="1" t="s">
        <v>118</v>
      </c>
      <c r="AJ1568" s="1">
        <v>2017</v>
      </c>
      <c r="AK1568" s="1" t="s">
        <v>46</v>
      </c>
      <c r="AL1568" s="1">
        <v>14</v>
      </c>
    </row>
    <row r="1569" spans="1:38" x14ac:dyDescent="0.2">
      <c r="A1569" s="2" t="str">
        <f>HYPERLINK("https://www.compass.com/listing/100-barclay-street-unit-17r-manhattan-ny-10007/50859463124528961/","100 Barclay St, Unit 17R")</f>
        <v>100 Barclay St, Unit 17R</v>
      </c>
      <c r="B1569" s="2" t="str">
        <f t="shared" ref="B1569:B1570" si="233">HYPERLINK("https://www.compass.com/building/100-barclay-manhattan-ny/281896670466155525/","100 Barclay")</f>
        <v>100 Barclay</v>
      </c>
      <c r="C1569" s="1" t="s">
        <v>50</v>
      </c>
      <c r="D1569" s="1" t="s">
        <v>41</v>
      </c>
      <c r="E1569" s="3">
        <v>4734862</v>
      </c>
      <c r="F1569" s="1">
        <v>2241.8854166666601</v>
      </c>
      <c r="G1569" s="1">
        <v>5</v>
      </c>
      <c r="H1569" s="1">
        <v>3</v>
      </c>
      <c r="I1569" s="1">
        <v>3</v>
      </c>
      <c r="J1569" s="1">
        <v>3</v>
      </c>
      <c r="K1569" s="1">
        <v>3</v>
      </c>
      <c r="M1569" s="4">
        <v>2112</v>
      </c>
      <c r="N1569" s="1">
        <v>2637</v>
      </c>
      <c r="O1569" s="1">
        <v>5224</v>
      </c>
      <c r="P1569" s="1">
        <v>2587</v>
      </c>
      <c r="Q1569" s="1" t="s">
        <v>105</v>
      </c>
      <c r="S1569" s="1" t="s">
        <v>105</v>
      </c>
      <c r="T1569" s="1" t="s">
        <v>273</v>
      </c>
      <c r="V1569" s="5">
        <v>44338</v>
      </c>
      <c r="W1569" s="5">
        <v>42208</v>
      </c>
      <c r="X1569" s="1">
        <v>4726500</v>
      </c>
      <c r="Y1569" s="1">
        <v>4726500</v>
      </c>
      <c r="Z1569" s="5">
        <v>42208</v>
      </c>
      <c r="AA1569" s="1">
        <v>4734862</v>
      </c>
      <c r="AB1569" s="1" t="s">
        <v>809</v>
      </c>
      <c r="AC1569" s="5">
        <v>42621</v>
      </c>
      <c r="AF1569" s="1">
        <v>10007</v>
      </c>
      <c r="AI1569" s="1" t="s">
        <v>52</v>
      </c>
      <c r="AJ1569" s="1">
        <v>1930</v>
      </c>
      <c r="AK1569" s="1" t="s">
        <v>49</v>
      </c>
      <c r="AL1569" s="1">
        <v>156</v>
      </c>
    </row>
    <row r="1570" spans="1:38" x14ac:dyDescent="0.2">
      <c r="A1570" s="2" t="str">
        <f>HYPERLINK("https://www.compass.com/listing/100-barclay-street-unit-19b-manhattan-ny-10007/4852285166262952801/","100 Barclay St, Unit 19B")</f>
        <v>100 Barclay St, Unit 19B</v>
      </c>
      <c r="B1570" s="2" t="str">
        <f t="shared" si="233"/>
        <v>100 Barclay</v>
      </c>
      <c r="C1570" s="1" t="s">
        <v>50</v>
      </c>
      <c r="D1570" s="1" t="s">
        <v>41</v>
      </c>
      <c r="E1570" s="3">
        <v>8655125</v>
      </c>
      <c r="F1570" s="1">
        <v>2369.9685104052501</v>
      </c>
      <c r="G1570" s="1">
        <v>8.5</v>
      </c>
      <c r="H1570" s="1">
        <v>4</v>
      </c>
      <c r="I1570" s="1">
        <v>4</v>
      </c>
      <c r="J1570" s="1">
        <v>4.5</v>
      </c>
      <c r="K1570" s="1">
        <v>4</v>
      </c>
      <c r="L1570" s="1">
        <v>1</v>
      </c>
      <c r="M1570" s="4">
        <v>3652</v>
      </c>
      <c r="N1570" s="1">
        <v>4779</v>
      </c>
      <c r="O1570" s="1">
        <v>9967</v>
      </c>
      <c r="P1570" s="1">
        <v>5188</v>
      </c>
      <c r="Q1570" s="1" t="s">
        <v>42</v>
      </c>
      <c r="S1570" s="1" t="s">
        <v>42</v>
      </c>
      <c r="T1570" s="1" t="s">
        <v>273</v>
      </c>
      <c r="V1570" s="5">
        <v>43641</v>
      </c>
      <c r="W1570" s="5">
        <v>43019</v>
      </c>
      <c r="X1570" s="1">
        <v>9850000</v>
      </c>
      <c r="Y1570" s="1">
        <v>9850000</v>
      </c>
      <c r="Z1570" s="5">
        <v>43019</v>
      </c>
      <c r="AA1570" s="1">
        <v>8655125</v>
      </c>
      <c r="AB1570" s="1" t="s">
        <v>734</v>
      </c>
      <c r="AC1570" s="5">
        <v>43027</v>
      </c>
      <c r="AF1570" s="1">
        <v>10007</v>
      </c>
      <c r="AI1570" s="1" t="s">
        <v>133</v>
      </c>
      <c r="AJ1570" s="1">
        <v>1930</v>
      </c>
      <c r="AK1570" s="1" t="s">
        <v>46</v>
      </c>
      <c r="AL1570" s="1">
        <v>156</v>
      </c>
    </row>
    <row r="1571" spans="1:38" x14ac:dyDescent="0.2">
      <c r="A1571" s="2" t="str">
        <f>HYPERLINK("https://www.compass.com/listing/45-east-22nd-street-unit-16b-manhattan-ny-10010/29375851296485537/","45 E 22nd St, Unit 16B")</f>
        <v>45 E 22nd St, Unit 16B</v>
      </c>
      <c r="B1571" s="2" t="str">
        <f>HYPERLINK("https://www.compass.com/building/madison-square-park-tower-manhattan-ny/281903584482705973/","Madison Square Park Tower")</f>
        <v>Madison Square Park Tower</v>
      </c>
      <c r="C1571" s="1" t="s">
        <v>56</v>
      </c>
      <c r="D1571" s="1" t="s">
        <v>41</v>
      </c>
      <c r="E1571" s="3">
        <v>2610685</v>
      </c>
      <c r="F1571" s="1">
        <v>2430.8054003724301</v>
      </c>
      <c r="G1571" s="1">
        <v>3</v>
      </c>
      <c r="H1571" s="1">
        <v>1</v>
      </c>
      <c r="I1571" s="1">
        <v>1</v>
      </c>
      <c r="J1571" s="1">
        <v>1</v>
      </c>
      <c r="K1571" s="1">
        <v>1</v>
      </c>
      <c r="M1571" s="4">
        <v>1074</v>
      </c>
      <c r="N1571" s="1">
        <v>1164</v>
      </c>
      <c r="O1571" s="1">
        <v>2933</v>
      </c>
      <c r="P1571" s="1">
        <v>1769</v>
      </c>
      <c r="Q1571" s="1" t="s">
        <v>42</v>
      </c>
      <c r="S1571" s="1" t="s">
        <v>42</v>
      </c>
      <c r="T1571" s="1" t="s">
        <v>273</v>
      </c>
      <c r="U1571" s="1">
        <v>45</v>
      </c>
      <c r="V1571" s="5">
        <v>43670</v>
      </c>
      <c r="W1571" s="5">
        <v>42067</v>
      </c>
      <c r="X1571" s="1">
        <v>2500000</v>
      </c>
      <c r="Y1571" s="1">
        <v>2550000</v>
      </c>
      <c r="Z1571" s="5">
        <v>42112</v>
      </c>
      <c r="AA1571" s="1">
        <v>2610685</v>
      </c>
      <c r="AB1571" s="1" t="s">
        <v>810</v>
      </c>
      <c r="AC1571" s="5">
        <v>42959</v>
      </c>
      <c r="AF1571" s="1">
        <v>10010</v>
      </c>
      <c r="AI1571" s="1" t="s">
        <v>48</v>
      </c>
      <c r="AJ1571" s="1">
        <v>2016</v>
      </c>
      <c r="AK1571" s="1" t="s">
        <v>46</v>
      </c>
      <c r="AL1571" s="1">
        <v>83</v>
      </c>
    </row>
    <row r="1572" spans="1:38" x14ac:dyDescent="0.2">
      <c r="A1572" s="2" t="str">
        <f>HYPERLINK("https://www.compass.com/listing/121-east-22nd-street-unit-n401-manhattan-ny-10010/713690785433049857/","121 E 22nd St, Unit N401")</f>
        <v>121 E 22nd St, Unit N401</v>
      </c>
      <c r="B1572" s="2" t="str">
        <f t="shared" ref="B1572:B1573" si="234">HYPERLINK("https://www.compass.com/building/121-e-22nd-manhattan-ny/292795784653461493/","121 E 22nd")</f>
        <v>121 E 22nd</v>
      </c>
      <c r="C1572" s="1" t="s">
        <v>64</v>
      </c>
      <c r="D1572" s="1" t="s">
        <v>41</v>
      </c>
      <c r="E1572" s="3">
        <v>2250000</v>
      </c>
      <c r="F1572" s="1">
        <v>1667.9021497405399</v>
      </c>
      <c r="G1572" s="1">
        <v>3.5</v>
      </c>
      <c r="H1572" s="1">
        <v>2</v>
      </c>
      <c r="I1572" s="1">
        <v>3</v>
      </c>
      <c r="J1572" s="1">
        <v>2.5</v>
      </c>
      <c r="K1572" s="1">
        <v>2</v>
      </c>
      <c r="L1572" s="1">
        <v>1</v>
      </c>
      <c r="M1572" s="4">
        <v>1349</v>
      </c>
      <c r="N1572" s="1">
        <v>1429</v>
      </c>
      <c r="O1572" s="1">
        <v>4294</v>
      </c>
      <c r="P1572" s="1">
        <v>2865</v>
      </c>
      <c r="Q1572" s="1" t="s">
        <v>42</v>
      </c>
      <c r="S1572" s="1" t="s">
        <v>42</v>
      </c>
      <c r="T1572" s="1" t="s">
        <v>273</v>
      </c>
      <c r="U1572" s="1">
        <v>68</v>
      </c>
      <c r="V1572" s="5">
        <v>44329</v>
      </c>
      <c r="W1572" s="5">
        <v>44237</v>
      </c>
      <c r="X1572" s="1">
        <v>2760000</v>
      </c>
      <c r="Y1572" s="1">
        <v>2760000</v>
      </c>
      <c r="Z1572" s="5">
        <v>44306</v>
      </c>
      <c r="AA1572" s="1">
        <v>2250000</v>
      </c>
      <c r="AB1572" s="1" t="s">
        <v>811</v>
      </c>
      <c r="AC1572" s="5">
        <v>44327</v>
      </c>
      <c r="AF1572" s="1">
        <v>10010</v>
      </c>
      <c r="AI1572" s="1" t="s">
        <v>109</v>
      </c>
      <c r="AJ1572" s="1">
        <v>2016</v>
      </c>
      <c r="AK1572" s="1" t="s">
        <v>46</v>
      </c>
      <c r="AL1572" s="1">
        <v>140</v>
      </c>
    </row>
    <row r="1573" spans="1:38" x14ac:dyDescent="0.2">
      <c r="A1573" s="2" t="str">
        <f>HYPERLINK("https://www.compass.com/listing/121-east-22nd-street-unit-n301-manhattan-ny-10010/381154986794016177/","121 E 22nd St, Unit N301")</f>
        <v>121 E 22nd St, Unit N301</v>
      </c>
      <c r="B1573" s="2" t="str">
        <f t="shared" si="234"/>
        <v>121 E 22nd</v>
      </c>
      <c r="C1573" s="1" t="s">
        <v>64</v>
      </c>
      <c r="D1573" s="1" t="s">
        <v>41</v>
      </c>
      <c r="E1573" s="3">
        <v>2288211</v>
      </c>
      <c r="F1573" s="1">
        <v>1696.22787249814</v>
      </c>
      <c r="G1573" s="1">
        <v>4</v>
      </c>
      <c r="H1573" s="1">
        <v>2</v>
      </c>
      <c r="I1573" s="1">
        <v>3</v>
      </c>
      <c r="J1573" s="1">
        <v>2.5</v>
      </c>
      <c r="K1573" s="1">
        <v>2</v>
      </c>
      <c r="L1573" s="1">
        <v>1</v>
      </c>
      <c r="M1573" s="4">
        <v>1349</v>
      </c>
      <c r="N1573" s="1">
        <v>1409</v>
      </c>
      <c r="O1573" s="1">
        <v>4230</v>
      </c>
      <c r="P1573" s="1">
        <v>2821</v>
      </c>
      <c r="Q1573" s="1" t="s">
        <v>42</v>
      </c>
      <c r="S1573" s="1" t="s">
        <v>42</v>
      </c>
      <c r="T1573" s="1" t="s">
        <v>273</v>
      </c>
      <c r="U1573" s="1">
        <v>365</v>
      </c>
      <c r="V1573" s="5">
        <v>44321</v>
      </c>
      <c r="W1573" s="5">
        <v>43778</v>
      </c>
      <c r="X1573" s="1">
        <v>2725000</v>
      </c>
      <c r="Y1573" s="1">
        <v>2600000</v>
      </c>
      <c r="Z1573" s="5">
        <v>44238</v>
      </c>
      <c r="AA1573" s="1">
        <v>2288211.4</v>
      </c>
      <c r="AB1573" s="1" t="s">
        <v>812</v>
      </c>
      <c r="AC1573" s="5">
        <v>44308</v>
      </c>
      <c r="AF1573" s="1">
        <v>10010</v>
      </c>
      <c r="AI1573" s="1" t="s">
        <v>109</v>
      </c>
      <c r="AJ1573" s="1">
        <v>2016</v>
      </c>
      <c r="AK1573" s="1" t="s">
        <v>46</v>
      </c>
      <c r="AL1573" s="1">
        <v>140</v>
      </c>
    </row>
    <row r="1574" spans="1:38" x14ac:dyDescent="0.2">
      <c r="A1574" s="2" t="str">
        <f>HYPERLINK("https://www.compass.com/listing/100-barclay-street-unit-15p-manhattan-ny-10007/4852275408046924369/","100 Barclay St, Unit 15P")</f>
        <v>100 Barclay St, Unit 15P</v>
      </c>
      <c r="B1574" s="2" t="str">
        <f t="shared" ref="B1574:B1579" si="235">HYPERLINK("https://www.compass.com/building/100-barclay-manhattan-ny/281896670466155525/","100 Barclay")</f>
        <v>100 Barclay</v>
      </c>
      <c r="C1574" s="1" t="s">
        <v>50</v>
      </c>
      <c r="D1574" s="1" t="s">
        <v>41</v>
      </c>
      <c r="E1574" s="3">
        <v>6750000</v>
      </c>
      <c r="F1574" s="1">
        <v>2104.1147132169499</v>
      </c>
      <c r="G1574" s="1">
        <v>6</v>
      </c>
      <c r="H1574" s="1">
        <v>4</v>
      </c>
      <c r="I1574" s="1">
        <v>5</v>
      </c>
      <c r="J1574" s="1">
        <v>5</v>
      </c>
      <c r="K1574" s="1">
        <v>5</v>
      </c>
      <c r="M1574" s="4">
        <v>3208</v>
      </c>
      <c r="N1574" s="1">
        <v>4116</v>
      </c>
      <c r="O1574" s="1">
        <v>8052</v>
      </c>
      <c r="P1574" s="1">
        <v>3936</v>
      </c>
      <c r="Q1574" s="1" t="s">
        <v>42</v>
      </c>
      <c r="S1574" s="1" t="s">
        <v>42</v>
      </c>
      <c r="T1574" s="1" t="s">
        <v>273</v>
      </c>
      <c r="V1574" s="5">
        <v>43630</v>
      </c>
      <c r="W1574" s="5">
        <v>42801</v>
      </c>
      <c r="X1574" s="1">
        <v>7250000</v>
      </c>
      <c r="Y1574" s="1">
        <v>7250000</v>
      </c>
      <c r="Z1574" s="5">
        <v>42801</v>
      </c>
      <c r="AA1574" s="1">
        <v>6750000</v>
      </c>
      <c r="AB1574" s="1" t="s">
        <v>813</v>
      </c>
      <c r="AC1574" s="5">
        <v>42887</v>
      </c>
      <c r="AF1574" s="1">
        <v>10007</v>
      </c>
      <c r="AI1574" s="1" t="s">
        <v>52</v>
      </c>
      <c r="AJ1574" s="1">
        <v>1930</v>
      </c>
      <c r="AK1574" s="1" t="s">
        <v>46</v>
      </c>
      <c r="AL1574" s="1">
        <v>156</v>
      </c>
    </row>
    <row r="1575" spans="1:38" x14ac:dyDescent="0.2">
      <c r="A1575" s="2" t="str">
        <f>HYPERLINK("https://www.compass.com/listing/100-barclay-street-unit-30c-manhattan-ny-10007/4852279367151127665/","100 Barclay St, Unit 30C")</f>
        <v>100 Barclay St, Unit 30C</v>
      </c>
      <c r="B1575" s="2" t="str">
        <f t="shared" si="235"/>
        <v>100 Barclay</v>
      </c>
      <c r="C1575" s="1" t="s">
        <v>50</v>
      </c>
      <c r="D1575" s="1" t="s">
        <v>41</v>
      </c>
      <c r="E1575" s="3">
        <v>7165875</v>
      </c>
      <c r="F1575" s="1">
        <v>2644.23431734317</v>
      </c>
      <c r="G1575" s="1">
        <v>6</v>
      </c>
      <c r="H1575" s="1">
        <v>3</v>
      </c>
      <c r="I1575" s="1">
        <v>4</v>
      </c>
      <c r="J1575" s="1">
        <v>4</v>
      </c>
      <c r="M1575" s="4">
        <v>2710</v>
      </c>
      <c r="N1575" s="1">
        <v>3477</v>
      </c>
      <c r="O1575" s="1">
        <v>6802</v>
      </c>
      <c r="P1575" s="1">
        <v>3325</v>
      </c>
      <c r="Q1575" s="1" t="s">
        <v>42</v>
      </c>
      <c r="S1575" s="1" t="s">
        <v>42</v>
      </c>
      <c r="T1575" s="1" t="s">
        <v>273</v>
      </c>
      <c r="V1575" s="5">
        <v>43668</v>
      </c>
      <c r="W1575" s="5">
        <v>42463</v>
      </c>
      <c r="X1575" s="1">
        <v>7275000</v>
      </c>
      <c r="Y1575" s="1">
        <v>7275000</v>
      </c>
      <c r="Z1575" s="5">
        <v>42463</v>
      </c>
      <c r="AA1575" s="1">
        <v>7165875</v>
      </c>
      <c r="AB1575" s="1" t="s">
        <v>814</v>
      </c>
      <c r="AC1575" s="5">
        <v>42515</v>
      </c>
      <c r="AF1575" s="1">
        <v>10007</v>
      </c>
      <c r="AI1575" s="1" t="s">
        <v>52</v>
      </c>
      <c r="AJ1575" s="1">
        <v>1930</v>
      </c>
      <c r="AK1575" s="1" t="s">
        <v>49</v>
      </c>
      <c r="AL1575" s="1">
        <v>156</v>
      </c>
    </row>
    <row r="1576" spans="1:38" x14ac:dyDescent="0.2">
      <c r="A1576" s="2" t="str">
        <f>HYPERLINK("https://www.compass.com/listing/100-barclay-street-unit-27b-manhattan-ny-10007/4852308592138665329/","100 Barclay St, Unit 27B")</f>
        <v>100 Barclay St, Unit 27B</v>
      </c>
      <c r="B1576" s="2" t="str">
        <f t="shared" si="235"/>
        <v>100 Barclay</v>
      </c>
      <c r="C1576" s="1" t="s">
        <v>50</v>
      </c>
      <c r="D1576" s="1" t="s">
        <v>41</v>
      </c>
      <c r="E1576" s="3">
        <v>7193936</v>
      </c>
      <c r="F1576" s="1">
        <v>2506.5979094076602</v>
      </c>
      <c r="G1576" s="1">
        <v>8</v>
      </c>
      <c r="H1576" s="1">
        <v>4</v>
      </c>
      <c r="I1576" s="1">
        <v>4</v>
      </c>
      <c r="J1576" s="1">
        <v>4</v>
      </c>
      <c r="M1576" s="4">
        <v>2870</v>
      </c>
      <c r="N1576" s="1">
        <v>3682</v>
      </c>
      <c r="O1576" s="1">
        <v>7203</v>
      </c>
      <c r="P1576" s="1">
        <v>3521</v>
      </c>
      <c r="Q1576" s="1" t="s">
        <v>42</v>
      </c>
      <c r="S1576" s="1" t="s">
        <v>42</v>
      </c>
      <c r="T1576" s="1" t="s">
        <v>273</v>
      </c>
      <c r="V1576" s="5">
        <v>43626</v>
      </c>
      <c r="W1576" s="5">
        <v>42477</v>
      </c>
      <c r="X1576" s="1">
        <v>7850000</v>
      </c>
      <c r="Y1576" s="1">
        <v>7850000</v>
      </c>
      <c r="Z1576" s="5">
        <v>42477</v>
      </c>
      <c r="AA1576" s="1">
        <v>7193936</v>
      </c>
      <c r="AB1576" s="1" t="s">
        <v>275</v>
      </c>
      <c r="AC1576" s="5">
        <v>42517</v>
      </c>
      <c r="AF1576" s="1">
        <v>10007</v>
      </c>
      <c r="AI1576" s="1" t="s">
        <v>52</v>
      </c>
      <c r="AJ1576" s="1">
        <v>1930</v>
      </c>
      <c r="AK1576" s="1" t="s">
        <v>49</v>
      </c>
      <c r="AL1576" s="1">
        <v>156</v>
      </c>
    </row>
    <row r="1577" spans="1:38" x14ac:dyDescent="0.2">
      <c r="A1577" s="2" t="str">
        <f>HYPERLINK("https://www.compass.com/listing/100-barclay-street-unit-27c-manhattan-ny-10007/4852308597482193025/","100 Barclay St, Unit 27C")</f>
        <v>100 Barclay St, Unit 27C</v>
      </c>
      <c r="B1577" s="2" t="str">
        <f t="shared" si="235"/>
        <v>100 Barclay</v>
      </c>
      <c r="C1577" s="1" t="s">
        <v>50</v>
      </c>
      <c r="D1577" s="1" t="s">
        <v>41</v>
      </c>
      <c r="E1577" s="3">
        <v>6975000</v>
      </c>
      <c r="F1577" s="1">
        <v>2571.90265486725</v>
      </c>
      <c r="G1577" s="1">
        <v>8</v>
      </c>
      <c r="H1577" s="1">
        <v>4</v>
      </c>
      <c r="I1577" s="1">
        <v>4</v>
      </c>
      <c r="J1577" s="1">
        <v>4</v>
      </c>
      <c r="M1577" s="4">
        <v>2712</v>
      </c>
      <c r="N1577" s="1">
        <v>3480</v>
      </c>
      <c r="O1577" s="1">
        <v>6808</v>
      </c>
      <c r="P1577" s="1">
        <v>3328</v>
      </c>
      <c r="Q1577" s="1" t="s">
        <v>42</v>
      </c>
      <c r="S1577" s="1" t="s">
        <v>42</v>
      </c>
      <c r="T1577" s="1" t="s">
        <v>273</v>
      </c>
      <c r="V1577" s="5">
        <v>43626</v>
      </c>
      <c r="W1577" s="5">
        <v>42477</v>
      </c>
      <c r="X1577" s="1">
        <v>6975000</v>
      </c>
      <c r="Y1577" s="1">
        <v>6975000</v>
      </c>
      <c r="Z1577" s="5">
        <v>42477</v>
      </c>
      <c r="AA1577" s="1">
        <v>6975000</v>
      </c>
      <c r="AB1577" s="1" t="s">
        <v>275</v>
      </c>
      <c r="AC1577" s="5">
        <v>42810</v>
      </c>
      <c r="AF1577" s="1">
        <v>10007</v>
      </c>
      <c r="AI1577" s="1" t="s">
        <v>52</v>
      </c>
      <c r="AJ1577" s="1">
        <v>1930</v>
      </c>
      <c r="AK1577" s="1" t="s">
        <v>49</v>
      </c>
      <c r="AL1577" s="1">
        <v>156</v>
      </c>
    </row>
    <row r="1578" spans="1:38" x14ac:dyDescent="0.2">
      <c r="A1578" s="2" t="str">
        <f>HYPERLINK("https://www.compass.com/listing/100-barclay-street-unit-11a-manhattan-ny-10007/4852308722715730193/","100 Barclay St, Unit 11A")</f>
        <v>100 Barclay St, Unit 11A</v>
      </c>
      <c r="B1578" s="2" t="str">
        <f t="shared" si="235"/>
        <v>100 Barclay</v>
      </c>
      <c r="C1578" s="1" t="s">
        <v>50</v>
      </c>
      <c r="D1578" s="1" t="s">
        <v>41</v>
      </c>
      <c r="E1578" s="3">
        <v>6262237</v>
      </c>
      <c r="F1578" s="1">
        <v>2303.1397572636902</v>
      </c>
      <c r="G1578" s="1">
        <v>7</v>
      </c>
      <c r="H1578" s="1">
        <v>4</v>
      </c>
      <c r="I1578" s="1">
        <v>4</v>
      </c>
      <c r="J1578" s="1">
        <v>4</v>
      </c>
      <c r="M1578" s="4">
        <v>2719</v>
      </c>
      <c r="N1578" s="1">
        <v>3950</v>
      </c>
      <c r="O1578" s="1">
        <v>7727</v>
      </c>
      <c r="P1578" s="1">
        <v>3777</v>
      </c>
      <c r="Q1578" s="1" t="s">
        <v>42</v>
      </c>
      <c r="S1578" s="1" t="s">
        <v>42</v>
      </c>
      <c r="T1578" s="1" t="s">
        <v>273</v>
      </c>
      <c r="V1578" s="5">
        <v>43623</v>
      </c>
      <c r="W1578" s="5">
        <v>42504</v>
      </c>
      <c r="X1578" s="1">
        <v>6822000</v>
      </c>
      <c r="Y1578" s="1">
        <v>6822000</v>
      </c>
      <c r="Z1578" s="5">
        <v>42504</v>
      </c>
      <c r="AA1578" s="1">
        <v>6262237</v>
      </c>
      <c r="AB1578" s="1" t="s">
        <v>815</v>
      </c>
      <c r="AC1578" s="5">
        <v>42798</v>
      </c>
      <c r="AF1578" s="1">
        <v>10007</v>
      </c>
      <c r="AI1578" s="1" t="s">
        <v>133</v>
      </c>
      <c r="AJ1578" s="1">
        <v>1930</v>
      </c>
      <c r="AK1578" s="1" t="s">
        <v>49</v>
      </c>
      <c r="AL1578" s="1">
        <v>156</v>
      </c>
    </row>
    <row r="1579" spans="1:38" x14ac:dyDescent="0.2">
      <c r="A1579" s="2" t="str">
        <f>HYPERLINK("https://www.compass.com/listing/100-barclay-street-unit-21a-manhattan-ny-10007/4852308743964074753/","100 Barclay St, Unit 21A")</f>
        <v>100 Barclay St, Unit 21A</v>
      </c>
      <c r="B1579" s="2" t="str">
        <f t="shared" si="235"/>
        <v>100 Barclay</v>
      </c>
      <c r="C1579" s="1" t="s">
        <v>50</v>
      </c>
      <c r="D1579" s="1" t="s">
        <v>41</v>
      </c>
      <c r="E1579" s="3">
        <v>14803395</v>
      </c>
      <c r="F1579" s="1">
        <v>4967.5822147650997</v>
      </c>
      <c r="G1579" s="1">
        <v>8</v>
      </c>
      <c r="H1579" s="1">
        <v>3</v>
      </c>
      <c r="I1579" s="1">
        <v>4</v>
      </c>
      <c r="J1579" s="1">
        <v>4</v>
      </c>
      <c r="M1579" s="4">
        <v>2980</v>
      </c>
      <c r="N1579" s="1">
        <v>4073</v>
      </c>
      <c r="O1579" s="1">
        <v>7968</v>
      </c>
      <c r="P1579" s="1">
        <v>3895</v>
      </c>
      <c r="Q1579" s="1" t="s">
        <v>42</v>
      </c>
      <c r="S1579" s="1" t="s">
        <v>42</v>
      </c>
      <c r="T1579" s="1" t="s">
        <v>273</v>
      </c>
      <c r="V1579" s="5">
        <v>43623</v>
      </c>
      <c r="W1579" s="5">
        <v>42497</v>
      </c>
      <c r="X1579" s="1">
        <v>8500000</v>
      </c>
      <c r="Y1579" s="1">
        <v>8500000</v>
      </c>
      <c r="Z1579" s="5">
        <v>42497</v>
      </c>
      <c r="AA1579" s="1">
        <v>14803395</v>
      </c>
      <c r="AB1579" s="1" t="s">
        <v>816</v>
      </c>
      <c r="AC1579" s="5">
        <v>42683</v>
      </c>
      <c r="AF1579" s="1">
        <v>10007</v>
      </c>
      <c r="AI1579" s="1" t="s">
        <v>133</v>
      </c>
      <c r="AJ1579" s="1">
        <v>1930</v>
      </c>
      <c r="AK1579" s="1" t="s">
        <v>49</v>
      </c>
      <c r="AL1579" s="1">
        <v>156</v>
      </c>
    </row>
    <row r="1580" spans="1:38" x14ac:dyDescent="0.2">
      <c r="A1580" s="2" t="str">
        <f>HYPERLINK("https://www.compass.com/listing/45-east-22nd-street-unit-47a-manhattan-ny-10010/29375873601869841/","45 E 22nd St, Unit 47A")</f>
        <v>45 E 22nd St, Unit 47A</v>
      </c>
      <c r="B1580" s="2" t="str">
        <f>HYPERLINK("https://www.compass.com/building/madison-square-park-tower-manhattan-ny/281903584482705973/","Madison Square Park Tower")</f>
        <v>Madison Square Park Tower</v>
      </c>
      <c r="C1580" s="1" t="s">
        <v>56</v>
      </c>
      <c r="D1580" s="1" t="s">
        <v>41</v>
      </c>
      <c r="E1580" s="3">
        <v>9675180</v>
      </c>
      <c r="F1580" s="1">
        <v>3904.43099273607</v>
      </c>
      <c r="G1580" s="1">
        <v>6</v>
      </c>
      <c r="H1580" s="1">
        <v>3</v>
      </c>
      <c r="I1580" s="1">
        <v>3</v>
      </c>
      <c r="J1580" s="1">
        <v>3</v>
      </c>
      <c r="K1580" s="1">
        <v>3</v>
      </c>
      <c r="M1580" s="4">
        <v>2478</v>
      </c>
      <c r="N1580" s="1">
        <v>3079</v>
      </c>
      <c r="O1580" s="1">
        <v>7761</v>
      </c>
      <c r="P1580" s="1">
        <v>4682</v>
      </c>
      <c r="Q1580" s="1" t="s">
        <v>42</v>
      </c>
      <c r="S1580" s="1" t="s">
        <v>42</v>
      </c>
      <c r="T1580" s="1" t="s">
        <v>273</v>
      </c>
      <c r="V1580" s="5">
        <v>44225</v>
      </c>
      <c r="W1580" s="5">
        <v>42698</v>
      </c>
      <c r="X1580" s="1">
        <v>9465000</v>
      </c>
      <c r="Y1580" s="1">
        <v>9465000</v>
      </c>
      <c r="Z1580" s="5">
        <v>42698</v>
      </c>
      <c r="AA1580" s="1">
        <v>9675180</v>
      </c>
      <c r="AB1580" s="1" t="s">
        <v>817</v>
      </c>
      <c r="AC1580" s="5">
        <v>42958</v>
      </c>
      <c r="AF1580" s="1">
        <v>10010</v>
      </c>
      <c r="AI1580" s="1" t="s">
        <v>48</v>
      </c>
      <c r="AJ1580" s="1">
        <v>2016</v>
      </c>
      <c r="AK1580" s="1" t="s">
        <v>49</v>
      </c>
      <c r="AL1580" s="1">
        <v>83</v>
      </c>
    </row>
    <row r="1581" spans="1:38" x14ac:dyDescent="0.2">
      <c r="A1581" s="2" t="str">
        <f>HYPERLINK("https://www.compass.com/listing/111-murray-street-unit-22a-manhattan-ny-10007/34108201762925329/","111 Murray St, Unit 22A")</f>
        <v>111 Murray St, Unit 22A</v>
      </c>
      <c r="B1581" s="2" t="str">
        <f>HYPERLINK("https://www.compass.com/building/111-murray-st-manhattan-ny-10007/281896511862746053/","111 Murray St")</f>
        <v>111 Murray St</v>
      </c>
      <c r="C1581" s="1" t="s">
        <v>50</v>
      </c>
      <c r="D1581" s="1" t="s">
        <v>41</v>
      </c>
      <c r="E1581" s="3">
        <v>3900000</v>
      </c>
      <c r="F1581" s="1">
        <v>2448.2109227871902</v>
      </c>
      <c r="G1581" s="1">
        <v>4</v>
      </c>
      <c r="H1581" s="1">
        <v>2</v>
      </c>
      <c r="I1581" s="1">
        <v>3</v>
      </c>
      <c r="J1581" s="1">
        <v>2.5</v>
      </c>
      <c r="K1581" s="1">
        <v>2</v>
      </c>
      <c r="L1581" s="1">
        <v>1</v>
      </c>
      <c r="M1581" s="4">
        <v>1593</v>
      </c>
      <c r="N1581" s="1">
        <v>1821</v>
      </c>
      <c r="O1581" s="1">
        <v>4292</v>
      </c>
      <c r="P1581" s="1">
        <v>2471</v>
      </c>
      <c r="Q1581" s="1" t="s">
        <v>42</v>
      </c>
      <c r="S1581" s="1" t="s">
        <v>42</v>
      </c>
      <c r="T1581" s="1" t="s">
        <v>273</v>
      </c>
      <c r="U1581" s="1">
        <v>228</v>
      </c>
      <c r="V1581" s="5">
        <v>43608</v>
      </c>
      <c r="W1581" s="5">
        <v>43070</v>
      </c>
      <c r="X1581" s="1">
        <v>4300000</v>
      </c>
      <c r="Y1581" s="1">
        <v>4300000</v>
      </c>
      <c r="AA1581" s="1">
        <v>3900000</v>
      </c>
      <c r="AB1581" s="1" t="s">
        <v>818</v>
      </c>
      <c r="AC1581" s="5">
        <v>43675</v>
      </c>
      <c r="AF1581" s="1">
        <v>10007</v>
      </c>
      <c r="AI1581" s="1" t="s">
        <v>107</v>
      </c>
      <c r="AJ1581" s="1">
        <v>2018</v>
      </c>
      <c r="AK1581" s="1" t="s">
        <v>49</v>
      </c>
      <c r="AL1581" s="1">
        <v>157</v>
      </c>
    </row>
    <row r="1582" spans="1:38" x14ac:dyDescent="0.2">
      <c r="A1582" s="2" t="str">
        <f>HYPERLINK("https://www.compass.com/listing/55-west-17th-street-unit-902-manhattan-ny-10011/801630343681448969/","55 W 17th St, Unit 902")</f>
        <v>55 W 17th St, Unit 902</v>
      </c>
      <c r="B1582" s="2" t="str">
        <f>HYPERLINK("https://www.compass.com/building/55-w-17th-st-manhattan-ny-10011/281911689161499829/","55 W 17th St")</f>
        <v>55 W 17th St</v>
      </c>
      <c r="C1582" s="1" t="s">
        <v>56</v>
      </c>
      <c r="D1582" s="1" t="s">
        <v>41</v>
      </c>
      <c r="E1582" s="3">
        <v>1700467</v>
      </c>
      <c r="F1582" s="1">
        <v>2149.76903919089</v>
      </c>
      <c r="G1582" s="1">
        <v>3</v>
      </c>
      <c r="H1582" s="1">
        <v>1</v>
      </c>
      <c r="I1582" s="1">
        <v>1</v>
      </c>
      <c r="J1582" s="1">
        <v>1</v>
      </c>
      <c r="M1582" s="1">
        <v>791</v>
      </c>
      <c r="N1582" s="1">
        <v>984</v>
      </c>
      <c r="O1582" s="1">
        <v>2143</v>
      </c>
      <c r="P1582" s="1">
        <v>1159</v>
      </c>
      <c r="Q1582" s="1" t="s">
        <v>42</v>
      </c>
      <c r="S1582" s="1" t="s">
        <v>42</v>
      </c>
      <c r="T1582" s="1" t="s">
        <v>273</v>
      </c>
      <c r="U1582" s="1">
        <v>51</v>
      </c>
      <c r="V1582" s="5">
        <v>43242</v>
      </c>
      <c r="W1582" s="5">
        <v>42298</v>
      </c>
      <c r="X1582" s="1">
        <v>1669990</v>
      </c>
      <c r="Y1582" s="1">
        <v>1669990</v>
      </c>
      <c r="Z1582" s="5">
        <v>42889</v>
      </c>
      <c r="AA1582" s="1">
        <v>1700467.31</v>
      </c>
      <c r="AB1582" s="1" t="s">
        <v>819</v>
      </c>
      <c r="AC1582" s="5">
        <v>42934</v>
      </c>
      <c r="AF1582" s="1">
        <v>10011</v>
      </c>
      <c r="AI1582" s="1" t="s">
        <v>102</v>
      </c>
      <c r="AJ1582" s="1">
        <v>2018</v>
      </c>
      <c r="AK1582" s="1" t="s">
        <v>108</v>
      </c>
      <c r="AL1582" s="1">
        <v>52</v>
      </c>
    </row>
    <row r="1583" spans="1:38" x14ac:dyDescent="0.2">
      <c r="A1583" s="2" t="str">
        <f>HYPERLINK("https://www.compass.com/listing/111-murray-street-unit-22b-manhattan-ny-10007/151302625743131697/","111 Murray St, Unit 22B")</f>
        <v>111 Murray St, Unit 22B</v>
      </c>
      <c r="B1583" s="2" t="str">
        <f t="shared" ref="B1583:B1585" si="236">HYPERLINK("https://www.compass.com/building/111-murray-st-manhattan-ny-10007/281896511862746053/","111 Murray St")</f>
        <v>111 Murray St</v>
      </c>
      <c r="C1583" s="1" t="s">
        <v>50</v>
      </c>
      <c r="D1583" s="1" t="s">
        <v>41</v>
      </c>
      <c r="E1583" s="3">
        <v>3975000</v>
      </c>
      <c r="F1583" s="1">
        <v>2514.23149905123</v>
      </c>
      <c r="G1583" s="1">
        <v>4</v>
      </c>
      <c r="H1583" s="1">
        <v>2</v>
      </c>
      <c r="I1583" s="1">
        <v>2</v>
      </c>
      <c r="J1583" s="1">
        <v>2</v>
      </c>
      <c r="K1583" s="1">
        <v>2</v>
      </c>
      <c r="M1583" s="4">
        <v>1581</v>
      </c>
      <c r="N1583" s="1">
        <v>1794</v>
      </c>
      <c r="O1583" s="1">
        <v>4228</v>
      </c>
      <c r="P1583" s="1">
        <v>2434</v>
      </c>
      <c r="Q1583" s="1" t="s">
        <v>42</v>
      </c>
      <c r="S1583" s="1" t="s">
        <v>42</v>
      </c>
      <c r="T1583" s="1" t="s">
        <v>273</v>
      </c>
      <c r="U1583" s="1">
        <v>155</v>
      </c>
      <c r="V1583" s="5">
        <v>43615</v>
      </c>
      <c r="W1583" s="5">
        <v>43460</v>
      </c>
      <c r="X1583" s="1">
        <v>4400000</v>
      </c>
      <c r="Y1583" s="1">
        <v>4400000</v>
      </c>
      <c r="AA1583" s="1">
        <v>3975000</v>
      </c>
      <c r="AB1583" s="1" t="s">
        <v>820</v>
      </c>
      <c r="AC1583" s="5">
        <v>43675</v>
      </c>
      <c r="AF1583" s="1">
        <v>10007</v>
      </c>
      <c r="AI1583" s="1" t="s">
        <v>107</v>
      </c>
      <c r="AJ1583" s="1">
        <v>2018</v>
      </c>
      <c r="AK1583" s="1" t="s">
        <v>49</v>
      </c>
      <c r="AL1583" s="1">
        <v>157</v>
      </c>
    </row>
    <row r="1584" spans="1:38" x14ac:dyDescent="0.2">
      <c r="A1584" s="2" t="str">
        <f>HYPERLINK("https://www.compass.com/listing/111-murray-street-unit-23b-manhattan-ny-10007/263623452127153313/","111 Murray St, Unit 23B")</f>
        <v>111 Murray St, Unit 23B</v>
      </c>
      <c r="B1584" s="2" t="str">
        <f t="shared" si="236"/>
        <v>111 Murray St</v>
      </c>
      <c r="C1584" s="1" t="s">
        <v>50</v>
      </c>
      <c r="D1584" s="1" t="s">
        <v>41</v>
      </c>
      <c r="E1584" s="3">
        <v>3750000</v>
      </c>
      <c r="F1584" s="1">
        <v>2371.91650853889</v>
      </c>
      <c r="G1584" s="1">
        <v>4</v>
      </c>
      <c r="H1584" s="1">
        <v>2</v>
      </c>
      <c r="I1584" s="1">
        <v>2</v>
      </c>
      <c r="J1584" s="1">
        <v>2</v>
      </c>
      <c r="K1584" s="1">
        <v>2</v>
      </c>
      <c r="M1584" s="4">
        <v>1581</v>
      </c>
      <c r="N1584" s="1">
        <v>1804</v>
      </c>
      <c r="O1584" s="1">
        <v>4252</v>
      </c>
      <c r="P1584" s="1">
        <v>2448</v>
      </c>
      <c r="Q1584" s="1" t="s">
        <v>42</v>
      </c>
      <c r="S1584" s="1" t="s">
        <v>42</v>
      </c>
      <c r="T1584" s="1" t="s">
        <v>273</v>
      </c>
      <c r="U1584" s="1">
        <v>176</v>
      </c>
      <c r="V1584" s="5">
        <v>43793</v>
      </c>
      <c r="W1584" s="5">
        <v>43615</v>
      </c>
      <c r="X1584" s="1">
        <v>4450000</v>
      </c>
      <c r="Y1584" s="1">
        <v>4450000</v>
      </c>
      <c r="AA1584" s="1">
        <v>3750000</v>
      </c>
      <c r="AB1584" s="1" t="s">
        <v>821</v>
      </c>
      <c r="AC1584" s="5">
        <v>43791</v>
      </c>
      <c r="AF1584" s="1">
        <v>10007</v>
      </c>
      <c r="AI1584" s="1" t="s">
        <v>107</v>
      </c>
      <c r="AJ1584" s="1">
        <v>2018</v>
      </c>
      <c r="AK1584" s="1" t="s">
        <v>49</v>
      </c>
      <c r="AL1584" s="1">
        <v>157</v>
      </c>
    </row>
    <row r="1585" spans="1:38" x14ac:dyDescent="0.2">
      <c r="A1585" s="2" t="str">
        <f>HYPERLINK("https://www.compass.com/listing/111-murray-street-unit-30b-manhattan-ny-10007/351846624121652737/","111 Murray St, Unit 30B")</f>
        <v>111 Murray St, Unit 30B</v>
      </c>
      <c r="B1585" s="2" t="str">
        <f t="shared" si="236"/>
        <v>111 Murray St</v>
      </c>
      <c r="C1585" s="1" t="s">
        <v>50</v>
      </c>
      <c r="D1585" s="1" t="s">
        <v>41</v>
      </c>
      <c r="E1585" s="3">
        <v>3800000</v>
      </c>
      <c r="F1585" s="1">
        <v>2403.5420619860802</v>
      </c>
      <c r="G1585" s="1">
        <v>4</v>
      </c>
      <c r="H1585" s="1">
        <v>2</v>
      </c>
      <c r="I1585" s="1">
        <v>2</v>
      </c>
      <c r="J1585" s="1">
        <v>2</v>
      </c>
      <c r="K1585" s="1">
        <v>2</v>
      </c>
      <c r="M1585" s="4">
        <v>1581</v>
      </c>
      <c r="N1585" s="1">
        <v>1884</v>
      </c>
      <c r="O1585" s="1">
        <v>4706</v>
      </c>
      <c r="P1585" s="1">
        <v>2822</v>
      </c>
      <c r="Q1585" s="1" t="s">
        <v>42</v>
      </c>
      <c r="S1585" s="1" t="s">
        <v>42</v>
      </c>
      <c r="T1585" s="1" t="s">
        <v>273</v>
      </c>
      <c r="U1585" s="1">
        <v>1600</v>
      </c>
      <c r="V1585" s="5">
        <v>43794</v>
      </c>
      <c r="W1585" s="5">
        <v>42160</v>
      </c>
      <c r="X1585" s="1">
        <v>4100000</v>
      </c>
      <c r="Y1585" s="1">
        <v>4100000</v>
      </c>
      <c r="AA1585" s="1">
        <v>3800000</v>
      </c>
      <c r="AB1585" s="1" t="s">
        <v>822</v>
      </c>
      <c r="AC1585" s="5">
        <v>43794</v>
      </c>
      <c r="AF1585" s="1">
        <v>10007</v>
      </c>
      <c r="AI1585" s="1" t="s">
        <v>107</v>
      </c>
      <c r="AJ1585" s="1">
        <v>2018</v>
      </c>
      <c r="AK1585" s="1" t="s">
        <v>49</v>
      </c>
      <c r="AL1585" s="1">
        <v>157</v>
      </c>
    </row>
    <row r="1586" spans="1:38" x14ac:dyDescent="0.2">
      <c r="A1586" s="2" t="str">
        <f>HYPERLINK("https://www.compass.com/listing/55-west-17th-street-unit-401-manhattan-ny-10011/29374457923619665/","55 W 17th St, Unit 401")</f>
        <v>55 W 17th St, Unit 401</v>
      </c>
      <c r="B1586" s="2" t="str">
        <f t="shared" ref="B1586:B1590" si="237">HYPERLINK("https://www.compass.com/building/55-w-17th-st-manhattan-ny-10011/281911689161499829/","55 W 17th St")</f>
        <v>55 W 17th St</v>
      </c>
      <c r="C1586" s="1" t="s">
        <v>56</v>
      </c>
      <c r="D1586" s="1" t="s">
        <v>41</v>
      </c>
      <c r="E1586" s="3">
        <v>1850000</v>
      </c>
      <c r="F1586" s="1">
        <v>1648.8413547237001</v>
      </c>
      <c r="G1586" s="1">
        <v>3</v>
      </c>
      <c r="H1586" s="1">
        <v>1</v>
      </c>
      <c r="I1586" s="1">
        <v>1</v>
      </c>
      <c r="J1586" s="1">
        <v>1</v>
      </c>
      <c r="M1586" s="4">
        <v>1122</v>
      </c>
      <c r="N1586" s="1">
        <v>1389</v>
      </c>
      <c r="O1586" s="1">
        <v>3025</v>
      </c>
      <c r="P1586" s="1">
        <v>1636</v>
      </c>
      <c r="Q1586" s="1" t="s">
        <v>42</v>
      </c>
      <c r="S1586" s="1" t="s">
        <v>42</v>
      </c>
      <c r="T1586" s="1" t="s">
        <v>273</v>
      </c>
      <c r="U1586" s="1">
        <v>358</v>
      </c>
      <c r="V1586" s="5">
        <v>43662</v>
      </c>
      <c r="W1586" s="5">
        <v>42458</v>
      </c>
      <c r="X1586" s="1">
        <v>1994990</v>
      </c>
      <c r="Y1586" s="1">
        <v>1994990</v>
      </c>
      <c r="Z1586" s="5">
        <v>42816</v>
      </c>
      <c r="AA1586" s="1">
        <v>1850000</v>
      </c>
      <c r="AB1586" s="1" t="s">
        <v>823</v>
      </c>
      <c r="AC1586" s="5">
        <v>42874</v>
      </c>
      <c r="AF1586" s="1">
        <v>10011</v>
      </c>
      <c r="AI1586" s="1" t="s">
        <v>102</v>
      </c>
      <c r="AJ1586" s="1">
        <v>2018</v>
      </c>
      <c r="AK1586" s="1" t="s">
        <v>108</v>
      </c>
      <c r="AL1586" s="1">
        <v>52</v>
      </c>
    </row>
    <row r="1587" spans="1:38" x14ac:dyDescent="0.2">
      <c r="A1587" s="2" t="str">
        <f>HYPERLINK("https://www.compass.com/listing/55-west-17th-street-unit-702-manhattan-ny-10011/29374460851188193/","55 W 17th St, Unit 702")</f>
        <v>55 W 17th St, Unit 702</v>
      </c>
      <c r="B1587" s="2" t="str">
        <f t="shared" si="237"/>
        <v>55 W 17th St</v>
      </c>
      <c r="C1587" s="1" t="s">
        <v>56</v>
      </c>
      <c r="D1587" s="1" t="s">
        <v>41</v>
      </c>
      <c r="E1587" s="3">
        <v>1692321</v>
      </c>
      <c r="F1587" s="1">
        <v>2139.4702907711699</v>
      </c>
      <c r="G1587" s="1">
        <v>3</v>
      </c>
      <c r="H1587" s="1">
        <v>1</v>
      </c>
      <c r="I1587" s="1">
        <v>1</v>
      </c>
      <c r="J1587" s="1">
        <v>1</v>
      </c>
      <c r="M1587" s="1">
        <v>791</v>
      </c>
      <c r="N1587" s="1">
        <v>982</v>
      </c>
      <c r="O1587" s="1">
        <v>2139</v>
      </c>
      <c r="P1587" s="1">
        <v>1157</v>
      </c>
      <c r="Q1587" s="1" t="s">
        <v>42</v>
      </c>
      <c r="S1587" s="1" t="s">
        <v>42</v>
      </c>
      <c r="T1587" s="1" t="s">
        <v>273</v>
      </c>
      <c r="U1587" s="1">
        <v>24</v>
      </c>
      <c r="V1587" s="5">
        <v>43662</v>
      </c>
      <c r="W1587" s="5">
        <v>42304</v>
      </c>
      <c r="X1587" s="1">
        <v>1661990</v>
      </c>
      <c r="Y1587" s="1">
        <v>1661990</v>
      </c>
      <c r="Z1587" s="5">
        <v>42328</v>
      </c>
      <c r="AA1587" s="1">
        <v>1692321</v>
      </c>
      <c r="AB1587" s="1" t="s">
        <v>824</v>
      </c>
      <c r="AC1587" s="5">
        <v>42846</v>
      </c>
      <c r="AF1587" s="1">
        <v>10011</v>
      </c>
      <c r="AI1587" s="1" t="s">
        <v>102</v>
      </c>
      <c r="AJ1587" s="1">
        <v>2018</v>
      </c>
      <c r="AK1587" s="1" t="s">
        <v>108</v>
      </c>
      <c r="AL1587" s="1">
        <v>52</v>
      </c>
    </row>
    <row r="1588" spans="1:38" x14ac:dyDescent="0.2">
      <c r="A1588" s="2" t="str">
        <f>HYPERLINK("https://www.compass.com/listing/55-west-17th-street-unit-1202-manhattan-ny-10011/29374463736924497/","55 W 17th St, Unit 1202")</f>
        <v>55 W 17th St, Unit 1202</v>
      </c>
      <c r="B1588" s="2" t="str">
        <f t="shared" si="237"/>
        <v>55 W 17th St</v>
      </c>
      <c r="C1588" s="1" t="s">
        <v>56</v>
      </c>
      <c r="D1588" s="1" t="s">
        <v>41</v>
      </c>
      <c r="E1588" s="3">
        <v>1909219</v>
      </c>
      <c r="F1588" s="1">
        <v>2413.6776232616899</v>
      </c>
      <c r="G1588" s="1">
        <v>3</v>
      </c>
      <c r="H1588" s="1">
        <v>1</v>
      </c>
      <c r="I1588" s="1">
        <v>1</v>
      </c>
      <c r="J1588" s="1">
        <v>1</v>
      </c>
      <c r="M1588" s="1">
        <v>791</v>
      </c>
      <c r="N1588" s="1">
        <v>986</v>
      </c>
      <c r="O1588" s="1">
        <v>2147</v>
      </c>
      <c r="P1588" s="1">
        <v>1161</v>
      </c>
      <c r="Q1588" s="1" t="s">
        <v>42</v>
      </c>
      <c r="S1588" s="1" t="s">
        <v>42</v>
      </c>
      <c r="T1588" s="1" t="s">
        <v>273</v>
      </c>
      <c r="V1588" s="5">
        <v>43664</v>
      </c>
      <c r="W1588" s="5">
        <v>42469</v>
      </c>
      <c r="X1588" s="1">
        <v>1911990</v>
      </c>
      <c r="Y1588" s="1">
        <v>1911990</v>
      </c>
      <c r="Z1588" s="5">
        <v>42469</v>
      </c>
      <c r="AA1588" s="1">
        <v>1909219</v>
      </c>
      <c r="AB1588" s="1" t="s">
        <v>825</v>
      </c>
      <c r="AC1588" s="5">
        <v>42910</v>
      </c>
      <c r="AF1588" s="1">
        <v>10011</v>
      </c>
      <c r="AI1588" s="1" t="s">
        <v>102</v>
      </c>
      <c r="AJ1588" s="1">
        <v>2018</v>
      </c>
      <c r="AK1588" s="1" t="s">
        <v>108</v>
      </c>
      <c r="AL1588" s="1">
        <v>52</v>
      </c>
    </row>
    <row r="1589" spans="1:38" x14ac:dyDescent="0.2">
      <c r="A1589" s="2" t="str">
        <f>HYPERLINK("https://www.compass.com/listing/55-west-17th-street-unit-1002-manhattan-ny-10011/309891892120526465/","55 W 17th St, Unit 1002")</f>
        <v>55 W 17th St, Unit 1002</v>
      </c>
      <c r="B1589" s="2" t="str">
        <f t="shared" si="237"/>
        <v>55 W 17th St</v>
      </c>
      <c r="C1589" s="1" t="s">
        <v>56</v>
      </c>
      <c r="D1589" s="1" t="s">
        <v>41</v>
      </c>
      <c r="E1589" s="3">
        <v>1750000</v>
      </c>
      <c r="F1589" s="1">
        <v>2212.3893805309699</v>
      </c>
      <c r="G1589" s="1">
        <v>3</v>
      </c>
      <c r="H1589" s="1">
        <v>1</v>
      </c>
      <c r="I1589" s="1">
        <v>1</v>
      </c>
      <c r="J1589" s="1">
        <v>1</v>
      </c>
      <c r="M1589" s="1">
        <v>791</v>
      </c>
      <c r="N1589" s="1">
        <v>985</v>
      </c>
      <c r="O1589" s="1">
        <v>2145</v>
      </c>
      <c r="P1589" s="1">
        <v>1160</v>
      </c>
      <c r="Q1589" s="1" t="s">
        <v>42</v>
      </c>
      <c r="S1589" s="1" t="s">
        <v>42</v>
      </c>
      <c r="T1589" s="1" t="s">
        <v>273</v>
      </c>
      <c r="U1589" s="1">
        <v>469</v>
      </c>
      <c r="V1589" s="5">
        <v>43242</v>
      </c>
      <c r="W1589" s="5">
        <v>42457</v>
      </c>
      <c r="X1589" s="1">
        <v>1811990</v>
      </c>
      <c r="Y1589" s="1">
        <v>1811990</v>
      </c>
      <c r="Z1589" s="5">
        <v>42977</v>
      </c>
      <c r="AA1589" s="1">
        <v>1750000</v>
      </c>
      <c r="AB1589" s="1" t="s">
        <v>826</v>
      </c>
      <c r="AC1589" s="5">
        <v>43035</v>
      </c>
      <c r="AF1589" s="1">
        <v>10011</v>
      </c>
      <c r="AI1589" s="1" t="s">
        <v>102</v>
      </c>
      <c r="AJ1589" s="1">
        <v>2018</v>
      </c>
      <c r="AK1589" s="1" t="s">
        <v>108</v>
      </c>
      <c r="AL1589" s="1">
        <v>52</v>
      </c>
    </row>
    <row r="1590" spans="1:38" x14ac:dyDescent="0.2">
      <c r="A1590" s="2" t="str">
        <f>HYPERLINK("https://www.compass.com/listing/55-west-17th-street-unit-1102-manhattan-ny-10011/4868358234815081313/","55 W 17th St, Unit 1102")</f>
        <v>55 W 17th St, Unit 1102</v>
      </c>
      <c r="B1590" s="2" t="str">
        <f t="shared" si="237"/>
        <v>55 W 17th St</v>
      </c>
      <c r="C1590" s="1" t="s">
        <v>56</v>
      </c>
      <c r="D1590" s="1" t="s">
        <v>41</v>
      </c>
      <c r="E1590" s="3">
        <v>1923973</v>
      </c>
      <c r="F1590" s="1">
        <v>2432.3302022756002</v>
      </c>
      <c r="G1590" s="1">
        <v>3</v>
      </c>
      <c r="H1590" s="1">
        <v>1</v>
      </c>
      <c r="I1590" s="1">
        <v>1</v>
      </c>
      <c r="J1590" s="1">
        <v>1</v>
      </c>
      <c r="M1590" s="1">
        <v>791</v>
      </c>
      <c r="N1590" s="1">
        <v>986</v>
      </c>
      <c r="O1590" s="1">
        <v>2148</v>
      </c>
      <c r="P1590" s="1">
        <v>1162</v>
      </c>
      <c r="Q1590" s="1" t="s">
        <v>42</v>
      </c>
      <c r="S1590" s="1" t="s">
        <v>42</v>
      </c>
      <c r="T1590" s="1" t="s">
        <v>273</v>
      </c>
      <c r="U1590" s="1">
        <v>50</v>
      </c>
      <c r="V1590" s="5">
        <v>43664</v>
      </c>
      <c r="W1590" s="5">
        <v>42711</v>
      </c>
      <c r="X1590" s="1">
        <v>1861990</v>
      </c>
      <c r="Y1590" s="1">
        <v>1861990</v>
      </c>
      <c r="Z1590" s="5">
        <v>42761</v>
      </c>
      <c r="AA1590" s="1">
        <v>1923973.19</v>
      </c>
      <c r="AB1590" s="1" t="s">
        <v>827</v>
      </c>
      <c r="AC1590" s="5">
        <v>42879</v>
      </c>
      <c r="AF1590" s="1">
        <v>10011</v>
      </c>
      <c r="AI1590" s="1" t="s">
        <v>102</v>
      </c>
      <c r="AJ1590" s="1">
        <v>2018</v>
      </c>
      <c r="AK1590" s="1" t="s">
        <v>108</v>
      </c>
      <c r="AL1590" s="1">
        <v>52</v>
      </c>
    </row>
    <row r="1591" spans="1:38" x14ac:dyDescent="0.2">
      <c r="A1591" s="2" t="str">
        <f>HYPERLINK("https://www.compass.com/listing/45-east-22nd-street-unit-phab-manhattan-ny-10010/116386003584910993/","45 E 22nd St, Unit PHAB")</f>
        <v>45 E 22nd St, Unit PHAB</v>
      </c>
      <c r="B1591" s="2" t="str">
        <f t="shared" ref="B1591:B1592" si="238">HYPERLINK("https://www.compass.com/building/madison-square-park-tower-manhattan-ny/281903584482705973/","Madison Square Park Tower")</f>
        <v>Madison Square Park Tower</v>
      </c>
      <c r="C1591" s="1" t="s">
        <v>56</v>
      </c>
      <c r="D1591" s="1" t="s">
        <v>41</v>
      </c>
      <c r="E1591" s="3">
        <v>52000000</v>
      </c>
      <c r="F1591" s="1">
        <v>3981.6232771822301</v>
      </c>
      <c r="G1591" s="1">
        <v>9</v>
      </c>
      <c r="H1591" s="1">
        <v>6</v>
      </c>
      <c r="I1591" s="1">
        <v>7</v>
      </c>
      <c r="J1591" s="1">
        <v>6.5</v>
      </c>
      <c r="K1591" s="1">
        <v>6</v>
      </c>
      <c r="L1591" s="1">
        <v>1</v>
      </c>
      <c r="M1591" s="4">
        <v>13060</v>
      </c>
      <c r="N1591" s="1">
        <v>19131</v>
      </c>
      <c r="O1591" s="1">
        <v>57242</v>
      </c>
      <c r="P1591" s="1">
        <v>38111</v>
      </c>
      <c r="Q1591" s="1" t="s">
        <v>42</v>
      </c>
      <c r="S1591" s="1" t="s">
        <v>42</v>
      </c>
      <c r="T1591" s="1" t="s">
        <v>273</v>
      </c>
      <c r="U1591" s="1">
        <v>140</v>
      </c>
      <c r="V1591" s="5">
        <v>43907</v>
      </c>
      <c r="W1591" s="5">
        <v>43760</v>
      </c>
      <c r="X1591" s="1">
        <v>52000000</v>
      </c>
      <c r="Y1591" s="1">
        <v>52000000</v>
      </c>
      <c r="AA1591" s="1">
        <v>52000000</v>
      </c>
      <c r="AB1591" s="1" t="s">
        <v>275</v>
      </c>
      <c r="AC1591" s="5">
        <v>43900</v>
      </c>
      <c r="AF1591" s="1">
        <v>10010</v>
      </c>
      <c r="AI1591" s="1" t="s">
        <v>48</v>
      </c>
      <c r="AJ1591" s="1">
        <v>2016</v>
      </c>
      <c r="AK1591" s="1" t="s">
        <v>49</v>
      </c>
      <c r="AL1591" s="1">
        <v>83</v>
      </c>
    </row>
    <row r="1592" spans="1:38" x14ac:dyDescent="0.2">
      <c r="A1592" s="2" t="str">
        <f>HYPERLINK("https://www.compass.com/listing/45-east-22nd-street-unit-62a-manhattan-ny-10010/29375876604916353/","45 E 22nd St, Unit 62A")</f>
        <v>45 E 22nd St, Unit 62A</v>
      </c>
      <c r="B1592" s="2" t="str">
        <f t="shared" si="238"/>
        <v>Madison Square Park Tower</v>
      </c>
      <c r="C1592" s="1" t="s">
        <v>56</v>
      </c>
      <c r="D1592" s="1" t="s">
        <v>41</v>
      </c>
      <c r="E1592" s="3">
        <v>22413800</v>
      </c>
      <c r="F1592" s="1">
        <v>4806.7338623203896</v>
      </c>
      <c r="G1592" s="1">
        <v>7</v>
      </c>
      <c r="H1592" s="1">
        <v>4</v>
      </c>
      <c r="I1592" s="1">
        <v>5</v>
      </c>
      <c r="J1592" s="1">
        <v>4.5</v>
      </c>
      <c r="M1592" s="4">
        <v>4663</v>
      </c>
      <c r="N1592" s="1">
        <v>6065</v>
      </c>
      <c r="O1592" s="1">
        <v>15287</v>
      </c>
      <c r="P1592" s="1">
        <v>9222</v>
      </c>
      <c r="Q1592" s="1" t="s">
        <v>42</v>
      </c>
      <c r="S1592" s="1" t="s">
        <v>42</v>
      </c>
      <c r="T1592" s="1" t="s">
        <v>273</v>
      </c>
      <c r="U1592" s="1">
        <v>1</v>
      </c>
      <c r="V1592" s="5">
        <v>43670</v>
      </c>
      <c r="W1592" s="5">
        <v>42775</v>
      </c>
      <c r="X1592" s="1">
        <v>24950000</v>
      </c>
      <c r="Y1592" s="1">
        <v>24950000</v>
      </c>
      <c r="Z1592" s="5">
        <v>42776</v>
      </c>
      <c r="AA1592" s="1">
        <v>22413800</v>
      </c>
      <c r="AB1592" s="1" t="s">
        <v>828</v>
      </c>
      <c r="AC1592" s="5">
        <v>43075</v>
      </c>
      <c r="AF1592" s="1">
        <v>10010</v>
      </c>
      <c r="AI1592" s="1" t="s">
        <v>48</v>
      </c>
      <c r="AJ1592" s="1">
        <v>2016</v>
      </c>
      <c r="AK1592" s="1" t="s">
        <v>49</v>
      </c>
      <c r="AL1592" s="1">
        <v>83</v>
      </c>
    </row>
    <row r="1593" spans="1:38" x14ac:dyDescent="0.2">
      <c r="A1593" s="2" t="str">
        <f>HYPERLINK("https://www.compass.com/listing/121-east-22nd-street-unit-s203-manhattan-ny-10010/637015200128010625/","121 E 22nd St, Unit S203")</f>
        <v>121 E 22nd St, Unit S203</v>
      </c>
      <c r="B1593" s="2" t="str">
        <f t="shared" ref="B1593:B1603" si="239">HYPERLINK("https://www.compass.com/building/121-e-22nd-manhattan-ny/292795784653461493/","121 E 22nd")</f>
        <v>121 E 22nd</v>
      </c>
      <c r="C1593" s="1" t="s">
        <v>64</v>
      </c>
      <c r="D1593" s="1" t="s">
        <v>41</v>
      </c>
      <c r="E1593" s="3">
        <v>2720000</v>
      </c>
      <c r="F1593" s="1">
        <v>1691.54228855721</v>
      </c>
      <c r="G1593" s="1">
        <v>4</v>
      </c>
      <c r="H1593" s="1">
        <v>2</v>
      </c>
      <c r="I1593" s="1">
        <v>3</v>
      </c>
      <c r="J1593" s="1">
        <v>2.5</v>
      </c>
      <c r="K1593" s="1">
        <v>2</v>
      </c>
      <c r="L1593" s="1">
        <v>1</v>
      </c>
      <c r="M1593" s="4">
        <v>1608</v>
      </c>
      <c r="N1593" s="1">
        <v>1623</v>
      </c>
      <c r="O1593" s="1">
        <v>4865</v>
      </c>
      <c r="P1593" s="1">
        <v>3242</v>
      </c>
      <c r="Q1593" s="1" t="s">
        <v>42</v>
      </c>
      <c r="S1593" s="1" t="s">
        <v>42</v>
      </c>
      <c r="T1593" s="1" t="s">
        <v>273</v>
      </c>
      <c r="U1593" s="1">
        <v>132</v>
      </c>
      <c r="V1593" s="5">
        <v>44307</v>
      </c>
      <c r="W1593" s="5">
        <v>44131</v>
      </c>
      <c r="X1593" s="1">
        <v>3275000</v>
      </c>
      <c r="Y1593" s="1">
        <v>3275000</v>
      </c>
      <c r="Z1593" s="5">
        <v>44264</v>
      </c>
      <c r="AA1593" s="1">
        <v>2720000</v>
      </c>
      <c r="AB1593" s="1" t="s">
        <v>295</v>
      </c>
      <c r="AC1593" s="5">
        <v>44298</v>
      </c>
      <c r="AF1593" s="1">
        <v>10010</v>
      </c>
      <c r="AI1593" s="1" t="s">
        <v>109</v>
      </c>
      <c r="AJ1593" s="1">
        <v>2016</v>
      </c>
      <c r="AK1593" s="1" t="s">
        <v>46</v>
      </c>
      <c r="AL1593" s="1">
        <v>140</v>
      </c>
    </row>
    <row r="1594" spans="1:38" x14ac:dyDescent="0.2">
      <c r="A1594" s="2" t="str">
        <f>HYPERLINK("https://www.compass.com/listing/121-east-22nd-street-unit-n602-manhattan-ny-10010/375297887891540273/","121 E 22nd St, Unit N602")</f>
        <v>121 E 22nd St, Unit N602</v>
      </c>
      <c r="B1594" s="2" t="str">
        <f t="shared" si="239"/>
        <v>121 E 22nd</v>
      </c>
      <c r="C1594" s="1" t="s">
        <v>64</v>
      </c>
      <c r="D1594" s="1" t="s">
        <v>41</v>
      </c>
      <c r="E1594" s="3">
        <v>2898805</v>
      </c>
      <c r="F1594" s="1">
        <v>1731.6636857825499</v>
      </c>
      <c r="G1594" s="1">
        <v>4</v>
      </c>
      <c r="H1594" s="1">
        <v>2</v>
      </c>
      <c r="I1594" s="1">
        <v>3</v>
      </c>
      <c r="J1594" s="1">
        <v>2.5</v>
      </c>
      <c r="K1594" s="1">
        <v>2</v>
      </c>
      <c r="L1594" s="1">
        <v>1</v>
      </c>
      <c r="M1594" s="4">
        <v>1674</v>
      </c>
      <c r="N1594" s="1">
        <v>1823</v>
      </c>
      <c r="O1594" s="1">
        <v>5483</v>
      </c>
      <c r="P1594" s="1">
        <v>3660</v>
      </c>
      <c r="Q1594" s="1" t="s">
        <v>42</v>
      </c>
      <c r="S1594" s="1" t="s">
        <v>42</v>
      </c>
      <c r="T1594" s="1" t="s">
        <v>273</v>
      </c>
      <c r="U1594" s="1">
        <v>396</v>
      </c>
      <c r="V1594" s="5">
        <v>44321</v>
      </c>
      <c r="W1594" s="5">
        <v>43770</v>
      </c>
      <c r="X1594" s="1">
        <v>3570000</v>
      </c>
      <c r="Y1594" s="1">
        <v>3100000</v>
      </c>
      <c r="Z1594" s="5">
        <v>44260</v>
      </c>
      <c r="AA1594" s="1">
        <v>2898805.01</v>
      </c>
      <c r="AB1594" s="1" t="s">
        <v>829</v>
      </c>
      <c r="AC1594" s="5">
        <v>44305</v>
      </c>
      <c r="AF1594" s="1">
        <v>10010</v>
      </c>
      <c r="AI1594" s="1" t="s">
        <v>149</v>
      </c>
      <c r="AJ1594" s="1">
        <v>2016</v>
      </c>
      <c r="AK1594" s="1" t="s">
        <v>46</v>
      </c>
      <c r="AL1594" s="1">
        <v>140</v>
      </c>
    </row>
    <row r="1595" spans="1:38" x14ac:dyDescent="0.2">
      <c r="A1595" s="2" t="str">
        <f>HYPERLINK("https://www.compass.com/listing/121-east-22nd-street-unit-s702-manhattan-ny-10010/34697806274921281/","121 E 22nd St, Unit S702")</f>
        <v>121 E 22nd St, Unit S702</v>
      </c>
      <c r="B1595" s="2" t="str">
        <f t="shared" si="239"/>
        <v>121 E 22nd</v>
      </c>
      <c r="C1595" s="1" t="s">
        <v>64</v>
      </c>
      <c r="D1595" s="1" t="s">
        <v>41</v>
      </c>
      <c r="E1595" s="3">
        <v>2080000</v>
      </c>
      <c r="F1595" s="1">
        <v>2047.2440944881801</v>
      </c>
      <c r="G1595" s="1">
        <v>3</v>
      </c>
      <c r="H1595" s="1">
        <v>1</v>
      </c>
      <c r="I1595" s="1">
        <v>2</v>
      </c>
      <c r="J1595" s="1">
        <v>1.5</v>
      </c>
      <c r="K1595" s="1">
        <v>1</v>
      </c>
      <c r="L1595" s="1">
        <v>1</v>
      </c>
      <c r="M1595" s="4">
        <v>1016</v>
      </c>
      <c r="N1595" s="1">
        <v>1071</v>
      </c>
      <c r="O1595" s="1">
        <v>2963</v>
      </c>
      <c r="P1595" s="1">
        <v>1892</v>
      </c>
      <c r="Q1595" s="1" t="s">
        <v>42</v>
      </c>
      <c r="S1595" s="1" t="s">
        <v>42</v>
      </c>
      <c r="T1595" s="1" t="s">
        <v>273</v>
      </c>
      <c r="V1595" s="5">
        <v>44373</v>
      </c>
      <c r="W1595" s="5">
        <v>43315</v>
      </c>
      <c r="X1595" s="1">
        <v>2080000</v>
      </c>
      <c r="Y1595" s="1">
        <v>2080000</v>
      </c>
      <c r="Z1595" s="5">
        <v>43315</v>
      </c>
      <c r="AA1595" s="1">
        <v>2080000</v>
      </c>
      <c r="AB1595" s="1" t="s">
        <v>275</v>
      </c>
      <c r="AC1595" s="5">
        <v>43501</v>
      </c>
      <c r="AF1595" s="1">
        <v>10010</v>
      </c>
      <c r="AI1595" s="1" t="s">
        <v>106</v>
      </c>
      <c r="AJ1595" s="1">
        <v>2016</v>
      </c>
      <c r="AK1595" s="1" t="s">
        <v>46</v>
      </c>
      <c r="AL1595" s="1">
        <v>140</v>
      </c>
    </row>
    <row r="1596" spans="1:38" x14ac:dyDescent="0.2">
      <c r="A1596" s="2" t="str">
        <f>HYPERLINK("https://www.compass.com/listing/121-east-22nd-street-unit-n1701-manhattan-ny-10010/34698003348575345/","121 E 22nd St, Unit N1701")</f>
        <v>121 E 22nd St, Unit N1701</v>
      </c>
      <c r="B1596" s="2" t="str">
        <f t="shared" si="239"/>
        <v>121 E 22nd</v>
      </c>
      <c r="C1596" s="1" t="s">
        <v>64</v>
      </c>
      <c r="D1596" s="1" t="s">
        <v>41</v>
      </c>
      <c r="E1596" s="3">
        <v>2163781</v>
      </c>
      <c r="F1596" s="1">
        <v>2319.1650589496198</v>
      </c>
      <c r="G1596" s="1">
        <v>3</v>
      </c>
      <c r="H1596" s="1">
        <v>1</v>
      </c>
      <c r="I1596" s="1">
        <v>2</v>
      </c>
      <c r="J1596" s="1">
        <v>1.5</v>
      </c>
      <c r="K1596" s="1">
        <v>1</v>
      </c>
      <c r="L1596" s="1">
        <v>1</v>
      </c>
      <c r="M1596" s="1">
        <v>933</v>
      </c>
      <c r="N1596" s="1">
        <v>1126</v>
      </c>
      <c r="O1596" s="1">
        <v>3135</v>
      </c>
      <c r="P1596" s="1">
        <v>2009</v>
      </c>
      <c r="Q1596" s="1" t="s">
        <v>42</v>
      </c>
      <c r="S1596" s="1" t="s">
        <v>42</v>
      </c>
      <c r="T1596" s="1" t="s">
        <v>273</v>
      </c>
      <c r="V1596" s="5">
        <v>44373</v>
      </c>
      <c r="W1596" s="5">
        <v>43315</v>
      </c>
      <c r="X1596" s="1">
        <v>2125000</v>
      </c>
      <c r="Y1596" s="1">
        <v>2125000</v>
      </c>
      <c r="Z1596" s="5">
        <v>43315</v>
      </c>
      <c r="AA1596" s="1">
        <v>2163781</v>
      </c>
      <c r="AB1596" s="1" t="s">
        <v>275</v>
      </c>
      <c r="AC1596" s="5">
        <v>43689</v>
      </c>
      <c r="AF1596" s="1">
        <v>10010</v>
      </c>
      <c r="AI1596" s="1" t="s">
        <v>106</v>
      </c>
      <c r="AJ1596" s="1">
        <v>2016</v>
      </c>
      <c r="AK1596" s="1" t="s">
        <v>46</v>
      </c>
      <c r="AL1596" s="1">
        <v>140</v>
      </c>
    </row>
    <row r="1597" spans="1:38" x14ac:dyDescent="0.2">
      <c r="A1597" s="2" t="str">
        <f>HYPERLINK("https://www.compass.com/listing/121-east-22nd-street-unit-n1401-manhattan-ny-10010/34698003541513585/","121 E 22nd St, Unit N1401")</f>
        <v>121 E 22nd St, Unit N1401</v>
      </c>
      <c r="B1597" s="2" t="str">
        <f t="shared" si="239"/>
        <v>121 E 22nd</v>
      </c>
      <c r="C1597" s="1" t="s">
        <v>64</v>
      </c>
      <c r="D1597" s="1" t="s">
        <v>41</v>
      </c>
      <c r="E1597" s="3">
        <v>2112869</v>
      </c>
      <c r="F1597" s="1">
        <v>2264.5967309753401</v>
      </c>
      <c r="G1597" s="1">
        <v>3</v>
      </c>
      <c r="H1597" s="1">
        <v>1</v>
      </c>
      <c r="I1597" s="1">
        <v>2</v>
      </c>
      <c r="J1597" s="1">
        <v>1.5</v>
      </c>
      <c r="K1597" s="1">
        <v>1</v>
      </c>
      <c r="L1597" s="1">
        <v>1</v>
      </c>
      <c r="M1597" s="1">
        <v>933</v>
      </c>
      <c r="N1597" s="1">
        <v>1098</v>
      </c>
      <c r="O1597" s="1">
        <v>3054</v>
      </c>
      <c r="P1597" s="1">
        <v>1956</v>
      </c>
      <c r="Q1597" s="1" t="s">
        <v>42</v>
      </c>
      <c r="S1597" s="1" t="s">
        <v>42</v>
      </c>
      <c r="T1597" s="1" t="s">
        <v>273</v>
      </c>
      <c r="U1597" s="1">
        <v>342</v>
      </c>
      <c r="V1597" s="5">
        <v>44373</v>
      </c>
      <c r="W1597" s="5">
        <v>42957</v>
      </c>
      <c r="X1597" s="1">
        <v>2075000</v>
      </c>
      <c r="Y1597" s="1">
        <v>2075000</v>
      </c>
      <c r="Z1597" s="5">
        <v>43300</v>
      </c>
      <c r="AA1597" s="1">
        <v>2112868.75</v>
      </c>
      <c r="AB1597" s="1" t="s">
        <v>830</v>
      </c>
      <c r="AC1597" s="5">
        <v>43607</v>
      </c>
      <c r="AF1597" s="1">
        <v>10010</v>
      </c>
      <c r="AI1597" s="1" t="s">
        <v>106</v>
      </c>
      <c r="AJ1597" s="1">
        <v>2016</v>
      </c>
      <c r="AK1597" s="1" t="s">
        <v>46</v>
      </c>
      <c r="AL1597" s="1">
        <v>140</v>
      </c>
    </row>
    <row r="1598" spans="1:38" x14ac:dyDescent="0.2">
      <c r="A1598" s="2" t="str">
        <f>HYPERLINK("https://www.compass.com/listing/121-east-22nd-street-unit-n1403-manhattan-ny-10010/34698008700508417/","121 E 22nd St, Unit N1403")</f>
        <v>121 E 22nd St, Unit N1403</v>
      </c>
      <c r="B1598" s="2" t="str">
        <f t="shared" si="239"/>
        <v>121 E 22nd</v>
      </c>
      <c r="C1598" s="1" t="s">
        <v>64</v>
      </c>
      <c r="D1598" s="1" t="s">
        <v>41</v>
      </c>
      <c r="E1598" s="3">
        <v>2163781</v>
      </c>
      <c r="F1598" s="1">
        <v>2192.2809017223899</v>
      </c>
      <c r="G1598" s="1">
        <v>3</v>
      </c>
      <c r="H1598" s="1">
        <v>1</v>
      </c>
      <c r="I1598" s="1">
        <v>2</v>
      </c>
      <c r="J1598" s="1">
        <v>1.5</v>
      </c>
      <c r="K1598" s="1">
        <v>1</v>
      </c>
      <c r="L1598" s="1">
        <v>1</v>
      </c>
      <c r="M1598" s="1">
        <v>987</v>
      </c>
      <c r="N1598" s="1">
        <v>1107</v>
      </c>
      <c r="O1598" s="1">
        <v>3071</v>
      </c>
      <c r="P1598" s="1">
        <v>1964</v>
      </c>
      <c r="Q1598" s="1" t="s">
        <v>42</v>
      </c>
      <c r="S1598" s="1" t="s">
        <v>42</v>
      </c>
      <c r="T1598" s="1" t="s">
        <v>273</v>
      </c>
      <c r="U1598" s="1">
        <v>11</v>
      </c>
      <c r="V1598" s="5">
        <v>44057</v>
      </c>
      <c r="W1598" s="5">
        <v>43446</v>
      </c>
      <c r="Y1598" s="1">
        <v>2125000</v>
      </c>
      <c r="Z1598" s="5">
        <v>43458</v>
      </c>
      <c r="AA1598" s="1">
        <v>2163781.25</v>
      </c>
      <c r="AB1598" s="1" t="s">
        <v>831</v>
      </c>
      <c r="AC1598" s="5">
        <v>43606</v>
      </c>
      <c r="AF1598" s="1">
        <v>10010</v>
      </c>
      <c r="AI1598" s="1" t="s">
        <v>106</v>
      </c>
      <c r="AJ1598" s="1">
        <v>2016</v>
      </c>
      <c r="AK1598" s="1" t="s">
        <v>46</v>
      </c>
      <c r="AL1598" s="1">
        <v>140</v>
      </c>
    </row>
    <row r="1599" spans="1:38" x14ac:dyDescent="0.2">
      <c r="A1599" s="2" t="str">
        <f>HYPERLINK("https://www.compass.com/listing/121-east-22nd-street-unit-n1501-manhattan-ny-10010/34698009581312433/","121 E 22nd St, Unit N1501")</f>
        <v>121 E 22nd St, Unit N1501</v>
      </c>
      <c r="B1599" s="2" t="str">
        <f t="shared" si="239"/>
        <v>121 E 22nd</v>
      </c>
      <c r="C1599" s="1" t="s">
        <v>64</v>
      </c>
      <c r="D1599" s="1" t="s">
        <v>41</v>
      </c>
      <c r="E1599" s="3">
        <v>2163781</v>
      </c>
      <c r="F1599" s="1">
        <v>2319.16532690246</v>
      </c>
      <c r="G1599" s="1">
        <v>3</v>
      </c>
      <c r="H1599" s="1">
        <v>1</v>
      </c>
      <c r="I1599" s="1">
        <v>2</v>
      </c>
      <c r="J1599" s="1">
        <v>1.5</v>
      </c>
      <c r="K1599" s="1">
        <v>1</v>
      </c>
      <c r="L1599" s="1">
        <v>1</v>
      </c>
      <c r="M1599" s="1">
        <v>933</v>
      </c>
      <c r="N1599" s="1">
        <v>1107</v>
      </c>
      <c r="O1599" s="1">
        <v>3080</v>
      </c>
      <c r="P1599" s="1">
        <v>1973</v>
      </c>
      <c r="Q1599" s="1" t="s">
        <v>42</v>
      </c>
      <c r="S1599" s="1" t="s">
        <v>42</v>
      </c>
      <c r="T1599" s="1" t="s">
        <v>273</v>
      </c>
      <c r="U1599" s="1">
        <v>341</v>
      </c>
      <c r="V1599" s="5">
        <v>44373</v>
      </c>
      <c r="W1599" s="5">
        <v>42958</v>
      </c>
      <c r="X1599" s="1">
        <v>2125000</v>
      </c>
      <c r="Y1599" s="1">
        <v>2125000</v>
      </c>
      <c r="Z1599" s="5">
        <v>43300</v>
      </c>
      <c r="AA1599" s="1">
        <v>2163781.25</v>
      </c>
      <c r="AB1599" s="1" t="s">
        <v>832</v>
      </c>
      <c r="AC1599" s="5">
        <v>43608</v>
      </c>
      <c r="AF1599" s="1">
        <v>10010</v>
      </c>
      <c r="AI1599" s="1" t="s">
        <v>106</v>
      </c>
      <c r="AJ1599" s="1">
        <v>2016</v>
      </c>
      <c r="AK1599" s="1" t="s">
        <v>46</v>
      </c>
      <c r="AL1599" s="1">
        <v>140</v>
      </c>
    </row>
    <row r="1600" spans="1:38" x14ac:dyDescent="0.2">
      <c r="A1600" s="2" t="str">
        <f>HYPERLINK("https://www.compass.com/listing/121-east-22nd-street-unit-s402-manhattan-ny-10010/34698102795418689/","121 E 22nd St, Unit S402")</f>
        <v>121 E 22nd St, Unit S402</v>
      </c>
      <c r="B1600" s="2" t="str">
        <f t="shared" si="239"/>
        <v>121 E 22nd</v>
      </c>
      <c r="C1600" s="1" t="s">
        <v>64</v>
      </c>
      <c r="D1600" s="1" t="s">
        <v>41</v>
      </c>
      <c r="E1600" s="3">
        <v>1950000</v>
      </c>
      <c r="F1600" s="1">
        <v>1995.9058341862799</v>
      </c>
      <c r="G1600" s="1">
        <v>3</v>
      </c>
      <c r="H1600" s="1">
        <v>1</v>
      </c>
      <c r="I1600" s="1">
        <v>2</v>
      </c>
      <c r="J1600" s="1">
        <v>1.5</v>
      </c>
      <c r="K1600" s="1">
        <v>1</v>
      </c>
      <c r="L1600" s="1">
        <v>1</v>
      </c>
      <c r="M1600" s="1">
        <v>977</v>
      </c>
      <c r="N1600" s="1">
        <v>1007</v>
      </c>
      <c r="O1600" s="1">
        <v>2783</v>
      </c>
      <c r="P1600" s="1">
        <v>1776</v>
      </c>
      <c r="Q1600" s="1" t="s">
        <v>42</v>
      </c>
      <c r="S1600" s="1" t="s">
        <v>42</v>
      </c>
      <c r="T1600" s="1" t="s">
        <v>273</v>
      </c>
      <c r="V1600" s="5">
        <v>44373</v>
      </c>
      <c r="W1600" s="5">
        <v>43315</v>
      </c>
      <c r="X1600" s="1">
        <v>1950000</v>
      </c>
      <c r="Y1600" s="1">
        <v>1950000</v>
      </c>
      <c r="Z1600" s="5">
        <v>43315</v>
      </c>
      <c r="AA1600" s="1">
        <v>1950000</v>
      </c>
      <c r="AB1600" s="1" t="s">
        <v>275</v>
      </c>
      <c r="AC1600" s="5">
        <v>43528</v>
      </c>
      <c r="AF1600" s="1">
        <v>10010</v>
      </c>
      <c r="AI1600" s="1" t="s">
        <v>106</v>
      </c>
      <c r="AJ1600" s="1">
        <v>2016</v>
      </c>
      <c r="AK1600" s="1" t="s">
        <v>46</v>
      </c>
      <c r="AL1600" s="1">
        <v>140</v>
      </c>
    </row>
    <row r="1601" spans="1:38" x14ac:dyDescent="0.2">
      <c r="A1601" s="2" t="str">
        <f>HYPERLINK("https://www.compass.com/listing/121-east-22nd-street-unit-s602-manhattan-ny-10010/34698281808373377/","121 E 22nd St, Unit S602")</f>
        <v>121 E 22nd St, Unit S602</v>
      </c>
      <c r="B1601" s="2" t="str">
        <f t="shared" si="239"/>
        <v>121 E 22nd</v>
      </c>
      <c r="C1601" s="1" t="s">
        <v>64</v>
      </c>
      <c r="D1601" s="1" t="s">
        <v>41</v>
      </c>
      <c r="E1601" s="3">
        <v>1925000</v>
      </c>
      <c r="F1601" s="1">
        <v>2037.0370370370299</v>
      </c>
      <c r="G1601" s="1">
        <v>3</v>
      </c>
      <c r="H1601" s="1">
        <v>1</v>
      </c>
      <c r="I1601" s="1">
        <v>2</v>
      </c>
      <c r="J1601" s="1">
        <v>1.5</v>
      </c>
      <c r="K1601" s="1">
        <v>1</v>
      </c>
      <c r="L1601" s="1">
        <v>1</v>
      </c>
      <c r="M1601" s="1">
        <v>945</v>
      </c>
      <c r="N1601" s="1">
        <v>991</v>
      </c>
      <c r="O1601" s="1">
        <v>2742</v>
      </c>
      <c r="P1601" s="1">
        <v>1751</v>
      </c>
      <c r="Q1601" s="1" t="s">
        <v>42</v>
      </c>
      <c r="S1601" s="1" t="s">
        <v>42</v>
      </c>
      <c r="T1601" s="1" t="s">
        <v>273</v>
      </c>
      <c r="V1601" s="5">
        <v>44373</v>
      </c>
      <c r="W1601" s="5">
        <v>43315</v>
      </c>
      <c r="X1601" s="1">
        <v>1925000</v>
      </c>
      <c r="Y1601" s="1">
        <v>1925000</v>
      </c>
      <c r="Z1601" s="5">
        <v>43315</v>
      </c>
      <c r="AA1601" s="1">
        <v>1925000</v>
      </c>
      <c r="AB1601" s="1" t="s">
        <v>275</v>
      </c>
      <c r="AC1601" s="5">
        <v>43528</v>
      </c>
      <c r="AF1601" s="1">
        <v>10010</v>
      </c>
      <c r="AI1601" s="1" t="s">
        <v>106</v>
      </c>
      <c r="AJ1601" s="1">
        <v>2016</v>
      </c>
      <c r="AK1601" s="1" t="s">
        <v>46</v>
      </c>
      <c r="AL1601" s="1">
        <v>140</v>
      </c>
    </row>
    <row r="1602" spans="1:38" x14ac:dyDescent="0.2">
      <c r="A1602" s="2" t="str">
        <f>HYPERLINK("https://www.compass.com/listing/121-east-22nd-street-unit-s802-manhattan-ny-10010/34698284870186225/","121 E 22nd St, Unit S802")</f>
        <v>121 E 22nd St, Unit S802</v>
      </c>
      <c r="B1602" s="2" t="str">
        <f t="shared" si="239"/>
        <v>121 E 22nd</v>
      </c>
      <c r="C1602" s="1" t="s">
        <v>64</v>
      </c>
      <c r="D1602" s="1" t="s">
        <v>41</v>
      </c>
      <c r="E1602" s="3">
        <v>2070000</v>
      </c>
      <c r="F1602" s="1">
        <v>2118.7308085977402</v>
      </c>
      <c r="G1602" s="1">
        <v>3</v>
      </c>
      <c r="H1602" s="1">
        <v>1</v>
      </c>
      <c r="I1602" s="1">
        <v>2</v>
      </c>
      <c r="J1602" s="1">
        <v>1.5</v>
      </c>
      <c r="K1602" s="1">
        <v>1</v>
      </c>
      <c r="L1602" s="1">
        <v>1</v>
      </c>
      <c r="M1602" s="1">
        <v>977</v>
      </c>
      <c r="N1602" s="1">
        <v>1041</v>
      </c>
      <c r="O1602" s="1">
        <v>2883</v>
      </c>
      <c r="P1602" s="1">
        <v>1842</v>
      </c>
      <c r="Q1602" s="1" t="s">
        <v>42</v>
      </c>
      <c r="S1602" s="1" t="s">
        <v>42</v>
      </c>
      <c r="T1602" s="1" t="s">
        <v>273</v>
      </c>
      <c r="V1602" s="5">
        <v>44373</v>
      </c>
      <c r="W1602" s="5">
        <v>43315</v>
      </c>
      <c r="X1602" s="1">
        <v>2070000</v>
      </c>
      <c r="Y1602" s="1">
        <v>2070000</v>
      </c>
      <c r="Z1602" s="5">
        <v>43315</v>
      </c>
      <c r="AA1602" s="1">
        <v>2070000</v>
      </c>
      <c r="AB1602" s="1" t="s">
        <v>275</v>
      </c>
      <c r="AC1602" s="5">
        <v>43505</v>
      </c>
      <c r="AF1602" s="1">
        <v>10010</v>
      </c>
      <c r="AI1602" s="1" t="s">
        <v>106</v>
      </c>
      <c r="AJ1602" s="1">
        <v>2016</v>
      </c>
      <c r="AK1602" s="1" t="s">
        <v>46</v>
      </c>
      <c r="AL1602" s="1">
        <v>140</v>
      </c>
    </row>
    <row r="1603" spans="1:38" x14ac:dyDescent="0.2">
      <c r="A1603" s="2" t="str">
        <f>HYPERLINK("https://www.compass.com/listing/121-east-22nd-street-unit-s202-manhattan-ny-10010/34705177328007761/","121 E 22nd St, Unit S202")</f>
        <v>121 E 22nd St, Unit S202</v>
      </c>
      <c r="B1603" s="2" t="str">
        <f t="shared" si="239"/>
        <v>121 E 22nd</v>
      </c>
      <c r="C1603" s="1" t="s">
        <v>64</v>
      </c>
      <c r="D1603" s="1" t="s">
        <v>41</v>
      </c>
      <c r="E1603" s="3">
        <v>1906000</v>
      </c>
      <c r="F1603" s="1">
        <v>1888.9990089197199</v>
      </c>
      <c r="G1603" s="1">
        <v>3</v>
      </c>
      <c r="H1603" s="1">
        <v>1</v>
      </c>
      <c r="I1603" s="1">
        <v>2</v>
      </c>
      <c r="J1603" s="1">
        <v>1.5</v>
      </c>
      <c r="K1603" s="1">
        <v>1</v>
      </c>
      <c r="L1603" s="1">
        <v>1</v>
      </c>
      <c r="M1603" s="4">
        <v>1009</v>
      </c>
      <c r="N1603" s="1">
        <v>1017</v>
      </c>
      <c r="O1603" s="1">
        <v>2809</v>
      </c>
      <c r="P1603" s="1">
        <v>1792</v>
      </c>
      <c r="Q1603" s="1" t="s">
        <v>42</v>
      </c>
      <c r="S1603" s="1" t="s">
        <v>42</v>
      </c>
      <c r="T1603" s="1" t="s">
        <v>273</v>
      </c>
      <c r="U1603" s="1">
        <v>524</v>
      </c>
      <c r="V1603" s="5">
        <v>44057</v>
      </c>
      <c r="W1603" s="5">
        <v>43019</v>
      </c>
      <c r="X1603" s="1">
        <v>1945000</v>
      </c>
      <c r="Y1603" s="1">
        <v>1945000</v>
      </c>
      <c r="Z1603" s="5">
        <v>43543</v>
      </c>
      <c r="AA1603" s="1">
        <v>1906000</v>
      </c>
      <c r="AB1603" s="1" t="s">
        <v>275</v>
      </c>
      <c r="AC1603" s="5">
        <v>43594</v>
      </c>
      <c r="AF1603" s="1">
        <v>10010</v>
      </c>
      <c r="AI1603" s="1" t="s">
        <v>106</v>
      </c>
      <c r="AJ1603" s="1">
        <v>2016</v>
      </c>
      <c r="AK1603" s="1" t="s">
        <v>46</v>
      </c>
      <c r="AL1603" s="1">
        <v>140</v>
      </c>
    </row>
    <row r="1604" spans="1:38" x14ac:dyDescent="0.2">
      <c r="A1604" s="2" t="str">
        <f>HYPERLINK("https://www.compass.com/listing/45-east-22nd-street-unit-61-manhattan-ny-10010/29514229975378337/","45 E 22nd St, Unit 61")</f>
        <v>45 E 22nd St, Unit 61</v>
      </c>
      <c r="B1604" s="2" t="str">
        <f>HYPERLINK("https://www.compass.com/building/madison-square-park-tower-manhattan-ny/281903584482705973/","Madison Square Park Tower")</f>
        <v>Madison Square Park Tower</v>
      </c>
      <c r="C1604" s="1" t="s">
        <v>56</v>
      </c>
      <c r="D1604" s="1" t="s">
        <v>41</v>
      </c>
      <c r="E1604" s="3">
        <v>24650000</v>
      </c>
      <c r="F1604" s="1">
        <v>5285.1629502572896</v>
      </c>
      <c r="G1604" s="1">
        <v>7</v>
      </c>
      <c r="H1604" s="1">
        <v>4</v>
      </c>
      <c r="I1604" s="1">
        <v>5</v>
      </c>
      <c r="J1604" s="1">
        <v>4.5</v>
      </c>
      <c r="K1604" s="1">
        <v>4</v>
      </c>
      <c r="L1604" s="1">
        <v>1</v>
      </c>
      <c r="M1604" s="4">
        <v>4664</v>
      </c>
      <c r="N1604" s="1">
        <v>6042</v>
      </c>
      <c r="O1604" s="1">
        <v>15229</v>
      </c>
      <c r="P1604" s="1">
        <v>9187</v>
      </c>
      <c r="Q1604" s="1" t="s">
        <v>42</v>
      </c>
      <c r="S1604" s="1" t="s">
        <v>42</v>
      </c>
      <c r="T1604" s="1" t="s">
        <v>273</v>
      </c>
      <c r="V1604" s="5">
        <v>43648</v>
      </c>
      <c r="W1604" s="5">
        <v>43222</v>
      </c>
      <c r="X1604" s="1">
        <v>24650000</v>
      </c>
      <c r="Y1604" s="1">
        <v>24650000</v>
      </c>
      <c r="Z1604" s="5">
        <v>43222</v>
      </c>
      <c r="AA1604" s="1">
        <v>24650000</v>
      </c>
      <c r="AB1604" s="1" t="s">
        <v>275</v>
      </c>
      <c r="AC1604" s="5">
        <v>43410</v>
      </c>
      <c r="AF1604" s="1">
        <v>10010</v>
      </c>
      <c r="AI1604" s="1" t="s">
        <v>48</v>
      </c>
      <c r="AJ1604" s="1">
        <v>2016</v>
      </c>
      <c r="AK1604" s="1" t="s">
        <v>49</v>
      </c>
      <c r="AL1604" s="1">
        <v>83</v>
      </c>
    </row>
    <row r="1605" spans="1:38" x14ac:dyDescent="0.2">
      <c r="A1605" s="2" t="str">
        <f>HYPERLINK("https://www.compass.com/listing/121-east-22nd-street-unit-n808-manhattan-ny-10010/405767325815487985/","121 E 22nd St, Unit N808")</f>
        <v>121 E 22nd St, Unit N808</v>
      </c>
      <c r="B1605" s="2" t="str">
        <f>HYPERLINK("https://www.compass.com/building/121-e-22nd-manhattan-ny/292795784653461493/","121 E 22nd")</f>
        <v>121 E 22nd</v>
      </c>
      <c r="C1605" s="1" t="s">
        <v>64</v>
      </c>
      <c r="D1605" s="1" t="s">
        <v>41</v>
      </c>
      <c r="E1605" s="3">
        <v>2864541</v>
      </c>
      <c r="F1605" s="1">
        <v>2043.1818116975701</v>
      </c>
      <c r="G1605" s="1">
        <v>3</v>
      </c>
      <c r="H1605" s="1">
        <v>2</v>
      </c>
      <c r="I1605" s="1">
        <v>2</v>
      </c>
      <c r="J1605" s="1">
        <v>2</v>
      </c>
      <c r="K1605" s="1">
        <v>2</v>
      </c>
      <c r="M1605" s="4">
        <v>1402</v>
      </c>
      <c r="N1605" s="1">
        <v>1545</v>
      </c>
      <c r="O1605" s="1">
        <v>4691</v>
      </c>
      <c r="P1605" s="1">
        <v>3146</v>
      </c>
      <c r="Q1605" s="1" t="s">
        <v>42</v>
      </c>
      <c r="S1605" s="1" t="s">
        <v>42</v>
      </c>
      <c r="T1605" s="1" t="s">
        <v>273</v>
      </c>
      <c r="U1605" s="1">
        <v>61</v>
      </c>
      <c r="V1605" s="5">
        <v>44334</v>
      </c>
      <c r="W1605" s="5">
        <v>43812</v>
      </c>
      <c r="X1605" s="1">
        <v>3020000</v>
      </c>
      <c r="Y1605" s="1">
        <v>3020000</v>
      </c>
      <c r="Z1605" s="5">
        <v>43874</v>
      </c>
      <c r="AA1605" s="1">
        <v>2864540.9</v>
      </c>
      <c r="AB1605" s="1" t="s">
        <v>833</v>
      </c>
      <c r="AC1605" s="5">
        <v>43900</v>
      </c>
      <c r="AF1605" s="1">
        <v>10010</v>
      </c>
      <c r="AI1605" s="1" t="s">
        <v>106</v>
      </c>
      <c r="AJ1605" s="1">
        <v>2016</v>
      </c>
      <c r="AK1605" s="1" t="s">
        <v>46</v>
      </c>
      <c r="AL1605" s="1">
        <v>140</v>
      </c>
    </row>
    <row r="1606" spans="1:38" x14ac:dyDescent="0.2">
      <c r="A1606" s="2" t="str">
        <f>HYPERLINK("https://www.compass.com/listing/55-west-17th-street-unit-204-manhattan-ny-10011/45288849521309633/","55 W 17th St, Unit 204")</f>
        <v>55 W 17th St, Unit 204</v>
      </c>
      <c r="B1606" s="2" t="str">
        <f>HYPERLINK("https://www.compass.com/building/55-w-17th-st-manhattan-ny-10011/281911689161499829/","55 W 17th St")</f>
        <v>55 W 17th St</v>
      </c>
      <c r="C1606" s="1" t="s">
        <v>56</v>
      </c>
      <c r="D1606" s="1" t="s">
        <v>41</v>
      </c>
      <c r="E1606" s="3">
        <v>2647450</v>
      </c>
      <c r="F1606" s="1">
        <v>1873.63765038924</v>
      </c>
      <c r="G1606" s="1">
        <v>4</v>
      </c>
      <c r="H1606" s="1">
        <v>2</v>
      </c>
      <c r="I1606" s="1">
        <v>2</v>
      </c>
      <c r="J1606" s="1">
        <v>2</v>
      </c>
      <c r="K1606" s="1">
        <v>2</v>
      </c>
      <c r="M1606" s="4">
        <v>1413</v>
      </c>
      <c r="N1606" s="1">
        <v>2103</v>
      </c>
      <c r="O1606" s="1">
        <v>4580</v>
      </c>
      <c r="P1606" s="1">
        <v>2477</v>
      </c>
      <c r="Q1606" s="1" t="s">
        <v>42</v>
      </c>
      <c r="S1606" s="1" t="s">
        <v>42</v>
      </c>
      <c r="T1606" s="1" t="s">
        <v>273</v>
      </c>
      <c r="U1606" s="1">
        <v>70</v>
      </c>
      <c r="V1606" s="5">
        <v>43643</v>
      </c>
      <c r="W1606" s="5">
        <v>43315</v>
      </c>
      <c r="X1606" s="1">
        <v>2699990</v>
      </c>
      <c r="Y1606" s="1">
        <v>2699990</v>
      </c>
      <c r="Z1606" s="5">
        <v>43385</v>
      </c>
      <c r="AA1606" s="1">
        <v>2647450</v>
      </c>
      <c r="AB1606" s="1" t="s">
        <v>834</v>
      </c>
      <c r="AC1606" s="5">
        <v>43434</v>
      </c>
      <c r="AF1606" s="1">
        <v>10011</v>
      </c>
      <c r="AI1606" s="1" t="s">
        <v>835</v>
      </c>
      <c r="AJ1606" s="1">
        <v>2018</v>
      </c>
      <c r="AK1606" s="1" t="s">
        <v>108</v>
      </c>
      <c r="AL1606" s="1">
        <v>52</v>
      </c>
    </row>
    <row r="1607" spans="1:38" x14ac:dyDescent="0.2">
      <c r="A1607" s="2" t="str">
        <f>HYPERLINK("https://www.compass.com/listing/100-barclay-street-unit-14b-manhattan-ny-10007/4852264245091376145/","100 Barclay St, Unit 14B")</f>
        <v>100 Barclay St, Unit 14B</v>
      </c>
      <c r="B1607" s="2" t="str">
        <f t="shared" ref="B1607:B1608" si="240">HYPERLINK("https://www.compass.com/building/100-barclay-manhattan-ny/281896670466155525/","100 Barclay")</f>
        <v>100 Barclay</v>
      </c>
      <c r="C1607" s="1" t="s">
        <v>50</v>
      </c>
      <c r="D1607" s="1" t="s">
        <v>41</v>
      </c>
      <c r="E1607" s="3">
        <v>6050000</v>
      </c>
      <c r="F1607" s="1">
        <v>2473.4260016353201</v>
      </c>
      <c r="G1607" s="1">
        <v>6</v>
      </c>
      <c r="H1607" s="1">
        <v>3</v>
      </c>
      <c r="I1607" s="1">
        <v>4</v>
      </c>
      <c r="J1607" s="1">
        <v>3.5</v>
      </c>
      <c r="M1607" s="4">
        <v>2446</v>
      </c>
      <c r="N1607" s="1">
        <v>3470</v>
      </c>
      <c r="O1607" s="1">
        <v>6789</v>
      </c>
      <c r="P1607" s="1">
        <v>3319</v>
      </c>
      <c r="Q1607" s="1" t="s">
        <v>42</v>
      </c>
      <c r="S1607" s="1" t="s">
        <v>42</v>
      </c>
      <c r="T1607" s="1" t="s">
        <v>273</v>
      </c>
      <c r="V1607" s="5">
        <v>43668</v>
      </c>
      <c r="W1607" s="5">
        <v>42463</v>
      </c>
      <c r="X1607" s="1">
        <v>6611000</v>
      </c>
      <c r="Y1607" s="1">
        <v>6611000</v>
      </c>
      <c r="Z1607" s="5">
        <v>42463</v>
      </c>
      <c r="AA1607" s="1">
        <v>6050000</v>
      </c>
      <c r="AB1607" s="1" t="s">
        <v>275</v>
      </c>
      <c r="AC1607" s="5">
        <v>42704</v>
      </c>
      <c r="AF1607" s="1">
        <v>10007</v>
      </c>
      <c r="AI1607" s="1" t="s">
        <v>133</v>
      </c>
      <c r="AJ1607" s="1">
        <v>1930</v>
      </c>
      <c r="AK1607" s="1" t="s">
        <v>46</v>
      </c>
      <c r="AL1607" s="1">
        <v>156</v>
      </c>
    </row>
    <row r="1608" spans="1:38" x14ac:dyDescent="0.2">
      <c r="A1608" s="2" t="str">
        <f>HYPERLINK("https://www.compass.com/listing/100-barclay-street-unit-21d-manhattan-ny-10007/4852308912382152497/","100 Barclay St, Unit 21D")</f>
        <v>100 Barclay St, Unit 21D</v>
      </c>
      <c r="B1608" s="2" t="str">
        <f t="shared" si="240"/>
        <v>100 Barclay</v>
      </c>
      <c r="C1608" s="1" t="s">
        <v>50</v>
      </c>
      <c r="D1608" s="1" t="s">
        <v>41</v>
      </c>
      <c r="E1608" s="3">
        <v>6500000</v>
      </c>
      <c r="F1608" s="1">
        <v>2781.3436029097102</v>
      </c>
      <c r="G1608" s="1">
        <v>7</v>
      </c>
      <c r="H1608" s="1">
        <v>3</v>
      </c>
      <c r="I1608" s="1">
        <v>4</v>
      </c>
      <c r="J1608" s="1">
        <v>3.5</v>
      </c>
      <c r="M1608" s="4">
        <v>2337</v>
      </c>
      <c r="N1608" s="1">
        <v>3247</v>
      </c>
      <c r="O1608" s="1">
        <v>6352</v>
      </c>
      <c r="P1608" s="1">
        <v>3105</v>
      </c>
      <c r="Q1608" s="1" t="s">
        <v>42</v>
      </c>
      <c r="S1608" s="1" t="s">
        <v>42</v>
      </c>
      <c r="T1608" s="1" t="s">
        <v>273</v>
      </c>
      <c r="V1608" s="5">
        <v>43626</v>
      </c>
      <c r="W1608" s="5">
        <v>42497</v>
      </c>
      <c r="X1608" s="1">
        <v>6500000</v>
      </c>
      <c r="Y1608" s="1">
        <v>6500000</v>
      </c>
      <c r="Z1608" s="5">
        <v>42497</v>
      </c>
      <c r="AA1608" s="1">
        <v>6500000</v>
      </c>
      <c r="AB1608" s="1" t="s">
        <v>275</v>
      </c>
      <c r="AC1608" s="5">
        <v>42810</v>
      </c>
      <c r="AF1608" s="1">
        <v>10007</v>
      </c>
      <c r="AI1608" s="1" t="s">
        <v>133</v>
      </c>
      <c r="AJ1608" s="1">
        <v>1930</v>
      </c>
      <c r="AK1608" s="1" t="s">
        <v>49</v>
      </c>
      <c r="AL1608" s="1">
        <v>156</v>
      </c>
    </row>
    <row r="1609" spans="1:38" x14ac:dyDescent="0.2">
      <c r="A1609" s="2" t="str">
        <f>HYPERLINK("https://www.compass.com/listing/45-east-22nd-street-unit-42b-manhattan-ny-10010/29375870909052401/","45 E 22nd St, Unit 42B")</f>
        <v>45 E 22nd St, Unit 42B</v>
      </c>
      <c r="B1609" s="2" t="str">
        <f t="shared" ref="B1609:B1611" si="241">HYPERLINK("https://www.compass.com/building/madison-square-park-tower-manhattan-ny/281903584482705973/","Madison Square Park Tower")</f>
        <v>Madison Square Park Tower</v>
      </c>
      <c r="C1609" s="1" t="s">
        <v>56</v>
      </c>
      <c r="D1609" s="1" t="s">
        <v>41</v>
      </c>
      <c r="E1609" s="3">
        <v>7439621</v>
      </c>
      <c r="F1609" s="1">
        <v>3453.8630454967501</v>
      </c>
      <c r="G1609" s="1">
        <v>4</v>
      </c>
      <c r="H1609" s="1">
        <v>2</v>
      </c>
      <c r="I1609" s="1">
        <v>2</v>
      </c>
      <c r="J1609" s="1">
        <v>2</v>
      </c>
      <c r="K1609" s="1">
        <v>2</v>
      </c>
      <c r="M1609" s="4">
        <v>2154</v>
      </c>
      <c r="N1609" s="1">
        <v>2605</v>
      </c>
      <c r="O1609" s="1">
        <v>6565</v>
      </c>
      <c r="P1609" s="1">
        <v>3960</v>
      </c>
      <c r="Q1609" s="1" t="s">
        <v>42</v>
      </c>
      <c r="S1609" s="1" t="s">
        <v>42</v>
      </c>
      <c r="T1609" s="1" t="s">
        <v>273</v>
      </c>
      <c r="V1609" s="5">
        <v>43659</v>
      </c>
      <c r="W1609" s="5">
        <v>42056</v>
      </c>
      <c r="X1609" s="1">
        <v>7275000</v>
      </c>
      <c r="Y1609" s="1">
        <v>7275000</v>
      </c>
      <c r="Z1609" s="5">
        <v>42056</v>
      </c>
      <c r="AA1609" s="1">
        <v>7439621</v>
      </c>
      <c r="AB1609" s="1" t="s">
        <v>836</v>
      </c>
      <c r="AC1609" s="5">
        <v>42957</v>
      </c>
      <c r="AF1609" s="1">
        <v>10010</v>
      </c>
      <c r="AI1609" s="1" t="s">
        <v>48</v>
      </c>
      <c r="AJ1609" s="1">
        <v>2016</v>
      </c>
      <c r="AK1609" s="1" t="s">
        <v>46</v>
      </c>
      <c r="AL1609" s="1">
        <v>83</v>
      </c>
    </row>
    <row r="1610" spans="1:38" x14ac:dyDescent="0.2">
      <c r="A1610" s="2" t="str">
        <f>HYPERLINK("https://www.compass.com/listing/45-east-22nd-street-unit-44b-manhattan-ny-10010/29375872016348673/","45 E 22nd St, Unit 44B")</f>
        <v>45 E 22nd St, Unit 44B</v>
      </c>
      <c r="B1610" s="2" t="str">
        <f t="shared" si="241"/>
        <v>Madison Square Park Tower</v>
      </c>
      <c r="C1610" s="1" t="s">
        <v>56</v>
      </c>
      <c r="D1610" s="1" t="s">
        <v>41</v>
      </c>
      <c r="E1610" s="3">
        <v>7567300</v>
      </c>
      <c r="F1610" s="1">
        <v>3500.1387604070301</v>
      </c>
      <c r="G1610" s="1">
        <v>4</v>
      </c>
      <c r="H1610" s="1">
        <v>2</v>
      </c>
      <c r="I1610" s="1">
        <v>2</v>
      </c>
      <c r="J1610" s="1">
        <v>2</v>
      </c>
      <c r="K1610" s="1">
        <v>2</v>
      </c>
      <c r="M1610" s="4">
        <v>2162</v>
      </c>
      <c r="N1610" s="1">
        <v>2637</v>
      </c>
      <c r="O1610" s="1">
        <v>6647</v>
      </c>
      <c r="P1610" s="1">
        <v>4010</v>
      </c>
      <c r="Q1610" s="1" t="s">
        <v>42</v>
      </c>
      <c r="S1610" s="1" t="s">
        <v>42</v>
      </c>
      <c r="T1610" s="1" t="s">
        <v>273</v>
      </c>
      <c r="V1610" s="5">
        <v>43650</v>
      </c>
      <c r="W1610" s="5">
        <v>42054</v>
      </c>
      <c r="X1610" s="1">
        <v>7400000</v>
      </c>
      <c r="Y1610" s="1">
        <v>7400000</v>
      </c>
      <c r="Z1610" s="5">
        <v>42054</v>
      </c>
      <c r="AA1610" s="1">
        <v>7567300</v>
      </c>
      <c r="AB1610" s="1" t="s">
        <v>837</v>
      </c>
      <c r="AC1610" s="5">
        <v>42965</v>
      </c>
      <c r="AF1610" s="1">
        <v>10010</v>
      </c>
      <c r="AI1610" s="1" t="s">
        <v>48</v>
      </c>
      <c r="AJ1610" s="1">
        <v>2016</v>
      </c>
      <c r="AK1610" s="1" t="s">
        <v>46</v>
      </c>
      <c r="AL1610" s="1">
        <v>83</v>
      </c>
    </row>
    <row r="1611" spans="1:38" x14ac:dyDescent="0.2">
      <c r="A1611" s="2" t="str">
        <f>HYPERLINK("https://www.compass.com/listing/45-east-22nd-street-unit-50b-manhattan-ny-10010/29375875413734001/","45 E 22nd St, Unit 50B")</f>
        <v>45 E 22nd St, Unit 50B</v>
      </c>
      <c r="B1611" s="2" t="str">
        <f t="shared" si="241"/>
        <v>Madison Square Park Tower</v>
      </c>
      <c r="C1611" s="1" t="s">
        <v>56</v>
      </c>
      <c r="D1611" s="1" t="s">
        <v>41</v>
      </c>
      <c r="E1611" s="3">
        <v>8438256</v>
      </c>
      <c r="F1611" s="1">
        <v>3883.2287160607402</v>
      </c>
      <c r="G1611" s="1">
        <v>4</v>
      </c>
      <c r="H1611" s="1">
        <v>2</v>
      </c>
      <c r="I1611" s="1">
        <v>2</v>
      </c>
      <c r="J1611" s="1">
        <v>2</v>
      </c>
      <c r="M1611" s="4">
        <v>2173</v>
      </c>
      <c r="N1611" s="1">
        <v>2735</v>
      </c>
      <c r="O1611" s="1">
        <v>6893</v>
      </c>
      <c r="P1611" s="1">
        <v>4158</v>
      </c>
      <c r="Q1611" s="1" t="s">
        <v>42</v>
      </c>
      <c r="S1611" s="1" t="s">
        <v>42</v>
      </c>
      <c r="T1611" s="1" t="s">
        <v>273</v>
      </c>
      <c r="V1611" s="5">
        <v>43649</v>
      </c>
      <c r="W1611" s="5">
        <v>42994</v>
      </c>
      <c r="X1611" s="1">
        <v>8405000</v>
      </c>
      <c r="Y1611" s="1">
        <v>8405000</v>
      </c>
      <c r="Z1611" s="5">
        <v>42994</v>
      </c>
      <c r="AA1611" s="1">
        <v>8438256</v>
      </c>
      <c r="AB1611" s="1" t="s">
        <v>838</v>
      </c>
      <c r="AC1611" s="5">
        <v>43022</v>
      </c>
      <c r="AF1611" s="1">
        <v>10010</v>
      </c>
      <c r="AI1611" s="1" t="s">
        <v>48</v>
      </c>
      <c r="AJ1611" s="1">
        <v>2016</v>
      </c>
      <c r="AK1611" s="1" t="s">
        <v>49</v>
      </c>
      <c r="AL1611" s="1">
        <v>83</v>
      </c>
    </row>
    <row r="1612" spans="1:38" x14ac:dyDescent="0.2">
      <c r="A1612" s="2" t="str">
        <f>HYPERLINK("https://www.compass.com/listing/111-murray-street-unit-37b-manhattan-ny-10007/236175662753292497/","111 Murray St, Unit 37B")</f>
        <v>111 Murray St, Unit 37B</v>
      </c>
      <c r="B1612" s="2" t="str">
        <f t="shared" ref="B1612:B1613" si="242">HYPERLINK("https://www.compass.com/building/111-murray-st-manhattan-ny-10007/281896511862746053/","111 Murray St")</f>
        <v>111 Murray St</v>
      </c>
      <c r="C1612" s="1" t="s">
        <v>50</v>
      </c>
      <c r="D1612" s="1" t="s">
        <v>41</v>
      </c>
      <c r="E1612" s="3">
        <v>4300000</v>
      </c>
      <c r="F1612" s="1">
        <v>2581.0324129651799</v>
      </c>
      <c r="G1612" s="1">
        <v>5.5</v>
      </c>
      <c r="H1612" s="1">
        <v>2</v>
      </c>
      <c r="I1612" s="1">
        <v>3</v>
      </c>
      <c r="J1612" s="1">
        <v>2.5</v>
      </c>
      <c r="K1612" s="1">
        <v>2</v>
      </c>
      <c r="L1612" s="1">
        <v>1</v>
      </c>
      <c r="M1612" s="4">
        <v>1666</v>
      </c>
      <c r="N1612" s="1">
        <v>2047</v>
      </c>
      <c r="O1612" s="1">
        <v>4825</v>
      </c>
      <c r="P1612" s="1">
        <v>2778</v>
      </c>
      <c r="Q1612" s="1" t="s">
        <v>42</v>
      </c>
      <c r="S1612" s="1" t="s">
        <v>42</v>
      </c>
      <c r="T1612" s="1" t="s">
        <v>273</v>
      </c>
      <c r="U1612" s="1">
        <v>38</v>
      </c>
      <c r="V1612" s="5">
        <v>43616</v>
      </c>
      <c r="W1612" s="5">
        <v>43577</v>
      </c>
      <c r="X1612" s="1">
        <v>5000000</v>
      </c>
      <c r="Y1612" s="1">
        <v>5000000</v>
      </c>
      <c r="AA1612" s="1">
        <v>4300000</v>
      </c>
      <c r="AB1612" s="1" t="s">
        <v>839</v>
      </c>
      <c r="AC1612" s="5">
        <v>43636</v>
      </c>
      <c r="AF1612" s="1">
        <v>10007</v>
      </c>
      <c r="AI1612" s="1" t="s">
        <v>107</v>
      </c>
      <c r="AJ1612" s="1">
        <v>2018</v>
      </c>
      <c r="AK1612" s="1" t="s">
        <v>49</v>
      </c>
      <c r="AL1612" s="1">
        <v>157</v>
      </c>
    </row>
    <row r="1613" spans="1:38" x14ac:dyDescent="0.2">
      <c r="A1613" s="2" t="str">
        <f>HYPERLINK("https://www.compass.com/listing/111-murray-street-unit-35b-manhattan-ny-10007/46806785612396401/","111 Murray St, Unit 35B")</f>
        <v>111 Murray St, Unit 35B</v>
      </c>
      <c r="B1613" s="2" t="str">
        <f t="shared" si="242"/>
        <v>111 Murray St</v>
      </c>
      <c r="C1613" s="1" t="s">
        <v>50</v>
      </c>
      <c r="D1613" s="1" t="s">
        <v>41</v>
      </c>
      <c r="E1613" s="3">
        <v>4380000</v>
      </c>
      <c r="F1613" s="1">
        <v>2629.0516206482498</v>
      </c>
      <c r="G1613" s="1">
        <v>4</v>
      </c>
      <c r="H1613" s="1">
        <v>2</v>
      </c>
      <c r="I1613" s="1">
        <v>3</v>
      </c>
      <c r="J1613" s="1">
        <v>2.5</v>
      </c>
      <c r="K1613" s="1">
        <v>2</v>
      </c>
      <c r="L1613" s="1">
        <v>1</v>
      </c>
      <c r="M1613" s="4">
        <v>1666</v>
      </c>
      <c r="N1613" s="1">
        <v>2027</v>
      </c>
      <c r="O1613" s="1">
        <v>4778</v>
      </c>
      <c r="P1613" s="1">
        <v>2751</v>
      </c>
      <c r="Q1613" s="1" t="s">
        <v>42</v>
      </c>
      <c r="S1613" s="1" t="s">
        <v>42</v>
      </c>
      <c r="T1613" s="1" t="s">
        <v>273</v>
      </c>
      <c r="U1613" s="1">
        <v>262</v>
      </c>
      <c r="V1613" s="5">
        <v>43578</v>
      </c>
      <c r="W1613" s="5">
        <v>43315</v>
      </c>
      <c r="X1613" s="1">
        <v>4900000</v>
      </c>
      <c r="Y1613" s="1">
        <v>4900000</v>
      </c>
      <c r="AA1613" s="1">
        <v>4380000</v>
      </c>
      <c r="AB1613" s="1" t="s">
        <v>840</v>
      </c>
      <c r="AC1613" s="5">
        <v>43586</v>
      </c>
      <c r="AF1613" s="1">
        <v>10007</v>
      </c>
      <c r="AI1613" s="1" t="s">
        <v>107</v>
      </c>
      <c r="AJ1613" s="1">
        <v>2018</v>
      </c>
      <c r="AK1613" s="1" t="s">
        <v>49</v>
      </c>
      <c r="AL1613" s="1">
        <v>157</v>
      </c>
    </row>
    <row r="1614" spans="1:38" x14ac:dyDescent="0.2">
      <c r="A1614" s="2" t="str">
        <f>HYPERLINK("https://www.compass.com/listing/155-west-18th-street-unit-404-manhattan-ny-10011/29373030492807681/","155 W 18th St, Unit 404")</f>
        <v>155 W 18th St, Unit 404</v>
      </c>
      <c r="B1614" s="2" t="str">
        <f>HYPERLINK("https://www.compass.com/building/the-flynn-manhattan-ny/281905793161251925/","The Flynn")</f>
        <v>The Flynn</v>
      </c>
      <c r="C1614" s="1" t="s">
        <v>62</v>
      </c>
      <c r="D1614" s="1" t="s">
        <v>41</v>
      </c>
      <c r="E1614" s="3">
        <v>4276650</v>
      </c>
      <c r="F1614" s="1">
        <v>2108.8017751479201</v>
      </c>
      <c r="G1614" s="1">
        <v>5</v>
      </c>
      <c r="H1614" s="1">
        <v>3</v>
      </c>
      <c r="I1614" s="1">
        <v>4</v>
      </c>
      <c r="J1614" s="1">
        <v>3.5</v>
      </c>
      <c r="M1614" s="4">
        <v>2028</v>
      </c>
      <c r="N1614" s="1">
        <v>3090</v>
      </c>
      <c r="O1614" s="1">
        <v>5459</v>
      </c>
      <c r="P1614" s="1">
        <v>2369</v>
      </c>
      <c r="Q1614" s="1" t="s">
        <v>42</v>
      </c>
      <c r="S1614" s="1" t="s">
        <v>42</v>
      </c>
      <c r="T1614" s="1" t="s">
        <v>273</v>
      </c>
      <c r="U1614" s="1">
        <v>1</v>
      </c>
      <c r="V1614" s="5">
        <v>43666</v>
      </c>
      <c r="W1614" s="5">
        <v>42389</v>
      </c>
      <c r="X1614" s="1">
        <v>4800000</v>
      </c>
      <c r="Y1614" s="1">
        <v>4800000</v>
      </c>
      <c r="Z1614" s="5">
        <v>42390</v>
      </c>
      <c r="AA1614" s="1">
        <v>4276650</v>
      </c>
      <c r="AB1614" s="1" t="s">
        <v>665</v>
      </c>
      <c r="AC1614" s="5">
        <v>42674</v>
      </c>
      <c r="AF1614" s="1">
        <v>10011</v>
      </c>
      <c r="AI1614" s="1" t="s">
        <v>114</v>
      </c>
      <c r="AJ1614" s="1">
        <v>2016</v>
      </c>
      <c r="AK1614" s="1" t="s">
        <v>46</v>
      </c>
      <c r="AL1614" s="1">
        <v>30</v>
      </c>
    </row>
    <row r="1615" spans="1:38" x14ac:dyDescent="0.2">
      <c r="A1615" s="2" t="str">
        <f>HYPERLINK("https://www.compass.com/listing/111-murray-street-unit-29west-manhattan-ny-10007/466767162514833081/","111 Murray St, Unit 29WEST")</f>
        <v>111 Murray St, Unit 29WEST</v>
      </c>
      <c r="B1615" s="2" t="str">
        <f t="shared" ref="B1615:B1616" si="243">HYPERLINK("https://www.compass.com/building/111-murray-st-manhattan-ny-10007/281896511862746053/","111 Murray St")</f>
        <v>111 Murray St</v>
      </c>
      <c r="C1615" s="1" t="s">
        <v>50</v>
      </c>
      <c r="D1615" s="1" t="s">
        <v>41</v>
      </c>
      <c r="E1615" s="3">
        <v>6678300</v>
      </c>
      <c r="F1615" s="1">
        <v>2476.1957730812001</v>
      </c>
      <c r="G1615" s="1">
        <v>7.5</v>
      </c>
      <c r="H1615" s="1">
        <v>4</v>
      </c>
      <c r="I1615" s="1">
        <v>5</v>
      </c>
      <c r="J1615" s="1">
        <v>4.5</v>
      </c>
      <c r="K1615" s="1">
        <v>4</v>
      </c>
      <c r="L1615" s="1">
        <v>1</v>
      </c>
      <c r="M1615" s="4">
        <v>2697</v>
      </c>
      <c r="N1615" s="1">
        <v>3272</v>
      </c>
      <c r="O1615" s="1">
        <v>8173.29</v>
      </c>
      <c r="P1615" s="1">
        <v>4901.25</v>
      </c>
      <c r="Q1615" s="1" t="s">
        <v>42</v>
      </c>
      <c r="S1615" s="1" t="s">
        <v>42</v>
      </c>
      <c r="T1615" s="1" t="s">
        <v>273</v>
      </c>
      <c r="U1615" s="1">
        <v>81</v>
      </c>
      <c r="V1615" s="5">
        <v>43896</v>
      </c>
      <c r="W1615" s="5">
        <v>43769</v>
      </c>
      <c r="X1615" s="1">
        <v>7500000</v>
      </c>
      <c r="Y1615" s="1">
        <v>6995000</v>
      </c>
      <c r="Z1615" s="5">
        <v>43850</v>
      </c>
      <c r="AA1615" s="1">
        <v>6678300</v>
      </c>
      <c r="AB1615" s="1" t="s">
        <v>275</v>
      </c>
      <c r="AC1615" s="5">
        <v>43889</v>
      </c>
      <c r="AF1615" s="1">
        <v>10007</v>
      </c>
      <c r="AI1615" s="1" t="s">
        <v>107</v>
      </c>
      <c r="AJ1615" s="1">
        <v>2018</v>
      </c>
      <c r="AK1615" s="1" t="s">
        <v>46</v>
      </c>
      <c r="AL1615" s="1">
        <v>157</v>
      </c>
    </row>
    <row r="1616" spans="1:38" x14ac:dyDescent="0.2">
      <c r="A1616" s="2" t="str">
        <f>HYPERLINK("https://www.compass.com/listing/111-murray-street-unit-54west-manhattan-ny-10007/700031738794682729/","111 Murray St, Unit 54WEST")</f>
        <v>111 Murray St, Unit 54WEST</v>
      </c>
      <c r="B1616" s="2" t="str">
        <f t="shared" si="243"/>
        <v>111 Murray St</v>
      </c>
      <c r="C1616" s="1" t="s">
        <v>50</v>
      </c>
      <c r="D1616" s="1" t="s">
        <v>41</v>
      </c>
      <c r="E1616" s="3">
        <v>10150000</v>
      </c>
      <c r="F1616" s="1">
        <v>3021.7326585293199</v>
      </c>
      <c r="G1616" s="1">
        <v>7</v>
      </c>
      <c r="H1616" s="1">
        <v>4</v>
      </c>
      <c r="I1616" s="1">
        <v>6</v>
      </c>
      <c r="J1616" s="1">
        <v>5.5</v>
      </c>
      <c r="K1616" s="1">
        <v>5</v>
      </c>
      <c r="L1616" s="1">
        <v>1</v>
      </c>
      <c r="M1616" s="4">
        <v>3359</v>
      </c>
      <c r="N1616" s="1">
        <v>4577</v>
      </c>
      <c r="O1616" s="1">
        <v>12916</v>
      </c>
      <c r="P1616" s="1">
        <v>8339</v>
      </c>
      <c r="Q1616" s="1" t="s">
        <v>42</v>
      </c>
      <c r="S1616" s="1" t="s">
        <v>42</v>
      </c>
      <c r="T1616" s="1" t="s">
        <v>273</v>
      </c>
      <c r="V1616" s="5">
        <v>44314</v>
      </c>
      <c r="W1616" s="5">
        <v>43234</v>
      </c>
      <c r="X1616" s="1">
        <v>10150000</v>
      </c>
      <c r="Y1616" s="1">
        <v>10150000</v>
      </c>
      <c r="Z1616" s="5">
        <v>43234</v>
      </c>
      <c r="AA1616" s="1">
        <v>10150000</v>
      </c>
      <c r="AB1616" s="1" t="s">
        <v>275</v>
      </c>
      <c r="AC1616" s="5">
        <v>44277</v>
      </c>
      <c r="AF1616" s="1">
        <v>10007</v>
      </c>
      <c r="AI1616" s="1" t="s">
        <v>80</v>
      </c>
      <c r="AJ1616" s="1">
        <v>2018</v>
      </c>
      <c r="AK1616" s="1" t="s">
        <v>49</v>
      </c>
      <c r="AL1616" s="1">
        <v>157</v>
      </c>
    </row>
    <row r="1617" spans="1:38" x14ac:dyDescent="0.2">
      <c r="A1617" s="2" t="str">
        <f>HYPERLINK("https://www.compass.com/listing/155-west-18th-street-unit-301-manhattan-ny-10011/29373028194375329/","155 W 18th St, Unit 301")</f>
        <v>155 W 18th St, Unit 301</v>
      </c>
      <c r="B1617" s="2" t="str">
        <f t="shared" ref="B1617:B1620" si="244">HYPERLINK("https://www.compass.com/building/the-flynn-manhattan-ny/281905793161251925/","The Flynn")</f>
        <v>The Flynn</v>
      </c>
      <c r="C1617" s="1" t="s">
        <v>62</v>
      </c>
      <c r="D1617" s="1" t="s">
        <v>41</v>
      </c>
      <c r="E1617" s="3">
        <v>3864259</v>
      </c>
      <c r="F1617" s="1">
        <v>1980.6555612506399</v>
      </c>
      <c r="G1617" s="1">
        <v>4</v>
      </c>
      <c r="H1617" s="1">
        <v>3</v>
      </c>
      <c r="I1617" s="1">
        <v>4</v>
      </c>
      <c r="J1617" s="1">
        <v>3.5</v>
      </c>
      <c r="M1617" s="4">
        <v>1951</v>
      </c>
      <c r="N1617" s="1">
        <v>2973</v>
      </c>
      <c r="O1617" s="1">
        <v>5252</v>
      </c>
      <c r="P1617" s="1">
        <v>2279</v>
      </c>
      <c r="Q1617" s="1" t="s">
        <v>42</v>
      </c>
      <c r="S1617" s="1" t="s">
        <v>42</v>
      </c>
      <c r="T1617" s="1" t="s">
        <v>273</v>
      </c>
      <c r="U1617" s="1">
        <v>28</v>
      </c>
      <c r="V1617" s="5">
        <v>43631</v>
      </c>
      <c r="W1617" s="5">
        <v>42483</v>
      </c>
      <c r="X1617" s="1">
        <v>3795000</v>
      </c>
      <c r="Y1617" s="1">
        <v>3950000</v>
      </c>
      <c r="Z1617" s="5">
        <v>42511</v>
      </c>
      <c r="AA1617" s="1">
        <v>3864259</v>
      </c>
      <c r="AB1617" s="1" t="s">
        <v>668</v>
      </c>
      <c r="AC1617" s="5">
        <v>42663</v>
      </c>
      <c r="AF1617" s="1">
        <v>10011</v>
      </c>
      <c r="AI1617" s="1" t="s">
        <v>592</v>
      </c>
      <c r="AJ1617" s="1">
        <v>2016</v>
      </c>
      <c r="AK1617" s="1" t="s">
        <v>46</v>
      </c>
      <c r="AL1617" s="1">
        <v>30</v>
      </c>
    </row>
    <row r="1618" spans="1:38" x14ac:dyDescent="0.2">
      <c r="A1618" s="2" t="str">
        <f>HYPERLINK("https://www.compass.com/listing/155-west-18th-street-unit-401-manhattan-ny-10011/29373029502998209/","155 W 18th St, Unit 401")</f>
        <v>155 W 18th St, Unit 401</v>
      </c>
      <c r="B1618" s="2" t="str">
        <f t="shared" si="244"/>
        <v>The Flynn</v>
      </c>
      <c r="C1618" s="1" t="s">
        <v>62</v>
      </c>
      <c r="D1618" s="1" t="s">
        <v>41</v>
      </c>
      <c r="E1618" s="3">
        <v>3971175</v>
      </c>
      <c r="F1618" s="1">
        <v>2035.4561763198301</v>
      </c>
      <c r="G1618" s="1">
        <v>4</v>
      </c>
      <c r="H1618" s="1">
        <v>3</v>
      </c>
      <c r="I1618" s="1">
        <v>4</v>
      </c>
      <c r="J1618" s="1">
        <v>3.5</v>
      </c>
      <c r="M1618" s="4">
        <v>1951</v>
      </c>
      <c r="N1618" s="1">
        <v>2973</v>
      </c>
      <c r="O1618" s="1">
        <v>5252</v>
      </c>
      <c r="P1618" s="1">
        <v>2279</v>
      </c>
      <c r="Q1618" s="1" t="s">
        <v>42</v>
      </c>
      <c r="S1618" s="1" t="s">
        <v>42</v>
      </c>
      <c r="T1618" s="1" t="s">
        <v>273</v>
      </c>
      <c r="U1618" s="1">
        <v>1</v>
      </c>
      <c r="V1618" s="5">
        <v>43664</v>
      </c>
      <c r="W1618" s="5">
        <v>42510</v>
      </c>
      <c r="X1618" s="1">
        <v>4050000</v>
      </c>
      <c r="Y1618" s="1">
        <v>4050000</v>
      </c>
      <c r="Z1618" s="5">
        <v>42511</v>
      </c>
      <c r="AA1618" s="1">
        <v>3971175</v>
      </c>
      <c r="AB1618" s="1" t="s">
        <v>669</v>
      </c>
      <c r="AC1618" s="5">
        <v>42661</v>
      </c>
      <c r="AF1618" s="1">
        <v>10011</v>
      </c>
      <c r="AI1618" s="1" t="s">
        <v>114</v>
      </c>
      <c r="AJ1618" s="1">
        <v>2016</v>
      </c>
      <c r="AK1618" s="1" t="s">
        <v>46</v>
      </c>
      <c r="AL1618" s="1">
        <v>30</v>
      </c>
    </row>
    <row r="1619" spans="1:38" x14ac:dyDescent="0.2">
      <c r="A1619" s="2" t="str">
        <f>HYPERLINK("https://www.compass.com/listing/155-west-18th-street-unit-501-manhattan-ny-10011/29373030962616033/","155 W 18th St, Unit 501")</f>
        <v>155 W 18th St, Unit 501</v>
      </c>
      <c r="B1619" s="2" t="str">
        <f t="shared" si="244"/>
        <v>The Flynn</v>
      </c>
      <c r="C1619" s="1" t="s">
        <v>62</v>
      </c>
      <c r="D1619" s="1" t="s">
        <v>41</v>
      </c>
      <c r="E1619" s="3">
        <v>4174825</v>
      </c>
      <c r="F1619" s="1">
        <v>2139.8385443362299</v>
      </c>
      <c r="G1619" s="1">
        <v>4</v>
      </c>
      <c r="H1619" s="1">
        <v>3</v>
      </c>
      <c r="I1619" s="1">
        <v>4</v>
      </c>
      <c r="J1619" s="1">
        <v>3.5</v>
      </c>
      <c r="M1619" s="4">
        <v>1951</v>
      </c>
      <c r="N1619" s="1">
        <v>2973</v>
      </c>
      <c r="O1619" s="1">
        <v>5252</v>
      </c>
      <c r="P1619" s="1">
        <v>2279</v>
      </c>
      <c r="Q1619" s="1" t="s">
        <v>42</v>
      </c>
      <c r="S1619" s="1" t="s">
        <v>42</v>
      </c>
      <c r="T1619" s="1" t="s">
        <v>273</v>
      </c>
      <c r="U1619" s="1">
        <v>1</v>
      </c>
      <c r="V1619" s="5">
        <v>43631</v>
      </c>
      <c r="W1619" s="5">
        <v>42510</v>
      </c>
      <c r="X1619" s="1">
        <v>4150000</v>
      </c>
      <c r="Y1619" s="1">
        <v>4150000</v>
      </c>
      <c r="Z1619" s="5">
        <v>42511</v>
      </c>
      <c r="AA1619" s="1">
        <v>4174825</v>
      </c>
      <c r="AB1619" s="1" t="s">
        <v>670</v>
      </c>
      <c r="AC1619" s="5">
        <v>42656</v>
      </c>
      <c r="AF1619" s="1">
        <v>10011</v>
      </c>
      <c r="AI1619" s="1" t="s">
        <v>592</v>
      </c>
      <c r="AJ1619" s="1">
        <v>2016</v>
      </c>
      <c r="AK1619" s="1" t="s">
        <v>46</v>
      </c>
      <c r="AL1619" s="1">
        <v>30</v>
      </c>
    </row>
    <row r="1620" spans="1:38" x14ac:dyDescent="0.2">
      <c r="A1620" s="2" t="str">
        <f>HYPERLINK("https://www.compass.com/listing/155-west-18th-street-unit-601-manhattan-ny-10011/4829943410540419505/","155 W 18th St, Unit 601")</f>
        <v>155 W 18th St, Unit 601</v>
      </c>
      <c r="B1620" s="2" t="str">
        <f t="shared" si="244"/>
        <v>The Flynn</v>
      </c>
      <c r="C1620" s="1" t="s">
        <v>62</v>
      </c>
      <c r="D1620" s="1" t="s">
        <v>41</v>
      </c>
      <c r="E1620" s="3">
        <v>4174825</v>
      </c>
      <c r="F1620" s="1">
        <v>2139.8385443362299</v>
      </c>
      <c r="G1620" s="1">
        <v>4</v>
      </c>
      <c r="H1620" s="1">
        <v>3</v>
      </c>
      <c r="I1620" s="1">
        <v>4</v>
      </c>
      <c r="J1620" s="1">
        <v>3.5</v>
      </c>
      <c r="M1620" s="4">
        <v>1951</v>
      </c>
      <c r="N1620" s="1">
        <v>2973</v>
      </c>
      <c r="O1620" s="1">
        <v>5252</v>
      </c>
      <c r="P1620" s="1">
        <v>2279</v>
      </c>
      <c r="Q1620" s="1" t="s">
        <v>42</v>
      </c>
      <c r="S1620" s="1" t="s">
        <v>42</v>
      </c>
      <c r="T1620" s="1" t="s">
        <v>273</v>
      </c>
      <c r="U1620" s="1">
        <v>175</v>
      </c>
      <c r="V1620" s="5">
        <v>43603</v>
      </c>
      <c r="W1620" s="5">
        <v>42509</v>
      </c>
      <c r="X1620" s="1">
        <v>4250000</v>
      </c>
      <c r="Y1620" s="1">
        <v>4250000</v>
      </c>
      <c r="Z1620" s="5">
        <v>42685</v>
      </c>
      <c r="AA1620" s="1">
        <v>4174825</v>
      </c>
      <c r="AB1620" s="1" t="s">
        <v>671</v>
      </c>
      <c r="AC1620" s="5">
        <v>42718</v>
      </c>
      <c r="AF1620" s="1">
        <v>10011</v>
      </c>
      <c r="AI1620" s="1" t="s">
        <v>114</v>
      </c>
      <c r="AJ1620" s="1">
        <v>2016</v>
      </c>
      <c r="AK1620" s="1" t="s">
        <v>46</v>
      </c>
      <c r="AL1620" s="1">
        <v>30</v>
      </c>
    </row>
    <row r="1621" spans="1:38" x14ac:dyDescent="0.2">
      <c r="A1621" s="2" t="str">
        <f>HYPERLINK("https://www.compass.com/listing/121-east-22nd-street-unit-n805-manhattan-ny-10010/34697266417664577/","121 E 22nd St, Unit N805")</f>
        <v>121 E 22nd St, Unit N805</v>
      </c>
      <c r="B1621" s="2" t="str">
        <f t="shared" ref="B1621:B1626" si="245">HYPERLINK("https://www.compass.com/building/121-e-22nd-manhattan-ny/292795784653461493/","121 E 22nd")</f>
        <v>121 E 22nd</v>
      </c>
      <c r="C1621" s="1" t="s">
        <v>64</v>
      </c>
      <c r="D1621" s="1" t="s">
        <v>41</v>
      </c>
      <c r="E1621" s="3">
        <v>1751390</v>
      </c>
      <c r="F1621" s="1">
        <v>2222.5761421319799</v>
      </c>
      <c r="G1621" s="1">
        <v>3</v>
      </c>
      <c r="H1621" s="1">
        <v>1</v>
      </c>
      <c r="I1621" s="1">
        <v>1</v>
      </c>
      <c r="J1621" s="1">
        <v>1</v>
      </c>
      <c r="K1621" s="1">
        <v>1</v>
      </c>
      <c r="M1621" s="1">
        <v>788</v>
      </c>
      <c r="N1621" s="1">
        <v>855</v>
      </c>
      <c r="O1621" s="1">
        <v>2370</v>
      </c>
      <c r="P1621" s="1">
        <v>1515</v>
      </c>
      <c r="Q1621" s="1" t="s">
        <v>42</v>
      </c>
      <c r="S1621" s="1" t="s">
        <v>42</v>
      </c>
      <c r="T1621" s="1" t="s">
        <v>273</v>
      </c>
      <c r="V1621" s="5">
        <v>44373</v>
      </c>
      <c r="W1621" s="5">
        <v>43315</v>
      </c>
      <c r="X1621" s="1">
        <v>1720000</v>
      </c>
      <c r="Y1621" s="1">
        <v>1720000</v>
      </c>
      <c r="Z1621" s="5">
        <v>43315</v>
      </c>
      <c r="AA1621" s="1">
        <v>1751390</v>
      </c>
      <c r="AB1621" s="1" t="s">
        <v>841</v>
      </c>
      <c r="AC1621" s="5">
        <v>43563</v>
      </c>
      <c r="AF1621" s="1">
        <v>10010</v>
      </c>
      <c r="AI1621" s="1" t="s">
        <v>106</v>
      </c>
      <c r="AJ1621" s="1">
        <v>2016</v>
      </c>
      <c r="AK1621" s="1" t="s">
        <v>46</v>
      </c>
      <c r="AL1621" s="1">
        <v>140</v>
      </c>
    </row>
    <row r="1622" spans="1:38" x14ac:dyDescent="0.2">
      <c r="A1622" s="2" t="str">
        <f>HYPERLINK("https://www.compass.com/listing/121-east-22nd-street-unit-n1105-manhattan-ny-10010/34698239789813265/","121 E 22nd St, Unit N1105")</f>
        <v>121 E 22nd St, Unit N1105</v>
      </c>
      <c r="B1622" s="2" t="str">
        <f t="shared" si="245"/>
        <v>121 E 22nd</v>
      </c>
      <c r="C1622" s="1" t="s">
        <v>64</v>
      </c>
      <c r="D1622" s="1" t="s">
        <v>41</v>
      </c>
      <c r="E1622" s="3">
        <v>1770000</v>
      </c>
      <c r="F1622" s="1">
        <v>2246.1928934010102</v>
      </c>
      <c r="G1622" s="1">
        <v>3</v>
      </c>
      <c r="H1622" s="1">
        <v>1</v>
      </c>
      <c r="I1622" s="1">
        <v>1</v>
      </c>
      <c r="J1622" s="1">
        <v>1</v>
      </c>
      <c r="K1622" s="1">
        <v>1</v>
      </c>
      <c r="M1622" s="1">
        <v>788</v>
      </c>
      <c r="N1622" s="1">
        <v>883</v>
      </c>
      <c r="O1622" s="1">
        <v>2450</v>
      </c>
      <c r="P1622" s="1">
        <v>1567</v>
      </c>
      <c r="Q1622" s="1" t="s">
        <v>42</v>
      </c>
      <c r="S1622" s="1" t="s">
        <v>42</v>
      </c>
      <c r="T1622" s="1" t="s">
        <v>273</v>
      </c>
      <c r="V1622" s="5">
        <v>44373</v>
      </c>
      <c r="W1622" s="5">
        <v>43315</v>
      </c>
      <c r="X1622" s="1">
        <v>1770000</v>
      </c>
      <c r="Y1622" s="1">
        <v>1770000</v>
      </c>
      <c r="Z1622" s="5">
        <v>43315</v>
      </c>
      <c r="AA1622" s="1">
        <v>1770000</v>
      </c>
      <c r="AB1622" s="1" t="s">
        <v>275</v>
      </c>
      <c r="AC1622" s="5">
        <v>43594</v>
      </c>
      <c r="AF1622" s="1">
        <v>10010</v>
      </c>
      <c r="AI1622" s="1" t="s">
        <v>106</v>
      </c>
      <c r="AJ1622" s="1">
        <v>2016</v>
      </c>
      <c r="AK1622" s="1" t="s">
        <v>46</v>
      </c>
      <c r="AL1622" s="1">
        <v>140</v>
      </c>
    </row>
    <row r="1623" spans="1:38" x14ac:dyDescent="0.2">
      <c r="A1623" s="2" t="str">
        <f>HYPERLINK("https://www.compass.com/listing/121-east-22nd-street-unit-n1104-manhattan-ny-10010/34698240033083073/","121 E 22nd St, Unit N1104")</f>
        <v>121 E 22nd St, Unit N1104</v>
      </c>
      <c r="B1623" s="2" t="str">
        <f t="shared" si="245"/>
        <v>121 E 22nd</v>
      </c>
      <c r="C1623" s="1" t="s">
        <v>64</v>
      </c>
      <c r="D1623" s="1" t="s">
        <v>41</v>
      </c>
      <c r="E1623" s="3">
        <v>1786011</v>
      </c>
      <c r="F1623" s="1">
        <v>2289.7570512820498</v>
      </c>
      <c r="G1623" s="1">
        <v>3</v>
      </c>
      <c r="H1623" s="1">
        <v>1</v>
      </c>
      <c r="I1623" s="1">
        <v>1</v>
      </c>
      <c r="J1623" s="1">
        <v>1</v>
      </c>
      <c r="K1623" s="1">
        <v>1</v>
      </c>
      <c r="M1623" s="1">
        <v>780</v>
      </c>
      <c r="N1623" s="1">
        <v>875</v>
      </c>
      <c r="O1623" s="1">
        <v>2429</v>
      </c>
      <c r="P1623" s="1">
        <v>1554</v>
      </c>
      <c r="Q1623" s="1" t="s">
        <v>42</v>
      </c>
      <c r="S1623" s="1" t="s">
        <v>42</v>
      </c>
      <c r="T1623" s="1" t="s">
        <v>273</v>
      </c>
      <c r="V1623" s="5">
        <v>44373</v>
      </c>
      <c r="W1623" s="5">
        <v>43315</v>
      </c>
      <c r="X1623" s="1">
        <v>1754000</v>
      </c>
      <c r="Y1623" s="1">
        <v>1754000</v>
      </c>
      <c r="Z1623" s="5">
        <v>43315</v>
      </c>
      <c r="AA1623" s="1">
        <v>1786010.5</v>
      </c>
      <c r="AB1623" s="1" t="s">
        <v>842</v>
      </c>
      <c r="AC1623" s="5">
        <v>43585</v>
      </c>
      <c r="AF1623" s="1">
        <v>10010</v>
      </c>
      <c r="AI1623" s="1" t="s">
        <v>106</v>
      </c>
      <c r="AJ1623" s="1">
        <v>2016</v>
      </c>
      <c r="AK1623" s="1" t="s">
        <v>46</v>
      </c>
      <c r="AL1623" s="1">
        <v>140</v>
      </c>
    </row>
    <row r="1624" spans="1:38" x14ac:dyDescent="0.2">
      <c r="A1624" s="2" t="str">
        <f>HYPERLINK("https://www.compass.com/listing/121-east-22nd-street-unit-n1205-manhattan-ny-10010/34698281548326401/","121 E 22nd St, Unit N1205")</f>
        <v>121 E 22nd St, Unit N1205</v>
      </c>
      <c r="B1624" s="2" t="str">
        <f t="shared" si="245"/>
        <v>121 E 22nd</v>
      </c>
      <c r="C1624" s="1" t="s">
        <v>64</v>
      </c>
      <c r="D1624" s="1" t="s">
        <v>41</v>
      </c>
      <c r="E1624" s="3">
        <v>1827759</v>
      </c>
      <c r="F1624" s="1">
        <v>2319.4907994923801</v>
      </c>
      <c r="G1624" s="1">
        <v>3</v>
      </c>
      <c r="H1624" s="1">
        <v>1</v>
      </c>
      <c r="I1624" s="1">
        <v>1</v>
      </c>
      <c r="J1624" s="1">
        <v>1</v>
      </c>
      <c r="K1624" s="1">
        <v>1</v>
      </c>
      <c r="M1624" s="1">
        <v>788</v>
      </c>
      <c r="N1624" s="1">
        <v>892</v>
      </c>
      <c r="O1624" s="1">
        <v>2477</v>
      </c>
      <c r="P1624" s="1">
        <v>1585</v>
      </c>
      <c r="Q1624" s="1" t="s">
        <v>42</v>
      </c>
      <c r="S1624" s="1" t="s">
        <v>42</v>
      </c>
      <c r="T1624" s="1" t="s">
        <v>273</v>
      </c>
      <c r="V1624" s="5">
        <v>44373</v>
      </c>
      <c r="W1624" s="5">
        <v>43315</v>
      </c>
      <c r="X1624" s="1">
        <v>1795000</v>
      </c>
      <c r="Y1624" s="1">
        <v>1795000</v>
      </c>
      <c r="Z1624" s="5">
        <v>43315</v>
      </c>
      <c r="AA1624" s="1">
        <v>1827758.75</v>
      </c>
      <c r="AB1624" s="1" t="s">
        <v>843</v>
      </c>
      <c r="AC1624" s="5">
        <v>43580</v>
      </c>
      <c r="AF1624" s="1">
        <v>10010</v>
      </c>
      <c r="AI1624" s="1" t="s">
        <v>106</v>
      </c>
      <c r="AJ1624" s="1">
        <v>2016</v>
      </c>
      <c r="AK1624" s="1" t="s">
        <v>46</v>
      </c>
      <c r="AL1624" s="1">
        <v>140</v>
      </c>
    </row>
    <row r="1625" spans="1:38" x14ac:dyDescent="0.2">
      <c r="A1625" s="2" t="str">
        <f>HYPERLINK("https://www.compass.com/listing/121-east-22nd-street-unit-n1005-manhattan-ny-10010/34698282311690129/","121 E 22nd St, Unit N1005")</f>
        <v>121 E 22nd St, Unit N1005</v>
      </c>
      <c r="B1625" s="2" t="str">
        <f t="shared" si="245"/>
        <v>121 E 22nd</v>
      </c>
      <c r="C1625" s="1" t="s">
        <v>64</v>
      </c>
      <c r="D1625" s="1" t="s">
        <v>41</v>
      </c>
      <c r="E1625" s="3">
        <v>1776846</v>
      </c>
      <c r="F1625" s="1">
        <v>2254.8807106598902</v>
      </c>
      <c r="G1625" s="1">
        <v>3</v>
      </c>
      <c r="H1625" s="1">
        <v>1</v>
      </c>
      <c r="I1625" s="1">
        <v>1</v>
      </c>
      <c r="J1625" s="1">
        <v>1</v>
      </c>
      <c r="K1625" s="1">
        <v>1</v>
      </c>
      <c r="M1625" s="1">
        <v>788</v>
      </c>
      <c r="N1625" s="1">
        <v>874</v>
      </c>
      <c r="O1625" s="1">
        <v>2424</v>
      </c>
      <c r="P1625" s="1">
        <v>1550</v>
      </c>
      <c r="Q1625" s="1" t="s">
        <v>42</v>
      </c>
      <c r="S1625" s="1" t="s">
        <v>42</v>
      </c>
      <c r="T1625" s="1" t="s">
        <v>273</v>
      </c>
      <c r="V1625" s="5">
        <v>44373</v>
      </c>
      <c r="W1625" s="5">
        <v>43315</v>
      </c>
      <c r="X1625" s="1">
        <v>1745000</v>
      </c>
      <c r="Y1625" s="1">
        <v>1745000</v>
      </c>
      <c r="Z1625" s="5">
        <v>43315</v>
      </c>
      <c r="AA1625" s="1">
        <v>1776846</v>
      </c>
      <c r="AB1625" s="1" t="s">
        <v>844</v>
      </c>
      <c r="AC1625" s="5">
        <v>43582</v>
      </c>
      <c r="AF1625" s="1">
        <v>10010</v>
      </c>
      <c r="AI1625" s="1" t="s">
        <v>106</v>
      </c>
      <c r="AJ1625" s="1">
        <v>2016</v>
      </c>
      <c r="AK1625" s="1" t="s">
        <v>46</v>
      </c>
      <c r="AL1625" s="1">
        <v>140</v>
      </c>
    </row>
    <row r="1626" spans="1:38" x14ac:dyDescent="0.2">
      <c r="A1626" s="2" t="str">
        <f>HYPERLINK("https://www.compass.com/listing/121-east-22nd-street-unit-n605-manhattan-ny-10010/34705303534670833/","121 E 22nd St, Unit N605")</f>
        <v>121 E 22nd St, Unit N605</v>
      </c>
      <c r="B1626" s="2" t="str">
        <f t="shared" si="245"/>
        <v>121 E 22nd</v>
      </c>
      <c r="C1626" s="1" t="s">
        <v>64</v>
      </c>
      <c r="D1626" s="1" t="s">
        <v>41</v>
      </c>
      <c r="E1626" s="3">
        <v>1736116</v>
      </c>
      <c r="F1626" s="1">
        <v>2203.1928934010102</v>
      </c>
      <c r="G1626" s="1">
        <v>3</v>
      </c>
      <c r="H1626" s="1">
        <v>1</v>
      </c>
      <c r="I1626" s="1">
        <v>1</v>
      </c>
      <c r="J1626" s="1">
        <v>1</v>
      </c>
      <c r="K1626" s="1">
        <v>1</v>
      </c>
      <c r="M1626" s="1">
        <v>788</v>
      </c>
      <c r="N1626" s="1">
        <v>837</v>
      </c>
      <c r="O1626" s="1">
        <v>2317</v>
      </c>
      <c r="P1626" s="1">
        <v>1480</v>
      </c>
      <c r="Q1626" s="1" t="s">
        <v>42</v>
      </c>
      <c r="S1626" s="1" t="s">
        <v>42</v>
      </c>
      <c r="T1626" s="1" t="s">
        <v>273</v>
      </c>
      <c r="V1626" s="5">
        <v>44373</v>
      </c>
      <c r="W1626" s="5">
        <v>43315</v>
      </c>
      <c r="X1626" s="1">
        <v>1705000</v>
      </c>
      <c r="Y1626" s="1">
        <v>1705000</v>
      </c>
      <c r="Z1626" s="5">
        <v>43315</v>
      </c>
      <c r="AA1626" s="1">
        <v>1736116</v>
      </c>
      <c r="AB1626" s="1" t="s">
        <v>845</v>
      </c>
      <c r="AC1626" s="5">
        <v>43539</v>
      </c>
      <c r="AF1626" s="1">
        <v>10010</v>
      </c>
      <c r="AI1626" s="1" t="s">
        <v>106</v>
      </c>
      <c r="AJ1626" s="1">
        <v>2016</v>
      </c>
      <c r="AK1626" s="1" t="s">
        <v>46</v>
      </c>
      <c r="AL1626" s="1">
        <v>140</v>
      </c>
    </row>
    <row r="1627" spans="1:38" x14ac:dyDescent="0.2">
      <c r="A1627" s="2" t="str">
        <f>HYPERLINK("https://www.compass.com/listing/45-east-22nd-street-unit-28a-manhattan-ny-10010/29375859240497473/","45 E 22nd St, Unit 28A")</f>
        <v>45 E 22nd St, Unit 28A</v>
      </c>
      <c r="B1627" s="2" t="str">
        <f>HYPERLINK("https://www.compass.com/building/madison-square-park-tower-manhattan-ny/281903584482705973/","Madison Square Park Tower")</f>
        <v>Madison Square Park Tower</v>
      </c>
      <c r="C1627" s="1" t="s">
        <v>56</v>
      </c>
      <c r="D1627" s="1" t="s">
        <v>41</v>
      </c>
      <c r="E1627" s="3">
        <v>5866932</v>
      </c>
      <c r="F1627" s="1">
        <v>3000.9882352941099</v>
      </c>
      <c r="G1627" s="1">
        <v>4</v>
      </c>
      <c r="H1627" s="1">
        <v>2</v>
      </c>
      <c r="I1627" s="1">
        <v>2</v>
      </c>
      <c r="J1627" s="1">
        <v>2</v>
      </c>
      <c r="K1627" s="1">
        <v>2</v>
      </c>
      <c r="M1627" s="4">
        <v>1955</v>
      </c>
      <c r="N1627" s="1">
        <v>2243</v>
      </c>
      <c r="O1627" s="1">
        <v>5652</v>
      </c>
      <c r="P1627" s="1">
        <v>3409</v>
      </c>
      <c r="Q1627" s="1" t="s">
        <v>42</v>
      </c>
      <c r="S1627" s="1" t="s">
        <v>42</v>
      </c>
      <c r="T1627" s="1" t="s">
        <v>273</v>
      </c>
      <c r="U1627" s="1">
        <v>864</v>
      </c>
      <c r="V1627" s="5">
        <v>42993</v>
      </c>
      <c r="W1627" s="5">
        <v>42090</v>
      </c>
      <c r="X1627" s="1">
        <v>5735000</v>
      </c>
      <c r="Y1627" s="1">
        <v>5735000</v>
      </c>
      <c r="AA1627" s="1">
        <v>5866932</v>
      </c>
      <c r="AB1627" s="1" t="s">
        <v>793</v>
      </c>
      <c r="AC1627" s="5">
        <v>42954</v>
      </c>
      <c r="AF1627" s="1">
        <v>10010</v>
      </c>
      <c r="AI1627" s="1" t="s">
        <v>48</v>
      </c>
      <c r="AJ1627" s="1">
        <v>2016</v>
      </c>
      <c r="AK1627" s="1" t="s">
        <v>46</v>
      </c>
      <c r="AL1627" s="1">
        <v>83</v>
      </c>
    </row>
    <row r="1628" spans="1:38" x14ac:dyDescent="0.2">
      <c r="A1628" s="2" t="str">
        <f>HYPERLINK("https://www.compass.com/listing/121-east-22nd-street-unit-n1202-manhattan-ny-10010/733354552537953193/","121 E 22nd St, Unit N1202")</f>
        <v>121 E 22nd St, Unit N1202</v>
      </c>
      <c r="B1628" s="2" t="str">
        <f t="shared" ref="B1628:B1629" si="246">HYPERLINK("https://www.compass.com/building/121-e-22nd-manhattan-ny/292795784653461493/","121 E 22nd")</f>
        <v>121 E 22nd</v>
      </c>
      <c r="C1628" s="1" t="s">
        <v>64</v>
      </c>
      <c r="D1628" s="1" t="s">
        <v>41</v>
      </c>
      <c r="E1628" s="3">
        <v>3448050</v>
      </c>
      <c r="F1628" s="1">
        <v>2059.7670250895999</v>
      </c>
      <c r="G1628" s="1">
        <v>3.5</v>
      </c>
      <c r="H1628" s="1">
        <v>2</v>
      </c>
      <c r="I1628" s="1">
        <v>3</v>
      </c>
      <c r="J1628" s="1">
        <v>2.5</v>
      </c>
      <c r="K1628" s="1">
        <v>2</v>
      </c>
      <c r="L1628" s="1">
        <v>1</v>
      </c>
      <c r="M1628" s="4">
        <v>1674</v>
      </c>
      <c r="N1628" s="1">
        <v>1876</v>
      </c>
      <c r="O1628" s="1">
        <v>5650</v>
      </c>
      <c r="P1628" s="1">
        <v>3774</v>
      </c>
      <c r="Q1628" s="1" t="s">
        <v>42</v>
      </c>
      <c r="S1628" s="1" t="s">
        <v>42</v>
      </c>
      <c r="T1628" s="1" t="s">
        <v>273</v>
      </c>
      <c r="V1628" s="5">
        <v>44326</v>
      </c>
      <c r="W1628" s="5">
        <v>44264</v>
      </c>
      <c r="X1628" s="1">
        <v>3810000</v>
      </c>
      <c r="Y1628" s="1">
        <v>3810000</v>
      </c>
      <c r="Z1628" s="5">
        <v>44264</v>
      </c>
      <c r="AA1628" s="1">
        <v>3448050</v>
      </c>
      <c r="AB1628" s="1" t="s">
        <v>275</v>
      </c>
      <c r="AC1628" s="5">
        <v>44326</v>
      </c>
      <c r="AF1628" s="1">
        <v>10010</v>
      </c>
      <c r="AI1628" s="1" t="s">
        <v>109</v>
      </c>
      <c r="AJ1628" s="1">
        <v>2016</v>
      </c>
      <c r="AK1628" s="1" t="s">
        <v>46</v>
      </c>
      <c r="AL1628" s="1">
        <v>140</v>
      </c>
    </row>
    <row r="1629" spans="1:38" x14ac:dyDescent="0.2">
      <c r="A1629" s="2" t="str">
        <f>HYPERLINK("https://www.compass.com/listing/121-east-22nd-street-unit-s403-manhattan-ny-10010/733370330091802289/","121 E 22nd St, Unit S403")</f>
        <v>121 E 22nd St, Unit S403</v>
      </c>
      <c r="B1629" s="2" t="str">
        <f t="shared" si="246"/>
        <v>121 E 22nd</v>
      </c>
      <c r="C1629" s="1" t="s">
        <v>64</v>
      </c>
      <c r="D1629" s="1" t="s">
        <v>41</v>
      </c>
      <c r="E1629" s="3">
        <v>3315000</v>
      </c>
      <c r="F1629" s="1">
        <v>2144.2432082794298</v>
      </c>
      <c r="G1629" s="1">
        <v>4</v>
      </c>
      <c r="H1629" s="1">
        <v>2</v>
      </c>
      <c r="I1629" s="1">
        <v>3</v>
      </c>
      <c r="J1629" s="1">
        <v>2.5</v>
      </c>
      <c r="K1629" s="1">
        <v>2</v>
      </c>
      <c r="L1629" s="1">
        <v>1</v>
      </c>
      <c r="M1629" s="4">
        <v>1546</v>
      </c>
      <c r="N1629" s="1">
        <v>1628</v>
      </c>
      <c r="O1629" s="1">
        <v>4885</v>
      </c>
      <c r="P1629" s="1">
        <v>3257</v>
      </c>
      <c r="Q1629" s="1" t="s">
        <v>42</v>
      </c>
      <c r="S1629" s="1" t="s">
        <v>42</v>
      </c>
      <c r="T1629" s="1" t="s">
        <v>273</v>
      </c>
      <c r="U1629" s="1">
        <v>45</v>
      </c>
      <c r="V1629" s="5">
        <v>44385</v>
      </c>
      <c r="W1629" s="5">
        <v>44264</v>
      </c>
      <c r="X1629" s="1">
        <v>3315000</v>
      </c>
      <c r="Y1629" s="1">
        <v>3315000</v>
      </c>
      <c r="Z1629" s="5">
        <v>44310</v>
      </c>
      <c r="AA1629" s="1">
        <v>3315000</v>
      </c>
      <c r="AB1629" s="1" t="s">
        <v>275</v>
      </c>
      <c r="AC1629" s="5">
        <v>44385</v>
      </c>
      <c r="AF1629" s="1">
        <v>10010</v>
      </c>
      <c r="AI1629" s="1" t="s">
        <v>109</v>
      </c>
      <c r="AJ1629" s="1">
        <v>2016</v>
      </c>
      <c r="AK1629" s="1" t="s">
        <v>46</v>
      </c>
      <c r="AL1629" s="1">
        <v>140</v>
      </c>
    </row>
    <row r="1630" spans="1:38" x14ac:dyDescent="0.2">
      <c r="A1630" s="2" t="str">
        <f>HYPERLINK("https://www.compass.com/listing/49-chambers-street-unit-11e-manhattan-ny-10007/493035011638580809/","49 Chambers St, Unit 11E")</f>
        <v>49 Chambers St, Unit 11E</v>
      </c>
      <c r="B1630" s="2" t="str">
        <f>HYPERLINK("https://www.compass.com/building/49-chambers-manhattan-ny/282058733280852725/","49 Chambers")</f>
        <v>49 Chambers</v>
      </c>
      <c r="C1630" s="1" t="s">
        <v>50</v>
      </c>
      <c r="D1630" s="1" t="s">
        <v>41</v>
      </c>
      <c r="E1630" s="3">
        <v>5050000</v>
      </c>
      <c r="H1630" s="1">
        <v>3</v>
      </c>
      <c r="J1630" s="1">
        <v>3.5</v>
      </c>
      <c r="N1630" s="1">
        <v>2092</v>
      </c>
      <c r="O1630" s="1">
        <v>6299</v>
      </c>
      <c r="P1630" s="1">
        <v>4207</v>
      </c>
      <c r="S1630" s="1" t="s">
        <v>42</v>
      </c>
      <c r="T1630" s="1" t="s">
        <v>273</v>
      </c>
      <c r="V1630" s="5">
        <v>44248</v>
      </c>
      <c r="W1630" s="5">
        <v>43932</v>
      </c>
      <c r="X1630" s="1">
        <v>5050000</v>
      </c>
      <c r="AB1630" s="1" t="s">
        <v>275</v>
      </c>
      <c r="AF1630" s="1">
        <v>10007</v>
      </c>
      <c r="AI1630" s="1" t="s">
        <v>114</v>
      </c>
      <c r="AJ1630" s="1">
        <v>1910</v>
      </c>
      <c r="AK1630" s="1" t="s">
        <v>202</v>
      </c>
      <c r="AL1630" s="1">
        <v>99</v>
      </c>
    </row>
    <row r="1631" spans="1:38" x14ac:dyDescent="0.2">
      <c r="A1631" s="2" t="str">
        <f>HYPERLINK("https://www.compass.com/listing/111-murray-street-unit-36b-manhattan-ny-10007/4852272663478938721/","111 Murray St, Unit 36B")</f>
        <v>111 Murray St, Unit 36B</v>
      </c>
      <c r="B1631" s="2" t="str">
        <f>HYPERLINK("https://www.compass.com/building/111-murray-st-manhattan-ny-10007/281896511862746053/","111 Murray St")</f>
        <v>111 Murray St</v>
      </c>
      <c r="C1631" s="1" t="s">
        <v>50</v>
      </c>
      <c r="D1631" s="1" t="s">
        <v>41</v>
      </c>
      <c r="E1631" s="3">
        <v>4950000</v>
      </c>
      <c r="F1631" s="1">
        <v>2992.7448609431599</v>
      </c>
      <c r="G1631" s="1">
        <v>5</v>
      </c>
      <c r="H1631" s="1">
        <v>2</v>
      </c>
      <c r="I1631" s="1">
        <v>3</v>
      </c>
      <c r="J1631" s="1">
        <v>2.5</v>
      </c>
      <c r="K1631" s="1">
        <v>2</v>
      </c>
      <c r="L1631" s="1">
        <v>1</v>
      </c>
      <c r="M1631" s="4">
        <v>1654</v>
      </c>
      <c r="N1631" s="1">
        <v>1959</v>
      </c>
      <c r="O1631" s="1">
        <v>4710</v>
      </c>
      <c r="P1631" s="1">
        <v>2751</v>
      </c>
      <c r="Q1631" s="1" t="s">
        <v>42</v>
      </c>
      <c r="S1631" s="1" t="s">
        <v>42</v>
      </c>
      <c r="T1631" s="1" t="s">
        <v>273</v>
      </c>
      <c r="U1631" s="1">
        <v>166</v>
      </c>
      <c r="V1631" s="5">
        <v>44336</v>
      </c>
      <c r="W1631" s="5">
        <v>42396</v>
      </c>
      <c r="AA1631" s="1">
        <v>4950000</v>
      </c>
      <c r="AB1631" s="1" t="s">
        <v>846</v>
      </c>
      <c r="AC1631" s="5">
        <v>43419</v>
      </c>
      <c r="AF1631" s="1">
        <v>10007</v>
      </c>
      <c r="AI1631" s="1" t="s">
        <v>107</v>
      </c>
      <c r="AJ1631" s="1">
        <v>2018</v>
      </c>
      <c r="AK1631" s="1" t="s">
        <v>46</v>
      </c>
      <c r="AL1631" s="1">
        <v>157</v>
      </c>
    </row>
    <row r="1632" spans="1:38" x14ac:dyDescent="0.2">
      <c r="A1632" s="2" t="str">
        <f>HYPERLINK("https://www.compass.com/listing/49-chambers-street-unit-12f-manhattan-ny-10007/120892601242075857/","49 Chambers St, Unit 12F")</f>
        <v>49 Chambers St, Unit 12F</v>
      </c>
      <c r="B1632" s="2" t="str">
        <f>HYPERLINK("https://www.compass.com/building/49-chambers-manhattan-ny/282058733280852725/","49 Chambers")</f>
        <v>49 Chambers</v>
      </c>
      <c r="C1632" s="1" t="s">
        <v>50</v>
      </c>
      <c r="D1632" s="1" t="s">
        <v>41</v>
      </c>
      <c r="E1632" s="3">
        <v>1770000</v>
      </c>
      <c r="F1632" s="1">
        <v>1828.5123966942101</v>
      </c>
      <c r="G1632" s="1">
        <v>3</v>
      </c>
      <c r="H1632" s="1">
        <v>1</v>
      </c>
      <c r="I1632" s="1">
        <v>2</v>
      </c>
      <c r="J1632" s="1">
        <v>1.5</v>
      </c>
      <c r="K1632" s="1">
        <v>1</v>
      </c>
      <c r="L1632" s="1">
        <v>1</v>
      </c>
      <c r="M1632" s="1">
        <v>968</v>
      </c>
      <c r="N1632" s="1">
        <v>694</v>
      </c>
      <c r="O1632" s="1">
        <v>2225</v>
      </c>
      <c r="P1632" s="1">
        <v>1531</v>
      </c>
      <c r="Q1632" s="1" t="s">
        <v>105</v>
      </c>
      <c r="S1632" s="1" t="s">
        <v>105</v>
      </c>
      <c r="T1632" s="1" t="s">
        <v>273</v>
      </c>
      <c r="V1632" s="5">
        <v>43644</v>
      </c>
      <c r="W1632" s="5">
        <v>43419</v>
      </c>
      <c r="X1632" s="1">
        <v>1770000</v>
      </c>
      <c r="Y1632" s="1">
        <v>1770000</v>
      </c>
      <c r="Z1632" s="5">
        <v>43419</v>
      </c>
      <c r="AA1632" s="1">
        <v>1770000</v>
      </c>
      <c r="AB1632" s="1" t="s">
        <v>275</v>
      </c>
      <c r="AC1632" s="5">
        <v>43439</v>
      </c>
      <c r="AF1632" s="1">
        <v>10007</v>
      </c>
      <c r="AI1632" s="1" t="s">
        <v>114</v>
      </c>
      <c r="AJ1632" s="1">
        <v>1910</v>
      </c>
      <c r="AK1632" s="1" t="s">
        <v>202</v>
      </c>
      <c r="AL1632" s="1">
        <v>99</v>
      </c>
    </row>
    <row r="1633" spans="1:38" x14ac:dyDescent="0.2">
      <c r="A1633" s="2" t="str">
        <f>HYPERLINK("https://www.compass.com/listing/55-west-17th-street-unit-301-manhattan-ny-10011/29374456690494273/","55 W 17th St, Unit 301")</f>
        <v>55 W 17th St, Unit 301</v>
      </c>
      <c r="B1633" s="2" t="str">
        <f t="shared" ref="B1633:B1637" si="247">HYPERLINK("https://www.compass.com/building/55-w-17th-st-manhattan-ny-10011/281911689161499829/","55 W 17th St")</f>
        <v>55 W 17th St</v>
      </c>
      <c r="C1633" s="1" t="s">
        <v>56</v>
      </c>
      <c r="D1633" s="1" t="s">
        <v>41</v>
      </c>
      <c r="E1633" s="3">
        <v>1575000</v>
      </c>
      <c r="F1633" s="1">
        <v>1810.3448275861999</v>
      </c>
      <c r="G1633" s="1">
        <v>3</v>
      </c>
      <c r="H1633" s="1">
        <v>1</v>
      </c>
      <c r="I1633" s="1">
        <v>1</v>
      </c>
      <c r="J1633" s="1">
        <v>1</v>
      </c>
      <c r="M1633" s="1">
        <v>870</v>
      </c>
      <c r="N1633" s="1">
        <v>1076</v>
      </c>
      <c r="O1633" s="1">
        <v>2344</v>
      </c>
      <c r="P1633" s="1">
        <v>1268</v>
      </c>
      <c r="Q1633" s="1" t="s">
        <v>42</v>
      </c>
      <c r="S1633" s="1" t="s">
        <v>42</v>
      </c>
      <c r="T1633" s="1" t="s">
        <v>273</v>
      </c>
      <c r="U1633" s="1">
        <v>70</v>
      </c>
      <c r="V1633" s="5">
        <v>43694</v>
      </c>
      <c r="W1633" s="5">
        <v>42915</v>
      </c>
      <c r="X1633" s="1">
        <v>1670990</v>
      </c>
      <c r="Y1633" s="1">
        <v>1670990</v>
      </c>
      <c r="Z1633" s="5">
        <v>42985</v>
      </c>
      <c r="AA1633" s="1">
        <v>1575000</v>
      </c>
      <c r="AB1633" s="1" t="s">
        <v>847</v>
      </c>
      <c r="AC1633" s="5">
        <v>43006</v>
      </c>
      <c r="AF1633" s="1">
        <v>10011</v>
      </c>
      <c r="AI1633" s="1" t="s">
        <v>102</v>
      </c>
      <c r="AJ1633" s="1">
        <v>2018</v>
      </c>
      <c r="AK1633" s="1" t="s">
        <v>108</v>
      </c>
      <c r="AL1633" s="1">
        <v>52</v>
      </c>
    </row>
    <row r="1634" spans="1:38" x14ac:dyDescent="0.2">
      <c r="A1634" s="2" t="str">
        <f>HYPERLINK("https://www.compass.com/listing/55-west-17th-street-unit-502-manhattan-ny-10011/29374459450290641/","55 W 17th St, Unit 502")</f>
        <v>55 W 17th St, Unit 502</v>
      </c>
      <c r="B1634" s="2" t="str">
        <f t="shared" si="247"/>
        <v>55 W 17th St</v>
      </c>
      <c r="C1634" s="1" t="s">
        <v>56</v>
      </c>
      <c r="D1634" s="1" t="s">
        <v>41</v>
      </c>
      <c r="E1634" s="3">
        <v>1619007</v>
      </c>
      <c r="F1634" s="1">
        <v>2046.7850821744601</v>
      </c>
      <c r="G1634" s="1">
        <v>3</v>
      </c>
      <c r="H1634" s="1">
        <v>1</v>
      </c>
      <c r="I1634" s="1">
        <v>1</v>
      </c>
      <c r="J1634" s="1">
        <v>1</v>
      </c>
      <c r="M1634" s="1">
        <v>791</v>
      </c>
      <c r="N1634" s="1">
        <v>980</v>
      </c>
      <c r="O1634" s="1">
        <v>2135</v>
      </c>
      <c r="P1634" s="1">
        <v>1155</v>
      </c>
      <c r="Q1634" s="1" t="s">
        <v>42</v>
      </c>
      <c r="S1634" s="1" t="s">
        <v>42</v>
      </c>
      <c r="T1634" s="1" t="s">
        <v>273</v>
      </c>
      <c r="U1634" s="1">
        <v>2</v>
      </c>
      <c r="V1634" s="5">
        <v>43662</v>
      </c>
      <c r="W1634" s="5">
        <v>42299</v>
      </c>
      <c r="X1634" s="1">
        <v>1589990</v>
      </c>
      <c r="Y1634" s="1">
        <v>1589990</v>
      </c>
      <c r="Z1634" s="5">
        <v>42301</v>
      </c>
      <c r="AA1634" s="1">
        <v>1619007</v>
      </c>
      <c r="AB1634" s="1" t="s">
        <v>848</v>
      </c>
      <c r="AC1634" s="5">
        <v>42838</v>
      </c>
      <c r="AF1634" s="1">
        <v>10011</v>
      </c>
      <c r="AI1634" s="1" t="s">
        <v>102</v>
      </c>
      <c r="AJ1634" s="1">
        <v>2018</v>
      </c>
      <c r="AK1634" s="1" t="s">
        <v>108</v>
      </c>
      <c r="AL1634" s="1">
        <v>52</v>
      </c>
    </row>
    <row r="1635" spans="1:38" x14ac:dyDescent="0.2">
      <c r="A1635" s="2" t="str">
        <f>HYPERLINK("https://www.compass.com/listing/55-west-17th-street-unit-602-manhattan-ny-10011/4869021433247828321/","55 W 17th St, Unit 602")</f>
        <v>55 W 17th St, Unit 602</v>
      </c>
      <c r="B1635" s="2" t="str">
        <f t="shared" si="247"/>
        <v>55 W 17th St</v>
      </c>
      <c r="C1635" s="1" t="s">
        <v>56</v>
      </c>
      <c r="D1635" s="1" t="s">
        <v>41</v>
      </c>
      <c r="E1635" s="3">
        <v>1594990</v>
      </c>
      <c r="F1635" s="1">
        <v>2016.4222503160499</v>
      </c>
      <c r="G1635" s="1">
        <v>3</v>
      </c>
      <c r="H1635" s="1">
        <v>1</v>
      </c>
      <c r="I1635" s="1">
        <v>1</v>
      </c>
      <c r="J1635" s="1">
        <v>1</v>
      </c>
      <c r="M1635" s="1">
        <v>791</v>
      </c>
      <c r="N1635" s="1">
        <v>981</v>
      </c>
      <c r="O1635" s="1">
        <v>2137</v>
      </c>
      <c r="P1635" s="1">
        <v>1156</v>
      </c>
      <c r="Q1635" s="1" t="s">
        <v>42</v>
      </c>
      <c r="S1635" s="1" t="s">
        <v>42</v>
      </c>
      <c r="T1635" s="1" t="s">
        <v>273</v>
      </c>
      <c r="U1635" s="1">
        <v>23</v>
      </c>
      <c r="V1635" s="5">
        <v>43640</v>
      </c>
      <c r="W1635" s="5">
        <v>42278</v>
      </c>
      <c r="X1635" s="1">
        <v>1594990</v>
      </c>
      <c r="Y1635" s="1">
        <v>1594990</v>
      </c>
      <c r="Z1635" s="5">
        <v>42301</v>
      </c>
      <c r="AA1635" s="1">
        <v>1594990</v>
      </c>
      <c r="AB1635" s="1" t="s">
        <v>849</v>
      </c>
      <c r="AC1635" s="5">
        <v>43242</v>
      </c>
      <c r="AF1635" s="1">
        <v>10011</v>
      </c>
      <c r="AI1635" s="1" t="s">
        <v>102</v>
      </c>
      <c r="AJ1635" s="1">
        <v>2018</v>
      </c>
      <c r="AK1635" s="1" t="s">
        <v>108</v>
      </c>
      <c r="AL1635" s="1">
        <v>52</v>
      </c>
    </row>
    <row r="1636" spans="1:38" x14ac:dyDescent="0.2">
      <c r="A1636" s="2" t="str">
        <f>HYPERLINK("https://www.compass.com/listing/55-west-17th-street-unit-403-manhattan-ny-10011/803298949129746809/","55 W 17th St, Unit 403")</f>
        <v>55 W 17th St, Unit 403</v>
      </c>
      <c r="B1636" s="2" t="str">
        <f t="shared" si="247"/>
        <v>55 W 17th St</v>
      </c>
      <c r="C1636" s="1" t="s">
        <v>56</v>
      </c>
      <c r="D1636" s="1" t="s">
        <v>41</v>
      </c>
      <c r="E1636" s="3">
        <v>1544990</v>
      </c>
      <c r="F1636" s="1">
        <v>1960.6472081218201</v>
      </c>
      <c r="G1636" s="1">
        <v>3</v>
      </c>
      <c r="H1636" s="1">
        <v>1</v>
      </c>
      <c r="I1636" s="1">
        <v>1</v>
      </c>
      <c r="J1636" s="1">
        <v>1</v>
      </c>
      <c r="M1636" s="1">
        <v>788</v>
      </c>
      <c r="N1636" s="1">
        <v>976</v>
      </c>
      <c r="O1636" s="1">
        <v>2125</v>
      </c>
      <c r="P1636" s="1">
        <v>1149</v>
      </c>
      <c r="Q1636" s="1" t="s">
        <v>42</v>
      </c>
      <c r="S1636" s="1" t="s">
        <v>42</v>
      </c>
      <c r="T1636" s="1" t="s">
        <v>273</v>
      </c>
      <c r="U1636" s="1">
        <v>2</v>
      </c>
      <c r="V1636" s="5">
        <v>43165</v>
      </c>
      <c r="W1636" s="5">
        <v>42323</v>
      </c>
      <c r="X1636" s="1">
        <v>1544990</v>
      </c>
      <c r="Y1636" s="1">
        <v>1544990</v>
      </c>
      <c r="AA1636" s="1">
        <v>1544990</v>
      </c>
      <c r="AB1636" s="1" t="s">
        <v>275</v>
      </c>
      <c r="AC1636" s="5">
        <v>42325</v>
      </c>
      <c r="AF1636" s="1">
        <v>10011</v>
      </c>
      <c r="AI1636" s="1" t="s">
        <v>102</v>
      </c>
      <c r="AJ1636" s="1">
        <v>2018</v>
      </c>
      <c r="AK1636" s="1" t="s">
        <v>108</v>
      </c>
      <c r="AL1636" s="1">
        <v>52</v>
      </c>
    </row>
    <row r="1637" spans="1:38" x14ac:dyDescent="0.2">
      <c r="A1637" s="2" t="str">
        <f>HYPERLINK("https://www.compass.com/listing/55-west-17th-street-unit-302-manhattan-ny-10011/803345525600158993/","55 W 17th St, Unit 302")</f>
        <v>55 W 17th St, Unit 302</v>
      </c>
      <c r="B1637" s="2" t="str">
        <f t="shared" si="247"/>
        <v>55 W 17th St</v>
      </c>
      <c r="C1637" s="1" t="s">
        <v>56</v>
      </c>
      <c r="D1637" s="1" t="s">
        <v>41</v>
      </c>
      <c r="E1637" s="3">
        <v>1547730</v>
      </c>
      <c r="F1637" s="1">
        <v>1964.12413705583</v>
      </c>
      <c r="G1637" s="1">
        <v>3</v>
      </c>
      <c r="H1637" s="1">
        <v>1</v>
      </c>
      <c r="I1637" s="1">
        <v>1</v>
      </c>
      <c r="J1637" s="1">
        <v>1</v>
      </c>
      <c r="M1637" s="1">
        <v>788</v>
      </c>
      <c r="N1637" s="1">
        <v>975</v>
      </c>
      <c r="O1637" s="1">
        <v>2123</v>
      </c>
      <c r="P1637" s="1">
        <v>1148</v>
      </c>
      <c r="Q1637" s="1" t="s">
        <v>42</v>
      </c>
      <c r="S1637" s="1" t="s">
        <v>42</v>
      </c>
      <c r="T1637" s="1" t="s">
        <v>273</v>
      </c>
      <c r="U1637" s="1">
        <v>51</v>
      </c>
      <c r="V1637" s="5">
        <v>43242</v>
      </c>
      <c r="W1637" s="5">
        <v>42298</v>
      </c>
      <c r="X1637" s="1">
        <v>1519990</v>
      </c>
      <c r="Y1637" s="1">
        <v>1519990</v>
      </c>
      <c r="Z1637" s="5">
        <v>42350</v>
      </c>
      <c r="AA1637" s="1">
        <v>1547729.82</v>
      </c>
      <c r="AB1637" s="1" t="s">
        <v>850</v>
      </c>
      <c r="AC1637" s="5">
        <v>42853</v>
      </c>
      <c r="AF1637" s="1">
        <v>10011</v>
      </c>
      <c r="AI1637" s="1" t="s">
        <v>102</v>
      </c>
      <c r="AJ1637" s="1">
        <v>2018</v>
      </c>
      <c r="AK1637" s="1" t="s">
        <v>108</v>
      </c>
      <c r="AL1637" s="1">
        <v>52</v>
      </c>
    </row>
    <row r="1638" spans="1:38" x14ac:dyDescent="0.2">
      <c r="A1638" s="2" t="str">
        <f>HYPERLINK("https://www.compass.com/listing/111-murray-street-unit-7b-manhattan-ny-10007/242823202823312113/","111 Murray St, Unit 7B")</f>
        <v>111 Murray St, Unit 7B</v>
      </c>
      <c r="B1638" s="2" t="str">
        <f>HYPERLINK("https://www.compass.com/building/111-murray-st-manhattan-ny-10007/281896511862746053/","111 Murray St")</f>
        <v>111 Murray St</v>
      </c>
      <c r="C1638" s="1" t="s">
        <v>50</v>
      </c>
      <c r="D1638" s="1" t="s">
        <v>41</v>
      </c>
      <c r="E1638" s="3">
        <v>1780000</v>
      </c>
      <c r="F1638" s="1">
        <v>2247.4747474747401</v>
      </c>
      <c r="G1638" s="1">
        <v>3</v>
      </c>
      <c r="H1638" s="1">
        <v>1</v>
      </c>
      <c r="I1638" s="1">
        <v>1</v>
      </c>
      <c r="J1638" s="1">
        <v>1</v>
      </c>
      <c r="K1638" s="1">
        <v>1</v>
      </c>
      <c r="M1638" s="1">
        <v>792</v>
      </c>
      <c r="N1638" s="1">
        <v>898</v>
      </c>
      <c r="O1638" s="1">
        <v>2116</v>
      </c>
      <c r="P1638" s="1">
        <v>1218</v>
      </c>
      <c r="Q1638" s="1" t="s">
        <v>42</v>
      </c>
      <c r="S1638" s="1" t="s">
        <v>42</v>
      </c>
      <c r="T1638" s="1" t="s">
        <v>273</v>
      </c>
      <c r="U1638" s="1">
        <v>1651</v>
      </c>
      <c r="V1638" s="5">
        <v>44406</v>
      </c>
      <c r="W1638" s="5">
        <v>42160</v>
      </c>
      <c r="X1638" s="1">
        <v>2000000</v>
      </c>
      <c r="Y1638" s="1">
        <v>2000000</v>
      </c>
      <c r="AA1638" s="1">
        <v>1780000</v>
      </c>
      <c r="AB1638" s="1" t="s">
        <v>851</v>
      </c>
      <c r="AC1638" s="5">
        <v>43861</v>
      </c>
      <c r="AF1638" s="1">
        <v>10007</v>
      </c>
      <c r="AI1638" s="1" t="s">
        <v>107</v>
      </c>
      <c r="AJ1638" s="1">
        <v>2018</v>
      </c>
      <c r="AK1638" s="1" t="s">
        <v>49</v>
      </c>
      <c r="AL1638" s="1">
        <v>157</v>
      </c>
    </row>
    <row r="1639" spans="1:38" x14ac:dyDescent="0.2">
      <c r="A1639" s="2" t="str">
        <f>HYPERLINK("https://www.compass.com/listing/536-east-13th-street-unit-6f-manhattan-ny-10009/589587181545821297/","536 E 13th St, Unit 6F")</f>
        <v>536 E 13th St, Unit 6F</v>
      </c>
      <c r="B1639" s="2" t="str">
        <f>HYPERLINK("https://www.compass.com/building/536-e-13th-st-manhattan-ny-10009/281900929068843109/","536 E 13th St")</f>
        <v>536 E 13th St</v>
      </c>
      <c r="C1639" s="1" t="s">
        <v>71</v>
      </c>
      <c r="D1639" s="1" t="s">
        <v>41</v>
      </c>
      <c r="E1639" s="3">
        <v>1450000</v>
      </c>
      <c r="F1639" s="1">
        <v>1907.8947368421</v>
      </c>
      <c r="H1639" s="1">
        <v>2</v>
      </c>
      <c r="J1639" s="1">
        <v>1</v>
      </c>
      <c r="M1639" s="1">
        <v>760</v>
      </c>
      <c r="N1639" s="1">
        <v>586</v>
      </c>
      <c r="O1639" s="1">
        <v>1526</v>
      </c>
      <c r="P1639" s="1">
        <v>940</v>
      </c>
      <c r="Q1639" s="1" t="s">
        <v>42</v>
      </c>
      <c r="S1639" s="1" t="s">
        <v>42</v>
      </c>
      <c r="T1639" s="1" t="s">
        <v>273</v>
      </c>
      <c r="AA1639" s="1">
        <v>1450000</v>
      </c>
      <c r="AB1639" s="1" t="s">
        <v>852</v>
      </c>
      <c r="AC1639" s="5">
        <v>44060</v>
      </c>
      <c r="AF1639" s="1">
        <v>10009</v>
      </c>
      <c r="AI1639" s="1" t="s">
        <v>52</v>
      </c>
      <c r="AL1639" s="1">
        <v>11</v>
      </c>
    </row>
    <row r="1640" spans="1:38" x14ac:dyDescent="0.2">
      <c r="A1640" s="2" t="str">
        <f>HYPERLINK("https://www.compass.com/listing/111-murray-street-unit-41a-manhattan-ny-10007/4852282212432746081/","111 Murray St, Unit 41A")</f>
        <v>111 Murray St, Unit 41A</v>
      </c>
      <c r="B1640" s="2" t="str">
        <f t="shared" ref="B1640:B1641" si="248">HYPERLINK("https://www.compass.com/building/111-murray-st-manhattan-ny-10007/281896511862746053/","111 Murray St")</f>
        <v>111 Murray St</v>
      </c>
      <c r="C1640" s="1" t="s">
        <v>50</v>
      </c>
      <c r="D1640" s="1" t="s">
        <v>41</v>
      </c>
      <c r="E1640" s="3">
        <v>6200000</v>
      </c>
      <c r="F1640" s="1">
        <v>3219.1069574247099</v>
      </c>
      <c r="G1640" s="1">
        <v>6</v>
      </c>
      <c r="H1640" s="1">
        <v>3</v>
      </c>
      <c r="I1640" s="1">
        <v>4</v>
      </c>
      <c r="J1640" s="1">
        <v>3.5</v>
      </c>
      <c r="K1640" s="1">
        <v>3</v>
      </c>
      <c r="L1640" s="1">
        <v>1</v>
      </c>
      <c r="M1640" s="4">
        <v>1926</v>
      </c>
      <c r="N1640" s="1">
        <v>2320</v>
      </c>
      <c r="O1640" s="1">
        <v>5578</v>
      </c>
      <c r="P1640" s="1">
        <v>3258</v>
      </c>
      <c r="Q1640" s="1" t="s">
        <v>42</v>
      </c>
      <c r="S1640" s="1" t="s">
        <v>42</v>
      </c>
      <c r="T1640" s="1" t="s">
        <v>273</v>
      </c>
      <c r="U1640" s="1">
        <v>670</v>
      </c>
      <c r="V1640" s="5">
        <v>44342</v>
      </c>
      <c r="W1640" s="5">
        <v>42160</v>
      </c>
      <c r="X1640" s="1">
        <v>6250000</v>
      </c>
      <c r="Y1640" s="1">
        <v>6250000</v>
      </c>
      <c r="AA1640" s="1">
        <v>6200000</v>
      </c>
      <c r="AB1640" s="1" t="s">
        <v>853</v>
      </c>
      <c r="AC1640" s="5">
        <v>43626</v>
      </c>
      <c r="AF1640" s="1">
        <v>10007</v>
      </c>
      <c r="AI1640" s="1" t="s">
        <v>80</v>
      </c>
      <c r="AJ1640" s="1">
        <v>2018</v>
      </c>
      <c r="AK1640" s="1" t="s">
        <v>46</v>
      </c>
      <c r="AL1640" s="1">
        <v>157</v>
      </c>
    </row>
    <row r="1641" spans="1:38" x14ac:dyDescent="0.2">
      <c r="A1641" s="2" t="str">
        <f>HYPERLINK("https://www.compass.com/listing/111-murray-street-unit-16a-manhattan-ny-10007/785643491429622617/","111 Murray St, Unit 16A")</f>
        <v>111 Murray St, Unit 16A</v>
      </c>
      <c r="B1641" s="2" t="str">
        <f t="shared" si="248"/>
        <v>111 Murray St</v>
      </c>
      <c r="C1641" s="1" t="s">
        <v>50</v>
      </c>
      <c r="D1641" s="1" t="s">
        <v>41</v>
      </c>
      <c r="E1641" s="3">
        <v>3430223</v>
      </c>
      <c r="F1641" s="1">
        <v>2153.3101883239101</v>
      </c>
      <c r="G1641" s="1">
        <v>4</v>
      </c>
      <c r="H1641" s="1">
        <v>2</v>
      </c>
      <c r="I1641" s="1">
        <v>3</v>
      </c>
      <c r="J1641" s="1">
        <v>3</v>
      </c>
      <c r="K1641" s="1">
        <v>3</v>
      </c>
      <c r="M1641" s="4">
        <v>1593</v>
      </c>
      <c r="N1641" s="1">
        <v>1761</v>
      </c>
      <c r="O1641" s="1">
        <v>4970</v>
      </c>
      <c r="P1641" s="1">
        <v>3209</v>
      </c>
      <c r="Q1641" s="1" t="s">
        <v>42</v>
      </c>
      <c r="S1641" s="1" t="s">
        <v>42</v>
      </c>
      <c r="T1641" s="1" t="s">
        <v>273</v>
      </c>
      <c r="V1641" s="5">
        <v>44225</v>
      </c>
      <c r="W1641" s="5">
        <v>44083</v>
      </c>
      <c r="X1641" s="1">
        <v>3800000</v>
      </c>
      <c r="Y1641" s="1">
        <v>3800000</v>
      </c>
      <c r="AA1641" s="1">
        <v>3430223.13</v>
      </c>
      <c r="AB1641" s="1" t="s">
        <v>854</v>
      </c>
      <c r="AC1641" s="5">
        <v>44083</v>
      </c>
      <c r="AF1641" s="1">
        <v>10007</v>
      </c>
      <c r="AI1641" s="1" t="s">
        <v>107</v>
      </c>
      <c r="AJ1641" s="1">
        <v>2018</v>
      </c>
      <c r="AK1641" s="1" t="s">
        <v>49</v>
      </c>
      <c r="AL1641" s="1">
        <v>157</v>
      </c>
    </row>
    <row r="1642" spans="1:38" x14ac:dyDescent="0.2">
      <c r="A1642" s="2" t="str">
        <f>HYPERLINK("https://www.compass.com/listing/55-west-17th-street-unit-402-manhattan-ny-10011/801630301075530425/","55 W 17th St, Unit 402")</f>
        <v>55 W 17th St, Unit 402</v>
      </c>
      <c r="B1642" s="2" t="str">
        <f>HYPERLINK("https://www.compass.com/building/55-w-17th-st-manhattan-ny-10011/281911689161499829/","55 W 17th St")</f>
        <v>55 W 17th St</v>
      </c>
      <c r="C1642" s="1" t="s">
        <v>56</v>
      </c>
      <c r="D1642" s="1" t="s">
        <v>41</v>
      </c>
      <c r="E1642" s="3">
        <v>1680102</v>
      </c>
      <c r="F1642" s="1">
        <v>1931.1520919540201</v>
      </c>
      <c r="G1642" s="1">
        <v>3</v>
      </c>
      <c r="H1642" s="1">
        <v>1</v>
      </c>
      <c r="I1642" s="1">
        <v>1</v>
      </c>
      <c r="J1642" s="1">
        <v>1</v>
      </c>
      <c r="M1642" s="1">
        <v>870</v>
      </c>
      <c r="N1642" s="1">
        <v>1077</v>
      </c>
      <c r="O1642" s="1">
        <v>2346</v>
      </c>
      <c r="P1642" s="1">
        <v>1269</v>
      </c>
      <c r="Q1642" s="1" t="s">
        <v>42</v>
      </c>
      <c r="S1642" s="1" t="s">
        <v>42</v>
      </c>
      <c r="T1642" s="1" t="s">
        <v>273</v>
      </c>
      <c r="U1642" s="1">
        <v>73</v>
      </c>
      <c r="V1642" s="5">
        <v>43242</v>
      </c>
      <c r="W1642" s="5">
        <v>42276</v>
      </c>
      <c r="X1642" s="1">
        <v>1649990</v>
      </c>
      <c r="Y1642" s="1">
        <v>1649990</v>
      </c>
      <c r="Z1642" s="5">
        <v>42350</v>
      </c>
      <c r="AA1642" s="1">
        <v>1680102.32</v>
      </c>
      <c r="AB1642" s="1" t="s">
        <v>855</v>
      </c>
      <c r="AC1642" s="5">
        <v>42843</v>
      </c>
      <c r="AF1642" s="1">
        <v>10011</v>
      </c>
      <c r="AI1642" s="1" t="s">
        <v>102</v>
      </c>
      <c r="AJ1642" s="1">
        <v>2018</v>
      </c>
      <c r="AK1642" s="1" t="s">
        <v>108</v>
      </c>
      <c r="AL1642" s="1">
        <v>52</v>
      </c>
    </row>
    <row r="1643" spans="1:38" x14ac:dyDescent="0.2">
      <c r="A1643" s="2" t="str">
        <f>HYPERLINK("https://www.compass.com/listing/121-east-22nd-street-unit-n1107-manhattan-ny-10010/662955922148406081/","121 E 22nd St, Unit N1107")</f>
        <v>121 E 22nd St, Unit N1107</v>
      </c>
      <c r="B1643" s="2" t="str">
        <f t="shared" ref="B1643:B1649" si="249">HYPERLINK("https://www.compass.com/building/121-e-22nd-manhattan-ny/292795784653461493/","121 E 22nd")</f>
        <v>121 E 22nd</v>
      </c>
      <c r="C1643" s="1" t="s">
        <v>64</v>
      </c>
      <c r="D1643" s="1" t="s">
        <v>41</v>
      </c>
      <c r="E1643" s="3">
        <v>3780000</v>
      </c>
      <c r="F1643" s="1">
        <v>2214.4112478031602</v>
      </c>
      <c r="G1643" s="1">
        <v>4.5</v>
      </c>
      <c r="H1643" s="1">
        <v>2</v>
      </c>
      <c r="I1643" s="1">
        <v>3</v>
      </c>
      <c r="J1643" s="1">
        <v>2.5</v>
      </c>
      <c r="K1643" s="1">
        <v>2</v>
      </c>
      <c r="L1643" s="1">
        <v>1</v>
      </c>
      <c r="M1643" s="4">
        <v>1707</v>
      </c>
      <c r="N1643" s="1">
        <v>1782</v>
      </c>
      <c r="O1643" s="1">
        <v>5350</v>
      </c>
      <c r="P1643" s="1">
        <v>3568</v>
      </c>
      <c r="Q1643" s="1" t="s">
        <v>42</v>
      </c>
      <c r="S1643" s="1" t="s">
        <v>42</v>
      </c>
      <c r="T1643" s="1" t="s">
        <v>273</v>
      </c>
      <c r="V1643" s="5">
        <v>44351</v>
      </c>
      <c r="W1643" s="5">
        <v>44166</v>
      </c>
      <c r="X1643" s="1">
        <v>3780000</v>
      </c>
      <c r="Y1643" s="1">
        <v>3780000</v>
      </c>
      <c r="Z1643" s="5">
        <v>44166</v>
      </c>
      <c r="AA1643" s="1">
        <v>3780000</v>
      </c>
      <c r="AB1643" s="1" t="s">
        <v>275</v>
      </c>
      <c r="AC1643" s="5">
        <v>44350</v>
      </c>
      <c r="AF1643" s="1">
        <v>10010</v>
      </c>
      <c r="AI1643" s="1" t="s">
        <v>106</v>
      </c>
      <c r="AJ1643" s="1">
        <v>2016</v>
      </c>
      <c r="AK1643" s="1" t="s">
        <v>46</v>
      </c>
      <c r="AL1643" s="1">
        <v>140</v>
      </c>
    </row>
    <row r="1644" spans="1:38" x14ac:dyDescent="0.2">
      <c r="A1644" s="2" t="str">
        <f>HYPERLINK("https://www.compass.com/listing/121-east-22nd-street-unit-n1705-manhattan-ny-10010/149113440143762369/","121 E 22nd St, Unit N1705")</f>
        <v>121 E 22nd St, Unit N1705</v>
      </c>
      <c r="B1644" s="2" t="str">
        <f t="shared" si="249"/>
        <v>121 E 22nd</v>
      </c>
      <c r="C1644" s="1" t="s">
        <v>64</v>
      </c>
      <c r="D1644" s="1" t="s">
        <v>41</v>
      </c>
      <c r="E1644" s="3">
        <v>4220646</v>
      </c>
      <c r="F1644" s="1">
        <v>2515.2836710369402</v>
      </c>
      <c r="G1644" s="1">
        <v>4</v>
      </c>
      <c r="H1644" s="1">
        <v>2</v>
      </c>
      <c r="I1644" s="1">
        <v>3</v>
      </c>
      <c r="J1644" s="1">
        <v>2.5</v>
      </c>
      <c r="K1644" s="1">
        <v>2</v>
      </c>
      <c r="L1644" s="1">
        <v>1</v>
      </c>
      <c r="M1644" s="4">
        <v>1678</v>
      </c>
      <c r="N1644" s="1">
        <v>1901</v>
      </c>
      <c r="O1644" s="1">
        <v>5289</v>
      </c>
      <c r="P1644" s="1">
        <v>3388</v>
      </c>
      <c r="Q1644" s="1" t="s">
        <v>42</v>
      </c>
      <c r="S1644" s="1" t="s">
        <v>42</v>
      </c>
      <c r="T1644" s="1" t="s">
        <v>273</v>
      </c>
      <c r="V1644" s="5">
        <v>44334</v>
      </c>
      <c r="W1644" s="5">
        <v>43458</v>
      </c>
      <c r="X1644" s="1">
        <v>4245000</v>
      </c>
      <c r="Y1644" s="1">
        <v>4245000</v>
      </c>
      <c r="Z1644" s="5">
        <v>43458</v>
      </c>
      <c r="AA1644" s="1">
        <v>4220646</v>
      </c>
      <c r="AB1644" s="1" t="s">
        <v>275</v>
      </c>
      <c r="AC1644" s="5">
        <v>43685</v>
      </c>
      <c r="AF1644" s="1">
        <v>10010</v>
      </c>
      <c r="AI1644" s="1" t="s">
        <v>106</v>
      </c>
      <c r="AJ1644" s="1">
        <v>2016</v>
      </c>
      <c r="AK1644" s="1" t="s">
        <v>46</v>
      </c>
      <c r="AL1644" s="1">
        <v>140</v>
      </c>
    </row>
    <row r="1645" spans="1:38" x14ac:dyDescent="0.2">
      <c r="A1645" s="2" t="str">
        <f>HYPERLINK("https://www.compass.com/listing/121-east-22nd-street-unit-n1201-manhattan-ny-10010/34698240226021089/","121 E 22nd St, Unit N1201")</f>
        <v>121 E 22nd St, Unit N1201</v>
      </c>
      <c r="B1645" s="2" t="str">
        <f t="shared" si="249"/>
        <v>121 E 22nd</v>
      </c>
      <c r="C1645" s="1" t="s">
        <v>64</v>
      </c>
      <c r="D1645" s="1" t="s">
        <v>41</v>
      </c>
      <c r="E1645" s="3">
        <v>3040000</v>
      </c>
      <c r="F1645" s="1">
        <v>2246.8588322246801</v>
      </c>
      <c r="G1645" s="1">
        <v>4</v>
      </c>
      <c r="H1645" s="1">
        <v>2</v>
      </c>
      <c r="I1645" s="1">
        <v>3</v>
      </c>
      <c r="J1645" s="1">
        <v>2.5</v>
      </c>
      <c r="K1645" s="1">
        <v>2</v>
      </c>
      <c r="L1645" s="1">
        <v>1</v>
      </c>
      <c r="M1645" s="4">
        <v>1353</v>
      </c>
      <c r="N1645" s="1">
        <v>1493</v>
      </c>
      <c r="O1645" s="1">
        <v>4140</v>
      </c>
      <c r="P1645" s="1">
        <v>2647</v>
      </c>
      <c r="Q1645" s="1" t="s">
        <v>42</v>
      </c>
      <c r="S1645" s="1" t="s">
        <v>42</v>
      </c>
      <c r="T1645" s="1" t="s">
        <v>273</v>
      </c>
      <c r="V1645" s="5">
        <v>44373</v>
      </c>
      <c r="W1645" s="5">
        <v>43315</v>
      </c>
      <c r="X1645" s="1">
        <v>3040000</v>
      </c>
      <c r="Y1645" s="1">
        <v>3040000</v>
      </c>
      <c r="Z1645" s="5">
        <v>43315</v>
      </c>
      <c r="AA1645" s="1">
        <v>3040000</v>
      </c>
      <c r="AB1645" s="1" t="s">
        <v>275</v>
      </c>
      <c r="AC1645" s="5">
        <v>43664</v>
      </c>
      <c r="AF1645" s="1">
        <v>10010</v>
      </c>
      <c r="AI1645" s="1" t="s">
        <v>109</v>
      </c>
      <c r="AJ1645" s="1">
        <v>2016</v>
      </c>
      <c r="AK1645" s="1" t="s">
        <v>46</v>
      </c>
      <c r="AL1645" s="1">
        <v>140</v>
      </c>
    </row>
    <row r="1646" spans="1:38" x14ac:dyDescent="0.2">
      <c r="A1646" s="2" t="str">
        <f>HYPERLINK("https://www.compass.com/listing/121-east-22nd-street-unit-n306-manhattan-ny-10010/34705178015873777/","121 E 22nd St, Unit N306")</f>
        <v>121 E 22nd St, Unit N306</v>
      </c>
      <c r="B1646" s="2" t="str">
        <f t="shared" si="249"/>
        <v>121 E 22nd</v>
      </c>
      <c r="C1646" s="1" t="s">
        <v>64</v>
      </c>
      <c r="D1646" s="1" t="s">
        <v>41</v>
      </c>
      <c r="E1646" s="3">
        <v>3453250</v>
      </c>
      <c r="F1646" s="1">
        <v>1947.6875352509801</v>
      </c>
      <c r="G1646" s="1">
        <v>4</v>
      </c>
      <c r="H1646" s="1">
        <v>2</v>
      </c>
      <c r="I1646" s="1">
        <v>3</v>
      </c>
      <c r="J1646" s="1">
        <v>2.5</v>
      </c>
      <c r="K1646" s="1">
        <v>2</v>
      </c>
      <c r="L1646" s="1">
        <v>1</v>
      </c>
      <c r="M1646" s="4">
        <v>1773</v>
      </c>
      <c r="N1646" s="1">
        <v>1779</v>
      </c>
      <c r="O1646" s="1">
        <v>4910</v>
      </c>
      <c r="P1646" s="1">
        <v>3131</v>
      </c>
      <c r="Q1646" s="1" t="s">
        <v>42</v>
      </c>
      <c r="S1646" s="1" t="s">
        <v>42</v>
      </c>
      <c r="T1646" s="1" t="s">
        <v>273</v>
      </c>
      <c r="U1646" s="1">
        <v>436</v>
      </c>
      <c r="V1646" s="5">
        <v>44057</v>
      </c>
      <c r="W1646" s="5">
        <v>43104</v>
      </c>
      <c r="X1646" s="1">
        <v>3635000</v>
      </c>
      <c r="Y1646" s="1">
        <v>3635000</v>
      </c>
      <c r="Z1646" s="5">
        <v>43540</v>
      </c>
      <c r="AA1646" s="1">
        <v>3453250</v>
      </c>
      <c r="AB1646" s="1" t="s">
        <v>856</v>
      </c>
      <c r="AC1646" s="5">
        <v>43553</v>
      </c>
      <c r="AF1646" s="1">
        <v>10010</v>
      </c>
      <c r="AI1646" s="1" t="s">
        <v>106</v>
      </c>
      <c r="AJ1646" s="1">
        <v>2016</v>
      </c>
      <c r="AK1646" s="1" t="s">
        <v>46</v>
      </c>
      <c r="AL1646" s="1">
        <v>140</v>
      </c>
    </row>
    <row r="1647" spans="1:38" x14ac:dyDescent="0.2">
      <c r="A1647" s="2" t="str">
        <f>HYPERLINK("https://www.compass.com/listing/121-east-22nd-street-unit-n607-manhattan-ny-10010/408560773861845025/","121 E 22nd St, Unit N607")</f>
        <v>121 E 22nd St, Unit N607</v>
      </c>
      <c r="B1647" s="2" t="str">
        <f t="shared" si="249"/>
        <v>121 E 22nd</v>
      </c>
      <c r="C1647" s="1" t="s">
        <v>64</v>
      </c>
      <c r="D1647" s="1" t="s">
        <v>41</v>
      </c>
      <c r="E1647" s="3">
        <v>3270000</v>
      </c>
      <c r="F1647" s="1">
        <v>1915.6414762741599</v>
      </c>
      <c r="G1647" s="1">
        <v>4</v>
      </c>
      <c r="H1647" s="1">
        <v>2</v>
      </c>
      <c r="I1647" s="1">
        <v>3</v>
      </c>
      <c r="J1647" s="1">
        <v>2.5</v>
      </c>
      <c r="K1647" s="1">
        <v>2</v>
      </c>
      <c r="L1647" s="1">
        <v>1</v>
      </c>
      <c r="M1647" s="4">
        <v>1707</v>
      </c>
      <c r="N1647" s="1">
        <v>1736</v>
      </c>
      <c r="O1647" s="1">
        <v>5251</v>
      </c>
      <c r="P1647" s="1">
        <v>3515</v>
      </c>
      <c r="Q1647" s="1" t="s">
        <v>42</v>
      </c>
      <c r="S1647" s="1" t="s">
        <v>42</v>
      </c>
      <c r="T1647" s="1" t="s">
        <v>273</v>
      </c>
      <c r="V1647" s="5">
        <v>44057</v>
      </c>
      <c r="W1647" s="5">
        <v>43816</v>
      </c>
      <c r="X1647" s="1">
        <v>3570000</v>
      </c>
      <c r="Y1647" s="1">
        <v>3605000</v>
      </c>
      <c r="AA1647" s="1">
        <v>3270000</v>
      </c>
      <c r="AB1647" s="1" t="s">
        <v>857</v>
      </c>
      <c r="AC1647" s="5">
        <v>43928</v>
      </c>
      <c r="AF1647" s="1">
        <v>10010</v>
      </c>
      <c r="AI1647" s="1" t="s">
        <v>106</v>
      </c>
      <c r="AJ1647" s="1">
        <v>2016</v>
      </c>
      <c r="AK1647" s="1" t="s">
        <v>46</v>
      </c>
      <c r="AL1647" s="1">
        <v>140</v>
      </c>
    </row>
    <row r="1648" spans="1:38" x14ac:dyDescent="0.2">
      <c r="A1648" s="2" t="str">
        <f>HYPERLINK("https://www.compass.com/listing/121-east-22nd-street-unit-n707-manhattan-ny-10010/467976723880310281/","121 E 22nd St, Unit N707")</f>
        <v>121 E 22nd St, Unit N707</v>
      </c>
      <c r="B1648" s="2" t="str">
        <f t="shared" si="249"/>
        <v>121 E 22nd</v>
      </c>
      <c r="C1648" s="1" t="s">
        <v>64</v>
      </c>
      <c r="D1648" s="1" t="s">
        <v>41</v>
      </c>
      <c r="E1648" s="3">
        <v>3100000</v>
      </c>
      <c r="F1648" s="1">
        <v>1816.05155243116</v>
      </c>
      <c r="G1648" s="1">
        <v>4.5</v>
      </c>
      <c r="H1648" s="1">
        <v>2</v>
      </c>
      <c r="I1648" s="1">
        <v>3</v>
      </c>
      <c r="J1648" s="1">
        <v>2.5</v>
      </c>
      <c r="K1648" s="1">
        <v>2</v>
      </c>
      <c r="L1648" s="1">
        <v>1</v>
      </c>
      <c r="M1648" s="4">
        <v>1707</v>
      </c>
      <c r="N1648" s="1">
        <v>1745</v>
      </c>
      <c r="O1648" s="1">
        <v>5234</v>
      </c>
      <c r="P1648" s="1">
        <v>3489</v>
      </c>
      <c r="Q1648" s="1" t="s">
        <v>42</v>
      </c>
      <c r="S1648" s="1" t="s">
        <v>42</v>
      </c>
      <c r="T1648" s="1" t="s">
        <v>273</v>
      </c>
      <c r="V1648" s="5">
        <v>44258</v>
      </c>
      <c r="W1648" s="5">
        <v>43898</v>
      </c>
      <c r="X1648" s="1">
        <v>3350000</v>
      </c>
      <c r="Y1648" s="1">
        <v>3350000</v>
      </c>
      <c r="Z1648" s="5">
        <v>43898</v>
      </c>
      <c r="AA1648" s="1">
        <v>3100000</v>
      </c>
      <c r="AB1648" s="1" t="s">
        <v>858</v>
      </c>
      <c r="AC1648" s="5">
        <v>44253</v>
      </c>
      <c r="AF1648" s="1">
        <v>10010</v>
      </c>
      <c r="AI1648" s="1" t="s">
        <v>106</v>
      </c>
      <c r="AJ1648" s="1">
        <v>2016</v>
      </c>
      <c r="AK1648" s="1" t="s">
        <v>46</v>
      </c>
      <c r="AL1648" s="1">
        <v>140</v>
      </c>
    </row>
    <row r="1649" spans="1:38" x14ac:dyDescent="0.2">
      <c r="A1649" s="2" t="str">
        <f>HYPERLINK("https://www.compass.com/listing/121-east-22nd-street-unit-s603-manhattan-ny-10010/59996085631945809/","121 E 22nd St, Unit S603")</f>
        <v>121 E 22nd St, Unit S603</v>
      </c>
      <c r="B1649" s="2" t="str">
        <f t="shared" si="249"/>
        <v>121 E 22nd</v>
      </c>
      <c r="C1649" s="1" t="s">
        <v>64</v>
      </c>
      <c r="D1649" s="1" t="s">
        <v>41</v>
      </c>
      <c r="E1649" s="3">
        <v>3450000</v>
      </c>
      <c r="F1649" s="1">
        <v>2120.4671173939701</v>
      </c>
      <c r="G1649" s="1">
        <v>4</v>
      </c>
      <c r="H1649" s="1">
        <v>2</v>
      </c>
      <c r="I1649" s="1">
        <v>3</v>
      </c>
      <c r="J1649" s="1">
        <v>2.5</v>
      </c>
      <c r="K1649" s="1">
        <v>2</v>
      </c>
      <c r="L1649" s="1">
        <v>1</v>
      </c>
      <c r="M1649" s="4">
        <v>1627</v>
      </c>
      <c r="N1649" s="1">
        <v>1693</v>
      </c>
      <c r="O1649" s="1">
        <v>4682</v>
      </c>
      <c r="P1649" s="1">
        <v>2989</v>
      </c>
      <c r="Q1649" s="1" t="s">
        <v>42</v>
      </c>
      <c r="S1649" s="1" t="s">
        <v>42</v>
      </c>
      <c r="T1649" s="1" t="s">
        <v>273</v>
      </c>
      <c r="U1649" s="1">
        <v>216</v>
      </c>
      <c r="V1649" s="5">
        <v>44057</v>
      </c>
      <c r="W1649" s="5">
        <v>43335</v>
      </c>
      <c r="X1649" s="1">
        <v>3450000</v>
      </c>
      <c r="Y1649" s="1">
        <v>3450000</v>
      </c>
      <c r="Z1649" s="5">
        <v>43551</v>
      </c>
      <c r="AA1649" s="1">
        <v>3450000</v>
      </c>
      <c r="AB1649" s="1" t="s">
        <v>275</v>
      </c>
      <c r="AC1649" s="5">
        <v>43594</v>
      </c>
      <c r="AF1649" s="1">
        <v>10010</v>
      </c>
      <c r="AI1649" s="1" t="s">
        <v>109</v>
      </c>
      <c r="AJ1649" s="1">
        <v>2016</v>
      </c>
      <c r="AK1649" s="1" t="s">
        <v>46</v>
      </c>
      <c r="AL1649" s="1">
        <v>140</v>
      </c>
    </row>
    <row r="1650" spans="1:38" x14ac:dyDescent="0.2">
      <c r="A1650" s="2" t="str">
        <f>HYPERLINK("https://www.compass.com/listing/55-west-17th-street-unit-202-manhattan-ny-10011/803314488094625145/","55 W 17th St, Unit 202")</f>
        <v>55 W 17th St, Unit 202</v>
      </c>
      <c r="B1650" s="2" t="str">
        <f>HYPERLINK("https://www.compass.com/building/55-w-17th-st-manhattan-ny-10011/281911689161499829/","55 W 17th St")</f>
        <v>55 W 17th St</v>
      </c>
      <c r="C1650" s="1" t="s">
        <v>56</v>
      </c>
      <c r="D1650" s="1" t="s">
        <v>41</v>
      </c>
      <c r="E1650" s="3">
        <v>1522284</v>
      </c>
      <c r="F1650" s="1">
        <v>1931.8321700507599</v>
      </c>
      <c r="G1650" s="1">
        <v>3</v>
      </c>
      <c r="H1650" s="1">
        <v>1</v>
      </c>
      <c r="I1650" s="1">
        <v>1</v>
      </c>
      <c r="J1650" s="1">
        <v>1</v>
      </c>
      <c r="M1650" s="1">
        <v>788</v>
      </c>
      <c r="N1650" s="1">
        <v>974</v>
      </c>
      <c r="O1650" s="1">
        <v>2121</v>
      </c>
      <c r="P1650" s="1">
        <v>1147</v>
      </c>
      <c r="Q1650" s="1" t="s">
        <v>42</v>
      </c>
      <c r="S1650" s="1" t="s">
        <v>42</v>
      </c>
      <c r="T1650" s="1" t="s">
        <v>273</v>
      </c>
      <c r="U1650" s="1">
        <v>144</v>
      </c>
      <c r="V1650" s="5">
        <v>43242</v>
      </c>
      <c r="W1650" s="5">
        <v>42323</v>
      </c>
      <c r="X1650" s="1">
        <v>1549990</v>
      </c>
      <c r="Y1650" s="1">
        <v>1549990</v>
      </c>
      <c r="Z1650" s="5">
        <v>42468</v>
      </c>
      <c r="AA1650" s="1">
        <v>1522283.75</v>
      </c>
      <c r="AB1650" s="1" t="s">
        <v>859</v>
      </c>
      <c r="AC1650" s="5">
        <v>42831</v>
      </c>
      <c r="AF1650" s="1">
        <v>10011</v>
      </c>
      <c r="AI1650" s="1" t="s">
        <v>102</v>
      </c>
      <c r="AJ1650" s="1">
        <v>2018</v>
      </c>
      <c r="AK1650" s="1" t="s">
        <v>108</v>
      </c>
      <c r="AL1650" s="1">
        <v>52</v>
      </c>
    </row>
    <row r="1651" spans="1:38" x14ac:dyDescent="0.2">
      <c r="A1651" s="2" t="str">
        <f>HYPERLINK("https://www.compass.com/listing/559-west-23rd-street-unit-7-8-manhattan-ny-10011/783021494895300745/","559 W 23rd St, Unit 7/8")</f>
        <v>559 W 23rd St, Unit 7/8</v>
      </c>
      <c r="B1651" s="2" t="str">
        <f>HYPERLINK("https://www.compass.com/building/chelsea-waterside-residences-manhattan-ny/281911750683552581/","Chelsea Waterside Residences")</f>
        <v>Chelsea Waterside Residences</v>
      </c>
      <c r="C1651" s="1" t="s">
        <v>62</v>
      </c>
      <c r="D1651" s="1" t="s">
        <v>41</v>
      </c>
      <c r="E1651" s="3">
        <v>4450000</v>
      </c>
      <c r="F1651" s="1">
        <v>1846.47302904564</v>
      </c>
      <c r="G1651" s="1">
        <v>7</v>
      </c>
      <c r="H1651" s="1">
        <v>3</v>
      </c>
      <c r="I1651" s="1">
        <v>4</v>
      </c>
      <c r="J1651" s="1">
        <v>4</v>
      </c>
      <c r="K1651" s="1">
        <v>4</v>
      </c>
      <c r="M1651" s="4">
        <v>2410</v>
      </c>
      <c r="N1651" s="1">
        <v>1850</v>
      </c>
      <c r="O1651" s="1">
        <v>5268</v>
      </c>
      <c r="P1651" s="1">
        <v>3418</v>
      </c>
      <c r="Q1651" s="1" t="s">
        <v>42</v>
      </c>
      <c r="S1651" s="1" t="s">
        <v>42</v>
      </c>
      <c r="T1651" s="1" t="s">
        <v>273</v>
      </c>
      <c r="U1651" s="1">
        <v>146</v>
      </c>
      <c r="V1651" s="5">
        <v>43314</v>
      </c>
      <c r="W1651" s="5">
        <v>42445</v>
      </c>
      <c r="Y1651" s="1">
        <v>4850000</v>
      </c>
      <c r="AA1651" s="1">
        <v>4450000</v>
      </c>
      <c r="AB1651" s="1" t="s">
        <v>860</v>
      </c>
      <c r="AC1651" s="5">
        <v>42779</v>
      </c>
      <c r="AF1651" s="1">
        <v>10011</v>
      </c>
      <c r="AI1651" s="1" t="s">
        <v>131</v>
      </c>
      <c r="AJ1651" s="1">
        <v>2015</v>
      </c>
      <c r="AK1651" s="1" t="s">
        <v>143</v>
      </c>
      <c r="AL1651" s="1">
        <v>8</v>
      </c>
    </row>
    <row r="1652" spans="1:38" x14ac:dyDescent="0.2">
      <c r="A1652" s="2" t="str">
        <f>HYPERLINK("https://www.compass.com/listing/514-west-24th-street-unit-7e-manhattan-ny-10011/106985768467052065/","514 W 24th St, Unit 7E")</f>
        <v>514 W 24th St, Unit 7E</v>
      </c>
      <c r="B1652" s="2" t="str">
        <f t="shared" ref="B1652:B1655" si="250">HYPERLINK("https://www.compass.com/building/the-fitzroy-manhattan-ny/281911423242627685/","The Fitzroy")</f>
        <v>The Fitzroy</v>
      </c>
      <c r="C1652" s="1" t="s">
        <v>62</v>
      </c>
      <c r="D1652" s="1" t="s">
        <v>41</v>
      </c>
      <c r="E1652" s="3">
        <v>5013566</v>
      </c>
      <c r="F1652" s="1">
        <v>2201.8296003513301</v>
      </c>
      <c r="G1652" s="1">
        <v>5</v>
      </c>
      <c r="H1652" s="1">
        <v>2</v>
      </c>
      <c r="I1652" s="1">
        <v>3</v>
      </c>
      <c r="J1652" s="1">
        <v>2.5</v>
      </c>
      <c r="K1652" s="1">
        <v>2</v>
      </c>
      <c r="L1652" s="1">
        <v>1</v>
      </c>
      <c r="M1652" s="4">
        <v>2277</v>
      </c>
      <c r="N1652" s="1">
        <v>2861</v>
      </c>
      <c r="O1652" s="1">
        <v>5298</v>
      </c>
      <c r="P1652" s="1">
        <v>2437</v>
      </c>
      <c r="Q1652" s="1" t="s">
        <v>42</v>
      </c>
      <c r="S1652" s="1" t="s">
        <v>42</v>
      </c>
      <c r="T1652" s="1" t="s">
        <v>273</v>
      </c>
      <c r="U1652" s="1">
        <v>392</v>
      </c>
      <c r="V1652" s="5">
        <v>44334</v>
      </c>
      <c r="W1652" s="5">
        <v>43399</v>
      </c>
      <c r="X1652" s="1">
        <v>6100000</v>
      </c>
      <c r="Y1652" s="1">
        <v>6100000</v>
      </c>
      <c r="Z1652" s="5">
        <v>43792</v>
      </c>
      <c r="AA1652" s="1">
        <v>5013566</v>
      </c>
      <c r="AB1652" s="1" t="s">
        <v>861</v>
      </c>
      <c r="AC1652" s="5">
        <v>43908</v>
      </c>
      <c r="AF1652" s="1">
        <v>10011</v>
      </c>
      <c r="AI1652" s="1" t="s">
        <v>118</v>
      </c>
      <c r="AJ1652" s="1">
        <v>2017</v>
      </c>
      <c r="AK1652" s="1" t="s">
        <v>46</v>
      </c>
      <c r="AL1652" s="1">
        <v>14</v>
      </c>
    </row>
    <row r="1653" spans="1:38" x14ac:dyDescent="0.2">
      <c r="A1653" s="2" t="str">
        <f>HYPERLINK("https://www.compass.com/listing/514-west-24th-street-unit-4e-manhattan-ny-10011/106985769364701665/","514 W 24th St, Unit 4E")</f>
        <v>514 W 24th St, Unit 4E</v>
      </c>
      <c r="B1653" s="2" t="str">
        <f t="shared" si="250"/>
        <v>The Fitzroy</v>
      </c>
      <c r="C1653" s="1" t="s">
        <v>62</v>
      </c>
      <c r="D1653" s="1" t="s">
        <v>41</v>
      </c>
      <c r="E1653" s="3">
        <v>4598325</v>
      </c>
      <c r="F1653" s="1">
        <v>2014.1590013140601</v>
      </c>
      <c r="G1653" s="1">
        <v>5</v>
      </c>
      <c r="H1653" s="1">
        <v>2</v>
      </c>
      <c r="I1653" s="1">
        <v>3</v>
      </c>
      <c r="J1653" s="1">
        <v>2.5</v>
      </c>
      <c r="K1653" s="1">
        <v>2</v>
      </c>
      <c r="L1653" s="1">
        <v>1</v>
      </c>
      <c r="M1653" s="4">
        <v>2283</v>
      </c>
      <c r="N1653" s="1">
        <v>2827</v>
      </c>
      <c r="O1653" s="1">
        <v>5234</v>
      </c>
      <c r="P1653" s="1">
        <v>2407</v>
      </c>
      <c r="Q1653" s="1" t="s">
        <v>42</v>
      </c>
      <c r="S1653" s="1" t="s">
        <v>42</v>
      </c>
      <c r="T1653" s="1" t="s">
        <v>273</v>
      </c>
      <c r="U1653" s="1">
        <v>343</v>
      </c>
      <c r="V1653" s="5">
        <v>44334</v>
      </c>
      <c r="W1653" s="5">
        <v>43400</v>
      </c>
      <c r="X1653" s="1">
        <v>5600000</v>
      </c>
      <c r="Y1653" s="1">
        <v>5600000</v>
      </c>
      <c r="Z1653" s="5">
        <v>43743</v>
      </c>
      <c r="AA1653" s="1">
        <v>4598325</v>
      </c>
      <c r="AB1653" s="1" t="s">
        <v>862</v>
      </c>
      <c r="AC1653" s="5">
        <v>43888</v>
      </c>
      <c r="AF1653" s="1">
        <v>10011</v>
      </c>
      <c r="AI1653" s="1" t="s">
        <v>118</v>
      </c>
      <c r="AJ1653" s="1">
        <v>2017</v>
      </c>
      <c r="AK1653" s="1" t="s">
        <v>46</v>
      </c>
      <c r="AL1653" s="1">
        <v>14</v>
      </c>
    </row>
    <row r="1654" spans="1:38" x14ac:dyDescent="0.2">
      <c r="A1654" s="2" t="str">
        <f>HYPERLINK("https://www.compass.com/listing/514-west-24th-street-unit-3e-manhattan-ny-10011/173181825970157665/","514 W 24th St, Unit 3E")</f>
        <v>514 W 24th St, Unit 3E</v>
      </c>
      <c r="B1654" s="2" t="str">
        <f t="shared" si="250"/>
        <v>The Fitzroy</v>
      </c>
      <c r="C1654" s="1" t="s">
        <v>62</v>
      </c>
      <c r="D1654" s="1" t="s">
        <v>41</v>
      </c>
      <c r="E1654" s="3">
        <v>4400000</v>
      </c>
      <c r="F1654" s="1">
        <v>1927.2886552781399</v>
      </c>
      <c r="G1654" s="1">
        <v>5</v>
      </c>
      <c r="H1654" s="1">
        <v>2</v>
      </c>
      <c r="I1654" s="1">
        <v>3</v>
      </c>
      <c r="J1654" s="1">
        <v>2.5</v>
      </c>
      <c r="K1654" s="1">
        <v>2</v>
      </c>
      <c r="L1654" s="1">
        <v>1</v>
      </c>
      <c r="M1654" s="4">
        <v>2283</v>
      </c>
      <c r="N1654" s="1">
        <v>2812</v>
      </c>
      <c r="O1654" s="1">
        <v>5207</v>
      </c>
      <c r="P1654" s="1">
        <v>2395</v>
      </c>
      <c r="Q1654" s="1" t="s">
        <v>42</v>
      </c>
      <c r="S1654" s="1" t="s">
        <v>42</v>
      </c>
      <c r="T1654" s="1" t="s">
        <v>273</v>
      </c>
      <c r="U1654" s="1">
        <v>251</v>
      </c>
      <c r="V1654" s="5">
        <v>44334</v>
      </c>
      <c r="W1654" s="5">
        <v>43491</v>
      </c>
      <c r="X1654" s="1">
        <v>4950000</v>
      </c>
      <c r="Y1654" s="1">
        <v>4950000</v>
      </c>
      <c r="Z1654" s="5">
        <v>43743</v>
      </c>
      <c r="AA1654" s="1">
        <v>4400000</v>
      </c>
      <c r="AB1654" s="1" t="s">
        <v>863</v>
      </c>
      <c r="AC1654" s="5">
        <v>43887</v>
      </c>
      <c r="AF1654" s="1">
        <v>10011</v>
      </c>
      <c r="AI1654" s="1" t="s">
        <v>118</v>
      </c>
      <c r="AJ1654" s="1">
        <v>2017</v>
      </c>
      <c r="AK1654" s="1" t="s">
        <v>46</v>
      </c>
      <c r="AL1654" s="1">
        <v>14</v>
      </c>
    </row>
    <row r="1655" spans="1:38" x14ac:dyDescent="0.2">
      <c r="A1655" s="2" t="str">
        <f>HYPERLINK("https://www.compass.com/listing/514-west-24th-street-unit-5e-manhattan-ny-10011/355709526222668529/","514 W 24th St, Unit 5E")</f>
        <v>514 W 24th St, Unit 5E</v>
      </c>
      <c r="B1655" s="2" t="str">
        <f t="shared" si="250"/>
        <v>The Fitzroy</v>
      </c>
      <c r="C1655" s="1" t="s">
        <v>62</v>
      </c>
      <c r="D1655" s="1" t="s">
        <v>41</v>
      </c>
      <c r="E1655" s="3">
        <v>4726753</v>
      </c>
      <c r="F1655" s="1">
        <v>2075.86874396135</v>
      </c>
      <c r="G1655" s="1">
        <v>4.5</v>
      </c>
      <c r="H1655" s="1">
        <v>2</v>
      </c>
      <c r="I1655" s="1">
        <v>3</v>
      </c>
      <c r="J1655" s="1">
        <v>2.5</v>
      </c>
      <c r="K1655" s="1">
        <v>2</v>
      </c>
      <c r="L1655" s="1">
        <v>1</v>
      </c>
      <c r="M1655" s="4">
        <v>2277</v>
      </c>
      <c r="N1655" s="1">
        <v>3022</v>
      </c>
      <c r="O1655" s="1">
        <v>5775</v>
      </c>
      <c r="P1655" s="1">
        <v>2753</v>
      </c>
      <c r="Q1655" s="1" t="s">
        <v>42</v>
      </c>
      <c r="S1655" s="1" t="s">
        <v>42</v>
      </c>
      <c r="T1655" s="1" t="s">
        <v>273</v>
      </c>
      <c r="V1655" s="5">
        <v>44334</v>
      </c>
      <c r="W1655" s="5">
        <v>43743</v>
      </c>
      <c r="X1655" s="1">
        <v>5750000</v>
      </c>
      <c r="Y1655" s="1">
        <v>5750000</v>
      </c>
      <c r="Z1655" s="5">
        <v>43743</v>
      </c>
      <c r="AA1655" s="1">
        <v>4726753.13</v>
      </c>
      <c r="AB1655" s="1" t="s">
        <v>864</v>
      </c>
      <c r="AC1655" s="5">
        <v>43906</v>
      </c>
      <c r="AF1655" s="1">
        <v>10011</v>
      </c>
      <c r="AI1655" s="1" t="s">
        <v>118</v>
      </c>
      <c r="AJ1655" s="1">
        <v>2017</v>
      </c>
      <c r="AK1655" s="1" t="s">
        <v>46</v>
      </c>
      <c r="AL1655" s="1">
        <v>14</v>
      </c>
    </row>
    <row r="1656" spans="1:38" x14ac:dyDescent="0.2">
      <c r="A1656" s="2" t="str">
        <f>HYPERLINK("https://www.compass.com/listing/121-east-22nd-street-unit-n1504-manhattan-ny-10010/34697365285798801/","121 E 22nd St, Unit N1504")</f>
        <v>121 E 22nd St, Unit N1504</v>
      </c>
      <c r="B1656" s="2" t="str">
        <f t="shared" ref="B1656:B1660" si="251">HYPERLINK("https://www.compass.com/building/121-e-22nd-manhattan-ny/292795784653461493/","121 E 22nd")</f>
        <v>121 E 22nd</v>
      </c>
      <c r="C1656" s="1" t="s">
        <v>64</v>
      </c>
      <c r="D1656" s="1" t="s">
        <v>41</v>
      </c>
      <c r="E1656" s="3">
        <v>2428526</v>
      </c>
      <c r="F1656" s="1">
        <v>2152.9488031914798</v>
      </c>
      <c r="G1656" s="1">
        <v>3</v>
      </c>
      <c r="H1656" s="1">
        <v>1</v>
      </c>
      <c r="I1656" s="1">
        <v>2</v>
      </c>
      <c r="J1656" s="1">
        <v>1.5</v>
      </c>
      <c r="K1656" s="1">
        <v>1</v>
      </c>
      <c r="L1656" s="1">
        <v>1</v>
      </c>
      <c r="M1656" s="4">
        <v>1128</v>
      </c>
      <c r="N1656" s="1">
        <v>1263</v>
      </c>
      <c r="O1656" s="1">
        <v>3504</v>
      </c>
      <c r="P1656" s="1">
        <v>2241</v>
      </c>
      <c r="Q1656" s="1" t="s">
        <v>42</v>
      </c>
      <c r="S1656" s="1" t="s">
        <v>42</v>
      </c>
      <c r="T1656" s="1" t="s">
        <v>273</v>
      </c>
      <c r="U1656" s="1">
        <v>539</v>
      </c>
      <c r="V1656" s="5">
        <v>44373</v>
      </c>
      <c r="W1656" s="5">
        <v>42760</v>
      </c>
      <c r="X1656" s="1">
        <v>2385000</v>
      </c>
      <c r="Y1656" s="1">
        <v>2385000</v>
      </c>
      <c r="Z1656" s="5">
        <v>43300</v>
      </c>
      <c r="AA1656" s="1">
        <v>2428526.25</v>
      </c>
      <c r="AB1656" s="1" t="s">
        <v>865</v>
      </c>
      <c r="AC1656" s="5">
        <v>43605</v>
      </c>
      <c r="AF1656" s="1">
        <v>10010</v>
      </c>
      <c r="AI1656" s="1" t="s">
        <v>106</v>
      </c>
      <c r="AJ1656" s="1">
        <v>2016</v>
      </c>
      <c r="AK1656" s="1" t="s">
        <v>46</v>
      </c>
      <c r="AL1656" s="1">
        <v>140</v>
      </c>
    </row>
    <row r="1657" spans="1:38" x14ac:dyDescent="0.2">
      <c r="A1657" s="2" t="str">
        <f>HYPERLINK("https://www.compass.com/listing/121-east-22nd-street-unit-n1601-manhattan-ny-10010/34698236031789777/","121 E 22nd St, Unit N1601")</f>
        <v>121 E 22nd St, Unit N1601</v>
      </c>
      <c r="B1657" s="2" t="str">
        <f t="shared" si="251"/>
        <v>121 E 22nd</v>
      </c>
      <c r="C1657" s="1" t="s">
        <v>64</v>
      </c>
      <c r="D1657" s="1" t="s">
        <v>41</v>
      </c>
      <c r="E1657" s="3">
        <v>2189237</v>
      </c>
      <c r="F1657" s="1">
        <v>2346.4490889603399</v>
      </c>
      <c r="G1657" s="1">
        <v>3</v>
      </c>
      <c r="H1657" s="1">
        <v>1</v>
      </c>
      <c r="I1657" s="1">
        <v>2</v>
      </c>
      <c r="J1657" s="1">
        <v>1.5</v>
      </c>
      <c r="K1657" s="1">
        <v>1</v>
      </c>
      <c r="L1657" s="1">
        <v>1</v>
      </c>
      <c r="M1657" s="1">
        <v>933</v>
      </c>
      <c r="N1657" s="1">
        <v>1125</v>
      </c>
      <c r="O1657" s="1">
        <v>3132</v>
      </c>
      <c r="P1657" s="1">
        <v>2007</v>
      </c>
      <c r="Q1657" s="1" t="s">
        <v>42</v>
      </c>
      <c r="S1657" s="1" t="s">
        <v>42</v>
      </c>
      <c r="T1657" s="1" t="s">
        <v>273</v>
      </c>
      <c r="V1657" s="5">
        <v>44373</v>
      </c>
      <c r="W1657" s="5">
        <v>43315</v>
      </c>
      <c r="X1657" s="1">
        <v>2150000</v>
      </c>
      <c r="Y1657" s="1">
        <v>2150000</v>
      </c>
      <c r="Z1657" s="5">
        <v>43315</v>
      </c>
      <c r="AA1657" s="1">
        <v>2189237</v>
      </c>
      <c r="AB1657" s="1" t="s">
        <v>275</v>
      </c>
      <c r="AC1657" s="5">
        <v>43685</v>
      </c>
      <c r="AF1657" s="1">
        <v>10010</v>
      </c>
      <c r="AI1657" s="1" t="s">
        <v>106</v>
      </c>
      <c r="AJ1657" s="1">
        <v>2016</v>
      </c>
      <c r="AK1657" s="1" t="s">
        <v>46</v>
      </c>
      <c r="AL1657" s="1">
        <v>140</v>
      </c>
    </row>
    <row r="1658" spans="1:38" x14ac:dyDescent="0.2">
      <c r="A1658" s="2" t="str">
        <f>HYPERLINK("https://www.compass.com/listing/121-east-22nd-street-unit-n1405-manhattan-ny-10010/34698284501087297/","121 E 22nd St, Unit N1405")</f>
        <v>121 E 22nd St, Unit N1405</v>
      </c>
      <c r="B1658" s="2" t="str">
        <f t="shared" si="251"/>
        <v>121 E 22nd</v>
      </c>
      <c r="C1658" s="1" t="s">
        <v>64</v>
      </c>
      <c r="D1658" s="1" t="s">
        <v>41</v>
      </c>
      <c r="E1658" s="3">
        <v>2360000</v>
      </c>
      <c r="F1658" s="1">
        <v>2101.5138023152199</v>
      </c>
      <c r="G1658" s="1">
        <v>3</v>
      </c>
      <c r="H1658" s="1">
        <v>1</v>
      </c>
      <c r="I1658" s="1">
        <v>2</v>
      </c>
      <c r="J1658" s="1">
        <v>1.5</v>
      </c>
      <c r="K1658" s="1">
        <v>1</v>
      </c>
      <c r="L1658" s="1">
        <v>1</v>
      </c>
      <c r="M1658" s="4">
        <v>1123</v>
      </c>
      <c r="N1658" s="1">
        <v>1241</v>
      </c>
      <c r="O1658" s="1">
        <v>3441</v>
      </c>
      <c r="P1658" s="1">
        <v>2200</v>
      </c>
      <c r="Q1658" s="1" t="s">
        <v>42</v>
      </c>
      <c r="S1658" s="1" t="s">
        <v>42</v>
      </c>
      <c r="T1658" s="1" t="s">
        <v>273</v>
      </c>
      <c r="V1658" s="5">
        <v>44373</v>
      </c>
      <c r="W1658" s="5">
        <v>43315</v>
      </c>
      <c r="X1658" s="1">
        <v>2360000</v>
      </c>
      <c r="Y1658" s="1">
        <v>2360000</v>
      </c>
      <c r="Z1658" s="5">
        <v>43315</v>
      </c>
      <c r="AA1658" s="1">
        <v>2360000</v>
      </c>
      <c r="AB1658" s="1" t="s">
        <v>275</v>
      </c>
      <c r="AC1658" s="5">
        <v>43628</v>
      </c>
      <c r="AF1658" s="1">
        <v>10010</v>
      </c>
      <c r="AI1658" s="1" t="s">
        <v>106</v>
      </c>
      <c r="AJ1658" s="1">
        <v>2016</v>
      </c>
      <c r="AK1658" s="1" t="s">
        <v>46</v>
      </c>
      <c r="AL1658" s="1">
        <v>140</v>
      </c>
    </row>
    <row r="1659" spans="1:38" x14ac:dyDescent="0.2">
      <c r="A1659" s="2" t="str">
        <f>HYPERLINK("https://www.compass.com/listing/121-east-22nd-street-unit-n1303-manhattan-ny-10010/34698324900635937/","121 E 22nd St, Unit N1303")</f>
        <v>121 E 22nd St, Unit N1303</v>
      </c>
      <c r="B1659" s="2" t="str">
        <f t="shared" si="251"/>
        <v>121 E 22nd</v>
      </c>
      <c r="C1659" s="1" t="s">
        <v>64</v>
      </c>
      <c r="D1659" s="1" t="s">
        <v>41</v>
      </c>
      <c r="E1659" s="3">
        <v>2367431</v>
      </c>
      <c r="F1659" s="1">
        <v>2369.8008008008001</v>
      </c>
      <c r="G1659" s="1">
        <v>3</v>
      </c>
      <c r="H1659" s="1">
        <v>1</v>
      </c>
      <c r="I1659" s="1">
        <v>2</v>
      </c>
      <c r="J1659" s="1">
        <v>1.5</v>
      </c>
      <c r="K1659" s="1">
        <v>1</v>
      </c>
      <c r="L1659" s="1">
        <v>1</v>
      </c>
      <c r="M1659" s="1">
        <v>999</v>
      </c>
      <c r="N1659" s="1">
        <v>1388</v>
      </c>
      <c r="O1659" s="1">
        <v>3886</v>
      </c>
      <c r="P1659" s="1">
        <v>2498</v>
      </c>
      <c r="Q1659" s="1" t="s">
        <v>42</v>
      </c>
      <c r="S1659" s="1" t="s">
        <v>42</v>
      </c>
      <c r="T1659" s="1" t="s">
        <v>273</v>
      </c>
      <c r="U1659" s="1">
        <v>341</v>
      </c>
      <c r="V1659" s="5">
        <v>44373</v>
      </c>
      <c r="W1659" s="5">
        <v>42958</v>
      </c>
      <c r="X1659" s="1">
        <v>2325000</v>
      </c>
      <c r="Y1659" s="1">
        <v>2325000</v>
      </c>
      <c r="Z1659" s="5">
        <v>43300</v>
      </c>
      <c r="AA1659" s="1">
        <v>2367431</v>
      </c>
      <c r="AB1659" s="1" t="s">
        <v>275</v>
      </c>
      <c r="AC1659" s="5">
        <v>43601</v>
      </c>
      <c r="AF1659" s="1">
        <v>10010</v>
      </c>
      <c r="AI1659" s="1" t="s">
        <v>106</v>
      </c>
      <c r="AJ1659" s="1">
        <v>2016</v>
      </c>
      <c r="AK1659" s="1" t="s">
        <v>46</v>
      </c>
      <c r="AL1659" s="1">
        <v>140</v>
      </c>
    </row>
    <row r="1660" spans="1:38" x14ac:dyDescent="0.2">
      <c r="A1660" s="2" t="str">
        <f>HYPERLINK("https://www.compass.com/listing/121-east-22nd-street-unit-n1301-manhattan-ny-10010/803424485730596345/","121 E 22nd St, Unit N1301")</f>
        <v>121 E 22nd St, Unit N1301</v>
      </c>
      <c r="B1660" s="2" t="str">
        <f t="shared" si="251"/>
        <v>121 E 22nd</v>
      </c>
      <c r="C1660" s="1" t="s">
        <v>64</v>
      </c>
      <c r="D1660" s="1" t="s">
        <v>41</v>
      </c>
      <c r="E1660" s="3">
        <v>2294320</v>
      </c>
      <c r="F1660" s="1">
        <v>2459.0782422293601</v>
      </c>
      <c r="G1660" s="1">
        <v>3</v>
      </c>
      <c r="H1660" s="1">
        <v>1</v>
      </c>
      <c r="I1660" s="1">
        <v>2</v>
      </c>
      <c r="J1660" s="1">
        <v>1.5</v>
      </c>
      <c r="K1660" s="1">
        <v>1</v>
      </c>
      <c r="L1660" s="1">
        <v>1</v>
      </c>
      <c r="M1660" s="1">
        <v>933</v>
      </c>
      <c r="N1660" s="1">
        <v>1315</v>
      </c>
      <c r="O1660" s="1">
        <v>3689</v>
      </c>
      <c r="P1660" s="1">
        <v>2374</v>
      </c>
      <c r="Q1660" s="1" t="s">
        <v>42</v>
      </c>
      <c r="S1660" s="1" t="s">
        <v>42</v>
      </c>
      <c r="T1660" s="1" t="s">
        <v>273</v>
      </c>
      <c r="U1660" s="1">
        <v>342</v>
      </c>
      <c r="V1660" s="5">
        <v>44373</v>
      </c>
      <c r="W1660" s="5">
        <v>42957</v>
      </c>
      <c r="X1660" s="1">
        <v>2250000</v>
      </c>
      <c r="Y1660" s="1">
        <v>2250000</v>
      </c>
      <c r="Z1660" s="5">
        <v>43300</v>
      </c>
      <c r="AA1660" s="1">
        <v>2294320</v>
      </c>
      <c r="AB1660" s="1" t="s">
        <v>275</v>
      </c>
      <c r="AC1660" s="5">
        <v>43819</v>
      </c>
      <c r="AF1660" s="1">
        <v>10010</v>
      </c>
      <c r="AI1660" s="1" t="s">
        <v>106</v>
      </c>
      <c r="AJ1660" s="1">
        <v>2016</v>
      </c>
      <c r="AK1660" s="1" t="s">
        <v>46</v>
      </c>
      <c r="AL1660" s="1">
        <v>140</v>
      </c>
    </row>
    <row r="1661" spans="1:38" x14ac:dyDescent="0.2">
      <c r="A1661" s="2" t="str">
        <f>HYPERLINK("https://www.compass.com/listing/559-west-23rd-street-manhattan-ny-10011/4852308265494654241/","559 W 23rd St")</f>
        <v>559 W 23rd St</v>
      </c>
      <c r="B1661" s="2" t="str">
        <f t="shared" ref="B1661:B1662" si="252">HYPERLINK("https://www.compass.com/building/chelsea-waterside-residences-manhattan-ny/281911750683552581/","Chelsea Waterside Residences")</f>
        <v>Chelsea Waterside Residences</v>
      </c>
      <c r="C1661" s="1" t="s">
        <v>62</v>
      </c>
      <c r="D1661" s="1" t="s">
        <v>41</v>
      </c>
      <c r="E1661" s="3">
        <v>4582125</v>
      </c>
      <c r="F1661" s="1">
        <v>1636.4732142857099</v>
      </c>
      <c r="G1661" s="1">
        <v>8</v>
      </c>
      <c r="H1661" s="1">
        <v>4</v>
      </c>
      <c r="I1661" s="1">
        <v>4</v>
      </c>
      <c r="J1661" s="1">
        <v>4</v>
      </c>
      <c r="K1661" s="1">
        <v>4</v>
      </c>
      <c r="M1661" s="4">
        <v>2800</v>
      </c>
      <c r="N1661" s="1">
        <v>2158</v>
      </c>
      <c r="O1661" s="1">
        <v>6164</v>
      </c>
      <c r="P1661" s="1">
        <v>4006</v>
      </c>
      <c r="Q1661" s="1" t="s">
        <v>42</v>
      </c>
      <c r="S1661" s="1" t="s">
        <v>42</v>
      </c>
      <c r="T1661" s="1" t="s">
        <v>273</v>
      </c>
      <c r="U1661" s="1">
        <v>350</v>
      </c>
      <c r="V1661" s="5">
        <v>42843</v>
      </c>
      <c r="W1661" s="5">
        <v>42446</v>
      </c>
      <c r="X1661" s="1">
        <v>5000000</v>
      </c>
      <c r="Y1661" s="1">
        <v>4850000</v>
      </c>
      <c r="Z1661" s="5">
        <v>42796</v>
      </c>
      <c r="AA1661" s="1">
        <v>4582125</v>
      </c>
      <c r="AB1661" s="1" t="s">
        <v>275</v>
      </c>
      <c r="AC1661" s="5">
        <v>42832</v>
      </c>
      <c r="AF1661" s="1">
        <v>10011</v>
      </c>
      <c r="AI1661" s="1" t="s">
        <v>767</v>
      </c>
      <c r="AJ1661" s="1">
        <v>2015</v>
      </c>
      <c r="AK1661" s="1" t="s">
        <v>143</v>
      </c>
      <c r="AL1661" s="1">
        <v>8</v>
      </c>
    </row>
    <row r="1662" spans="1:38" x14ac:dyDescent="0.2">
      <c r="A1662" s="2" t="str">
        <f>HYPERLINK("https://www.compass.com/listing/559-west-23rd-street-unit-7-8-manhattan-ny-10011/70930865487652673/","559 W 23rd St, Unit 7/8")</f>
        <v>559 W 23rd St, Unit 7/8</v>
      </c>
      <c r="B1662" s="2" t="str">
        <f t="shared" si="252"/>
        <v>Chelsea Waterside Residences</v>
      </c>
      <c r="C1662" s="1" t="s">
        <v>62</v>
      </c>
      <c r="D1662" s="1" t="s">
        <v>41</v>
      </c>
      <c r="E1662" s="3">
        <v>4450000</v>
      </c>
      <c r="F1662" s="1">
        <v>1846.47302904564</v>
      </c>
      <c r="G1662" s="1">
        <v>7</v>
      </c>
      <c r="H1662" s="1">
        <v>3</v>
      </c>
      <c r="I1662" s="1">
        <v>4</v>
      </c>
      <c r="J1662" s="1">
        <v>4</v>
      </c>
      <c r="K1662" s="1">
        <v>4</v>
      </c>
      <c r="M1662" s="4">
        <v>2410</v>
      </c>
      <c r="N1662" s="1">
        <v>1851</v>
      </c>
      <c r="O1662" s="1">
        <v>5270</v>
      </c>
      <c r="P1662" s="1">
        <v>3419</v>
      </c>
      <c r="Q1662" s="1" t="s">
        <v>42</v>
      </c>
      <c r="S1662" s="1" t="s">
        <v>42</v>
      </c>
      <c r="T1662" s="1" t="s">
        <v>273</v>
      </c>
      <c r="U1662" s="1">
        <v>301</v>
      </c>
      <c r="V1662" s="5">
        <v>43229</v>
      </c>
      <c r="W1662" s="5">
        <v>42445</v>
      </c>
      <c r="X1662" s="1">
        <v>4950000</v>
      </c>
      <c r="Y1662" s="1">
        <v>4950000</v>
      </c>
      <c r="Z1662" s="5">
        <v>42746</v>
      </c>
      <c r="AA1662" s="1">
        <v>4450000</v>
      </c>
      <c r="AB1662" s="1" t="s">
        <v>860</v>
      </c>
      <c r="AC1662" s="5">
        <v>42779</v>
      </c>
      <c r="AF1662" s="1">
        <v>10011</v>
      </c>
      <c r="AI1662" s="1" t="s">
        <v>135</v>
      </c>
      <c r="AJ1662" s="1">
        <v>2015</v>
      </c>
      <c r="AK1662" s="1" t="s">
        <v>146</v>
      </c>
      <c r="AL1662" s="1">
        <v>8</v>
      </c>
    </row>
    <row r="1663" spans="1:38" x14ac:dyDescent="0.2">
      <c r="A1663" s="2" t="str">
        <f>HYPERLINK("https://www.compass.com/listing/111-murray-street-unit-28b-manhattan-ny-10007/467676135418375481/","111 Murray St, Unit 28B")</f>
        <v>111 Murray St, Unit 28B</v>
      </c>
      <c r="B1663" s="2" t="str">
        <f t="shared" ref="B1663:B1664" si="253">HYPERLINK("https://www.compass.com/building/111-murray-st-manhattan-ny-10007/281896511862746053/","111 Murray St")</f>
        <v>111 Murray St</v>
      </c>
      <c r="C1663" s="1" t="s">
        <v>50</v>
      </c>
      <c r="D1663" s="1" t="s">
        <v>41</v>
      </c>
      <c r="E1663" s="3">
        <v>3900000</v>
      </c>
      <c r="F1663" s="1">
        <v>2466.7931688804501</v>
      </c>
      <c r="G1663" s="1">
        <v>4</v>
      </c>
      <c r="H1663" s="1">
        <v>2</v>
      </c>
      <c r="J1663" s="1">
        <v>2</v>
      </c>
      <c r="M1663" s="4">
        <v>1581</v>
      </c>
      <c r="N1663" s="1">
        <v>1854</v>
      </c>
      <c r="O1663" s="1">
        <v>4369</v>
      </c>
      <c r="P1663" s="1">
        <v>2515</v>
      </c>
      <c r="Q1663" s="1" t="s">
        <v>42</v>
      </c>
      <c r="S1663" s="1" t="s">
        <v>42</v>
      </c>
      <c r="T1663" s="1" t="s">
        <v>273</v>
      </c>
      <c r="U1663" s="1">
        <v>1</v>
      </c>
      <c r="V1663" s="5">
        <v>43902</v>
      </c>
      <c r="W1663" s="5">
        <v>43897</v>
      </c>
      <c r="X1663" s="1">
        <v>4200000</v>
      </c>
      <c r="Y1663" s="1">
        <v>4200000</v>
      </c>
      <c r="AA1663" s="1">
        <v>3900000</v>
      </c>
      <c r="AB1663" s="1" t="s">
        <v>866</v>
      </c>
      <c r="AC1663" s="5">
        <v>43971</v>
      </c>
      <c r="AF1663" s="1">
        <v>10007</v>
      </c>
      <c r="AI1663" s="1" t="s">
        <v>107</v>
      </c>
      <c r="AJ1663" s="1">
        <v>2018</v>
      </c>
      <c r="AK1663" s="1" t="s">
        <v>46</v>
      </c>
      <c r="AL1663" s="1">
        <v>157</v>
      </c>
    </row>
    <row r="1664" spans="1:38" x14ac:dyDescent="0.2">
      <c r="A1664" s="2" t="str">
        <f>HYPERLINK("https://www.compass.com/listing/111-murray-street-unit-14c-manhattan-ny-10007/75473363476199473/","111 Murray St, Unit 14C")</f>
        <v>111 Murray St, Unit 14C</v>
      </c>
      <c r="B1664" s="2" t="str">
        <f t="shared" si="253"/>
        <v>111 Murray St</v>
      </c>
      <c r="C1664" s="1" t="s">
        <v>50</v>
      </c>
      <c r="D1664" s="1" t="s">
        <v>41</v>
      </c>
      <c r="E1664" s="3">
        <v>2112869</v>
      </c>
      <c r="F1664" s="1">
        <v>2548.6957177322001</v>
      </c>
      <c r="G1664" s="1">
        <v>3</v>
      </c>
      <c r="H1664" s="1">
        <v>1</v>
      </c>
      <c r="I1664" s="1">
        <v>1</v>
      </c>
      <c r="J1664" s="1">
        <v>1</v>
      </c>
      <c r="K1664" s="1">
        <v>1</v>
      </c>
      <c r="M1664" s="1">
        <v>829</v>
      </c>
      <c r="N1664" s="1">
        <v>959</v>
      </c>
      <c r="O1664" s="1">
        <v>2260</v>
      </c>
      <c r="P1664" s="1">
        <v>1301</v>
      </c>
      <c r="Q1664" s="1" t="s">
        <v>42</v>
      </c>
      <c r="S1664" s="1" t="s">
        <v>42</v>
      </c>
      <c r="T1664" s="1" t="s">
        <v>273</v>
      </c>
      <c r="U1664" s="1">
        <v>233</v>
      </c>
      <c r="V1664" s="5">
        <v>44406</v>
      </c>
      <c r="W1664" s="5">
        <v>43355</v>
      </c>
      <c r="X1664" s="1">
        <v>2500000</v>
      </c>
      <c r="Y1664" s="1">
        <v>2500000</v>
      </c>
      <c r="AA1664" s="1">
        <v>2112868.75</v>
      </c>
      <c r="AB1664" s="1" t="s">
        <v>867</v>
      </c>
      <c r="AC1664" s="5">
        <v>43627</v>
      </c>
      <c r="AF1664" s="1">
        <v>10007</v>
      </c>
      <c r="AI1664" s="1" t="s">
        <v>235</v>
      </c>
      <c r="AJ1664" s="1">
        <v>2018</v>
      </c>
      <c r="AK1664" s="1" t="s">
        <v>49</v>
      </c>
      <c r="AL1664" s="1">
        <v>157</v>
      </c>
    </row>
    <row r="1665" spans="1:38" x14ac:dyDescent="0.2">
      <c r="A1665" s="2" t="str">
        <f>HYPERLINK("https://www.compass.com/listing/121-east-22nd-street-unit-n1208-manhattan-ny-10010/613810832478180745/","121 E 22nd St, Unit N1208")</f>
        <v>121 E 22nd St, Unit N1208</v>
      </c>
      <c r="B1665" s="2" t="str">
        <f t="shared" ref="B1665:B1670" si="254">HYPERLINK("https://www.compass.com/building/121-e-22nd-manhattan-ny/292795784653461493/","121 E 22nd")</f>
        <v>121 E 22nd</v>
      </c>
      <c r="C1665" s="1" t="s">
        <v>64</v>
      </c>
      <c r="D1665" s="1" t="s">
        <v>41</v>
      </c>
      <c r="E1665" s="3">
        <v>2907000</v>
      </c>
      <c r="F1665" s="1">
        <v>2073.4664764621898</v>
      </c>
      <c r="G1665" s="1">
        <v>3</v>
      </c>
      <c r="H1665" s="1">
        <v>2</v>
      </c>
      <c r="I1665" s="1">
        <v>2</v>
      </c>
      <c r="J1665" s="1">
        <v>2</v>
      </c>
      <c r="K1665" s="1">
        <v>2</v>
      </c>
      <c r="M1665" s="4">
        <v>1402</v>
      </c>
      <c r="N1665" s="1">
        <v>1582</v>
      </c>
      <c r="O1665" s="1">
        <v>4809</v>
      </c>
      <c r="P1665" s="1">
        <v>3227</v>
      </c>
      <c r="Q1665" s="1" t="s">
        <v>42</v>
      </c>
      <c r="S1665" s="1" t="s">
        <v>42</v>
      </c>
      <c r="T1665" s="1" t="s">
        <v>273</v>
      </c>
      <c r="V1665" s="5">
        <v>44099</v>
      </c>
      <c r="W1665" s="5">
        <v>44099</v>
      </c>
      <c r="X1665" s="1">
        <v>3160000</v>
      </c>
      <c r="Y1665" s="1">
        <v>3160000</v>
      </c>
      <c r="AA1665" s="1">
        <v>2907000</v>
      </c>
      <c r="AB1665" s="1" t="s">
        <v>275</v>
      </c>
      <c r="AC1665" s="5">
        <v>44099</v>
      </c>
      <c r="AF1665" s="1">
        <v>10010</v>
      </c>
      <c r="AI1665" s="1" t="s">
        <v>534</v>
      </c>
      <c r="AJ1665" s="1">
        <v>2016</v>
      </c>
      <c r="AK1665" s="1" t="s">
        <v>46</v>
      </c>
      <c r="AL1665" s="1">
        <v>140</v>
      </c>
    </row>
    <row r="1666" spans="1:38" x14ac:dyDescent="0.2">
      <c r="A1666" s="2" t="str">
        <f>HYPERLINK("https://www.compass.com/listing/121-east-22nd-street-unit-n608-manhattan-ny-10010/246365070672558385/","121 E 22nd St, Unit N608")</f>
        <v>121 E 22nd St, Unit N608</v>
      </c>
      <c r="B1666" s="2" t="str">
        <f t="shared" si="254"/>
        <v>121 E 22nd</v>
      </c>
      <c r="C1666" s="1" t="s">
        <v>64</v>
      </c>
      <c r="D1666" s="1" t="s">
        <v>41</v>
      </c>
      <c r="E1666" s="3">
        <v>2790005</v>
      </c>
      <c r="F1666" s="1">
        <v>1990.0178316690401</v>
      </c>
      <c r="G1666" s="1">
        <v>3</v>
      </c>
      <c r="H1666" s="1">
        <v>2</v>
      </c>
      <c r="I1666" s="1">
        <v>2</v>
      </c>
      <c r="J1666" s="1">
        <v>2</v>
      </c>
      <c r="K1666" s="1">
        <v>2</v>
      </c>
      <c r="M1666" s="4">
        <v>1402</v>
      </c>
      <c r="N1666" s="1">
        <v>1528</v>
      </c>
      <c r="O1666" s="1">
        <v>4245</v>
      </c>
      <c r="P1666" s="1">
        <v>2717</v>
      </c>
      <c r="Q1666" s="1" t="s">
        <v>42</v>
      </c>
      <c r="S1666" s="1" t="s">
        <v>42</v>
      </c>
      <c r="T1666" s="1" t="s">
        <v>273</v>
      </c>
      <c r="U1666" s="1">
        <v>29</v>
      </c>
      <c r="V1666" s="5">
        <v>44057</v>
      </c>
      <c r="W1666" s="5">
        <v>43592</v>
      </c>
      <c r="X1666" s="1">
        <v>2740000</v>
      </c>
      <c r="Y1666" s="1">
        <v>2740000</v>
      </c>
      <c r="Z1666" s="5">
        <v>43621</v>
      </c>
      <c r="AA1666" s="1">
        <v>2790005</v>
      </c>
      <c r="AB1666" s="1" t="s">
        <v>868</v>
      </c>
      <c r="AC1666" s="5">
        <v>43644</v>
      </c>
      <c r="AF1666" s="1">
        <v>10010</v>
      </c>
      <c r="AI1666" s="1" t="s">
        <v>149</v>
      </c>
      <c r="AJ1666" s="1">
        <v>2016</v>
      </c>
      <c r="AK1666" s="1" t="s">
        <v>46</v>
      </c>
      <c r="AL1666" s="1">
        <v>140</v>
      </c>
    </row>
    <row r="1667" spans="1:38" x14ac:dyDescent="0.2">
      <c r="A1667" s="2" t="str">
        <f>HYPERLINK("https://www.compass.com/listing/121-east-22nd-street-unit-n509-manhattan-ny-10010/267317942486628129/","121 E 22nd St, Unit N509")</f>
        <v>121 E 22nd St, Unit N509</v>
      </c>
      <c r="B1667" s="2" t="str">
        <f t="shared" si="254"/>
        <v>121 E 22nd</v>
      </c>
      <c r="C1667" s="1" t="s">
        <v>64</v>
      </c>
      <c r="D1667" s="1" t="s">
        <v>41</v>
      </c>
      <c r="E1667" s="3">
        <v>2721986</v>
      </c>
      <c r="F1667" s="1">
        <v>1941.50213980028</v>
      </c>
      <c r="G1667" s="1">
        <v>4</v>
      </c>
      <c r="H1667" s="1">
        <v>2</v>
      </c>
      <c r="I1667" s="1">
        <v>2</v>
      </c>
      <c r="J1667" s="1">
        <v>2</v>
      </c>
      <c r="K1667" s="1">
        <v>2</v>
      </c>
      <c r="M1667" s="4">
        <v>1402</v>
      </c>
      <c r="N1667" s="1">
        <v>1510</v>
      </c>
      <c r="O1667" s="1">
        <v>4192</v>
      </c>
      <c r="P1667" s="1">
        <v>2682</v>
      </c>
      <c r="Q1667" s="1" t="s">
        <v>42</v>
      </c>
      <c r="S1667" s="1" t="s">
        <v>42</v>
      </c>
      <c r="T1667" s="1" t="s">
        <v>273</v>
      </c>
      <c r="U1667" s="1">
        <v>55</v>
      </c>
      <c r="V1667" s="5">
        <v>44334</v>
      </c>
      <c r="W1667" s="5">
        <v>43621</v>
      </c>
      <c r="X1667" s="1">
        <v>2670000</v>
      </c>
      <c r="Y1667" s="1">
        <v>2670000</v>
      </c>
      <c r="Z1667" s="5">
        <v>43676</v>
      </c>
      <c r="AA1667" s="1">
        <v>2721986</v>
      </c>
      <c r="AB1667" s="1" t="s">
        <v>869</v>
      </c>
      <c r="AC1667" s="5">
        <v>43712</v>
      </c>
      <c r="AF1667" s="1">
        <v>10010</v>
      </c>
      <c r="AI1667" s="1" t="s">
        <v>148</v>
      </c>
      <c r="AJ1667" s="1">
        <v>2016</v>
      </c>
      <c r="AK1667" s="1" t="s">
        <v>46</v>
      </c>
      <c r="AL1667" s="1">
        <v>140</v>
      </c>
    </row>
    <row r="1668" spans="1:38" x14ac:dyDescent="0.2">
      <c r="A1668" s="2" t="str">
        <f>HYPERLINK("https://www.compass.com/listing/121-east-22nd-street-unit-n708-manhattan-ny-10010/307182613101743553/","121 E 22nd St, Unit N708")</f>
        <v>121 E 22nd St, Unit N708</v>
      </c>
      <c r="B1668" s="2" t="str">
        <f t="shared" si="254"/>
        <v>121 E 22nd</v>
      </c>
      <c r="C1668" s="1" t="s">
        <v>64</v>
      </c>
      <c r="D1668" s="1" t="s">
        <v>41</v>
      </c>
      <c r="E1668" s="3">
        <v>2790000</v>
      </c>
      <c r="F1668" s="1">
        <v>1990.01426533523</v>
      </c>
      <c r="G1668" s="1">
        <v>4</v>
      </c>
      <c r="H1668" s="1">
        <v>2</v>
      </c>
      <c r="I1668" s="1">
        <v>2</v>
      </c>
      <c r="J1668" s="1">
        <v>2</v>
      </c>
      <c r="K1668" s="1">
        <v>2</v>
      </c>
      <c r="M1668" s="4">
        <v>1402</v>
      </c>
      <c r="N1668" s="1">
        <v>1567</v>
      </c>
      <c r="O1668" s="1">
        <v>4761</v>
      </c>
      <c r="P1668" s="1">
        <v>3194</v>
      </c>
      <c r="Q1668" s="1" t="s">
        <v>42</v>
      </c>
      <c r="S1668" s="1" t="s">
        <v>42</v>
      </c>
      <c r="T1668" s="1" t="s">
        <v>273</v>
      </c>
      <c r="U1668" s="1">
        <v>136</v>
      </c>
      <c r="V1668" s="5">
        <v>44057</v>
      </c>
      <c r="W1668" s="5">
        <v>43676</v>
      </c>
      <c r="X1668" s="1">
        <v>2790000</v>
      </c>
      <c r="Y1668" s="1">
        <v>2790000</v>
      </c>
      <c r="Z1668" s="5">
        <v>43812</v>
      </c>
      <c r="AA1668" s="1">
        <v>2790000</v>
      </c>
      <c r="AB1668" s="1" t="s">
        <v>870</v>
      </c>
      <c r="AC1668" s="5">
        <v>43873</v>
      </c>
      <c r="AF1668" s="1">
        <v>10010</v>
      </c>
      <c r="AI1668" s="1" t="s">
        <v>109</v>
      </c>
      <c r="AJ1668" s="1">
        <v>2016</v>
      </c>
      <c r="AK1668" s="1" t="s">
        <v>46</v>
      </c>
      <c r="AL1668" s="1">
        <v>140</v>
      </c>
    </row>
    <row r="1669" spans="1:38" x14ac:dyDescent="0.2">
      <c r="A1669" s="2" t="str">
        <f>HYPERLINK("https://www.compass.com/listing/121-east-22nd-street-unit-n705-manhattan-ny-10010/34698286631764449/","121 E 22nd St, Unit N705")</f>
        <v>121 E 22nd St, Unit N705</v>
      </c>
      <c r="B1669" s="2" t="str">
        <f t="shared" si="254"/>
        <v>121 E 22nd</v>
      </c>
      <c r="C1669" s="1" t="s">
        <v>64</v>
      </c>
      <c r="D1669" s="1" t="s">
        <v>41</v>
      </c>
      <c r="E1669" s="3">
        <v>1700478</v>
      </c>
      <c r="F1669" s="1">
        <v>2157.9663705583698</v>
      </c>
      <c r="G1669" s="1">
        <v>3</v>
      </c>
      <c r="H1669" s="1">
        <v>1</v>
      </c>
      <c r="I1669" s="1">
        <v>1</v>
      </c>
      <c r="J1669" s="1">
        <v>1</v>
      </c>
      <c r="K1669" s="1">
        <v>1</v>
      </c>
      <c r="M1669" s="1">
        <v>788</v>
      </c>
      <c r="N1669" s="1">
        <v>841</v>
      </c>
      <c r="O1669" s="1">
        <v>2338</v>
      </c>
      <c r="P1669" s="1">
        <v>1497</v>
      </c>
      <c r="Q1669" s="1" t="s">
        <v>42</v>
      </c>
      <c r="S1669" s="1" t="s">
        <v>42</v>
      </c>
      <c r="T1669" s="1" t="s">
        <v>273</v>
      </c>
      <c r="V1669" s="5">
        <v>44373</v>
      </c>
      <c r="W1669" s="5">
        <v>43315</v>
      </c>
      <c r="X1669" s="1">
        <v>1670000</v>
      </c>
      <c r="Y1669" s="1">
        <v>1670000</v>
      </c>
      <c r="Z1669" s="5">
        <v>43315</v>
      </c>
      <c r="AA1669" s="1">
        <v>1700477.5</v>
      </c>
      <c r="AB1669" s="1" t="s">
        <v>871</v>
      </c>
      <c r="AC1669" s="5">
        <v>43567</v>
      </c>
      <c r="AF1669" s="1">
        <v>10010</v>
      </c>
      <c r="AI1669" s="1" t="s">
        <v>106</v>
      </c>
      <c r="AJ1669" s="1">
        <v>2016</v>
      </c>
      <c r="AK1669" s="1" t="s">
        <v>46</v>
      </c>
      <c r="AL1669" s="1">
        <v>140</v>
      </c>
    </row>
    <row r="1670" spans="1:38" x14ac:dyDescent="0.2">
      <c r="A1670" s="2" t="str">
        <f>HYPERLINK("https://www.compass.com/listing/121-east-22nd-street-unit-n505-manhattan-ny-10010/354187314147715521/","121 E 22nd St, Unit N505")</f>
        <v>121 E 22nd St, Unit N505</v>
      </c>
      <c r="B1670" s="2" t="str">
        <f t="shared" si="254"/>
        <v>121 E 22nd</v>
      </c>
      <c r="C1670" s="1" t="s">
        <v>64</v>
      </c>
      <c r="D1670" s="1" t="s">
        <v>41</v>
      </c>
      <c r="E1670" s="3">
        <v>1713200</v>
      </c>
      <c r="F1670" s="1">
        <v>2165.86599241466</v>
      </c>
      <c r="G1670" s="1">
        <v>2</v>
      </c>
      <c r="H1670" s="1">
        <v>1</v>
      </c>
      <c r="I1670" s="1">
        <v>1</v>
      </c>
      <c r="J1670" s="1">
        <v>1</v>
      </c>
      <c r="K1670" s="1">
        <v>1</v>
      </c>
      <c r="M1670" s="1">
        <v>791</v>
      </c>
      <c r="N1670" s="1">
        <v>828</v>
      </c>
      <c r="O1670" s="1">
        <v>2508</v>
      </c>
      <c r="P1670" s="1">
        <v>1680</v>
      </c>
      <c r="Q1670" s="1" t="s">
        <v>42</v>
      </c>
      <c r="S1670" s="1" t="s">
        <v>42</v>
      </c>
      <c r="T1670" s="1" t="s">
        <v>273</v>
      </c>
      <c r="U1670" s="1">
        <v>20</v>
      </c>
      <c r="V1670" s="5">
        <v>44057</v>
      </c>
      <c r="W1670" s="5">
        <v>43741</v>
      </c>
      <c r="X1670" s="1">
        <v>1710000</v>
      </c>
      <c r="Y1670" s="1">
        <v>1710000</v>
      </c>
      <c r="Z1670" s="5">
        <v>43761</v>
      </c>
      <c r="AA1670" s="1">
        <v>1713200</v>
      </c>
      <c r="AB1670" s="1" t="s">
        <v>275</v>
      </c>
      <c r="AC1670" s="5">
        <v>43861</v>
      </c>
      <c r="AF1670" s="1">
        <v>10010</v>
      </c>
      <c r="AI1670" s="1" t="s">
        <v>106</v>
      </c>
      <c r="AJ1670" s="1">
        <v>2016</v>
      </c>
      <c r="AK1670" s="1" t="s">
        <v>46</v>
      </c>
      <c r="AL1670" s="1">
        <v>140</v>
      </c>
    </row>
    <row r="1671" spans="1:38" x14ac:dyDescent="0.2">
      <c r="A1671" s="2" t="str">
        <f>HYPERLINK("https://www.compass.com/listing/111-murray-street-unit-21b-manhattan-ny-10007/470076765589623249/","111 Murray St, Unit 21B")</f>
        <v>111 Murray St, Unit 21B</v>
      </c>
      <c r="B1671" s="2" t="str">
        <f t="shared" ref="B1671:B1673" si="255">HYPERLINK("https://www.compass.com/building/111-murray-st-manhattan-ny-10007/281896511862746053/","111 Murray St")</f>
        <v>111 Murray St</v>
      </c>
      <c r="C1671" s="1" t="s">
        <v>50</v>
      </c>
      <c r="D1671" s="1" t="s">
        <v>41</v>
      </c>
      <c r="E1671" s="3">
        <v>3050000</v>
      </c>
      <c r="F1671" s="1">
        <v>1929.1587602783</v>
      </c>
      <c r="G1671" s="1">
        <v>4</v>
      </c>
      <c r="H1671" s="1">
        <v>2</v>
      </c>
      <c r="I1671" s="1">
        <v>2</v>
      </c>
      <c r="J1671" s="1">
        <v>2</v>
      </c>
      <c r="K1671" s="1">
        <v>2</v>
      </c>
      <c r="M1671" s="4">
        <v>1581</v>
      </c>
      <c r="N1671" s="1">
        <v>1784</v>
      </c>
      <c r="O1671" s="1">
        <v>5034</v>
      </c>
      <c r="P1671" s="1">
        <v>3250</v>
      </c>
      <c r="Q1671" s="1" t="s">
        <v>42</v>
      </c>
      <c r="S1671" s="1" t="s">
        <v>42</v>
      </c>
      <c r="T1671" s="1" t="s">
        <v>273</v>
      </c>
      <c r="U1671" s="1">
        <v>577</v>
      </c>
      <c r="V1671" s="5">
        <v>44075</v>
      </c>
      <c r="W1671" s="5">
        <v>43382</v>
      </c>
      <c r="X1671" s="1">
        <v>3850000</v>
      </c>
      <c r="Y1671" s="1">
        <v>3850000</v>
      </c>
      <c r="Z1671" s="5">
        <v>44054</v>
      </c>
      <c r="AA1671" s="1">
        <v>3050000</v>
      </c>
      <c r="AB1671" s="1" t="s">
        <v>872</v>
      </c>
      <c r="AC1671" s="5">
        <v>44064</v>
      </c>
      <c r="AF1671" s="1">
        <v>10007</v>
      </c>
      <c r="AI1671" s="1" t="s">
        <v>107</v>
      </c>
      <c r="AJ1671" s="1">
        <v>2018</v>
      </c>
      <c r="AK1671" s="1" t="s">
        <v>49</v>
      </c>
      <c r="AL1671" s="1">
        <v>157</v>
      </c>
    </row>
    <row r="1672" spans="1:38" x14ac:dyDescent="0.2">
      <c r="A1672" s="2" t="str">
        <f>HYPERLINK("https://www.compass.com/listing/111-murray-street-unit-14a-manhattan-ny-10007/242818743699349169/","111 Murray St, Unit 14A")</f>
        <v>111 Murray St, Unit 14A</v>
      </c>
      <c r="B1672" s="2" t="str">
        <f t="shared" si="255"/>
        <v>111 Murray St</v>
      </c>
      <c r="C1672" s="1" t="s">
        <v>50</v>
      </c>
      <c r="D1672" s="1" t="s">
        <v>41</v>
      </c>
      <c r="E1672" s="3">
        <v>2225000</v>
      </c>
      <c r="F1672" s="1">
        <v>1976.0213143872099</v>
      </c>
      <c r="G1672" s="1">
        <v>3</v>
      </c>
      <c r="H1672" s="1">
        <v>1</v>
      </c>
      <c r="I1672" s="1">
        <v>2</v>
      </c>
      <c r="J1672" s="1">
        <v>1.5</v>
      </c>
      <c r="K1672" s="1">
        <v>1</v>
      </c>
      <c r="L1672" s="1">
        <v>1</v>
      </c>
      <c r="M1672" s="4">
        <v>1126</v>
      </c>
      <c r="N1672" s="1">
        <v>1238</v>
      </c>
      <c r="O1672" s="1">
        <v>2918</v>
      </c>
      <c r="P1672" s="1">
        <v>1680</v>
      </c>
      <c r="Q1672" s="1" t="s">
        <v>42</v>
      </c>
      <c r="S1672" s="1" t="s">
        <v>42</v>
      </c>
      <c r="T1672" s="1" t="s">
        <v>273</v>
      </c>
      <c r="U1672" s="1">
        <v>1481</v>
      </c>
      <c r="V1672" s="5">
        <v>43642</v>
      </c>
      <c r="W1672" s="5">
        <v>42160</v>
      </c>
      <c r="X1672" s="1">
        <v>2850000</v>
      </c>
      <c r="Y1672" s="1">
        <v>2850000</v>
      </c>
      <c r="AA1672" s="1">
        <v>2225000</v>
      </c>
      <c r="AB1672" s="1" t="s">
        <v>873</v>
      </c>
      <c r="AC1672" s="5">
        <v>43642</v>
      </c>
      <c r="AF1672" s="1">
        <v>10007</v>
      </c>
      <c r="AI1672" s="1" t="s">
        <v>107</v>
      </c>
      <c r="AJ1672" s="1">
        <v>2018</v>
      </c>
      <c r="AK1672" s="1" t="s">
        <v>49</v>
      </c>
      <c r="AL1672" s="1">
        <v>157</v>
      </c>
    </row>
    <row r="1673" spans="1:38" x14ac:dyDescent="0.2">
      <c r="A1673" s="2" t="str">
        <f>HYPERLINK("https://www.compass.com/listing/111-murray-street-unit-12a-manhattan-ny-10007/282469799609500705/","111 Murray St, Unit 12A")</f>
        <v>111 Murray St, Unit 12A</v>
      </c>
      <c r="B1673" s="2" t="str">
        <f t="shared" si="255"/>
        <v>111 Murray St</v>
      </c>
      <c r="C1673" s="1" t="s">
        <v>50</v>
      </c>
      <c r="D1673" s="1" t="s">
        <v>41</v>
      </c>
      <c r="E1673" s="3">
        <v>2250000</v>
      </c>
      <c r="F1673" s="1">
        <v>1998.2238010657099</v>
      </c>
      <c r="G1673" s="1">
        <v>3</v>
      </c>
      <c r="H1673" s="1">
        <v>1</v>
      </c>
      <c r="I1673" s="1">
        <v>2</v>
      </c>
      <c r="J1673" s="1">
        <v>1.5</v>
      </c>
      <c r="K1673" s="1">
        <v>1</v>
      </c>
      <c r="L1673" s="1">
        <v>1</v>
      </c>
      <c r="M1673" s="4">
        <v>1126</v>
      </c>
      <c r="N1673" s="1">
        <v>1233</v>
      </c>
      <c r="O1673" s="1">
        <v>2906</v>
      </c>
      <c r="P1673" s="1">
        <v>1673</v>
      </c>
      <c r="Q1673" s="1" t="s">
        <v>42</v>
      </c>
      <c r="S1673" s="1" t="s">
        <v>42</v>
      </c>
      <c r="T1673" s="1" t="s">
        <v>273</v>
      </c>
      <c r="U1673" s="1">
        <v>1582</v>
      </c>
      <c r="V1673" s="5">
        <v>43747</v>
      </c>
      <c r="W1673" s="5">
        <v>42160</v>
      </c>
      <c r="X1673" s="1">
        <v>2825000</v>
      </c>
      <c r="Y1673" s="1">
        <v>2825000</v>
      </c>
      <c r="AA1673" s="1">
        <v>2250000</v>
      </c>
      <c r="AB1673" s="1" t="s">
        <v>874</v>
      </c>
      <c r="AC1673" s="5">
        <v>43742</v>
      </c>
      <c r="AF1673" s="1">
        <v>10007</v>
      </c>
      <c r="AI1673" s="1" t="s">
        <v>107</v>
      </c>
      <c r="AJ1673" s="1">
        <v>2018</v>
      </c>
      <c r="AK1673" s="1" t="s">
        <v>49</v>
      </c>
      <c r="AL1673" s="1">
        <v>157</v>
      </c>
    </row>
    <row r="1674" spans="1:38" x14ac:dyDescent="0.2">
      <c r="A1674" s="2" t="str">
        <f>HYPERLINK("https://www.compass.com/listing/121-east-22nd-street-unit-n604-manhattan-ny-10010/388271422123336833/","121 E 22nd St, Unit N604")</f>
        <v>121 E 22nd St, Unit N604</v>
      </c>
      <c r="B1674" s="2" t="str">
        <f>HYPERLINK("https://www.compass.com/building/121-e-22nd-manhattan-ny/292795784653461493/","121 E 22nd")</f>
        <v>121 E 22nd</v>
      </c>
      <c r="C1674" s="1" t="s">
        <v>64</v>
      </c>
      <c r="D1674" s="1" t="s">
        <v>41</v>
      </c>
      <c r="E1674" s="3">
        <v>1725000</v>
      </c>
      <c r="F1674" s="1">
        <v>2211.5384615384601</v>
      </c>
      <c r="G1674" s="1">
        <v>3</v>
      </c>
      <c r="H1674" s="1">
        <v>1</v>
      </c>
      <c r="I1674" s="1">
        <v>1</v>
      </c>
      <c r="J1674" s="1">
        <v>1</v>
      </c>
      <c r="K1674" s="1">
        <v>1</v>
      </c>
      <c r="M1674" s="1">
        <v>780</v>
      </c>
      <c r="N1674" s="1">
        <v>826</v>
      </c>
      <c r="O1674" s="1">
        <v>2505</v>
      </c>
      <c r="P1674" s="1">
        <v>1679</v>
      </c>
      <c r="Q1674" s="1" t="s">
        <v>42</v>
      </c>
      <c r="S1674" s="1" t="s">
        <v>42</v>
      </c>
      <c r="T1674" s="1" t="s">
        <v>273</v>
      </c>
      <c r="U1674" s="1">
        <v>42</v>
      </c>
      <c r="V1674" s="5">
        <v>44040</v>
      </c>
      <c r="W1674" s="5">
        <v>43788</v>
      </c>
      <c r="X1674" s="1">
        <v>1725000</v>
      </c>
      <c r="Y1674" s="1">
        <v>1725000</v>
      </c>
      <c r="AA1674" s="1">
        <v>1725000</v>
      </c>
      <c r="AB1674" s="1" t="s">
        <v>875</v>
      </c>
      <c r="AC1674" s="5">
        <v>44012</v>
      </c>
      <c r="AF1674" s="1">
        <v>10010</v>
      </c>
      <c r="AI1674" s="1" t="s">
        <v>234</v>
      </c>
      <c r="AJ1674" s="1">
        <v>2016</v>
      </c>
      <c r="AK1674" s="1" t="s">
        <v>46</v>
      </c>
      <c r="AL1674" s="1">
        <v>140</v>
      </c>
    </row>
    <row r="1675" spans="1:38" x14ac:dyDescent="0.2">
      <c r="A1675" s="2" t="str">
        <f>HYPERLINK("https://www.compass.com/listing/155-west-18th-street-unit-504-manhattan-ny-10011/29373031449152385/","155 W 18th St, Unit 504")</f>
        <v>155 W 18th St, Unit 504</v>
      </c>
      <c r="B1675" s="2" t="str">
        <f t="shared" ref="B1675:B1678" si="256">HYPERLINK("https://www.compass.com/building/the-flynn-manhattan-ny/281905793161251925/","The Flynn")</f>
        <v>The Flynn</v>
      </c>
      <c r="C1675" s="1" t="s">
        <v>62</v>
      </c>
      <c r="D1675" s="1" t="s">
        <v>41</v>
      </c>
      <c r="E1675" s="3">
        <v>4480300</v>
      </c>
      <c r="F1675" s="1">
        <v>2209.2209072978299</v>
      </c>
      <c r="G1675" s="1">
        <v>4</v>
      </c>
      <c r="H1675" s="1">
        <v>3</v>
      </c>
      <c r="I1675" s="1">
        <v>4</v>
      </c>
      <c r="J1675" s="1">
        <v>3.5</v>
      </c>
      <c r="M1675" s="4">
        <v>2028</v>
      </c>
      <c r="N1675" s="1">
        <v>3090</v>
      </c>
      <c r="O1675" s="1">
        <v>5459</v>
      </c>
      <c r="P1675" s="1">
        <v>2369</v>
      </c>
      <c r="Q1675" s="1" t="s">
        <v>42</v>
      </c>
      <c r="S1675" s="1" t="s">
        <v>42</v>
      </c>
      <c r="T1675" s="1" t="s">
        <v>273</v>
      </c>
      <c r="U1675" s="1">
        <v>12</v>
      </c>
      <c r="V1675" s="5">
        <v>43631</v>
      </c>
      <c r="W1675" s="5">
        <v>42378</v>
      </c>
      <c r="X1675" s="1">
        <v>4400000</v>
      </c>
      <c r="Y1675" s="1">
        <v>4850000</v>
      </c>
      <c r="Z1675" s="5">
        <v>42390</v>
      </c>
      <c r="AA1675" s="1">
        <v>4480300</v>
      </c>
      <c r="AB1675" s="1" t="s">
        <v>727</v>
      </c>
      <c r="AC1675" s="5">
        <v>42656</v>
      </c>
      <c r="AF1675" s="1">
        <v>10011</v>
      </c>
      <c r="AI1675" s="1" t="s">
        <v>592</v>
      </c>
      <c r="AJ1675" s="1">
        <v>2016</v>
      </c>
      <c r="AK1675" s="1" t="s">
        <v>46</v>
      </c>
      <c r="AL1675" s="1">
        <v>30</v>
      </c>
    </row>
    <row r="1676" spans="1:38" x14ac:dyDescent="0.2">
      <c r="A1676" s="2" t="str">
        <f>HYPERLINK("https://www.compass.com/listing/155-west-18th-street-unit-604-manhattan-ny-10011/4829943419809837617/","155 W 18th St, Unit 604")</f>
        <v>155 W 18th St, Unit 604</v>
      </c>
      <c r="B1676" s="2" t="str">
        <f t="shared" si="256"/>
        <v>The Flynn</v>
      </c>
      <c r="C1676" s="1" t="s">
        <v>62</v>
      </c>
      <c r="D1676" s="1" t="s">
        <v>41</v>
      </c>
      <c r="E1676" s="3">
        <v>4900000</v>
      </c>
      <c r="F1676" s="1">
        <v>2416.17357001972</v>
      </c>
      <c r="G1676" s="1">
        <v>5</v>
      </c>
      <c r="H1676" s="1">
        <v>3</v>
      </c>
      <c r="I1676" s="1">
        <v>4</v>
      </c>
      <c r="J1676" s="1">
        <v>3.5</v>
      </c>
      <c r="M1676" s="4">
        <v>2028</v>
      </c>
      <c r="N1676" s="1">
        <v>3090</v>
      </c>
      <c r="O1676" s="1">
        <v>5459</v>
      </c>
      <c r="P1676" s="1">
        <v>2369</v>
      </c>
      <c r="Q1676" s="1" t="s">
        <v>42</v>
      </c>
      <c r="S1676" s="1" t="s">
        <v>42</v>
      </c>
      <c r="T1676" s="1" t="s">
        <v>273</v>
      </c>
      <c r="U1676" s="1">
        <v>1</v>
      </c>
      <c r="V1676" s="5">
        <v>43631</v>
      </c>
      <c r="W1676" s="5">
        <v>42389</v>
      </c>
      <c r="X1676" s="1">
        <v>4900000</v>
      </c>
      <c r="Y1676" s="1">
        <v>4900000</v>
      </c>
      <c r="Z1676" s="5">
        <v>42390</v>
      </c>
      <c r="AA1676" s="1">
        <v>4900000</v>
      </c>
      <c r="AB1676" s="1" t="s">
        <v>728</v>
      </c>
      <c r="AC1676" s="5">
        <v>42692</v>
      </c>
      <c r="AF1676" s="1">
        <v>10011</v>
      </c>
      <c r="AI1676" s="1" t="s">
        <v>114</v>
      </c>
      <c r="AJ1676" s="1">
        <v>2016</v>
      </c>
      <c r="AK1676" s="1" t="s">
        <v>46</v>
      </c>
      <c r="AL1676" s="1">
        <v>30</v>
      </c>
    </row>
    <row r="1677" spans="1:38" x14ac:dyDescent="0.2">
      <c r="A1677" s="2" t="str">
        <f>HYPERLINK("https://www.compass.com/listing/155-west-18th-street-unit-304-manhattan-ny-10011/4829943428156505937/","155 W 18th St, Unit 304")</f>
        <v>155 W 18th St, Unit 304</v>
      </c>
      <c r="B1677" s="2" t="str">
        <f t="shared" si="256"/>
        <v>The Flynn</v>
      </c>
      <c r="C1677" s="1" t="s">
        <v>62</v>
      </c>
      <c r="D1677" s="1" t="s">
        <v>41</v>
      </c>
      <c r="E1677" s="3">
        <v>4750000</v>
      </c>
      <c r="F1677" s="1">
        <v>2342.2090729782999</v>
      </c>
      <c r="G1677" s="1">
        <v>5</v>
      </c>
      <c r="H1677" s="1">
        <v>3</v>
      </c>
      <c r="I1677" s="1">
        <v>4</v>
      </c>
      <c r="J1677" s="1">
        <v>3.5</v>
      </c>
      <c r="M1677" s="4">
        <v>2028</v>
      </c>
      <c r="N1677" s="1">
        <v>3090</v>
      </c>
      <c r="O1677" s="1">
        <v>5459</v>
      </c>
      <c r="P1677" s="1">
        <v>2369</v>
      </c>
      <c r="Q1677" s="1" t="s">
        <v>42</v>
      </c>
      <c r="S1677" s="1" t="s">
        <v>42</v>
      </c>
      <c r="T1677" s="1" t="s">
        <v>273</v>
      </c>
      <c r="U1677" s="1">
        <v>38</v>
      </c>
      <c r="V1677" s="5">
        <v>43631</v>
      </c>
      <c r="W1677" s="5">
        <v>42445</v>
      </c>
      <c r="X1677" s="1">
        <v>4300000</v>
      </c>
      <c r="Y1677" s="1">
        <v>4750000</v>
      </c>
      <c r="Z1677" s="5">
        <v>42483</v>
      </c>
      <c r="AA1677" s="1">
        <v>4750000</v>
      </c>
      <c r="AB1677" s="1" t="s">
        <v>694</v>
      </c>
      <c r="AC1677" s="5">
        <v>42692</v>
      </c>
      <c r="AF1677" s="1">
        <v>10011</v>
      </c>
      <c r="AI1677" s="1" t="s">
        <v>592</v>
      </c>
      <c r="AJ1677" s="1">
        <v>2016</v>
      </c>
      <c r="AK1677" s="1" t="s">
        <v>46</v>
      </c>
      <c r="AL1677" s="1">
        <v>30</v>
      </c>
    </row>
    <row r="1678" spans="1:38" x14ac:dyDescent="0.2">
      <c r="A1678" s="2" t="str">
        <f>HYPERLINK("https://www.compass.com/listing/155-west-18th-street-unit-704-manhattan-ny-10011/4842991090128652961/","155 W 18th St, Unit 704")</f>
        <v>155 W 18th St, Unit 704</v>
      </c>
      <c r="B1678" s="2" t="str">
        <f t="shared" si="256"/>
        <v>The Flynn</v>
      </c>
      <c r="C1678" s="1" t="s">
        <v>62</v>
      </c>
      <c r="D1678" s="1" t="s">
        <v>41</v>
      </c>
      <c r="E1678" s="3">
        <v>5103978</v>
      </c>
      <c r="F1678" s="1">
        <v>2516.7544378698199</v>
      </c>
      <c r="G1678" s="1">
        <v>5</v>
      </c>
      <c r="H1678" s="1">
        <v>3</v>
      </c>
      <c r="I1678" s="1">
        <v>4</v>
      </c>
      <c r="J1678" s="1">
        <v>3.5</v>
      </c>
      <c r="M1678" s="4">
        <v>2028</v>
      </c>
      <c r="N1678" s="1">
        <v>3090</v>
      </c>
      <c r="O1678" s="1">
        <v>5459</v>
      </c>
      <c r="P1678" s="1">
        <v>2369</v>
      </c>
      <c r="Q1678" s="1" t="s">
        <v>42</v>
      </c>
      <c r="S1678" s="1" t="s">
        <v>42</v>
      </c>
      <c r="T1678" s="1" t="s">
        <v>273</v>
      </c>
      <c r="U1678" s="1">
        <v>9</v>
      </c>
      <c r="V1678" s="5">
        <v>43745</v>
      </c>
      <c r="W1678" s="5">
        <v>42389</v>
      </c>
      <c r="X1678" s="1">
        <v>4950000</v>
      </c>
      <c r="Y1678" s="1">
        <v>4950000</v>
      </c>
      <c r="Z1678" s="5">
        <v>42398</v>
      </c>
      <c r="AA1678" s="1">
        <v>5103978</v>
      </c>
      <c r="AB1678" s="1" t="s">
        <v>729</v>
      </c>
      <c r="AC1678" s="5">
        <v>42661</v>
      </c>
      <c r="AF1678" s="1">
        <v>10011</v>
      </c>
      <c r="AI1678" s="1" t="s">
        <v>592</v>
      </c>
      <c r="AJ1678" s="1">
        <v>2016</v>
      </c>
      <c r="AK1678" s="1" t="s">
        <v>46</v>
      </c>
      <c r="AL1678" s="1">
        <v>30</v>
      </c>
    </row>
    <row r="1679" spans="1:38" x14ac:dyDescent="0.2">
      <c r="A1679" s="2" t="str">
        <f>HYPERLINK("https://www.compass.com/listing/55-west-17th-street-unit-603-manhattan-ny-10011/29374459928496401/","55 W 17th St, Unit 603")</f>
        <v>55 W 17th St, Unit 603</v>
      </c>
      <c r="B1679" s="2" t="str">
        <f>HYPERLINK("https://www.compass.com/building/55-w-17th-st-manhattan-ny-10011/281911689161499829/","55 W 17th St")</f>
        <v>55 W 17th St</v>
      </c>
      <c r="C1679" s="1" t="s">
        <v>56</v>
      </c>
      <c r="D1679" s="1" t="s">
        <v>41</v>
      </c>
      <c r="E1679" s="3">
        <v>2599990</v>
      </c>
      <c r="F1679" s="1">
        <v>2115.5329536208301</v>
      </c>
      <c r="G1679" s="1">
        <v>4</v>
      </c>
      <c r="H1679" s="1">
        <v>2</v>
      </c>
      <c r="I1679" s="1">
        <v>2</v>
      </c>
      <c r="J1679" s="1">
        <v>2</v>
      </c>
      <c r="M1679" s="4">
        <v>1229</v>
      </c>
      <c r="N1679" s="1">
        <v>1525</v>
      </c>
      <c r="O1679" s="1">
        <v>3321</v>
      </c>
      <c r="P1679" s="1">
        <v>1796</v>
      </c>
      <c r="Q1679" s="1" t="s">
        <v>42</v>
      </c>
      <c r="S1679" s="1" t="s">
        <v>42</v>
      </c>
      <c r="T1679" s="1" t="s">
        <v>273</v>
      </c>
      <c r="U1679" s="1">
        <v>1</v>
      </c>
      <c r="V1679" s="5">
        <v>43664</v>
      </c>
      <c r="W1679" s="5">
        <v>42396</v>
      </c>
      <c r="X1679" s="1">
        <v>2599990</v>
      </c>
      <c r="Y1679" s="1">
        <v>2599990</v>
      </c>
      <c r="Z1679" s="5">
        <v>42397</v>
      </c>
      <c r="AA1679" s="1">
        <v>2599990</v>
      </c>
      <c r="AB1679" s="1" t="s">
        <v>876</v>
      </c>
      <c r="AC1679" s="5">
        <v>42849</v>
      </c>
      <c r="AF1679" s="1">
        <v>10011</v>
      </c>
      <c r="AI1679" s="1" t="s">
        <v>102</v>
      </c>
      <c r="AJ1679" s="1">
        <v>2018</v>
      </c>
      <c r="AK1679" s="1" t="s">
        <v>55</v>
      </c>
      <c r="AL1679" s="1">
        <v>52</v>
      </c>
    </row>
    <row r="1680" spans="1:38" x14ac:dyDescent="0.2">
      <c r="A1680" s="2" t="str">
        <f>HYPERLINK("https://www.compass.com/listing/155-west-18th-street-unit-701-manhattan-ny-10011/29373032766163873/","155 W 18th St, Unit 701")</f>
        <v>155 W 18th St, Unit 701</v>
      </c>
      <c r="B1680" s="2" t="str">
        <f t="shared" ref="B1680:B1682" si="257">HYPERLINK("https://www.compass.com/building/the-flynn-manhattan-ny/281905793161251925/","The Flynn")</f>
        <v>The Flynn</v>
      </c>
      <c r="C1680" s="1" t="s">
        <v>62</v>
      </c>
      <c r="D1680" s="1" t="s">
        <v>41</v>
      </c>
      <c r="E1680" s="3">
        <v>4429388</v>
      </c>
      <c r="F1680" s="1">
        <v>2266.8311156601799</v>
      </c>
      <c r="G1680" s="1">
        <v>4</v>
      </c>
      <c r="H1680" s="1">
        <v>3</v>
      </c>
      <c r="I1680" s="1">
        <v>4</v>
      </c>
      <c r="J1680" s="1">
        <v>3.5</v>
      </c>
      <c r="M1680" s="4">
        <v>1954</v>
      </c>
      <c r="N1680" s="1">
        <v>2973</v>
      </c>
      <c r="O1680" s="1">
        <v>5252</v>
      </c>
      <c r="P1680" s="1">
        <v>2279</v>
      </c>
      <c r="Q1680" s="1" t="s">
        <v>42</v>
      </c>
      <c r="S1680" s="1" t="s">
        <v>42</v>
      </c>
      <c r="T1680" s="1" t="s">
        <v>273</v>
      </c>
      <c r="V1680" s="5">
        <v>43662</v>
      </c>
      <c r="W1680" s="5">
        <v>42601</v>
      </c>
      <c r="X1680" s="1">
        <v>4350000</v>
      </c>
      <c r="Y1680" s="1">
        <v>4500000</v>
      </c>
      <c r="Z1680" s="5">
        <v>42620</v>
      </c>
      <c r="AA1680" s="1">
        <v>4429388</v>
      </c>
      <c r="AB1680" s="1" t="s">
        <v>731</v>
      </c>
      <c r="AC1680" s="5">
        <v>42651</v>
      </c>
      <c r="AF1680" s="1">
        <v>10011</v>
      </c>
      <c r="AI1680" s="1" t="s">
        <v>114</v>
      </c>
      <c r="AJ1680" s="1">
        <v>2016</v>
      </c>
      <c r="AK1680" s="1" t="s">
        <v>46</v>
      </c>
      <c r="AL1680" s="1">
        <v>30</v>
      </c>
    </row>
    <row r="1681" spans="1:38" x14ac:dyDescent="0.2">
      <c r="A1681" s="2" t="str">
        <f>HYPERLINK("https://www.compass.com/listing/155-west-18th-street-unit-201-manhattan-ny-10011/4829943413811979041/","155 W 18th St, Unit 201")</f>
        <v>155 W 18th St, Unit 201</v>
      </c>
      <c r="B1681" s="2" t="str">
        <f t="shared" si="257"/>
        <v>The Flynn</v>
      </c>
      <c r="C1681" s="1" t="s">
        <v>62</v>
      </c>
      <c r="D1681" s="1" t="s">
        <v>41</v>
      </c>
      <c r="E1681" s="3">
        <v>5250000</v>
      </c>
      <c r="F1681" s="1">
        <v>2282.6086956521699</v>
      </c>
      <c r="G1681" s="1">
        <v>5</v>
      </c>
      <c r="H1681" s="1">
        <v>3</v>
      </c>
      <c r="I1681" s="1">
        <v>4</v>
      </c>
      <c r="J1681" s="1">
        <v>3.5</v>
      </c>
      <c r="M1681" s="4">
        <v>2300</v>
      </c>
      <c r="N1681" s="1">
        <v>3504</v>
      </c>
      <c r="O1681" s="1">
        <v>6190</v>
      </c>
      <c r="P1681" s="1">
        <v>2686</v>
      </c>
      <c r="Q1681" s="1" t="s">
        <v>42</v>
      </c>
      <c r="S1681" s="1" t="s">
        <v>42</v>
      </c>
      <c r="T1681" s="1" t="s">
        <v>273</v>
      </c>
      <c r="U1681" s="1">
        <v>103</v>
      </c>
      <c r="V1681" s="5">
        <v>43640</v>
      </c>
      <c r="W1681" s="5">
        <v>42517</v>
      </c>
      <c r="X1681" s="1">
        <v>5250000</v>
      </c>
      <c r="Y1681" s="1">
        <v>5250000</v>
      </c>
      <c r="Z1681" s="5">
        <v>42620</v>
      </c>
      <c r="AA1681" s="1">
        <v>5250000</v>
      </c>
      <c r="AB1681" s="1" t="s">
        <v>607</v>
      </c>
      <c r="AC1681" s="5">
        <v>42705</v>
      </c>
      <c r="AF1681" s="1">
        <v>10011</v>
      </c>
      <c r="AI1681" s="1" t="s">
        <v>252</v>
      </c>
      <c r="AJ1681" s="1">
        <v>2016</v>
      </c>
      <c r="AK1681" s="1" t="s">
        <v>46</v>
      </c>
      <c r="AL1681" s="1">
        <v>30</v>
      </c>
    </row>
    <row r="1682" spans="1:38" x14ac:dyDescent="0.2">
      <c r="A1682" s="2" t="str">
        <f>HYPERLINK("https://www.compass.com/listing/155-west-18th-street-unit-801-manhattan-ny-10011/4829943427795795553/","155 W 18th St, Unit 801")</f>
        <v>155 W 18th St, Unit 801</v>
      </c>
      <c r="B1682" s="2" t="str">
        <f t="shared" si="257"/>
        <v>The Flynn</v>
      </c>
      <c r="C1682" s="1" t="s">
        <v>62</v>
      </c>
      <c r="D1682" s="1" t="s">
        <v>41</v>
      </c>
      <c r="E1682" s="3">
        <v>4650000</v>
      </c>
      <c r="F1682" s="1">
        <v>2379.7338792220999</v>
      </c>
      <c r="G1682" s="1">
        <v>4</v>
      </c>
      <c r="H1682" s="1">
        <v>3</v>
      </c>
      <c r="I1682" s="1">
        <v>4</v>
      </c>
      <c r="J1682" s="1">
        <v>3.5</v>
      </c>
      <c r="M1682" s="4">
        <v>1954</v>
      </c>
      <c r="N1682" s="1">
        <v>2973</v>
      </c>
      <c r="O1682" s="1">
        <v>5255</v>
      </c>
      <c r="P1682" s="1">
        <v>2282</v>
      </c>
      <c r="Q1682" s="1" t="s">
        <v>42</v>
      </c>
      <c r="S1682" s="1" t="s">
        <v>42</v>
      </c>
      <c r="T1682" s="1" t="s">
        <v>273</v>
      </c>
      <c r="U1682" s="1">
        <v>1</v>
      </c>
      <c r="V1682" s="5">
        <v>43640</v>
      </c>
      <c r="W1682" s="5">
        <v>42620</v>
      </c>
      <c r="X1682" s="1">
        <v>4650000</v>
      </c>
      <c r="Y1682" s="1">
        <v>4650000</v>
      </c>
      <c r="Z1682" s="5">
        <v>42621</v>
      </c>
      <c r="AA1682" s="1">
        <v>4650000</v>
      </c>
      <c r="AB1682" s="1" t="s">
        <v>732</v>
      </c>
      <c r="AC1682" s="5">
        <v>42705</v>
      </c>
      <c r="AF1682" s="1">
        <v>10011</v>
      </c>
      <c r="AI1682" s="1" t="s">
        <v>114</v>
      </c>
      <c r="AJ1682" s="1">
        <v>2016</v>
      </c>
      <c r="AK1682" s="1" t="s">
        <v>46</v>
      </c>
      <c r="AL1682" s="1">
        <v>30</v>
      </c>
    </row>
    <row r="1683" spans="1:38" x14ac:dyDescent="0.2">
      <c r="A1683" s="2" t="str">
        <f>HYPERLINK("https://www.compass.com/listing/100-barclay-street-unit-14ab-manhattan-ny-10007/26850068229334129/","100 Barclay St, Unit 14AB")</f>
        <v>100 Barclay St, Unit 14AB</v>
      </c>
      <c r="B1683" s="2" t="str">
        <f>HYPERLINK("https://www.compass.com/building/100-barclay-manhattan-ny/281896670466155525/","100 Barclay")</f>
        <v>100 Barclay</v>
      </c>
      <c r="C1683" s="1" t="s">
        <v>50</v>
      </c>
      <c r="D1683" s="1" t="s">
        <v>41</v>
      </c>
      <c r="E1683" s="3">
        <v>9200000</v>
      </c>
      <c r="F1683" s="1">
        <v>1740.11726877246</v>
      </c>
      <c r="G1683" s="1">
        <v>14</v>
      </c>
      <c r="H1683" s="1">
        <v>5</v>
      </c>
      <c r="I1683" s="1">
        <v>7</v>
      </c>
      <c r="J1683" s="1">
        <v>7</v>
      </c>
      <c r="M1683" s="4">
        <v>5287</v>
      </c>
      <c r="N1683" s="1">
        <v>6632</v>
      </c>
      <c r="O1683" s="1">
        <v>12498</v>
      </c>
      <c r="P1683" s="1">
        <v>5866</v>
      </c>
      <c r="Q1683" s="1" t="s">
        <v>42</v>
      </c>
      <c r="S1683" s="1" t="s">
        <v>42</v>
      </c>
      <c r="T1683" s="1" t="s">
        <v>273</v>
      </c>
      <c r="U1683" s="1">
        <v>526</v>
      </c>
      <c r="V1683" s="5">
        <v>43345</v>
      </c>
      <c r="W1683" s="5">
        <v>42709</v>
      </c>
      <c r="X1683" s="1">
        <v>12500000</v>
      </c>
      <c r="Y1683" s="1">
        <v>11500000</v>
      </c>
      <c r="AA1683" s="1">
        <v>9200000</v>
      </c>
      <c r="AB1683" s="1" t="s">
        <v>877</v>
      </c>
      <c r="AC1683" s="5">
        <v>43431</v>
      </c>
      <c r="AF1683" s="1">
        <v>10007</v>
      </c>
      <c r="AI1683" s="1" t="s">
        <v>133</v>
      </c>
      <c r="AJ1683" s="1">
        <v>1930</v>
      </c>
      <c r="AK1683" s="1" t="s">
        <v>121</v>
      </c>
      <c r="AL1683" s="1">
        <v>156</v>
      </c>
    </row>
    <row r="1684" spans="1:38" x14ac:dyDescent="0.2">
      <c r="A1684" s="2" t="str">
        <f>HYPERLINK("https://www.compass.com/listing/45-east-22nd-street-unit-49a-manhattan-ny-10010/29375874532931105/","45 E 22nd St, Unit 49A")</f>
        <v>45 E 22nd St, Unit 49A</v>
      </c>
      <c r="B1684" s="2" t="str">
        <f t="shared" ref="B1684:B1685" si="258">HYPERLINK("https://www.compass.com/building/madison-square-park-tower-manhattan-ny/281903584482705973/","Madison Square Park Tower")</f>
        <v>Madison Square Park Tower</v>
      </c>
      <c r="C1684" s="1" t="s">
        <v>56</v>
      </c>
      <c r="D1684" s="1" t="s">
        <v>41</v>
      </c>
      <c r="E1684" s="3">
        <v>9772977</v>
      </c>
      <c r="F1684" s="1">
        <v>3921.7403691813802</v>
      </c>
      <c r="G1684" s="1">
        <v>5</v>
      </c>
      <c r="H1684" s="1">
        <v>3</v>
      </c>
      <c r="I1684" s="1">
        <v>3</v>
      </c>
      <c r="J1684" s="1">
        <v>3</v>
      </c>
      <c r="K1684" s="1">
        <v>3</v>
      </c>
      <c r="M1684" s="4">
        <v>2492</v>
      </c>
      <c r="N1684" s="1">
        <v>3123</v>
      </c>
      <c r="O1684" s="1">
        <v>7871</v>
      </c>
      <c r="P1684" s="1">
        <v>4748</v>
      </c>
      <c r="Q1684" s="1" t="s">
        <v>42</v>
      </c>
      <c r="S1684" s="1" t="s">
        <v>42</v>
      </c>
      <c r="T1684" s="1" t="s">
        <v>273</v>
      </c>
      <c r="U1684" s="1">
        <v>900</v>
      </c>
      <c r="V1684" s="5">
        <v>43650</v>
      </c>
      <c r="W1684" s="5">
        <v>42075</v>
      </c>
      <c r="X1684" s="1">
        <v>9575000</v>
      </c>
      <c r="Y1684" s="1">
        <v>9735000</v>
      </c>
      <c r="AA1684" s="1">
        <v>9772977</v>
      </c>
      <c r="AB1684" s="1" t="s">
        <v>878</v>
      </c>
      <c r="AC1684" s="5">
        <v>42976</v>
      </c>
      <c r="AF1684" s="1">
        <v>10010</v>
      </c>
      <c r="AI1684" s="1" t="s">
        <v>48</v>
      </c>
      <c r="AJ1684" s="1">
        <v>2016</v>
      </c>
      <c r="AK1684" s="1" t="s">
        <v>46</v>
      </c>
      <c r="AL1684" s="1">
        <v>83</v>
      </c>
    </row>
    <row r="1685" spans="1:38" x14ac:dyDescent="0.2">
      <c r="A1685" s="2" t="str">
        <f>HYPERLINK("https://www.compass.com/listing/45-east-22nd-street-unit-42a-manhattan-ny-10010/803410727389487905/","45 E 22nd St, Unit 42A")</f>
        <v>45 E 22nd St, Unit 42A</v>
      </c>
      <c r="B1685" s="2" t="str">
        <f t="shared" si="258"/>
        <v>Madison Square Park Tower</v>
      </c>
      <c r="C1685" s="1" t="s">
        <v>56</v>
      </c>
      <c r="D1685" s="1" t="s">
        <v>41</v>
      </c>
      <c r="E1685" s="3">
        <v>8435978</v>
      </c>
      <c r="F1685" s="1">
        <v>3467.3151541307002</v>
      </c>
      <c r="G1685" s="1">
        <v>5</v>
      </c>
      <c r="H1685" s="1">
        <v>3</v>
      </c>
      <c r="I1685" s="1">
        <v>3</v>
      </c>
      <c r="J1685" s="1">
        <v>3</v>
      </c>
      <c r="K1685" s="1">
        <v>3</v>
      </c>
      <c r="M1685" s="4">
        <v>2433</v>
      </c>
      <c r="N1685" s="1">
        <v>2944</v>
      </c>
      <c r="O1685" s="1">
        <v>7417</v>
      </c>
      <c r="P1685" s="1">
        <v>4473</v>
      </c>
      <c r="Q1685" s="1" t="s">
        <v>42</v>
      </c>
      <c r="S1685" s="1" t="s">
        <v>42</v>
      </c>
      <c r="T1685" s="1" t="s">
        <v>273</v>
      </c>
      <c r="U1685" s="1">
        <v>210</v>
      </c>
      <c r="V1685" s="5">
        <v>43112</v>
      </c>
      <c r="W1685" s="5">
        <v>42902</v>
      </c>
      <c r="X1685" s="1">
        <v>8500000</v>
      </c>
      <c r="Y1685" s="1">
        <v>8500000</v>
      </c>
      <c r="Z1685" s="5">
        <v>42048</v>
      </c>
      <c r="AA1685" s="1">
        <v>8435977.7699999996</v>
      </c>
      <c r="AB1685" s="1" t="s">
        <v>737</v>
      </c>
      <c r="AC1685" s="5">
        <v>43159</v>
      </c>
      <c r="AF1685" s="1">
        <v>10010</v>
      </c>
      <c r="AI1685" s="1" t="s">
        <v>48</v>
      </c>
      <c r="AJ1685" s="1">
        <v>2016</v>
      </c>
      <c r="AK1685" s="1" t="s">
        <v>46</v>
      </c>
      <c r="AL1685" s="1">
        <v>83</v>
      </c>
    </row>
    <row r="1686" spans="1:38" x14ac:dyDescent="0.2">
      <c r="A1686" s="2" t="str">
        <f>HYPERLINK("https://www.compass.com/listing/111-murray-street-unit-16a-manhattan-ny-10007/33896780655536513/","111 Murray St, Unit 16A")</f>
        <v>111 Murray St, Unit 16A</v>
      </c>
      <c r="B1686" s="2" t="str">
        <f>HYPERLINK("https://www.compass.com/building/111-murray-st-manhattan-ny-10007/281896511862746053/","111 Murray St")</f>
        <v>111 Murray St</v>
      </c>
      <c r="C1686" s="1" t="s">
        <v>50</v>
      </c>
      <c r="D1686" s="1" t="s">
        <v>41</v>
      </c>
      <c r="E1686" s="3">
        <v>3430223</v>
      </c>
      <c r="F1686" s="1">
        <v>2153.3101883239101</v>
      </c>
      <c r="G1686" s="1">
        <v>4</v>
      </c>
      <c r="H1686" s="1">
        <v>2</v>
      </c>
      <c r="I1686" s="1">
        <v>3</v>
      </c>
      <c r="J1686" s="1">
        <v>3</v>
      </c>
      <c r="K1686" s="1">
        <v>3</v>
      </c>
      <c r="M1686" s="4">
        <v>1593</v>
      </c>
      <c r="N1686" s="1">
        <v>1761</v>
      </c>
      <c r="O1686" s="1">
        <v>4970</v>
      </c>
      <c r="P1686" s="1">
        <v>3209</v>
      </c>
      <c r="Q1686" s="1" t="s">
        <v>42</v>
      </c>
      <c r="S1686" s="1" t="s">
        <v>42</v>
      </c>
      <c r="T1686" s="1" t="s">
        <v>273</v>
      </c>
      <c r="U1686" s="1">
        <v>643</v>
      </c>
      <c r="V1686" s="5">
        <v>44225</v>
      </c>
      <c r="W1686" s="5">
        <v>43298</v>
      </c>
      <c r="X1686" s="1">
        <v>4000000</v>
      </c>
      <c r="Y1686" s="1">
        <v>3800000</v>
      </c>
      <c r="AA1686" s="1">
        <v>3430223.13</v>
      </c>
      <c r="AB1686" s="1" t="s">
        <v>854</v>
      </c>
      <c r="AC1686" s="5">
        <v>44083</v>
      </c>
      <c r="AF1686" s="1">
        <v>10007</v>
      </c>
      <c r="AI1686" s="1" t="s">
        <v>107</v>
      </c>
      <c r="AJ1686" s="1">
        <v>2018</v>
      </c>
      <c r="AK1686" s="1" t="s">
        <v>49</v>
      </c>
      <c r="AL1686" s="1">
        <v>157</v>
      </c>
    </row>
    <row r="1687" spans="1:38" x14ac:dyDescent="0.2">
      <c r="A1687" s="2" t="str">
        <f>HYPERLINK("https://www.compass.com/listing/121-east-22nd-street-unit-n508-manhattan-ny-10010/34697594907161201/","121 E 22nd St, Unit N508")</f>
        <v>121 E 22nd St, Unit N508</v>
      </c>
      <c r="B1687" s="2" t="str">
        <f t="shared" ref="B1687:B1688" si="259">HYPERLINK("https://www.compass.com/building/121-e-22nd-manhattan-ny/292795784653461493/","121 E 22nd")</f>
        <v>121 E 22nd</v>
      </c>
      <c r="C1687" s="1" t="s">
        <v>64</v>
      </c>
      <c r="D1687" s="1" t="s">
        <v>41</v>
      </c>
      <c r="E1687" s="3">
        <v>3190000</v>
      </c>
      <c r="F1687" s="1">
        <v>1868.77562975981</v>
      </c>
      <c r="G1687" s="1">
        <v>4</v>
      </c>
      <c r="H1687" s="1">
        <v>2</v>
      </c>
      <c r="I1687" s="1">
        <v>3</v>
      </c>
      <c r="J1687" s="1">
        <v>2.5</v>
      </c>
      <c r="K1687" s="1">
        <v>2</v>
      </c>
      <c r="L1687" s="1">
        <v>1</v>
      </c>
      <c r="M1687" s="4">
        <v>1707</v>
      </c>
      <c r="N1687" s="1">
        <v>1727</v>
      </c>
      <c r="O1687" s="1">
        <v>5222</v>
      </c>
      <c r="P1687" s="1">
        <v>3495</v>
      </c>
      <c r="Q1687" s="1" t="s">
        <v>42</v>
      </c>
      <c r="S1687" s="1" t="s">
        <v>42</v>
      </c>
      <c r="T1687" s="1" t="s">
        <v>273</v>
      </c>
      <c r="U1687" s="1">
        <v>627</v>
      </c>
      <c r="V1687" s="5">
        <v>44057</v>
      </c>
      <c r="W1687" s="5">
        <v>43188</v>
      </c>
      <c r="X1687" s="1">
        <v>3570000</v>
      </c>
      <c r="Y1687" s="1">
        <v>3190000</v>
      </c>
      <c r="Z1687" s="5">
        <v>43816</v>
      </c>
      <c r="AA1687" s="1">
        <v>3190000</v>
      </c>
      <c r="AB1687" s="1" t="s">
        <v>879</v>
      </c>
      <c r="AC1687" s="5">
        <v>43866</v>
      </c>
      <c r="AF1687" s="1">
        <v>10010</v>
      </c>
      <c r="AI1687" s="1" t="s">
        <v>106</v>
      </c>
      <c r="AJ1687" s="1">
        <v>2016</v>
      </c>
      <c r="AK1687" s="1" t="s">
        <v>46</v>
      </c>
      <c r="AL1687" s="1">
        <v>140</v>
      </c>
    </row>
    <row r="1688" spans="1:38" x14ac:dyDescent="0.2">
      <c r="A1688" s="2" t="str">
        <f>HYPERLINK("https://www.compass.com/listing/121-east-22nd-street-unit-nt607-manhattan-ny-10010/410781223157898209/","121 E 22nd St, Unit NT607")</f>
        <v>121 E 22nd St, Unit NT607</v>
      </c>
      <c r="B1688" s="2" t="str">
        <f t="shared" si="259"/>
        <v>121 E 22nd</v>
      </c>
      <c r="C1688" s="1" t="s">
        <v>64</v>
      </c>
      <c r="D1688" s="1" t="s">
        <v>41</v>
      </c>
      <c r="E1688" s="3">
        <v>3270000</v>
      </c>
      <c r="F1688" s="1">
        <v>1915.6414762741599</v>
      </c>
      <c r="G1688" s="1">
        <v>4</v>
      </c>
      <c r="H1688" s="1">
        <v>2</v>
      </c>
      <c r="I1688" s="1">
        <v>3</v>
      </c>
      <c r="J1688" s="1">
        <v>2.5</v>
      </c>
      <c r="K1688" s="1">
        <v>2</v>
      </c>
      <c r="L1688" s="1">
        <v>1</v>
      </c>
      <c r="M1688" s="4">
        <v>1707</v>
      </c>
      <c r="N1688" s="1">
        <v>1736</v>
      </c>
      <c r="O1688" s="1">
        <v>5251</v>
      </c>
      <c r="P1688" s="1">
        <v>3515</v>
      </c>
      <c r="Q1688" s="1" t="s">
        <v>42</v>
      </c>
      <c r="S1688" s="1" t="s">
        <v>42</v>
      </c>
      <c r="T1688" s="1" t="s">
        <v>273</v>
      </c>
      <c r="U1688" s="1">
        <v>78</v>
      </c>
      <c r="V1688" s="5">
        <v>43936</v>
      </c>
      <c r="W1688" s="5">
        <v>43819</v>
      </c>
      <c r="X1688" s="1">
        <v>3570000</v>
      </c>
      <c r="Y1688" s="1">
        <v>3270000</v>
      </c>
      <c r="Z1688" s="5">
        <v>43898</v>
      </c>
      <c r="AA1688" s="1">
        <v>3270000</v>
      </c>
      <c r="AB1688" s="1" t="s">
        <v>275</v>
      </c>
      <c r="AC1688" s="5">
        <v>43936</v>
      </c>
      <c r="AF1688" s="1">
        <v>10010</v>
      </c>
      <c r="AI1688" s="1" t="s">
        <v>106</v>
      </c>
      <c r="AJ1688" s="1">
        <v>2016</v>
      </c>
      <c r="AK1688" s="1" t="s">
        <v>46</v>
      </c>
      <c r="AL1688" s="1">
        <v>140</v>
      </c>
    </row>
    <row r="1689" spans="1:38" x14ac:dyDescent="0.2">
      <c r="A1689" s="2" t="str">
        <f>HYPERLINK("https://www.compass.com/listing/55-west-17th-street-unit-704-manhattan-ny-10011/191234402083188241/","55 W 17th St, Unit 704")</f>
        <v>55 W 17th St, Unit 704</v>
      </c>
      <c r="B1689" s="2" t="str">
        <f t="shared" ref="B1689:B1690" si="260">HYPERLINK("https://www.compass.com/building/55-w-17th-st-manhattan-ny-10011/281911689161499829/","55 W 17th St")</f>
        <v>55 W 17th St</v>
      </c>
      <c r="C1689" s="1" t="s">
        <v>56</v>
      </c>
      <c r="D1689" s="1" t="s">
        <v>41</v>
      </c>
      <c r="E1689" s="3">
        <v>3353200</v>
      </c>
      <c r="F1689" s="1">
        <v>1733.81592554291</v>
      </c>
      <c r="G1689" s="1">
        <v>5</v>
      </c>
      <c r="H1689" s="1">
        <v>3</v>
      </c>
      <c r="I1689" s="1">
        <v>3</v>
      </c>
      <c r="J1689" s="1">
        <v>2.5</v>
      </c>
      <c r="K1689" s="1">
        <v>2</v>
      </c>
      <c r="L1689" s="1">
        <v>1</v>
      </c>
      <c r="M1689" s="4">
        <v>1934</v>
      </c>
      <c r="N1689" s="1">
        <v>2538</v>
      </c>
      <c r="O1689" s="1">
        <v>6106</v>
      </c>
      <c r="P1689" s="1">
        <v>3568</v>
      </c>
      <c r="Q1689" s="1" t="s">
        <v>42</v>
      </c>
      <c r="S1689" s="1" t="s">
        <v>42</v>
      </c>
      <c r="T1689" s="1" t="s">
        <v>273</v>
      </c>
      <c r="U1689" s="1">
        <v>76</v>
      </c>
      <c r="V1689" s="5">
        <v>43830</v>
      </c>
      <c r="W1689" s="5">
        <v>43726</v>
      </c>
      <c r="X1689" s="1">
        <v>3563000</v>
      </c>
      <c r="Y1689" s="1">
        <v>3563000</v>
      </c>
      <c r="Z1689" s="5">
        <v>43802</v>
      </c>
      <c r="AA1689" s="1">
        <v>3353200</v>
      </c>
      <c r="AB1689" s="1" t="s">
        <v>880</v>
      </c>
      <c r="AC1689" s="5">
        <v>43819</v>
      </c>
      <c r="AF1689" s="1">
        <v>10011</v>
      </c>
      <c r="AI1689" s="1" t="s">
        <v>102</v>
      </c>
      <c r="AJ1689" s="1">
        <v>2018</v>
      </c>
      <c r="AK1689" s="1" t="s">
        <v>108</v>
      </c>
      <c r="AL1689" s="1">
        <v>52</v>
      </c>
    </row>
    <row r="1690" spans="1:38" x14ac:dyDescent="0.2">
      <c r="A1690" s="2" t="str">
        <f>HYPERLINK("https://www.compass.com/listing/55-west-17th-street-unit-504-manhattan-ny-10011/29661197053794833/","55 W 17th St, Unit 504")</f>
        <v>55 W 17th St, Unit 504</v>
      </c>
      <c r="B1690" s="2" t="str">
        <f t="shared" si="260"/>
        <v>55 W 17th St</v>
      </c>
      <c r="C1690" s="1" t="s">
        <v>56</v>
      </c>
      <c r="D1690" s="1" t="s">
        <v>41</v>
      </c>
      <c r="E1690" s="3">
        <v>3202756</v>
      </c>
      <c r="F1690" s="1">
        <v>1656.0268872802401</v>
      </c>
      <c r="G1690" s="1">
        <v>5</v>
      </c>
      <c r="H1690" s="1">
        <v>3</v>
      </c>
      <c r="I1690" s="1">
        <v>3</v>
      </c>
      <c r="J1690" s="1">
        <v>2.5</v>
      </c>
      <c r="K1690" s="1">
        <v>2</v>
      </c>
      <c r="L1690" s="1">
        <v>1</v>
      </c>
      <c r="M1690" s="4">
        <v>1934</v>
      </c>
      <c r="N1690" s="1">
        <v>2533</v>
      </c>
      <c r="O1690" s="1">
        <v>6094</v>
      </c>
      <c r="P1690" s="1">
        <v>3561</v>
      </c>
      <c r="Q1690" s="1" t="s">
        <v>42</v>
      </c>
      <c r="S1690" s="1" t="s">
        <v>42</v>
      </c>
      <c r="T1690" s="1" t="s">
        <v>273</v>
      </c>
      <c r="U1690" s="1">
        <v>441</v>
      </c>
      <c r="V1690" s="5">
        <v>43774</v>
      </c>
      <c r="W1690" s="5">
        <v>43279</v>
      </c>
      <c r="X1690" s="1">
        <v>3699990</v>
      </c>
      <c r="Y1690" s="1">
        <v>3515000</v>
      </c>
      <c r="Z1690" s="5">
        <v>43720</v>
      </c>
      <c r="AA1690" s="1">
        <v>3202756</v>
      </c>
      <c r="AB1690" s="1" t="s">
        <v>881</v>
      </c>
      <c r="AC1690" s="5">
        <v>43760</v>
      </c>
      <c r="AF1690" s="1">
        <v>10011</v>
      </c>
      <c r="AI1690" s="1" t="s">
        <v>234</v>
      </c>
      <c r="AJ1690" s="1">
        <v>2018</v>
      </c>
      <c r="AK1690" s="1" t="s">
        <v>55</v>
      </c>
      <c r="AL1690" s="1">
        <v>52</v>
      </c>
    </row>
    <row r="1691" spans="1:38" x14ac:dyDescent="0.2">
      <c r="A1691" s="2" t="str">
        <f>HYPERLINK("https://www.compass.com/listing/121-east-22nd-street-unit-n904-manhattan-ny-10010/368731142246342177/","121 E 22nd St, Unit N904")</f>
        <v>121 E 22nd St, Unit N904</v>
      </c>
      <c r="B1691" s="2" t="str">
        <f t="shared" ref="B1691:B1702" si="261">HYPERLINK("https://www.compass.com/building/121-e-22nd-manhattan-ny/292795784653461493/","121 E 22nd")</f>
        <v>121 E 22nd</v>
      </c>
      <c r="C1691" s="1" t="s">
        <v>64</v>
      </c>
      <c r="D1691" s="1" t="s">
        <v>41</v>
      </c>
      <c r="E1691" s="3">
        <v>1800000</v>
      </c>
      <c r="F1691" s="1">
        <v>2307.6923076922999</v>
      </c>
      <c r="G1691" s="1">
        <v>3</v>
      </c>
      <c r="H1691" s="1">
        <v>1</v>
      </c>
      <c r="I1691" s="1">
        <v>1</v>
      </c>
      <c r="J1691" s="1">
        <v>1</v>
      </c>
      <c r="K1691" s="1">
        <v>1</v>
      </c>
      <c r="M1691" s="1">
        <v>780</v>
      </c>
      <c r="N1691" s="1">
        <v>854</v>
      </c>
      <c r="O1691" s="1">
        <v>2593</v>
      </c>
      <c r="P1691" s="1">
        <v>1739</v>
      </c>
      <c r="Q1691" s="1" t="s">
        <v>42</v>
      </c>
      <c r="S1691" s="1" t="s">
        <v>42</v>
      </c>
      <c r="T1691" s="1" t="s">
        <v>273</v>
      </c>
      <c r="U1691" s="1">
        <v>24</v>
      </c>
      <c r="V1691" s="5">
        <v>44057</v>
      </c>
      <c r="W1691" s="5">
        <v>43761</v>
      </c>
      <c r="X1691" s="1">
        <v>1800000</v>
      </c>
      <c r="Y1691" s="1">
        <v>1800000</v>
      </c>
      <c r="Z1691" s="5">
        <v>43785</v>
      </c>
      <c r="AA1691" s="1">
        <v>1800000</v>
      </c>
      <c r="AB1691" s="1" t="s">
        <v>275</v>
      </c>
      <c r="AC1691" s="5">
        <v>43887</v>
      </c>
      <c r="AF1691" s="1">
        <v>10010</v>
      </c>
      <c r="AI1691" s="1" t="s">
        <v>106</v>
      </c>
      <c r="AJ1691" s="1">
        <v>2016</v>
      </c>
      <c r="AK1691" s="1" t="s">
        <v>46</v>
      </c>
      <c r="AL1691" s="1">
        <v>140</v>
      </c>
    </row>
    <row r="1692" spans="1:38" x14ac:dyDescent="0.2">
      <c r="A1692" s="2" t="str">
        <f>HYPERLINK("https://www.compass.com/listing/121-east-22nd-street-unit-n1004-manhattan-ny-10010/418711860068000673/","121 E 22nd St, Unit N1004")</f>
        <v>121 E 22nd St, Unit N1004</v>
      </c>
      <c r="B1692" s="2" t="str">
        <f t="shared" si="261"/>
        <v>121 E 22nd</v>
      </c>
      <c r="C1692" s="1" t="s">
        <v>64</v>
      </c>
      <c r="D1692" s="1" t="s">
        <v>41</v>
      </c>
      <c r="E1692" s="3">
        <v>1825000</v>
      </c>
      <c r="F1692" s="1">
        <v>2339.7435897435898</v>
      </c>
      <c r="G1692" s="1">
        <v>3</v>
      </c>
      <c r="H1692" s="1">
        <v>1</v>
      </c>
      <c r="I1692" s="1">
        <v>1</v>
      </c>
      <c r="J1692" s="1">
        <v>1</v>
      </c>
      <c r="K1692" s="1">
        <v>1</v>
      </c>
      <c r="M1692" s="1">
        <v>780</v>
      </c>
      <c r="N1692" s="1">
        <v>863</v>
      </c>
      <c r="O1692" s="1">
        <v>2599</v>
      </c>
      <c r="P1692" s="1">
        <v>1736</v>
      </c>
      <c r="Q1692" s="1" t="s">
        <v>42</v>
      </c>
      <c r="S1692" s="1" t="s">
        <v>42</v>
      </c>
      <c r="T1692" s="1" t="s">
        <v>273</v>
      </c>
      <c r="U1692" s="1">
        <v>401</v>
      </c>
      <c r="V1692" s="5">
        <v>44371</v>
      </c>
      <c r="W1692" s="5">
        <v>43830</v>
      </c>
      <c r="X1692" s="1">
        <v>1825000</v>
      </c>
      <c r="Y1692" s="1">
        <v>1825000</v>
      </c>
      <c r="Z1692" s="5">
        <v>44326</v>
      </c>
      <c r="AA1692" s="1">
        <v>1825000</v>
      </c>
      <c r="AB1692" s="1" t="s">
        <v>275</v>
      </c>
      <c r="AC1692" s="5">
        <v>44371</v>
      </c>
      <c r="AF1692" s="1">
        <v>10010</v>
      </c>
      <c r="AI1692" s="1" t="s">
        <v>106</v>
      </c>
      <c r="AJ1692" s="1">
        <v>2016</v>
      </c>
      <c r="AK1692" s="1" t="s">
        <v>46</v>
      </c>
      <c r="AL1692" s="1">
        <v>140</v>
      </c>
    </row>
    <row r="1693" spans="1:38" x14ac:dyDescent="0.2">
      <c r="A1693" s="2" t="str">
        <f>HYPERLINK("https://www.compass.com/listing/121-east-22nd-street-unit-n1603-manhattan-ny-10010/140522759812845857/","121 E 22nd St, Unit N1603")</f>
        <v>121 E 22nd St, Unit N1603</v>
      </c>
      <c r="B1693" s="2" t="str">
        <f t="shared" si="261"/>
        <v>121 E 22nd</v>
      </c>
      <c r="C1693" s="1" t="s">
        <v>64</v>
      </c>
      <c r="D1693" s="1" t="s">
        <v>41</v>
      </c>
      <c r="E1693" s="3">
        <v>5238821</v>
      </c>
      <c r="F1693" s="1">
        <v>2511.4194630872398</v>
      </c>
      <c r="G1693" s="1">
        <v>5</v>
      </c>
      <c r="H1693" s="1">
        <v>3</v>
      </c>
      <c r="I1693" s="1">
        <v>4</v>
      </c>
      <c r="J1693" s="1">
        <v>3.5</v>
      </c>
      <c r="K1693" s="1">
        <v>3</v>
      </c>
      <c r="L1693" s="1">
        <v>1</v>
      </c>
      <c r="M1693" s="4">
        <v>2086</v>
      </c>
      <c r="N1693" s="1">
        <v>2200</v>
      </c>
      <c r="O1693" s="1">
        <v>6101</v>
      </c>
      <c r="P1693" s="1">
        <v>3901</v>
      </c>
      <c r="Q1693" s="1" t="s">
        <v>42</v>
      </c>
      <c r="S1693" s="1" t="s">
        <v>42</v>
      </c>
      <c r="T1693" s="1" t="s">
        <v>273</v>
      </c>
      <c r="U1693" s="1">
        <v>75</v>
      </c>
      <c r="V1693" s="5">
        <v>44334</v>
      </c>
      <c r="W1693" s="5">
        <v>43446</v>
      </c>
      <c r="X1693" s="1">
        <v>5155000</v>
      </c>
      <c r="Y1693" s="1">
        <v>5155000</v>
      </c>
      <c r="Z1693" s="5">
        <v>43521</v>
      </c>
      <c r="AA1693" s="1">
        <v>5238821</v>
      </c>
      <c r="AB1693" s="1" t="s">
        <v>882</v>
      </c>
      <c r="AC1693" s="5">
        <v>43616</v>
      </c>
      <c r="AF1693" s="1">
        <v>10010</v>
      </c>
      <c r="AI1693" s="1" t="s">
        <v>106</v>
      </c>
      <c r="AJ1693" s="1">
        <v>2016</v>
      </c>
      <c r="AK1693" s="1" t="s">
        <v>46</v>
      </c>
      <c r="AL1693" s="1">
        <v>140</v>
      </c>
    </row>
    <row r="1694" spans="1:38" x14ac:dyDescent="0.2">
      <c r="A1694" s="2" t="str">
        <f>HYPERLINK("https://www.compass.com/listing/121-east-22nd-street-unit-nph3-manhattan-ny-10010/248460191069116897/","121 E 22nd St, Unit NPH3")</f>
        <v>121 E 22nd St, Unit NPH3</v>
      </c>
      <c r="B1694" s="2" t="str">
        <f t="shared" si="261"/>
        <v>121 E 22nd</v>
      </c>
      <c r="C1694" s="1" t="s">
        <v>64</v>
      </c>
      <c r="D1694" s="1" t="s">
        <v>41</v>
      </c>
      <c r="E1694" s="3">
        <v>6310000</v>
      </c>
      <c r="F1694" s="1">
        <v>2710.4810996563501</v>
      </c>
      <c r="G1694" s="1">
        <v>5.5</v>
      </c>
      <c r="H1694" s="1">
        <v>3</v>
      </c>
      <c r="I1694" s="1">
        <v>4</v>
      </c>
      <c r="J1694" s="1">
        <v>3.5</v>
      </c>
      <c r="K1694" s="1">
        <v>3</v>
      </c>
      <c r="L1694" s="1">
        <v>1</v>
      </c>
      <c r="M1694" s="4">
        <v>2328</v>
      </c>
      <c r="N1694" s="1">
        <v>3657</v>
      </c>
      <c r="O1694" s="1">
        <v>11170</v>
      </c>
      <c r="P1694" s="1">
        <v>7513</v>
      </c>
      <c r="Q1694" s="1" t="s">
        <v>42</v>
      </c>
      <c r="S1694" s="1" t="s">
        <v>42</v>
      </c>
      <c r="T1694" s="1" t="s">
        <v>273</v>
      </c>
      <c r="V1694" s="5">
        <v>44294</v>
      </c>
      <c r="W1694" s="5">
        <v>43595</v>
      </c>
      <c r="X1694" s="1">
        <v>7000000</v>
      </c>
      <c r="Y1694" s="1">
        <v>7000000</v>
      </c>
      <c r="Z1694" s="5">
        <v>43595</v>
      </c>
      <c r="AA1694" s="1">
        <v>6310000</v>
      </c>
      <c r="AB1694" s="1" t="s">
        <v>275</v>
      </c>
      <c r="AC1694" s="5">
        <v>44293</v>
      </c>
      <c r="AF1694" s="1">
        <v>10010</v>
      </c>
      <c r="AI1694" s="1" t="s">
        <v>148</v>
      </c>
      <c r="AJ1694" s="1">
        <v>2016</v>
      </c>
      <c r="AK1694" s="1" t="s">
        <v>46</v>
      </c>
      <c r="AL1694" s="1">
        <v>140</v>
      </c>
    </row>
    <row r="1695" spans="1:38" x14ac:dyDescent="0.2">
      <c r="A1695" s="2" t="str">
        <f>HYPERLINK("https://www.compass.com/listing/121-east-22nd-street-unit-n1206-manhattan-ny-10010/333152615285886193/","121 E 22nd St, Unit N1206")</f>
        <v>121 E 22nd St, Unit N1206</v>
      </c>
      <c r="B1695" s="2" t="str">
        <f t="shared" si="261"/>
        <v>121 E 22nd</v>
      </c>
      <c r="C1695" s="1" t="s">
        <v>64</v>
      </c>
      <c r="D1695" s="1" t="s">
        <v>41</v>
      </c>
      <c r="E1695" s="3">
        <v>5600000</v>
      </c>
      <c r="F1695" s="1">
        <v>2246.28961091054</v>
      </c>
      <c r="G1695" s="1">
        <v>4.5</v>
      </c>
      <c r="H1695" s="1">
        <v>3</v>
      </c>
      <c r="I1695" s="1">
        <v>4</v>
      </c>
      <c r="J1695" s="1">
        <v>3.5</v>
      </c>
      <c r="K1695" s="1">
        <v>3</v>
      </c>
      <c r="L1695" s="1">
        <v>1</v>
      </c>
      <c r="M1695" s="4">
        <v>2493</v>
      </c>
      <c r="N1695" s="1">
        <v>2563</v>
      </c>
      <c r="O1695" s="1">
        <v>7757</v>
      </c>
      <c r="P1695" s="1">
        <v>5194</v>
      </c>
      <c r="Q1695" s="1" t="s">
        <v>42</v>
      </c>
      <c r="S1695" s="1" t="s">
        <v>42</v>
      </c>
      <c r="T1695" s="1" t="s">
        <v>273</v>
      </c>
      <c r="U1695" s="1">
        <v>21</v>
      </c>
      <c r="V1695" s="5">
        <v>44057</v>
      </c>
      <c r="W1695" s="5">
        <v>43711</v>
      </c>
      <c r="X1695" s="1">
        <v>5600000</v>
      </c>
      <c r="Y1695" s="1">
        <v>5600000</v>
      </c>
      <c r="Z1695" s="5">
        <v>43733</v>
      </c>
      <c r="AA1695" s="1">
        <v>5600000</v>
      </c>
      <c r="AB1695" s="1" t="s">
        <v>883</v>
      </c>
      <c r="AC1695" s="5">
        <v>43774</v>
      </c>
      <c r="AF1695" s="1">
        <v>10010</v>
      </c>
      <c r="AI1695" s="1" t="s">
        <v>234</v>
      </c>
      <c r="AJ1695" s="1">
        <v>2016</v>
      </c>
      <c r="AK1695" s="1" t="s">
        <v>46</v>
      </c>
      <c r="AL1695" s="1">
        <v>140</v>
      </c>
    </row>
    <row r="1696" spans="1:38" x14ac:dyDescent="0.2">
      <c r="A1696" s="2" t="str">
        <f>HYPERLINK("https://www.compass.com/listing/121-east-22nd-street-unit-n1702-manhattan-ny-10010/34698009145104785/","121 E 22nd St, Unit N1702")</f>
        <v>121 E 22nd St, Unit N1702</v>
      </c>
      <c r="B1696" s="2" t="str">
        <f t="shared" si="261"/>
        <v>121 E 22nd</v>
      </c>
      <c r="C1696" s="1" t="s">
        <v>64</v>
      </c>
      <c r="D1696" s="1" t="s">
        <v>41</v>
      </c>
      <c r="E1696" s="3">
        <v>4725000</v>
      </c>
      <c r="F1696" s="1">
        <v>2547.1698113207499</v>
      </c>
      <c r="G1696" s="1">
        <v>5</v>
      </c>
      <c r="H1696" s="1">
        <v>3</v>
      </c>
      <c r="I1696" s="1">
        <v>4</v>
      </c>
      <c r="J1696" s="1">
        <v>3.5</v>
      </c>
      <c r="K1696" s="1">
        <v>3</v>
      </c>
      <c r="L1696" s="1">
        <v>1</v>
      </c>
      <c r="M1696" s="4">
        <v>1855</v>
      </c>
      <c r="N1696" s="1">
        <v>2073</v>
      </c>
      <c r="O1696" s="1">
        <v>5752</v>
      </c>
      <c r="P1696" s="1">
        <v>3679</v>
      </c>
      <c r="Q1696" s="1" t="s">
        <v>42</v>
      </c>
      <c r="S1696" s="1" t="s">
        <v>42</v>
      </c>
      <c r="T1696" s="1" t="s">
        <v>273</v>
      </c>
      <c r="V1696" s="5">
        <v>44373</v>
      </c>
      <c r="W1696" s="5">
        <v>43315</v>
      </c>
      <c r="X1696" s="1">
        <v>4725000</v>
      </c>
      <c r="Y1696" s="1">
        <v>4725000</v>
      </c>
      <c r="Z1696" s="5">
        <v>43315</v>
      </c>
      <c r="AA1696" s="1">
        <v>4725000</v>
      </c>
      <c r="AB1696" s="1" t="s">
        <v>275</v>
      </c>
      <c r="AC1696" s="5">
        <v>43664</v>
      </c>
      <c r="AF1696" s="1">
        <v>10010</v>
      </c>
      <c r="AI1696" s="1" t="s">
        <v>106</v>
      </c>
      <c r="AJ1696" s="1">
        <v>2016</v>
      </c>
      <c r="AK1696" s="1" t="s">
        <v>46</v>
      </c>
      <c r="AL1696" s="1">
        <v>140</v>
      </c>
    </row>
    <row r="1697" spans="1:38" x14ac:dyDescent="0.2">
      <c r="A1697" s="2" t="str">
        <f>HYPERLINK("https://www.compass.com/listing/121-east-22nd-street-unit-nph2-manhattan-ny-10010/34698236275059681/","121 E 22nd St, Unit NPH2")</f>
        <v>121 E 22nd St, Unit NPH2</v>
      </c>
      <c r="B1697" s="2" t="str">
        <f t="shared" si="261"/>
        <v>121 E 22nd</v>
      </c>
      <c r="C1697" s="1" t="s">
        <v>64</v>
      </c>
      <c r="D1697" s="1" t="s">
        <v>41</v>
      </c>
      <c r="E1697" s="3">
        <v>8044175</v>
      </c>
      <c r="F1697" s="1">
        <v>2949.82581591492</v>
      </c>
      <c r="G1697" s="1">
        <v>5</v>
      </c>
      <c r="H1697" s="1">
        <v>3</v>
      </c>
      <c r="I1697" s="1">
        <v>4</v>
      </c>
      <c r="J1697" s="1">
        <v>4</v>
      </c>
      <c r="K1697" s="1">
        <v>4</v>
      </c>
      <c r="M1697" s="4">
        <v>2727</v>
      </c>
      <c r="N1697" s="1">
        <v>3531</v>
      </c>
      <c r="O1697" s="1">
        <v>9859</v>
      </c>
      <c r="P1697" s="1">
        <v>6328</v>
      </c>
      <c r="Q1697" s="1" t="s">
        <v>42</v>
      </c>
      <c r="S1697" s="1" t="s">
        <v>42</v>
      </c>
      <c r="T1697" s="1" t="s">
        <v>273</v>
      </c>
      <c r="U1697" s="1">
        <v>92</v>
      </c>
      <c r="V1697" s="5">
        <v>44373</v>
      </c>
      <c r="W1697" s="5">
        <v>43207</v>
      </c>
      <c r="X1697" s="1">
        <v>8500000</v>
      </c>
      <c r="Y1697" s="1">
        <v>8500000</v>
      </c>
      <c r="Z1697" s="5">
        <v>43300</v>
      </c>
      <c r="AA1697" s="1">
        <v>8044175</v>
      </c>
      <c r="AB1697" s="1" t="s">
        <v>884</v>
      </c>
      <c r="AC1697" s="5">
        <v>43676</v>
      </c>
      <c r="AF1697" s="1">
        <v>10010</v>
      </c>
      <c r="AI1697" s="1" t="s">
        <v>151</v>
      </c>
      <c r="AJ1697" s="1">
        <v>2016</v>
      </c>
      <c r="AK1697" s="1" t="s">
        <v>46</v>
      </c>
      <c r="AL1697" s="1">
        <v>140</v>
      </c>
    </row>
    <row r="1698" spans="1:38" x14ac:dyDescent="0.2">
      <c r="A1698" s="2" t="str">
        <f>HYPERLINK("https://www.compass.com/listing/121-east-22nd-street-unit-n1305-manhattan-ny-10010/34698285306393969/","121 E 22nd St, Unit N1305")</f>
        <v>121 E 22nd St, Unit N1305</v>
      </c>
      <c r="B1698" s="2" t="str">
        <f t="shared" si="261"/>
        <v>121 E 22nd</v>
      </c>
      <c r="C1698" s="1" t="s">
        <v>64</v>
      </c>
      <c r="D1698" s="1" t="s">
        <v>41</v>
      </c>
      <c r="E1698" s="3">
        <v>5941489</v>
      </c>
      <c r="F1698" s="1">
        <v>2565.4096502590601</v>
      </c>
      <c r="G1698" s="1">
        <v>5</v>
      </c>
      <c r="H1698" s="1">
        <v>3</v>
      </c>
      <c r="I1698" s="1">
        <v>4</v>
      </c>
      <c r="J1698" s="1">
        <v>3.5</v>
      </c>
      <c r="K1698" s="1">
        <v>3</v>
      </c>
      <c r="L1698" s="1">
        <v>1</v>
      </c>
      <c r="M1698" s="4">
        <v>2316</v>
      </c>
      <c r="N1698" s="1">
        <v>2736</v>
      </c>
      <c r="O1698" s="1">
        <v>7611</v>
      </c>
      <c r="P1698" s="1">
        <v>4875</v>
      </c>
      <c r="Q1698" s="1" t="s">
        <v>42</v>
      </c>
      <c r="S1698" s="1" t="s">
        <v>42</v>
      </c>
      <c r="T1698" s="1" t="s">
        <v>273</v>
      </c>
      <c r="U1698" s="1">
        <v>354</v>
      </c>
      <c r="V1698" s="5">
        <v>44373</v>
      </c>
      <c r="W1698" s="5">
        <v>42951</v>
      </c>
      <c r="X1698" s="1">
        <v>5990000</v>
      </c>
      <c r="Y1698" s="1">
        <v>5990000</v>
      </c>
      <c r="Z1698" s="5">
        <v>43306</v>
      </c>
      <c r="AA1698" s="1">
        <v>5941488.75</v>
      </c>
      <c r="AB1698" s="1" t="s">
        <v>885</v>
      </c>
      <c r="AC1698" s="5">
        <v>43601</v>
      </c>
      <c r="AF1698" s="1">
        <v>10010</v>
      </c>
      <c r="AI1698" s="1" t="s">
        <v>148</v>
      </c>
      <c r="AJ1698" s="1">
        <v>2016</v>
      </c>
      <c r="AK1698" s="1" t="s">
        <v>46</v>
      </c>
      <c r="AL1698" s="1">
        <v>140</v>
      </c>
    </row>
    <row r="1699" spans="1:38" x14ac:dyDescent="0.2">
      <c r="A1699" s="2" t="str">
        <f>HYPERLINK("https://www.compass.com/listing/121-east-22nd-street-unit-nph1-manhattan-ny-10010/38977780485997633/","121 E 22nd St, Unit NPH1")</f>
        <v>121 E 22nd St, Unit NPH1</v>
      </c>
      <c r="B1699" s="2" t="str">
        <f t="shared" si="261"/>
        <v>121 E 22nd</v>
      </c>
      <c r="C1699" s="1" t="s">
        <v>64</v>
      </c>
      <c r="D1699" s="1" t="s">
        <v>41</v>
      </c>
      <c r="E1699" s="3">
        <v>9500000</v>
      </c>
      <c r="F1699" s="1">
        <v>3118.8443860800999</v>
      </c>
      <c r="G1699" s="1">
        <v>6</v>
      </c>
      <c r="H1699" s="1">
        <v>3</v>
      </c>
      <c r="I1699" s="1">
        <v>4</v>
      </c>
      <c r="J1699" s="1">
        <v>3.5</v>
      </c>
      <c r="K1699" s="1">
        <v>3</v>
      </c>
      <c r="L1699" s="1">
        <v>1</v>
      </c>
      <c r="M1699" s="4">
        <v>3046</v>
      </c>
      <c r="N1699" s="1">
        <v>4539</v>
      </c>
      <c r="O1699" s="1">
        <v>13956</v>
      </c>
      <c r="P1699" s="1">
        <v>9417</v>
      </c>
      <c r="Q1699" s="1" t="s">
        <v>42</v>
      </c>
      <c r="S1699" s="1" t="s">
        <v>42</v>
      </c>
      <c r="T1699" s="1" t="s">
        <v>273</v>
      </c>
      <c r="U1699" s="1">
        <v>547</v>
      </c>
      <c r="V1699" s="5">
        <v>44040</v>
      </c>
      <c r="W1699" s="5">
        <v>43306</v>
      </c>
      <c r="X1699" s="1">
        <v>9500000</v>
      </c>
      <c r="Y1699" s="1">
        <v>9500000</v>
      </c>
      <c r="Z1699" s="5">
        <v>43854</v>
      </c>
      <c r="AA1699" s="1">
        <v>9500000</v>
      </c>
      <c r="AB1699" s="1" t="s">
        <v>275</v>
      </c>
      <c r="AC1699" s="5">
        <v>44021</v>
      </c>
      <c r="AF1699" s="1">
        <v>10010</v>
      </c>
      <c r="AI1699" s="1" t="s">
        <v>886</v>
      </c>
      <c r="AJ1699" s="1">
        <v>2016</v>
      </c>
      <c r="AK1699" s="1" t="s">
        <v>46</v>
      </c>
      <c r="AL1699" s="1">
        <v>140</v>
      </c>
    </row>
    <row r="1700" spans="1:38" x14ac:dyDescent="0.2">
      <c r="A1700" s="2" t="str">
        <f>HYPERLINK("https://www.compass.com/listing/121-east-22nd-street-unit-n1703-manhattan-ny-10010/40580239000198257/","121 E 22nd St, Unit N1703")</f>
        <v>121 E 22nd St, Unit N1703</v>
      </c>
      <c r="B1700" s="2" t="str">
        <f t="shared" si="261"/>
        <v>121 E 22nd</v>
      </c>
      <c r="C1700" s="1" t="s">
        <v>64</v>
      </c>
      <c r="D1700" s="1" t="s">
        <v>41</v>
      </c>
      <c r="E1700" s="3">
        <v>5175000</v>
      </c>
      <c r="F1700" s="1">
        <v>2418.2242990654199</v>
      </c>
      <c r="G1700" s="1">
        <v>5</v>
      </c>
      <c r="H1700" s="1">
        <v>3</v>
      </c>
      <c r="I1700" s="1">
        <v>4</v>
      </c>
      <c r="J1700" s="1">
        <v>3.5</v>
      </c>
      <c r="K1700" s="1">
        <v>3</v>
      </c>
      <c r="L1700" s="1">
        <v>1</v>
      </c>
      <c r="M1700" s="4">
        <v>2140</v>
      </c>
      <c r="N1700" s="1">
        <v>2269</v>
      </c>
      <c r="O1700" s="1">
        <v>6281</v>
      </c>
      <c r="P1700" s="1">
        <v>4012</v>
      </c>
      <c r="Q1700" s="1" t="s">
        <v>42</v>
      </c>
      <c r="S1700" s="1" t="s">
        <v>42</v>
      </c>
      <c r="T1700" s="1" t="s">
        <v>273</v>
      </c>
      <c r="V1700" s="5">
        <v>44373</v>
      </c>
      <c r="W1700" s="5">
        <v>43315</v>
      </c>
      <c r="X1700" s="1">
        <v>5335000</v>
      </c>
      <c r="Y1700" s="1">
        <v>5335000</v>
      </c>
      <c r="Z1700" s="5">
        <v>43315</v>
      </c>
      <c r="AA1700" s="1">
        <v>5175000</v>
      </c>
      <c r="AB1700" s="1" t="s">
        <v>275</v>
      </c>
      <c r="AC1700" s="5">
        <v>43655</v>
      </c>
      <c r="AF1700" s="1">
        <v>10010</v>
      </c>
      <c r="AI1700" s="1" t="s">
        <v>106</v>
      </c>
      <c r="AJ1700" s="1">
        <v>2016</v>
      </c>
      <c r="AK1700" s="1" t="s">
        <v>46</v>
      </c>
      <c r="AL1700" s="1">
        <v>140</v>
      </c>
    </row>
    <row r="1701" spans="1:38" x14ac:dyDescent="0.2">
      <c r="A1701" s="2" t="str">
        <f>HYPERLINK("https://www.compass.com/listing/121-east-22nd-street-unit-n906-manhattan-ny-10010/578131318783970993/","121 E 22nd St, Unit N906")</f>
        <v>121 E 22nd St, Unit N906</v>
      </c>
      <c r="B1701" s="2" t="str">
        <f t="shared" si="261"/>
        <v>121 E 22nd</v>
      </c>
      <c r="C1701" s="1" t="s">
        <v>64</v>
      </c>
      <c r="D1701" s="1" t="s">
        <v>41</v>
      </c>
      <c r="E1701" s="3">
        <v>4600000</v>
      </c>
      <c r="F1701" s="1">
        <v>1915.0707743547</v>
      </c>
      <c r="G1701" s="1">
        <v>5.5</v>
      </c>
      <c r="H1701" s="1">
        <v>3</v>
      </c>
      <c r="I1701" s="1">
        <v>4</v>
      </c>
      <c r="J1701" s="1">
        <v>3.5</v>
      </c>
      <c r="K1701" s="1">
        <v>3</v>
      </c>
      <c r="L1701" s="1">
        <v>1</v>
      </c>
      <c r="M1701" s="4">
        <v>2402</v>
      </c>
      <c r="N1701" s="1">
        <v>2445</v>
      </c>
      <c r="O1701" s="1">
        <v>7333</v>
      </c>
      <c r="P1701" s="1">
        <v>4888</v>
      </c>
      <c r="Q1701" s="1" t="s">
        <v>42</v>
      </c>
      <c r="S1701" s="1" t="s">
        <v>42</v>
      </c>
      <c r="T1701" s="1" t="s">
        <v>273</v>
      </c>
      <c r="V1701" s="5">
        <v>44095</v>
      </c>
      <c r="W1701" s="5">
        <v>44049</v>
      </c>
      <c r="X1701" s="1">
        <v>4950000</v>
      </c>
      <c r="Y1701" s="1">
        <v>4950000</v>
      </c>
      <c r="Z1701" s="5">
        <v>44050</v>
      </c>
      <c r="AA1701" s="1">
        <v>4600000</v>
      </c>
      <c r="AB1701" s="1" t="s">
        <v>887</v>
      </c>
      <c r="AC1701" s="5">
        <v>44063</v>
      </c>
      <c r="AF1701" s="1">
        <v>10010</v>
      </c>
      <c r="AI1701" s="1" t="s">
        <v>106</v>
      </c>
      <c r="AJ1701" s="1">
        <v>2016</v>
      </c>
      <c r="AK1701" s="1" t="s">
        <v>46</v>
      </c>
      <c r="AL1701" s="1">
        <v>140</v>
      </c>
    </row>
    <row r="1702" spans="1:38" x14ac:dyDescent="0.2">
      <c r="A1702" s="2" t="str">
        <f>HYPERLINK("https://www.compass.com/listing/121-east-22nd-street-unit-n706-manhattan-ny-10010/59996085447340161/","121 E 22nd St, Unit N706")</f>
        <v>121 E 22nd St, Unit N706</v>
      </c>
      <c r="B1702" s="2" t="str">
        <f t="shared" si="261"/>
        <v>121 E 22nd</v>
      </c>
      <c r="C1702" s="1" t="s">
        <v>64</v>
      </c>
      <c r="D1702" s="1" t="s">
        <v>41</v>
      </c>
      <c r="E1702" s="3">
        <v>5147846</v>
      </c>
      <c r="F1702" s="1">
        <v>2055.84904153354</v>
      </c>
      <c r="G1702" s="1">
        <v>5</v>
      </c>
      <c r="H1702" s="1">
        <v>3</v>
      </c>
      <c r="I1702" s="1">
        <v>4</v>
      </c>
      <c r="J1702" s="1">
        <v>3.5</v>
      </c>
      <c r="K1702" s="1">
        <v>3</v>
      </c>
      <c r="L1702" s="1">
        <v>1</v>
      </c>
      <c r="M1702" s="4">
        <v>2504</v>
      </c>
      <c r="N1702" s="1">
        <v>2527</v>
      </c>
      <c r="O1702" s="1">
        <v>7641</v>
      </c>
      <c r="P1702" s="1">
        <v>5114</v>
      </c>
      <c r="Q1702" s="1" t="s">
        <v>42</v>
      </c>
      <c r="S1702" s="1" t="s">
        <v>42</v>
      </c>
      <c r="T1702" s="1" t="s">
        <v>273</v>
      </c>
      <c r="U1702" s="1">
        <v>374</v>
      </c>
      <c r="V1702" s="5">
        <v>44334</v>
      </c>
      <c r="W1702" s="5">
        <v>43334</v>
      </c>
      <c r="X1702" s="1">
        <v>5420000</v>
      </c>
      <c r="Y1702" s="1">
        <v>5040000</v>
      </c>
      <c r="Z1702" s="5">
        <v>43708</v>
      </c>
      <c r="AA1702" s="1">
        <v>5147846</v>
      </c>
      <c r="AB1702" s="1" t="s">
        <v>888</v>
      </c>
      <c r="AC1702" s="5">
        <v>43741</v>
      </c>
      <c r="AF1702" s="1">
        <v>10010</v>
      </c>
      <c r="AI1702" s="1" t="s">
        <v>234</v>
      </c>
      <c r="AJ1702" s="1">
        <v>2016</v>
      </c>
      <c r="AK1702" s="1" t="s">
        <v>46</v>
      </c>
      <c r="AL1702" s="1">
        <v>140</v>
      </c>
    </row>
    <row r="1703" spans="1:38" x14ac:dyDescent="0.2">
      <c r="A1703" s="2" t="str">
        <f>HYPERLINK("https://www.compass.com/listing/55-west-17th-street-unit-304-manhattan-ny-10011/29374457520965873/","55 W 17th St, Unit 304")</f>
        <v>55 W 17th St, Unit 304</v>
      </c>
      <c r="B1703" s="2" t="str">
        <f t="shared" ref="B1703:B1705" si="262">HYPERLINK("https://www.compass.com/building/55-w-17th-st-manhattan-ny-10011/281911689161499829/","55 W 17th St")</f>
        <v>55 W 17th St</v>
      </c>
      <c r="C1703" s="1" t="s">
        <v>56</v>
      </c>
      <c r="D1703" s="1" t="s">
        <v>41</v>
      </c>
      <c r="E1703" s="3">
        <v>2399801</v>
      </c>
      <c r="F1703" s="1">
        <v>1693.57868736767</v>
      </c>
      <c r="G1703" s="1">
        <v>4</v>
      </c>
      <c r="H1703" s="1">
        <v>2</v>
      </c>
      <c r="I1703" s="1">
        <v>2</v>
      </c>
      <c r="J1703" s="1">
        <v>2</v>
      </c>
      <c r="M1703" s="4">
        <v>1417</v>
      </c>
      <c r="N1703" s="1">
        <v>1852</v>
      </c>
      <c r="O1703" s="1">
        <v>3916</v>
      </c>
      <c r="P1703" s="1">
        <v>2064</v>
      </c>
      <c r="Q1703" s="1" t="s">
        <v>42</v>
      </c>
      <c r="S1703" s="1" t="s">
        <v>42</v>
      </c>
      <c r="T1703" s="1" t="s">
        <v>273</v>
      </c>
      <c r="U1703" s="1">
        <v>140</v>
      </c>
      <c r="V1703" s="5">
        <v>43649</v>
      </c>
      <c r="W1703" s="5">
        <v>42830</v>
      </c>
      <c r="X1703" s="1">
        <v>2839990</v>
      </c>
      <c r="Y1703" s="1">
        <v>2439990</v>
      </c>
      <c r="Z1703" s="5">
        <v>42970</v>
      </c>
      <c r="AA1703" s="1">
        <v>2399801</v>
      </c>
      <c r="AB1703" s="1" t="s">
        <v>889</v>
      </c>
      <c r="AC1703" s="5">
        <v>43036</v>
      </c>
      <c r="AF1703" s="1">
        <v>10011</v>
      </c>
      <c r="AI1703" s="1" t="s">
        <v>102</v>
      </c>
      <c r="AJ1703" s="1">
        <v>2018</v>
      </c>
      <c r="AK1703" s="1" t="s">
        <v>108</v>
      </c>
      <c r="AL1703" s="1">
        <v>52</v>
      </c>
    </row>
    <row r="1704" spans="1:38" x14ac:dyDescent="0.2">
      <c r="A1704" s="2" t="str">
        <f>HYPERLINK("https://www.compass.com/listing/55-west-17th-street-unit-405-manhattan-ny-10011/29374459047693153/","55 W 17th St, Unit 405")</f>
        <v>55 W 17th St, Unit 405</v>
      </c>
      <c r="B1704" s="2" t="str">
        <f t="shared" si="262"/>
        <v>55 W 17th St</v>
      </c>
      <c r="C1704" s="1" t="s">
        <v>56</v>
      </c>
      <c r="D1704" s="1" t="s">
        <v>41</v>
      </c>
      <c r="E1704" s="3">
        <v>2520000</v>
      </c>
      <c r="F1704" s="1">
        <v>1778.40508115737</v>
      </c>
      <c r="G1704" s="1">
        <v>4</v>
      </c>
      <c r="H1704" s="1">
        <v>2</v>
      </c>
      <c r="I1704" s="1">
        <v>2</v>
      </c>
      <c r="J1704" s="1">
        <v>2</v>
      </c>
      <c r="M1704" s="4">
        <v>1417</v>
      </c>
      <c r="N1704" s="1">
        <v>1854</v>
      </c>
      <c r="O1704" s="1">
        <v>3920</v>
      </c>
      <c r="P1704" s="1">
        <v>2066</v>
      </c>
      <c r="Q1704" s="1" t="s">
        <v>42</v>
      </c>
      <c r="S1704" s="1" t="s">
        <v>42</v>
      </c>
      <c r="T1704" s="1" t="s">
        <v>273</v>
      </c>
      <c r="U1704" s="1">
        <v>15</v>
      </c>
      <c r="V1704" s="5">
        <v>43649</v>
      </c>
      <c r="W1704" s="5">
        <v>42964</v>
      </c>
      <c r="X1704" s="1">
        <v>2539990</v>
      </c>
      <c r="Y1704" s="1">
        <v>2539990</v>
      </c>
      <c r="Z1704" s="5">
        <v>42979</v>
      </c>
      <c r="AA1704" s="1">
        <v>2520000</v>
      </c>
      <c r="AB1704" s="1" t="s">
        <v>890</v>
      </c>
      <c r="AC1704" s="5">
        <v>43039</v>
      </c>
      <c r="AF1704" s="1">
        <v>10011</v>
      </c>
      <c r="AI1704" s="1" t="s">
        <v>102</v>
      </c>
      <c r="AJ1704" s="1">
        <v>2018</v>
      </c>
      <c r="AK1704" s="1" t="s">
        <v>108</v>
      </c>
      <c r="AL1704" s="1">
        <v>52</v>
      </c>
    </row>
    <row r="1705" spans="1:38" x14ac:dyDescent="0.2">
      <c r="A1705" s="2" t="str">
        <f>HYPERLINK("https://www.compass.com/listing/55-west-17th-street-unit-203-manhattan-ny-10011/801637750754843113/","55 W 17th St, Unit 203")</f>
        <v>55 W 17th St, Unit 203</v>
      </c>
      <c r="B1705" s="2" t="str">
        <f t="shared" si="262"/>
        <v>55 W 17th St</v>
      </c>
      <c r="C1705" s="1" t="s">
        <v>56</v>
      </c>
      <c r="D1705" s="1" t="s">
        <v>41</v>
      </c>
      <c r="E1705" s="3">
        <v>2382705</v>
      </c>
      <c r="F1705" s="1">
        <v>1766.27501853224</v>
      </c>
      <c r="G1705" s="1">
        <v>4</v>
      </c>
      <c r="H1705" s="1">
        <v>2</v>
      </c>
      <c r="I1705" s="1">
        <v>2</v>
      </c>
      <c r="J1705" s="1">
        <v>2</v>
      </c>
      <c r="M1705" s="4">
        <v>1349</v>
      </c>
      <c r="N1705" s="1">
        <v>1761</v>
      </c>
      <c r="O1705" s="1">
        <v>3724</v>
      </c>
      <c r="P1705" s="1">
        <v>1963</v>
      </c>
      <c r="Q1705" s="1" t="s">
        <v>42</v>
      </c>
      <c r="S1705" s="1" t="s">
        <v>42</v>
      </c>
      <c r="T1705" s="1" t="s">
        <v>273</v>
      </c>
      <c r="U1705" s="1">
        <v>155</v>
      </c>
      <c r="V1705" s="5">
        <v>43242</v>
      </c>
      <c r="W1705" s="5">
        <v>42830</v>
      </c>
      <c r="X1705" s="1">
        <v>2699990</v>
      </c>
      <c r="Y1705" s="1">
        <v>2399990</v>
      </c>
      <c r="Z1705" s="5">
        <v>42985</v>
      </c>
      <c r="AA1705" s="1">
        <v>2382705</v>
      </c>
      <c r="AB1705" s="1" t="s">
        <v>891</v>
      </c>
      <c r="AC1705" s="5">
        <v>43060</v>
      </c>
      <c r="AF1705" s="1">
        <v>10011</v>
      </c>
      <c r="AI1705" s="1" t="s">
        <v>102</v>
      </c>
      <c r="AJ1705" s="1">
        <v>2018</v>
      </c>
      <c r="AK1705" s="1" t="s">
        <v>108</v>
      </c>
      <c r="AL1705" s="1">
        <v>52</v>
      </c>
    </row>
    <row r="1706" spans="1:38" x14ac:dyDescent="0.2">
      <c r="A1706" s="2" t="str">
        <f>HYPERLINK("https://www.compass.com/listing/111-murray-street-unit-28b-manhattan-ny-10007/393457374565459137/","111 Murray St, Unit 28B")</f>
        <v>111 Murray St, Unit 28B</v>
      </c>
      <c r="B1706" s="2" t="str">
        <f>HYPERLINK("https://www.compass.com/building/111-murray-st-manhattan-ny-10007/281896511862746053/","111 Murray St")</f>
        <v>111 Murray St</v>
      </c>
      <c r="C1706" s="1" t="s">
        <v>50</v>
      </c>
      <c r="D1706" s="1" t="s">
        <v>41</v>
      </c>
      <c r="E1706" s="3">
        <v>3900000</v>
      </c>
      <c r="F1706" s="1">
        <v>2466.7931688804501</v>
      </c>
      <c r="G1706" s="1">
        <v>4</v>
      </c>
      <c r="H1706" s="1">
        <v>2</v>
      </c>
      <c r="I1706" s="1">
        <v>2</v>
      </c>
      <c r="J1706" s="1">
        <v>2</v>
      </c>
      <c r="K1706" s="1">
        <v>2</v>
      </c>
      <c r="M1706" s="4">
        <v>1581</v>
      </c>
      <c r="N1706" s="1">
        <v>1854</v>
      </c>
      <c r="O1706" s="1">
        <v>4369</v>
      </c>
      <c r="P1706" s="1">
        <v>2515</v>
      </c>
      <c r="Q1706" s="1" t="s">
        <v>42</v>
      </c>
      <c r="S1706" s="1" t="s">
        <v>42</v>
      </c>
      <c r="T1706" s="1" t="s">
        <v>273</v>
      </c>
      <c r="U1706" s="1">
        <v>101</v>
      </c>
      <c r="V1706" s="5">
        <v>43896</v>
      </c>
      <c r="W1706" s="5">
        <v>43794</v>
      </c>
      <c r="X1706" s="1">
        <v>4700000</v>
      </c>
      <c r="Y1706" s="1">
        <v>4200000</v>
      </c>
      <c r="AA1706" s="1">
        <v>3900000</v>
      </c>
      <c r="AB1706" s="1" t="s">
        <v>866</v>
      </c>
      <c r="AC1706" s="5">
        <v>43971</v>
      </c>
      <c r="AF1706" s="1">
        <v>10007</v>
      </c>
      <c r="AI1706" s="1" t="s">
        <v>107</v>
      </c>
      <c r="AJ1706" s="1">
        <v>2018</v>
      </c>
      <c r="AK1706" s="1" t="s">
        <v>49</v>
      </c>
      <c r="AL1706" s="1">
        <v>157</v>
      </c>
    </row>
    <row r="1707" spans="1:38" x14ac:dyDescent="0.2">
      <c r="A1707" s="2" t="str">
        <f>HYPERLINK("https://www.compass.com/listing/121-east-22nd-street-unit-s502-manhattan-ny-10010/34705205798978305/","121 E 22nd St, Unit S502")</f>
        <v>121 E 22nd St, Unit S502</v>
      </c>
      <c r="B1707" s="2" t="str">
        <f t="shared" ref="B1707:B1708" si="263">HYPERLINK("https://www.compass.com/building/121-e-22nd-manhattan-ny/292795784653461493/","121 E 22nd")</f>
        <v>121 E 22nd</v>
      </c>
      <c r="C1707" s="1" t="s">
        <v>64</v>
      </c>
      <c r="D1707" s="1" t="s">
        <v>41</v>
      </c>
      <c r="E1707" s="3">
        <v>2036500</v>
      </c>
      <c r="F1707" s="1">
        <v>2036.5</v>
      </c>
      <c r="G1707" s="1">
        <v>3</v>
      </c>
      <c r="H1707" s="1">
        <v>1</v>
      </c>
      <c r="I1707" s="1">
        <v>2</v>
      </c>
      <c r="J1707" s="1">
        <v>1.5</v>
      </c>
      <c r="K1707" s="1">
        <v>1</v>
      </c>
      <c r="L1707" s="1">
        <v>1</v>
      </c>
      <c r="M1707" s="4">
        <v>1000</v>
      </c>
      <c r="N1707" s="1">
        <v>1036</v>
      </c>
      <c r="O1707" s="1">
        <v>2864</v>
      </c>
      <c r="P1707" s="1">
        <v>1828</v>
      </c>
      <c r="Q1707" s="1" t="s">
        <v>42</v>
      </c>
      <c r="S1707" s="1" t="s">
        <v>42</v>
      </c>
      <c r="T1707" s="1" t="s">
        <v>273</v>
      </c>
      <c r="V1707" s="5">
        <v>44373</v>
      </c>
      <c r="W1707" s="5">
        <v>43315</v>
      </c>
      <c r="X1707" s="1">
        <v>2000000</v>
      </c>
      <c r="Y1707" s="1">
        <v>2000000</v>
      </c>
      <c r="Z1707" s="5">
        <v>43315</v>
      </c>
      <c r="AA1707" s="1">
        <v>2036500</v>
      </c>
      <c r="AB1707" s="1" t="s">
        <v>892</v>
      </c>
      <c r="AC1707" s="5">
        <v>43560</v>
      </c>
      <c r="AF1707" s="1">
        <v>10010</v>
      </c>
      <c r="AI1707" s="1" t="s">
        <v>106</v>
      </c>
      <c r="AJ1707" s="1">
        <v>2016</v>
      </c>
      <c r="AK1707" s="1" t="s">
        <v>46</v>
      </c>
      <c r="AL1707" s="1">
        <v>140</v>
      </c>
    </row>
    <row r="1708" spans="1:38" x14ac:dyDescent="0.2">
      <c r="A1708" s="2" t="str">
        <f>HYPERLINK("https://www.compass.com/listing/121-east-22nd-street-unit-s302-manhattan-ny-10010/99043158578468993/","121 E 22nd St, Unit S302")</f>
        <v>121 E 22nd St, Unit S302</v>
      </c>
      <c r="B1708" s="2" t="str">
        <f t="shared" si="263"/>
        <v>121 E 22nd</v>
      </c>
      <c r="C1708" s="1" t="s">
        <v>64</v>
      </c>
      <c r="D1708" s="1" t="s">
        <v>41</v>
      </c>
      <c r="E1708" s="3">
        <v>1787029</v>
      </c>
      <c r="G1708" s="1">
        <v>3</v>
      </c>
      <c r="H1708" s="1">
        <v>1</v>
      </c>
      <c r="I1708" s="1">
        <v>2</v>
      </c>
      <c r="J1708" s="1">
        <v>1.5</v>
      </c>
      <c r="K1708" s="1">
        <v>1</v>
      </c>
      <c r="L1708" s="1">
        <v>1</v>
      </c>
      <c r="Q1708" s="1" t="s">
        <v>42</v>
      </c>
      <c r="S1708" s="1" t="s">
        <v>42</v>
      </c>
      <c r="T1708" s="1" t="s">
        <v>273</v>
      </c>
      <c r="V1708" s="5">
        <v>44334</v>
      </c>
      <c r="W1708" s="5">
        <v>43388</v>
      </c>
      <c r="X1708" s="1">
        <v>1980000</v>
      </c>
      <c r="Y1708" s="1">
        <v>1980000</v>
      </c>
      <c r="Z1708" s="5">
        <v>43388</v>
      </c>
      <c r="AA1708" s="1">
        <v>1787028.75</v>
      </c>
      <c r="AB1708" s="1" t="s">
        <v>893</v>
      </c>
      <c r="AC1708" s="5">
        <v>43529</v>
      </c>
      <c r="AF1708" s="1">
        <v>10010</v>
      </c>
      <c r="AI1708" s="1" t="s">
        <v>106</v>
      </c>
      <c r="AJ1708" s="1">
        <v>2016</v>
      </c>
      <c r="AK1708" s="1" t="s">
        <v>46</v>
      </c>
      <c r="AL1708" s="1">
        <v>140</v>
      </c>
    </row>
    <row r="1709" spans="1:38" x14ac:dyDescent="0.2">
      <c r="A1709" s="2" t="str">
        <f>HYPERLINK("https://www.compass.com/listing/45-east-22nd-street-unit-29a-manhattan-ny-10010/29375860339480353/","45 E 22nd St, Unit 29A")</f>
        <v>45 E 22nd St, Unit 29A</v>
      </c>
      <c r="B1709" s="2" t="str">
        <f>HYPERLINK("https://www.compass.com/building/madison-square-park-tower-manhattan-ny/281903584482705973/","Madison Square Park Tower")</f>
        <v>Madison Square Park Tower</v>
      </c>
      <c r="C1709" s="1" t="s">
        <v>56</v>
      </c>
      <c r="D1709" s="1" t="s">
        <v>41</v>
      </c>
      <c r="E1709" s="3">
        <v>5915576</v>
      </c>
      <c r="F1709" s="1">
        <v>3005.8821138211301</v>
      </c>
      <c r="G1709" s="1">
        <v>4</v>
      </c>
      <c r="H1709" s="1">
        <v>2</v>
      </c>
      <c r="I1709" s="1">
        <v>2</v>
      </c>
      <c r="J1709" s="1">
        <v>2</v>
      </c>
      <c r="K1709" s="1">
        <v>2</v>
      </c>
      <c r="M1709" s="4">
        <v>1968</v>
      </c>
      <c r="N1709" s="1">
        <v>2679</v>
      </c>
      <c r="O1709" s="1">
        <v>6127</v>
      </c>
      <c r="P1709" s="1">
        <v>3448</v>
      </c>
      <c r="Q1709" s="1" t="s">
        <v>42</v>
      </c>
      <c r="S1709" s="1" t="s">
        <v>42</v>
      </c>
      <c r="T1709" s="1" t="s">
        <v>273</v>
      </c>
      <c r="V1709" s="5">
        <v>43670</v>
      </c>
      <c r="W1709" s="5">
        <v>42164</v>
      </c>
      <c r="X1709" s="1">
        <v>5935000</v>
      </c>
      <c r="Y1709" s="1">
        <v>5935000</v>
      </c>
      <c r="Z1709" s="5">
        <v>42164</v>
      </c>
      <c r="AA1709" s="1">
        <v>5915576</v>
      </c>
      <c r="AB1709" s="1" t="s">
        <v>624</v>
      </c>
      <c r="AC1709" s="5">
        <v>43175</v>
      </c>
      <c r="AF1709" s="1">
        <v>10010</v>
      </c>
      <c r="AI1709" s="1" t="s">
        <v>48</v>
      </c>
      <c r="AJ1709" s="1">
        <v>2016</v>
      </c>
      <c r="AK1709" s="1" t="s">
        <v>46</v>
      </c>
      <c r="AL1709" s="1">
        <v>83</v>
      </c>
    </row>
    <row r="1710" spans="1:38" x14ac:dyDescent="0.2">
      <c r="A1710" s="2" t="str">
        <f>HYPERLINK("https://www.compass.com/listing/121-east-22nd-street-unit-n1502-manhattan-ny-10010/375310258042815297/","121 E 22nd St, Unit N1502")</f>
        <v>121 E 22nd St, Unit N1502</v>
      </c>
      <c r="B1710" s="2" t="str">
        <f t="shared" ref="B1710:B1711" si="264">HYPERLINK("https://www.compass.com/building/121-e-22nd-manhattan-ny/292795784653461493/","121 E 22nd")</f>
        <v>121 E 22nd</v>
      </c>
      <c r="C1710" s="1" t="s">
        <v>64</v>
      </c>
      <c r="D1710" s="1" t="s">
        <v>41</v>
      </c>
      <c r="E1710" s="3">
        <v>4215000</v>
      </c>
      <c r="F1710" s="1">
        <v>2272.2371967654899</v>
      </c>
      <c r="G1710" s="1">
        <v>5</v>
      </c>
      <c r="H1710" s="1">
        <v>3</v>
      </c>
      <c r="I1710" s="1">
        <v>4</v>
      </c>
      <c r="J1710" s="1">
        <v>3.5</v>
      </c>
      <c r="K1710" s="1">
        <v>3</v>
      </c>
      <c r="L1710" s="1">
        <v>1</v>
      </c>
      <c r="M1710" s="4">
        <v>1855</v>
      </c>
      <c r="N1710" s="1">
        <v>2089</v>
      </c>
      <c r="O1710" s="1">
        <v>6349</v>
      </c>
      <c r="P1710" s="1">
        <v>4260</v>
      </c>
      <c r="Q1710" s="1" t="s">
        <v>42</v>
      </c>
      <c r="S1710" s="1" t="s">
        <v>42</v>
      </c>
      <c r="T1710" s="1" t="s">
        <v>273</v>
      </c>
      <c r="U1710" s="1">
        <v>132</v>
      </c>
      <c r="V1710" s="5">
        <v>44134</v>
      </c>
      <c r="W1710" s="5">
        <v>43770</v>
      </c>
      <c r="X1710" s="1">
        <v>4635000</v>
      </c>
      <c r="Y1710" s="1">
        <v>4415000</v>
      </c>
      <c r="Z1710" s="5">
        <v>43902</v>
      </c>
      <c r="AA1710" s="1">
        <v>4215000</v>
      </c>
      <c r="AB1710" s="1" t="s">
        <v>275</v>
      </c>
      <c r="AC1710" s="5">
        <v>43976</v>
      </c>
      <c r="AF1710" s="1">
        <v>10010</v>
      </c>
      <c r="AI1710" s="1" t="s">
        <v>148</v>
      </c>
      <c r="AJ1710" s="1">
        <v>2016</v>
      </c>
      <c r="AK1710" s="1" t="s">
        <v>46</v>
      </c>
      <c r="AL1710" s="1">
        <v>140</v>
      </c>
    </row>
    <row r="1711" spans="1:38" x14ac:dyDescent="0.2">
      <c r="A1711" s="2" t="str">
        <f>HYPERLINK("https://www.compass.com/listing/121-east-22nd-street-unit-n1602-manhattan-ny-10010/471602643526430721/","121 E 22nd St, Unit N1602")</f>
        <v>121 E 22nd St, Unit N1602</v>
      </c>
      <c r="B1711" s="2" t="str">
        <f t="shared" si="264"/>
        <v>121 E 22nd</v>
      </c>
      <c r="C1711" s="1" t="s">
        <v>64</v>
      </c>
      <c r="D1711" s="1" t="s">
        <v>41</v>
      </c>
      <c r="E1711" s="3">
        <v>4000000</v>
      </c>
      <c r="F1711" s="1">
        <v>2156.3342318059299</v>
      </c>
      <c r="G1711" s="1">
        <v>4.5</v>
      </c>
      <c r="H1711" s="1">
        <v>3</v>
      </c>
      <c r="I1711" s="1">
        <v>4</v>
      </c>
      <c r="J1711" s="1">
        <v>3.5</v>
      </c>
      <c r="K1711" s="1">
        <v>3</v>
      </c>
      <c r="L1711" s="1">
        <v>1</v>
      </c>
      <c r="M1711" s="4">
        <v>1855</v>
      </c>
      <c r="N1711" s="1">
        <v>2066</v>
      </c>
      <c r="O1711" s="1">
        <v>6220</v>
      </c>
      <c r="P1711" s="1">
        <v>4154</v>
      </c>
      <c r="Q1711" s="1" t="s">
        <v>42</v>
      </c>
      <c r="S1711" s="1" t="s">
        <v>42</v>
      </c>
      <c r="T1711" s="1" t="s">
        <v>273</v>
      </c>
      <c r="U1711" s="1">
        <v>192</v>
      </c>
      <c r="V1711" s="5">
        <v>44239</v>
      </c>
      <c r="W1711" s="5">
        <v>43903</v>
      </c>
      <c r="X1711" s="1">
        <v>4635000</v>
      </c>
      <c r="Y1711" s="1">
        <v>4680000</v>
      </c>
      <c r="Z1711" s="5">
        <v>44189</v>
      </c>
      <c r="AA1711" s="1">
        <v>4000000</v>
      </c>
      <c r="AB1711" s="1" t="s">
        <v>275</v>
      </c>
      <c r="AC1711" s="5">
        <v>44239</v>
      </c>
      <c r="AF1711" s="1">
        <v>10010</v>
      </c>
      <c r="AI1711" s="1" t="s">
        <v>148</v>
      </c>
      <c r="AJ1711" s="1">
        <v>2016</v>
      </c>
      <c r="AK1711" s="1" t="s">
        <v>46</v>
      </c>
      <c r="AL1711" s="1">
        <v>140</v>
      </c>
    </row>
    <row r="1712" spans="1:38" x14ac:dyDescent="0.2">
      <c r="A1712" s="2" t="str">
        <f>HYPERLINK("https://www.compass.com/listing/55-west-17th-street-unit-404-manhattan-ny-10011/29374458661816577/","55 W 17th St, Unit 404")</f>
        <v>55 W 17th St, Unit 404</v>
      </c>
      <c r="B1712" s="2" t="str">
        <f t="shared" ref="B1712:B1717" si="265">HYPERLINK("https://www.compass.com/building/55-w-17th-st-manhattan-ny-10011/281911689161499829/","55 W 17th St")</f>
        <v>55 W 17th St</v>
      </c>
      <c r="C1712" s="1" t="s">
        <v>56</v>
      </c>
      <c r="D1712" s="1" t="s">
        <v>41</v>
      </c>
      <c r="E1712" s="3">
        <v>2799990</v>
      </c>
      <c r="F1712" s="1">
        <v>2075.60415122312</v>
      </c>
      <c r="G1712" s="1">
        <v>4</v>
      </c>
      <c r="H1712" s="1">
        <v>2</v>
      </c>
      <c r="I1712" s="1">
        <v>2</v>
      </c>
      <c r="J1712" s="1">
        <v>2</v>
      </c>
      <c r="M1712" s="4">
        <v>1349</v>
      </c>
      <c r="N1712" s="1">
        <v>1670</v>
      </c>
      <c r="O1712" s="1">
        <v>3637</v>
      </c>
      <c r="P1712" s="1">
        <v>1967</v>
      </c>
      <c r="Q1712" s="1" t="s">
        <v>42</v>
      </c>
      <c r="S1712" s="1" t="s">
        <v>42</v>
      </c>
      <c r="T1712" s="1" t="s">
        <v>273</v>
      </c>
      <c r="U1712" s="1">
        <v>137</v>
      </c>
      <c r="V1712" s="5">
        <v>43664</v>
      </c>
      <c r="W1712" s="5">
        <v>42711</v>
      </c>
      <c r="X1712" s="1">
        <v>2799990</v>
      </c>
      <c r="Y1712" s="1">
        <v>2799990</v>
      </c>
      <c r="Z1712" s="5">
        <v>42848</v>
      </c>
      <c r="AA1712" s="1">
        <v>2799990</v>
      </c>
      <c r="AB1712" s="1" t="s">
        <v>894</v>
      </c>
      <c r="AC1712" s="5">
        <v>42885</v>
      </c>
      <c r="AF1712" s="1">
        <v>10011</v>
      </c>
      <c r="AI1712" s="1" t="s">
        <v>102</v>
      </c>
      <c r="AJ1712" s="1">
        <v>2018</v>
      </c>
      <c r="AK1712" s="1" t="s">
        <v>108</v>
      </c>
      <c r="AL1712" s="1">
        <v>52</v>
      </c>
    </row>
    <row r="1713" spans="1:38" x14ac:dyDescent="0.2">
      <c r="A1713" s="2" t="str">
        <f>HYPERLINK("https://www.compass.com/listing/55-west-17th-street-unit-703-manhattan-ny-10011/4867634500370180305/","55 W 17th St, Unit 703")</f>
        <v>55 W 17th St, Unit 703</v>
      </c>
      <c r="B1713" s="2" t="str">
        <f t="shared" si="265"/>
        <v>55 W 17th St</v>
      </c>
      <c r="C1713" s="1" t="s">
        <v>56</v>
      </c>
      <c r="D1713" s="1" t="s">
        <v>41</v>
      </c>
      <c r="E1713" s="3">
        <v>2649990</v>
      </c>
      <c r="F1713" s="1">
        <v>2156.2164361269301</v>
      </c>
      <c r="G1713" s="1">
        <v>4</v>
      </c>
      <c r="H1713" s="1">
        <v>2</v>
      </c>
      <c r="I1713" s="1">
        <v>2</v>
      </c>
      <c r="J1713" s="1">
        <v>2</v>
      </c>
      <c r="M1713" s="4">
        <v>1229</v>
      </c>
      <c r="N1713" s="1">
        <v>1526</v>
      </c>
      <c r="O1713" s="1">
        <v>3324</v>
      </c>
      <c r="P1713" s="1">
        <v>1798</v>
      </c>
      <c r="Q1713" s="1" t="s">
        <v>42</v>
      </c>
      <c r="S1713" s="1" t="s">
        <v>42</v>
      </c>
      <c r="T1713" s="1" t="s">
        <v>273</v>
      </c>
      <c r="V1713" s="5">
        <v>43662</v>
      </c>
      <c r="W1713" s="5">
        <v>42425</v>
      </c>
      <c r="X1713" s="1">
        <v>2649990</v>
      </c>
      <c r="Y1713" s="1">
        <v>2649990</v>
      </c>
      <c r="Z1713" s="5">
        <v>42425</v>
      </c>
      <c r="AA1713" s="1">
        <v>2649990</v>
      </c>
      <c r="AB1713" s="1" t="s">
        <v>895</v>
      </c>
      <c r="AC1713" s="5">
        <v>43242</v>
      </c>
      <c r="AF1713" s="1">
        <v>10011</v>
      </c>
      <c r="AI1713" s="1" t="s">
        <v>102</v>
      </c>
      <c r="AJ1713" s="1">
        <v>2018</v>
      </c>
      <c r="AK1713" s="1" t="s">
        <v>108</v>
      </c>
      <c r="AL1713" s="1">
        <v>52</v>
      </c>
    </row>
    <row r="1714" spans="1:38" x14ac:dyDescent="0.2">
      <c r="A1714" s="2" t="str">
        <f>HYPERLINK("https://www.compass.com/listing/55-west-17th-street-unit-1103-manhattan-ny-10011/4869021421168238513/","55 W 17th St, Unit 1103")</f>
        <v>55 W 17th St, Unit 1103</v>
      </c>
      <c r="B1714" s="2" t="str">
        <f t="shared" si="265"/>
        <v>55 W 17th St</v>
      </c>
      <c r="C1714" s="1" t="s">
        <v>56</v>
      </c>
      <c r="D1714" s="1" t="s">
        <v>41</v>
      </c>
      <c r="E1714" s="3">
        <v>2949990</v>
      </c>
      <c r="F1714" s="1">
        <v>2400.3173311635401</v>
      </c>
      <c r="G1714" s="1">
        <v>4</v>
      </c>
      <c r="H1714" s="1">
        <v>2</v>
      </c>
      <c r="I1714" s="1">
        <v>2</v>
      </c>
      <c r="J1714" s="1">
        <v>2</v>
      </c>
      <c r="M1714" s="4">
        <v>1229</v>
      </c>
      <c r="N1714" s="1">
        <v>1532</v>
      </c>
      <c r="O1714" s="1">
        <v>3337</v>
      </c>
      <c r="P1714" s="1">
        <v>1805</v>
      </c>
      <c r="Q1714" s="1" t="s">
        <v>42</v>
      </c>
      <c r="S1714" s="1" t="s">
        <v>42</v>
      </c>
      <c r="T1714" s="1" t="s">
        <v>273</v>
      </c>
      <c r="U1714" s="1">
        <v>103</v>
      </c>
      <c r="V1714" s="5">
        <v>43664</v>
      </c>
      <c r="W1714" s="5">
        <v>42526</v>
      </c>
      <c r="X1714" s="1">
        <v>2949990</v>
      </c>
      <c r="Y1714" s="1">
        <v>2949990</v>
      </c>
      <c r="Z1714" s="5">
        <v>42629</v>
      </c>
      <c r="AA1714" s="1">
        <v>2949990</v>
      </c>
      <c r="AB1714" s="1" t="s">
        <v>896</v>
      </c>
      <c r="AC1714" s="5">
        <v>43242</v>
      </c>
      <c r="AF1714" s="1">
        <v>10011</v>
      </c>
      <c r="AI1714" s="1" t="s">
        <v>102</v>
      </c>
      <c r="AJ1714" s="1">
        <v>2018</v>
      </c>
      <c r="AK1714" s="1" t="s">
        <v>108</v>
      </c>
      <c r="AL1714" s="1">
        <v>52</v>
      </c>
    </row>
    <row r="1715" spans="1:38" x14ac:dyDescent="0.2">
      <c r="A1715" s="2" t="str">
        <f>HYPERLINK("https://www.compass.com/listing/55-west-17th-street-unit-903-manhattan-ny-10011/803304831532020529/","55 W 17th St, Unit 903")</f>
        <v>55 W 17th St, Unit 903</v>
      </c>
      <c r="B1715" s="2" t="str">
        <f t="shared" si="265"/>
        <v>55 W 17th St</v>
      </c>
      <c r="C1715" s="1" t="s">
        <v>56</v>
      </c>
      <c r="D1715" s="1" t="s">
        <v>41</v>
      </c>
      <c r="E1715" s="3">
        <v>2771147</v>
      </c>
      <c r="F1715" s="1">
        <v>2254.7982099267601</v>
      </c>
      <c r="G1715" s="1">
        <v>4</v>
      </c>
      <c r="H1715" s="1">
        <v>2</v>
      </c>
      <c r="I1715" s="1">
        <v>2</v>
      </c>
      <c r="J1715" s="1">
        <v>2</v>
      </c>
      <c r="M1715" s="4">
        <v>1229</v>
      </c>
      <c r="N1715" s="1">
        <v>1529</v>
      </c>
      <c r="O1715" s="1">
        <v>3330</v>
      </c>
      <c r="P1715" s="1">
        <v>1801</v>
      </c>
      <c r="Q1715" s="1" t="s">
        <v>42</v>
      </c>
      <c r="S1715" s="1" t="s">
        <v>42</v>
      </c>
      <c r="T1715" s="1" t="s">
        <v>273</v>
      </c>
      <c r="U1715" s="1">
        <v>511</v>
      </c>
      <c r="V1715" s="5">
        <v>43242</v>
      </c>
      <c r="W1715" s="5">
        <v>42303</v>
      </c>
      <c r="X1715" s="1">
        <v>2849990</v>
      </c>
      <c r="Y1715" s="1">
        <v>2849990</v>
      </c>
      <c r="Z1715" s="5">
        <v>42815</v>
      </c>
      <c r="AA1715" s="1">
        <v>2771147</v>
      </c>
      <c r="AB1715" s="1" t="s">
        <v>897</v>
      </c>
      <c r="AC1715" s="5">
        <v>42958</v>
      </c>
      <c r="AF1715" s="1">
        <v>10011</v>
      </c>
      <c r="AI1715" s="1" t="s">
        <v>102</v>
      </c>
      <c r="AJ1715" s="1">
        <v>2018</v>
      </c>
      <c r="AK1715" s="1" t="s">
        <v>108</v>
      </c>
      <c r="AL1715" s="1">
        <v>52</v>
      </c>
    </row>
    <row r="1716" spans="1:38" x14ac:dyDescent="0.2">
      <c r="A1716" s="2" t="str">
        <f>HYPERLINK("https://www.compass.com/listing/55-west-17th-street-unit-503-manhattan-ny-10011/803345349951528561/","55 W 17th St, Unit 503")</f>
        <v>55 W 17th St, Unit 503</v>
      </c>
      <c r="B1716" s="2" t="str">
        <f t="shared" si="265"/>
        <v>55 W 17th St</v>
      </c>
      <c r="C1716" s="1" t="s">
        <v>56</v>
      </c>
      <c r="D1716" s="1" t="s">
        <v>41</v>
      </c>
      <c r="E1716" s="3">
        <v>2624529</v>
      </c>
      <c r="F1716" s="1">
        <v>2135.4997477624001</v>
      </c>
      <c r="G1716" s="1">
        <v>4</v>
      </c>
      <c r="H1716" s="1">
        <v>2</v>
      </c>
      <c r="I1716" s="1">
        <v>2</v>
      </c>
      <c r="J1716" s="1">
        <v>2</v>
      </c>
      <c r="M1716" s="4">
        <v>1229</v>
      </c>
      <c r="N1716" s="1">
        <v>1523</v>
      </c>
      <c r="O1716" s="1">
        <v>3317</v>
      </c>
      <c r="P1716" s="1">
        <v>1794</v>
      </c>
      <c r="Q1716" s="1" t="s">
        <v>42</v>
      </c>
      <c r="S1716" s="1" t="s">
        <v>42</v>
      </c>
      <c r="T1716" s="1" t="s">
        <v>273</v>
      </c>
      <c r="U1716" s="1">
        <v>73</v>
      </c>
      <c r="V1716" s="5">
        <v>43242</v>
      </c>
      <c r="W1716" s="5">
        <v>42276</v>
      </c>
      <c r="X1716" s="1">
        <v>2549990</v>
      </c>
      <c r="Y1716" s="1">
        <v>2549990</v>
      </c>
      <c r="Z1716" s="5">
        <v>42350</v>
      </c>
      <c r="AA1716" s="1">
        <v>2624529.19</v>
      </c>
      <c r="AB1716" s="1" t="s">
        <v>898</v>
      </c>
      <c r="AC1716" s="5">
        <v>42873</v>
      </c>
      <c r="AF1716" s="1">
        <v>10011</v>
      </c>
      <c r="AI1716" s="1" t="s">
        <v>102</v>
      </c>
      <c r="AJ1716" s="1">
        <v>2018</v>
      </c>
      <c r="AK1716" s="1" t="s">
        <v>108</v>
      </c>
      <c r="AL1716" s="1">
        <v>52</v>
      </c>
    </row>
    <row r="1717" spans="1:38" x14ac:dyDescent="0.2">
      <c r="A1717" s="2" t="str">
        <f>HYPERLINK("https://www.compass.com/listing/55-west-17th-street-unit-1003-manhattan-ny-10011/803370470384365729/","55 W 17th St, Unit 1003")</f>
        <v>55 W 17th St, Unit 1003</v>
      </c>
      <c r="B1717" s="2" t="str">
        <f t="shared" si="265"/>
        <v>55 W 17th St</v>
      </c>
      <c r="C1717" s="1" t="s">
        <v>56</v>
      </c>
      <c r="D1717" s="1" t="s">
        <v>41</v>
      </c>
      <c r="E1717" s="3">
        <v>2851090</v>
      </c>
      <c r="F1717" s="1">
        <v>2319.84525630593</v>
      </c>
      <c r="G1717" s="1">
        <v>4</v>
      </c>
      <c r="H1717" s="1">
        <v>2</v>
      </c>
      <c r="I1717" s="1">
        <v>2</v>
      </c>
      <c r="J1717" s="1">
        <v>2</v>
      </c>
      <c r="M1717" s="4">
        <v>1229</v>
      </c>
      <c r="N1717" s="1">
        <v>1531</v>
      </c>
      <c r="O1717" s="1">
        <v>3334</v>
      </c>
      <c r="P1717" s="1">
        <v>1803</v>
      </c>
      <c r="Q1717" s="1" t="s">
        <v>42</v>
      </c>
      <c r="S1717" s="1" t="s">
        <v>42</v>
      </c>
      <c r="T1717" s="1" t="s">
        <v>273</v>
      </c>
      <c r="U1717" s="1">
        <v>73</v>
      </c>
      <c r="V1717" s="5">
        <v>43242</v>
      </c>
      <c r="W1717" s="5">
        <v>42276</v>
      </c>
      <c r="X1717" s="1">
        <v>2799990</v>
      </c>
      <c r="Y1717" s="1">
        <v>2799990</v>
      </c>
      <c r="Z1717" s="5">
        <v>42350</v>
      </c>
      <c r="AA1717" s="1">
        <v>2851089.82</v>
      </c>
      <c r="AB1717" s="1" t="s">
        <v>899</v>
      </c>
      <c r="AC1717" s="5">
        <v>42835</v>
      </c>
      <c r="AF1717" s="1">
        <v>10011</v>
      </c>
      <c r="AI1717" s="1" t="s">
        <v>102</v>
      </c>
      <c r="AJ1717" s="1">
        <v>2018</v>
      </c>
      <c r="AK1717" s="1" t="s">
        <v>108</v>
      </c>
      <c r="AL1717" s="1">
        <v>52</v>
      </c>
    </row>
    <row r="1718" spans="1:38" x14ac:dyDescent="0.2">
      <c r="A1718" s="2" t="str">
        <f>HYPERLINK("https://www.compass.com/listing/121-east-22nd-street-unit-n202-manhattan-ny-10010/34697255042727585/","121 E 22nd St, Unit N202")</f>
        <v>121 E 22nd St, Unit N202</v>
      </c>
      <c r="B1718" s="2" t="str">
        <f t="shared" ref="B1718:B1722" si="266">HYPERLINK("https://www.compass.com/building/121-e-22nd-manhattan-ny/292795784653461493/","121 E 22nd")</f>
        <v>121 E 22nd</v>
      </c>
      <c r="C1718" s="1" t="s">
        <v>64</v>
      </c>
      <c r="D1718" s="1" t="s">
        <v>41</v>
      </c>
      <c r="E1718" s="3">
        <v>1525000</v>
      </c>
      <c r="F1718" s="1">
        <v>1878.07881773399</v>
      </c>
      <c r="G1718" s="1">
        <v>3</v>
      </c>
      <c r="H1718" s="1">
        <v>1</v>
      </c>
      <c r="I1718" s="1">
        <v>1</v>
      </c>
      <c r="J1718" s="1">
        <v>1</v>
      </c>
      <c r="K1718" s="1">
        <v>1</v>
      </c>
      <c r="M1718" s="1">
        <v>812</v>
      </c>
      <c r="N1718" s="1">
        <v>824</v>
      </c>
      <c r="O1718" s="1">
        <v>2275</v>
      </c>
      <c r="P1718" s="1">
        <v>1451</v>
      </c>
      <c r="Q1718" s="1" t="s">
        <v>42</v>
      </c>
      <c r="S1718" s="1" t="s">
        <v>42</v>
      </c>
      <c r="T1718" s="1" t="s">
        <v>273</v>
      </c>
      <c r="V1718" s="5">
        <v>44373</v>
      </c>
      <c r="W1718" s="5">
        <v>43315</v>
      </c>
      <c r="X1718" s="1">
        <v>1525000</v>
      </c>
      <c r="Y1718" s="1">
        <v>1525000</v>
      </c>
      <c r="Z1718" s="5">
        <v>43315</v>
      </c>
      <c r="AA1718" s="1">
        <v>1525000</v>
      </c>
      <c r="AB1718" s="1" t="s">
        <v>275</v>
      </c>
      <c r="AC1718" s="5">
        <v>43533</v>
      </c>
      <c r="AF1718" s="1">
        <v>10010</v>
      </c>
      <c r="AI1718" s="1" t="s">
        <v>106</v>
      </c>
      <c r="AJ1718" s="1">
        <v>2016</v>
      </c>
      <c r="AK1718" s="1" t="s">
        <v>46</v>
      </c>
      <c r="AL1718" s="1">
        <v>140</v>
      </c>
    </row>
    <row r="1719" spans="1:38" x14ac:dyDescent="0.2">
      <c r="A1719" s="2" t="str">
        <f>HYPERLINK("https://www.compass.com/listing/121-east-22nd-street-unit-n304-manhattan-ny-10010/34697319660143873/","121 E 22nd St, Unit N304")</f>
        <v>121 E 22nd St, Unit N304</v>
      </c>
      <c r="B1719" s="2" t="str">
        <f t="shared" si="266"/>
        <v>121 E 22nd</v>
      </c>
      <c r="C1719" s="1" t="s">
        <v>64</v>
      </c>
      <c r="D1719" s="1" t="s">
        <v>41</v>
      </c>
      <c r="E1719" s="3">
        <v>1578288</v>
      </c>
      <c r="F1719" s="1">
        <v>2023.44551282051</v>
      </c>
      <c r="G1719" s="1">
        <v>3</v>
      </c>
      <c r="H1719" s="1">
        <v>1</v>
      </c>
      <c r="I1719" s="1">
        <v>1</v>
      </c>
      <c r="J1719" s="1">
        <v>1</v>
      </c>
      <c r="K1719" s="1">
        <v>1</v>
      </c>
      <c r="M1719" s="1">
        <v>780</v>
      </c>
      <c r="N1719" s="1">
        <v>784</v>
      </c>
      <c r="O1719" s="1">
        <v>2168</v>
      </c>
      <c r="P1719" s="1">
        <v>1384</v>
      </c>
      <c r="Q1719" s="1" t="s">
        <v>42</v>
      </c>
      <c r="S1719" s="1" t="s">
        <v>42</v>
      </c>
      <c r="T1719" s="1" t="s">
        <v>273</v>
      </c>
      <c r="U1719" s="1">
        <v>539</v>
      </c>
      <c r="V1719" s="5">
        <v>44373</v>
      </c>
      <c r="W1719" s="5">
        <v>42760</v>
      </c>
      <c r="X1719" s="1">
        <v>1495000</v>
      </c>
      <c r="Y1719" s="1">
        <v>1550000</v>
      </c>
      <c r="Z1719" s="5">
        <v>43300</v>
      </c>
      <c r="AA1719" s="1">
        <v>1578287.5</v>
      </c>
      <c r="AB1719" s="1" t="s">
        <v>900</v>
      </c>
      <c r="AC1719" s="5">
        <v>43605</v>
      </c>
      <c r="AF1719" s="1">
        <v>10010</v>
      </c>
      <c r="AI1719" s="1" t="s">
        <v>106</v>
      </c>
      <c r="AJ1719" s="1">
        <v>2016</v>
      </c>
      <c r="AK1719" s="1" t="s">
        <v>46</v>
      </c>
      <c r="AL1719" s="1">
        <v>140</v>
      </c>
    </row>
    <row r="1720" spans="1:38" x14ac:dyDescent="0.2">
      <c r="A1720" s="2" t="str">
        <f>HYPERLINK("https://www.compass.com/listing/121-east-22nd-street-unit-n704-manhattan-ny-10010/34697997946227297/","121 E 22nd St, Unit N704")</f>
        <v>121 E 22nd St, Unit N704</v>
      </c>
      <c r="B1720" s="2" t="str">
        <f t="shared" si="266"/>
        <v>121 E 22nd</v>
      </c>
      <c r="C1720" s="1" t="s">
        <v>64</v>
      </c>
      <c r="D1720" s="1" t="s">
        <v>41</v>
      </c>
      <c r="E1720" s="3">
        <v>1674003</v>
      </c>
      <c r="F1720" s="1">
        <v>2146.15769230769</v>
      </c>
      <c r="G1720" s="1">
        <v>3</v>
      </c>
      <c r="H1720" s="1">
        <v>1</v>
      </c>
      <c r="I1720" s="1">
        <v>1</v>
      </c>
      <c r="J1720" s="1">
        <v>1</v>
      </c>
      <c r="K1720" s="1">
        <v>1</v>
      </c>
      <c r="M1720" s="1">
        <v>780</v>
      </c>
      <c r="N1720" s="1">
        <v>838</v>
      </c>
      <c r="O1720" s="1">
        <v>2321</v>
      </c>
      <c r="P1720" s="1">
        <v>1483</v>
      </c>
      <c r="Q1720" s="1" t="s">
        <v>42</v>
      </c>
      <c r="S1720" s="1" t="s">
        <v>42</v>
      </c>
      <c r="T1720" s="1" t="s">
        <v>273</v>
      </c>
      <c r="V1720" s="5">
        <v>44373</v>
      </c>
      <c r="W1720" s="5">
        <v>43315</v>
      </c>
      <c r="X1720" s="1">
        <v>1644000</v>
      </c>
      <c r="Y1720" s="1">
        <v>1644000</v>
      </c>
      <c r="Z1720" s="5">
        <v>43315</v>
      </c>
      <c r="AA1720" s="1">
        <v>1674003</v>
      </c>
      <c r="AB1720" s="1" t="s">
        <v>901</v>
      </c>
      <c r="AC1720" s="5">
        <v>43559</v>
      </c>
      <c r="AF1720" s="1">
        <v>10010</v>
      </c>
      <c r="AI1720" s="1" t="s">
        <v>106</v>
      </c>
      <c r="AJ1720" s="1">
        <v>2016</v>
      </c>
      <c r="AK1720" s="1" t="s">
        <v>46</v>
      </c>
      <c r="AL1720" s="1">
        <v>140</v>
      </c>
    </row>
    <row r="1721" spans="1:38" x14ac:dyDescent="0.2">
      <c r="A1721" s="2" t="str">
        <f>HYPERLINK("https://www.compass.com/listing/121-east-22nd-street-unit-n1103-manhattan-ny-10010/34698281346999777/","121 E 22nd St, Unit N1103")</f>
        <v>121 E 22nd St, Unit N1103</v>
      </c>
      <c r="B1721" s="2" t="str">
        <f t="shared" si="266"/>
        <v>121 E 22nd</v>
      </c>
      <c r="C1721" s="1" t="s">
        <v>64</v>
      </c>
      <c r="D1721" s="1" t="s">
        <v>41</v>
      </c>
      <c r="E1721" s="3">
        <v>1464447</v>
      </c>
      <c r="F1721" s="1">
        <v>2377.34926948051</v>
      </c>
      <c r="G1721" s="1">
        <v>3</v>
      </c>
      <c r="H1721" s="1">
        <v>1</v>
      </c>
      <c r="I1721" s="1">
        <v>1</v>
      </c>
      <c r="J1721" s="1">
        <v>1</v>
      </c>
      <c r="K1721" s="1">
        <v>1</v>
      </c>
      <c r="M1721" s="1">
        <v>616</v>
      </c>
      <c r="N1721" s="1">
        <v>714</v>
      </c>
      <c r="O1721" s="1">
        <v>1984</v>
      </c>
      <c r="P1721" s="1">
        <v>1270</v>
      </c>
      <c r="Q1721" s="1" t="s">
        <v>42</v>
      </c>
      <c r="S1721" s="1" t="s">
        <v>42</v>
      </c>
      <c r="T1721" s="1" t="s">
        <v>273</v>
      </c>
      <c r="U1721" s="1">
        <v>342</v>
      </c>
      <c r="V1721" s="5">
        <v>44373</v>
      </c>
      <c r="W1721" s="5">
        <v>42957</v>
      </c>
      <c r="X1721" s="1">
        <v>1395000</v>
      </c>
      <c r="Y1721" s="1">
        <v>1395000</v>
      </c>
      <c r="Z1721" s="5">
        <v>43300</v>
      </c>
      <c r="AA1721" s="1">
        <v>1464447.15</v>
      </c>
      <c r="AB1721" s="1" t="s">
        <v>902</v>
      </c>
      <c r="AC1721" s="5">
        <v>43739</v>
      </c>
      <c r="AF1721" s="1">
        <v>10010</v>
      </c>
      <c r="AI1721" s="1" t="s">
        <v>106</v>
      </c>
      <c r="AJ1721" s="1">
        <v>2016</v>
      </c>
      <c r="AK1721" s="1" t="s">
        <v>46</v>
      </c>
      <c r="AL1721" s="1">
        <v>140</v>
      </c>
    </row>
    <row r="1722" spans="1:38" x14ac:dyDescent="0.2">
      <c r="A1722" s="2" t="str">
        <f>HYPERLINK("https://www.compass.com/listing/121-east-22nd-street-unit-n504-manhattan-ny-10010/34698287009252017/","121 E 22nd St, Unit N504")</f>
        <v>121 E 22nd St, Unit N504</v>
      </c>
      <c r="B1722" s="2" t="str">
        <f t="shared" si="266"/>
        <v>121 E 22nd</v>
      </c>
      <c r="C1722" s="1" t="s">
        <v>64</v>
      </c>
      <c r="D1722" s="1" t="s">
        <v>41</v>
      </c>
      <c r="E1722" s="3">
        <v>1630218</v>
      </c>
      <c r="F1722" s="1">
        <v>2090.0230769230702</v>
      </c>
      <c r="G1722" s="1">
        <v>3</v>
      </c>
      <c r="H1722" s="1">
        <v>1</v>
      </c>
      <c r="I1722" s="1">
        <v>1</v>
      </c>
      <c r="J1722" s="1">
        <v>1</v>
      </c>
      <c r="K1722" s="1">
        <v>1</v>
      </c>
      <c r="M1722" s="1">
        <v>780</v>
      </c>
      <c r="N1722" s="1">
        <v>820</v>
      </c>
      <c r="O1722" s="1">
        <v>2268</v>
      </c>
      <c r="P1722" s="1">
        <v>1448</v>
      </c>
      <c r="Q1722" s="1" t="s">
        <v>42</v>
      </c>
      <c r="S1722" s="1" t="s">
        <v>42</v>
      </c>
      <c r="T1722" s="1" t="s">
        <v>273</v>
      </c>
      <c r="V1722" s="5">
        <v>44373</v>
      </c>
      <c r="W1722" s="5">
        <v>43315</v>
      </c>
      <c r="X1722" s="1">
        <v>1601000</v>
      </c>
      <c r="Y1722" s="1">
        <v>1601000</v>
      </c>
      <c r="Z1722" s="5">
        <v>43315</v>
      </c>
      <c r="AA1722" s="1">
        <v>1630218</v>
      </c>
      <c r="AB1722" s="1" t="s">
        <v>903</v>
      </c>
      <c r="AC1722" s="5">
        <v>43553</v>
      </c>
      <c r="AF1722" s="1">
        <v>10010</v>
      </c>
      <c r="AI1722" s="1" t="s">
        <v>106</v>
      </c>
      <c r="AJ1722" s="1">
        <v>2016</v>
      </c>
      <c r="AK1722" s="1" t="s">
        <v>46</v>
      </c>
      <c r="AL1722" s="1">
        <v>140</v>
      </c>
    </row>
    <row r="1723" spans="1:38" x14ac:dyDescent="0.2">
      <c r="A1723" s="2" t="str">
        <f>HYPERLINK("https://www.compass.com/listing/241-west-107th-street-unit-3-manhattan-ny-10025/29430955886295009/","241 W 107th St, Unit 3")</f>
        <v>241 W 107th St, Unit 3</v>
      </c>
      <c r="B1723" s="2" t="str">
        <f>HYPERLINK("https://www.compass.com/building/241-w-107th-st-manhattan-ny-10025/281969820646330101/","241 W 107th St")</f>
        <v>241 W 107th St</v>
      </c>
      <c r="C1723" s="1" t="s">
        <v>57</v>
      </c>
      <c r="D1723" s="1" t="s">
        <v>41</v>
      </c>
      <c r="E1723" s="3">
        <v>2220075</v>
      </c>
      <c r="F1723" s="1">
        <v>1420.3934740882901</v>
      </c>
      <c r="G1723" s="1">
        <v>5</v>
      </c>
      <c r="H1723" s="1">
        <v>3</v>
      </c>
      <c r="I1723" s="1">
        <v>2</v>
      </c>
      <c r="J1723" s="1">
        <v>2</v>
      </c>
      <c r="K1723" s="1">
        <v>2</v>
      </c>
      <c r="M1723" s="4">
        <v>1563</v>
      </c>
      <c r="N1723" s="1">
        <v>1195</v>
      </c>
      <c r="O1723" s="1">
        <v>1925</v>
      </c>
      <c r="P1723" s="1">
        <v>730</v>
      </c>
      <c r="Q1723" s="1" t="s">
        <v>42</v>
      </c>
      <c r="S1723" s="1" t="s">
        <v>42</v>
      </c>
      <c r="T1723" s="1" t="s">
        <v>273</v>
      </c>
      <c r="U1723" s="1">
        <v>2</v>
      </c>
      <c r="V1723" s="5">
        <v>44392</v>
      </c>
      <c r="W1723" s="5">
        <v>41990</v>
      </c>
      <c r="X1723" s="1">
        <v>2250000</v>
      </c>
      <c r="Y1723" s="1">
        <v>2250000</v>
      </c>
      <c r="Z1723" s="5">
        <v>41992</v>
      </c>
      <c r="AA1723" s="1">
        <v>2220075</v>
      </c>
      <c r="AB1723" s="1" t="s">
        <v>904</v>
      </c>
      <c r="AC1723" s="5">
        <v>42450</v>
      </c>
      <c r="AF1723" s="1">
        <v>10025</v>
      </c>
      <c r="AI1723" s="1" t="s">
        <v>905</v>
      </c>
      <c r="AJ1723" s="1">
        <v>2014</v>
      </c>
      <c r="AL1723" s="1">
        <v>6</v>
      </c>
    </row>
    <row r="1724" spans="1:38" x14ac:dyDescent="0.2">
      <c r="A1724" s="2" t="str">
        <f>HYPERLINK("https://www.compass.com/listing/45-east-22nd-street-unit-26b-manhattan-ny-10010/29375857864765697/","45 E 22nd St, Unit 26B")</f>
        <v>45 E 22nd St, Unit 26B</v>
      </c>
      <c r="B1724" s="2" t="str">
        <f t="shared" ref="B1724:B1727" si="267">HYPERLINK("https://www.compass.com/building/madison-square-park-tower-manhattan-ny/281903584482705973/","Madison Square Park Tower")</f>
        <v>Madison Square Park Tower</v>
      </c>
      <c r="C1724" s="1" t="s">
        <v>56</v>
      </c>
      <c r="D1724" s="1" t="s">
        <v>41</v>
      </c>
      <c r="E1724" s="3">
        <v>4353092</v>
      </c>
      <c r="F1724" s="1">
        <v>2943.2670723461702</v>
      </c>
      <c r="G1724" s="1">
        <v>4</v>
      </c>
      <c r="H1724" s="1">
        <v>2</v>
      </c>
      <c r="I1724" s="1">
        <v>2</v>
      </c>
      <c r="J1724" s="1">
        <v>2</v>
      </c>
      <c r="K1724" s="1">
        <v>2</v>
      </c>
      <c r="M1724" s="4">
        <v>1479</v>
      </c>
      <c r="N1724" s="1">
        <v>1681</v>
      </c>
      <c r="O1724" s="1">
        <v>4236</v>
      </c>
      <c r="P1724" s="1">
        <v>2555</v>
      </c>
      <c r="Q1724" s="1" t="s">
        <v>42</v>
      </c>
      <c r="S1724" s="1" t="s">
        <v>42</v>
      </c>
      <c r="T1724" s="1" t="s">
        <v>273</v>
      </c>
      <c r="U1724" s="1">
        <v>44</v>
      </c>
      <c r="V1724" s="5">
        <v>43662</v>
      </c>
      <c r="W1724" s="5">
        <v>42047</v>
      </c>
      <c r="X1724" s="1">
        <v>4255000</v>
      </c>
      <c r="Y1724" s="1">
        <v>4255000</v>
      </c>
      <c r="Z1724" s="5">
        <v>42140</v>
      </c>
      <c r="AA1724" s="1">
        <v>4353092</v>
      </c>
      <c r="AB1724" s="1" t="s">
        <v>906</v>
      </c>
      <c r="AC1724" s="5">
        <v>42942</v>
      </c>
      <c r="AF1724" s="1">
        <v>10010</v>
      </c>
      <c r="AI1724" s="1" t="s">
        <v>48</v>
      </c>
      <c r="AJ1724" s="1">
        <v>2016</v>
      </c>
      <c r="AK1724" s="1" t="s">
        <v>46</v>
      </c>
      <c r="AL1724" s="1">
        <v>83</v>
      </c>
    </row>
    <row r="1725" spans="1:38" x14ac:dyDescent="0.2">
      <c r="A1725" s="2" t="str">
        <f>HYPERLINK("https://www.compass.com/listing/45-east-22nd-street-unit-28b-manhattan-ny-10010/29375859768980769/","45 E 22nd St, Unit 28B")</f>
        <v>45 E 22nd St, Unit 28B</v>
      </c>
      <c r="B1725" s="2" t="str">
        <f t="shared" si="267"/>
        <v>Madison Square Park Tower</v>
      </c>
      <c r="C1725" s="1" t="s">
        <v>56</v>
      </c>
      <c r="D1725" s="1" t="s">
        <v>41</v>
      </c>
      <c r="E1725" s="3">
        <v>4496005</v>
      </c>
      <c r="F1725" s="1">
        <v>3015.42924211938</v>
      </c>
      <c r="G1725" s="1">
        <v>4</v>
      </c>
      <c r="H1725" s="1">
        <v>2</v>
      </c>
      <c r="I1725" s="1">
        <v>2</v>
      </c>
      <c r="J1725" s="1">
        <v>2</v>
      </c>
      <c r="K1725" s="1">
        <v>2</v>
      </c>
      <c r="M1725" s="4">
        <v>1491</v>
      </c>
      <c r="N1725" s="1">
        <v>1710</v>
      </c>
      <c r="O1725" s="1">
        <v>4310</v>
      </c>
      <c r="P1725" s="1">
        <v>2600</v>
      </c>
      <c r="Q1725" s="1" t="s">
        <v>42</v>
      </c>
      <c r="S1725" s="1" t="s">
        <v>42</v>
      </c>
      <c r="T1725" s="1" t="s">
        <v>273</v>
      </c>
      <c r="U1725" s="1">
        <v>41</v>
      </c>
      <c r="V1725" s="5">
        <v>43650</v>
      </c>
      <c r="W1725" s="5">
        <v>42091</v>
      </c>
      <c r="X1725" s="1">
        <v>4395000</v>
      </c>
      <c r="Y1725" s="1">
        <v>4395000</v>
      </c>
      <c r="Z1725" s="5">
        <v>42132</v>
      </c>
      <c r="AA1725" s="1">
        <v>4496005</v>
      </c>
      <c r="AB1725" s="1" t="s">
        <v>907</v>
      </c>
      <c r="AC1725" s="5">
        <v>42950</v>
      </c>
      <c r="AF1725" s="1">
        <v>10010</v>
      </c>
      <c r="AI1725" s="1" t="s">
        <v>48</v>
      </c>
      <c r="AJ1725" s="1">
        <v>2016</v>
      </c>
      <c r="AK1725" s="1" t="s">
        <v>46</v>
      </c>
      <c r="AL1725" s="1">
        <v>83</v>
      </c>
    </row>
    <row r="1726" spans="1:38" x14ac:dyDescent="0.2">
      <c r="A1726" s="2" t="str">
        <f>HYPERLINK("https://www.compass.com/listing/45-east-22nd-street-unit-34b-manhattan-ny-10010/29375864609206657/","45 E 22nd St, Unit 34B")</f>
        <v>45 E 22nd St, Unit 34B</v>
      </c>
      <c r="B1726" s="2" t="str">
        <f t="shared" si="267"/>
        <v>Madison Square Park Tower</v>
      </c>
      <c r="C1726" s="1" t="s">
        <v>56</v>
      </c>
      <c r="D1726" s="1" t="s">
        <v>41</v>
      </c>
      <c r="E1726" s="3">
        <v>4985830</v>
      </c>
      <c r="F1726" s="1">
        <v>3269.3967213114702</v>
      </c>
      <c r="G1726" s="1">
        <v>4</v>
      </c>
      <c r="H1726" s="1">
        <v>2</v>
      </c>
      <c r="I1726" s="1">
        <v>2</v>
      </c>
      <c r="J1726" s="1">
        <v>2</v>
      </c>
      <c r="K1726" s="1">
        <v>2</v>
      </c>
      <c r="M1726" s="4">
        <v>1525</v>
      </c>
      <c r="N1726" s="1">
        <v>1788</v>
      </c>
      <c r="O1726" s="1">
        <v>4506</v>
      </c>
      <c r="P1726" s="1">
        <v>2718</v>
      </c>
      <c r="Q1726" s="1" t="s">
        <v>42</v>
      </c>
      <c r="S1726" s="1" t="s">
        <v>42</v>
      </c>
      <c r="T1726" s="1" t="s">
        <v>273</v>
      </c>
      <c r="U1726" s="1">
        <v>47</v>
      </c>
      <c r="V1726" s="5">
        <v>43664</v>
      </c>
      <c r="W1726" s="5">
        <v>41944</v>
      </c>
      <c r="X1726" s="1">
        <v>4875000</v>
      </c>
      <c r="Y1726" s="1">
        <v>4975000</v>
      </c>
      <c r="Z1726" s="5">
        <v>41991</v>
      </c>
      <c r="AA1726" s="1">
        <v>4985830</v>
      </c>
      <c r="AB1726" s="1" t="s">
        <v>908</v>
      </c>
      <c r="AC1726" s="5">
        <v>42972</v>
      </c>
      <c r="AF1726" s="1">
        <v>10010</v>
      </c>
      <c r="AI1726" s="1" t="s">
        <v>48</v>
      </c>
      <c r="AJ1726" s="1">
        <v>2016</v>
      </c>
      <c r="AK1726" s="1" t="s">
        <v>46</v>
      </c>
      <c r="AL1726" s="1">
        <v>83</v>
      </c>
    </row>
    <row r="1727" spans="1:38" x14ac:dyDescent="0.2">
      <c r="A1727" s="2" t="str">
        <f>HYPERLINK("https://www.compass.com/listing/45-east-22nd-street-unit-27b-manhattan-ny-10010/784749148031447337/","45 E 22nd St, Unit 27B")</f>
        <v>45 E 22nd St, Unit 27B</v>
      </c>
      <c r="B1727" s="2" t="str">
        <f t="shared" si="267"/>
        <v>Madison Square Park Tower</v>
      </c>
      <c r="C1727" s="1" t="s">
        <v>56</v>
      </c>
      <c r="D1727" s="1" t="s">
        <v>41</v>
      </c>
      <c r="E1727" s="3">
        <v>5086424</v>
      </c>
      <c r="F1727" s="1">
        <v>3422.8966621803502</v>
      </c>
      <c r="G1727" s="1">
        <v>4</v>
      </c>
      <c r="H1727" s="1">
        <v>2</v>
      </c>
      <c r="I1727" s="1">
        <v>2</v>
      </c>
      <c r="J1727" s="1">
        <v>2</v>
      </c>
      <c r="K1727" s="1">
        <v>2</v>
      </c>
      <c r="M1727" s="4">
        <v>1486</v>
      </c>
      <c r="N1727" s="1">
        <v>1697</v>
      </c>
      <c r="O1727" s="1">
        <v>4276</v>
      </c>
      <c r="P1727" s="1">
        <v>2579</v>
      </c>
      <c r="Q1727" s="1" t="s">
        <v>42</v>
      </c>
      <c r="S1727" s="1" t="s">
        <v>42</v>
      </c>
      <c r="T1727" s="1" t="s">
        <v>273</v>
      </c>
      <c r="U1727" s="1">
        <v>2</v>
      </c>
      <c r="V1727" s="5">
        <v>42998</v>
      </c>
      <c r="W1727" s="5">
        <v>42135</v>
      </c>
      <c r="X1727" s="1">
        <v>4325000</v>
      </c>
      <c r="Y1727" s="1">
        <v>4325000</v>
      </c>
      <c r="AA1727" s="1">
        <v>5086424.4400000004</v>
      </c>
      <c r="AB1727" s="1" t="s">
        <v>617</v>
      </c>
      <c r="AC1727" s="5">
        <v>42951</v>
      </c>
      <c r="AF1727" s="1">
        <v>10010</v>
      </c>
      <c r="AI1727" s="1" t="s">
        <v>48</v>
      </c>
      <c r="AJ1727" s="1">
        <v>2016</v>
      </c>
      <c r="AK1727" s="1" t="s">
        <v>46</v>
      </c>
      <c r="AL1727" s="1">
        <v>83</v>
      </c>
    </row>
    <row r="1728" spans="1:38" x14ac:dyDescent="0.2">
      <c r="A1728" s="2" t="str">
        <f>HYPERLINK("https://www.compass.com/listing/121-east-22nd-street-unit-n1301-manhattan-ny-10010/302777480532079921/","121 E 22nd St, Unit N1301")</f>
        <v>121 E 22nd St, Unit N1301</v>
      </c>
      <c r="B1728" s="2" t="str">
        <f t="shared" ref="B1728:B1731" si="268">HYPERLINK("https://www.compass.com/building/121-e-22nd-manhattan-ny/292795784653461493/","121 E 22nd")</f>
        <v>121 E 22nd</v>
      </c>
      <c r="C1728" s="1" t="s">
        <v>64</v>
      </c>
      <c r="D1728" s="1" t="s">
        <v>41</v>
      </c>
      <c r="E1728" s="3">
        <v>2250000</v>
      </c>
      <c r="F1728" s="1">
        <v>2411.5755627009598</v>
      </c>
      <c r="G1728" s="1">
        <v>3</v>
      </c>
      <c r="H1728" s="1">
        <v>1</v>
      </c>
      <c r="I1728" s="1">
        <v>2</v>
      </c>
      <c r="J1728" s="1">
        <v>1.5</v>
      </c>
      <c r="K1728" s="1">
        <v>1</v>
      </c>
      <c r="L1728" s="1">
        <v>1</v>
      </c>
      <c r="M1728" s="1">
        <v>933</v>
      </c>
      <c r="N1728" s="1">
        <v>1315</v>
      </c>
      <c r="O1728" s="1">
        <v>4034</v>
      </c>
      <c r="P1728" s="1">
        <v>2719</v>
      </c>
      <c r="Q1728" s="1" t="s">
        <v>42</v>
      </c>
      <c r="S1728" s="1" t="s">
        <v>42</v>
      </c>
      <c r="T1728" s="1" t="s">
        <v>273</v>
      </c>
      <c r="U1728" s="1">
        <v>166</v>
      </c>
      <c r="V1728" s="5">
        <v>43851</v>
      </c>
      <c r="W1728" s="5">
        <v>43640</v>
      </c>
      <c r="X1728" s="1">
        <v>2250000</v>
      </c>
      <c r="Y1728" s="1">
        <v>2250000</v>
      </c>
      <c r="Z1728" s="5">
        <v>43806</v>
      </c>
      <c r="AA1728" s="1">
        <v>2250000</v>
      </c>
      <c r="AB1728" s="1" t="s">
        <v>275</v>
      </c>
      <c r="AC1728" s="5">
        <v>43843</v>
      </c>
      <c r="AF1728" s="1">
        <v>10010</v>
      </c>
      <c r="AI1728" s="1" t="s">
        <v>148</v>
      </c>
      <c r="AJ1728" s="1">
        <v>2016</v>
      </c>
      <c r="AK1728" s="1" t="s">
        <v>46</v>
      </c>
      <c r="AL1728" s="1">
        <v>140</v>
      </c>
    </row>
    <row r="1729" spans="1:38" x14ac:dyDescent="0.2">
      <c r="A1729" s="2" t="str">
        <f>HYPERLINK("https://www.compass.com/listing/121-east-22nd-street-unit-n1204-manhattan-ny-10010/34697806509802401/","121 E 22nd St, Unit N1204")</f>
        <v>121 E 22nd St, Unit N1204</v>
      </c>
      <c r="B1729" s="2" t="str">
        <f t="shared" si="268"/>
        <v>121 E 22nd</v>
      </c>
      <c r="C1729" s="1" t="s">
        <v>64</v>
      </c>
      <c r="D1729" s="1" t="s">
        <v>41</v>
      </c>
      <c r="E1729" s="3">
        <v>1837941</v>
      </c>
      <c r="F1729" s="1">
        <v>2356.3349358974301</v>
      </c>
      <c r="G1729" s="1">
        <v>3</v>
      </c>
      <c r="H1729" s="1">
        <v>1</v>
      </c>
      <c r="I1729" s="1">
        <v>1</v>
      </c>
      <c r="J1729" s="1">
        <v>1</v>
      </c>
      <c r="K1729" s="1">
        <v>1</v>
      </c>
      <c r="M1729" s="1">
        <v>780</v>
      </c>
      <c r="N1729" s="1">
        <v>884</v>
      </c>
      <c r="O1729" s="1">
        <v>2455</v>
      </c>
      <c r="P1729" s="1">
        <v>1571</v>
      </c>
      <c r="Q1729" s="1" t="s">
        <v>42</v>
      </c>
      <c r="S1729" s="1" t="s">
        <v>42</v>
      </c>
      <c r="T1729" s="1" t="s">
        <v>273</v>
      </c>
      <c r="U1729" s="1">
        <v>301</v>
      </c>
      <c r="V1729" s="5">
        <v>44373</v>
      </c>
      <c r="W1729" s="5">
        <v>42998</v>
      </c>
      <c r="X1729" s="1">
        <v>1805000</v>
      </c>
      <c r="Y1729" s="1">
        <v>1805000</v>
      </c>
      <c r="Z1729" s="5">
        <v>43300</v>
      </c>
      <c r="AA1729" s="1">
        <v>1837941.25</v>
      </c>
      <c r="AB1729" s="1" t="s">
        <v>909</v>
      </c>
      <c r="AC1729" s="5">
        <v>43598</v>
      </c>
      <c r="AF1729" s="1">
        <v>10010</v>
      </c>
      <c r="AI1729" s="1" t="s">
        <v>106</v>
      </c>
      <c r="AJ1729" s="1">
        <v>2016</v>
      </c>
      <c r="AK1729" s="1" t="s">
        <v>46</v>
      </c>
      <c r="AL1729" s="1">
        <v>140</v>
      </c>
    </row>
    <row r="1730" spans="1:38" x14ac:dyDescent="0.2">
      <c r="A1730" s="2" t="str">
        <f>HYPERLINK("https://www.compass.com/listing/121-east-22nd-street-unit-n804-manhattan-ny-10010/34698103743331585/","121 E 22nd St, Unit N804")</f>
        <v>121 E 22nd St, Unit N804</v>
      </c>
      <c r="B1730" s="2" t="str">
        <f t="shared" si="268"/>
        <v>121 E 22nd</v>
      </c>
      <c r="C1730" s="1" t="s">
        <v>64</v>
      </c>
      <c r="D1730" s="1" t="s">
        <v>41</v>
      </c>
      <c r="E1730" s="3">
        <v>1734080</v>
      </c>
      <c r="F1730" s="1">
        <v>2223.17948717948</v>
      </c>
      <c r="G1730" s="1">
        <v>3</v>
      </c>
      <c r="H1730" s="1">
        <v>1</v>
      </c>
      <c r="I1730" s="1">
        <v>1</v>
      </c>
      <c r="J1730" s="1">
        <v>1</v>
      </c>
      <c r="K1730" s="1">
        <v>1</v>
      </c>
      <c r="M1730" s="1">
        <v>780</v>
      </c>
      <c r="N1730" s="1">
        <v>847</v>
      </c>
      <c r="O1730" s="1">
        <v>2348</v>
      </c>
      <c r="P1730" s="1">
        <v>1501</v>
      </c>
      <c r="Q1730" s="1" t="s">
        <v>42</v>
      </c>
      <c r="S1730" s="1" t="s">
        <v>42</v>
      </c>
      <c r="T1730" s="1" t="s">
        <v>273</v>
      </c>
      <c r="V1730" s="5">
        <v>44373</v>
      </c>
      <c r="W1730" s="5">
        <v>43315</v>
      </c>
      <c r="X1730" s="1">
        <v>1703000</v>
      </c>
      <c r="Y1730" s="1">
        <v>1703000</v>
      </c>
      <c r="Z1730" s="5">
        <v>43315</v>
      </c>
      <c r="AA1730" s="1">
        <v>1734080</v>
      </c>
      <c r="AB1730" s="1" t="s">
        <v>910</v>
      </c>
      <c r="AC1730" s="5">
        <v>43557</v>
      </c>
      <c r="AF1730" s="1">
        <v>10010</v>
      </c>
      <c r="AI1730" s="1" t="s">
        <v>106</v>
      </c>
      <c r="AJ1730" s="1">
        <v>2016</v>
      </c>
      <c r="AK1730" s="1" t="s">
        <v>46</v>
      </c>
      <c r="AL1730" s="1">
        <v>140</v>
      </c>
    </row>
    <row r="1731" spans="1:38" x14ac:dyDescent="0.2">
      <c r="A1731" s="2" t="str">
        <f>HYPERLINK("https://www.compass.com/listing/121-east-22nd-street-unit-n-905-manhattan-ny-10010/34698241039716145/","121 E 22nd St, Unit N/905")</f>
        <v>121 E 22nd St, Unit N/905</v>
      </c>
      <c r="B1731" s="2" t="str">
        <f t="shared" si="268"/>
        <v>121 E 22nd</v>
      </c>
      <c r="C1731" s="1" t="s">
        <v>64</v>
      </c>
      <c r="D1731" s="1" t="s">
        <v>41</v>
      </c>
      <c r="E1731" s="3">
        <v>1853215</v>
      </c>
      <c r="F1731" s="1">
        <v>2351.7956852791799</v>
      </c>
      <c r="G1731" s="1">
        <v>3</v>
      </c>
      <c r="H1731" s="1">
        <v>1</v>
      </c>
      <c r="I1731" s="1">
        <v>1</v>
      </c>
      <c r="J1731" s="1">
        <v>1</v>
      </c>
      <c r="K1731" s="1">
        <v>1</v>
      </c>
      <c r="M1731" s="1">
        <v>788</v>
      </c>
      <c r="N1731" s="1">
        <v>865</v>
      </c>
      <c r="O1731" s="1">
        <v>2397</v>
      </c>
      <c r="P1731" s="1">
        <v>1532</v>
      </c>
      <c r="Q1731" s="1" t="s">
        <v>42</v>
      </c>
      <c r="S1731" s="1" t="s">
        <v>42</v>
      </c>
      <c r="T1731" s="1" t="s">
        <v>273</v>
      </c>
      <c r="U1731" s="1">
        <v>338</v>
      </c>
      <c r="V1731" s="5">
        <v>44057</v>
      </c>
      <c r="W1731" s="5">
        <v>42961</v>
      </c>
      <c r="X1731" s="1">
        <v>1720000</v>
      </c>
      <c r="Y1731" s="1">
        <v>1720000</v>
      </c>
      <c r="Z1731" s="5">
        <v>43300</v>
      </c>
      <c r="AA1731" s="1">
        <v>1853215</v>
      </c>
      <c r="AB1731" s="1" t="s">
        <v>911</v>
      </c>
      <c r="AC1731" s="5">
        <v>43644</v>
      </c>
      <c r="AF1731" s="1">
        <v>10010</v>
      </c>
      <c r="AI1731" s="1" t="s">
        <v>106</v>
      </c>
      <c r="AJ1731" s="1">
        <v>2016</v>
      </c>
      <c r="AK1731" s="1" t="s">
        <v>46</v>
      </c>
      <c r="AL1731" s="1">
        <v>140</v>
      </c>
    </row>
    <row r="1732" spans="1:38" x14ac:dyDescent="0.2">
      <c r="A1732" s="2" t="str">
        <f>HYPERLINK("https://www.compass.com/listing/111-murray-street-unit-22west-manhattan-ny-10007/785662879172454641/","111 Murray St, Unit 22WEST")</f>
        <v>111 Murray St, Unit 22WEST</v>
      </c>
      <c r="B1732" s="2" t="str">
        <f>HYPERLINK("https://www.compass.com/building/111-murray-st-manhattan-ny-10007/281896511862746053/","111 Murray St")</f>
        <v>111 Murray St</v>
      </c>
      <c r="C1732" s="1" t="s">
        <v>50</v>
      </c>
      <c r="D1732" s="1" t="s">
        <v>41</v>
      </c>
      <c r="E1732" s="3">
        <v>8069631</v>
      </c>
      <c r="F1732" s="1">
        <v>3005.4492551210401</v>
      </c>
      <c r="G1732" s="1">
        <v>7</v>
      </c>
      <c r="H1732" s="1">
        <v>4</v>
      </c>
      <c r="I1732" s="1">
        <v>5</v>
      </c>
      <c r="J1732" s="1">
        <v>4.5</v>
      </c>
      <c r="K1732" s="1">
        <v>4</v>
      </c>
      <c r="L1732" s="1">
        <v>1</v>
      </c>
      <c r="M1732" s="4">
        <v>2685</v>
      </c>
      <c r="N1732" s="1">
        <v>3167</v>
      </c>
      <c r="O1732" s="1">
        <v>7465</v>
      </c>
      <c r="P1732" s="1">
        <v>4298</v>
      </c>
      <c r="Q1732" s="1" t="s">
        <v>42</v>
      </c>
      <c r="S1732" s="1" t="s">
        <v>42</v>
      </c>
      <c r="T1732" s="1" t="s">
        <v>273</v>
      </c>
      <c r="U1732" s="1">
        <v>158</v>
      </c>
      <c r="V1732" s="5">
        <v>44363</v>
      </c>
      <c r="W1732" s="5">
        <v>43220</v>
      </c>
      <c r="X1732" s="1">
        <v>7700000</v>
      </c>
      <c r="Y1732" s="1">
        <v>7700000</v>
      </c>
      <c r="AA1732" s="1">
        <v>8069631.25</v>
      </c>
      <c r="AB1732" s="1" t="s">
        <v>912</v>
      </c>
      <c r="AC1732" s="5">
        <v>43445</v>
      </c>
      <c r="AF1732" s="1">
        <v>10007</v>
      </c>
      <c r="AI1732" s="1" t="s">
        <v>107</v>
      </c>
      <c r="AJ1732" s="1">
        <v>2018</v>
      </c>
      <c r="AK1732" s="1" t="s">
        <v>49</v>
      </c>
      <c r="AL1732" s="1">
        <v>157</v>
      </c>
    </row>
    <row r="1733" spans="1:38" x14ac:dyDescent="0.2">
      <c r="A1733" s="2" t="str">
        <f>HYPERLINK("https://www.compass.com/listing/514-west-24th-street-unit-4w-manhattan-ny-10011/644790402619188193/","514 W 24th St, Unit 4W")</f>
        <v>514 W 24th St, Unit 4W</v>
      </c>
      <c r="B1733" s="2" t="str">
        <f>HYPERLINK("https://www.compass.com/building/the-fitzroy-manhattan-ny/281911423242627685/","The Fitzroy")</f>
        <v>The Fitzroy</v>
      </c>
      <c r="C1733" s="1" t="s">
        <v>62</v>
      </c>
      <c r="D1733" s="1" t="s">
        <v>41</v>
      </c>
      <c r="E1733" s="3">
        <v>4753250</v>
      </c>
      <c r="F1733" s="1">
        <v>2028.70251813913</v>
      </c>
      <c r="G1733" s="1">
        <v>6</v>
      </c>
      <c r="H1733" s="1">
        <v>3</v>
      </c>
      <c r="I1733" s="1">
        <v>3</v>
      </c>
      <c r="J1733" s="1">
        <v>3</v>
      </c>
      <c r="K1733" s="1">
        <v>3</v>
      </c>
      <c r="M1733" s="4">
        <v>2343</v>
      </c>
      <c r="N1733" s="1">
        <v>3095</v>
      </c>
      <c r="O1733" s="1">
        <v>7240</v>
      </c>
      <c r="P1733" s="1">
        <v>4145</v>
      </c>
      <c r="Q1733" s="1" t="s">
        <v>42</v>
      </c>
      <c r="S1733" s="1" t="s">
        <v>42</v>
      </c>
      <c r="T1733" s="1" t="s">
        <v>273</v>
      </c>
      <c r="V1733" s="5">
        <v>44385</v>
      </c>
      <c r="W1733" s="5">
        <v>44141</v>
      </c>
      <c r="X1733" s="1">
        <v>5500000</v>
      </c>
      <c r="Y1733" s="1">
        <v>5500000</v>
      </c>
      <c r="Z1733" s="5">
        <v>44141</v>
      </c>
      <c r="AA1733" s="1">
        <v>4753250</v>
      </c>
      <c r="AB1733" s="1" t="s">
        <v>913</v>
      </c>
      <c r="AC1733" s="5">
        <v>44351</v>
      </c>
      <c r="AF1733" s="1">
        <v>10011</v>
      </c>
      <c r="AI1733" s="1" t="s">
        <v>118</v>
      </c>
      <c r="AJ1733" s="1">
        <v>2017</v>
      </c>
      <c r="AK1733" s="1" t="s">
        <v>46</v>
      </c>
      <c r="AL1733" s="1">
        <v>14</v>
      </c>
    </row>
    <row r="1734" spans="1:38" x14ac:dyDescent="0.2">
      <c r="A1734" s="2" t="str">
        <f>HYPERLINK("https://www.compass.com/listing/55-west-17th-street-unit-904-manhattan-ny-10011/29661188338030129/","55 W 17th St, Unit 904")</f>
        <v>55 W 17th St, Unit 904</v>
      </c>
      <c r="B1734" s="2" t="str">
        <f t="shared" ref="B1734:B1735" si="269">HYPERLINK("https://www.compass.com/building/55-w-17th-st-manhattan-ny-10011/281911689161499829/","55 W 17th St")</f>
        <v>55 W 17th St</v>
      </c>
      <c r="C1734" s="1" t="s">
        <v>56</v>
      </c>
      <c r="D1734" s="1" t="s">
        <v>41</v>
      </c>
      <c r="E1734" s="3">
        <v>4073000</v>
      </c>
      <c r="F1734" s="1">
        <v>2105.99793174767</v>
      </c>
      <c r="G1734" s="1">
        <v>5</v>
      </c>
      <c r="H1734" s="1">
        <v>3</v>
      </c>
      <c r="I1734" s="1">
        <v>3</v>
      </c>
      <c r="J1734" s="1">
        <v>2.5</v>
      </c>
      <c r="K1734" s="1">
        <v>2</v>
      </c>
      <c r="L1734" s="1">
        <v>1</v>
      </c>
      <c r="M1734" s="4">
        <v>1934</v>
      </c>
      <c r="N1734" s="1">
        <v>2407</v>
      </c>
      <c r="O1734" s="1">
        <v>5242</v>
      </c>
      <c r="P1734" s="1">
        <v>2835</v>
      </c>
      <c r="Q1734" s="1" t="s">
        <v>42</v>
      </c>
      <c r="S1734" s="1" t="s">
        <v>42</v>
      </c>
      <c r="T1734" s="1" t="s">
        <v>273</v>
      </c>
      <c r="V1734" s="5">
        <v>43694</v>
      </c>
      <c r="W1734" s="5">
        <v>43601</v>
      </c>
      <c r="X1734" s="1">
        <v>4000000</v>
      </c>
      <c r="Y1734" s="1">
        <v>4000000</v>
      </c>
      <c r="Z1734" s="5">
        <v>43601</v>
      </c>
      <c r="AA1734" s="1">
        <v>4073000</v>
      </c>
      <c r="AB1734" s="1" t="s">
        <v>914</v>
      </c>
      <c r="AC1734" s="5">
        <v>43641</v>
      </c>
      <c r="AF1734" s="1">
        <v>10011</v>
      </c>
      <c r="AI1734" s="1" t="s">
        <v>212</v>
      </c>
      <c r="AJ1734" s="1">
        <v>2018</v>
      </c>
      <c r="AK1734" s="1" t="s">
        <v>55</v>
      </c>
      <c r="AL1734" s="1">
        <v>52</v>
      </c>
    </row>
    <row r="1735" spans="1:38" x14ac:dyDescent="0.2">
      <c r="A1735" s="2" t="str">
        <f>HYPERLINK("https://www.compass.com/listing/55-west-17th-street-unit-803-manhattan-ny-10011/29374461748824961/","55 W 17th St, Unit 803")</f>
        <v>55 W 17th St, Unit 803</v>
      </c>
      <c r="B1735" s="2" t="str">
        <f t="shared" si="269"/>
        <v>55 W 17th St</v>
      </c>
      <c r="C1735" s="1" t="s">
        <v>56</v>
      </c>
      <c r="D1735" s="1" t="s">
        <v>41</v>
      </c>
      <c r="E1735" s="3">
        <v>2800177</v>
      </c>
      <c r="F1735" s="1">
        <v>2278.4190398698101</v>
      </c>
      <c r="G1735" s="1">
        <v>4</v>
      </c>
      <c r="H1735" s="1">
        <v>2</v>
      </c>
      <c r="I1735" s="1">
        <v>2</v>
      </c>
      <c r="J1735" s="1">
        <v>2</v>
      </c>
      <c r="M1735" s="4">
        <v>1229</v>
      </c>
      <c r="N1735" s="1">
        <v>1528</v>
      </c>
      <c r="O1735" s="1">
        <v>3327</v>
      </c>
      <c r="P1735" s="1">
        <v>1799</v>
      </c>
      <c r="Q1735" s="1" t="s">
        <v>42</v>
      </c>
      <c r="S1735" s="1" t="s">
        <v>42</v>
      </c>
      <c r="T1735" s="1" t="s">
        <v>273</v>
      </c>
      <c r="V1735" s="5">
        <v>43662</v>
      </c>
      <c r="W1735" s="5">
        <v>42479</v>
      </c>
      <c r="X1735" s="1">
        <v>2749990</v>
      </c>
      <c r="Y1735" s="1">
        <v>2749990</v>
      </c>
      <c r="Z1735" s="5">
        <v>42479</v>
      </c>
      <c r="AA1735" s="1">
        <v>2800177</v>
      </c>
      <c r="AB1735" s="1" t="s">
        <v>915</v>
      </c>
      <c r="AC1735" s="5">
        <v>42853</v>
      </c>
      <c r="AF1735" s="1">
        <v>10011</v>
      </c>
      <c r="AI1735" s="1" t="s">
        <v>102</v>
      </c>
      <c r="AJ1735" s="1">
        <v>2018</v>
      </c>
      <c r="AK1735" s="1" t="s">
        <v>108</v>
      </c>
      <c r="AL1735" s="1">
        <v>52</v>
      </c>
    </row>
    <row r="1736" spans="1:38" x14ac:dyDescent="0.2">
      <c r="A1736" s="2" t="str">
        <f>HYPERLINK("https://www.compass.com/listing/121-east-22nd-street-unit-n502-manhattan-ny-10010/34697997501630193/","121 E 22nd St, Unit N502")</f>
        <v>121 E 22nd St, Unit N502</v>
      </c>
      <c r="B1736" s="2" t="str">
        <f t="shared" ref="B1736:B1737" si="270">HYPERLINK("https://www.compass.com/building/121-e-22nd-manhattan-ny/292795784653461493/","121 E 22nd")</f>
        <v>121 E 22nd</v>
      </c>
      <c r="C1736" s="1" t="s">
        <v>64</v>
      </c>
      <c r="D1736" s="1" t="s">
        <v>41</v>
      </c>
      <c r="E1736" s="3">
        <v>3538419</v>
      </c>
      <c r="F1736" s="1">
        <v>2113.75089605734</v>
      </c>
      <c r="G1736" s="1">
        <v>4</v>
      </c>
      <c r="H1736" s="1">
        <v>2</v>
      </c>
      <c r="I1736" s="1">
        <v>3</v>
      </c>
      <c r="J1736" s="1">
        <v>2.5</v>
      </c>
      <c r="K1736" s="1">
        <v>2</v>
      </c>
      <c r="L1736" s="1">
        <v>1</v>
      </c>
      <c r="M1736" s="4">
        <v>1674</v>
      </c>
      <c r="N1736" s="1">
        <v>1789</v>
      </c>
      <c r="O1736" s="1">
        <v>4954</v>
      </c>
      <c r="P1736" s="1">
        <v>3165</v>
      </c>
      <c r="Q1736" s="1" t="s">
        <v>42</v>
      </c>
      <c r="S1736" s="1" t="s">
        <v>42</v>
      </c>
      <c r="T1736" s="1" t="s">
        <v>273</v>
      </c>
      <c r="V1736" s="5">
        <v>44373</v>
      </c>
      <c r="W1736" s="5">
        <v>43315</v>
      </c>
      <c r="X1736" s="1">
        <v>3530000</v>
      </c>
      <c r="Y1736" s="1">
        <v>3530000</v>
      </c>
      <c r="Z1736" s="5">
        <v>43315</v>
      </c>
      <c r="AA1736" s="1">
        <v>3538419</v>
      </c>
      <c r="AB1736" s="1" t="s">
        <v>916</v>
      </c>
      <c r="AC1736" s="5">
        <v>43567</v>
      </c>
      <c r="AF1736" s="1">
        <v>10010</v>
      </c>
      <c r="AI1736" s="1" t="s">
        <v>106</v>
      </c>
      <c r="AJ1736" s="1">
        <v>2016</v>
      </c>
      <c r="AK1736" s="1" t="s">
        <v>46</v>
      </c>
      <c r="AL1736" s="1">
        <v>140</v>
      </c>
    </row>
    <row r="1737" spans="1:38" x14ac:dyDescent="0.2">
      <c r="A1737" s="2" t="str">
        <f>HYPERLINK("https://www.compass.com/listing/121-east-22nd-street-unit-n607-manhattan-ny-10010/803357607376654977/","121 E 22nd St, Unit N607")</f>
        <v>121 E 22nd St, Unit N607</v>
      </c>
      <c r="B1737" s="2" t="str">
        <f t="shared" si="270"/>
        <v>121 E 22nd</v>
      </c>
      <c r="C1737" s="1" t="s">
        <v>64</v>
      </c>
      <c r="D1737" s="1" t="s">
        <v>41</v>
      </c>
      <c r="E1737" s="3">
        <v>3270000</v>
      </c>
      <c r="F1737" s="1">
        <v>1915.6414762741599</v>
      </c>
      <c r="G1737" s="1">
        <v>4</v>
      </c>
      <c r="H1737" s="1">
        <v>2</v>
      </c>
      <c r="I1737" s="1">
        <v>3</v>
      </c>
      <c r="J1737" s="1">
        <v>2.5</v>
      </c>
      <c r="K1737" s="1">
        <v>2</v>
      </c>
      <c r="L1737" s="1">
        <v>1</v>
      </c>
      <c r="M1737" s="4">
        <v>1707</v>
      </c>
      <c r="N1737" s="1">
        <v>1736</v>
      </c>
      <c r="O1737" s="1">
        <v>5251</v>
      </c>
      <c r="P1737" s="1">
        <v>3515</v>
      </c>
      <c r="Q1737" s="1" t="s">
        <v>42</v>
      </c>
      <c r="S1737" s="1" t="s">
        <v>42</v>
      </c>
      <c r="T1737" s="1" t="s">
        <v>273</v>
      </c>
      <c r="U1737" s="1">
        <v>2</v>
      </c>
      <c r="V1737" s="5">
        <v>44057</v>
      </c>
      <c r="W1737" s="5">
        <v>43816</v>
      </c>
      <c r="X1737" s="1">
        <v>3605000</v>
      </c>
      <c r="Y1737" s="1">
        <v>3270000</v>
      </c>
      <c r="AA1737" s="1">
        <v>3270000</v>
      </c>
      <c r="AB1737" s="1" t="s">
        <v>857</v>
      </c>
      <c r="AC1737" s="5">
        <v>43928</v>
      </c>
      <c r="AF1737" s="1">
        <v>10010</v>
      </c>
      <c r="AI1737" s="1" t="s">
        <v>534</v>
      </c>
      <c r="AJ1737" s="1">
        <v>2016</v>
      </c>
      <c r="AK1737" s="1" t="s">
        <v>46</v>
      </c>
      <c r="AL1737" s="1">
        <v>140</v>
      </c>
    </row>
    <row r="1738" spans="1:38" x14ac:dyDescent="0.2">
      <c r="A1738" s="2" t="str">
        <f>HYPERLINK("https://www.compass.com/listing/111-murray-street-unit-39b-manhattan-ny-10007/263779318126174257/","111 Murray St, Unit 39B")</f>
        <v>111 Murray St, Unit 39B</v>
      </c>
      <c r="B1738" s="2" t="str">
        <f t="shared" ref="B1738:B1739" si="271">HYPERLINK("https://www.compass.com/building/111-murray-st-manhattan-ny-10007/281896511862746053/","111 Murray St")</f>
        <v>111 Murray St</v>
      </c>
      <c r="C1738" s="1" t="s">
        <v>50</v>
      </c>
      <c r="D1738" s="1" t="s">
        <v>41</v>
      </c>
      <c r="E1738" s="3">
        <v>4375000</v>
      </c>
      <c r="F1738" s="1">
        <v>2645.1027811366298</v>
      </c>
      <c r="G1738" s="1">
        <v>4</v>
      </c>
      <c r="H1738" s="1">
        <v>2</v>
      </c>
      <c r="I1738" s="1">
        <v>3</v>
      </c>
      <c r="J1738" s="1">
        <v>2.5</v>
      </c>
      <c r="K1738" s="1">
        <v>2</v>
      </c>
      <c r="L1738" s="1">
        <v>1</v>
      </c>
      <c r="M1738" s="4">
        <v>1654</v>
      </c>
      <c r="N1738" s="1">
        <v>2067</v>
      </c>
      <c r="O1738" s="1">
        <v>4872</v>
      </c>
      <c r="P1738" s="1">
        <v>2805</v>
      </c>
      <c r="Q1738" s="1" t="s">
        <v>42</v>
      </c>
      <c r="S1738" s="1" t="s">
        <v>42</v>
      </c>
      <c r="T1738" s="1" t="s">
        <v>273</v>
      </c>
      <c r="U1738" s="1">
        <v>127</v>
      </c>
      <c r="V1738" s="5">
        <v>44406</v>
      </c>
      <c r="W1738" s="5">
        <v>43615</v>
      </c>
      <c r="X1738" s="1">
        <v>5100000</v>
      </c>
      <c r="Y1738" s="1">
        <v>5100000</v>
      </c>
      <c r="AA1738" s="1">
        <v>4375000</v>
      </c>
      <c r="AB1738" s="1" t="s">
        <v>917</v>
      </c>
      <c r="AC1738" s="5">
        <v>43742</v>
      </c>
      <c r="AF1738" s="1">
        <v>10007</v>
      </c>
      <c r="AI1738" s="1" t="s">
        <v>107</v>
      </c>
      <c r="AJ1738" s="1">
        <v>2018</v>
      </c>
      <c r="AK1738" s="1" t="s">
        <v>49</v>
      </c>
      <c r="AL1738" s="1">
        <v>157</v>
      </c>
    </row>
    <row r="1739" spans="1:38" x14ac:dyDescent="0.2">
      <c r="A1739" s="2" t="str">
        <f>HYPERLINK("https://www.compass.com/listing/111-murray-street-unit-33b-manhattan-ny-10007/803299757783145849/","111 Murray St, Unit 33B")</f>
        <v>111 Murray St, Unit 33B</v>
      </c>
      <c r="B1739" s="2" t="str">
        <f t="shared" si="271"/>
        <v>111 Murray St</v>
      </c>
      <c r="C1739" s="1" t="s">
        <v>50</v>
      </c>
      <c r="D1739" s="1" t="s">
        <v>41</v>
      </c>
      <c r="E1739" s="3">
        <v>4055000</v>
      </c>
      <c r="F1739" s="1">
        <v>2451.6324062877802</v>
      </c>
      <c r="G1739" s="1">
        <v>4.5</v>
      </c>
      <c r="H1739" s="1">
        <v>2</v>
      </c>
      <c r="I1739" s="1">
        <v>3</v>
      </c>
      <c r="J1739" s="1">
        <v>2.5</v>
      </c>
      <c r="K1739" s="1">
        <v>2</v>
      </c>
      <c r="L1739" s="1">
        <v>1</v>
      </c>
      <c r="M1739" s="4">
        <v>1654</v>
      </c>
      <c r="N1739" s="1">
        <v>2007</v>
      </c>
      <c r="O1739" s="1">
        <v>4833</v>
      </c>
      <c r="P1739" s="1">
        <v>2826</v>
      </c>
      <c r="Q1739" s="1" t="s">
        <v>42</v>
      </c>
      <c r="S1739" s="1" t="s">
        <v>42</v>
      </c>
      <c r="T1739" s="1" t="s">
        <v>273</v>
      </c>
      <c r="U1739" s="1">
        <v>178</v>
      </c>
      <c r="V1739" s="5">
        <v>44074</v>
      </c>
      <c r="W1739" s="5">
        <v>43600</v>
      </c>
      <c r="X1739" s="1">
        <v>4600000</v>
      </c>
      <c r="Y1739" s="1">
        <v>4250000</v>
      </c>
      <c r="Z1739" s="5">
        <v>43778</v>
      </c>
      <c r="AA1739" s="1">
        <v>4055000</v>
      </c>
      <c r="AB1739" s="1" t="s">
        <v>918</v>
      </c>
      <c r="AC1739" s="5">
        <v>43857</v>
      </c>
      <c r="AF1739" s="1">
        <v>10007</v>
      </c>
      <c r="AI1739" s="1" t="s">
        <v>107</v>
      </c>
      <c r="AJ1739" s="1">
        <v>2018</v>
      </c>
      <c r="AK1739" s="1" t="s">
        <v>46</v>
      </c>
      <c r="AL1739" s="1">
        <v>157</v>
      </c>
    </row>
    <row r="1740" spans="1:38" x14ac:dyDescent="0.2">
      <c r="A1740" s="2" t="str">
        <f>HYPERLINK("https://www.compass.com/listing/55-west-17th-street-unit-701-manhattan-ny-10011/29513651815713729/","55 W 17th St, Unit 701")</f>
        <v>55 W 17th St, Unit 701</v>
      </c>
      <c r="B1740" s="2" t="str">
        <f>HYPERLINK("https://www.compass.com/building/55-w-17th-st-manhattan-ny-10011/281911689161499829/","55 W 17th St")</f>
        <v>55 W 17th St</v>
      </c>
      <c r="C1740" s="1" t="s">
        <v>56</v>
      </c>
      <c r="D1740" s="1" t="s">
        <v>41</v>
      </c>
      <c r="E1740" s="3">
        <v>2550000</v>
      </c>
      <c r="F1740" s="1">
        <v>1543.5835351089499</v>
      </c>
      <c r="G1740" s="1">
        <v>4</v>
      </c>
      <c r="H1740" s="1">
        <v>2</v>
      </c>
      <c r="I1740" s="1">
        <v>2</v>
      </c>
      <c r="J1740" s="1">
        <v>2.5</v>
      </c>
      <c r="K1740" s="1">
        <v>2</v>
      </c>
      <c r="L1740" s="1">
        <v>1</v>
      </c>
      <c r="M1740" s="4">
        <v>1652</v>
      </c>
      <c r="N1740" s="1">
        <v>2167</v>
      </c>
      <c r="O1740" s="1">
        <v>4583</v>
      </c>
      <c r="P1740" s="1">
        <v>2416</v>
      </c>
      <c r="Q1740" s="1" t="s">
        <v>42</v>
      </c>
      <c r="S1740" s="1" t="s">
        <v>42</v>
      </c>
      <c r="T1740" s="1" t="s">
        <v>273</v>
      </c>
      <c r="U1740" s="1">
        <v>182</v>
      </c>
      <c r="V1740" s="5">
        <v>43648</v>
      </c>
      <c r="W1740" s="5">
        <v>43288</v>
      </c>
      <c r="X1740" s="1">
        <v>2699990</v>
      </c>
      <c r="Y1740" s="1">
        <v>2699990</v>
      </c>
      <c r="Z1740" s="5">
        <v>43470</v>
      </c>
      <c r="AA1740" s="1">
        <v>2550000</v>
      </c>
      <c r="AB1740" s="1" t="s">
        <v>919</v>
      </c>
      <c r="AC1740" s="5">
        <v>43511</v>
      </c>
      <c r="AF1740" s="1">
        <v>10011</v>
      </c>
      <c r="AI1740" s="1" t="s">
        <v>102</v>
      </c>
      <c r="AJ1740" s="1">
        <v>2018</v>
      </c>
      <c r="AK1740" s="1" t="s">
        <v>108</v>
      </c>
      <c r="AL1740" s="1">
        <v>52</v>
      </c>
    </row>
    <row r="1741" spans="1:38" x14ac:dyDescent="0.2">
      <c r="A1741" s="2" t="str">
        <f>HYPERLINK("https://www.compass.com/listing/111-murray-street-unit-53west-manhattan-ny-10007/29514335697010401/","111 Murray St, Unit 53WEST")</f>
        <v>111 Murray St, Unit 53WEST</v>
      </c>
      <c r="B1741" s="2" t="str">
        <f>HYPERLINK("https://www.compass.com/building/111-murray-st-manhattan-ny-10007/281896511862746053/","111 Murray St")</f>
        <v>111 Murray St</v>
      </c>
      <c r="C1741" s="1" t="s">
        <v>50</v>
      </c>
      <c r="D1741" s="1" t="s">
        <v>41</v>
      </c>
      <c r="E1741" s="3">
        <v>9300000</v>
      </c>
      <c r="F1741" s="1">
        <v>2792.7927927927899</v>
      </c>
      <c r="G1741" s="1">
        <v>7</v>
      </c>
      <c r="H1741" s="1">
        <v>4</v>
      </c>
      <c r="I1741" s="1">
        <v>6</v>
      </c>
      <c r="J1741" s="1">
        <v>5.5</v>
      </c>
      <c r="K1741" s="1">
        <v>5</v>
      </c>
      <c r="L1741" s="1">
        <v>1</v>
      </c>
      <c r="M1741" s="4">
        <v>3330</v>
      </c>
      <c r="N1741" s="1">
        <v>4534</v>
      </c>
      <c r="O1741" s="1">
        <v>12794</v>
      </c>
      <c r="P1741" s="1">
        <v>8260</v>
      </c>
      <c r="Q1741" s="1" t="s">
        <v>42</v>
      </c>
      <c r="S1741" s="1" t="s">
        <v>42</v>
      </c>
      <c r="T1741" s="1" t="s">
        <v>273</v>
      </c>
      <c r="U1741" s="1">
        <v>888</v>
      </c>
      <c r="V1741" s="5">
        <v>44270</v>
      </c>
      <c r="W1741" s="5">
        <v>43234</v>
      </c>
      <c r="X1741" s="1">
        <v>14950000</v>
      </c>
      <c r="Y1741" s="1">
        <v>9995000</v>
      </c>
      <c r="Z1741" s="5">
        <v>44217</v>
      </c>
      <c r="AA1741" s="1">
        <v>9300000</v>
      </c>
      <c r="AB1741" s="1" t="s">
        <v>295</v>
      </c>
      <c r="AC1741" s="5">
        <v>44236</v>
      </c>
      <c r="AF1741" s="1">
        <v>10007</v>
      </c>
      <c r="AI1741" s="1" t="s">
        <v>80</v>
      </c>
      <c r="AJ1741" s="1">
        <v>2018</v>
      </c>
      <c r="AK1741" s="1" t="s">
        <v>49</v>
      </c>
      <c r="AL1741" s="1">
        <v>157</v>
      </c>
    </row>
    <row r="1742" spans="1:38" x14ac:dyDescent="0.2">
      <c r="A1742" s="2" t="str">
        <f>HYPERLINK("https://www.compass.com/listing/55-west-17th-street-unit-1204-manhattan-ny-10011/439693819421109057/","55 W 17th St, Unit 1204")</f>
        <v>55 W 17th St, Unit 1204</v>
      </c>
      <c r="B1742" s="2" t="str">
        <f>HYPERLINK("https://www.compass.com/building/55-w-17th-st-manhattan-ny-10011/281911689161499829/","55 W 17th St")</f>
        <v>55 W 17th St</v>
      </c>
      <c r="C1742" s="1" t="s">
        <v>56</v>
      </c>
      <c r="D1742" s="1" t="s">
        <v>41</v>
      </c>
      <c r="E1742" s="3">
        <v>4310000</v>
      </c>
      <c r="F1742" s="1">
        <v>1973.4432234432199</v>
      </c>
      <c r="G1742" s="1">
        <v>5</v>
      </c>
      <c r="H1742" s="1">
        <v>3</v>
      </c>
      <c r="I1742" s="1">
        <v>3</v>
      </c>
      <c r="J1742" s="1">
        <v>2.5</v>
      </c>
      <c r="K1742" s="1">
        <v>2</v>
      </c>
      <c r="L1742" s="1">
        <v>1</v>
      </c>
      <c r="M1742" s="4">
        <v>2184</v>
      </c>
      <c r="N1742" s="1">
        <v>2973</v>
      </c>
      <c r="O1742" s="1">
        <v>6347</v>
      </c>
      <c r="P1742" s="1">
        <v>3374</v>
      </c>
      <c r="Q1742" s="1" t="s">
        <v>42</v>
      </c>
      <c r="S1742" s="1" t="s">
        <v>42</v>
      </c>
      <c r="T1742" s="1" t="s">
        <v>273</v>
      </c>
      <c r="U1742" s="1">
        <v>18</v>
      </c>
      <c r="V1742" s="5">
        <v>44037</v>
      </c>
      <c r="W1742" s="5">
        <v>43858</v>
      </c>
      <c r="X1742" s="1">
        <v>4495000</v>
      </c>
      <c r="Y1742" s="1">
        <v>4495000</v>
      </c>
      <c r="Z1742" s="5">
        <v>43877</v>
      </c>
      <c r="AA1742" s="1">
        <v>4310000</v>
      </c>
      <c r="AB1742" s="1" t="s">
        <v>275</v>
      </c>
      <c r="AC1742" s="5">
        <v>44028</v>
      </c>
      <c r="AF1742" s="1">
        <v>10011</v>
      </c>
      <c r="AI1742" s="1" t="s">
        <v>212</v>
      </c>
      <c r="AJ1742" s="1">
        <v>2018</v>
      </c>
      <c r="AK1742" s="1" t="s">
        <v>108</v>
      </c>
      <c r="AL1742" s="1">
        <v>52</v>
      </c>
    </row>
    <row r="1743" spans="1:38" x14ac:dyDescent="0.2">
      <c r="A1743" s="2" t="str">
        <f>HYPERLINK("https://www.compass.com/listing/121-east-22nd-street-unit-n1704-manhattan-ny-10010/34705303283012513/","121 E 22nd St, Unit N1704")</f>
        <v>121 E 22nd St, Unit N1704</v>
      </c>
      <c r="B1743" s="2" t="str">
        <f>HYPERLINK("https://www.compass.com/building/121-e-22nd-manhattan-ny/292795784653461493/","121 E 22nd")</f>
        <v>121 E 22nd</v>
      </c>
      <c r="C1743" s="1" t="s">
        <v>64</v>
      </c>
      <c r="D1743" s="1" t="s">
        <v>41</v>
      </c>
      <c r="E1743" s="3">
        <v>2482697</v>
      </c>
      <c r="F1743" s="1">
        <v>2200.97265070921</v>
      </c>
      <c r="G1743" s="1">
        <v>3</v>
      </c>
      <c r="H1743" s="1">
        <v>1</v>
      </c>
      <c r="I1743" s="1">
        <v>2</v>
      </c>
      <c r="J1743" s="1">
        <v>1.5</v>
      </c>
      <c r="K1743" s="1">
        <v>1</v>
      </c>
      <c r="L1743" s="1">
        <v>1</v>
      </c>
      <c r="M1743" s="4">
        <v>1128</v>
      </c>
      <c r="N1743" s="1">
        <v>1273</v>
      </c>
      <c r="O1743" s="1">
        <v>3534</v>
      </c>
      <c r="P1743" s="1">
        <v>2261</v>
      </c>
      <c r="Q1743" s="1" t="s">
        <v>42</v>
      </c>
      <c r="S1743" s="1" t="s">
        <v>42</v>
      </c>
      <c r="T1743" s="1" t="s">
        <v>273</v>
      </c>
      <c r="V1743" s="5">
        <v>44373</v>
      </c>
      <c r="W1743" s="5">
        <v>43315</v>
      </c>
      <c r="X1743" s="1">
        <v>2435000</v>
      </c>
      <c r="Y1743" s="1">
        <v>2435000</v>
      </c>
      <c r="Z1743" s="5">
        <v>43315</v>
      </c>
      <c r="AA1743" s="1">
        <v>2482697.15</v>
      </c>
      <c r="AB1743" s="1" t="s">
        <v>920</v>
      </c>
      <c r="AC1743" s="5">
        <v>43734</v>
      </c>
      <c r="AF1743" s="1">
        <v>10010</v>
      </c>
      <c r="AI1743" s="1" t="s">
        <v>106</v>
      </c>
      <c r="AJ1743" s="1">
        <v>2016</v>
      </c>
      <c r="AK1743" s="1" t="s">
        <v>46</v>
      </c>
      <c r="AL1743" s="1">
        <v>140</v>
      </c>
    </row>
    <row r="1744" spans="1:38" x14ac:dyDescent="0.2">
      <c r="A1744" s="2" t="str">
        <f>HYPERLINK("https://www.compass.com/listing/45-east-22nd-street-unit-15b-manhattan-ny-10010/29375850919073361/","45 E 22nd St, Unit 15B")</f>
        <v>45 E 22nd St, Unit 15B</v>
      </c>
      <c r="B1744" s="2" t="str">
        <f>HYPERLINK("https://www.compass.com/building/madison-square-park-tower-manhattan-ny/281903584482705973/","Madison Square Park Tower")</f>
        <v>Madison Square Park Tower</v>
      </c>
      <c r="C1744" s="1" t="s">
        <v>56</v>
      </c>
      <c r="D1744" s="1" t="s">
        <v>41</v>
      </c>
      <c r="E1744" s="3">
        <v>2508673</v>
      </c>
      <c r="F1744" s="1">
        <v>2355.5615023474102</v>
      </c>
      <c r="G1744" s="1">
        <v>3</v>
      </c>
      <c r="H1744" s="1">
        <v>1</v>
      </c>
      <c r="I1744" s="1">
        <v>1</v>
      </c>
      <c r="J1744" s="1">
        <v>1</v>
      </c>
      <c r="K1744" s="1">
        <v>1</v>
      </c>
      <c r="M1744" s="4">
        <v>1065</v>
      </c>
      <c r="N1744" s="1">
        <v>1142</v>
      </c>
      <c r="O1744" s="1">
        <v>2878</v>
      </c>
      <c r="P1744" s="1">
        <v>1736</v>
      </c>
      <c r="Q1744" s="1" t="s">
        <v>42</v>
      </c>
      <c r="S1744" s="1" t="s">
        <v>42</v>
      </c>
      <c r="T1744" s="1" t="s">
        <v>273</v>
      </c>
      <c r="V1744" s="5">
        <v>43664</v>
      </c>
      <c r="W1744" s="5">
        <v>42074</v>
      </c>
      <c r="X1744" s="1">
        <v>2450000</v>
      </c>
      <c r="Y1744" s="1">
        <v>2450000</v>
      </c>
      <c r="Z1744" s="5">
        <v>42074</v>
      </c>
      <c r="AA1744" s="1">
        <v>2508673</v>
      </c>
      <c r="AB1744" s="1" t="s">
        <v>921</v>
      </c>
      <c r="AC1744" s="5">
        <v>43029</v>
      </c>
      <c r="AF1744" s="1">
        <v>10010</v>
      </c>
      <c r="AI1744" s="1" t="s">
        <v>48</v>
      </c>
      <c r="AJ1744" s="1">
        <v>2016</v>
      </c>
      <c r="AK1744" s="1" t="s">
        <v>46</v>
      </c>
      <c r="AL1744" s="1">
        <v>83</v>
      </c>
    </row>
    <row r="1745" spans="1:38" x14ac:dyDescent="0.2">
      <c r="A1745" s="2" t="str">
        <f>HYPERLINK("https://www.compass.com/listing/111-murray-street-unit-55east-manhattan-ny-10007/749918803582033761/","111 Murray St, Unit 55EAST")</f>
        <v>111 Murray St, Unit 55EAST</v>
      </c>
      <c r="B1745" s="2" t="str">
        <f>HYPERLINK("https://www.compass.com/building/111-murray-st-manhattan-ny-10007/281896511862746053/","111 Murray St")</f>
        <v>111 Murray St</v>
      </c>
      <c r="C1745" s="1" t="s">
        <v>50</v>
      </c>
      <c r="D1745" s="1" t="s">
        <v>41</v>
      </c>
      <c r="E1745" s="3">
        <v>8800000</v>
      </c>
      <c r="F1745" s="1">
        <v>2815.0991682661502</v>
      </c>
      <c r="G1745" s="1">
        <v>6</v>
      </c>
      <c r="H1745" s="1">
        <v>3</v>
      </c>
      <c r="I1745" s="1">
        <v>5</v>
      </c>
      <c r="J1745" s="1">
        <v>4.5</v>
      </c>
      <c r="K1745" s="1">
        <v>4</v>
      </c>
      <c r="L1745" s="1">
        <v>1</v>
      </c>
      <c r="M1745" s="4">
        <v>3126</v>
      </c>
      <c r="N1745" s="1">
        <v>4128</v>
      </c>
      <c r="O1745" s="1">
        <v>11648</v>
      </c>
      <c r="P1745" s="1">
        <v>7520</v>
      </c>
      <c r="Q1745" s="1" t="s">
        <v>42</v>
      </c>
      <c r="S1745" s="1" t="s">
        <v>42</v>
      </c>
      <c r="T1745" s="1" t="s">
        <v>273</v>
      </c>
      <c r="U1745" s="1">
        <v>43</v>
      </c>
      <c r="V1745" s="5">
        <v>44358</v>
      </c>
      <c r="W1745" s="5">
        <v>44257</v>
      </c>
      <c r="Z1745" s="5">
        <v>44301</v>
      </c>
      <c r="AA1745" s="1">
        <v>8800000</v>
      </c>
      <c r="AB1745" s="1" t="s">
        <v>275</v>
      </c>
      <c r="AC1745" s="5">
        <v>44329</v>
      </c>
      <c r="AF1745" s="1">
        <v>10007</v>
      </c>
      <c r="AI1745" s="1" t="s">
        <v>235</v>
      </c>
      <c r="AJ1745" s="1">
        <v>2018</v>
      </c>
      <c r="AK1745" s="1" t="s">
        <v>49</v>
      </c>
      <c r="AL1745" s="1">
        <v>157</v>
      </c>
    </row>
    <row r="1746" spans="1:38" x14ac:dyDescent="0.2">
      <c r="A1746" s="2" t="str">
        <f>HYPERLINK("https://www.compass.com/listing/121-east-22nd-street-unit-n406-manhattan-ny-10010/209413287614378001/","121 E 22nd St, Unit N406")</f>
        <v>121 E 22nd St, Unit N406</v>
      </c>
      <c r="B1746" s="2" t="str">
        <f>HYPERLINK("https://www.compass.com/building/121-e-22nd-manhattan-ny/292795784653461493/","121 E 22nd")</f>
        <v>121 E 22nd</v>
      </c>
      <c r="C1746" s="1" t="s">
        <v>64</v>
      </c>
      <c r="D1746" s="1" t="s">
        <v>41</v>
      </c>
      <c r="E1746" s="3">
        <v>3390625</v>
      </c>
      <c r="F1746" s="1">
        <v>1937.50015999999</v>
      </c>
      <c r="G1746" s="1">
        <v>4</v>
      </c>
      <c r="H1746" s="1">
        <v>2</v>
      </c>
      <c r="I1746" s="1">
        <v>3</v>
      </c>
      <c r="J1746" s="1">
        <v>2.5</v>
      </c>
      <c r="K1746" s="1">
        <v>2</v>
      </c>
      <c r="L1746" s="1">
        <v>1</v>
      </c>
      <c r="M1746" s="4">
        <v>1750</v>
      </c>
      <c r="N1746" s="1">
        <v>1760</v>
      </c>
      <c r="O1746" s="1">
        <v>5320</v>
      </c>
      <c r="P1746" s="1">
        <v>3560</v>
      </c>
      <c r="Q1746" s="1" t="s">
        <v>42</v>
      </c>
      <c r="S1746" s="1" t="s">
        <v>42</v>
      </c>
      <c r="T1746" s="1" t="s">
        <v>273</v>
      </c>
      <c r="U1746" s="1">
        <v>369</v>
      </c>
      <c r="V1746" s="5">
        <v>44334</v>
      </c>
      <c r="W1746" s="5">
        <v>43541</v>
      </c>
      <c r="X1746" s="1">
        <v>3685000</v>
      </c>
      <c r="Y1746" s="1">
        <v>3685000</v>
      </c>
      <c r="Z1746" s="5">
        <v>43983</v>
      </c>
      <c r="AA1746" s="1">
        <v>3390625.28</v>
      </c>
      <c r="AB1746" s="1" t="s">
        <v>922</v>
      </c>
      <c r="AC1746" s="5">
        <v>44032</v>
      </c>
      <c r="AF1746" s="1">
        <v>10010</v>
      </c>
      <c r="AI1746" s="1" t="s">
        <v>234</v>
      </c>
      <c r="AJ1746" s="1">
        <v>2016</v>
      </c>
      <c r="AK1746" s="1" t="s">
        <v>46</v>
      </c>
      <c r="AL1746" s="1">
        <v>140</v>
      </c>
    </row>
    <row r="1747" spans="1:38" x14ac:dyDescent="0.2">
      <c r="A1747" s="2" t="str">
        <f>HYPERLINK("https://www.compass.com/listing/45-east-22nd-street-unit-30a-manhattan-ny-10010/29375860851110225/","45 E 22nd St, Unit 30A")</f>
        <v>45 E 22nd St, Unit 30A</v>
      </c>
      <c r="B1747" s="2" t="str">
        <f t="shared" ref="B1747:B1750" si="272">HYPERLINK("https://www.compass.com/building/madison-square-park-tower-manhattan-ny/281903584482705973/","Madison Square Park Tower")</f>
        <v>Madison Square Park Tower</v>
      </c>
      <c r="C1747" s="1" t="s">
        <v>56</v>
      </c>
      <c r="D1747" s="1" t="s">
        <v>41</v>
      </c>
      <c r="E1747" s="3">
        <v>6188299</v>
      </c>
      <c r="F1747" s="1">
        <v>3123.8258455325499</v>
      </c>
      <c r="G1747" s="1">
        <v>4</v>
      </c>
      <c r="H1747" s="1">
        <v>2</v>
      </c>
      <c r="I1747" s="1">
        <v>2</v>
      </c>
      <c r="J1747" s="1">
        <v>2</v>
      </c>
      <c r="K1747" s="1">
        <v>2</v>
      </c>
      <c r="M1747" s="4">
        <v>1981</v>
      </c>
      <c r="N1747" s="1">
        <v>2281</v>
      </c>
      <c r="O1747" s="1">
        <v>5748</v>
      </c>
      <c r="P1747" s="1">
        <v>3467</v>
      </c>
      <c r="Q1747" s="1" t="s">
        <v>42</v>
      </c>
      <c r="S1747" s="1" t="s">
        <v>42</v>
      </c>
      <c r="T1747" s="1" t="s">
        <v>273</v>
      </c>
      <c r="V1747" s="5">
        <v>43650</v>
      </c>
      <c r="W1747" s="5">
        <v>42059</v>
      </c>
      <c r="X1747" s="1">
        <v>6050000</v>
      </c>
      <c r="Y1747" s="1">
        <v>6050000</v>
      </c>
      <c r="Z1747" s="5">
        <v>42059</v>
      </c>
      <c r="AA1747" s="1">
        <v>6188299</v>
      </c>
      <c r="AB1747" s="1" t="s">
        <v>923</v>
      </c>
      <c r="AC1747" s="5">
        <v>42949</v>
      </c>
      <c r="AF1747" s="1">
        <v>10010</v>
      </c>
      <c r="AI1747" s="1" t="s">
        <v>48</v>
      </c>
      <c r="AJ1747" s="1">
        <v>2016</v>
      </c>
      <c r="AK1747" s="1" t="s">
        <v>46</v>
      </c>
      <c r="AL1747" s="1">
        <v>83</v>
      </c>
    </row>
    <row r="1748" spans="1:38" x14ac:dyDescent="0.2">
      <c r="A1748" s="2" t="str">
        <f>HYPERLINK("https://www.compass.com/listing/45-east-22nd-street-unit-32a-manhattan-ny-10010/29375862587553105/","45 E 22nd St, Unit 32A")</f>
        <v>45 E 22nd St, Unit 32A</v>
      </c>
      <c r="B1748" s="2" t="str">
        <f t="shared" si="272"/>
        <v>Madison Square Park Tower</v>
      </c>
      <c r="C1748" s="1" t="s">
        <v>56</v>
      </c>
      <c r="D1748" s="1" t="s">
        <v>41</v>
      </c>
      <c r="E1748" s="3">
        <v>6423108</v>
      </c>
      <c r="F1748" s="1">
        <v>3201.94815553339</v>
      </c>
      <c r="G1748" s="1">
        <v>4</v>
      </c>
      <c r="H1748" s="1">
        <v>2</v>
      </c>
      <c r="I1748" s="1">
        <v>2</v>
      </c>
      <c r="J1748" s="1">
        <v>2</v>
      </c>
      <c r="K1748" s="1">
        <v>2</v>
      </c>
      <c r="M1748" s="4">
        <v>2006</v>
      </c>
      <c r="N1748" s="1">
        <v>2331</v>
      </c>
      <c r="O1748" s="1">
        <v>5874</v>
      </c>
      <c r="P1748" s="1">
        <v>3543</v>
      </c>
      <c r="Q1748" s="1" t="s">
        <v>42</v>
      </c>
      <c r="S1748" s="1" t="s">
        <v>42</v>
      </c>
      <c r="T1748" s="1" t="s">
        <v>273</v>
      </c>
      <c r="V1748" s="5">
        <v>43650</v>
      </c>
      <c r="W1748" s="5">
        <v>42066</v>
      </c>
      <c r="X1748" s="1">
        <v>6280000</v>
      </c>
      <c r="Y1748" s="1">
        <v>6280000</v>
      </c>
      <c r="Z1748" s="5">
        <v>42066</v>
      </c>
      <c r="AA1748" s="1">
        <v>6423108</v>
      </c>
      <c r="AB1748" s="1" t="s">
        <v>924</v>
      </c>
      <c r="AC1748" s="5">
        <v>42958</v>
      </c>
      <c r="AF1748" s="1">
        <v>10010</v>
      </c>
      <c r="AI1748" s="1" t="s">
        <v>48</v>
      </c>
      <c r="AJ1748" s="1">
        <v>2016</v>
      </c>
      <c r="AK1748" s="1" t="s">
        <v>46</v>
      </c>
      <c r="AL1748" s="1">
        <v>83</v>
      </c>
    </row>
    <row r="1749" spans="1:38" x14ac:dyDescent="0.2">
      <c r="A1749" s="2" t="str">
        <f>HYPERLINK("https://www.compass.com/listing/45-east-22nd-street-unit-33a-manhattan-ny-10010/29375863451578737/","45 E 22nd St, Unit 33A")</f>
        <v>45 E 22nd St, Unit 33A</v>
      </c>
      <c r="B1749" s="2" t="str">
        <f t="shared" si="272"/>
        <v>Madison Square Park Tower</v>
      </c>
      <c r="C1749" s="1" t="s">
        <v>56</v>
      </c>
      <c r="D1749" s="1" t="s">
        <v>41</v>
      </c>
      <c r="E1749" s="3">
        <v>6672880</v>
      </c>
      <c r="F1749" s="1">
        <v>3306.6798810703599</v>
      </c>
      <c r="G1749" s="1">
        <v>4</v>
      </c>
      <c r="H1749" s="1">
        <v>2</v>
      </c>
      <c r="I1749" s="1">
        <v>2</v>
      </c>
      <c r="J1749" s="1">
        <v>2</v>
      </c>
      <c r="K1749" s="1">
        <v>2</v>
      </c>
      <c r="M1749" s="4">
        <v>2018</v>
      </c>
      <c r="N1749" s="1">
        <v>2355</v>
      </c>
      <c r="O1749" s="1">
        <v>5936</v>
      </c>
      <c r="P1749" s="1">
        <v>3581</v>
      </c>
      <c r="Q1749" s="1" t="s">
        <v>42</v>
      </c>
      <c r="S1749" s="1" t="s">
        <v>42</v>
      </c>
      <c r="T1749" s="1" t="s">
        <v>273</v>
      </c>
      <c r="V1749" s="5">
        <v>43650</v>
      </c>
      <c r="W1749" s="5">
        <v>42084</v>
      </c>
      <c r="X1749" s="1">
        <v>6525000</v>
      </c>
      <c r="Y1749" s="1">
        <v>6525000</v>
      </c>
      <c r="Z1749" s="5">
        <v>42084</v>
      </c>
      <c r="AA1749" s="1">
        <v>6672880</v>
      </c>
      <c r="AB1749" s="1" t="s">
        <v>925</v>
      </c>
      <c r="AC1749" s="5">
        <v>42962</v>
      </c>
      <c r="AF1749" s="1">
        <v>10010</v>
      </c>
      <c r="AI1749" s="1" t="s">
        <v>48</v>
      </c>
      <c r="AJ1749" s="1">
        <v>2016</v>
      </c>
      <c r="AK1749" s="1" t="s">
        <v>46</v>
      </c>
      <c r="AL1749" s="1">
        <v>83</v>
      </c>
    </row>
    <row r="1750" spans="1:38" x14ac:dyDescent="0.2">
      <c r="A1750" s="2" t="str">
        <f>HYPERLINK("https://www.compass.com/listing/45-east-22nd-street-unit-34a-manhattan-ny-10010/29375864240183169/","45 E 22nd St, Unit 34A")</f>
        <v>45 E 22nd St, Unit 34A</v>
      </c>
      <c r="B1750" s="2" t="str">
        <f t="shared" si="272"/>
        <v>Madison Square Park Tower</v>
      </c>
      <c r="C1750" s="1" t="s">
        <v>56</v>
      </c>
      <c r="D1750" s="1" t="s">
        <v>41</v>
      </c>
      <c r="E1750" s="3">
        <v>6657908</v>
      </c>
      <c r="F1750" s="1">
        <v>3279.75763546798</v>
      </c>
      <c r="G1750" s="1">
        <v>4</v>
      </c>
      <c r="H1750" s="1">
        <v>2</v>
      </c>
      <c r="I1750" s="1">
        <v>2</v>
      </c>
      <c r="J1750" s="1">
        <v>2</v>
      </c>
      <c r="K1750" s="1">
        <v>2</v>
      </c>
      <c r="M1750" s="4">
        <v>2030</v>
      </c>
      <c r="N1750" s="1">
        <v>2393</v>
      </c>
      <c r="O1750" s="1">
        <v>6031</v>
      </c>
      <c r="P1750" s="1">
        <v>3638</v>
      </c>
      <c r="Q1750" s="1" t="s">
        <v>42</v>
      </c>
      <c r="S1750" s="1" t="s">
        <v>42</v>
      </c>
      <c r="T1750" s="1" t="s">
        <v>273</v>
      </c>
      <c r="V1750" s="5">
        <v>43668</v>
      </c>
      <c r="W1750" s="5">
        <v>41991</v>
      </c>
      <c r="X1750" s="1">
        <v>6510000</v>
      </c>
      <c r="Y1750" s="1">
        <v>6510000</v>
      </c>
      <c r="Z1750" s="5">
        <v>41991</v>
      </c>
      <c r="AA1750" s="1">
        <v>6657908</v>
      </c>
      <c r="AB1750" s="1" t="s">
        <v>926</v>
      </c>
      <c r="AC1750" s="5">
        <v>42972</v>
      </c>
      <c r="AF1750" s="1">
        <v>10010</v>
      </c>
      <c r="AI1750" s="1" t="s">
        <v>48</v>
      </c>
      <c r="AJ1750" s="1">
        <v>2016</v>
      </c>
      <c r="AK1750" s="1" t="s">
        <v>46</v>
      </c>
      <c r="AL1750" s="1">
        <v>83</v>
      </c>
    </row>
    <row r="1751" spans="1:38" x14ac:dyDescent="0.2">
      <c r="A1751" s="2" t="str">
        <f>HYPERLINK("https://www.compass.com/listing/514-west-24th-street-unit-6w-manhattan-ny-10011/28302155358226945/","514 W 24th St, Unit 6W")</f>
        <v>514 W 24th St, Unit 6W</v>
      </c>
      <c r="B1751" s="2" t="str">
        <f>HYPERLINK("https://www.compass.com/building/the-fitzroy-manhattan-ny/281911423242627685/","The Fitzroy")</f>
        <v>The Fitzroy</v>
      </c>
      <c r="C1751" s="1" t="s">
        <v>62</v>
      </c>
      <c r="D1751" s="1" t="s">
        <v>41</v>
      </c>
      <c r="E1751" s="3">
        <v>6520050</v>
      </c>
      <c r="F1751" s="1">
        <v>2788.7296834901599</v>
      </c>
      <c r="G1751" s="1">
        <v>6</v>
      </c>
      <c r="H1751" s="1">
        <v>3</v>
      </c>
      <c r="I1751" s="1">
        <v>3</v>
      </c>
      <c r="J1751" s="1">
        <v>3</v>
      </c>
      <c r="K1751" s="1">
        <v>3</v>
      </c>
      <c r="M1751" s="4">
        <v>2338</v>
      </c>
      <c r="N1751" s="1">
        <v>3095</v>
      </c>
      <c r="O1751" s="1">
        <v>5662</v>
      </c>
      <c r="P1751" s="1">
        <v>2567</v>
      </c>
      <c r="Q1751" s="1" t="s">
        <v>42</v>
      </c>
      <c r="S1751" s="1" t="s">
        <v>42</v>
      </c>
      <c r="T1751" s="1" t="s">
        <v>273</v>
      </c>
      <c r="U1751" s="1">
        <v>139</v>
      </c>
      <c r="V1751" s="5">
        <v>43897</v>
      </c>
      <c r="W1751" s="5">
        <v>42313</v>
      </c>
      <c r="X1751" s="1">
        <v>6400000</v>
      </c>
      <c r="Y1751" s="1">
        <v>6400000</v>
      </c>
      <c r="Z1751" s="5">
        <v>42453</v>
      </c>
      <c r="AA1751" s="1">
        <v>6520050</v>
      </c>
      <c r="AB1751" s="1" t="s">
        <v>927</v>
      </c>
      <c r="AC1751" s="5">
        <v>43882</v>
      </c>
      <c r="AF1751" s="1">
        <v>10011</v>
      </c>
      <c r="AI1751" s="1" t="s">
        <v>101</v>
      </c>
      <c r="AJ1751" s="1">
        <v>2017</v>
      </c>
      <c r="AK1751" s="1" t="s">
        <v>46</v>
      </c>
      <c r="AL1751" s="1">
        <v>14</v>
      </c>
    </row>
    <row r="1752" spans="1:38" x14ac:dyDescent="0.2">
      <c r="A1752" s="2" t="str">
        <f>HYPERLINK("https://www.compass.com/listing/45-east-22nd-street-unit-23b-manhattan-ny-10010/29375856262616785/","45 E 22nd St, Unit 23B")</f>
        <v>45 E 22nd St, Unit 23B</v>
      </c>
      <c r="B1752" s="2" t="str">
        <f>HYPERLINK("https://www.compass.com/building/madison-square-park-tower-manhattan-ny/281903584482705973/","Madison Square Park Tower")</f>
        <v>Madison Square Park Tower</v>
      </c>
      <c r="C1752" s="1" t="s">
        <v>56</v>
      </c>
      <c r="D1752" s="1" t="s">
        <v>41</v>
      </c>
      <c r="E1752" s="3">
        <v>3019370</v>
      </c>
      <c r="F1752" s="1">
        <v>2648.57017543859</v>
      </c>
      <c r="G1752" s="1">
        <v>3</v>
      </c>
      <c r="H1752" s="1">
        <v>1</v>
      </c>
      <c r="I1752" s="1">
        <v>1</v>
      </c>
      <c r="J1752" s="1">
        <v>1</v>
      </c>
      <c r="K1752" s="1">
        <v>1</v>
      </c>
      <c r="M1752" s="4">
        <v>1140</v>
      </c>
      <c r="N1752" s="1">
        <v>1270</v>
      </c>
      <c r="O1752" s="1">
        <v>3201</v>
      </c>
      <c r="P1752" s="1">
        <v>1931</v>
      </c>
      <c r="Q1752" s="1" t="s">
        <v>42</v>
      </c>
      <c r="S1752" s="1" t="s">
        <v>42</v>
      </c>
      <c r="T1752" s="1" t="s">
        <v>273</v>
      </c>
      <c r="V1752" s="5">
        <v>43650</v>
      </c>
      <c r="W1752" s="5">
        <v>41983</v>
      </c>
      <c r="X1752" s="1">
        <v>2950000</v>
      </c>
      <c r="Y1752" s="1">
        <v>3009000</v>
      </c>
      <c r="Z1752" s="5">
        <v>41983</v>
      </c>
      <c r="AA1752" s="1">
        <v>3019370</v>
      </c>
      <c r="AB1752" s="1" t="s">
        <v>928</v>
      </c>
      <c r="AC1752" s="5">
        <v>42977</v>
      </c>
      <c r="AF1752" s="1">
        <v>10010</v>
      </c>
      <c r="AI1752" s="1" t="s">
        <v>48</v>
      </c>
      <c r="AJ1752" s="1">
        <v>2016</v>
      </c>
      <c r="AK1752" s="1" t="s">
        <v>46</v>
      </c>
      <c r="AL1752" s="1">
        <v>83</v>
      </c>
    </row>
    <row r="1753" spans="1:38" x14ac:dyDescent="0.2">
      <c r="A1753" s="2" t="str">
        <f>HYPERLINK("https://www.compass.com/listing/111-murray-street-unit-53east-manhattan-ny-10007/623975034826026273/","111 Murray St, Unit 53EAST")</f>
        <v>111 Murray St, Unit 53EAST</v>
      </c>
      <c r="B1753" s="2" t="str">
        <f>HYPERLINK("https://www.compass.com/building/111-murray-st-manhattan-ny-10007/281896511862746053/","111 Murray St")</f>
        <v>111 Murray St</v>
      </c>
      <c r="C1753" s="1" t="s">
        <v>50</v>
      </c>
      <c r="D1753" s="1" t="s">
        <v>41</v>
      </c>
      <c r="E1753" s="3">
        <v>8250000</v>
      </c>
      <c r="F1753" s="1">
        <v>2716.4965426407598</v>
      </c>
      <c r="G1753" s="1">
        <v>6</v>
      </c>
      <c r="H1753" s="1">
        <v>3</v>
      </c>
      <c r="I1753" s="1">
        <v>5</v>
      </c>
      <c r="J1753" s="1">
        <v>4.5</v>
      </c>
      <c r="K1753" s="1">
        <v>4</v>
      </c>
      <c r="L1753" s="1">
        <v>1</v>
      </c>
      <c r="M1753" s="4">
        <v>3037</v>
      </c>
      <c r="N1753" s="1">
        <v>3930</v>
      </c>
      <c r="O1753" s="1">
        <v>11090</v>
      </c>
      <c r="P1753" s="1">
        <v>7160</v>
      </c>
      <c r="Q1753" s="1" t="s">
        <v>42</v>
      </c>
      <c r="S1753" s="1" t="s">
        <v>42</v>
      </c>
      <c r="T1753" s="1" t="s">
        <v>273</v>
      </c>
      <c r="U1753" s="1">
        <v>140</v>
      </c>
      <c r="V1753" s="5">
        <v>44314</v>
      </c>
      <c r="W1753" s="5">
        <v>44112</v>
      </c>
      <c r="Z1753" s="5">
        <v>44253</v>
      </c>
      <c r="AA1753" s="1">
        <v>8250000</v>
      </c>
      <c r="AB1753" s="1" t="s">
        <v>275</v>
      </c>
      <c r="AC1753" s="5">
        <v>44312</v>
      </c>
      <c r="AF1753" s="1">
        <v>10007</v>
      </c>
      <c r="AI1753" s="1" t="s">
        <v>235</v>
      </c>
      <c r="AJ1753" s="1">
        <v>2018</v>
      </c>
      <c r="AK1753" s="1" t="s">
        <v>49</v>
      </c>
      <c r="AL1753" s="1">
        <v>157</v>
      </c>
    </row>
    <row r="1754" spans="1:38" x14ac:dyDescent="0.2">
      <c r="A1754" s="2" t="str">
        <f>HYPERLINK("https://www.compass.com/listing/45-east-22nd-street-unit-19b-manhattan-ny-10010/29375853259420865/","45 E 22nd St, Unit 19B")</f>
        <v>45 E 22nd St, Unit 19B</v>
      </c>
      <c r="B1754" s="2" t="str">
        <f>HYPERLINK("https://www.compass.com/building/madison-square-park-tower-manhattan-ny/281903584482705973/","Madison Square Park Tower")</f>
        <v>Madison Square Park Tower</v>
      </c>
      <c r="C1754" s="1" t="s">
        <v>56</v>
      </c>
      <c r="D1754" s="1" t="s">
        <v>41</v>
      </c>
      <c r="E1754" s="3">
        <v>2713266</v>
      </c>
      <c r="F1754" s="1">
        <v>2433.42242152466</v>
      </c>
      <c r="G1754" s="1">
        <v>3</v>
      </c>
      <c r="H1754" s="1">
        <v>1</v>
      </c>
      <c r="I1754" s="1">
        <v>1</v>
      </c>
      <c r="J1754" s="1">
        <v>1</v>
      </c>
      <c r="K1754" s="1">
        <v>1</v>
      </c>
      <c r="M1754" s="4">
        <v>1115</v>
      </c>
      <c r="N1754" s="1">
        <v>1219</v>
      </c>
      <c r="O1754" s="1">
        <v>3072</v>
      </c>
      <c r="P1754" s="1">
        <v>1853</v>
      </c>
      <c r="Q1754" s="1" t="s">
        <v>42</v>
      </c>
      <c r="S1754" s="1" t="s">
        <v>42</v>
      </c>
      <c r="T1754" s="1" t="s">
        <v>273</v>
      </c>
      <c r="V1754" s="5">
        <v>43668</v>
      </c>
      <c r="W1754" s="5">
        <v>41983</v>
      </c>
      <c r="X1754" s="1">
        <v>2650000</v>
      </c>
      <c r="Y1754" s="1">
        <v>2703000</v>
      </c>
      <c r="Z1754" s="5">
        <v>41983</v>
      </c>
      <c r="AA1754" s="1">
        <v>2713266</v>
      </c>
      <c r="AB1754" s="1" t="s">
        <v>929</v>
      </c>
      <c r="AC1754" s="5">
        <v>42977</v>
      </c>
      <c r="AF1754" s="1">
        <v>10010</v>
      </c>
      <c r="AI1754" s="1" t="s">
        <v>48</v>
      </c>
      <c r="AJ1754" s="1">
        <v>2016</v>
      </c>
      <c r="AK1754" s="1" t="s">
        <v>46</v>
      </c>
      <c r="AL1754" s="1">
        <v>83</v>
      </c>
    </row>
    <row r="1755" spans="1:38" x14ac:dyDescent="0.2">
      <c r="A1755" s="2" t="str">
        <f>HYPERLINK("https://www.compass.com/listing/55-west-17th-street-unit-804-manhattan-ny-10011/140956240183302161/","55 W 17th St, Unit 804")</f>
        <v>55 W 17th St, Unit 804</v>
      </c>
      <c r="B1755" s="2" t="str">
        <f t="shared" ref="B1755:B1756" si="273">HYPERLINK("https://www.compass.com/building/55-w-17th-st-manhattan-ny-10011/281911689161499829/","55 W 17th St")</f>
        <v>55 W 17th St</v>
      </c>
      <c r="C1755" s="1" t="s">
        <v>56</v>
      </c>
      <c r="D1755" s="1" t="s">
        <v>41</v>
      </c>
      <c r="E1755" s="3">
        <v>3775000</v>
      </c>
      <c r="F1755" s="1">
        <v>1951.91313340227</v>
      </c>
      <c r="G1755" s="1">
        <v>5</v>
      </c>
      <c r="H1755" s="1">
        <v>3</v>
      </c>
      <c r="I1755" s="1">
        <v>3</v>
      </c>
      <c r="J1755" s="1">
        <v>2.5</v>
      </c>
      <c r="K1755" s="1">
        <v>2</v>
      </c>
      <c r="L1755" s="1">
        <v>1</v>
      </c>
      <c r="M1755" s="4">
        <v>1934</v>
      </c>
      <c r="N1755" s="1">
        <v>2404</v>
      </c>
      <c r="O1755" s="1">
        <v>5236</v>
      </c>
      <c r="P1755" s="1">
        <v>2832</v>
      </c>
      <c r="Q1755" s="1" t="s">
        <v>42</v>
      </c>
      <c r="S1755" s="1" t="s">
        <v>42</v>
      </c>
      <c r="T1755" s="1" t="s">
        <v>273</v>
      </c>
      <c r="U1755" s="1">
        <v>63</v>
      </c>
      <c r="V1755" s="5">
        <v>43643</v>
      </c>
      <c r="W1755" s="5">
        <v>43446</v>
      </c>
      <c r="X1755" s="1">
        <v>3775000</v>
      </c>
      <c r="Y1755" s="1">
        <v>3775000</v>
      </c>
      <c r="Z1755" s="5">
        <v>43509</v>
      </c>
      <c r="AA1755" s="1">
        <v>3775000</v>
      </c>
      <c r="AB1755" s="1" t="s">
        <v>930</v>
      </c>
      <c r="AC1755" s="5">
        <v>43546</v>
      </c>
      <c r="AF1755" s="1">
        <v>10011</v>
      </c>
      <c r="AI1755" s="1" t="s">
        <v>102</v>
      </c>
      <c r="AJ1755" s="1">
        <v>2018</v>
      </c>
      <c r="AK1755" s="1" t="s">
        <v>55</v>
      </c>
      <c r="AL1755" s="1">
        <v>52</v>
      </c>
    </row>
    <row r="1756" spans="1:38" x14ac:dyDescent="0.2">
      <c r="A1756" s="2" t="str">
        <f>HYPERLINK("https://www.compass.com/listing/55-west-17th-street-unit-1104-manhattan-ny-10011/94792768639043841/","55 W 17th St, Unit 1104")</f>
        <v>55 W 17th St, Unit 1104</v>
      </c>
      <c r="B1756" s="2" t="str">
        <f t="shared" si="273"/>
        <v>55 W 17th St</v>
      </c>
      <c r="C1756" s="1" t="s">
        <v>56</v>
      </c>
      <c r="D1756" s="1" t="s">
        <v>41</v>
      </c>
      <c r="E1756" s="3">
        <v>3850000</v>
      </c>
      <c r="F1756" s="1">
        <v>1990.6928645294699</v>
      </c>
      <c r="G1756" s="1">
        <v>5</v>
      </c>
      <c r="H1756" s="1">
        <v>3</v>
      </c>
      <c r="I1756" s="1">
        <v>3</v>
      </c>
      <c r="J1756" s="1">
        <v>2.5</v>
      </c>
      <c r="M1756" s="4">
        <v>1934</v>
      </c>
      <c r="N1756" s="1">
        <v>2412</v>
      </c>
      <c r="O1756" s="1">
        <v>5252</v>
      </c>
      <c r="P1756" s="1">
        <v>2840</v>
      </c>
      <c r="Q1756" s="1" t="s">
        <v>42</v>
      </c>
      <c r="S1756" s="1" t="s">
        <v>42</v>
      </c>
      <c r="T1756" s="1" t="s">
        <v>273</v>
      </c>
      <c r="V1756" s="5">
        <v>43640</v>
      </c>
      <c r="W1756" s="5">
        <v>43383</v>
      </c>
      <c r="X1756" s="1">
        <v>3850000</v>
      </c>
      <c r="Y1756" s="1">
        <v>3850000</v>
      </c>
      <c r="Z1756" s="5">
        <v>43383</v>
      </c>
      <c r="AA1756" s="1">
        <v>3850000</v>
      </c>
      <c r="AB1756" s="1" t="s">
        <v>931</v>
      </c>
      <c r="AC1756" s="5">
        <v>43437</v>
      </c>
      <c r="AF1756" s="1">
        <v>10011</v>
      </c>
      <c r="AI1756" s="1" t="s">
        <v>102</v>
      </c>
      <c r="AJ1756" s="1">
        <v>2018</v>
      </c>
      <c r="AK1756" s="1" t="s">
        <v>55</v>
      </c>
      <c r="AL1756" s="1">
        <v>52</v>
      </c>
    </row>
    <row r="1757" spans="1:38" x14ac:dyDescent="0.2">
      <c r="A1757" s="2" t="str">
        <f>HYPERLINK("https://www.compass.com/listing/111-murray-street-unit-60east-manhattan-ny-10007/654382228991375257/","111 Murray St, Unit 60EAST")</f>
        <v>111 Murray St, Unit 60EAST</v>
      </c>
      <c r="B1757" s="2" t="str">
        <f t="shared" ref="B1757:B1763" si="274">HYPERLINK("https://www.compass.com/building/111-murray-st-manhattan-ny-10007/281896511862746053/","111 Murray St")</f>
        <v>111 Murray St</v>
      </c>
      <c r="C1757" s="1" t="s">
        <v>50</v>
      </c>
      <c r="D1757" s="1" t="s">
        <v>41</v>
      </c>
      <c r="E1757" s="3">
        <v>8200000</v>
      </c>
      <c r="F1757" s="1">
        <v>2624.83994878361</v>
      </c>
      <c r="G1757" s="1">
        <v>6.5</v>
      </c>
      <c r="H1757" s="1">
        <v>3</v>
      </c>
      <c r="I1757" s="1">
        <v>4</v>
      </c>
      <c r="J1757" s="1">
        <v>3.5</v>
      </c>
      <c r="K1757" s="1">
        <v>3</v>
      </c>
      <c r="L1757" s="1">
        <v>1</v>
      </c>
      <c r="M1757" s="4">
        <v>3124</v>
      </c>
      <c r="N1757" s="1">
        <v>3774</v>
      </c>
      <c r="O1757" s="1">
        <v>9103</v>
      </c>
      <c r="P1757" s="1">
        <v>5329</v>
      </c>
      <c r="Q1757" s="1" t="s">
        <v>42</v>
      </c>
      <c r="S1757" s="1" t="s">
        <v>42</v>
      </c>
      <c r="T1757" s="1" t="s">
        <v>273</v>
      </c>
      <c r="U1757" s="1">
        <v>10</v>
      </c>
      <c r="V1757" s="5">
        <v>44181</v>
      </c>
      <c r="W1757" s="5">
        <v>44144</v>
      </c>
      <c r="X1757" s="1">
        <v>8200000</v>
      </c>
      <c r="Y1757" s="1">
        <v>8200000</v>
      </c>
      <c r="Z1757" s="5">
        <v>44155</v>
      </c>
      <c r="AA1757" s="1">
        <v>8200000</v>
      </c>
      <c r="AB1757" s="1" t="s">
        <v>275</v>
      </c>
      <c r="AC1757" s="5">
        <v>44179</v>
      </c>
      <c r="AF1757" s="1">
        <v>10007</v>
      </c>
      <c r="AI1757" s="1" t="s">
        <v>107</v>
      </c>
      <c r="AJ1757" s="1">
        <v>2018</v>
      </c>
      <c r="AK1757" s="1" t="s">
        <v>49</v>
      </c>
      <c r="AL1757" s="1">
        <v>157</v>
      </c>
    </row>
    <row r="1758" spans="1:38" x14ac:dyDescent="0.2">
      <c r="A1758" s="2" t="str">
        <f>HYPERLINK("https://www.compass.com/listing/111-murray-street-unit-61east-manhattan-ny-10007/623222202900427289/","111 Murray St, Unit 61EAST")</f>
        <v>111 Murray St, Unit 61EAST</v>
      </c>
      <c r="B1758" s="2" t="str">
        <f t="shared" si="274"/>
        <v>111 Murray St</v>
      </c>
      <c r="C1758" s="1" t="s">
        <v>50</v>
      </c>
      <c r="D1758" s="1" t="s">
        <v>41</v>
      </c>
      <c r="E1758" s="3">
        <v>11000000</v>
      </c>
      <c r="F1758" s="1">
        <v>3440.7256803252999</v>
      </c>
      <c r="G1758" s="1">
        <v>6</v>
      </c>
      <c r="H1758" s="1">
        <v>3</v>
      </c>
      <c r="I1758" s="1">
        <v>4</v>
      </c>
      <c r="J1758" s="1">
        <v>3.5</v>
      </c>
      <c r="K1758" s="1">
        <v>3</v>
      </c>
      <c r="L1758" s="1">
        <v>1</v>
      </c>
      <c r="M1758" s="4">
        <v>3197</v>
      </c>
      <c r="N1758" s="1">
        <v>4458</v>
      </c>
      <c r="O1758" s="1">
        <v>12578</v>
      </c>
      <c r="P1758" s="1">
        <v>8120</v>
      </c>
      <c r="Q1758" s="1" t="s">
        <v>42</v>
      </c>
      <c r="S1758" s="1" t="s">
        <v>42</v>
      </c>
      <c r="T1758" s="1" t="s">
        <v>273</v>
      </c>
      <c r="U1758" s="1">
        <v>145</v>
      </c>
      <c r="V1758" s="5">
        <v>44314</v>
      </c>
      <c r="W1758" s="5">
        <v>44111</v>
      </c>
      <c r="X1758" s="1">
        <v>11000000</v>
      </c>
      <c r="Y1758" s="1">
        <v>11000000</v>
      </c>
      <c r="Z1758" s="5">
        <v>44257</v>
      </c>
      <c r="AA1758" s="1">
        <v>11000000</v>
      </c>
      <c r="AB1758" s="1" t="s">
        <v>275</v>
      </c>
      <c r="AC1758" s="5">
        <v>44306</v>
      </c>
      <c r="AF1758" s="1">
        <v>10007</v>
      </c>
      <c r="AI1758" s="1" t="s">
        <v>107</v>
      </c>
      <c r="AJ1758" s="1">
        <v>2018</v>
      </c>
      <c r="AK1758" s="1" t="s">
        <v>49</v>
      </c>
      <c r="AL1758" s="1">
        <v>157</v>
      </c>
    </row>
    <row r="1759" spans="1:38" x14ac:dyDescent="0.2">
      <c r="A1759" s="2" t="str">
        <f>HYPERLINK("https://www.compass.com/listing/111-murray-street-unit-26west-manhattan-ny-10007/597777317437567009/","111 Murray St, Unit 26WEST")</f>
        <v>111 Murray St, Unit 26WEST</v>
      </c>
      <c r="B1759" s="2" t="str">
        <f t="shared" si="274"/>
        <v>111 Murray St</v>
      </c>
      <c r="C1759" s="1" t="s">
        <v>50</v>
      </c>
      <c r="D1759" s="1" t="s">
        <v>41</v>
      </c>
      <c r="E1759" s="3">
        <v>6350000</v>
      </c>
      <c r="F1759" s="1">
        <v>2364.9906890130301</v>
      </c>
      <c r="G1759" s="1">
        <v>7.5</v>
      </c>
      <c r="H1759" s="1">
        <v>4</v>
      </c>
      <c r="I1759" s="1">
        <v>5</v>
      </c>
      <c r="J1759" s="1">
        <v>4.5</v>
      </c>
      <c r="K1759" s="1">
        <v>4</v>
      </c>
      <c r="L1759" s="1">
        <v>1</v>
      </c>
      <c r="M1759" s="4">
        <v>2685</v>
      </c>
      <c r="N1759" s="1">
        <v>3227</v>
      </c>
      <c r="O1759" s="1">
        <v>9107</v>
      </c>
      <c r="P1759" s="1">
        <v>5880</v>
      </c>
      <c r="Q1759" s="1" t="s">
        <v>42</v>
      </c>
      <c r="S1759" s="1" t="s">
        <v>42</v>
      </c>
      <c r="T1759" s="1" t="s">
        <v>273</v>
      </c>
      <c r="U1759" s="1">
        <v>2</v>
      </c>
      <c r="V1759" s="5">
        <v>44105</v>
      </c>
      <c r="W1759" s="5">
        <v>44074</v>
      </c>
      <c r="X1759" s="1">
        <v>6350000</v>
      </c>
      <c r="Y1759" s="1">
        <v>6350000</v>
      </c>
      <c r="Z1759" s="5">
        <v>44077</v>
      </c>
      <c r="AA1759" s="1">
        <v>6350000</v>
      </c>
      <c r="AB1759" s="1" t="s">
        <v>275</v>
      </c>
      <c r="AC1759" s="5">
        <v>44092</v>
      </c>
      <c r="AF1759" s="1">
        <v>10007</v>
      </c>
      <c r="AI1759" s="1" t="s">
        <v>107</v>
      </c>
      <c r="AJ1759" s="1">
        <v>2018</v>
      </c>
      <c r="AK1759" s="1" t="s">
        <v>49</v>
      </c>
      <c r="AL1759" s="1">
        <v>157</v>
      </c>
    </row>
    <row r="1760" spans="1:38" x14ac:dyDescent="0.2">
      <c r="A1760" s="2" t="str">
        <f>HYPERLINK("https://www.compass.com/listing/111-murray-street-unit-22west-manhattan-ny-10007/191291148088674721/","111 Murray St, Unit 22WEST")</f>
        <v>111 Murray St, Unit 22WEST</v>
      </c>
      <c r="B1760" s="2" t="str">
        <f t="shared" si="274"/>
        <v>111 Murray St</v>
      </c>
      <c r="C1760" s="1" t="s">
        <v>50</v>
      </c>
      <c r="D1760" s="1" t="s">
        <v>41</v>
      </c>
      <c r="E1760" s="3">
        <v>6250000</v>
      </c>
      <c r="F1760" s="1">
        <v>2327.7467411545599</v>
      </c>
      <c r="G1760" s="1">
        <v>7.5</v>
      </c>
      <c r="H1760" s="1">
        <v>4</v>
      </c>
      <c r="I1760" s="1">
        <v>5</v>
      </c>
      <c r="J1760" s="1">
        <v>4.5</v>
      </c>
      <c r="K1760" s="1">
        <v>4</v>
      </c>
      <c r="L1760" s="1">
        <v>1</v>
      </c>
      <c r="M1760" s="4">
        <v>2685</v>
      </c>
      <c r="N1760" s="1">
        <v>3167</v>
      </c>
      <c r="O1760" s="1">
        <v>7465</v>
      </c>
      <c r="P1760" s="1">
        <v>4298</v>
      </c>
      <c r="Q1760" s="1" t="s">
        <v>42</v>
      </c>
      <c r="S1760" s="1" t="s">
        <v>42</v>
      </c>
      <c r="T1760" s="1" t="s">
        <v>273</v>
      </c>
      <c r="U1760" s="1">
        <v>691</v>
      </c>
      <c r="V1760" s="5">
        <v>44314</v>
      </c>
      <c r="W1760" s="5">
        <v>43445</v>
      </c>
      <c r="X1760" s="1">
        <v>7700000</v>
      </c>
      <c r="Y1760" s="1">
        <v>7500000</v>
      </c>
      <c r="Z1760" s="5">
        <v>44231</v>
      </c>
      <c r="AA1760" s="1">
        <v>6250000</v>
      </c>
      <c r="AB1760" s="1" t="s">
        <v>275</v>
      </c>
      <c r="AC1760" s="5">
        <v>44280</v>
      </c>
      <c r="AF1760" s="1">
        <v>10007</v>
      </c>
      <c r="AI1760" s="1" t="s">
        <v>107</v>
      </c>
      <c r="AJ1760" s="1">
        <v>2018</v>
      </c>
      <c r="AK1760" s="1" t="s">
        <v>49</v>
      </c>
      <c r="AL1760" s="1">
        <v>157</v>
      </c>
    </row>
    <row r="1761" spans="1:38" x14ac:dyDescent="0.2">
      <c r="A1761" s="2" t="str">
        <f>HYPERLINK("https://www.compass.com/listing/111-murray-street-unit-59west-manhattan-ny-10007/29514336292697969/","111 Murray St, Unit 59WEST")</f>
        <v>111 Murray St, Unit 59WEST</v>
      </c>
      <c r="B1761" s="2" t="str">
        <f t="shared" si="274"/>
        <v>111 Murray St</v>
      </c>
      <c r="C1761" s="1" t="s">
        <v>50</v>
      </c>
      <c r="D1761" s="1" t="s">
        <v>41</v>
      </c>
      <c r="E1761" s="3">
        <v>13750000</v>
      </c>
      <c r="F1761" s="1">
        <v>3532.8879753340102</v>
      </c>
      <c r="G1761" s="1">
        <v>8</v>
      </c>
      <c r="H1761" s="1">
        <v>5</v>
      </c>
      <c r="I1761" s="1">
        <v>7</v>
      </c>
      <c r="J1761" s="1">
        <v>6.5</v>
      </c>
      <c r="K1761" s="1">
        <v>6</v>
      </c>
      <c r="L1761" s="1">
        <v>1</v>
      </c>
      <c r="M1761" s="4">
        <v>3892</v>
      </c>
      <c r="N1761" s="1">
        <v>5396</v>
      </c>
      <c r="O1761" s="1">
        <v>12719</v>
      </c>
      <c r="P1761" s="1">
        <v>7323</v>
      </c>
      <c r="Q1761" s="1" t="s">
        <v>42</v>
      </c>
      <c r="S1761" s="1" t="s">
        <v>42</v>
      </c>
      <c r="T1761" s="1" t="s">
        <v>273</v>
      </c>
      <c r="U1761" s="1">
        <v>205</v>
      </c>
      <c r="V1761" s="5">
        <v>43746</v>
      </c>
      <c r="W1761" s="5">
        <v>43255</v>
      </c>
      <c r="X1761" s="1">
        <v>16900000</v>
      </c>
      <c r="Y1761" s="1">
        <v>16900000</v>
      </c>
      <c r="Z1761" s="5">
        <v>43546</v>
      </c>
      <c r="AA1761" s="1">
        <v>13750000</v>
      </c>
      <c r="AB1761" s="1" t="s">
        <v>932</v>
      </c>
      <c r="AC1761" s="5">
        <v>43579</v>
      </c>
      <c r="AF1761" s="1">
        <v>10007</v>
      </c>
      <c r="AI1761" s="1" t="s">
        <v>107</v>
      </c>
      <c r="AJ1761" s="1">
        <v>2018</v>
      </c>
      <c r="AK1761" s="1" t="s">
        <v>49</v>
      </c>
      <c r="AL1761" s="1">
        <v>157</v>
      </c>
    </row>
    <row r="1762" spans="1:38" x14ac:dyDescent="0.2">
      <c r="A1762" s="2" t="str">
        <f>HYPERLINK("https://www.compass.com/listing/111-murray-street-unit-59east-manhattan-ny-10007/578970085388268993/","111 Murray St, Unit 59EAST")</f>
        <v>111 Murray St, Unit 59EAST</v>
      </c>
      <c r="B1762" s="2" t="str">
        <f t="shared" si="274"/>
        <v>111 Murray St</v>
      </c>
      <c r="C1762" s="1" t="s">
        <v>50</v>
      </c>
      <c r="D1762" s="1" t="s">
        <v>41</v>
      </c>
      <c r="E1762" s="3">
        <v>7950000</v>
      </c>
      <c r="F1762" s="1">
        <v>2600.5888125613301</v>
      </c>
      <c r="G1762" s="1">
        <v>6.5</v>
      </c>
      <c r="H1762" s="1">
        <v>3</v>
      </c>
      <c r="I1762" s="1">
        <v>4</v>
      </c>
      <c r="J1762" s="1">
        <v>3.5</v>
      </c>
      <c r="K1762" s="1">
        <v>3</v>
      </c>
      <c r="L1762" s="1">
        <v>1</v>
      </c>
      <c r="M1762" s="4">
        <v>3057</v>
      </c>
      <c r="N1762" s="1">
        <v>4189</v>
      </c>
      <c r="O1762" s="1">
        <v>11820</v>
      </c>
      <c r="P1762" s="1">
        <v>7631</v>
      </c>
      <c r="Q1762" s="1" t="s">
        <v>42</v>
      </c>
      <c r="S1762" s="1" t="s">
        <v>42</v>
      </c>
      <c r="T1762" s="1" t="s">
        <v>273</v>
      </c>
      <c r="U1762" s="1">
        <v>193</v>
      </c>
      <c r="V1762" s="5">
        <v>44314</v>
      </c>
      <c r="W1762" s="5">
        <v>44050</v>
      </c>
      <c r="X1762" s="1">
        <v>7950000</v>
      </c>
      <c r="Y1762" s="1">
        <v>7950000</v>
      </c>
      <c r="Z1762" s="5">
        <v>44244</v>
      </c>
      <c r="AA1762" s="1">
        <v>7950000</v>
      </c>
      <c r="AB1762" s="1" t="s">
        <v>275</v>
      </c>
      <c r="AC1762" s="5">
        <v>44277</v>
      </c>
      <c r="AF1762" s="1">
        <v>10007</v>
      </c>
      <c r="AI1762" s="1" t="s">
        <v>107</v>
      </c>
      <c r="AJ1762" s="1">
        <v>2018</v>
      </c>
      <c r="AK1762" s="1" t="s">
        <v>49</v>
      </c>
      <c r="AL1762" s="1">
        <v>157</v>
      </c>
    </row>
    <row r="1763" spans="1:38" x14ac:dyDescent="0.2">
      <c r="A1763" s="2" t="str">
        <f>HYPERLINK("https://www.compass.com/listing/111-murray-street-unit-62west-manhattan-ny-10007/594297486783632769/","111 Murray St, Unit 62WEST")</f>
        <v>111 Murray St, Unit 62WEST</v>
      </c>
      <c r="B1763" s="2" t="str">
        <f t="shared" si="274"/>
        <v>111 Murray St</v>
      </c>
      <c r="C1763" s="1" t="s">
        <v>50</v>
      </c>
      <c r="D1763" s="1" t="s">
        <v>41</v>
      </c>
      <c r="E1763" s="3">
        <v>11400000</v>
      </c>
      <c r="F1763" s="1">
        <v>2792.7486526212601</v>
      </c>
      <c r="G1763" s="1">
        <v>8</v>
      </c>
      <c r="H1763" s="1">
        <v>5</v>
      </c>
      <c r="I1763" s="1">
        <v>7</v>
      </c>
      <c r="J1763" s="1">
        <v>6.5</v>
      </c>
      <c r="K1763" s="1">
        <v>6</v>
      </c>
      <c r="L1763" s="1">
        <v>1</v>
      </c>
      <c r="M1763" s="4">
        <v>4082</v>
      </c>
      <c r="N1763" s="1">
        <v>5914</v>
      </c>
      <c r="O1763" s="1">
        <v>16689</v>
      </c>
      <c r="P1763" s="1">
        <v>10775</v>
      </c>
      <c r="Q1763" s="1" t="s">
        <v>42</v>
      </c>
      <c r="S1763" s="1" t="s">
        <v>42</v>
      </c>
      <c r="T1763" s="1" t="s">
        <v>273</v>
      </c>
      <c r="U1763" s="1">
        <v>53</v>
      </c>
      <c r="V1763" s="5">
        <v>44225</v>
      </c>
      <c r="W1763" s="5">
        <v>44071</v>
      </c>
      <c r="X1763" s="1">
        <v>12700000</v>
      </c>
      <c r="Y1763" s="1">
        <v>12700000</v>
      </c>
      <c r="Z1763" s="5">
        <v>44125</v>
      </c>
      <c r="AA1763" s="1">
        <v>11400000</v>
      </c>
      <c r="AB1763" s="1" t="s">
        <v>295</v>
      </c>
      <c r="AC1763" s="5">
        <v>44186</v>
      </c>
      <c r="AF1763" s="1">
        <v>10007</v>
      </c>
      <c r="AI1763" s="1" t="s">
        <v>107</v>
      </c>
      <c r="AJ1763" s="1">
        <v>2018</v>
      </c>
      <c r="AK1763" s="1" t="s">
        <v>49</v>
      </c>
      <c r="AL1763" s="1">
        <v>157</v>
      </c>
    </row>
    <row r="1764" spans="1:38" x14ac:dyDescent="0.2">
      <c r="A1764" s="2" t="str">
        <f>HYPERLINK("https://www.compass.com/listing/55-west-17th-street-unit-1702-manhattan-ny-10011/803355669256212761/","55 W 17th St, Unit 1702")</f>
        <v>55 W 17th St, Unit 1702</v>
      </c>
      <c r="B1764" s="2" t="str">
        <f t="shared" ref="B1764:B1765" si="275">HYPERLINK("https://www.compass.com/building/55-w-17th-st-manhattan-ny-10011/281911689161499829/","55 W 17th St")</f>
        <v>55 W 17th St</v>
      </c>
      <c r="C1764" s="1" t="s">
        <v>56</v>
      </c>
      <c r="D1764" s="1" t="s">
        <v>41</v>
      </c>
      <c r="E1764" s="3">
        <v>3584240</v>
      </c>
      <c r="F1764" s="1">
        <v>2043.46636259977</v>
      </c>
      <c r="G1764" s="1">
        <v>4</v>
      </c>
      <c r="H1764" s="1">
        <v>2</v>
      </c>
      <c r="I1764" s="1">
        <v>2</v>
      </c>
      <c r="J1764" s="1">
        <v>2</v>
      </c>
      <c r="K1764" s="1">
        <v>2</v>
      </c>
      <c r="M1764" s="4">
        <v>1754</v>
      </c>
      <c r="N1764" s="1">
        <v>2200</v>
      </c>
      <c r="O1764" s="1">
        <v>4791</v>
      </c>
      <c r="P1764" s="1">
        <v>2591</v>
      </c>
      <c r="Q1764" s="1" t="s">
        <v>42</v>
      </c>
      <c r="S1764" s="1" t="s">
        <v>42</v>
      </c>
      <c r="T1764" s="1" t="s">
        <v>273</v>
      </c>
      <c r="U1764" s="1">
        <v>589</v>
      </c>
      <c r="V1764" s="5">
        <v>43866</v>
      </c>
      <c r="W1764" s="5">
        <v>42459</v>
      </c>
      <c r="X1764" s="1">
        <v>4394990</v>
      </c>
      <c r="Y1764" s="1">
        <v>4394990</v>
      </c>
      <c r="AA1764" s="1">
        <v>3584240</v>
      </c>
      <c r="AB1764" s="1" t="s">
        <v>933</v>
      </c>
      <c r="AC1764" s="5">
        <v>43048</v>
      </c>
      <c r="AF1764" s="1">
        <v>10011</v>
      </c>
      <c r="AI1764" s="1" t="s">
        <v>234</v>
      </c>
      <c r="AJ1764" s="1">
        <v>2018</v>
      </c>
      <c r="AK1764" s="1" t="s">
        <v>108</v>
      </c>
      <c r="AL1764" s="1">
        <v>52</v>
      </c>
    </row>
    <row r="1765" spans="1:38" x14ac:dyDescent="0.2">
      <c r="A1765" s="2" t="str">
        <f>HYPERLINK("https://www.compass.com/listing/55-west-17th-street-unit-601-manhattan-ny-10011/160095235546834705/","55 W 17th St, Unit 601")</f>
        <v>55 W 17th St, Unit 601</v>
      </c>
      <c r="B1765" s="2" t="str">
        <f t="shared" si="275"/>
        <v>55 W 17th St</v>
      </c>
      <c r="C1765" s="1" t="s">
        <v>56</v>
      </c>
      <c r="D1765" s="1" t="s">
        <v>41</v>
      </c>
      <c r="E1765" s="3">
        <v>2700000</v>
      </c>
      <c r="F1765" s="1">
        <v>1634.3825665859499</v>
      </c>
      <c r="G1765" s="1">
        <v>2</v>
      </c>
      <c r="H1765" s="1">
        <v>2</v>
      </c>
      <c r="J1765" s="1">
        <v>2.5</v>
      </c>
      <c r="M1765" s="4">
        <v>1652</v>
      </c>
      <c r="N1765" s="1">
        <v>2165</v>
      </c>
      <c r="O1765" s="1">
        <v>4578</v>
      </c>
      <c r="P1765" s="1">
        <v>2413</v>
      </c>
      <c r="Q1765" s="1" t="s">
        <v>42</v>
      </c>
      <c r="S1765" s="1" t="s">
        <v>42</v>
      </c>
      <c r="T1765" s="1" t="s">
        <v>273</v>
      </c>
      <c r="U1765" s="1">
        <v>11</v>
      </c>
      <c r="V1765" s="5">
        <v>43777</v>
      </c>
      <c r="W1765" s="5">
        <v>43473</v>
      </c>
      <c r="X1765" s="1">
        <v>2675000</v>
      </c>
      <c r="Y1765" s="1">
        <v>2675000</v>
      </c>
      <c r="Z1765" s="5">
        <v>43484</v>
      </c>
      <c r="AA1765" s="1">
        <v>2700000</v>
      </c>
      <c r="AB1765" s="1" t="s">
        <v>934</v>
      </c>
      <c r="AC1765" s="5">
        <v>43539</v>
      </c>
      <c r="AF1765" s="1">
        <v>10011</v>
      </c>
      <c r="AI1765" s="1" t="s">
        <v>569</v>
      </c>
      <c r="AJ1765" s="1">
        <v>2018</v>
      </c>
      <c r="AK1765" s="1" t="s">
        <v>55</v>
      </c>
      <c r="AL1765" s="1">
        <v>52</v>
      </c>
    </row>
    <row r="1766" spans="1:38" x14ac:dyDescent="0.2">
      <c r="A1766" s="2" t="str">
        <f>HYPERLINK("https://www.compass.com/listing/121-east-22nd-street-unit-n508-manhattan-ny-10010/459085146495796329/","121 E 22nd St, Unit N508")</f>
        <v>121 E 22nd St, Unit N508</v>
      </c>
      <c r="B1766" s="2" t="str">
        <f>HYPERLINK("https://www.compass.com/building/121-e-22nd-manhattan-ny/292795784653461493/","121 E 22nd")</f>
        <v>121 E 22nd</v>
      </c>
      <c r="C1766" s="1" t="s">
        <v>64</v>
      </c>
      <c r="D1766" s="1" t="s">
        <v>41</v>
      </c>
      <c r="E1766" s="3">
        <v>3190000</v>
      </c>
      <c r="F1766" s="1">
        <v>1868.77562975981</v>
      </c>
      <c r="G1766" s="1">
        <v>4</v>
      </c>
      <c r="H1766" s="1">
        <v>2</v>
      </c>
      <c r="J1766" s="1">
        <v>2.5</v>
      </c>
      <c r="M1766" s="4">
        <v>1707</v>
      </c>
      <c r="N1766" s="1">
        <v>1727</v>
      </c>
      <c r="O1766" s="1">
        <v>5222</v>
      </c>
      <c r="P1766" s="1">
        <v>3495</v>
      </c>
      <c r="S1766" s="1" t="s">
        <v>42</v>
      </c>
      <c r="T1766" s="1" t="s">
        <v>273</v>
      </c>
      <c r="U1766" s="1">
        <v>1</v>
      </c>
      <c r="V1766" s="5">
        <v>44248</v>
      </c>
      <c r="W1766" s="5">
        <v>43885</v>
      </c>
      <c r="X1766" s="1">
        <v>3190000</v>
      </c>
      <c r="Y1766" s="1">
        <v>3190000</v>
      </c>
      <c r="AA1766" s="1">
        <v>3190000</v>
      </c>
      <c r="AB1766" s="1" t="s">
        <v>275</v>
      </c>
      <c r="AC1766" s="5">
        <v>43887</v>
      </c>
      <c r="AF1766" s="1">
        <v>10010</v>
      </c>
      <c r="AI1766" s="1" t="s">
        <v>935</v>
      </c>
      <c r="AJ1766" s="1">
        <v>2016</v>
      </c>
      <c r="AK1766" s="1" t="s">
        <v>46</v>
      </c>
      <c r="AL1766" s="1">
        <v>140</v>
      </c>
    </row>
    <row r="1767" spans="1:38" x14ac:dyDescent="0.2">
      <c r="A1767" s="2" t="str">
        <f>HYPERLINK("https://www.compass.com/listing/55-west-17th-street-unit-1702-manhattan-ny-10011/34698291002277793/","55 W 17th St, Unit 1702")</f>
        <v>55 W 17th St, Unit 1702</v>
      </c>
      <c r="B1767" s="2" t="str">
        <f t="shared" ref="B1767:B1768" si="276">HYPERLINK("https://www.compass.com/building/55-w-17th-st-manhattan-ny-10011/281911689161499829/","55 W 17th St")</f>
        <v>55 W 17th St</v>
      </c>
      <c r="C1767" s="1" t="s">
        <v>56</v>
      </c>
      <c r="D1767" s="1" t="s">
        <v>41</v>
      </c>
      <c r="E1767" s="3">
        <v>3584240</v>
      </c>
      <c r="F1767" s="1">
        <v>2043.46636259977</v>
      </c>
      <c r="G1767" s="1">
        <v>4</v>
      </c>
      <c r="H1767" s="1">
        <v>2</v>
      </c>
      <c r="I1767" s="1">
        <v>2</v>
      </c>
      <c r="J1767" s="1">
        <v>2</v>
      </c>
      <c r="M1767" s="4">
        <v>1754</v>
      </c>
      <c r="N1767" s="1">
        <v>2200</v>
      </c>
      <c r="O1767" s="1">
        <v>4791</v>
      </c>
      <c r="P1767" s="1">
        <v>2591</v>
      </c>
      <c r="Q1767" s="1" t="s">
        <v>42</v>
      </c>
      <c r="S1767" s="1" t="s">
        <v>42</v>
      </c>
      <c r="T1767" s="1" t="s">
        <v>273</v>
      </c>
      <c r="U1767" s="1">
        <v>1</v>
      </c>
      <c r="V1767" s="5">
        <v>43659</v>
      </c>
      <c r="W1767" s="5">
        <v>42462</v>
      </c>
      <c r="X1767" s="1">
        <v>4394990</v>
      </c>
      <c r="Y1767" s="1">
        <v>4394990</v>
      </c>
      <c r="Z1767" s="5">
        <v>42463</v>
      </c>
      <c r="AA1767" s="1">
        <v>3584240</v>
      </c>
      <c r="AB1767" s="1" t="s">
        <v>933</v>
      </c>
      <c r="AC1767" s="5">
        <v>43048</v>
      </c>
      <c r="AF1767" s="1">
        <v>10011</v>
      </c>
      <c r="AI1767" s="1" t="s">
        <v>102</v>
      </c>
      <c r="AJ1767" s="1">
        <v>2018</v>
      </c>
      <c r="AK1767" s="1" t="s">
        <v>108</v>
      </c>
      <c r="AL1767" s="1">
        <v>52</v>
      </c>
    </row>
    <row r="1768" spans="1:38" x14ac:dyDescent="0.2">
      <c r="A1768" s="2" t="str">
        <f>HYPERLINK("https://www.compass.com/listing/55-west-17th-street-unit-1602-manhattan-ny-10011/803302438882939585/","55 W 17th St, Unit 1602")</f>
        <v>55 W 17th St, Unit 1602</v>
      </c>
      <c r="B1768" s="2" t="str">
        <f t="shared" si="276"/>
        <v>55 W 17th St</v>
      </c>
      <c r="C1768" s="1" t="s">
        <v>56</v>
      </c>
      <c r="D1768" s="1" t="s">
        <v>41</v>
      </c>
      <c r="E1768" s="3">
        <v>4100000</v>
      </c>
      <c r="F1768" s="1">
        <v>2337.5142531356901</v>
      </c>
      <c r="G1768" s="1">
        <v>4</v>
      </c>
      <c r="H1768" s="1">
        <v>2</v>
      </c>
      <c r="I1768" s="1">
        <v>2</v>
      </c>
      <c r="J1768" s="1">
        <v>2</v>
      </c>
      <c r="M1768" s="4">
        <v>1754</v>
      </c>
      <c r="N1768" s="1">
        <v>2198</v>
      </c>
      <c r="O1768" s="1">
        <v>4787</v>
      </c>
      <c r="P1768" s="1">
        <v>2589</v>
      </c>
      <c r="Q1768" s="1" t="s">
        <v>42</v>
      </c>
      <c r="S1768" s="1" t="s">
        <v>42</v>
      </c>
      <c r="T1768" s="1" t="s">
        <v>273</v>
      </c>
      <c r="U1768" s="1">
        <v>397</v>
      </c>
      <c r="V1768" s="5">
        <v>43242</v>
      </c>
      <c r="W1768" s="5">
        <v>42313</v>
      </c>
      <c r="X1768" s="1">
        <v>4294990</v>
      </c>
      <c r="Y1768" s="1">
        <v>4294990</v>
      </c>
      <c r="Z1768" s="5">
        <v>42761</v>
      </c>
      <c r="AA1768" s="1">
        <v>4100000</v>
      </c>
      <c r="AB1768" s="1" t="s">
        <v>936</v>
      </c>
      <c r="AC1768" s="5">
        <v>42972</v>
      </c>
      <c r="AF1768" s="1">
        <v>10011</v>
      </c>
      <c r="AI1768" s="1" t="s">
        <v>102</v>
      </c>
      <c r="AJ1768" s="1">
        <v>2018</v>
      </c>
      <c r="AK1768" s="1" t="s">
        <v>108</v>
      </c>
      <c r="AL1768" s="1">
        <v>52</v>
      </c>
    </row>
    <row r="1769" spans="1:38" x14ac:dyDescent="0.2">
      <c r="A1769" s="2" t="str">
        <f>HYPERLINK("https://www.compass.com/listing/270-riverside-drive-unit-2d-manhattan-ny-10025/588975320890240041/","270 Riverside Dr, Unit 2D")</f>
        <v>270 Riverside Dr, Unit 2D</v>
      </c>
      <c r="B1769" s="2" t="str">
        <f>HYPERLINK("https://www.compass.com/building/270-riverside-dr-manhattan-ny-10025/281970283991095285/","270 Riverside Dr")</f>
        <v>270 Riverside Dr</v>
      </c>
      <c r="C1769" s="1" t="s">
        <v>57</v>
      </c>
      <c r="D1769" s="1" t="s">
        <v>41</v>
      </c>
      <c r="E1769" s="3">
        <v>2750000</v>
      </c>
      <c r="F1769" s="1">
        <v>1368.1592039800901</v>
      </c>
      <c r="G1769" s="1">
        <v>6</v>
      </c>
      <c r="H1769" s="1">
        <v>2</v>
      </c>
      <c r="I1769" s="1">
        <v>3</v>
      </c>
      <c r="J1769" s="1">
        <v>3</v>
      </c>
      <c r="K1769" s="1">
        <v>3</v>
      </c>
      <c r="M1769" s="4">
        <v>2010</v>
      </c>
      <c r="N1769" s="1">
        <v>1917</v>
      </c>
      <c r="O1769" s="1">
        <v>3376</v>
      </c>
      <c r="P1769" s="1">
        <v>1459</v>
      </c>
      <c r="Q1769" s="1" t="s">
        <v>42</v>
      </c>
      <c r="S1769" s="1" t="s">
        <v>42</v>
      </c>
      <c r="T1769" s="1" t="s">
        <v>273</v>
      </c>
      <c r="U1769" s="1">
        <v>93</v>
      </c>
      <c r="V1769" s="5">
        <v>44219</v>
      </c>
      <c r="W1769" s="5">
        <v>44061</v>
      </c>
      <c r="X1769" s="1">
        <v>3000000</v>
      </c>
      <c r="Y1769" s="1">
        <v>3000000</v>
      </c>
      <c r="Z1769" s="5">
        <v>44155</v>
      </c>
      <c r="AA1769" s="1">
        <v>2750000</v>
      </c>
      <c r="AB1769" s="1" t="s">
        <v>275</v>
      </c>
      <c r="AC1769" s="5">
        <v>44216</v>
      </c>
      <c r="AF1769" s="1">
        <v>10025</v>
      </c>
      <c r="AJ1769" s="1">
        <v>1920</v>
      </c>
      <c r="AK1769" s="1" t="s">
        <v>215</v>
      </c>
      <c r="AL1769" s="1">
        <v>57</v>
      </c>
    </row>
    <row r="1770" spans="1:38" x14ac:dyDescent="0.2">
      <c r="A1770" s="2" t="str">
        <f>HYPERLINK("https://www.compass.com/listing/121-east-22nd-street-unit-n1106-manhattan-ny-10010/225207006225595633/","121 E 22nd St, Unit N1106")</f>
        <v>121 E 22nd St, Unit N1106</v>
      </c>
      <c r="B1770" s="2" t="str">
        <f t="shared" ref="B1770:B1771" si="277">HYPERLINK("https://www.compass.com/building/121-e-22nd-manhattan-ny/292795784653461493/","121 E 22nd")</f>
        <v>121 E 22nd</v>
      </c>
      <c r="C1770" s="1" t="s">
        <v>64</v>
      </c>
      <c r="D1770" s="1" t="s">
        <v>41</v>
      </c>
      <c r="E1770" s="3">
        <v>5396725</v>
      </c>
      <c r="F1770" s="1">
        <v>2154.3812375249499</v>
      </c>
      <c r="G1770" s="1">
        <v>5</v>
      </c>
      <c r="H1770" s="1">
        <v>3</v>
      </c>
      <c r="I1770" s="1">
        <v>4</v>
      </c>
      <c r="J1770" s="1">
        <v>3.5</v>
      </c>
      <c r="K1770" s="1">
        <v>3</v>
      </c>
      <c r="L1770" s="1">
        <v>1</v>
      </c>
      <c r="M1770" s="4">
        <v>2505</v>
      </c>
      <c r="N1770" s="1">
        <v>2565</v>
      </c>
      <c r="O1770" s="1">
        <v>7103</v>
      </c>
      <c r="P1770" s="1">
        <v>4538</v>
      </c>
      <c r="Q1770" s="1" t="s">
        <v>42</v>
      </c>
      <c r="S1770" s="1" t="s">
        <v>42</v>
      </c>
      <c r="T1770" s="1" t="s">
        <v>273</v>
      </c>
      <c r="V1770" s="5">
        <v>44057</v>
      </c>
      <c r="W1770" s="5">
        <v>43563</v>
      </c>
      <c r="X1770" s="1">
        <v>5585000</v>
      </c>
      <c r="Y1770" s="1">
        <v>5585000</v>
      </c>
      <c r="Z1770" s="5">
        <v>43563</v>
      </c>
      <c r="AA1770" s="1">
        <v>5396725</v>
      </c>
      <c r="AB1770" s="1" t="s">
        <v>275</v>
      </c>
      <c r="AC1770" s="5">
        <v>43637</v>
      </c>
      <c r="AF1770" s="1">
        <v>10010</v>
      </c>
      <c r="AI1770" s="1" t="s">
        <v>106</v>
      </c>
      <c r="AJ1770" s="1">
        <v>2016</v>
      </c>
      <c r="AK1770" s="1" t="s">
        <v>46</v>
      </c>
      <c r="AL1770" s="1">
        <v>140</v>
      </c>
    </row>
    <row r="1771" spans="1:38" x14ac:dyDescent="0.2">
      <c r="A1771" s="2" t="str">
        <f>HYPERLINK("https://www.compass.com/listing/121-east-22nd-street-unit-n1503-manhattan-ny-10010/199937795618357809/","121 E 22nd St, Unit N1503")</f>
        <v>121 E 22nd St, Unit N1503</v>
      </c>
      <c r="B1771" s="2" t="str">
        <f t="shared" si="277"/>
        <v>121 E 22nd</v>
      </c>
      <c r="C1771" s="1" t="s">
        <v>64</v>
      </c>
      <c r="D1771" s="1" t="s">
        <v>41</v>
      </c>
      <c r="E1771" s="3">
        <v>4459680</v>
      </c>
      <c r="F1771" s="1">
        <v>2173.33341617933</v>
      </c>
      <c r="G1771" s="1">
        <v>5</v>
      </c>
      <c r="H1771" s="1">
        <v>3</v>
      </c>
      <c r="I1771" s="1">
        <v>4</v>
      </c>
      <c r="J1771" s="1">
        <v>3.5</v>
      </c>
      <c r="K1771" s="1">
        <v>3</v>
      </c>
      <c r="L1771" s="1">
        <v>1</v>
      </c>
      <c r="M1771" s="4">
        <v>2052</v>
      </c>
      <c r="N1771" s="1">
        <v>2158</v>
      </c>
      <c r="O1771" s="1">
        <v>6537</v>
      </c>
      <c r="P1771" s="1">
        <v>4379</v>
      </c>
      <c r="Q1771" s="1" t="s">
        <v>42</v>
      </c>
      <c r="S1771" s="1" t="s">
        <v>42</v>
      </c>
      <c r="T1771" s="1" t="s">
        <v>273</v>
      </c>
      <c r="U1771" s="1">
        <v>416</v>
      </c>
      <c r="V1771" s="5">
        <v>44334</v>
      </c>
      <c r="W1771" s="5">
        <v>43528</v>
      </c>
      <c r="X1771" s="1">
        <v>5025000</v>
      </c>
      <c r="Y1771" s="1">
        <v>5025000</v>
      </c>
      <c r="Z1771" s="5">
        <v>44038</v>
      </c>
      <c r="AA1771" s="1">
        <v>4459680.17</v>
      </c>
      <c r="AB1771" s="1" t="s">
        <v>937</v>
      </c>
      <c r="AC1771" s="5">
        <v>44133</v>
      </c>
      <c r="AF1771" s="1">
        <v>10010</v>
      </c>
      <c r="AI1771" s="1" t="s">
        <v>234</v>
      </c>
      <c r="AJ1771" s="1">
        <v>2016</v>
      </c>
      <c r="AK1771" s="1" t="s">
        <v>46</v>
      </c>
      <c r="AL1771" s="1">
        <v>140</v>
      </c>
    </row>
    <row r="1772" spans="1:38" x14ac:dyDescent="0.2">
      <c r="A1772" s="2" t="str">
        <f>HYPERLINK("https://www.compass.com/listing/55-west-17th-street-unit-501-manhattan-ny-10011/167035580717217793/","55 W 17th St, Unit 501")</f>
        <v>55 W 17th St, Unit 501</v>
      </c>
      <c r="B1772" s="2" t="str">
        <f>HYPERLINK("https://www.compass.com/building/55-w-17th-st-manhattan-ny-10011/281911689161499829/","55 W 17th St")</f>
        <v>55 W 17th St</v>
      </c>
      <c r="C1772" s="1" t="s">
        <v>56</v>
      </c>
      <c r="D1772" s="1" t="s">
        <v>41</v>
      </c>
      <c r="E1772" s="3">
        <v>2621994</v>
      </c>
      <c r="F1772" s="1">
        <v>1587.1634382566499</v>
      </c>
      <c r="G1772" s="1">
        <v>3</v>
      </c>
      <c r="H1772" s="1">
        <v>2</v>
      </c>
      <c r="J1772" s="1">
        <v>2.5</v>
      </c>
      <c r="M1772" s="4">
        <v>1652</v>
      </c>
      <c r="N1772" s="1">
        <v>2163</v>
      </c>
      <c r="O1772" s="1">
        <v>4574</v>
      </c>
      <c r="P1772" s="1">
        <v>2411</v>
      </c>
      <c r="Q1772" s="1" t="s">
        <v>42</v>
      </c>
      <c r="S1772" s="1" t="s">
        <v>42</v>
      </c>
      <c r="T1772" s="1" t="s">
        <v>273</v>
      </c>
      <c r="U1772" s="1">
        <v>15</v>
      </c>
      <c r="V1772" s="5">
        <v>43699</v>
      </c>
      <c r="W1772" s="5">
        <v>43483</v>
      </c>
      <c r="X1772" s="1">
        <v>2650000</v>
      </c>
      <c r="Y1772" s="1">
        <v>2650000</v>
      </c>
      <c r="Z1772" s="5">
        <v>43498</v>
      </c>
      <c r="AA1772" s="1">
        <v>2621994</v>
      </c>
      <c r="AB1772" s="1" t="s">
        <v>938</v>
      </c>
      <c r="AC1772" s="5">
        <v>43543</v>
      </c>
      <c r="AF1772" s="1">
        <v>10011</v>
      </c>
      <c r="AI1772" s="1" t="s">
        <v>102</v>
      </c>
      <c r="AJ1772" s="1">
        <v>2018</v>
      </c>
      <c r="AK1772" s="1" t="s">
        <v>108</v>
      </c>
      <c r="AL1772" s="1">
        <v>52</v>
      </c>
    </row>
    <row r="1773" spans="1:38" x14ac:dyDescent="0.2">
      <c r="A1773" s="2" t="str">
        <f>HYPERLINK("https://www.compass.com/listing/559-west-23rd-street-unit-5-6-manhattan-ny-10011/29512136573092929/","559 W 23rd St, Unit 5/6")</f>
        <v>559 W 23rd St, Unit 5/6</v>
      </c>
      <c r="B1773" s="2" t="str">
        <f>HYPERLINK("https://www.compass.com/building/chelsea-waterside-residences-manhattan-ny/281911750683552581/","Chelsea Waterside Residences")</f>
        <v>Chelsea Waterside Residences</v>
      </c>
      <c r="C1773" s="1" t="s">
        <v>62</v>
      </c>
      <c r="D1773" s="1" t="s">
        <v>41</v>
      </c>
      <c r="E1773" s="3">
        <v>4250000</v>
      </c>
      <c r="F1773" s="1">
        <v>1763.4854771784201</v>
      </c>
      <c r="G1773" s="1">
        <v>7</v>
      </c>
      <c r="H1773" s="1">
        <v>3</v>
      </c>
      <c r="I1773" s="1">
        <v>4</v>
      </c>
      <c r="J1773" s="1">
        <v>4</v>
      </c>
      <c r="K1773" s="1">
        <v>4</v>
      </c>
      <c r="M1773" s="4">
        <v>2410</v>
      </c>
      <c r="N1773" s="1">
        <v>1320</v>
      </c>
      <c r="O1773" s="1">
        <v>6016</v>
      </c>
      <c r="P1773" s="1">
        <v>4696</v>
      </c>
      <c r="Q1773" s="1" t="s">
        <v>42</v>
      </c>
      <c r="S1773" s="1" t="s">
        <v>42</v>
      </c>
      <c r="T1773" s="1" t="s">
        <v>273</v>
      </c>
      <c r="U1773" s="1">
        <v>224</v>
      </c>
      <c r="V1773" s="5">
        <v>43648</v>
      </c>
      <c r="W1773" s="5">
        <v>42931</v>
      </c>
      <c r="X1773" s="1">
        <v>4500000</v>
      </c>
      <c r="Y1773" s="1">
        <v>4500000</v>
      </c>
      <c r="Z1773" s="5">
        <v>43155</v>
      </c>
      <c r="AA1773" s="1">
        <v>4250000</v>
      </c>
      <c r="AB1773" s="1" t="s">
        <v>939</v>
      </c>
      <c r="AC1773" s="5">
        <v>43382</v>
      </c>
      <c r="AF1773" s="1">
        <v>10011</v>
      </c>
      <c r="AI1773" s="1" t="s">
        <v>135</v>
      </c>
      <c r="AJ1773" s="1">
        <v>2015</v>
      </c>
      <c r="AK1773" s="1" t="s">
        <v>143</v>
      </c>
      <c r="AL1773" s="1">
        <v>8</v>
      </c>
    </row>
    <row r="1774" spans="1:38" x14ac:dyDescent="0.2">
      <c r="A1774" s="2" t="str">
        <f>HYPERLINK("https://www.compass.com/listing/45-east-22nd-street-unit-25a-manhattan-ny-10010/29375857009128705/","45 E 22nd St, Unit 25A")</f>
        <v>45 E 22nd St, Unit 25A</v>
      </c>
      <c r="B1774" s="2" t="str">
        <f>HYPERLINK("https://www.compass.com/building/madison-square-park-tower-manhattan-ny/281903584482705973/","Madison Square Park Tower")</f>
        <v>Madison Square Park Tower</v>
      </c>
      <c r="C1774" s="1" t="s">
        <v>56</v>
      </c>
      <c r="D1774" s="1" t="s">
        <v>41</v>
      </c>
      <c r="E1774" s="3">
        <v>6608663</v>
      </c>
      <c r="F1774" s="1">
        <v>2954.2525704067898</v>
      </c>
      <c r="G1774" s="1">
        <v>5</v>
      </c>
      <c r="H1774" s="1">
        <v>3</v>
      </c>
      <c r="I1774" s="1">
        <v>3</v>
      </c>
      <c r="J1774" s="1">
        <v>3</v>
      </c>
      <c r="K1774" s="1">
        <v>3</v>
      </c>
      <c r="M1774" s="4">
        <v>2237</v>
      </c>
      <c r="N1774" s="1">
        <v>2530</v>
      </c>
      <c r="O1774" s="1">
        <v>6377</v>
      </c>
      <c r="P1774" s="1">
        <v>3847</v>
      </c>
      <c r="Q1774" s="1" t="s">
        <v>42</v>
      </c>
      <c r="S1774" s="1" t="s">
        <v>42</v>
      </c>
      <c r="T1774" s="1" t="s">
        <v>273</v>
      </c>
      <c r="U1774" s="1">
        <v>28</v>
      </c>
      <c r="V1774" s="5">
        <v>43650</v>
      </c>
      <c r="W1774" s="5">
        <v>42091</v>
      </c>
      <c r="X1774" s="1">
        <v>6460000</v>
      </c>
      <c r="Y1774" s="1">
        <v>6460000</v>
      </c>
      <c r="Z1774" s="5">
        <v>42119</v>
      </c>
      <c r="AA1774" s="1">
        <v>6608663</v>
      </c>
      <c r="AB1774" s="1" t="s">
        <v>940</v>
      </c>
      <c r="AC1774" s="5">
        <v>42971</v>
      </c>
      <c r="AF1774" s="1">
        <v>10010</v>
      </c>
      <c r="AI1774" s="1" t="s">
        <v>48</v>
      </c>
      <c r="AJ1774" s="1">
        <v>2016</v>
      </c>
      <c r="AK1774" s="1" t="s">
        <v>46</v>
      </c>
      <c r="AL1774" s="1">
        <v>83</v>
      </c>
    </row>
    <row r="1775" spans="1:38" x14ac:dyDescent="0.2">
      <c r="A1775" s="2" t="str">
        <f>HYPERLINK("https://www.compass.com/listing/514-west-24th-street-unit-3w-manhattan-ny-10011/658714300829321513/","514 W 24th St, Unit 3W")</f>
        <v>514 W 24th St, Unit 3W</v>
      </c>
      <c r="B1775" s="2" t="str">
        <f>HYPERLINK("https://www.compass.com/building/the-fitzroy-manhattan-ny/281911423242627685/","The Fitzroy")</f>
        <v>The Fitzroy</v>
      </c>
      <c r="C1775" s="1" t="s">
        <v>62</v>
      </c>
      <c r="D1775" s="1" t="s">
        <v>41</v>
      </c>
      <c r="E1775" s="3">
        <v>4676234</v>
      </c>
      <c r="F1775" s="1">
        <v>1995.8320017072101</v>
      </c>
      <c r="G1775" s="1">
        <v>6</v>
      </c>
      <c r="H1775" s="1">
        <v>3</v>
      </c>
      <c r="I1775" s="1">
        <v>3</v>
      </c>
      <c r="J1775" s="1">
        <v>3</v>
      </c>
      <c r="K1775" s="1">
        <v>3</v>
      </c>
      <c r="M1775" s="4">
        <v>2343</v>
      </c>
      <c r="N1775" s="1">
        <v>3080</v>
      </c>
      <c r="O1775" s="1">
        <v>7204</v>
      </c>
      <c r="P1775" s="1">
        <v>4124</v>
      </c>
      <c r="Q1775" s="1" t="s">
        <v>42</v>
      </c>
      <c r="S1775" s="1" t="s">
        <v>42</v>
      </c>
      <c r="T1775" s="1" t="s">
        <v>273</v>
      </c>
      <c r="V1775" s="5">
        <v>44341</v>
      </c>
      <c r="W1775" s="5">
        <v>44165</v>
      </c>
      <c r="X1775" s="1">
        <v>5400000</v>
      </c>
      <c r="Y1775" s="1">
        <v>5400000</v>
      </c>
      <c r="Z1775" s="5">
        <v>44166</v>
      </c>
      <c r="AA1775" s="1">
        <v>4676234.38</v>
      </c>
      <c r="AB1775" s="1" t="s">
        <v>941</v>
      </c>
      <c r="AC1775" s="5">
        <v>44179</v>
      </c>
      <c r="AF1775" s="1">
        <v>10011</v>
      </c>
      <c r="AI1775" s="1" t="s">
        <v>118</v>
      </c>
      <c r="AJ1775" s="1">
        <v>2017</v>
      </c>
      <c r="AK1775" s="1" t="s">
        <v>46</v>
      </c>
      <c r="AL1775" s="1">
        <v>14</v>
      </c>
    </row>
    <row r="1776" spans="1:38" x14ac:dyDescent="0.2">
      <c r="A1776" s="2" t="str">
        <f>HYPERLINK("https://www.compass.com/listing/121-east-22nd-street-unit-n305-manhattan-ny-10010/107936594232619969/","121 E 22nd St, Unit N305")</f>
        <v>121 E 22nd St, Unit N305</v>
      </c>
      <c r="B1776" s="2" t="str">
        <f t="shared" ref="B1776:B1777" si="278">HYPERLINK("https://www.compass.com/building/121-e-22nd-manhattan-ny/292795784653461493/","121 E 22nd")</f>
        <v>121 E 22nd</v>
      </c>
      <c r="C1776" s="1" t="s">
        <v>64</v>
      </c>
      <c r="D1776" s="1" t="s">
        <v>41</v>
      </c>
      <c r="E1776" s="3">
        <v>1650000</v>
      </c>
      <c r="F1776" s="1">
        <v>2085.96713021491</v>
      </c>
      <c r="G1776" s="1">
        <v>3</v>
      </c>
      <c r="H1776" s="1">
        <v>1</v>
      </c>
      <c r="I1776" s="1">
        <v>1</v>
      </c>
      <c r="J1776" s="1">
        <v>1</v>
      </c>
      <c r="K1776" s="1">
        <v>1</v>
      </c>
      <c r="M1776" s="1">
        <v>791</v>
      </c>
      <c r="Q1776" s="1" t="s">
        <v>42</v>
      </c>
      <c r="S1776" s="1" t="s">
        <v>42</v>
      </c>
      <c r="T1776" s="1" t="s">
        <v>273</v>
      </c>
      <c r="V1776" s="5">
        <v>44040</v>
      </c>
      <c r="W1776" s="5">
        <v>43401</v>
      </c>
      <c r="X1776" s="1">
        <v>1650000</v>
      </c>
      <c r="Y1776" s="1">
        <v>1650000</v>
      </c>
      <c r="Z1776" s="5">
        <v>43401</v>
      </c>
      <c r="AA1776" s="1">
        <v>1650000</v>
      </c>
      <c r="AB1776" s="1" t="s">
        <v>942</v>
      </c>
      <c r="AC1776" s="5">
        <v>43517</v>
      </c>
      <c r="AF1776" s="1">
        <v>10010</v>
      </c>
      <c r="AI1776" s="1" t="s">
        <v>106</v>
      </c>
      <c r="AJ1776" s="1">
        <v>2016</v>
      </c>
      <c r="AK1776" s="1" t="s">
        <v>46</v>
      </c>
      <c r="AL1776" s="1">
        <v>140</v>
      </c>
    </row>
    <row r="1777" spans="1:38" x14ac:dyDescent="0.2">
      <c r="A1777" s="2" t="str">
        <f>HYPERLINK("https://www.compass.com/listing/121-east-22nd-street-unit-n405-manhattan-ny-10010/34705205312438465/","121 E 22nd St, Unit N405")</f>
        <v>121 E 22nd St, Unit N405</v>
      </c>
      <c r="B1777" s="2" t="str">
        <f t="shared" si="278"/>
        <v>121 E 22nd</v>
      </c>
      <c r="C1777" s="1" t="s">
        <v>64</v>
      </c>
      <c r="D1777" s="1" t="s">
        <v>41</v>
      </c>
      <c r="E1777" s="3">
        <v>1680000</v>
      </c>
      <c r="F1777" s="1">
        <v>2123.8938053097299</v>
      </c>
      <c r="G1777" s="1">
        <v>3</v>
      </c>
      <c r="H1777" s="1">
        <v>1</v>
      </c>
      <c r="I1777" s="1">
        <v>1</v>
      </c>
      <c r="J1777" s="1">
        <v>1</v>
      </c>
      <c r="K1777" s="1">
        <v>1</v>
      </c>
      <c r="M1777" s="1">
        <v>791</v>
      </c>
      <c r="N1777" s="1">
        <v>821</v>
      </c>
      <c r="O1777" s="1">
        <v>2270</v>
      </c>
      <c r="P1777" s="1">
        <v>1449</v>
      </c>
      <c r="Q1777" s="1" t="s">
        <v>42</v>
      </c>
      <c r="S1777" s="1" t="s">
        <v>42</v>
      </c>
      <c r="T1777" s="1" t="s">
        <v>273</v>
      </c>
      <c r="V1777" s="5">
        <v>44373</v>
      </c>
      <c r="W1777" s="5">
        <v>43315</v>
      </c>
      <c r="X1777" s="1">
        <v>1680000</v>
      </c>
      <c r="Y1777" s="1">
        <v>1680000</v>
      </c>
      <c r="Z1777" s="5">
        <v>43315</v>
      </c>
      <c r="AA1777" s="1">
        <v>1680000</v>
      </c>
      <c r="AB1777" s="1" t="s">
        <v>275</v>
      </c>
      <c r="AC1777" s="5">
        <v>43530</v>
      </c>
      <c r="AF1777" s="1">
        <v>10010</v>
      </c>
      <c r="AI1777" s="1" t="s">
        <v>106</v>
      </c>
      <c r="AJ1777" s="1">
        <v>2016</v>
      </c>
      <c r="AK1777" s="1" t="s">
        <v>46</v>
      </c>
      <c r="AL1777" s="1">
        <v>140</v>
      </c>
    </row>
    <row r="1778" spans="1:38" x14ac:dyDescent="0.2">
      <c r="A1778" s="2" t="str">
        <f>HYPERLINK("https://www.compass.com/listing/55-west-17th-street-unit-901-manhattan-ny-10011/29374462168199665/","55 W 17th St, Unit 901")</f>
        <v>55 W 17th St, Unit 901</v>
      </c>
      <c r="B1778" s="2" t="str">
        <f>HYPERLINK("https://www.compass.com/building/55-w-17th-st-manhattan-ny-10011/281911689161499829/","55 W 17th St")</f>
        <v>55 W 17th St</v>
      </c>
      <c r="C1778" s="1" t="s">
        <v>56</v>
      </c>
      <c r="D1778" s="1" t="s">
        <v>41</v>
      </c>
      <c r="E1778" s="3">
        <v>2750000</v>
      </c>
      <c r="F1778" s="1">
        <v>1664.6489104116199</v>
      </c>
      <c r="G1778" s="1">
        <v>3</v>
      </c>
      <c r="H1778" s="1">
        <v>2</v>
      </c>
      <c r="I1778" s="1">
        <v>3</v>
      </c>
      <c r="J1778" s="1">
        <v>2.5</v>
      </c>
      <c r="M1778" s="4">
        <v>1652</v>
      </c>
      <c r="N1778" s="1">
        <v>2172</v>
      </c>
      <c r="O1778" s="1">
        <v>4593</v>
      </c>
      <c r="P1778" s="1">
        <v>2421</v>
      </c>
      <c r="Q1778" s="1" t="s">
        <v>42</v>
      </c>
      <c r="S1778" s="1" t="s">
        <v>42</v>
      </c>
      <c r="T1778" s="1" t="s">
        <v>273</v>
      </c>
      <c r="U1778" s="1">
        <v>159</v>
      </c>
      <c r="V1778" s="5">
        <v>43694</v>
      </c>
      <c r="W1778" s="5">
        <v>43022</v>
      </c>
      <c r="X1778" s="1">
        <v>3049990</v>
      </c>
      <c r="Y1778" s="1">
        <v>2750000</v>
      </c>
      <c r="Z1778" s="5">
        <v>43181</v>
      </c>
      <c r="AA1778" s="1">
        <v>2750000</v>
      </c>
      <c r="AB1778" s="1" t="s">
        <v>943</v>
      </c>
      <c r="AC1778" s="5">
        <v>43209</v>
      </c>
      <c r="AF1778" s="1">
        <v>10011</v>
      </c>
      <c r="AI1778" s="1" t="s">
        <v>102</v>
      </c>
      <c r="AJ1778" s="1">
        <v>2018</v>
      </c>
      <c r="AK1778" s="1" t="s">
        <v>108</v>
      </c>
      <c r="AL1778" s="1">
        <v>52</v>
      </c>
    </row>
    <row r="1779" spans="1:38" x14ac:dyDescent="0.2">
      <c r="A1779" s="2" t="str">
        <f>HYPERLINK("https://www.compass.com/listing/100-barrow-street-unit-11b-manhattan-ny-10014/4824815727544377409/","100 Barrow St, Unit 11B")</f>
        <v>100 Barrow St, Unit 11B</v>
      </c>
      <c r="B1779" s="2" t="str">
        <f>HYPERLINK("https://www.compass.com/building/100-barrow-manhattan-ny/292834978184618837/","100 Barrow")</f>
        <v>100 Barrow</v>
      </c>
      <c r="C1779" s="1" t="s">
        <v>67</v>
      </c>
      <c r="D1779" s="1" t="s">
        <v>41</v>
      </c>
      <c r="E1779" s="3">
        <v>6579990</v>
      </c>
      <c r="F1779" s="1">
        <v>2830.1032258064502</v>
      </c>
      <c r="G1779" s="1">
        <v>5</v>
      </c>
      <c r="H1779" s="1">
        <v>3</v>
      </c>
      <c r="I1779" s="1">
        <v>4</v>
      </c>
      <c r="J1779" s="1">
        <v>3.5</v>
      </c>
      <c r="M1779" s="4">
        <v>2325</v>
      </c>
      <c r="N1779" s="1">
        <v>6593</v>
      </c>
      <c r="O1779" s="1">
        <v>6593</v>
      </c>
      <c r="Q1779" s="1" t="s">
        <v>181</v>
      </c>
      <c r="S1779" s="1" t="s">
        <v>181</v>
      </c>
      <c r="T1779" s="1" t="s">
        <v>273</v>
      </c>
      <c r="V1779" s="5">
        <v>43626</v>
      </c>
      <c r="W1779" s="5">
        <v>42580</v>
      </c>
      <c r="X1779" s="1">
        <v>6579990</v>
      </c>
      <c r="Y1779" s="1">
        <v>6579990</v>
      </c>
      <c r="Z1779" s="5">
        <v>42580</v>
      </c>
      <c r="AA1779" s="1">
        <v>6579990</v>
      </c>
      <c r="AB1779" s="1" t="s">
        <v>275</v>
      </c>
      <c r="AC1779" s="5">
        <v>43181</v>
      </c>
      <c r="AF1779" s="1">
        <v>10014</v>
      </c>
      <c r="AJ1779" s="1">
        <v>2015</v>
      </c>
      <c r="AK1779" s="1" t="s">
        <v>46</v>
      </c>
      <c r="AL1779" s="1">
        <v>33</v>
      </c>
    </row>
    <row r="1780" spans="1:38" x14ac:dyDescent="0.2">
      <c r="A1780" s="2" t="str">
        <f>HYPERLINK("https://www.compass.com/listing/45-east-22nd-street-unit-40a-manhattan-ny-10010/29375869013225921/","45 E 22nd St, Unit 40A")</f>
        <v>45 E 22nd St, Unit 40A</v>
      </c>
      <c r="B1780" s="2" t="str">
        <f t="shared" ref="B1780:B1785" si="279">HYPERLINK("https://www.compass.com/building/madison-square-park-tower-manhattan-ny/281903584482705973/","Madison Square Park Tower")</f>
        <v>Madison Square Park Tower</v>
      </c>
      <c r="C1780" s="1" t="s">
        <v>56</v>
      </c>
      <c r="D1780" s="1" t="s">
        <v>41</v>
      </c>
      <c r="E1780" s="3">
        <v>8385035</v>
      </c>
      <c r="F1780" s="1">
        <v>3473.5024855012398</v>
      </c>
      <c r="G1780" s="1">
        <v>5</v>
      </c>
      <c r="H1780" s="1">
        <v>3</v>
      </c>
      <c r="I1780" s="1">
        <v>3</v>
      </c>
      <c r="J1780" s="1">
        <v>3</v>
      </c>
      <c r="K1780" s="1">
        <v>3</v>
      </c>
      <c r="M1780" s="4">
        <v>2414</v>
      </c>
      <c r="N1780" s="1">
        <v>2910</v>
      </c>
      <c r="O1780" s="1">
        <v>7334</v>
      </c>
      <c r="P1780" s="1">
        <v>4424</v>
      </c>
      <c r="Q1780" s="1" t="s">
        <v>42</v>
      </c>
      <c r="S1780" s="1" t="s">
        <v>42</v>
      </c>
      <c r="T1780" s="1" t="s">
        <v>273</v>
      </c>
      <c r="U1780" s="1">
        <v>28</v>
      </c>
      <c r="V1780" s="5">
        <v>43650</v>
      </c>
      <c r="W1780" s="5">
        <v>42048</v>
      </c>
      <c r="X1780" s="1">
        <v>8200000</v>
      </c>
      <c r="Y1780" s="1">
        <v>8200000</v>
      </c>
      <c r="Z1780" s="5">
        <v>42119</v>
      </c>
      <c r="AA1780" s="1">
        <v>8385035</v>
      </c>
      <c r="AB1780" s="1" t="s">
        <v>944</v>
      </c>
      <c r="AC1780" s="5">
        <v>42957</v>
      </c>
      <c r="AF1780" s="1">
        <v>10010</v>
      </c>
      <c r="AI1780" s="1" t="s">
        <v>48</v>
      </c>
      <c r="AJ1780" s="1">
        <v>2016</v>
      </c>
      <c r="AK1780" s="1" t="s">
        <v>46</v>
      </c>
      <c r="AL1780" s="1">
        <v>83</v>
      </c>
    </row>
    <row r="1781" spans="1:38" x14ac:dyDescent="0.2">
      <c r="A1781" s="2" t="str">
        <f>HYPERLINK("https://www.compass.com/listing/45-east-22nd-street-unit-41a-manhattan-ny-10010/29375869877327809/","45 E 22nd St, Unit 41A")</f>
        <v>45 E 22nd St, Unit 41A</v>
      </c>
      <c r="B1781" s="2" t="str">
        <f t="shared" si="279"/>
        <v>Madison Square Park Tower</v>
      </c>
      <c r="C1781" s="1" t="s">
        <v>56</v>
      </c>
      <c r="D1781" s="1" t="s">
        <v>41</v>
      </c>
      <c r="E1781" s="3">
        <v>8538120</v>
      </c>
      <c r="F1781" s="1">
        <v>3517.9728059332501</v>
      </c>
      <c r="G1781" s="1">
        <v>5</v>
      </c>
      <c r="H1781" s="1">
        <v>3</v>
      </c>
      <c r="I1781" s="1">
        <v>3</v>
      </c>
      <c r="J1781" s="1">
        <v>3</v>
      </c>
      <c r="K1781" s="1">
        <v>3</v>
      </c>
      <c r="M1781" s="4">
        <v>2427</v>
      </c>
      <c r="N1781" s="1">
        <v>2922</v>
      </c>
      <c r="O1781" s="1">
        <v>7365</v>
      </c>
      <c r="P1781" s="1">
        <v>4443</v>
      </c>
      <c r="Q1781" s="1" t="s">
        <v>42</v>
      </c>
      <c r="S1781" s="1" t="s">
        <v>42</v>
      </c>
      <c r="T1781" s="1" t="s">
        <v>273</v>
      </c>
      <c r="V1781" s="5">
        <v>43650</v>
      </c>
      <c r="W1781" s="5">
        <v>42076</v>
      </c>
      <c r="X1781" s="1">
        <v>8350000</v>
      </c>
      <c r="Y1781" s="1">
        <v>8350000</v>
      </c>
      <c r="Z1781" s="5">
        <v>42076</v>
      </c>
      <c r="AA1781" s="1">
        <v>8538120</v>
      </c>
      <c r="AB1781" s="1" t="s">
        <v>945</v>
      </c>
      <c r="AC1781" s="5">
        <v>42977</v>
      </c>
      <c r="AF1781" s="1">
        <v>10010</v>
      </c>
      <c r="AI1781" s="1" t="s">
        <v>48</v>
      </c>
      <c r="AJ1781" s="1">
        <v>2016</v>
      </c>
      <c r="AK1781" s="1" t="s">
        <v>46</v>
      </c>
      <c r="AL1781" s="1">
        <v>83</v>
      </c>
    </row>
    <row r="1782" spans="1:38" x14ac:dyDescent="0.2">
      <c r="A1782" s="2" t="str">
        <f>HYPERLINK("https://www.compass.com/listing/45-east-22nd-street-unit-44a-manhattan-ny-10010/29375871655637505/","45 E 22nd St, Unit 44A")</f>
        <v>45 E 22nd St, Unit 44A</v>
      </c>
      <c r="B1782" s="2" t="str">
        <f t="shared" si="279"/>
        <v>Madison Square Park Tower</v>
      </c>
      <c r="C1782" s="1" t="s">
        <v>56</v>
      </c>
      <c r="D1782" s="1" t="s">
        <v>41</v>
      </c>
      <c r="E1782" s="3">
        <v>8997002</v>
      </c>
      <c r="F1782" s="1">
        <v>3670.7474500203998</v>
      </c>
      <c r="G1782" s="1">
        <v>5</v>
      </c>
      <c r="H1782" s="1">
        <v>3</v>
      </c>
      <c r="I1782" s="1">
        <v>3</v>
      </c>
      <c r="J1782" s="1">
        <v>3</v>
      </c>
      <c r="K1782" s="1">
        <v>3</v>
      </c>
      <c r="M1782" s="4">
        <v>2451</v>
      </c>
      <c r="N1782" s="1">
        <v>2977</v>
      </c>
      <c r="O1782" s="1">
        <v>7503</v>
      </c>
      <c r="P1782" s="1">
        <v>4526</v>
      </c>
      <c r="Q1782" s="1" t="s">
        <v>42</v>
      </c>
      <c r="S1782" s="1" t="s">
        <v>42</v>
      </c>
      <c r="T1782" s="1" t="s">
        <v>273</v>
      </c>
      <c r="V1782" s="5">
        <v>43650</v>
      </c>
      <c r="W1782" s="5">
        <v>42068</v>
      </c>
      <c r="X1782" s="1">
        <v>8800000</v>
      </c>
      <c r="Y1782" s="1">
        <v>8800000</v>
      </c>
      <c r="Z1782" s="5">
        <v>42068</v>
      </c>
      <c r="AA1782" s="1">
        <v>8997002</v>
      </c>
      <c r="AB1782" s="1" t="s">
        <v>946</v>
      </c>
      <c r="AC1782" s="5">
        <v>42979</v>
      </c>
      <c r="AF1782" s="1">
        <v>10010</v>
      </c>
      <c r="AI1782" s="1" t="s">
        <v>48</v>
      </c>
      <c r="AJ1782" s="1">
        <v>2016</v>
      </c>
      <c r="AK1782" s="1" t="s">
        <v>46</v>
      </c>
      <c r="AL1782" s="1">
        <v>83</v>
      </c>
    </row>
    <row r="1783" spans="1:38" x14ac:dyDescent="0.2">
      <c r="A1783" s="2" t="str">
        <f>HYPERLINK("https://www.compass.com/listing/45-east-22nd-street-unit-51a-manhattan-ny-10010/29375875858331185/","45 E 22nd St, Unit 51A")</f>
        <v>45 E 22nd St, Unit 51A</v>
      </c>
      <c r="B1783" s="2" t="str">
        <f t="shared" si="279"/>
        <v>Madison Square Park Tower</v>
      </c>
      <c r="C1783" s="1" t="s">
        <v>56</v>
      </c>
      <c r="D1783" s="1" t="s">
        <v>41</v>
      </c>
      <c r="E1783" s="3">
        <v>10220998</v>
      </c>
      <c r="F1783" s="1">
        <v>4080.23872255489</v>
      </c>
      <c r="G1783" s="1">
        <v>5</v>
      </c>
      <c r="H1783" s="1">
        <v>3</v>
      </c>
      <c r="I1783" s="1">
        <v>3</v>
      </c>
      <c r="J1783" s="1">
        <v>3</v>
      </c>
      <c r="K1783" s="1">
        <v>3</v>
      </c>
      <c r="M1783" s="4">
        <v>2505</v>
      </c>
      <c r="N1783" s="1">
        <v>3166</v>
      </c>
      <c r="O1783" s="1">
        <v>7979</v>
      </c>
      <c r="P1783" s="1">
        <v>4813</v>
      </c>
      <c r="Q1783" s="1" t="s">
        <v>42</v>
      </c>
      <c r="S1783" s="1" t="s">
        <v>42</v>
      </c>
      <c r="T1783" s="1" t="s">
        <v>273</v>
      </c>
      <c r="V1783" s="5">
        <v>43650</v>
      </c>
      <c r="W1783" s="5">
        <v>42284</v>
      </c>
      <c r="X1783" s="1">
        <v>10000000</v>
      </c>
      <c r="Y1783" s="1">
        <v>10000000</v>
      </c>
      <c r="Z1783" s="5">
        <v>42284</v>
      </c>
      <c r="AA1783" s="1">
        <v>10220998</v>
      </c>
      <c r="AB1783" s="1" t="s">
        <v>947</v>
      </c>
      <c r="AC1783" s="5">
        <v>42979</v>
      </c>
      <c r="AF1783" s="1">
        <v>10010</v>
      </c>
      <c r="AI1783" s="1" t="s">
        <v>48</v>
      </c>
      <c r="AJ1783" s="1">
        <v>2016</v>
      </c>
      <c r="AK1783" s="1" t="s">
        <v>46</v>
      </c>
      <c r="AL1783" s="1">
        <v>83</v>
      </c>
    </row>
    <row r="1784" spans="1:38" x14ac:dyDescent="0.2">
      <c r="A1784" s="2" t="str">
        <f>HYPERLINK("https://www.compass.com/listing/45-east-22nd-street-unit-53a-manhattan-ny-10010/29375876252670017/","45 E 22nd St, Unit 53A")</f>
        <v>45 E 22nd St, Unit 53A</v>
      </c>
      <c r="B1784" s="2" t="str">
        <f t="shared" si="279"/>
        <v>Madison Square Park Tower</v>
      </c>
      <c r="C1784" s="1" t="s">
        <v>56</v>
      </c>
      <c r="D1784" s="1" t="s">
        <v>41</v>
      </c>
      <c r="E1784" s="3">
        <v>10496435</v>
      </c>
      <c r="F1784" s="1">
        <v>4170.2165276122296</v>
      </c>
      <c r="G1784" s="1">
        <v>5</v>
      </c>
      <c r="H1784" s="1">
        <v>3</v>
      </c>
      <c r="I1784" s="1">
        <v>3</v>
      </c>
      <c r="J1784" s="1">
        <v>3</v>
      </c>
      <c r="K1784" s="1">
        <v>3</v>
      </c>
      <c r="M1784" s="4">
        <v>2517</v>
      </c>
      <c r="N1784" s="1">
        <v>3208</v>
      </c>
      <c r="O1784" s="1">
        <v>8085</v>
      </c>
      <c r="P1784" s="1">
        <v>4877</v>
      </c>
      <c r="Q1784" s="1" t="s">
        <v>42</v>
      </c>
      <c r="S1784" s="1" t="s">
        <v>42</v>
      </c>
      <c r="T1784" s="1" t="s">
        <v>273</v>
      </c>
      <c r="V1784" s="5">
        <v>43650</v>
      </c>
      <c r="W1784" s="5">
        <v>42284</v>
      </c>
      <c r="X1784" s="1">
        <v>10270000</v>
      </c>
      <c r="Y1784" s="1">
        <v>10270000</v>
      </c>
      <c r="Z1784" s="5">
        <v>42284</v>
      </c>
      <c r="AA1784" s="1">
        <v>10496435</v>
      </c>
      <c r="AB1784" s="1" t="s">
        <v>948</v>
      </c>
      <c r="AC1784" s="5">
        <v>42979</v>
      </c>
      <c r="AF1784" s="1">
        <v>10010</v>
      </c>
      <c r="AI1784" s="1" t="s">
        <v>48</v>
      </c>
      <c r="AJ1784" s="1">
        <v>2016</v>
      </c>
      <c r="AK1784" s="1" t="s">
        <v>46</v>
      </c>
      <c r="AL1784" s="1">
        <v>83</v>
      </c>
    </row>
    <row r="1785" spans="1:38" x14ac:dyDescent="0.2">
      <c r="A1785" s="2" t="str">
        <f>HYPERLINK("https://www.compass.com/listing/45-east-22nd-street-unit-42a-manhattan-ny-10010/803410727389487913/","45 E 22nd St, Unit 42A")</f>
        <v>45 E 22nd St, Unit 42A</v>
      </c>
      <c r="B1785" s="2" t="str">
        <f t="shared" si="279"/>
        <v>Madison Square Park Tower</v>
      </c>
      <c r="C1785" s="1" t="s">
        <v>56</v>
      </c>
      <c r="D1785" s="1" t="s">
        <v>41</v>
      </c>
      <c r="E1785" s="3">
        <v>8435978</v>
      </c>
      <c r="F1785" s="1">
        <v>3467.3151541307002</v>
      </c>
      <c r="G1785" s="1">
        <v>5</v>
      </c>
      <c r="H1785" s="1">
        <v>3</v>
      </c>
      <c r="I1785" s="1">
        <v>3</v>
      </c>
      <c r="J1785" s="1">
        <v>3</v>
      </c>
      <c r="M1785" s="4">
        <v>2433</v>
      </c>
      <c r="N1785" s="1">
        <v>2944</v>
      </c>
      <c r="O1785" s="1">
        <v>7417</v>
      </c>
      <c r="P1785" s="1">
        <v>4473</v>
      </c>
      <c r="Q1785" s="1" t="s">
        <v>42</v>
      </c>
      <c r="S1785" s="1" t="s">
        <v>42</v>
      </c>
      <c r="T1785" s="1" t="s">
        <v>273</v>
      </c>
      <c r="U1785" s="1">
        <v>1</v>
      </c>
      <c r="V1785" s="5">
        <v>43111</v>
      </c>
      <c r="W1785" s="5">
        <v>43055</v>
      </c>
      <c r="X1785" s="1">
        <v>8500000</v>
      </c>
      <c r="Y1785" s="1">
        <v>8500000</v>
      </c>
      <c r="Z1785" s="5">
        <v>43057</v>
      </c>
      <c r="AA1785" s="1">
        <v>8435977.7699999996</v>
      </c>
      <c r="AB1785" s="1" t="s">
        <v>737</v>
      </c>
      <c r="AC1785" s="5">
        <v>43159</v>
      </c>
      <c r="AF1785" s="1">
        <v>10010</v>
      </c>
      <c r="AI1785" s="1" t="s">
        <v>48</v>
      </c>
      <c r="AJ1785" s="1">
        <v>2016</v>
      </c>
      <c r="AK1785" s="1" t="s">
        <v>49</v>
      </c>
      <c r="AL1785" s="1">
        <v>83</v>
      </c>
    </row>
    <row r="1786" spans="1:38" x14ac:dyDescent="0.2">
      <c r="A1786" s="2" t="str">
        <f>HYPERLINK("https://www.compass.com/listing/100-barrow-street-unit-6a-manhattan-ny-10014/29367161730449553/","100 Barrow St, Unit 6A")</f>
        <v>100 Barrow St, Unit 6A</v>
      </c>
      <c r="B1786" s="2" t="str">
        <f>HYPERLINK("https://www.compass.com/building/100-barrow-manhattan-ny/292834978184618837/","100 Barrow")</f>
        <v>100 Barrow</v>
      </c>
      <c r="C1786" s="1" t="s">
        <v>67</v>
      </c>
      <c r="D1786" s="1" t="s">
        <v>41</v>
      </c>
      <c r="E1786" s="3">
        <v>3228000</v>
      </c>
      <c r="F1786" s="1">
        <v>1786.3862755949001</v>
      </c>
      <c r="G1786" s="1">
        <v>4</v>
      </c>
      <c r="H1786" s="1">
        <v>2</v>
      </c>
      <c r="I1786" s="1">
        <v>3</v>
      </c>
      <c r="J1786" s="1">
        <v>2.5</v>
      </c>
      <c r="M1786" s="4">
        <v>1807</v>
      </c>
      <c r="Q1786" s="1" t="s">
        <v>272</v>
      </c>
      <c r="S1786" s="1" t="s">
        <v>272</v>
      </c>
      <c r="T1786" s="1" t="s">
        <v>273</v>
      </c>
      <c r="U1786" s="1">
        <v>206</v>
      </c>
      <c r="V1786" s="5">
        <v>43623</v>
      </c>
      <c r="W1786" s="5">
        <v>42505</v>
      </c>
      <c r="X1786" s="1">
        <v>4707990</v>
      </c>
      <c r="Y1786" s="1">
        <v>3378000</v>
      </c>
      <c r="Z1786" s="5">
        <v>43061</v>
      </c>
      <c r="AA1786" s="1">
        <v>3228000</v>
      </c>
      <c r="AB1786" s="1" t="s">
        <v>949</v>
      </c>
      <c r="AC1786" s="5">
        <v>43116</v>
      </c>
      <c r="AF1786" s="1">
        <v>10014</v>
      </c>
      <c r="AJ1786" s="1">
        <v>2015</v>
      </c>
      <c r="AK1786" s="1" t="s">
        <v>46</v>
      </c>
      <c r="AL1786" s="1">
        <v>33</v>
      </c>
    </row>
    <row r="1787" spans="1:38" x14ac:dyDescent="0.2">
      <c r="A1787" s="2" t="str">
        <f>HYPERLINK("https://www.compass.com/listing/111-murray-street-unit-62east-manhattan-ny-10007/756485376329023209/","111 Murray St, Unit 62EAST")</f>
        <v>111 Murray St, Unit 62EAST</v>
      </c>
      <c r="B1787" s="2" t="str">
        <f>HYPERLINK("https://www.compass.com/building/111-murray-st-manhattan-ny-10007/281896511862746053/","111 Murray St")</f>
        <v>111 Murray St</v>
      </c>
      <c r="C1787" s="1" t="s">
        <v>50</v>
      </c>
      <c r="D1787" s="1" t="s">
        <v>41</v>
      </c>
      <c r="E1787" s="3">
        <v>8995000</v>
      </c>
      <c r="F1787" s="1">
        <v>2747.4037874159999</v>
      </c>
      <c r="G1787" s="1">
        <v>6</v>
      </c>
      <c r="H1787" s="1">
        <v>3</v>
      </c>
      <c r="I1787" s="1">
        <v>4</v>
      </c>
      <c r="J1787" s="1">
        <v>3.5</v>
      </c>
      <c r="K1787" s="1">
        <v>3</v>
      </c>
      <c r="L1787" s="1">
        <v>1</v>
      </c>
      <c r="M1787" s="4">
        <v>3274</v>
      </c>
      <c r="N1787" s="1">
        <v>5119</v>
      </c>
      <c r="O1787" s="1">
        <v>13574</v>
      </c>
      <c r="P1787" s="1">
        <v>8455</v>
      </c>
      <c r="Q1787" s="1" t="s">
        <v>42</v>
      </c>
      <c r="S1787" s="1" t="s">
        <v>42</v>
      </c>
      <c r="T1787" s="1" t="s">
        <v>273</v>
      </c>
      <c r="U1787" s="1">
        <v>40</v>
      </c>
      <c r="V1787" s="5">
        <v>44426</v>
      </c>
      <c r="W1787" s="5">
        <v>44295</v>
      </c>
      <c r="Z1787" s="5">
        <v>44336</v>
      </c>
      <c r="AA1787" s="1">
        <v>8995000</v>
      </c>
      <c r="AB1787" s="1" t="s">
        <v>275</v>
      </c>
      <c r="AC1787" s="5">
        <v>44397</v>
      </c>
      <c r="AF1787" s="1">
        <v>10007</v>
      </c>
      <c r="AI1787" s="1" t="s">
        <v>107</v>
      </c>
      <c r="AJ1787" s="1">
        <v>2018</v>
      </c>
      <c r="AK1787" s="1" t="s">
        <v>49</v>
      </c>
      <c r="AL1787" s="1">
        <v>157</v>
      </c>
    </row>
    <row r="1788" spans="1:38" x14ac:dyDescent="0.2">
      <c r="A1788" s="2" t="str">
        <f>HYPERLINK("https://www.compass.com/listing/100-barclay-street-unit-16m-manhattan-ny-10007/4852282223128222865/","100 Barclay St, Unit 16M")</f>
        <v>100 Barclay St, Unit 16M</v>
      </c>
      <c r="B1788" s="2" t="str">
        <f>HYPERLINK("https://www.compass.com/building/100-barclay-manhattan-ny/281896670466155525/","100 Barclay")</f>
        <v>100 Barclay</v>
      </c>
      <c r="C1788" s="1" t="s">
        <v>50</v>
      </c>
      <c r="D1788" s="1" t="s">
        <v>41</v>
      </c>
      <c r="E1788" s="3">
        <v>937808</v>
      </c>
      <c r="F1788" s="1">
        <v>1917.80777096114</v>
      </c>
      <c r="G1788" s="1">
        <v>2</v>
      </c>
      <c r="H1788" s="1" t="s">
        <v>99</v>
      </c>
      <c r="I1788" s="1">
        <v>1</v>
      </c>
      <c r="J1788" s="1">
        <v>1</v>
      </c>
      <c r="K1788" s="1">
        <v>1</v>
      </c>
      <c r="M1788" s="1">
        <v>489</v>
      </c>
      <c r="N1788" s="1">
        <v>627</v>
      </c>
      <c r="O1788" s="1">
        <v>1227</v>
      </c>
      <c r="P1788" s="1">
        <v>600</v>
      </c>
      <c r="Q1788" s="1" t="s">
        <v>42</v>
      </c>
      <c r="S1788" s="1" t="s">
        <v>42</v>
      </c>
      <c r="T1788" s="1" t="s">
        <v>273</v>
      </c>
      <c r="U1788" s="1">
        <v>117</v>
      </c>
      <c r="V1788" s="5">
        <v>43623</v>
      </c>
      <c r="W1788" s="5">
        <v>42497</v>
      </c>
      <c r="X1788" s="1">
        <v>1024000</v>
      </c>
      <c r="Y1788" s="1">
        <v>1024000</v>
      </c>
      <c r="Z1788" s="5">
        <v>42614</v>
      </c>
      <c r="AA1788" s="1">
        <v>937808</v>
      </c>
      <c r="AB1788" s="1" t="s">
        <v>950</v>
      </c>
      <c r="AC1788" s="5">
        <v>42696</v>
      </c>
      <c r="AF1788" s="1">
        <v>10007</v>
      </c>
      <c r="AI1788" s="1" t="s">
        <v>52</v>
      </c>
      <c r="AJ1788" s="1">
        <v>1930</v>
      </c>
      <c r="AK1788" s="1" t="s">
        <v>46</v>
      </c>
      <c r="AL1788" s="1">
        <v>156</v>
      </c>
    </row>
    <row r="1789" spans="1:38" x14ac:dyDescent="0.2">
      <c r="A1789" s="2" t="str">
        <f>HYPERLINK("https://www.compass.com/listing/55-west-17th-street-unit-1001-manhattan-ny-10011/4868358300514648785/","55 W 17th St, Unit 1001")</f>
        <v>55 W 17th St, Unit 1001</v>
      </c>
      <c r="B1789" s="2" t="str">
        <f t="shared" ref="B1789:B1790" si="280">HYPERLINK("https://www.compass.com/building/55-w-17th-st-manhattan-ny-10011/281911689161499829/","55 W 17th St")</f>
        <v>55 W 17th St</v>
      </c>
      <c r="C1789" s="1" t="s">
        <v>56</v>
      </c>
      <c r="D1789" s="1" t="s">
        <v>41</v>
      </c>
      <c r="E1789" s="3">
        <v>3322041</v>
      </c>
      <c r="F1789" s="1">
        <v>2010.92047820823</v>
      </c>
      <c r="G1789" s="1">
        <v>3</v>
      </c>
      <c r="H1789" s="1">
        <v>2</v>
      </c>
      <c r="I1789" s="1">
        <v>3</v>
      </c>
      <c r="J1789" s="1">
        <v>2.5</v>
      </c>
      <c r="M1789" s="4">
        <v>1652</v>
      </c>
      <c r="N1789" s="1">
        <v>2174</v>
      </c>
      <c r="O1789" s="1">
        <v>4598</v>
      </c>
      <c r="P1789" s="1">
        <v>2424</v>
      </c>
      <c r="Q1789" s="1" t="s">
        <v>42</v>
      </c>
      <c r="S1789" s="1" t="s">
        <v>42</v>
      </c>
      <c r="T1789" s="1" t="s">
        <v>273</v>
      </c>
      <c r="U1789" s="1">
        <v>31</v>
      </c>
      <c r="V1789" s="5">
        <v>43673</v>
      </c>
      <c r="W1789" s="5">
        <v>42970</v>
      </c>
      <c r="X1789" s="1">
        <v>3074990</v>
      </c>
      <c r="Y1789" s="1">
        <v>3074990</v>
      </c>
      <c r="Z1789" s="5">
        <v>43001</v>
      </c>
      <c r="AA1789" s="1">
        <v>3322040.63</v>
      </c>
      <c r="AB1789" s="1" t="s">
        <v>951</v>
      </c>
      <c r="AC1789" s="5">
        <v>43018</v>
      </c>
      <c r="AF1789" s="1">
        <v>10011</v>
      </c>
      <c r="AI1789" s="1" t="s">
        <v>952</v>
      </c>
      <c r="AJ1789" s="1">
        <v>2018</v>
      </c>
      <c r="AK1789" s="1" t="s">
        <v>108</v>
      </c>
      <c r="AL1789" s="1">
        <v>52</v>
      </c>
    </row>
    <row r="1790" spans="1:38" x14ac:dyDescent="0.2">
      <c r="A1790" s="2" t="str">
        <f>HYPERLINK("https://www.compass.com/listing/55-west-17th-street-unit-1401-manhattan-ny-10011/26704399304759345/","55 W 17th St, Unit 1401")</f>
        <v>55 W 17th St, Unit 1401</v>
      </c>
      <c r="B1790" s="2" t="str">
        <f t="shared" si="280"/>
        <v>55 W 17th St</v>
      </c>
      <c r="C1790" s="1" t="s">
        <v>56</v>
      </c>
      <c r="D1790" s="1" t="s">
        <v>41</v>
      </c>
      <c r="E1790" s="3">
        <v>8750000</v>
      </c>
      <c r="F1790" s="1">
        <v>2135.1878965348901</v>
      </c>
      <c r="G1790" s="1">
        <v>10</v>
      </c>
      <c r="H1790" s="1">
        <v>4</v>
      </c>
      <c r="I1790" s="1">
        <v>5</v>
      </c>
      <c r="J1790" s="1">
        <v>4.5</v>
      </c>
      <c r="K1790" s="1">
        <v>4</v>
      </c>
      <c r="L1790" s="1">
        <v>1</v>
      </c>
      <c r="M1790" s="4">
        <v>4098</v>
      </c>
      <c r="N1790" s="1">
        <v>5381</v>
      </c>
      <c r="O1790" s="1">
        <v>11719</v>
      </c>
      <c r="P1790" s="1">
        <v>6338</v>
      </c>
      <c r="Q1790" s="1" t="s">
        <v>42</v>
      </c>
      <c r="S1790" s="1" t="s">
        <v>42</v>
      </c>
      <c r="T1790" s="1" t="s">
        <v>273</v>
      </c>
      <c r="U1790" s="1">
        <v>29</v>
      </c>
      <c r="V1790" s="5">
        <v>43640</v>
      </c>
      <c r="W1790" s="5">
        <v>43280</v>
      </c>
      <c r="X1790" s="1">
        <v>8750000</v>
      </c>
      <c r="Y1790" s="1">
        <v>8750000</v>
      </c>
      <c r="Z1790" s="5">
        <v>43309</v>
      </c>
      <c r="AA1790" s="1">
        <v>8750000</v>
      </c>
      <c r="AB1790" s="1" t="s">
        <v>275</v>
      </c>
      <c r="AC1790" s="5">
        <v>43432</v>
      </c>
      <c r="AF1790" s="1">
        <v>10011</v>
      </c>
      <c r="AI1790" s="1" t="s">
        <v>212</v>
      </c>
      <c r="AJ1790" s="1">
        <v>2018</v>
      </c>
      <c r="AK1790" s="1" t="s">
        <v>108</v>
      </c>
      <c r="AL1790" s="1">
        <v>52</v>
      </c>
    </row>
    <row r="1791" spans="1:38" x14ac:dyDescent="0.2">
      <c r="A1791" s="2" t="str">
        <f>HYPERLINK("https://www.compass.com/listing/45-great-jones-street-unit-5-manhattan-ny-10012/29363628876558593/","45 Great Jones St, Unit 5")</f>
        <v>45 Great Jones St, Unit 5</v>
      </c>
      <c r="B1791" s="2" t="str">
        <f>HYPERLINK("https://www.compass.com/building/45-great-jones-st-manhattan-ny-10012/281915142155826213/","45 Great Jones St")</f>
        <v>45 Great Jones St</v>
      </c>
      <c r="C1791" s="1" t="s">
        <v>953</v>
      </c>
      <c r="D1791" s="1" t="s">
        <v>41</v>
      </c>
      <c r="E1791" s="3">
        <v>2995000</v>
      </c>
      <c r="F1791" s="1">
        <v>1854.4891640866799</v>
      </c>
      <c r="G1791" s="1">
        <v>5</v>
      </c>
      <c r="H1791" s="1">
        <v>2</v>
      </c>
      <c r="I1791" s="1">
        <v>2</v>
      </c>
      <c r="J1791" s="1">
        <v>2</v>
      </c>
      <c r="M1791" s="4">
        <v>1615</v>
      </c>
      <c r="N1791" s="1">
        <v>2909</v>
      </c>
      <c r="O1791" s="1">
        <v>5927</v>
      </c>
      <c r="Q1791" s="1" t="s">
        <v>505</v>
      </c>
      <c r="S1791" s="1" t="s">
        <v>505</v>
      </c>
      <c r="T1791" s="1" t="s">
        <v>273</v>
      </c>
      <c r="V1791" s="5">
        <v>43680</v>
      </c>
      <c r="W1791" s="5">
        <v>42076</v>
      </c>
      <c r="X1791" s="1">
        <v>2995000</v>
      </c>
      <c r="Y1791" s="1">
        <v>2995000</v>
      </c>
      <c r="Z1791" s="5">
        <v>42076</v>
      </c>
      <c r="AA1791" s="1">
        <v>2995000</v>
      </c>
      <c r="AB1791" s="1" t="s">
        <v>954</v>
      </c>
      <c r="AC1791" s="5">
        <v>42312</v>
      </c>
      <c r="AF1791" s="1">
        <v>10012</v>
      </c>
      <c r="AI1791" s="1" t="s">
        <v>231</v>
      </c>
      <c r="AJ1791" s="1">
        <v>2014</v>
      </c>
      <c r="AL1791" s="1">
        <v>5</v>
      </c>
    </row>
    <row r="1792" spans="1:38" x14ac:dyDescent="0.2">
      <c r="A1792" s="2" t="str">
        <f>HYPERLINK("https://www.compass.com/listing/111-murray-street-unit-61west-manhattan-ny-10007/178066634848665905/","111 Murray St, Unit 61WEST")</f>
        <v>111 Murray St, Unit 61WEST</v>
      </c>
      <c r="B1792" s="2" t="str">
        <f t="shared" ref="B1792:B1793" si="281">HYPERLINK("https://www.compass.com/building/111-murray-st-manhattan-ny-10007/281896511862746053/","111 Murray St")</f>
        <v>111 Murray St</v>
      </c>
      <c r="C1792" s="1" t="s">
        <v>50</v>
      </c>
      <c r="D1792" s="1" t="s">
        <v>41</v>
      </c>
      <c r="E1792" s="3">
        <v>12400000</v>
      </c>
      <c r="F1792" s="1">
        <v>3089.1878425510699</v>
      </c>
      <c r="G1792" s="1">
        <v>8.5</v>
      </c>
      <c r="H1792" s="1">
        <v>5</v>
      </c>
      <c r="I1792" s="1">
        <v>7</v>
      </c>
      <c r="J1792" s="1">
        <v>6.5</v>
      </c>
      <c r="K1792" s="1">
        <v>6</v>
      </c>
      <c r="L1792" s="1">
        <v>1</v>
      </c>
      <c r="M1792" s="4">
        <v>4014</v>
      </c>
      <c r="N1792" s="1">
        <v>5693</v>
      </c>
      <c r="O1792" s="1">
        <v>16064</v>
      </c>
      <c r="P1792" s="1">
        <v>10371</v>
      </c>
      <c r="Q1792" s="1" t="s">
        <v>42</v>
      </c>
      <c r="S1792" s="1" t="s">
        <v>42</v>
      </c>
      <c r="T1792" s="1" t="s">
        <v>273</v>
      </c>
      <c r="U1792" s="1">
        <v>473</v>
      </c>
      <c r="V1792" s="5">
        <v>44225</v>
      </c>
      <c r="W1792" s="5">
        <v>43496</v>
      </c>
      <c r="X1792" s="1">
        <v>12400000</v>
      </c>
      <c r="Y1792" s="1">
        <v>16750000</v>
      </c>
      <c r="Z1792" s="5">
        <v>44064</v>
      </c>
      <c r="AA1792" s="1">
        <v>12400000</v>
      </c>
      <c r="AB1792" s="1" t="s">
        <v>275</v>
      </c>
      <c r="AC1792" s="5">
        <v>44098</v>
      </c>
      <c r="AF1792" s="1">
        <v>10007</v>
      </c>
      <c r="AI1792" s="1" t="s">
        <v>107</v>
      </c>
      <c r="AJ1792" s="1">
        <v>2018</v>
      </c>
      <c r="AK1792" s="1" t="s">
        <v>49</v>
      </c>
      <c r="AL1792" s="1">
        <v>157</v>
      </c>
    </row>
    <row r="1793" spans="1:38" x14ac:dyDescent="0.2">
      <c r="A1793" s="2" t="str">
        <f>HYPERLINK("https://www.compass.com/listing/111-murray-street-unit-52east-manhattan-ny-10007/34108199464445777/","111 Murray St, Unit 52EAST")</f>
        <v>111 Murray St, Unit 52EAST</v>
      </c>
      <c r="B1793" s="2" t="str">
        <f t="shared" si="281"/>
        <v>111 Murray St</v>
      </c>
      <c r="C1793" s="1" t="s">
        <v>50</v>
      </c>
      <c r="D1793" s="1" t="s">
        <v>41</v>
      </c>
      <c r="E1793" s="3">
        <v>7174875</v>
      </c>
      <c r="F1793" s="1">
        <v>2393.2204803202098</v>
      </c>
      <c r="G1793" s="1">
        <v>6</v>
      </c>
      <c r="H1793" s="1">
        <v>3</v>
      </c>
      <c r="I1793" s="1">
        <v>5</v>
      </c>
      <c r="J1793" s="1">
        <v>4.5</v>
      </c>
      <c r="K1793" s="1">
        <v>4</v>
      </c>
      <c r="L1793" s="1">
        <v>1</v>
      </c>
      <c r="M1793" s="4">
        <v>2998</v>
      </c>
      <c r="N1793" s="1">
        <v>3860</v>
      </c>
      <c r="O1793" s="1">
        <v>10892</v>
      </c>
      <c r="P1793" s="1">
        <v>7032</v>
      </c>
      <c r="Q1793" s="1" t="s">
        <v>42</v>
      </c>
      <c r="S1793" s="1" t="s">
        <v>42</v>
      </c>
      <c r="T1793" s="1" t="s">
        <v>273</v>
      </c>
      <c r="U1793" s="1">
        <v>859</v>
      </c>
      <c r="V1793" s="5">
        <v>44188</v>
      </c>
      <c r="W1793" s="5">
        <v>43158</v>
      </c>
      <c r="X1793" s="1">
        <v>9880000</v>
      </c>
      <c r="Y1793" s="1">
        <v>7950000</v>
      </c>
      <c r="Z1793" s="5">
        <v>44112</v>
      </c>
      <c r="AA1793" s="1">
        <v>7174875</v>
      </c>
      <c r="AB1793" s="1" t="s">
        <v>295</v>
      </c>
      <c r="AC1793" s="5">
        <v>44183</v>
      </c>
      <c r="AF1793" s="1">
        <v>10007</v>
      </c>
      <c r="AI1793" s="1" t="s">
        <v>107</v>
      </c>
      <c r="AJ1793" s="1">
        <v>2018</v>
      </c>
      <c r="AK1793" s="1" t="s">
        <v>49</v>
      </c>
      <c r="AL1793" s="1">
        <v>157</v>
      </c>
    </row>
    <row r="1794" spans="1:38" x14ac:dyDescent="0.2">
      <c r="A1794" s="2" t="str">
        <f>HYPERLINK("https://www.compass.com/listing/45-east-22nd-street-unit-31b-manhattan-ny-10010/29375862210064737/","45 E 22nd St, Unit 31B")</f>
        <v>45 E 22nd St, Unit 31B</v>
      </c>
      <c r="B1794" s="2" t="str">
        <f t="shared" ref="B1794:B1800" si="282">HYPERLINK("https://www.compass.com/building/madison-square-park-tower-manhattan-ny/281903584482705973/","Madison Square Park Tower")</f>
        <v>Madison Square Park Tower</v>
      </c>
      <c r="C1794" s="1" t="s">
        <v>56</v>
      </c>
      <c r="D1794" s="1" t="s">
        <v>41</v>
      </c>
      <c r="E1794" s="3">
        <v>5102407</v>
      </c>
      <c r="F1794" s="1">
        <v>3381.3167660702402</v>
      </c>
      <c r="G1794" s="1">
        <v>4</v>
      </c>
      <c r="H1794" s="1">
        <v>2</v>
      </c>
      <c r="I1794" s="1">
        <v>2</v>
      </c>
      <c r="J1794" s="1">
        <v>2</v>
      </c>
      <c r="K1794" s="1">
        <v>2</v>
      </c>
      <c r="M1794" s="4">
        <v>1509</v>
      </c>
      <c r="N1794" s="1">
        <v>1755</v>
      </c>
      <c r="O1794" s="1">
        <v>4423</v>
      </c>
      <c r="P1794" s="1">
        <v>2668</v>
      </c>
      <c r="Q1794" s="1" t="s">
        <v>42</v>
      </c>
      <c r="S1794" s="1" t="s">
        <v>42</v>
      </c>
      <c r="T1794" s="1" t="s">
        <v>273</v>
      </c>
      <c r="V1794" s="5">
        <v>43668</v>
      </c>
      <c r="W1794" s="5">
        <v>42196</v>
      </c>
      <c r="X1794" s="1">
        <v>4990000</v>
      </c>
      <c r="Y1794" s="1">
        <v>4990000</v>
      </c>
      <c r="Z1794" s="5">
        <v>42196</v>
      </c>
      <c r="AA1794" s="1">
        <v>5102407</v>
      </c>
      <c r="AB1794" s="1" t="s">
        <v>955</v>
      </c>
      <c r="AC1794" s="5">
        <v>42944</v>
      </c>
      <c r="AF1794" s="1">
        <v>10010</v>
      </c>
      <c r="AI1794" s="1" t="s">
        <v>48</v>
      </c>
      <c r="AJ1794" s="1">
        <v>2016</v>
      </c>
      <c r="AK1794" s="1" t="s">
        <v>46</v>
      </c>
      <c r="AL1794" s="1">
        <v>83</v>
      </c>
    </row>
    <row r="1795" spans="1:38" x14ac:dyDescent="0.2">
      <c r="A1795" s="2" t="str">
        <f>HYPERLINK("https://www.compass.com/listing/45-east-22nd-street-unit-33b-manhattan-ny-10010/29375863829067105/","45 E 22nd St, Unit 33B")</f>
        <v>45 E 22nd St, Unit 33B</v>
      </c>
      <c r="B1795" s="2" t="str">
        <f t="shared" si="282"/>
        <v>Madison Square Park Tower</v>
      </c>
      <c r="C1795" s="1" t="s">
        <v>56</v>
      </c>
      <c r="D1795" s="1" t="s">
        <v>41</v>
      </c>
      <c r="E1795" s="3">
        <v>4937606</v>
      </c>
      <c r="F1795" s="1">
        <v>3248.4250000000002</v>
      </c>
      <c r="G1795" s="1">
        <v>4</v>
      </c>
      <c r="H1795" s="1">
        <v>2</v>
      </c>
      <c r="I1795" s="1">
        <v>2</v>
      </c>
      <c r="J1795" s="1">
        <v>2</v>
      </c>
      <c r="K1795" s="1">
        <v>2</v>
      </c>
      <c r="M1795" s="4">
        <v>1520</v>
      </c>
      <c r="N1795" s="1">
        <v>1774</v>
      </c>
      <c r="O1795" s="1">
        <v>4471</v>
      </c>
      <c r="P1795" s="1">
        <v>2697</v>
      </c>
      <c r="Q1795" s="1" t="s">
        <v>42</v>
      </c>
      <c r="S1795" s="1" t="s">
        <v>42</v>
      </c>
      <c r="T1795" s="1" t="s">
        <v>273</v>
      </c>
      <c r="V1795" s="5">
        <v>43650</v>
      </c>
      <c r="W1795" s="5">
        <v>42084</v>
      </c>
      <c r="X1795" s="1">
        <v>4895000</v>
      </c>
      <c r="Y1795" s="1">
        <v>4895000</v>
      </c>
      <c r="Z1795" s="5">
        <v>42084</v>
      </c>
      <c r="AA1795" s="1">
        <v>4937606</v>
      </c>
      <c r="AB1795" s="1" t="s">
        <v>956</v>
      </c>
      <c r="AC1795" s="5">
        <v>42962</v>
      </c>
      <c r="AF1795" s="1">
        <v>10010</v>
      </c>
      <c r="AI1795" s="1" t="s">
        <v>48</v>
      </c>
      <c r="AJ1795" s="1">
        <v>2016</v>
      </c>
      <c r="AK1795" s="1" t="s">
        <v>46</v>
      </c>
      <c r="AL1795" s="1">
        <v>83</v>
      </c>
    </row>
    <row r="1796" spans="1:38" x14ac:dyDescent="0.2">
      <c r="A1796" s="2" t="str">
        <f>HYPERLINK("https://www.compass.com/listing/45-east-22nd-street-unit-36b-manhattan-ny-10010/29375866588919185/","45 E 22nd St, Unit 36B")</f>
        <v>45 E 22nd St, Unit 36B</v>
      </c>
      <c r="B1796" s="2" t="str">
        <f t="shared" si="282"/>
        <v>Madison Square Park Tower</v>
      </c>
      <c r="C1796" s="1" t="s">
        <v>56</v>
      </c>
      <c r="D1796" s="1" t="s">
        <v>41</v>
      </c>
      <c r="E1796" s="3">
        <v>5138894</v>
      </c>
      <c r="F1796" s="1">
        <v>3349.9960886570998</v>
      </c>
      <c r="G1796" s="1">
        <v>4</v>
      </c>
      <c r="H1796" s="1">
        <v>2</v>
      </c>
      <c r="I1796" s="1">
        <v>2</v>
      </c>
      <c r="J1796" s="1">
        <v>2</v>
      </c>
      <c r="K1796" s="1">
        <v>2</v>
      </c>
      <c r="M1796" s="4">
        <v>1534</v>
      </c>
      <c r="N1796" s="1">
        <v>1814</v>
      </c>
      <c r="O1796" s="1">
        <v>4573</v>
      </c>
      <c r="P1796" s="1">
        <v>2759</v>
      </c>
      <c r="Q1796" s="1" t="s">
        <v>42</v>
      </c>
      <c r="S1796" s="1" t="s">
        <v>42</v>
      </c>
      <c r="T1796" s="1" t="s">
        <v>273</v>
      </c>
      <c r="V1796" s="5">
        <v>43662</v>
      </c>
      <c r="W1796" s="5">
        <v>42025</v>
      </c>
      <c r="X1796" s="1">
        <v>5025000</v>
      </c>
      <c r="Y1796" s="1">
        <v>5125000</v>
      </c>
      <c r="Z1796" s="5">
        <v>42025</v>
      </c>
      <c r="AA1796" s="1">
        <v>5138894</v>
      </c>
      <c r="AB1796" s="1" t="s">
        <v>957</v>
      </c>
      <c r="AC1796" s="5">
        <v>42958</v>
      </c>
      <c r="AF1796" s="1">
        <v>10010</v>
      </c>
      <c r="AI1796" s="1" t="s">
        <v>48</v>
      </c>
      <c r="AJ1796" s="1">
        <v>2016</v>
      </c>
      <c r="AK1796" s="1" t="s">
        <v>46</v>
      </c>
      <c r="AL1796" s="1">
        <v>83</v>
      </c>
    </row>
    <row r="1797" spans="1:38" x14ac:dyDescent="0.2">
      <c r="A1797" s="2" t="str">
        <f>HYPERLINK("https://www.compass.com/listing/45-east-22nd-street-unit-30b-manhattan-ny-10010/803328378631474513/","45 E 22nd St, Unit 30B")</f>
        <v>45 E 22nd St, Unit 30B</v>
      </c>
      <c r="B1797" s="2" t="str">
        <f t="shared" si="282"/>
        <v>Madison Square Park Tower</v>
      </c>
      <c r="C1797" s="1" t="s">
        <v>56</v>
      </c>
      <c r="D1797" s="1" t="s">
        <v>41</v>
      </c>
      <c r="E1797" s="3">
        <v>4986158</v>
      </c>
      <c r="F1797" s="1">
        <v>3317.4703127079101</v>
      </c>
      <c r="G1797" s="1">
        <v>4</v>
      </c>
      <c r="H1797" s="1">
        <v>2</v>
      </c>
      <c r="I1797" s="1">
        <v>2</v>
      </c>
      <c r="J1797" s="1">
        <v>2</v>
      </c>
      <c r="K1797" s="1">
        <v>2</v>
      </c>
      <c r="M1797" s="4">
        <v>1503</v>
      </c>
      <c r="N1797" s="1">
        <v>1730</v>
      </c>
      <c r="O1797" s="1">
        <v>4361</v>
      </c>
      <c r="P1797" s="1">
        <v>2631</v>
      </c>
      <c r="Q1797" s="1" t="s">
        <v>42</v>
      </c>
      <c r="S1797" s="1" t="s">
        <v>42</v>
      </c>
      <c r="T1797" s="1" t="s">
        <v>273</v>
      </c>
      <c r="U1797" s="1">
        <v>210</v>
      </c>
      <c r="V1797" s="5">
        <v>43112</v>
      </c>
      <c r="W1797" s="5">
        <v>42902</v>
      </c>
      <c r="X1797" s="1">
        <v>4565000</v>
      </c>
      <c r="Y1797" s="1">
        <v>4565000</v>
      </c>
      <c r="Z1797" s="5">
        <v>42034</v>
      </c>
      <c r="AA1797" s="1">
        <v>4986157.88</v>
      </c>
      <c r="AB1797" s="1" t="s">
        <v>618</v>
      </c>
      <c r="AC1797" s="5">
        <v>43178</v>
      </c>
      <c r="AF1797" s="1">
        <v>10010</v>
      </c>
      <c r="AI1797" s="1" t="s">
        <v>48</v>
      </c>
      <c r="AJ1797" s="1">
        <v>2016</v>
      </c>
      <c r="AK1797" s="1" t="s">
        <v>46</v>
      </c>
      <c r="AL1797" s="1">
        <v>83</v>
      </c>
    </row>
    <row r="1798" spans="1:38" x14ac:dyDescent="0.2">
      <c r="A1798" s="2" t="str">
        <f>HYPERLINK("https://www.compass.com/listing/45-east-22nd-street-unit-32b-manhattan-ny-10010/803348871858068737/","45 E 22nd St, Unit 32B")</f>
        <v>45 E 22nd St, Unit 32B</v>
      </c>
      <c r="B1798" s="2" t="str">
        <f t="shared" si="282"/>
        <v>Madison Square Park Tower</v>
      </c>
      <c r="C1798" s="1" t="s">
        <v>56</v>
      </c>
      <c r="D1798" s="1" t="s">
        <v>41</v>
      </c>
      <c r="E1798" s="3">
        <v>5276498</v>
      </c>
      <c r="F1798" s="1">
        <v>3485.1374306472899</v>
      </c>
      <c r="G1798" s="1">
        <v>4</v>
      </c>
      <c r="H1798" s="1">
        <v>2</v>
      </c>
      <c r="I1798" s="1">
        <v>2</v>
      </c>
      <c r="J1798" s="1">
        <v>2</v>
      </c>
      <c r="K1798" s="1">
        <v>2</v>
      </c>
      <c r="M1798" s="4">
        <v>1514</v>
      </c>
      <c r="N1798" s="1">
        <v>1759</v>
      </c>
      <c r="O1798" s="1">
        <v>4433</v>
      </c>
      <c r="P1798" s="1">
        <v>2674</v>
      </c>
      <c r="Q1798" s="1" t="s">
        <v>42</v>
      </c>
      <c r="S1798" s="1" t="s">
        <v>42</v>
      </c>
      <c r="T1798" s="1" t="s">
        <v>273</v>
      </c>
      <c r="V1798" s="5">
        <v>42971</v>
      </c>
      <c r="W1798" s="5">
        <v>42076</v>
      </c>
      <c r="X1798" s="1">
        <v>4815000</v>
      </c>
      <c r="Y1798" s="1">
        <v>4815000</v>
      </c>
      <c r="Z1798" s="5">
        <v>42077</v>
      </c>
      <c r="AA1798" s="1">
        <v>5276498.07</v>
      </c>
      <c r="AB1798" s="1" t="s">
        <v>683</v>
      </c>
      <c r="AC1798" s="5">
        <v>42942</v>
      </c>
      <c r="AF1798" s="1">
        <v>10010</v>
      </c>
      <c r="AI1798" s="1" t="s">
        <v>48</v>
      </c>
      <c r="AJ1798" s="1">
        <v>2016</v>
      </c>
      <c r="AK1798" s="1" t="s">
        <v>46</v>
      </c>
      <c r="AL1798" s="1">
        <v>83</v>
      </c>
    </row>
    <row r="1799" spans="1:38" x14ac:dyDescent="0.2">
      <c r="A1799" s="2" t="str">
        <f>HYPERLINK("https://www.compass.com/listing/45-east-22nd-street-unit-22a-manhattan-ny-10010/29375854987548353/","45 E 22nd St, Unit 22A")</f>
        <v>45 E 22nd St, Unit 22A</v>
      </c>
      <c r="B1799" s="2" t="str">
        <f t="shared" si="282"/>
        <v>Madison Square Park Tower</v>
      </c>
      <c r="C1799" s="1" t="s">
        <v>56</v>
      </c>
      <c r="D1799" s="1" t="s">
        <v>41</v>
      </c>
      <c r="E1799" s="3">
        <v>6648187</v>
      </c>
      <c r="F1799" s="1">
        <v>3049.6270642201798</v>
      </c>
      <c r="G1799" s="1">
        <v>5</v>
      </c>
      <c r="H1799" s="1">
        <v>3</v>
      </c>
      <c r="I1799" s="1">
        <v>3</v>
      </c>
      <c r="J1799" s="1">
        <v>3</v>
      </c>
      <c r="K1799" s="1">
        <v>3</v>
      </c>
      <c r="M1799" s="4">
        <v>2180</v>
      </c>
      <c r="N1799" s="1">
        <v>2431.14</v>
      </c>
      <c r="O1799" s="1">
        <v>6087.71</v>
      </c>
      <c r="P1799" s="1">
        <v>3656.5833333333298</v>
      </c>
      <c r="Q1799" s="1" t="s">
        <v>42</v>
      </c>
      <c r="S1799" s="1" t="s">
        <v>42</v>
      </c>
      <c r="T1799" s="1" t="s">
        <v>273</v>
      </c>
      <c r="V1799" s="5">
        <v>43650</v>
      </c>
      <c r="W1799" s="5">
        <v>42447</v>
      </c>
      <c r="X1799" s="1">
        <v>6500000</v>
      </c>
      <c r="Y1799" s="1">
        <v>6500000</v>
      </c>
      <c r="Z1799" s="5">
        <v>42447</v>
      </c>
      <c r="AA1799" s="1">
        <v>6648187</v>
      </c>
      <c r="AB1799" s="1" t="s">
        <v>958</v>
      </c>
      <c r="AC1799" s="5">
        <v>42978</v>
      </c>
      <c r="AF1799" s="1">
        <v>10010</v>
      </c>
      <c r="AI1799" s="1" t="s">
        <v>48</v>
      </c>
      <c r="AJ1799" s="1">
        <v>2016</v>
      </c>
      <c r="AK1799" s="1" t="s">
        <v>46</v>
      </c>
      <c r="AL1799" s="1">
        <v>83</v>
      </c>
    </row>
    <row r="1800" spans="1:38" x14ac:dyDescent="0.2">
      <c r="A1800" s="2" t="str">
        <f>HYPERLINK("https://www.compass.com/listing/45-east-22nd-street-unit-23a-manhattan-ny-10010/29375855784391921/","45 E 22nd St, Unit 23A")</f>
        <v>45 E 22nd St, Unit 23A</v>
      </c>
      <c r="B1800" s="2" t="str">
        <f t="shared" si="282"/>
        <v>Madison Square Park Tower</v>
      </c>
      <c r="C1800" s="1" t="s">
        <v>56</v>
      </c>
      <c r="D1800" s="1" t="s">
        <v>41</v>
      </c>
      <c r="E1800" s="3">
        <v>6801242</v>
      </c>
      <c r="F1800" s="1">
        <v>3101.34154126767</v>
      </c>
      <c r="G1800" s="1">
        <v>5</v>
      </c>
      <c r="H1800" s="1">
        <v>3</v>
      </c>
      <c r="I1800" s="1">
        <v>3</v>
      </c>
      <c r="J1800" s="1">
        <v>3</v>
      </c>
      <c r="M1800" s="4">
        <v>2193</v>
      </c>
      <c r="N1800" s="1">
        <v>2457</v>
      </c>
      <c r="O1800" s="1">
        <v>6192</v>
      </c>
      <c r="P1800" s="1">
        <v>3735</v>
      </c>
      <c r="Q1800" s="1" t="s">
        <v>42</v>
      </c>
      <c r="S1800" s="1" t="s">
        <v>42</v>
      </c>
      <c r="T1800" s="1" t="s">
        <v>273</v>
      </c>
      <c r="U1800" s="1">
        <v>25</v>
      </c>
      <c r="V1800" s="5">
        <v>43668</v>
      </c>
      <c r="W1800" s="5">
        <v>42700</v>
      </c>
      <c r="X1800" s="1">
        <v>6650000</v>
      </c>
      <c r="Y1800" s="1">
        <v>6650000</v>
      </c>
      <c r="Z1800" s="5">
        <v>42725</v>
      </c>
      <c r="AA1800" s="1">
        <v>6801242</v>
      </c>
      <c r="AB1800" s="1" t="s">
        <v>959</v>
      </c>
      <c r="AC1800" s="5">
        <v>42951</v>
      </c>
      <c r="AF1800" s="1">
        <v>10010</v>
      </c>
      <c r="AI1800" s="1" t="s">
        <v>48</v>
      </c>
      <c r="AJ1800" s="1">
        <v>2016</v>
      </c>
      <c r="AK1800" s="1" t="s">
        <v>49</v>
      </c>
      <c r="AL1800" s="1">
        <v>83</v>
      </c>
    </row>
    <row r="1801" spans="1:38" x14ac:dyDescent="0.2">
      <c r="A1801" s="2" t="str">
        <f>HYPERLINK("https://www.compass.com/listing/55-west-17th-street-unit-903-manhattan-ny-10011/70929863913055649/","55 W 17th St, Unit 903")</f>
        <v>55 W 17th St, Unit 903</v>
      </c>
      <c r="B1801" s="2" t="str">
        <f t="shared" ref="B1801:B1807" si="283">HYPERLINK("https://www.compass.com/building/55-w-17th-st-manhattan-ny-10011/281911689161499829/","55 W 17th St")</f>
        <v>55 W 17th St</v>
      </c>
      <c r="C1801" s="1" t="s">
        <v>56</v>
      </c>
      <c r="D1801" s="1" t="s">
        <v>41</v>
      </c>
      <c r="E1801" s="3">
        <v>2771147</v>
      </c>
      <c r="F1801" s="1">
        <v>2254.7982099267601</v>
      </c>
      <c r="G1801" s="1">
        <v>4</v>
      </c>
      <c r="H1801" s="1">
        <v>2</v>
      </c>
      <c r="I1801" s="1">
        <v>2</v>
      </c>
      <c r="J1801" s="1">
        <v>2</v>
      </c>
      <c r="M1801" s="4">
        <v>1229</v>
      </c>
      <c r="N1801" s="1">
        <v>1529</v>
      </c>
      <c r="O1801" s="1">
        <v>3330</v>
      </c>
      <c r="P1801" s="1">
        <v>1801</v>
      </c>
      <c r="Q1801" s="1" t="s">
        <v>42</v>
      </c>
      <c r="S1801" s="1" t="s">
        <v>42</v>
      </c>
      <c r="T1801" s="1" t="s">
        <v>273</v>
      </c>
      <c r="U1801" s="1">
        <v>655</v>
      </c>
      <c r="V1801" s="5">
        <v>43173</v>
      </c>
      <c r="W1801" s="5">
        <v>42303</v>
      </c>
      <c r="X1801" s="1">
        <v>2849990</v>
      </c>
      <c r="Y1801" s="1">
        <v>2849990</v>
      </c>
      <c r="AA1801" s="1">
        <v>2771147</v>
      </c>
      <c r="AB1801" s="1" t="s">
        <v>897</v>
      </c>
      <c r="AC1801" s="5">
        <v>42958</v>
      </c>
      <c r="AF1801" s="1">
        <v>10011</v>
      </c>
      <c r="AI1801" s="1" t="s">
        <v>102</v>
      </c>
      <c r="AJ1801" s="1">
        <v>2018</v>
      </c>
      <c r="AK1801" s="1" t="s">
        <v>108</v>
      </c>
      <c r="AL1801" s="1">
        <v>52</v>
      </c>
    </row>
    <row r="1802" spans="1:38" x14ac:dyDescent="0.2">
      <c r="A1802" s="2" t="str">
        <f>HYPERLINK("https://www.compass.com/listing/55-west-17th-street-unit-401-manhattan-ny-10011/391948170694904113/","55 W 17th St, Unit 401")</f>
        <v>55 W 17th St, Unit 401</v>
      </c>
      <c r="B1802" s="2" t="str">
        <f t="shared" si="283"/>
        <v>55 W 17th St</v>
      </c>
      <c r="C1802" s="1" t="s">
        <v>56</v>
      </c>
      <c r="D1802" s="1" t="s">
        <v>41</v>
      </c>
      <c r="E1802" s="3">
        <v>1850000</v>
      </c>
      <c r="F1802" s="1">
        <v>1648.8413547237001</v>
      </c>
      <c r="H1802" s="1">
        <v>1</v>
      </c>
      <c r="I1802" s="1">
        <v>1</v>
      </c>
      <c r="J1802" s="1">
        <v>1</v>
      </c>
      <c r="K1802" s="1">
        <v>1</v>
      </c>
      <c r="M1802" s="4">
        <v>1122</v>
      </c>
      <c r="N1802" s="1">
        <v>1389</v>
      </c>
      <c r="O1802" s="1">
        <v>3025</v>
      </c>
      <c r="P1802" s="1">
        <v>1636</v>
      </c>
      <c r="S1802" s="1" t="s">
        <v>42</v>
      </c>
      <c r="T1802" s="1" t="s">
        <v>273</v>
      </c>
      <c r="V1802" s="5">
        <v>44247</v>
      </c>
      <c r="AA1802" s="1">
        <v>1850000</v>
      </c>
      <c r="AB1802" s="1" t="s">
        <v>275</v>
      </c>
      <c r="AC1802" s="5">
        <v>43679</v>
      </c>
      <c r="AF1802" s="1">
        <v>10011</v>
      </c>
      <c r="AI1802" s="1" t="s">
        <v>952</v>
      </c>
      <c r="AJ1802" s="1">
        <v>2018</v>
      </c>
      <c r="AK1802" s="1" t="s">
        <v>55</v>
      </c>
      <c r="AL1802" s="1">
        <v>52</v>
      </c>
    </row>
    <row r="1803" spans="1:38" x14ac:dyDescent="0.2">
      <c r="A1803" s="2" t="str">
        <f>HYPERLINK("https://www.compass.com/listing/55-west-17th-street-unit-1202-manhattan-ny-10011/391977659101236145/","55 W 17th St, Unit 1202")</f>
        <v>55 W 17th St, Unit 1202</v>
      </c>
      <c r="B1803" s="2" t="str">
        <f t="shared" si="283"/>
        <v>55 W 17th St</v>
      </c>
      <c r="C1803" s="1" t="s">
        <v>56</v>
      </c>
      <c r="D1803" s="1" t="s">
        <v>41</v>
      </c>
      <c r="E1803" s="3">
        <v>1909218</v>
      </c>
      <c r="F1803" s="1">
        <v>2413.6763590391902</v>
      </c>
      <c r="G1803" s="1">
        <v>3</v>
      </c>
      <c r="H1803" s="1">
        <v>1</v>
      </c>
      <c r="I1803" s="1">
        <v>1</v>
      </c>
      <c r="J1803" s="1">
        <v>1</v>
      </c>
      <c r="K1803" s="1">
        <v>1</v>
      </c>
      <c r="M1803" s="1">
        <v>791</v>
      </c>
      <c r="N1803" s="1">
        <v>986</v>
      </c>
      <c r="O1803" s="1">
        <v>2147</v>
      </c>
      <c r="P1803" s="1">
        <v>1161</v>
      </c>
      <c r="S1803" s="1" t="s">
        <v>42</v>
      </c>
      <c r="T1803" s="1" t="s">
        <v>273</v>
      </c>
      <c r="V1803" s="5">
        <v>44247</v>
      </c>
      <c r="AA1803" s="1">
        <v>1909218</v>
      </c>
      <c r="AB1803" s="1" t="s">
        <v>275</v>
      </c>
      <c r="AC1803" s="5">
        <v>43678</v>
      </c>
      <c r="AF1803" s="1">
        <v>10011</v>
      </c>
      <c r="AI1803" s="1" t="s">
        <v>952</v>
      </c>
      <c r="AJ1803" s="1">
        <v>2018</v>
      </c>
      <c r="AK1803" s="1" t="s">
        <v>55</v>
      </c>
      <c r="AL1803" s="1">
        <v>52</v>
      </c>
    </row>
    <row r="1804" spans="1:38" x14ac:dyDescent="0.2">
      <c r="A1804" s="2" t="str">
        <f>HYPERLINK("https://www.compass.com/listing/55-west-17th-street-unit-702-manhattan-ny-10011/392008714416180897/","55 W 17th St, Unit 702")</f>
        <v>55 W 17th St, Unit 702</v>
      </c>
      <c r="B1804" s="2" t="str">
        <f t="shared" si="283"/>
        <v>55 W 17th St</v>
      </c>
      <c r="C1804" s="1" t="s">
        <v>56</v>
      </c>
      <c r="D1804" s="1" t="s">
        <v>41</v>
      </c>
      <c r="E1804" s="3">
        <v>1692321</v>
      </c>
      <c r="F1804" s="1">
        <v>2139.4702907711699</v>
      </c>
      <c r="G1804" s="1">
        <v>3</v>
      </c>
      <c r="H1804" s="1">
        <v>1</v>
      </c>
      <c r="I1804" s="1">
        <v>1</v>
      </c>
      <c r="J1804" s="1">
        <v>1</v>
      </c>
      <c r="K1804" s="1">
        <v>1</v>
      </c>
      <c r="M1804" s="1">
        <v>791</v>
      </c>
      <c r="N1804" s="1">
        <v>982</v>
      </c>
      <c r="O1804" s="1">
        <v>2139</v>
      </c>
      <c r="P1804" s="1">
        <v>1157</v>
      </c>
      <c r="S1804" s="1" t="s">
        <v>42</v>
      </c>
      <c r="T1804" s="1" t="s">
        <v>273</v>
      </c>
      <c r="V1804" s="5">
        <v>44247</v>
      </c>
      <c r="AA1804" s="1">
        <v>1692321</v>
      </c>
      <c r="AB1804" s="1" t="s">
        <v>275</v>
      </c>
      <c r="AC1804" s="5">
        <v>43678</v>
      </c>
      <c r="AF1804" s="1">
        <v>10011</v>
      </c>
      <c r="AI1804" s="1" t="s">
        <v>952</v>
      </c>
      <c r="AJ1804" s="1">
        <v>2018</v>
      </c>
      <c r="AK1804" s="1" t="s">
        <v>55</v>
      </c>
      <c r="AL1804" s="1">
        <v>52</v>
      </c>
    </row>
    <row r="1805" spans="1:38" x14ac:dyDescent="0.2">
      <c r="A1805" s="2" t="str">
        <f>HYPERLINK("https://www.compass.com/listing/55-west-17th-street-unit-1002-manhattan-ny-10011/392019066226626561/","55 W 17th St, Unit 1002")</f>
        <v>55 W 17th St, Unit 1002</v>
      </c>
      <c r="B1805" s="2" t="str">
        <f t="shared" si="283"/>
        <v>55 W 17th St</v>
      </c>
      <c r="C1805" s="1" t="s">
        <v>56</v>
      </c>
      <c r="D1805" s="1" t="s">
        <v>41</v>
      </c>
      <c r="E1805" s="3">
        <v>1750000</v>
      </c>
      <c r="F1805" s="1">
        <v>2212.3893805309699</v>
      </c>
      <c r="H1805" s="1">
        <v>1</v>
      </c>
      <c r="I1805" s="1">
        <v>1</v>
      </c>
      <c r="J1805" s="1">
        <v>1</v>
      </c>
      <c r="K1805" s="1">
        <v>1</v>
      </c>
      <c r="M1805" s="1">
        <v>791</v>
      </c>
      <c r="N1805" s="1">
        <v>985</v>
      </c>
      <c r="O1805" s="1">
        <v>2145</v>
      </c>
      <c r="P1805" s="1">
        <v>1160</v>
      </c>
      <c r="S1805" s="1" t="s">
        <v>42</v>
      </c>
      <c r="T1805" s="1" t="s">
        <v>273</v>
      </c>
      <c r="V1805" s="5">
        <v>44247</v>
      </c>
      <c r="AA1805" s="1">
        <v>1750000</v>
      </c>
      <c r="AB1805" s="1" t="s">
        <v>275</v>
      </c>
      <c r="AC1805" s="5">
        <v>43679</v>
      </c>
      <c r="AF1805" s="1">
        <v>10011</v>
      </c>
      <c r="AI1805" s="1" t="s">
        <v>952</v>
      </c>
      <c r="AJ1805" s="1">
        <v>2018</v>
      </c>
      <c r="AK1805" s="1" t="s">
        <v>55</v>
      </c>
      <c r="AL1805" s="1">
        <v>52</v>
      </c>
    </row>
    <row r="1806" spans="1:38" x14ac:dyDescent="0.2">
      <c r="A1806" s="2" t="str">
        <f>HYPERLINK("https://www.compass.com/listing/55-west-17th-street-unit-902-manhattan-ny-10011/70929869491467665/","55 W 17th St, Unit 902")</f>
        <v>55 W 17th St, Unit 902</v>
      </c>
      <c r="B1806" s="2" t="str">
        <f t="shared" si="283"/>
        <v>55 W 17th St</v>
      </c>
      <c r="C1806" s="1" t="s">
        <v>56</v>
      </c>
      <c r="D1806" s="1" t="s">
        <v>41</v>
      </c>
      <c r="E1806" s="3">
        <v>1700467</v>
      </c>
      <c r="F1806" s="1">
        <v>2149.76903919089</v>
      </c>
      <c r="G1806" s="1">
        <v>3</v>
      </c>
      <c r="H1806" s="1">
        <v>1</v>
      </c>
      <c r="I1806" s="1">
        <v>1</v>
      </c>
      <c r="J1806" s="1">
        <v>1</v>
      </c>
      <c r="M1806" s="1">
        <v>791</v>
      </c>
      <c r="N1806" s="1">
        <v>984</v>
      </c>
      <c r="O1806" s="1">
        <v>2143</v>
      </c>
      <c r="P1806" s="1">
        <v>1159</v>
      </c>
      <c r="Q1806" s="1" t="s">
        <v>42</v>
      </c>
      <c r="S1806" s="1" t="s">
        <v>42</v>
      </c>
      <c r="T1806" s="1" t="s">
        <v>273</v>
      </c>
      <c r="U1806" s="1">
        <v>636</v>
      </c>
      <c r="V1806" s="5">
        <v>43173</v>
      </c>
      <c r="W1806" s="5">
        <v>42298</v>
      </c>
      <c r="X1806" s="1">
        <v>1669990</v>
      </c>
      <c r="Y1806" s="1">
        <v>1669990</v>
      </c>
      <c r="AA1806" s="1">
        <v>1700467.31</v>
      </c>
      <c r="AB1806" s="1" t="s">
        <v>819</v>
      </c>
      <c r="AC1806" s="5">
        <v>42934</v>
      </c>
      <c r="AF1806" s="1">
        <v>10011</v>
      </c>
      <c r="AI1806" s="1" t="s">
        <v>102</v>
      </c>
      <c r="AJ1806" s="1">
        <v>2018</v>
      </c>
      <c r="AK1806" s="1" t="s">
        <v>108</v>
      </c>
      <c r="AL1806" s="1">
        <v>52</v>
      </c>
    </row>
    <row r="1807" spans="1:38" x14ac:dyDescent="0.2">
      <c r="A1807" s="2" t="str">
        <f>HYPERLINK("https://www.compass.com/listing/55-west-17th-street-unit-302-manhattan-ny-10011/70929869961295473/","55 W 17th St, Unit 302")</f>
        <v>55 W 17th St, Unit 302</v>
      </c>
      <c r="B1807" s="2" t="str">
        <f t="shared" si="283"/>
        <v>55 W 17th St</v>
      </c>
      <c r="C1807" s="1" t="s">
        <v>56</v>
      </c>
      <c r="D1807" s="1" t="s">
        <v>41</v>
      </c>
      <c r="E1807" s="3">
        <v>1547730</v>
      </c>
      <c r="F1807" s="1">
        <v>1964.12413705583</v>
      </c>
      <c r="G1807" s="1">
        <v>3</v>
      </c>
      <c r="H1807" s="1">
        <v>1</v>
      </c>
      <c r="I1807" s="1">
        <v>1</v>
      </c>
      <c r="J1807" s="1">
        <v>1</v>
      </c>
      <c r="M1807" s="1">
        <v>788</v>
      </c>
      <c r="N1807" s="1">
        <v>975</v>
      </c>
      <c r="O1807" s="1">
        <v>2123</v>
      </c>
      <c r="P1807" s="1">
        <v>1148</v>
      </c>
      <c r="Q1807" s="1" t="s">
        <v>42</v>
      </c>
      <c r="S1807" s="1" t="s">
        <v>42</v>
      </c>
      <c r="T1807" s="1" t="s">
        <v>273</v>
      </c>
      <c r="U1807" s="1">
        <v>555</v>
      </c>
      <c r="V1807" s="5">
        <v>43173</v>
      </c>
      <c r="W1807" s="5">
        <v>42298</v>
      </c>
      <c r="X1807" s="1">
        <v>1519990</v>
      </c>
      <c r="Y1807" s="1">
        <v>1519990</v>
      </c>
      <c r="AA1807" s="1">
        <v>1547729.82</v>
      </c>
      <c r="AB1807" s="1" t="s">
        <v>850</v>
      </c>
      <c r="AC1807" s="5">
        <v>42853</v>
      </c>
      <c r="AF1807" s="1">
        <v>10011</v>
      </c>
      <c r="AI1807" s="1" t="s">
        <v>102</v>
      </c>
      <c r="AJ1807" s="1">
        <v>2018</v>
      </c>
      <c r="AK1807" s="1" t="s">
        <v>108</v>
      </c>
      <c r="AL1807" s="1">
        <v>52</v>
      </c>
    </row>
    <row r="1808" spans="1:38" x14ac:dyDescent="0.2">
      <c r="A1808" s="2" t="str">
        <f>HYPERLINK("https://www.compass.com/listing/100-barclay-street-unit-12n-manhattan-ny-10007/378536195352868865/","100 Barclay St, Unit 12N")</f>
        <v>100 Barclay St, Unit 12N</v>
      </c>
      <c r="B1808" s="2" t="str">
        <f t="shared" ref="B1808:B1809" si="284">HYPERLINK("https://www.compass.com/building/100-barclay-manhattan-ny/281896670466155525/","100 Barclay")</f>
        <v>100 Barclay</v>
      </c>
      <c r="C1808" s="1" t="s">
        <v>50</v>
      </c>
      <c r="D1808" s="1" t="s">
        <v>41</v>
      </c>
      <c r="E1808" s="3">
        <v>2995000</v>
      </c>
      <c r="H1808" s="1">
        <v>2</v>
      </c>
      <c r="I1808" s="1">
        <v>3</v>
      </c>
      <c r="J1808" s="1">
        <v>2.5</v>
      </c>
      <c r="K1808" s="1">
        <v>2</v>
      </c>
      <c r="L1808" s="1">
        <v>1</v>
      </c>
      <c r="S1808" s="1" t="s">
        <v>42</v>
      </c>
      <c r="T1808" s="1" t="s">
        <v>273</v>
      </c>
      <c r="V1808" s="5">
        <v>44247</v>
      </c>
      <c r="AA1808" s="1">
        <v>2995000</v>
      </c>
      <c r="AB1808" s="1" t="s">
        <v>275</v>
      </c>
      <c r="AC1808" s="5">
        <v>43774</v>
      </c>
      <c r="AF1808" s="1">
        <v>10007</v>
      </c>
      <c r="AI1808" s="1" t="s">
        <v>52</v>
      </c>
      <c r="AJ1808" s="1">
        <v>1930</v>
      </c>
      <c r="AK1808" s="1" t="s">
        <v>49</v>
      </c>
      <c r="AL1808" s="1">
        <v>156</v>
      </c>
    </row>
    <row r="1809" spans="1:38" x14ac:dyDescent="0.2">
      <c r="A1809" s="2" t="str">
        <f>HYPERLINK("https://www.compass.com/listing/100-barclay-street-unit-17m-manhattan-ny-10007/4852282311594488865/","100 Barclay St, Unit 17M")</f>
        <v>100 Barclay St, Unit 17M</v>
      </c>
      <c r="B1809" s="2" t="str">
        <f t="shared" si="284"/>
        <v>100 Barclay</v>
      </c>
      <c r="C1809" s="1" t="s">
        <v>50</v>
      </c>
      <c r="D1809" s="1" t="s">
        <v>41</v>
      </c>
      <c r="E1809" s="3">
        <v>975000</v>
      </c>
      <c r="F1809" s="1">
        <v>1993.86503067484</v>
      </c>
      <c r="G1809" s="1">
        <v>2</v>
      </c>
      <c r="H1809" s="1" t="s">
        <v>99</v>
      </c>
      <c r="I1809" s="1">
        <v>1</v>
      </c>
      <c r="J1809" s="1">
        <v>1</v>
      </c>
      <c r="M1809" s="1">
        <v>489</v>
      </c>
      <c r="N1809" s="1">
        <v>627</v>
      </c>
      <c r="O1809" s="1">
        <v>1227</v>
      </c>
      <c r="P1809" s="1">
        <v>600</v>
      </c>
      <c r="Q1809" s="1" t="s">
        <v>42</v>
      </c>
      <c r="S1809" s="1" t="s">
        <v>42</v>
      </c>
      <c r="T1809" s="1" t="s">
        <v>273</v>
      </c>
      <c r="V1809" s="5">
        <v>42808</v>
      </c>
      <c r="W1809" s="5">
        <v>42475</v>
      </c>
      <c r="X1809" s="1">
        <v>985000</v>
      </c>
      <c r="Y1809" s="1">
        <v>985000</v>
      </c>
      <c r="Z1809" s="5">
        <v>42476</v>
      </c>
      <c r="AA1809" s="1">
        <v>975000</v>
      </c>
      <c r="AB1809" s="1" t="s">
        <v>960</v>
      </c>
      <c r="AC1809" s="5">
        <v>42732</v>
      </c>
      <c r="AF1809" s="1">
        <v>10007</v>
      </c>
      <c r="AI1809" s="1" t="s">
        <v>52</v>
      </c>
      <c r="AJ1809" s="1">
        <v>1930</v>
      </c>
      <c r="AK1809" s="1" t="s">
        <v>46</v>
      </c>
      <c r="AL1809" s="1">
        <v>156</v>
      </c>
    </row>
    <row r="1810" spans="1:38" x14ac:dyDescent="0.2">
      <c r="A1810" s="2" t="str">
        <f>HYPERLINK("https://www.compass.com/listing/67-avenue-c-unit-4a-manhattan-ny-10009/29361011748350113/","67 Avenue C, Unit 4A")</f>
        <v>67 Avenue C, Unit 4A</v>
      </c>
      <c r="B1810" s="2" t="str">
        <f>HYPERLINK("https://www.compass.com/building/67-avenue-c-manhattan-ny-10009/281901375074352277/","67 Avenue C")</f>
        <v>67 Avenue C</v>
      </c>
      <c r="C1810" s="1" t="s">
        <v>71</v>
      </c>
      <c r="D1810" s="1" t="s">
        <v>41</v>
      </c>
      <c r="E1810" s="3">
        <v>852000</v>
      </c>
      <c r="F1810" s="1">
        <v>1524.1502683363101</v>
      </c>
      <c r="H1810" s="1">
        <v>1</v>
      </c>
      <c r="J1810" s="1">
        <v>1</v>
      </c>
      <c r="M1810" s="1">
        <v>559</v>
      </c>
      <c r="N1810" s="1">
        <v>437</v>
      </c>
      <c r="O1810" s="1">
        <v>777</v>
      </c>
      <c r="P1810" s="1">
        <v>340</v>
      </c>
      <c r="Q1810" s="1" t="s">
        <v>42</v>
      </c>
      <c r="S1810" s="1" t="s">
        <v>42</v>
      </c>
      <c r="T1810" s="1" t="s">
        <v>273</v>
      </c>
      <c r="AA1810" s="1">
        <v>852000</v>
      </c>
      <c r="AB1810" s="1" t="s">
        <v>961</v>
      </c>
      <c r="AC1810" s="5">
        <v>42516</v>
      </c>
      <c r="AF1810" s="1">
        <v>10009</v>
      </c>
      <c r="AI1810" s="1" t="s">
        <v>78</v>
      </c>
      <c r="AJ1810" s="1">
        <v>2015</v>
      </c>
      <c r="AL1810" s="1">
        <v>8</v>
      </c>
    </row>
    <row r="1811" spans="1:38" x14ac:dyDescent="0.2">
      <c r="A1811" s="2" t="str">
        <f>HYPERLINK("https://www.compass.com/listing/55-west-17th-street-unit-802-manhattan-ny-10011/391982482559486801/","55 W 17th St, Unit 802")</f>
        <v>55 W 17th St, Unit 802</v>
      </c>
      <c r="B1811" s="2" t="str">
        <f>HYPERLINK("https://www.compass.com/building/55-w-17th-st-manhattan-ny-10011/281911689161499829/","55 W 17th St")</f>
        <v>55 W 17th St</v>
      </c>
      <c r="C1811" s="1" t="s">
        <v>56</v>
      </c>
      <c r="D1811" s="1" t="s">
        <v>41</v>
      </c>
      <c r="E1811" s="3">
        <v>2132714</v>
      </c>
      <c r="F1811" s="1">
        <v>2696.2250316055602</v>
      </c>
      <c r="H1811" s="1">
        <v>1</v>
      </c>
      <c r="I1811" s="1">
        <v>1</v>
      </c>
      <c r="J1811" s="1">
        <v>1</v>
      </c>
      <c r="K1811" s="1">
        <v>1</v>
      </c>
      <c r="M1811" s="1">
        <v>791</v>
      </c>
      <c r="N1811" s="1">
        <v>983</v>
      </c>
      <c r="O1811" s="1">
        <v>2141</v>
      </c>
      <c r="P1811" s="1">
        <v>1158</v>
      </c>
      <c r="S1811" s="1" t="s">
        <v>42</v>
      </c>
      <c r="T1811" s="1" t="s">
        <v>273</v>
      </c>
      <c r="V1811" s="5">
        <v>44247</v>
      </c>
      <c r="AA1811" s="1">
        <v>2132714</v>
      </c>
      <c r="AB1811" s="1" t="s">
        <v>275</v>
      </c>
      <c r="AC1811" s="5">
        <v>43679</v>
      </c>
      <c r="AF1811" s="1">
        <v>10011</v>
      </c>
      <c r="AI1811" s="1" t="s">
        <v>952</v>
      </c>
      <c r="AJ1811" s="1">
        <v>2018</v>
      </c>
      <c r="AK1811" s="1" t="s">
        <v>55</v>
      </c>
      <c r="AL1811" s="1">
        <v>52</v>
      </c>
    </row>
    <row r="1812" spans="1:38" x14ac:dyDescent="0.2">
      <c r="A1812" s="2" t="str">
        <f>HYPERLINK("https://www.compass.com/listing/100-barrow-street-unit-6b-manhattan-ny-10014/29367162149921873/","100 Barrow St, Unit 6B")</f>
        <v>100 Barrow St, Unit 6B</v>
      </c>
      <c r="B1812" s="2" t="str">
        <f>HYPERLINK("https://www.compass.com/building/100-barrow-manhattan-ny/292834978184618837/","100 Barrow")</f>
        <v>100 Barrow</v>
      </c>
      <c r="C1812" s="1" t="s">
        <v>67</v>
      </c>
      <c r="D1812" s="1" t="s">
        <v>41</v>
      </c>
      <c r="E1812" s="3">
        <v>4400000</v>
      </c>
      <c r="F1812" s="1">
        <v>1821.94616977225</v>
      </c>
      <c r="G1812" s="1">
        <v>5</v>
      </c>
      <c r="H1812" s="1">
        <v>3</v>
      </c>
      <c r="I1812" s="1">
        <v>4</v>
      </c>
      <c r="J1812" s="1">
        <v>3.5</v>
      </c>
      <c r="M1812" s="4">
        <v>2415</v>
      </c>
      <c r="Q1812" s="1" t="s">
        <v>272</v>
      </c>
      <c r="S1812" s="1" t="s">
        <v>272</v>
      </c>
      <c r="T1812" s="1" t="s">
        <v>273</v>
      </c>
      <c r="U1812" s="1">
        <v>79</v>
      </c>
      <c r="V1812" s="5">
        <v>43630</v>
      </c>
      <c r="W1812" s="5">
        <v>42711</v>
      </c>
      <c r="X1812" s="1">
        <v>6344990</v>
      </c>
      <c r="Y1812" s="1">
        <v>4553000</v>
      </c>
      <c r="Z1812" s="5">
        <v>43056</v>
      </c>
      <c r="AA1812" s="1">
        <v>4400000</v>
      </c>
      <c r="AB1812" s="1" t="s">
        <v>962</v>
      </c>
      <c r="AC1812" s="5">
        <v>43137</v>
      </c>
      <c r="AF1812" s="1">
        <v>10014</v>
      </c>
      <c r="AJ1812" s="1">
        <v>2015</v>
      </c>
      <c r="AK1812" s="1" t="s">
        <v>46</v>
      </c>
      <c r="AL1812" s="1">
        <v>33</v>
      </c>
    </row>
    <row r="1813" spans="1:38" x14ac:dyDescent="0.2">
      <c r="A1813" s="2" t="str">
        <f>HYPERLINK("https://www.compass.com/listing/100-barclay-street-unit-16h-manhattan-ny-10007/466622191858396441/","100 Barclay St, Unit 16H")</f>
        <v>100 Barclay St, Unit 16H</v>
      </c>
      <c r="B1813" s="2" t="str">
        <f>HYPERLINK("https://www.compass.com/building/100-barclay-manhattan-ny/281896670466155525/","100 Barclay")</f>
        <v>100 Barclay</v>
      </c>
      <c r="C1813" s="1" t="s">
        <v>50</v>
      </c>
      <c r="D1813" s="1" t="s">
        <v>41</v>
      </c>
      <c r="E1813" s="3">
        <v>2875000</v>
      </c>
      <c r="F1813" s="1">
        <v>1616.07644744238</v>
      </c>
      <c r="H1813" s="1">
        <v>2</v>
      </c>
      <c r="J1813" s="1">
        <v>3</v>
      </c>
      <c r="M1813" s="4">
        <v>1779</v>
      </c>
      <c r="N1813" s="1">
        <v>2283</v>
      </c>
      <c r="O1813" s="1">
        <v>4466</v>
      </c>
      <c r="P1813" s="1">
        <v>2183</v>
      </c>
      <c r="Q1813" s="1" t="s">
        <v>42</v>
      </c>
      <c r="S1813" s="1" t="s">
        <v>42</v>
      </c>
      <c r="T1813" s="1" t="s">
        <v>273</v>
      </c>
      <c r="AA1813" s="1">
        <v>2875000</v>
      </c>
      <c r="AB1813" s="1" t="s">
        <v>963</v>
      </c>
      <c r="AC1813" s="5">
        <v>43887</v>
      </c>
      <c r="AF1813" s="1">
        <v>10007</v>
      </c>
      <c r="AI1813" s="1" t="s">
        <v>52</v>
      </c>
      <c r="AJ1813" s="1">
        <v>1930</v>
      </c>
      <c r="AK1813" s="1" t="s">
        <v>49</v>
      </c>
      <c r="AL1813" s="1">
        <v>156</v>
      </c>
    </row>
    <row r="1814" spans="1:38" x14ac:dyDescent="0.2">
      <c r="A1814" s="2" t="str">
        <f>HYPERLINK("https://www.compass.com/listing/55-west-17th-street-unit-405-manhattan-ny-10011/391359943902641073/","55 W 17th St, Unit 405")</f>
        <v>55 W 17th St, Unit 405</v>
      </c>
      <c r="B1814" s="2" t="str">
        <f t="shared" ref="B1814:B1827" si="285">HYPERLINK("https://www.compass.com/building/55-w-17th-st-manhattan-ny-10011/281911689161499829/","55 W 17th St")</f>
        <v>55 W 17th St</v>
      </c>
      <c r="C1814" s="1" t="s">
        <v>56</v>
      </c>
      <c r="D1814" s="1" t="s">
        <v>41</v>
      </c>
      <c r="E1814" s="3">
        <v>2520000</v>
      </c>
      <c r="F1814" s="1">
        <v>1778.40508115737</v>
      </c>
      <c r="G1814" s="1">
        <v>4</v>
      </c>
      <c r="H1814" s="1">
        <v>2</v>
      </c>
      <c r="I1814" s="1">
        <v>2</v>
      </c>
      <c r="J1814" s="1">
        <v>2</v>
      </c>
      <c r="K1814" s="1">
        <v>2</v>
      </c>
      <c r="M1814" s="4">
        <v>1417</v>
      </c>
      <c r="N1814" s="1">
        <v>1854</v>
      </c>
      <c r="O1814" s="1">
        <v>3920</v>
      </c>
      <c r="P1814" s="1">
        <v>2066</v>
      </c>
      <c r="S1814" s="1" t="s">
        <v>42</v>
      </c>
      <c r="T1814" s="1" t="s">
        <v>273</v>
      </c>
      <c r="V1814" s="5">
        <v>44247</v>
      </c>
      <c r="AA1814" s="1">
        <v>2520000</v>
      </c>
      <c r="AB1814" s="1" t="s">
        <v>275</v>
      </c>
      <c r="AC1814" s="5">
        <v>43678</v>
      </c>
      <c r="AF1814" s="1">
        <v>10011</v>
      </c>
      <c r="AI1814" s="1" t="s">
        <v>952</v>
      </c>
      <c r="AJ1814" s="1">
        <v>2018</v>
      </c>
      <c r="AK1814" s="1" t="s">
        <v>55</v>
      </c>
      <c r="AL1814" s="1">
        <v>52</v>
      </c>
    </row>
    <row r="1815" spans="1:38" x14ac:dyDescent="0.2">
      <c r="A1815" s="2" t="str">
        <f>HYPERLINK("https://www.compass.com/listing/55-west-17th-street-unit-203-manhattan-ny-10011/392012642071236545/","55 W 17th St, Unit 203")</f>
        <v>55 W 17th St, Unit 203</v>
      </c>
      <c r="B1815" s="2" t="str">
        <f t="shared" si="285"/>
        <v>55 W 17th St</v>
      </c>
      <c r="C1815" s="1" t="s">
        <v>56</v>
      </c>
      <c r="D1815" s="1" t="s">
        <v>41</v>
      </c>
      <c r="E1815" s="3">
        <v>2382705</v>
      </c>
      <c r="F1815" s="1">
        <v>1766.27501853224</v>
      </c>
      <c r="H1815" s="1">
        <v>2</v>
      </c>
      <c r="I1815" s="1">
        <v>2</v>
      </c>
      <c r="J1815" s="1">
        <v>2</v>
      </c>
      <c r="K1815" s="1">
        <v>2</v>
      </c>
      <c r="M1815" s="4">
        <v>1349</v>
      </c>
      <c r="N1815" s="1">
        <v>1761</v>
      </c>
      <c r="O1815" s="1">
        <v>3724</v>
      </c>
      <c r="P1815" s="1">
        <v>1963</v>
      </c>
      <c r="S1815" s="1" t="s">
        <v>42</v>
      </c>
      <c r="T1815" s="1" t="s">
        <v>273</v>
      </c>
      <c r="V1815" s="5">
        <v>44412</v>
      </c>
      <c r="AA1815" s="1">
        <v>2382705</v>
      </c>
      <c r="AB1815" s="1" t="s">
        <v>275</v>
      </c>
      <c r="AC1815" s="5">
        <v>43679</v>
      </c>
      <c r="AF1815" s="1">
        <v>10011</v>
      </c>
      <c r="AI1815" s="1" t="s">
        <v>952</v>
      </c>
      <c r="AJ1815" s="1">
        <v>2018</v>
      </c>
      <c r="AK1815" s="1" t="s">
        <v>55</v>
      </c>
      <c r="AL1815" s="1">
        <v>52</v>
      </c>
    </row>
    <row r="1816" spans="1:38" x14ac:dyDescent="0.2">
      <c r="A1816" s="2" t="str">
        <f>HYPERLINK("https://www.compass.com/listing/55-west-17th-street-unit-304-manhattan-ny-10011/392020881555214273/","55 W 17th St, Unit 304")</f>
        <v>55 W 17th St, Unit 304</v>
      </c>
      <c r="B1816" s="2" t="str">
        <f t="shared" si="285"/>
        <v>55 W 17th St</v>
      </c>
      <c r="C1816" s="1" t="s">
        <v>56</v>
      </c>
      <c r="D1816" s="1" t="s">
        <v>41</v>
      </c>
      <c r="E1816" s="3">
        <v>2399801</v>
      </c>
      <c r="F1816" s="1">
        <v>1693.57868736767</v>
      </c>
      <c r="H1816" s="1">
        <v>2</v>
      </c>
      <c r="I1816" s="1">
        <v>2</v>
      </c>
      <c r="J1816" s="1">
        <v>2</v>
      </c>
      <c r="K1816" s="1">
        <v>2</v>
      </c>
      <c r="M1816" s="4">
        <v>1417</v>
      </c>
      <c r="N1816" s="1">
        <v>1852</v>
      </c>
      <c r="O1816" s="1">
        <v>3916</v>
      </c>
      <c r="P1816" s="1">
        <v>2064</v>
      </c>
      <c r="S1816" s="1" t="s">
        <v>42</v>
      </c>
      <c r="T1816" s="1" t="s">
        <v>273</v>
      </c>
      <c r="V1816" s="5">
        <v>44247</v>
      </c>
      <c r="AA1816" s="1">
        <v>2399801</v>
      </c>
      <c r="AB1816" s="1" t="s">
        <v>275</v>
      </c>
      <c r="AC1816" s="5">
        <v>43679</v>
      </c>
      <c r="AF1816" s="1">
        <v>10011</v>
      </c>
      <c r="AI1816" s="1" t="s">
        <v>952</v>
      </c>
      <c r="AJ1816" s="1">
        <v>2018</v>
      </c>
      <c r="AK1816" s="1" t="s">
        <v>55</v>
      </c>
      <c r="AL1816" s="1">
        <v>52</v>
      </c>
    </row>
    <row r="1817" spans="1:38" x14ac:dyDescent="0.2">
      <c r="A1817" s="2" t="str">
        <f>HYPERLINK("https://www.compass.com/listing/55-west-17th-street-unit-203-manhattan-ny-10011/70929868652671873/","55 W 17th St, Unit 203")</f>
        <v>55 W 17th St, Unit 203</v>
      </c>
      <c r="B1817" s="2" t="str">
        <f t="shared" si="285"/>
        <v>55 W 17th St</v>
      </c>
      <c r="C1817" s="1" t="s">
        <v>56</v>
      </c>
      <c r="D1817" s="1" t="s">
        <v>41</v>
      </c>
      <c r="E1817" s="3">
        <v>2382705</v>
      </c>
      <c r="F1817" s="1">
        <v>1766.27501853224</v>
      </c>
      <c r="G1817" s="1">
        <v>4</v>
      </c>
      <c r="H1817" s="1">
        <v>2</v>
      </c>
      <c r="I1817" s="1">
        <v>2</v>
      </c>
      <c r="J1817" s="1">
        <v>2</v>
      </c>
      <c r="M1817" s="4">
        <v>1349</v>
      </c>
      <c r="N1817" s="1">
        <v>1667</v>
      </c>
      <c r="O1817" s="1">
        <v>3630</v>
      </c>
      <c r="P1817" s="1">
        <v>1963</v>
      </c>
      <c r="Q1817" s="1" t="s">
        <v>42</v>
      </c>
      <c r="S1817" s="1" t="s">
        <v>42</v>
      </c>
      <c r="T1817" s="1" t="s">
        <v>273</v>
      </c>
      <c r="U1817" s="1">
        <v>736</v>
      </c>
      <c r="V1817" s="5">
        <v>43173</v>
      </c>
      <c r="W1817" s="5">
        <v>42324</v>
      </c>
      <c r="X1817" s="1">
        <v>2699990</v>
      </c>
      <c r="Y1817" s="1">
        <v>2699990</v>
      </c>
      <c r="AA1817" s="1">
        <v>2382705</v>
      </c>
      <c r="AB1817" s="1" t="s">
        <v>891</v>
      </c>
      <c r="AC1817" s="5">
        <v>43060</v>
      </c>
      <c r="AF1817" s="1">
        <v>10011</v>
      </c>
      <c r="AI1817" s="1" t="s">
        <v>102</v>
      </c>
      <c r="AJ1817" s="1">
        <v>2018</v>
      </c>
      <c r="AK1817" s="1" t="s">
        <v>108</v>
      </c>
      <c r="AL1817" s="1">
        <v>52</v>
      </c>
    </row>
    <row r="1818" spans="1:38" x14ac:dyDescent="0.2">
      <c r="A1818" s="2" t="str">
        <f>HYPERLINK("https://www.compass.com/listing/55-west-17th-street-unit-1003-manhattan-ny-10011/391353725846960849/","55 W 17th St, Unit 1003")</f>
        <v>55 W 17th St, Unit 1003</v>
      </c>
      <c r="B1818" s="2" t="str">
        <f t="shared" si="285"/>
        <v>55 W 17th St</v>
      </c>
      <c r="C1818" s="1" t="s">
        <v>56</v>
      </c>
      <c r="D1818" s="1" t="s">
        <v>41</v>
      </c>
      <c r="E1818" s="3">
        <v>2851089</v>
      </c>
      <c r="F1818" s="1">
        <v>2319.8445890968201</v>
      </c>
      <c r="G1818" s="1">
        <v>4</v>
      </c>
      <c r="H1818" s="1">
        <v>2</v>
      </c>
      <c r="I1818" s="1">
        <v>2</v>
      </c>
      <c r="J1818" s="1">
        <v>2</v>
      </c>
      <c r="K1818" s="1">
        <v>2</v>
      </c>
      <c r="M1818" s="4">
        <v>1229</v>
      </c>
      <c r="N1818" s="1">
        <v>1531</v>
      </c>
      <c r="O1818" s="1">
        <v>3334</v>
      </c>
      <c r="P1818" s="1">
        <v>1803</v>
      </c>
      <c r="S1818" s="1" t="s">
        <v>42</v>
      </c>
      <c r="T1818" s="1" t="s">
        <v>273</v>
      </c>
      <c r="V1818" s="5">
        <v>44247</v>
      </c>
      <c r="AA1818" s="1">
        <v>2851089</v>
      </c>
      <c r="AB1818" s="1" t="s">
        <v>275</v>
      </c>
      <c r="AC1818" s="5">
        <v>43678</v>
      </c>
      <c r="AF1818" s="1">
        <v>10011</v>
      </c>
      <c r="AI1818" s="1" t="s">
        <v>952</v>
      </c>
      <c r="AJ1818" s="1">
        <v>2018</v>
      </c>
      <c r="AK1818" s="1" t="s">
        <v>55</v>
      </c>
      <c r="AL1818" s="1">
        <v>52</v>
      </c>
    </row>
    <row r="1819" spans="1:38" x14ac:dyDescent="0.2">
      <c r="A1819" s="2" t="str">
        <f>HYPERLINK("https://www.compass.com/listing/55-west-17th-street-unit-603-manhattan-ny-10011/391944394722396289/","55 W 17th St, Unit 603")</f>
        <v>55 W 17th St, Unit 603</v>
      </c>
      <c r="B1819" s="2" t="str">
        <f t="shared" si="285"/>
        <v>55 W 17th St</v>
      </c>
      <c r="C1819" s="1" t="s">
        <v>56</v>
      </c>
      <c r="D1819" s="1" t="s">
        <v>41</v>
      </c>
      <c r="E1819" s="3">
        <v>2599990</v>
      </c>
      <c r="F1819" s="1">
        <v>2115.5329536208301</v>
      </c>
      <c r="G1819" s="1">
        <v>4</v>
      </c>
      <c r="H1819" s="1">
        <v>2</v>
      </c>
      <c r="I1819" s="1">
        <v>2</v>
      </c>
      <c r="J1819" s="1">
        <v>2</v>
      </c>
      <c r="K1819" s="1">
        <v>2</v>
      </c>
      <c r="M1819" s="4">
        <v>1229</v>
      </c>
      <c r="N1819" s="1">
        <v>1525</v>
      </c>
      <c r="O1819" s="1">
        <v>3321</v>
      </c>
      <c r="P1819" s="1">
        <v>1796</v>
      </c>
      <c r="S1819" s="1" t="s">
        <v>42</v>
      </c>
      <c r="T1819" s="1" t="s">
        <v>273</v>
      </c>
      <c r="V1819" s="5">
        <v>44247</v>
      </c>
      <c r="AA1819" s="1">
        <v>2599990</v>
      </c>
      <c r="AB1819" s="1" t="s">
        <v>275</v>
      </c>
      <c r="AC1819" s="5">
        <v>43678</v>
      </c>
      <c r="AF1819" s="1">
        <v>10011</v>
      </c>
      <c r="AI1819" s="1" t="s">
        <v>102</v>
      </c>
      <c r="AJ1819" s="1">
        <v>2018</v>
      </c>
      <c r="AK1819" s="1" t="s">
        <v>55</v>
      </c>
      <c r="AL1819" s="1">
        <v>52</v>
      </c>
    </row>
    <row r="1820" spans="1:38" x14ac:dyDescent="0.2">
      <c r="A1820" s="2" t="str">
        <f>HYPERLINK("https://www.compass.com/listing/55-west-17th-street-unit-703-manhattan-ny-10011/391975844326820497/","55 W 17th St, Unit 703")</f>
        <v>55 W 17th St, Unit 703</v>
      </c>
      <c r="B1820" s="2" t="str">
        <f t="shared" si="285"/>
        <v>55 W 17th St</v>
      </c>
      <c r="C1820" s="1" t="s">
        <v>56</v>
      </c>
      <c r="D1820" s="1" t="s">
        <v>41</v>
      </c>
      <c r="E1820" s="3">
        <v>2723808</v>
      </c>
      <c r="F1820" s="1">
        <v>2216.2799023596399</v>
      </c>
      <c r="G1820" s="1">
        <v>4</v>
      </c>
      <c r="H1820" s="1">
        <v>2</v>
      </c>
      <c r="I1820" s="1">
        <v>2</v>
      </c>
      <c r="J1820" s="1">
        <v>2</v>
      </c>
      <c r="K1820" s="1">
        <v>2</v>
      </c>
      <c r="M1820" s="4">
        <v>1229</v>
      </c>
      <c r="N1820" s="1">
        <v>1526</v>
      </c>
      <c r="O1820" s="1">
        <v>3324</v>
      </c>
      <c r="P1820" s="1">
        <v>1798</v>
      </c>
      <c r="S1820" s="1" t="s">
        <v>42</v>
      </c>
      <c r="T1820" s="1" t="s">
        <v>273</v>
      </c>
      <c r="V1820" s="5">
        <v>44247</v>
      </c>
      <c r="AA1820" s="1">
        <v>2723808</v>
      </c>
      <c r="AB1820" s="1" t="s">
        <v>275</v>
      </c>
      <c r="AC1820" s="5">
        <v>43678</v>
      </c>
      <c r="AF1820" s="1">
        <v>10011</v>
      </c>
      <c r="AI1820" s="1" t="s">
        <v>102</v>
      </c>
      <c r="AJ1820" s="1">
        <v>2018</v>
      </c>
      <c r="AK1820" s="1" t="s">
        <v>55</v>
      </c>
      <c r="AL1820" s="1">
        <v>52</v>
      </c>
    </row>
    <row r="1821" spans="1:38" x14ac:dyDescent="0.2">
      <c r="A1821" s="2" t="str">
        <f>HYPERLINK("https://www.compass.com/listing/55-west-17th-street-unit-803-manhattan-ny-10011/391978565700045777/","55 W 17th St, Unit 803")</f>
        <v>55 W 17th St, Unit 803</v>
      </c>
      <c r="B1821" s="2" t="str">
        <f t="shared" si="285"/>
        <v>55 W 17th St</v>
      </c>
      <c r="C1821" s="1" t="s">
        <v>56</v>
      </c>
      <c r="D1821" s="1" t="s">
        <v>41</v>
      </c>
      <c r="E1821" s="3">
        <v>2800177</v>
      </c>
      <c r="F1821" s="1">
        <v>2278.4190398698101</v>
      </c>
      <c r="G1821" s="1">
        <v>4</v>
      </c>
      <c r="H1821" s="1">
        <v>2</v>
      </c>
      <c r="I1821" s="1">
        <v>2</v>
      </c>
      <c r="J1821" s="1">
        <v>2</v>
      </c>
      <c r="K1821" s="1">
        <v>2</v>
      </c>
      <c r="M1821" s="4">
        <v>1229</v>
      </c>
      <c r="N1821" s="1">
        <v>1528</v>
      </c>
      <c r="O1821" s="1">
        <v>3327</v>
      </c>
      <c r="P1821" s="1">
        <v>1799</v>
      </c>
      <c r="S1821" s="1" t="s">
        <v>42</v>
      </c>
      <c r="T1821" s="1" t="s">
        <v>273</v>
      </c>
      <c r="V1821" s="5">
        <v>44247</v>
      </c>
      <c r="AA1821" s="1">
        <v>2800177</v>
      </c>
      <c r="AB1821" s="1" t="s">
        <v>275</v>
      </c>
      <c r="AC1821" s="5">
        <v>43678</v>
      </c>
      <c r="AF1821" s="1">
        <v>10011</v>
      </c>
      <c r="AI1821" s="1" t="s">
        <v>952</v>
      </c>
      <c r="AJ1821" s="1">
        <v>2018</v>
      </c>
      <c r="AK1821" s="1" t="s">
        <v>55</v>
      </c>
      <c r="AL1821" s="1">
        <v>52</v>
      </c>
    </row>
    <row r="1822" spans="1:38" x14ac:dyDescent="0.2">
      <c r="A1822" s="2" t="str">
        <f>HYPERLINK("https://www.compass.com/listing/55-west-17th-street-unit-404-manhattan-ny-10011/392000053228490417/","55 W 17th St, Unit 404")</f>
        <v>55 W 17th St, Unit 404</v>
      </c>
      <c r="B1822" s="2" t="str">
        <f t="shared" si="285"/>
        <v>55 W 17th St</v>
      </c>
      <c r="C1822" s="1" t="s">
        <v>56</v>
      </c>
      <c r="D1822" s="1" t="s">
        <v>41</v>
      </c>
      <c r="E1822" s="3">
        <v>2799990</v>
      </c>
      <c r="F1822" s="1">
        <v>2075.60415122312</v>
      </c>
      <c r="H1822" s="1">
        <v>2</v>
      </c>
      <c r="I1822" s="1">
        <v>2</v>
      </c>
      <c r="J1822" s="1">
        <v>2</v>
      </c>
      <c r="K1822" s="1">
        <v>2</v>
      </c>
      <c r="M1822" s="4">
        <v>1349</v>
      </c>
      <c r="N1822" s="1">
        <v>1670</v>
      </c>
      <c r="O1822" s="1">
        <v>3637</v>
      </c>
      <c r="P1822" s="1">
        <v>1967</v>
      </c>
      <c r="S1822" s="1" t="s">
        <v>42</v>
      </c>
      <c r="T1822" s="1" t="s">
        <v>273</v>
      </c>
      <c r="V1822" s="5">
        <v>44247</v>
      </c>
      <c r="AA1822" s="1">
        <v>2799990</v>
      </c>
      <c r="AB1822" s="1" t="s">
        <v>275</v>
      </c>
      <c r="AC1822" s="5">
        <v>43679</v>
      </c>
      <c r="AF1822" s="1">
        <v>10011</v>
      </c>
      <c r="AI1822" s="1" t="s">
        <v>952</v>
      </c>
      <c r="AJ1822" s="1">
        <v>2018</v>
      </c>
      <c r="AK1822" s="1" t="s">
        <v>55</v>
      </c>
      <c r="AL1822" s="1">
        <v>52</v>
      </c>
    </row>
    <row r="1823" spans="1:38" x14ac:dyDescent="0.2">
      <c r="A1823" s="2" t="str">
        <f>HYPERLINK("https://www.compass.com/listing/55-west-17th-street-unit-503-manhattan-ny-10011/392045609149813297/","55 W 17th St, Unit 503")</f>
        <v>55 W 17th St, Unit 503</v>
      </c>
      <c r="B1823" s="2" t="str">
        <f t="shared" si="285"/>
        <v>55 W 17th St</v>
      </c>
      <c r="C1823" s="1" t="s">
        <v>56</v>
      </c>
      <c r="D1823" s="1" t="s">
        <v>41</v>
      </c>
      <c r="E1823" s="3">
        <v>2624529</v>
      </c>
      <c r="F1823" s="1">
        <v>2135.4995931651702</v>
      </c>
      <c r="H1823" s="1">
        <v>2</v>
      </c>
      <c r="I1823" s="1">
        <v>2</v>
      </c>
      <c r="J1823" s="1">
        <v>2</v>
      </c>
      <c r="K1823" s="1">
        <v>2</v>
      </c>
      <c r="M1823" s="4">
        <v>1229</v>
      </c>
      <c r="N1823" s="1">
        <v>1523</v>
      </c>
      <c r="O1823" s="1">
        <v>3317</v>
      </c>
      <c r="P1823" s="1">
        <v>1794</v>
      </c>
      <c r="S1823" s="1" t="s">
        <v>42</v>
      </c>
      <c r="T1823" s="1" t="s">
        <v>273</v>
      </c>
      <c r="V1823" s="5">
        <v>44247</v>
      </c>
      <c r="AA1823" s="1">
        <v>2624529</v>
      </c>
      <c r="AB1823" s="1" t="s">
        <v>275</v>
      </c>
      <c r="AC1823" s="5">
        <v>43679</v>
      </c>
      <c r="AF1823" s="1">
        <v>10011</v>
      </c>
      <c r="AI1823" s="1" t="s">
        <v>952</v>
      </c>
      <c r="AJ1823" s="1">
        <v>2018</v>
      </c>
      <c r="AK1823" s="1" t="s">
        <v>55</v>
      </c>
      <c r="AL1823" s="1">
        <v>52</v>
      </c>
    </row>
    <row r="1824" spans="1:38" x14ac:dyDescent="0.2">
      <c r="A1824" s="2" t="str">
        <f>HYPERLINK("https://www.compass.com/listing/55-west-17th-street-unit-1003-manhattan-ny-10011/70922405266086657/","55 W 17th St, Unit 1003")</f>
        <v>55 W 17th St, Unit 1003</v>
      </c>
      <c r="B1824" s="2" t="str">
        <f t="shared" si="285"/>
        <v>55 W 17th St</v>
      </c>
      <c r="C1824" s="1" t="s">
        <v>56</v>
      </c>
      <c r="D1824" s="1" t="s">
        <v>41</v>
      </c>
      <c r="E1824" s="3">
        <v>2851090</v>
      </c>
      <c r="F1824" s="1">
        <v>2319.84525630593</v>
      </c>
      <c r="G1824" s="1">
        <v>4</v>
      </c>
      <c r="H1824" s="1">
        <v>2</v>
      </c>
      <c r="I1824" s="1">
        <v>2</v>
      </c>
      <c r="J1824" s="1">
        <v>2</v>
      </c>
      <c r="M1824" s="4">
        <v>1229</v>
      </c>
      <c r="N1824" s="1">
        <v>1531</v>
      </c>
      <c r="O1824" s="1">
        <v>3334</v>
      </c>
      <c r="P1824" s="1">
        <v>1803</v>
      </c>
      <c r="Q1824" s="1" t="s">
        <v>42</v>
      </c>
      <c r="S1824" s="1" t="s">
        <v>42</v>
      </c>
      <c r="T1824" s="1" t="s">
        <v>273</v>
      </c>
      <c r="U1824" s="1">
        <v>23</v>
      </c>
      <c r="V1824" s="5">
        <v>42879</v>
      </c>
      <c r="W1824" s="5">
        <v>42276</v>
      </c>
      <c r="X1824" s="1">
        <v>2799990</v>
      </c>
      <c r="Y1824" s="1">
        <v>2799990</v>
      </c>
      <c r="Z1824" s="5">
        <v>42300</v>
      </c>
      <c r="AA1824" s="1">
        <v>2851089.82</v>
      </c>
      <c r="AB1824" s="1" t="s">
        <v>899</v>
      </c>
      <c r="AC1824" s="5">
        <v>42835</v>
      </c>
      <c r="AF1824" s="1">
        <v>10011</v>
      </c>
      <c r="AI1824" s="1" t="s">
        <v>102</v>
      </c>
      <c r="AJ1824" s="1">
        <v>2018</v>
      </c>
      <c r="AK1824" s="1" t="s">
        <v>55</v>
      </c>
      <c r="AL1824" s="1">
        <v>52</v>
      </c>
    </row>
    <row r="1825" spans="1:38" x14ac:dyDescent="0.2">
      <c r="A1825" s="2" t="str">
        <f>HYPERLINK("https://www.compass.com/listing/55-west-17th-street-unit-503-manhattan-ny-10011/70922435423146097/","55 W 17th St, Unit 503")</f>
        <v>55 W 17th St, Unit 503</v>
      </c>
      <c r="B1825" s="2" t="str">
        <f t="shared" si="285"/>
        <v>55 W 17th St</v>
      </c>
      <c r="C1825" s="1" t="s">
        <v>56</v>
      </c>
      <c r="D1825" s="1" t="s">
        <v>41</v>
      </c>
      <c r="E1825" s="3">
        <v>2624529</v>
      </c>
      <c r="F1825" s="1">
        <v>2135.4997477624001</v>
      </c>
      <c r="G1825" s="1">
        <v>4</v>
      </c>
      <c r="H1825" s="1">
        <v>2</v>
      </c>
      <c r="I1825" s="1">
        <v>2</v>
      </c>
      <c r="J1825" s="1">
        <v>2</v>
      </c>
      <c r="M1825" s="4">
        <v>1229</v>
      </c>
      <c r="N1825" s="1">
        <v>1523</v>
      </c>
      <c r="O1825" s="1">
        <v>3317</v>
      </c>
      <c r="P1825" s="1">
        <v>1794</v>
      </c>
      <c r="Q1825" s="1" t="s">
        <v>42</v>
      </c>
      <c r="S1825" s="1" t="s">
        <v>42</v>
      </c>
      <c r="T1825" s="1" t="s">
        <v>273</v>
      </c>
      <c r="U1825" s="1">
        <v>23</v>
      </c>
      <c r="V1825" s="5">
        <v>42879</v>
      </c>
      <c r="W1825" s="5">
        <v>42276</v>
      </c>
      <c r="X1825" s="1">
        <v>2549990</v>
      </c>
      <c r="Y1825" s="1">
        <v>2549990</v>
      </c>
      <c r="Z1825" s="5">
        <v>42300</v>
      </c>
      <c r="AA1825" s="1">
        <v>2624529.19</v>
      </c>
      <c r="AB1825" s="1" t="s">
        <v>898</v>
      </c>
      <c r="AC1825" s="5">
        <v>42873</v>
      </c>
      <c r="AF1825" s="1">
        <v>10011</v>
      </c>
      <c r="AI1825" s="1" t="s">
        <v>102</v>
      </c>
      <c r="AJ1825" s="1">
        <v>2018</v>
      </c>
      <c r="AK1825" s="1" t="s">
        <v>55</v>
      </c>
      <c r="AL1825" s="1">
        <v>52</v>
      </c>
    </row>
    <row r="1826" spans="1:38" x14ac:dyDescent="0.2">
      <c r="A1826" s="2" t="str">
        <f>HYPERLINK("https://www.compass.com/listing/55-west-17th-street-unit-1601-manhattan-ny-10011/4867634495848718817/","55 W 17th St, Unit 1601")</f>
        <v>55 W 17th St, Unit 1601</v>
      </c>
      <c r="B1826" s="2" t="str">
        <f t="shared" si="285"/>
        <v>55 W 17th St</v>
      </c>
      <c r="C1826" s="1" t="s">
        <v>56</v>
      </c>
      <c r="D1826" s="1" t="s">
        <v>41</v>
      </c>
      <c r="E1826" s="3">
        <v>4400000</v>
      </c>
      <c r="F1826" s="1">
        <v>2507.1225071224999</v>
      </c>
      <c r="G1826" s="1">
        <v>4</v>
      </c>
      <c r="H1826" s="1">
        <v>2</v>
      </c>
      <c r="I1826" s="1">
        <v>3</v>
      </c>
      <c r="J1826" s="1">
        <v>2.5</v>
      </c>
      <c r="M1826" s="4">
        <v>1755</v>
      </c>
      <c r="N1826" s="1">
        <v>2269</v>
      </c>
      <c r="O1826" s="1">
        <v>4942</v>
      </c>
      <c r="P1826" s="1">
        <v>2673</v>
      </c>
      <c r="Q1826" s="1" t="s">
        <v>42</v>
      </c>
      <c r="S1826" s="1" t="s">
        <v>42</v>
      </c>
      <c r="T1826" s="1" t="s">
        <v>273</v>
      </c>
      <c r="U1826" s="1">
        <v>119</v>
      </c>
      <c r="V1826" s="5">
        <v>43673</v>
      </c>
      <c r="W1826" s="5">
        <v>42711</v>
      </c>
      <c r="X1826" s="1">
        <v>4549990</v>
      </c>
      <c r="Y1826" s="1">
        <v>4549990</v>
      </c>
      <c r="Z1826" s="5">
        <v>42830</v>
      </c>
      <c r="AA1826" s="1">
        <v>4400000</v>
      </c>
      <c r="AB1826" s="1" t="s">
        <v>964</v>
      </c>
      <c r="AC1826" s="5">
        <v>43242</v>
      </c>
      <c r="AF1826" s="1">
        <v>10011</v>
      </c>
      <c r="AI1826" s="1" t="s">
        <v>952</v>
      </c>
      <c r="AJ1826" s="1">
        <v>2018</v>
      </c>
      <c r="AK1826" s="1" t="s">
        <v>108</v>
      </c>
      <c r="AL1826" s="1">
        <v>52</v>
      </c>
    </row>
    <row r="1827" spans="1:38" x14ac:dyDescent="0.2">
      <c r="A1827" s="2" t="str">
        <f>HYPERLINK("https://www.compass.com/listing/55-west-17th-street-unit-1501-manhattan-ny-10011/803392167519062649/","55 W 17th St, Unit 1501")</f>
        <v>55 W 17th St, Unit 1501</v>
      </c>
      <c r="B1827" s="2" t="str">
        <f t="shared" si="285"/>
        <v>55 W 17th St</v>
      </c>
      <c r="C1827" s="1" t="s">
        <v>56</v>
      </c>
      <c r="D1827" s="1" t="s">
        <v>41</v>
      </c>
      <c r="E1827" s="3">
        <v>4757763</v>
      </c>
      <c r="F1827" s="1">
        <v>2662.4302965864499</v>
      </c>
      <c r="G1827" s="1">
        <v>4</v>
      </c>
      <c r="H1827" s="1">
        <v>2</v>
      </c>
      <c r="I1827" s="1">
        <v>3</v>
      </c>
      <c r="J1827" s="1">
        <v>2.5</v>
      </c>
      <c r="M1827" s="4">
        <v>1787</v>
      </c>
      <c r="N1827" s="1">
        <v>2364</v>
      </c>
      <c r="O1827" s="1">
        <v>5148</v>
      </c>
      <c r="P1827" s="1">
        <v>2784</v>
      </c>
      <c r="Q1827" s="1" t="s">
        <v>42</v>
      </c>
      <c r="S1827" s="1" t="s">
        <v>42</v>
      </c>
      <c r="T1827" s="1" t="s">
        <v>273</v>
      </c>
      <c r="U1827" s="1">
        <v>51</v>
      </c>
      <c r="V1827" s="5">
        <v>43242</v>
      </c>
      <c r="W1827" s="5">
        <v>42298</v>
      </c>
      <c r="X1827" s="1">
        <v>4294990</v>
      </c>
      <c r="Y1827" s="1">
        <v>4294990</v>
      </c>
      <c r="Z1827" s="5">
        <v>42350</v>
      </c>
      <c r="AA1827" s="1">
        <v>4757762.9400000004</v>
      </c>
      <c r="AB1827" s="1" t="s">
        <v>965</v>
      </c>
      <c r="AC1827" s="5">
        <v>42944</v>
      </c>
      <c r="AF1827" s="1">
        <v>10011</v>
      </c>
      <c r="AI1827" s="1" t="s">
        <v>102</v>
      </c>
      <c r="AJ1827" s="1">
        <v>2018</v>
      </c>
      <c r="AK1827" s="1" t="s">
        <v>108</v>
      </c>
      <c r="AL1827" s="1">
        <v>52</v>
      </c>
    </row>
    <row r="1828" spans="1:38" x14ac:dyDescent="0.2">
      <c r="A1828" s="2" t="str">
        <f>HYPERLINK("https://www.compass.com/listing/100-barrow-street-unit-ph-manhattan-ny-10014/29367163424990305/","100 Barrow St, Unit PH")</f>
        <v>100 Barrow St, Unit PH</v>
      </c>
      <c r="B1828" s="2" t="str">
        <f>HYPERLINK("https://www.compass.com/building/100-barrow-manhattan-ny/292834978184618837/","100 Barrow")</f>
        <v>100 Barrow</v>
      </c>
      <c r="C1828" s="1" t="s">
        <v>67</v>
      </c>
      <c r="D1828" s="1" t="s">
        <v>41</v>
      </c>
      <c r="E1828" s="3">
        <v>14000000</v>
      </c>
      <c r="F1828" s="1">
        <v>4724.9409382382701</v>
      </c>
      <c r="G1828" s="1">
        <v>6</v>
      </c>
      <c r="H1828" s="1">
        <v>3</v>
      </c>
      <c r="I1828" s="1">
        <v>4</v>
      </c>
      <c r="J1828" s="1">
        <v>3.5</v>
      </c>
      <c r="M1828" s="4">
        <v>2963</v>
      </c>
      <c r="N1828" s="1">
        <v>8885</v>
      </c>
      <c r="O1828" s="1">
        <v>8885</v>
      </c>
      <c r="Q1828" s="1" t="s">
        <v>181</v>
      </c>
      <c r="S1828" s="1" t="s">
        <v>181</v>
      </c>
      <c r="T1828" s="1" t="s">
        <v>273</v>
      </c>
      <c r="V1828" s="5">
        <v>43670</v>
      </c>
      <c r="W1828" s="5">
        <v>42580</v>
      </c>
      <c r="X1828" s="1">
        <v>9809990</v>
      </c>
      <c r="Y1828" s="1">
        <v>9809990</v>
      </c>
      <c r="Z1828" s="5">
        <v>42580</v>
      </c>
      <c r="AA1828" s="1">
        <v>14000000</v>
      </c>
      <c r="AB1828" s="1" t="s">
        <v>275</v>
      </c>
      <c r="AC1828" s="5">
        <v>43181</v>
      </c>
      <c r="AF1828" s="1">
        <v>10014</v>
      </c>
      <c r="AI1828" s="1" t="s">
        <v>526</v>
      </c>
      <c r="AJ1828" s="1">
        <v>2015</v>
      </c>
      <c r="AK1828" s="1" t="s">
        <v>46</v>
      </c>
      <c r="AL1828" s="1">
        <v>33</v>
      </c>
    </row>
    <row r="1829" spans="1:38" x14ac:dyDescent="0.2">
      <c r="A1829" s="2" t="str">
        <f>HYPERLINK("https://www.compass.com/listing/100-barclay-street-unit-17m-manhattan-ny-10007/803308930037709529/","100 Barclay St, Unit 17M")</f>
        <v>100 Barclay St, Unit 17M</v>
      </c>
      <c r="B1829" s="2" t="str">
        <f>HYPERLINK("https://www.compass.com/building/100-barclay-manhattan-ny/281896670466155525/","100 Barclay")</f>
        <v>100 Barclay</v>
      </c>
      <c r="C1829" s="1" t="s">
        <v>50</v>
      </c>
      <c r="D1829" s="1" t="s">
        <v>41</v>
      </c>
      <c r="E1829" s="3">
        <v>975000</v>
      </c>
      <c r="F1829" s="1">
        <v>1993.86503067484</v>
      </c>
      <c r="G1829" s="1">
        <v>1</v>
      </c>
      <c r="H1829" s="1" t="s">
        <v>99</v>
      </c>
      <c r="I1829" s="1">
        <v>1</v>
      </c>
      <c r="J1829" s="1">
        <v>1</v>
      </c>
      <c r="K1829" s="1">
        <v>1</v>
      </c>
      <c r="M1829" s="1">
        <v>489</v>
      </c>
      <c r="N1829" s="1">
        <v>627</v>
      </c>
      <c r="O1829" s="1">
        <v>1227</v>
      </c>
      <c r="P1829" s="1">
        <v>600</v>
      </c>
      <c r="Q1829" s="1" t="s">
        <v>42</v>
      </c>
      <c r="S1829" s="1" t="s">
        <v>42</v>
      </c>
      <c r="T1829" s="1" t="s">
        <v>273</v>
      </c>
      <c r="U1829" s="1">
        <v>16</v>
      </c>
      <c r="V1829" s="5">
        <v>43020</v>
      </c>
      <c r="W1829" s="5">
        <v>42646</v>
      </c>
      <c r="X1829" s="1">
        <v>985000</v>
      </c>
      <c r="Y1829" s="1">
        <v>985000</v>
      </c>
      <c r="Z1829" s="5">
        <v>42663</v>
      </c>
      <c r="AA1829" s="1">
        <v>975000</v>
      </c>
      <c r="AB1829" s="1" t="s">
        <v>960</v>
      </c>
      <c r="AC1829" s="5">
        <v>42732</v>
      </c>
      <c r="AF1829" s="1">
        <v>10007</v>
      </c>
      <c r="AI1829" s="1" t="s">
        <v>52</v>
      </c>
      <c r="AJ1829" s="1">
        <v>1930</v>
      </c>
      <c r="AK1829" s="1" t="s">
        <v>46</v>
      </c>
      <c r="AL1829" s="1">
        <v>156</v>
      </c>
    </row>
    <row r="1830" spans="1:38" x14ac:dyDescent="0.2">
      <c r="A1830" s="2" t="str">
        <f>HYPERLINK("https://www.compass.com/listing/55-west-17th-street-unit-602-manhattan-ny-10011/391356448948370561/","55 W 17th St, Unit 602")</f>
        <v>55 W 17th St, Unit 602</v>
      </c>
      <c r="B1830" s="2" t="str">
        <f t="shared" ref="B1830:B1838" si="286">HYPERLINK("https://www.compass.com/building/55-w-17th-st-manhattan-ny-10011/281911689161499829/","55 W 17th St")</f>
        <v>55 W 17th St</v>
      </c>
      <c r="C1830" s="1" t="s">
        <v>56</v>
      </c>
      <c r="D1830" s="1" t="s">
        <v>41</v>
      </c>
      <c r="E1830" s="3">
        <v>1652100</v>
      </c>
      <c r="F1830" s="1">
        <v>2088.62199747155</v>
      </c>
      <c r="G1830" s="1">
        <v>3</v>
      </c>
      <c r="H1830" s="1">
        <v>1</v>
      </c>
      <c r="I1830" s="1">
        <v>1</v>
      </c>
      <c r="J1830" s="1">
        <v>1</v>
      </c>
      <c r="K1830" s="1">
        <v>1</v>
      </c>
      <c r="M1830" s="1">
        <v>791</v>
      </c>
      <c r="N1830" s="1">
        <v>981</v>
      </c>
      <c r="O1830" s="1">
        <v>2137</v>
      </c>
      <c r="P1830" s="1">
        <v>1156</v>
      </c>
      <c r="S1830" s="1" t="s">
        <v>42</v>
      </c>
      <c r="T1830" s="1" t="s">
        <v>273</v>
      </c>
      <c r="V1830" s="5">
        <v>44247</v>
      </c>
      <c r="AA1830" s="1">
        <v>1652100</v>
      </c>
      <c r="AB1830" s="1" t="s">
        <v>275</v>
      </c>
      <c r="AC1830" s="5">
        <v>43678</v>
      </c>
      <c r="AF1830" s="1">
        <v>10011</v>
      </c>
      <c r="AI1830" s="1" t="s">
        <v>952</v>
      </c>
      <c r="AJ1830" s="1">
        <v>2018</v>
      </c>
      <c r="AK1830" s="1" t="s">
        <v>55</v>
      </c>
      <c r="AL1830" s="1">
        <v>52</v>
      </c>
    </row>
    <row r="1831" spans="1:38" x14ac:dyDescent="0.2">
      <c r="A1831" s="2" t="str">
        <f>HYPERLINK("https://www.compass.com/listing/55-west-17th-street-unit-202-manhattan-ny-10011/391980911071087969/","55 W 17th St, Unit 202")</f>
        <v>55 W 17th St, Unit 202</v>
      </c>
      <c r="B1831" s="2" t="str">
        <f t="shared" si="286"/>
        <v>55 W 17th St</v>
      </c>
      <c r="C1831" s="1" t="s">
        <v>56</v>
      </c>
      <c r="D1831" s="1" t="s">
        <v>41</v>
      </c>
      <c r="E1831" s="3">
        <v>1522283</v>
      </c>
      <c r="F1831" s="1">
        <v>1931.8312182741099</v>
      </c>
      <c r="G1831" s="1">
        <v>3</v>
      </c>
      <c r="H1831" s="1">
        <v>1</v>
      </c>
      <c r="I1831" s="1">
        <v>1</v>
      </c>
      <c r="J1831" s="1">
        <v>1</v>
      </c>
      <c r="K1831" s="1">
        <v>1</v>
      </c>
      <c r="M1831" s="1">
        <v>788</v>
      </c>
      <c r="N1831" s="1">
        <v>974</v>
      </c>
      <c r="O1831" s="1">
        <v>2121</v>
      </c>
      <c r="P1831" s="1">
        <v>1147</v>
      </c>
      <c r="S1831" s="1" t="s">
        <v>42</v>
      </c>
      <c r="T1831" s="1" t="s">
        <v>273</v>
      </c>
      <c r="V1831" s="5">
        <v>44247</v>
      </c>
      <c r="AA1831" s="1">
        <v>1522283</v>
      </c>
      <c r="AB1831" s="1" t="s">
        <v>275</v>
      </c>
      <c r="AC1831" s="5">
        <v>43678</v>
      </c>
      <c r="AF1831" s="1">
        <v>10011</v>
      </c>
      <c r="AI1831" s="1" t="s">
        <v>952</v>
      </c>
      <c r="AJ1831" s="1">
        <v>2018</v>
      </c>
      <c r="AK1831" s="1" t="s">
        <v>55</v>
      </c>
      <c r="AL1831" s="1">
        <v>52</v>
      </c>
    </row>
    <row r="1832" spans="1:38" x14ac:dyDescent="0.2">
      <c r="A1832" s="2" t="str">
        <f>HYPERLINK("https://www.compass.com/listing/55-west-17th-street-unit-301-manhattan-ny-10011/392001793336430065/","55 W 17th St, Unit 301")</f>
        <v>55 W 17th St, Unit 301</v>
      </c>
      <c r="B1832" s="2" t="str">
        <f t="shared" si="286"/>
        <v>55 W 17th St</v>
      </c>
      <c r="C1832" s="1" t="s">
        <v>56</v>
      </c>
      <c r="D1832" s="1" t="s">
        <v>41</v>
      </c>
      <c r="E1832" s="3">
        <v>1575000</v>
      </c>
      <c r="F1832" s="1">
        <v>1810.3448275861999</v>
      </c>
      <c r="G1832" s="1">
        <v>3</v>
      </c>
      <c r="H1832" s="1">
        <v>1</v>
      </c>
      <c r="I1832" s="1">
        <v>1</v>
      </c>
      <c r="J1832" s="1">
        <v>1</v>
      </c>
      <c r="K1832" s="1">
        <v>1</v>
      </c>
      <c r="M1832" s="1">
        <v>870</v>
      </c>
      <c r="N1832" s="1">
        <v>1076</v>
      </c>
      <c r="O1832" s="1">
        <v>2344</v>
      </c>
      <c r="P1832" s="1">
        <v>1268</v>
      </c>
      <c r="S1832" s="1" t="s">
        <v>42</v>
      </c>
      <c r="T1832" s="1" t="s">
        <v>273</v>
      </c>
      <c r="V1832" s="5">
        <v>44247</v>
      </c>
      <c r="AA1832" s="1">
        <v>1575000</v>
      </c>
      <c r="AB1832" s="1" t="s">
        <v>275</v>
      </c>
      <c r="AC1832" s="5">
        <v>43678</v>
      </c>
      <c r="AF1832" s="1">
        <v>10011</v>
      </c>
      <c r="AI1832" s="1" t="s">
        <v>952</v>
      </c>
      <c r="AJ1832" s="1">
        <v>2018</v>
      </c>
      <c r="AK1832" s="1" t="s">
        <v>55</v>
      </c>
      <c r="AL1832" s="1">
        <v>52</v>
      </c>
    </row>
    <row r="1833" spans="1:38" x14ac:dyDescent="0.2">
      <c r="A1833" s="2" t="str">
        <f>HYPERLINK("https://www.compass.com/listing/55-west-17th-street-unit-502-manhattan-ny-10011/392019265280037169/","55 W 17th St, Unit 502")</f>
        <v>55 W 17th St, Unit 502</v>
      </c>
      <c r="B1833" s="2" t="str">
        <f t="shared" si="286"/>
        <v>55 W 17th St</v>
      </c>
      <c r="C1833" s="1" t="s">
        <v>56</v>
      </c>
      <c r="D1833" s="1" t="s">
        <v>41</v>
      </c>
      <c r="E1833" s="3">
        <v>1619007</v>
      </c>
      <c r="F1833" s="1">
        <v>2046.7850821744601</v>
      </c>
      <c r="G1833" s="1">
        <v>3</v>
      </c>
      <c r="H1833" s="1">
        <v>1</v>
      </c>
      <c r="I1833" s="1">
        <v>1</v>
      </c>
      <c r="J1833" s="1">
        <v>1</v>
      </c>
      <c r="K1833" s="1">
        <v>1</v>
      </c>
      <c r="M1833" s="1">
        <v>791</v>
      </c>
      <c r="N1833" s="1">
        <v>980</v>
      </c>
      <c r="O1833" s="1">
        <v>2135</v>
      </c>
      <c r="P1833" s="1">
        <v>1155</v>
      </c>
      <c r="S1833" s="1" t="s">
        <v>42</v>
      </c>
      <c r="T1833" s="1" t="s">
        <v>273</v>
      </c>
      <c r="V1833" s="5">
        <v>44247</v>
      </c>
      <c r="AA1833" s="1">
        <v>1619007</v>
      </c>
      <c r="AB1833" s="1" t="s">
        <v>275</v>
      </c>
      <c r="AC1833" s="5">
        <v>43678</v>
      </c>
      <c r="AF1833" s="1">
        <v>10011</v>
      </c>
      <c r="AI1833" s="1" t="s">
        <v>952</v>
      </c>
      <c r="AJ1833" s="1">
        <v>2018</v>
      </c>
      <c r="AK1833" s="1" t="s">
        <v>55</v>
      </c>
      <c r="AL1833" s="1">
        <v>52</v>
      </c>
    </row>
    <row r="1834" spans="1:38" x14ac:dyDescent="0.2">
      <c r="A1834" s="2" t="str">
        <f>HYPERLINK("https://www.compass.com/listing/55-west-17th-street-unit-302-manhattan-ny-10011/392043671599599617/","55 W 17th St, Unit 302")</f>
        <v>55 W 17th St, Unit 302</v>
      </c>
      <c r="B1834" s="2" t="str">
        <f t="shared" si="286"/>
        <v>55 W 17th St</v>
      </c>
      <c r="C1834" s="1" t="s">
        <v>56</v>
      </c>
      <c r="D1834" s="1" t="s">
        <v>41</v>
      </c>
      <c r="E1834" s="3">
        <v>1547729</v>
      </c>
      <c r="F1834" s="1">
        <v>1964.1230964466999</v>
      </c>
      <c r="H1834" s="1">
        <v>1</v>
      </c>
      <c r="I1834" s="1">
        <v>1</v>
      </c>
      <c r="J1834" s="1">
        <v>1</v>
      </c>
      <c r="K1834" s="1">
        <v>1</v>
      </c>
      <c r="M1834" s="1">
        <v>788</v>
      </c>
      <c r="N1834" s="1">
        <v>975</v>
      </c>
      <c r="O1834" s="1">
        <v>2123</v>
      </c>
      <c r="P1834" s="1">
        <v>1148</v>
      </c>
      <c r="S1834" s="1" t="s">
        <v>42</v>
      </c>
      <c r="T1834" s="1" t="s">
        <v>273</v>
      </c>
      <c r="V1834" s="5">
        <v>44247</v>
      </c>
      <c r="AA1834" s="1">
        <v>1547729</v>
      </c>
      <c r="AB1834" s="1" t="s">
        <v>275</v>
      </c>
      <c r="AC1834" s="5">
        <v>43679</v>
      </c>
      <c r="AF1834" s="1">
        <v>10011</v>
      </c>
      <c r="AI1834" s="1" t="s">
        <v>952</v>
      </c>
      <c r="AJ1834" s="1">
        <v>2018</v>
      </c>
      <c r="AK1834" s="1" t="s">
        <v>55</v>
      </c>
      <c r="AL1834" s="1">
        <v>52</v>
      </c>
    </row>
    <row r="1835" spans="1:38" x14ac:dyDescent="0.2">
      <c r="A1835" s="2" t="str">
        <f>HYPERLINK("https://www.compass.com/listing/55-west-17th-street-unit-403-manhattan-ny-10011/4811826944070917313/","55 W 17th St, Unit 403")</f>
        <v>55 W 17th St, Unit 403</v>
      </c>
      <c r="B1835" s="2" t="str">
        <f t="shared" si="286"/>
        <v>55 W 17th St</v>
      </c>
      <c r="C1835" s="1" t="s">
        <v>56</v>
      </c>
      <c r="D1835" s="1" t="s">
        <v>41</v>
      </c>
      <c r="E1835" s="3">
        <v>1598642</v>
      </c>
      <c r="F1835" s="1">
        <v>2028.7339086294401</v>
      </c>
      <c r="G1835" s="1">
        <v>3</v>
      </c>
      <c r="H1835" s="1">
        <v>1</v>
      </c>
      <c r="I1835" s="1">
        <v>1</v>
      </c>
      <c r="J1835" s="1">
        <v>1</v>
      </c>
      <c r="M1835" s="1">
        <v>788</v>
      </c>
      <c r="N1835" s="1">
        <v>976</v>
      </c>
      <c r="O1835" s="1">
        <v>2125</v>
      </c>
      <c r="P1835" s="1">
        <v>1149</v>
      </c>
      <c r="Q1835" s="1" t="s">
        <v>42</v>
      </c>
      <c r="S1835" s="1" t="s">
        <v>42</v>
      </c>
      <c r="T1835" s="1" t="s">
        <v>273</v>
      </c>
      <c r="U1835" s="1">
        <v>2</v>
      </c>
      <c r="V1835" s="5">
        <v>42879</v>
      </c>
      <c r="W1835" s="5">
        <v>42324</v>
      </c>
      <c r="X1835" s="1">
        <v>1544990</v>
      </c>
      <c r="Y1835" s="1">
        <v>1544990</v>
      </c>
      <c r="Z1835" s="5">
        <v>42326</v>
      </c>
      <c r="AA1835" s="1">
        <v>1598642.32</v>
      </c>
      <c r="AB1835" s="1" t="s">
        <v>966</v>
      </c>
      <c r="AC1835" s="5">
        <v>42838</v>
      </c>
      <c r="AF1835" s="1">
        <v>10011</v>
      </c>
      <c r="AI1835" s="1" t="s">
        <v>102</v>
      </c>
      <c r="AJ1835" s="1">
        <v>2018</v>
      </c>
      <c r="AK1835" s="1" t="s">
        <v>55</v>
      </c>
      <c r="AL1835" s="1">
        <v>52</v>
      </c>
    </row>
    <row r="1836" spans="1:38" x14ac:dyDescent="0.2">
      <c r="A1836" s="2" t="str">
        <f>HYPERLINK("https://www.compass.com/listing/55-west-17th-street-unit-402-manhattan-ny-10011/70922402439188385/","55 W 17th St, Unit 402")</f>
        <v>55 W 17th St, Unit 402</v>
      </c>
      <c r="B1836" s="2" t="str">
        <f t="shared" si="286"/>
        <v>55 W 17th St</v>
      </c>
      <c r="C1836" s="1" t="s">
        <v>56</v>
      </c>
      <c r="D1836" s="1" t="s">
        <v>41</v>
      </c>
      <c r="E1836" s="3">
        <v>1680102</v>
      </c>
      <c r="F1836" s="1">
        <v>1931.1520919540201</v>
      </c>
      <c r="G1836" s="1">
        <v>3</v>
      </c>
      <c r="H1836" s="1">
        <v>1</v>
      </c>
      <c r="I1836" s="1">
        <v>1</v>
      </c>
      <c r="J1836" s="1">
        <v>1</v>
      </c>
      <c r="M1836" s="1">
        <v>870</v>
      </c>
      <c r="N1836" s="1">
        <v>1077</v>
      </c>
      <c r="O1836" s="1">
        <v>2346</v>
      </c>
      <c r="P1836" s="1">
        <v>1269</v>
      </c>
      <c r="Q1836" s="1" t="s">
        <v>42</v>
      </c>
      <c r="S1836" s="1" t="s">
        <v>42</v>
      </c>
      <c r="T1836" s="1" t="s">
        <v>273</v>
      </c>
      <c r="U1836" s="1">
        <v>23</v>
      </c>
      <c r="V1836" s="5">
        <v>42879</v>
      </c>
      <c r="W1836" s="5">
        <v>42276</v>
      </c>
      <c r="X1836" s="1">
        <v>1649990</v>
      </c>
      <c r="Y1836" s="1">
        <v>1649990</v>
      </c>
      <c r="Z1836" s="5">
        <v>42300</v>
      </c>
      <c r="AA1836" s="1">
        <v>1680102.32</v>
      </c>
      <c r="AB1836" s="1" t="s">
        <v>855</v>
      </c>
      <c r="AC1836" s="5">
        <v>42843</v>
      </c>
      <c r="AF1836" s="1">
        <v>10011</v>
      </c>
      <c r="AI1836" s="1" t="s">
        <v>102</v>
      </c>
      <c r="AJ1836" s="1">
        <v>2018</v>
      </c>
      <c r="AK1836" s="1" t="s">
        <v>55</v>
      </c>
      <c r="AL1836" s="1">
        <v>52</v>
      </c>
    </row>
    <row r="1837" spans="1:38" x14ac:dyDescent="0.2">
      <c r="A1837" s="2" t="str">
        <f>HYPERLINK("https://www.compass.com/listing/55-west-17th-street-unit-202-manhattan-ny-10011/70929869030109537/","55 W 17th St, Unit 202")</f>
        <v>55 W 17th St, Unit 202</v>
      </c>
      <c r="B1837" s="2" t="str">
        <f t="shared" si="286"/>
        <v>55 W 17th St</v>
      </c>
      <c r="C1837" s="1" t="s">
        <v>56</v>
      </c>
      <c r="D1837" s="1" t="s">
        <v>41</v>
      </c>
      <c r="E1837" s="3">
        <v>1522284</v>
      </c>
      <c r="F1837" s="1">
        <v>1931.8321700507599</v>
      </c>
      <c r="G1837" s="1">
        <v>3</v>
      </c>
      <c r="H1837" s="1">
        <v>1</v>
      </c>
      <c r="I1837" s="1">
        <v>1</v>
      </c>
      <c r="J1837" s="1">
        <v>1</v>
      </c>
      <c r="M1837" s="1">
        <v>788</v>
      </c>
      <c r="N1837" s="1">
        <v>974</v>
      </c>
      <c r="O1837" s="1">
        <v>2121</v>
      </c>
      <c r="P1837" s="1">
        <v>1147</v>
      </c>
      <c r="Q1837" s="1" t="s">
        <v>42</v>
      </c>
      <c r="S1837" s="1" t="s">
        <v>42</v>
      </c>
      <c r="T1837" s="1" t="s">
        <v>273</v>
      </c>
      <c r="U1837" s="1">
        <v>506</v>
      </c>
      <c r="V1837" s="5">
        <v>43173</v>
      </c>
      <c r="W1837" s="5">
        <v>42324</v>
      </c>
      <c r="X1837" s="1">
        <v>1549990</v>
      </c>
      <c r="Y1837" s="1">
        <v>1549990</v>
      </c>
      <c r="AA1837" s="1">
        <v>1522283.75</v>
      </c>
      <c r="AB1837" s="1" t="s">
        <v>859</v>
      </c>
      <c r="AC1837" s="5">
        <v>42831</v>
      </c>
      <c r="AF1837" s="1">
        <v>10011</v>
      </c>
      <c r="AI1837" s="1" t="s">
        <v>102</v>
      </c>
      <c r="AJ1837" s="1">
        <v>2018</v>
      </c>
      <c r="AK1837" s="1" t="s">
        <v>108</v>
      </c>
      <c r="AL1837" s="1">
        <v>52</v>
      </c>
    </row>
    <row r="1838" spans="1:38" x14ac:dyDescent="0.2">
      <c r="A1838" s="2" t="str">
        <f>HYPERLINK("https://www.compass.com/listing/55-west-17th-street-unit-602-manhattan-ny-10011/803330172283122361/","55 W 17th St, Unit 602")</f>
        <v>55 W 17th St, Unit 602</v>
      </c>
      <c r="B1838" s="2" t="str">
        <f t="shared" si="286"/>
        <v>55 W 17th St</v>
      </c>
      <c r="C1838" s="1" t="s">
        <v>56</v>
      </c>
      <c r="D1838" s="1" t="s">
        <v>41</v>
      </c>
      <c r="E1838" s="3">
        <v>1652100</v>
      </c>
      <c r="F1838" s="1">
        <v>2088.6225410872298</v>
      </c>
      <c r="G1838" s="1">
        <v>3</v>
      </c>
      <c r="H1838" s="1">
        <v>1</v>
      </c>
      <c r="I1838" s="1">
        <v>1</v>
      </c>
      <c r="J1838" s="1">
        <v>1</v>
      </c>
      <c r="M1838" s="1">
        <v>791</v>
      </c>
      <c r="N1838" s="1">
        <v>981</v>
      </c>
      <c r="O1838" s="1">
        <v>2137</v>
      </c>
      <c r="P1838" s="1">
        <v>1156</v>
      </c>
      <c r="Q1838" s="1" t="s">
        <v>42</v>
      </c>
      <c r="S1838" s="1" t="s">
        <v>42</v>
      </c>
      <c r="T1838" s="1" t="s">
        <v>273</v>
      </c>
      <c r="U1838" s="1">
        <v>23</v>
      </c>
      <c r="V1838" s="5">
        <v>42879</v>
      </c>
      <c r="W1838" s="5">
        <v>42276</v>
      </c>
      <c r="X1838" s="1">
        <v>1594990</v>
      </c>
      <c r="Y1838" s="1">
        <v>1594990</v>
      </c>
      <c r="Z1838" s="5">
        <v>42300</v>
      </c>
      <c r="AA1838" s="1">
        <v>1652100.43</v>
      </c>
      <c r="AB1838" s="1" t="s">
        <v>849</v>
      </c>
      <c r="AC1838" s="5">
        <v>42843</v>
      </c>
      <c r="AF1838" s="1">
        <v>10011</v>
      </c>
      <c r="AI1838" s="1" t="s">
        <v>102</v>
      </c>
      <c r="AJ1838" s="1">
        <v>2018</v>
      </c>
      <c r="AK1838" s="1" t="s">
        <v>55</v>
      </c>
      <c r="AL1838" s="1">
        <v>52</v>
      </c>
    </row>
    <row r="1839" spans="1:38" x14ac:dyDescent="0.2">
      <c r="A1839" s="2" t="str">
        <f>HYPERLINK("https://www.compass.com/listing/175-west-10th-street-unit-ph-manhattan-ny-10014/801632390317599401/","175 W 10th St, Unit PH")</f>
        <v>175 W 10th St, Unit PH</v>
      </c>
      <c r="B1839" s="2" t="str">
        <f>HYPERLINK("https://www.compass.com/building/175-w-10th-st-manhattan-ny-10014/281930509993423093/","175 W 10th St")</f>
        <v>175 W 10th St</v>
      </c>
      <c r="C1839" s="1" t="s">
        <v>67</v>
      </c>
      <c r="D1839" s="1" t="s">
        <v>41</v>
      </c>
      <c r="E1839" s="3">
        <v>9500000</v>
      </c>
      <c r="F1839" s="1">
        <v>3115.7756641521801</v>
      </c>
      <c r="G1839" s="1">
        <v>5</v>
      </c>
      <c r="H1839" s="1">
        <v>3</v>
      </c>
      <c r="I1839" s="1">
        <v>3</v>
      </c>
      <c r="J1839" s="1">
        <v>3</v>
      </c>
      <c r="M1839" s="4">
        <v>3049</v>
      </c>
      <c r="N1839" s="1">
        <v>4223</v>
      </c>
      <c r="O1839" s="1">
        <v>7721</v>
      </c>
      <c r="P1839" s="1">
        <v>3498</v>
      </c>
      <c r="Q1839" s="1" t="s">
        <v>42</v>
      </c>
      <c r="S1839" s="1" t="s">
        <v>42</v>
      </c>
      <c r="T1839" s="1" t="s">
        <v>273</v>
      </c>
      <c r="U1839" s="1">
        <v>1</v>
      </c>
      <c r="V1839" s="5">
        <v>43012</v>
      </c>
      <c r="W1839" s="5">
        <v>42503</v>
      </c>
      <c r="X1839" s="1">
        <v>9995000</v>
      </c>
      <c r="Y1839" s="1">
        <v>9995000</v>
      </c>
      <c r="Z1839" s="5">
        <v>42504</v>
      </c>
      <c r="AA1839" s="1">
        <v>9500000</v>
      </c>
      <c r="AB1839" s="1" t="s">
        <v>967</v>
      </c>
      <c r="AC1839" s="5">
        <v>43069</v>
      </c>
      <c r="AF1839" s="1">
        <v>10014</v>
      </c>
      <c r="AI1839" s="1" t="s">
        <v>767</v>
      </c>
      <c r="AJ1839" s="1">
        <v>2016</v>
      </c>
      <c r="AK1839" s="1" t="s">
        <v>70</v>
      </c>
      <c r="AL1839" s="1">
        <v>5</v>
      </c>
    </row>
    <row r="1840" spans="1:38" x14ac:dyDescent="0.2">
      <c r="A1840" s="2" t="str">
        <f>HYPERLINK("https://www.compass.com/listing/241-west-107th-street-unit-ph-manhattan-ny-10025/29430957094254577/","241 W 107th St, Unit PH")</f>
        <v>241 W 107th St, Unit PH</v>
      </c>
      <c r="B1840" s="2" t="str">
        <f>HYPERLINK("https://www.compass.com/building/241-w-107th-st-manhattan-ny-10025/281969820646330101/","241 W 107th St")</f>
        <v>241 W 107th St</v>
      </c>
      <c r="C1840" s="1" t="s">
        <v>57</v>
      </c>
      <c r="D1840" s="1" t="s">
        <v>41</v>
      </c>
      <c r="E1840" s="3">
        <v>3000000</v>
      </c>
      <c r="F1840" s="1">
        <v>1606.8559185859599</v>
      </c>
      <c r="G1840" s="1">
        <v>8</v>
      </c>
      <c r="H1840" s="1">
        <v>4</v>
      </c>
      <c r="I1840" s="1">
        <v>3</v>
      </c>
      <c r="J1840" s="1">
        <v>3</v>
      </c>
      <c r="M1840" s="4">
        <v>1867</v>
      </c>
      <c r="N1840" s="1">
        <v>1518</v>
      </c>
      <c r="O1840" s="1">
        <v>2604</v>
      </c>
      <c r="P1840" s="1">
        <v>1086</v>
      </c>
      <c r="Q1840" s="1" t="s">
        <v>42</v>
      </c>
      <c r="S1840" s="1" t="s">
        <v>42</v>
      </c>
      <c r="T1840" s="1" t="s">
        <v>273</v>
      </c>
      <c r="U1840" s="1">
        <v>100</v>
      </c>
      <c r="V1840" s="5">
        <v>43665</v>
      </c>
      <c r="W1840" s="5">
        <v>41963</v>
      </c>
      <c r="X1840" s="1">
        <v>3150000</v>
      </c>
      <c r="Y1840" s="1">
        <v>3150000</v>
      </c>
      <c r="Z1840" s="5">
        <v>42063</v>
      </c>
      <c r="AA1840" s="1">
        <v>3000000</v>
      </c>
      <c r="AB1840" s="1" t="s">
        <v>968</v>
      </c>
      <c r="AC1840" s="5">
        <v>42321</v>
      </c>
      <c r="AF1840" s="1">
        <v>10025</v>
      </c>
      <c r="AI1840" s="1" t="s">
        <v>969</v>
      </c>
      <c r="AJ1840" s="1">
        <v>2014</v>
      </c>
      <c r="AL1840" s="1">
        <v>6</v>
      </c>
    </row>
    <row r="1841" spans="1:38" x14ac:dyDescent="0.2">
      <c r="A1841" s="2" t="str">
        <f>HYPERLINK("https://www.compass.com/listing/100-barrow-street-unit-3a-manhattan-ny-10014/391342875878503985/","100 Barrow St, Unit 3A")</f>
        <v>100 Barrow St, Unit 3A</v>
      </c>
      <c r="B1841" s="2" t="str">
        <f t="shared" ref="B1841:B1844" si="287">HYPERLINK("https://www.compass.com/building/100-barrow-manhattan-ny/292834978184618837/","100 Barrow")</f>
        <v>100 Barrow</v>
      </c>
      <c r="C1841" s="1" t="s">
        <v>67</v>
      </c>
      <c r="D1841" s="1" t="s">
        <v>41</v>
      </c>
      <c r="E1841" s="3">
        <v>3253000</v>
      </c>
      <c r="F1841" s="1">
        <v>1832.6760563380201</v>
      </c>
      <c r="H1841" s="1">
        <v>2</v>
      </c>
      <c r="J1841" s="1">
        <v>2.5</v>
      </c>
      <c r="M1841" s="4">
        <v>1775</v>
      </c>
      <c r="N1841" s="1">
        <v>4720</v>
      </c>
      <c r="O1841" s="1">
        <v>4720</v>
      </c>
      <c r="S1841" s="1" t="s">
        <v>181</v>
      </c>
      <c r="T1841" s="1" t="s">
        <v>273</v>
      </c>
      <c r="V1841" s="5">
        <v>44247</v>
      </c>
      <c r="AA1841" s="1">
        <v>3253000</v>
      </c>
      <c r="AB1841" s="1" t="s">
        <v>275</v>
      </c>
      <c r="AC1841" s="5">
        <v>43679</v>
      </c>
      <c r="AF1841" s="1">
        <v>10014</v>
      </c>
      <c r="AJ1841" s="1">
        <v>2015</v>
      </c>
      <c r="AK1841" s="1" t="s">
        <v>202</v>
      </c>
      <c r="AL1841" s="1">
        <v>33</v>
      </c>
    </row>
    <row r="1842" spans="1:38" x14ac:dyDescent="0.2">
      <c r="A1842" s="2" t="str">
        <f>HYPERLINK("https://www.compass.com/listing/100-barrow-street-unit-4d-manhattan-ny-10014/391841759474238401/","100 Barrow St, Unit 4D")</f>
        <v>100 Barrow St, Unit 4D</v>
      </c>
      <c r="B1842" s="2" t="str">
        <f t="shared" si="287"/>
        <v>100 Barrow</v>
      </c>
      <c r="C1842" s="1" t="s">
        <v>67</v>
      </c>
      <c r="D1842" s="1" t="s">
        <v>41</v>
      </c>
      <c r="E1842" s="3">
        <v>3372000</v>
      </c>
      <c r="F1842" s="1">
        <v>1892.2558922558901</v>
      </c>
      <c r="H1842" s="1">
        <v>2</v>
      </c>
      <c r="J1842" s="1">
        <v>2.5</v>
      </c>
      <c r="M1842" s="4">
        <v>1782</v>
      </c>
      <c r="N1842" s="1">
        <v>4796</v>
      </c>
      <c r="O1842" s="1">
        <v>4796</v>
      </c>
      <c r="S1842" s="1" t="s">
        <v>181</v>
      </c>
      <c r="T1842" s="1" t="s">
        <v>273</v>
      </c>
      <c r="V1842" s="5">
        <v>43792</v>
      </c>
      <c r="AA1842" s="1">
        <v>3372000</v>
      </c>
      <c r="AB1842" s="1" t="s">
        <v>275</v>
      </c>
      <c r="AC1842" s="5">
        <v>43679</v>
      </c>
      <c r="AF1842" s="1">
        <v>10014</v>
      </c>
      <c r="AJ1842" s="1">
        <v>2015</v>
      </c>
      <c r="AK1842" s="1" t="s">
        <v>202</v>
      </c>
      <c r="AL1842" s="1">
        <v>33</v>
      </c>
    </row>
    <row r="1843" spans="1:38" x14ac:dyDescent="0.2">
      <c r="A1843" s="2" t="str">
        <f>HYPERLINK("https://www.compass.com/listing/100-barrow-street-unit-5a-manhattan-ny-10014/391909109049214401/","100 Barrow St, Unit 5A")</f>
        <v>100 Barrow St, Unit 5A</v>
      </c>
      <c r="B1843" s="2" t="str">
        <f t="shared" si="287"/>
        <v>100 Barrow</v>
      </c>
      <c r="C1843" s="1" t="s">
        <v>67</v>
      </c>
      <c r="D1843" s="1" t="s">
        <v>41</v>
      </c>
      <c r="E1843" s="3">
        <v>3200000</v>
      </c>
      <c r="F1843" s="1">
        <v>1770.89097952407</v>
      </c>
      <c r="H1843" s="1">
        <v>2</v>
      </c>
      <c r="J1843" s="1">
        <v>2.5</v>
      </c>
      <c r="M1843" s="4">
        <v>1807</v>
      </c>
      <c r="N1843" s="1">
        <v>4918</v>
      </c>
      <c r="O1843" s="1">
        <v>4918</v>
      </c>
      <c r="S1843" s="1" t="s">
        <v>181</v>
      </c>
      <c r="T1843" s="1" t="s">
        <v>273</v>
      </c>
      <c r="V1843" s="5">
        <v>44247</v>
      </c>
      <c r="AA1843" s="1">
        <v>3200000</v>
      </c>
      <c r="AB1843" s="1" t="s">
        <v>275</v>
      </c>
      <c r="AC1843" s="5">
        <v>43679</v>
      </c>
      <c r="AF1843" s="1">
        <v>10014</v>
      </c>
      <c r="AJ1843" s="1">
        <v>2015</v>
      </c>
      <c r="AK1843" s="1" t="s">
        <v>202</v>
      </c>
      <c r="AL1843" s="1">
        <v>33</v>
      </c>
    </row>
    <row r="1844" spans="1:38" x14ac:dyDescent="0.2">
      <c r="A1844" s="2" t="str">
        <f>HYPERLINK("https://www.compass.com/listing/100-barrow-street-unit-6a-manhattan-ny-10014/391915490632418865/","100 Barrow St, Unit 6A")</f>
        <v>100 Barrow St, Unit 6A</v>
      </c>
      <c r="B1844" s="2" t="str">
        <f t="shared" si="287"/>
        <v>100 Barrow</v>
      </c>
      <c r="C1844" s="1" t="s">
        <v>67</v>
      </c>
      <c r="D1844" s="1" t="s">
        <v>41</v>
      </c>
      <c r="E1844" s="3">
        <v>3228000</v>
      </c>
      <c r="F1844" s="1">
        <v>1786.3862755949001</v>
      </c>
      <c r="H1844" s="1">
        <v>2</v>
      </c>
      <c r="J1844" s="1">
        <v>2.5</v>
      </c>
      <c r="M1844" s="4">
        <v>1807</v>
      </c>
      <c r="S1844" s="1" t="s">
        <v>181</v>
      </c>
      <c r="T1844" s="1" t="s">
        <v>273</v>
      </c>
      <c r="V1844" s="5">
        <v>44247</v>
      </c>
      <c r="AA1844" s="1">
        <v>3228000</v>
      </c>
      <c r="AB1844" s="1" t="s">
        <v>275</v>
      </c>
      <c r="AC1844" s="5">
        <v>43679</v>
      </c>
      <c r="AF1844" s="1">
        <v>10014</v>
      </c>
      <c r="AJ1844" s="1">
        <v>2015</v>
      </c>
      <c r="AK1844" s="1" t="s">
        <v>202</v>
      </c>
      <c r="AL1844" s="1">
        <v>33</v>
      </c>
    </row>
    <row r="1845" spans="1:38" x14ac:dyDescent="0.2">
      <c r="A1845" s="2" t="str">
        <f>HYPERLINK("https://www.compass.com/listing/45-east-22nd-street-unit-24a-manhattan-ny-10010/29375856648417521/","45 E 22nd St, Unit 24A")</f>
        <v>45 E 22nd St, Unit 24A</v>
      </c>
      <c r="B1845" s="2" t="str">
        <f t="shared" ref="B1845:B1846" si="288">HYPERLINK("https://www.compass.com/building/madison-square-park-tower-manhattan-ny/281903584482705973/","Madison Square Park Tower")</f>
        <v>Madison Square Park Tower</v>
      </c>
      <c r="C1845" s="1" t="s">
        <v>56</v>
      </c>
      <c r="D1845" s="1" t="s">
        <v>41</v>
      </c>
      <c r="E1845" s="3">
        <v>6506269</v>
      </c>
      <c r="F1845" s="1">
        <v>2949.3513145965499</v>
      </c>
      <c r="G1845" s="1">
        <v>5</v>
      </c>
      <c r="H1845" s="1">
        <v>3</v>
      </c>
      <c r="I1845" s="1">
        <v>3</v>
      </c>
      <c r="J1845" s="1">
        <v>3</v>
      </c>
      <c r="K1845" s="1">
        <v>3</v>
      </c>
      <c r="M1845" s="4">
        <v>2206</v>
      </c>
      <c r="N1845" s="1">
        <v>2484</v>
      </c>
      <c r="O1845" s="1">
        <v>6260</v>
      </c>
      <c r="P1845" s="1">
        <v>3776</v>
      </c>
      <c r="Q1845" s="1" t="s">
        <v>42</v>
      </c>
      <c r="S1845" s="1" t="s">
        <v>42</v>
      </c>
      <c r="T1845" s="1" t="s">
        <v>273</v>
      </c>
      <c r="V1845" s="5">
        <v>43650</v>
      </c>
      <c r="W1845" s="5">
        <v>42119</v>
      </c>
      <c r="X1845" s="1">
        <v>6360000</v>
      </c>
      <c r="Y1845" s="1">
        <v>6360000</v>
      </c>
      <c r="Z1845" s="5">
        <v>42119</v>
      </c>
      <c r="AA1845" s="1">
        <v>6506269</v>
      </c>
      <c r="AB1845" s="1" t="s">
        <v>970</v>
      </c>
      <c r="AC1845" s="5">
        <v>42964</v>
      </c>
      <c r="AF1845" s="1">
        <v>10010</v>
      </c>
      <c r="AI1845" s="1" t="s">
        <v>48</v>
      </c>
      <c r="AJ1845" s="1">
        <v>2016</v>
      </c>
      <c r="AK1845" s="1" t="s">
        <v>46</v>
      </c>
      <c r="AL1845" s="1">
        <v>83</v>
      </c>
    </row>
    <row r="1846" spans="1:38" x14ac:dyDescent="0.2">
      <c r="A1846" s="2" t="str">
        <f>HYPERLINK("https://www.compass.com/listing/45-east-22nd-street-unit-23a-manhattan-ny-10010/803385620135339585/","45 E 22nd St, Unit 23A")</f>
        <v>45 E 22nd St, Unit 23A</v>
      </c>
      <c r="B1846" s="2" t="str">
        <f t="shared" si="288"/>
        <v>Madison Square Park Tower</v>
      </c>
      <c r="C1846" s="1" t="s">
        <v>56</v>
      </c>
      <c r="D1846" s="1" t="s">
        <v>41</v>
      </c>
      <c r="E1846" s="3">
        <v>6801242</v>
      </c>
      <c r="F1846" s="1">
        <v>3101.3416780665698</v>
      </c>
      <c r="G1846" s="1">
        <v>5</v>
      </c>
      <c r="H1846" s="1">
        <v>3</v>
      </c>
      <c r="I1846" s="1">
        <v>3</v>
      </c>
      <c r="J1846" s="1">
        <v>3</v>
      </c>
      <c r="K1846" s="1">
        <v>3</v>
      </c>
      <c r="M1846" s="4">
        <v>2193</v>
      </c>
      <c r="N1846" s="1">
        <v>2457</v>
      </c>
      <c r="O1846" s="1">
        <v>6193</v>
      </c>
      <c r="P1846" s="1">
        <v>3736</v>
      </c>
      <c r="Q1846" s="1" t="s">
        <v>42</v>
      </c>
      <c r="S1846" s="1" t="s">
        <v>42</v>
      </c>
      <c r="T1846" s="1" t="s">
        <v>273</v>
      </c>
      <c r="V1846" s="5">
        <v>43130</v>
      </c>
      <c r="W1846" s="5">
        <v>42902</v>
      </c>
      <c r="X1846" s="1">
        <v>6650000</v>
      </c>
      <c r="Y1846" s="1">
        <v>6650000</v>
      </c>
      <c r="Z1846" s="5">
        <v>42432</v>
      </c>
      <c r="AA1846" s="1">
        <v>6801242.2999999998</v>
      </c>
      <c r="AB1846" s="1" t="s">
        <v>959</v>
      </c>
      <c r="AC1846" s="5">
        <v>42950</v>
      </c>
      <c r="AF1846" s="1">
        <v>10010</v>
      </c>
      <c r="AI1846" s="1" t="s">
        <v>48</v>
      </c>
      <c r="AJ1846" s="1">
        <v>2016</v>
      </c>
      <c r="AK1846" s="1" t="s">
        <v>46</v>
      </c>
      <c r="AL1846" s="1">
        <v>83</v>
      </c>
    </row>
    <row r="1847" spans="1:38" x14ac:dyDescent="0.2">
      <c r="A1847" s="2" t="str">
        <f>HYPERLINK("https://www.compass.com/listing/100-barrow-street-unit-2a-manhattan-ny-10014/391340879264103121/","100 Barrow St, Unit 2A")</f>
        <v>100 Barrow St, Unit 2A</v>
      </c>
      <c r="B1847" s="2" t="str">
        <f>HYPERLINK("https://www.compass.com/building/100-barrow-manhattan-ny/292834978184618837/","100 Barrow")</f>
        <v>100 Barrow</v>
      </c>
      <c r="C1847" s="1" t="s">
        <v>67</v>
      </c>
      <c r="D1847" s="1" t="s">
        <v>41</v>
      </c>
      <c r="E1847" s="3">
        <v>2900000</v>
      </c>
      <c r="F1847" s="1">
        <v>1576.0869565217299</v>
      </c>
      <c r="H1847" s="1">
        <v>2</v>
      </c>
      <c r="J1847" s="1">
        <v>2.5</v>
      </c>
      <c r="M1847" s="4">
        <v>1840</v>
      </c>
      <c r="N1847" s="1">
        <v>4829</v>
      </c>
      <c r="O1847" s="1">
        <v>4829</v>
      </c>
      <c r="S1847" s="1" t="s">
        <v>181</v>
      </c>
      <c r="T1847" s="1" t="s">
        <v>273</v>
      </c>
      <c r="V1847" s="5">
        <v>44247</v>
      </c>
      <c r="AA1847" s="1">
        <v>2900000</v>
      </c>
      <c r="AB1847" s="1" t="s">
        <v>275</v>
      </c>
      <c r="AC1847" s="5">
        <v>43679</v>
      </c>
      <c r="AF1847" s="1">
        <v>10014</v>
      </c>
      <c r="AI1847" s="1" t="s">
        <v>54</v>
      </c>
      <c r="AJ1847" s="1">
        <v>2015</v>
      </c>
      <c r="AK1847" s="1" t="s">
        <v>202</v>
      </c>
      <c r="AL1847" s="1">
        <v>33</v>
      </c>
    </row>
    <row r="1848" spans="1:38" x14ac:dyDescent="0.2">
      <c r="A1848" s="2" t="str">
        <f>HYPERLINK("https://www.compass.com/listing/55-west-17th-street-unit-1602-manhattan-ny-10011/70929861354529233/","55 W 17th St, Unit 1602")</f>
        <v>55 W 17th St, Unit 1602</v>
      </c>
      <c r="B1848" s="2" t="str">
        <f>HYPERLINK("https://www.compass.com/building/55-w-17th-st-manhattan-ny-10011/281911689161499829/","55 W 17th St")</f>
        <v>55 W 17th St</v>
      </c>
      <c r="C1848" s="1" t="s">
        <v>56</v>
      </c>
      <c r="D1848" s="1" t="s">
        <v>41</v>
      </c>
      <c r="E1848" s="3">
        <v>4100000</v>
      </c>
      <c r="F1848" s="1">
        <v>2337.5142531356901</v>
      </c>
      <c r="G1848" s="1">
        <v>4</v>
      </c>
      <c r="H1848" s="1">
        <v>2</v>
      </c>
      <c r="I1848" s="1">
        <v>2</v>
      </c>
      <c r="J1848" s="1">
        <v>2</v>
      </c>
      <c r="M1848" s="4">
        <v>1754</v>
      </c>
      <c r="N1848" s="1">
        <v>2198</v>
      </c>
      <c r="O1848" s="1">
        <v>4787</v>
      </c>
      <c r="P1848" s="1">
        <v>2589</v>
      </c>
      <c r="Q1848" s="1" t="s">
        <v>42</v>
      </c>
      <c r="S1848" s="1" t="s">
        <v>42</v>
      </c>
      <c r="T1848" s="1" t="s">
        <v>273</v>
      </c>
      <c r="U1848" s="1">
        <v>658</v>
      </c>
      <c r="V1848" s="5">
        <v>43173</v>
      </c>
      <c r="W1848" s="5">
        <v>42313</v>
      </c>
      <c r="X1848" s="1">
        <v>4294990</v>
      </c>
      <c r="Y1848" s="1">
        <v>4294990</v>
      </c>
      <c r="AA1848" s="1">
        <v>4100000</v>
      </c>
      <c r="AB1848" s="1" t="s">
        <v>936</v>
      </c>
      <c r="AC1848" s="5">
        <v>42972</v>
      </c>
      <c r="AF1848" s="1">
        <v>10011</v>
      </c>
      <c r="AI1848" s="1" t="s">
        <v>102</v>
      </c>
      <c r="AJ1848" s="1">
        <v>2018</v>
      </c>
      <c r="AK1848" s="1" t="s">
        <v>108</v>
      </c>
      <c r="AL1848" s="1">
        <v>52</v>
      </c>
    </row>
    <row r="1849" spans="1:38" x14ac:dyDescent="0.2">
      <c r="A1849" s="2" t="str">
        <f>HYPERLINK("https://www.compass.com/listing/270-riverside-drive-unit-12d-manhattan-ny-10025/29431405649981409/","270 Riverside Dr, Unit 12D")</f>
        <v>270 Riverside Dr, Unit 12D</v>
      </c>
      <c r="B1849" s="2" t="str">
        <f>HYPERLINK("https://www.compass.com/building/270-riverside-dr-manhattan-ny-10025/281970283991095285/","270 Riverside Dr")</f>
        <v>270 Riverside Dr</v>
      </c>
      <c r="C1849" s="1" t="s">
        <v>57</v>
      </c>
      <c r="D1849" s="1" t="s">
        <v>41</v>
      </c>
      <c r="E1849" s="3">
        <v>3462050</v>
      </c>
      <c r="F1849" s="1">
        <v>1722.41293532338</v>
      </c>
      <c r="G1849" s="1">
        <v>6</v>
      </c>
      <c r="H1849" s="1">
        <v>2</v>
      </c>
      <c r="I1849" s="1">
        <v>3</v>
      </c>
      <c r="J1849" s="1">
        <v>3</v>
      </c>
      <c r="K1849" s="1">
        <v>3</v>
      </c>
      <c r="M1849" s="4">
        <v>2010</v>
      </c>
      <c r="N1849" s="1">
        <v>2341</v>
      </c>
      <c r="O1849" s="1">
        <v>3531</v>
      </c>
      <c r="P1849" s="1">
        <v>1190</v>
      </c>
      <c r="Q1849" s="1" t="s">
        <v>42</v>
      </c>
      <c r="S1849" s="1" t="s">
        <v>42</v>
      </c>
      <c r="T1849" s="1" t="s">
        <v>273</v>
      </c>
      <c r="U1849" s="1">
        <v>124</v>
      </c>
      <c r="V1849" s="5">
        <v>43663</v>
      </c>
      <c r="W1849" s="5">
        <v>42496</v>
      </c>
      <c r="X1849" s="1">
        <v>3595000</v>
      </c>
      <c r="Y1849" s="1">
        <v>3595000</v>
      </c>
      <c r="Z1849" s="5">
        <v>42620</v>
      </c>
      <c r="AA1849" s="1">
        <v>3462050</v>
      </c>
      <c r="AB1849" s="1" t="s">
        <v>971</v>
      </c>
      <c r="AC1849" s="5">
        <v>42767</v>
      </c>
      <c r="AF1849" s="1">
        <v>10025</v>
      </c>
      <c r="AJ1849" s="1">
        <v>1920</v>
      </c>
      <c r="AK1849" s="1" t="s">
        <v>215</v>
      </c>
      <c r="AL1849" s="1">
        <v>57</v>
      </c>
    </row>
    <row r="1850" spans="1:38" x14ac:dyDescent="0.2">
      <c r="A1850" s="2" t="str">
        <f>HYPERLINK("https://www.compass.com/listing/100-barclay-street-unit-25d-manhattan-ny-10007/843916910946628889/","100 Barclay St, Unit 25D")</f>
        <v>100 Barclay St, Unit 25D</v>
      </c>
      <c r="B1850" s="2" t="str">
        <f>HYPERLINK("https://www.compass.com/building/100-barclay-manhattan-ny/281896670466155525/","100 Barclay")</f>
        <v>100 Barclay</v>
      </c>
      <c r="C1850" s="1" t="s">
        <v>50</v>
      </c>
      <c r="D1850" s="1" t="s">
        <v>41</v>
      </c>
      <c r="E1850" s="3">
        <v>4497500</v>
      </c>
      <c r="F1850" s="1">
        <v>1923.6526946107699</v>
      </c>
      <c r="H1850" s="1">
        <v>3</v>
      </c>
      <c r="J1850" s="1">
        <v>3.5</v>
      </c>
      <c r="K1850" s="1">
        <v>3</v>
      </c>
      <c r="L1850" s="1">
        <v>1</v>
      </c>
      <c r="M1850" s="4">
        <v>2338</v>
      </c>
      <c r="N1850" s="1">
        <v>3408</v>
      </c>
      <c r="O1850" s="1">
        <v>7173</v>
      </c>
      <c r="P1850" s="1">
        <v>3765</v>
      </c>
      <c r="Q1850" s="1" t="s">
        <v>42</v>
      </c>
      <c r="S1850" s="1" t="s">
        <v>42</v>
      </c>
      <c r="T1850" s="1" t="s">
        <v>273</v>
      </c>
      <c r="AA1850" s="1">
        <v>4497500</v>
      </c>
      <c r="AB1850" s="1" t="s">
        <v>972</v>
      </c>
      <c r="AC1850" s="5">
        <v>44358</v>
      </c>
      <c r="AF1850" s="1">
        <v>10007</v>
      </c>
      <c r="AI1850" s="1" t="s">
        <v>52</v>
      </c>
      <c r="AJ1850" s="1">
        <v>1930</v>
      </c>
      <c r="AK1850" s="1" t="s">
        <v>49</v>
      </c>
      <c r="AL1850" s="1">
        <v>156</v>
      </c>
    </row>
    <row r="1851" spans="1:38" x14ac:dyDescent="0.2">
      <c r="A1851" s="2" t="str">
        <f>HYPERLINK("https://www.compass.com/listing/601-washington-street-unit-3e-manhattan-ny-10014/349146512726212801/","601 Washington St, Unit 3E")</f>
        <v>601 Washington St, Unit 3E</v>
      </c>
      <c r="B1851" s="2" t="str">
        <f t="shared" ref="B1851:B1854" si="289">HYPERLINK("https://www.compass.com/building/601-washington-st-manhattan-ny-10014/281934908392260869/","601 Washington St")</f>
        <v>601 Washington St</v>
      </c>
      <c r="C1851" s="1" t="s">
        <v>67</v>
      </c>
      <c r="D1851" s="1" t="s">
        <v>41</v>
      </c>
      <c r="E1851" s="3">
        <v>8250000</v>
      </c>
      <c r="F1851" s="1">
        <v>2750</v>
      </c>
      <c r="G1851" s="1">
        <v>5</v>
      </c>
      <c r="H1851" s="1">
        <v>3</v>
      </c>
      <c r="I1851" s="1">
        <v>4</v>
      </c>
      <c r="J1851" s="1">
        <v>3.5</v>
      </c>
      <c r="K1851" s="1">
        <v>3</v>
      </c>
      <c r="L1851" s="1">
        <v>1</v>
      </c>
      <c r="M1851" s="4">
        <v>3000</v>
      </c>
      <c r="N1851" s="1">
        <v>2654</v>
      </c>
      <c r="O1851" s="1">
        <v>6694</v>
      </c>
      <c r="P1851" s="1">
        <v>4040</v>
      </c>
      <c r="Q1851" s="1" t="s">
        <v>42</v>
      </c>
      <c r="S1851" s="1" t="s">
        <v>42</v>
      </c>
      <c r="T1851" s="1" t="s">
        <v>273</v>
      </c>
      <c r="U1851" s="1">
        <v>269</v>
      </c>
      <c r="V1851" s="5">
        <v>44427</v>
      </c>
      <c r="W1851" s="5">
        <v>43732</v>
      </c>
      <c r="X1851" s="1">
        <v>8250000</v>
      </c>
      <c r="Y1851" s="1">
        <v>8250000</v>
      </c>
      <c r="Z1851" s="5">
        <v>44095</v>
      </c>
      <c r="AA1851" s="1">
        <v>8250000</v>
      </c>
      <c r="AB1851" s="1" t="s">
        <v>275</v>
      </c>
      <c r="AC1851" s="5">
        <v>44258</v>
      </c>
      <c r="AF1851" s="1">
        <v>10014</v>
      </c>
      <c r="AI1851" s="1" t="s">
        <v>973</v>
      </c>
      <c r="AJ1851" s="1">
        <v>2015</v>
      </c>
      <c r="AK1851" s="1" t="s">
        <v>55</v>
      </c>
      <c r="AL1851" s="1">
        <v>8</v>
      </c>
    </row>
    <row r="1852" spans="1:38" x14ac:dyDescent="0.2">
      <c r="A1852" s="2" t="str">
        <f>HYPERLINK("https://www.compass.com/listing/601-washington-street-unit-4e-manhattan-ny-10014/447109328374556225/","601 Washington St, Unit 4E")</f>
        <v>601 Washington St, Unit 4E</v>
      </c>
      <c r="B1852" s="2" t="str">
        <f t="shared" si="289"/>
        <v>601 Washington St</v>
      </c>
      <c r="C1852" s="1" t="s">
        <v>67</v>
      </c>
      <c r="D1852" s="1" t="s">
        <v>41</v>
      </c>
      <c r="E1852" s="3">
        <v>7800000</v>
      </c>
      <c r="F1852" s="1">
        <v>2600</v>
      </c>
      <c r="G1852" s="1">
        <v>5</v>
      </c>
      <c r="H1852" s="1">
        <v>3</v>
      </c>
      <c r="I1852" s="1">
        <v>4</v>
      </c>
      <c r="J1852" s="1">
        <v>3.5</v>
      </c>
      <c r="K1852" s="1">
        <v>3</v>
      </c>
      <c r="L1852" s="1">
        <v>1</v>
      </c>
      <c r="M1852" s="4">
        <v>3000</v>
      </c>
      <c r="N1852" s="1">
        <v>2737</v>
      </c>
      <c r="O1852" s="1">
        <v>6913</v>
      </c>
      <c r="P1852" s="1">
        <v>4176</v>
      </c>
      <c r="Q1852" s="1" t="s">
        <v>42</v>
      </c>
      <c r="S1852" s="1" t="s">
        <v>42</v>
      </c>
      <c r="T1852" s="1" t="s">
        <v>273</v>
      </c>
      <c r="V1852" s="5">
        <v>44314</v>
      </c>
      <c r="W1852" s="5">
        <v>43868</v>
      </c>
      <c r="X1852" s="1">
        <v>8400000</v>
      </c>
      <c r="Y1852" s="1">
        <v>8400000</v>
      </c>
      <c r="Z1852" s="5">
        <v>43869</v>
      </c>
      <c r="AA1852" s="1">
        <v>7800000</v>
      </c>
      <c r="AB1852" s="1" t="s">
        <v>974</v>
      </c>
      <c r="AC1852" s="5">
        <v>44237</v>
      </c>
      <c r="AF1852" s="1">
        <v>10014</v>
      </c>
      <c r="AI1852" s="1" t="s">
        <v>973</v>
      </c>
      <c r="AJ1852" s="1">
        <v>2015</v>
      </c>
      <c r="AK1852" s="1" t="s">
        <v>55</v>
      </c>
      <c r="AL1852" s="1">
        <v>8</v>
      </c>
    </row>
    <row r="1853" spans="1:38" x14ac:dyDescent="0.2">
      <c r="A1853" s="2" t="str">
        <f>HYPERLINK("https://www.compass.com/listing/601-washington-street-unit-5e-manhattan-ny-10014/476607315968139401/","601 Washington St, Unit 5E")</f>
        <v>601 Washington St, Unit 5E</v>
      </c>
      <c r="B1853" s="2" t="str">
        <f t="shared" si="289"/>
        <v>601 Washington St</v>
      </c>
      <c r="C1853" s="1" t="s">
        <v>67</v>
      </c>
      <c r="D1853" s="1" t="s">
        <v>41</v>
      </c>
      <c r="E1853" s="3">
        <v>8285075</v>
      </c>
      <c r="F1853" s="1">
        <v>2761.6916666666598</v>
      </c>
      <c r="G1853" s="1">
        <v>7.5</v>
      </c>
      <c r="H1853" s="1">
        <v>3</v>
      </c>
      <c r="I1853" s="1">
        <v>4</v>
      </c>
      <c r="J1853" s="1">
        <v>3.5</v>
      </c>
      <c r="K1853" s="1">
        <v>3</v>
      </c>
      <c r="L1853" s="1">
        <v>1</v>
      </c>
      <c r="M1853" s="4">
        <v>3000</v>
      </c>
      <c r="N1853" s="1">
        <v>2819</v>
      </c>
      <c r="O1853" s="1">
        <v>7112</v>
      </c>
      <c r="P1853" s="1">
        <v>4293</v>
      </c>
      <c r="Q1853" s="1" t="s">
        <v>42</v>
      </c>
      <c r="S1853" s="1" t="s">
        <v>42</v>
      </c>
      <c r="T1853" s="1" t="s">
        <v>273</v>
      </c>
      <c r="U1853" s="1">
        <v>1</v>
      </c>
      <c r="V1853" s="5">
        <v>44314</v>
      </c>
      <c r="W1853" s="5">
        <v>43908</v>
      </c>
      <c r="X1853" s="1">
        <v>8850000</v>
      </c>
      <c r="Y1853" s="1">
        <v>8850000</v>
      </c>
      <c r="Z1853" s="5">
        <v>43909</v>
      </c>
      <c r="AA1853" s="1">
        <v>8285075</v>
      </c>
      <c r="AB1853" s="1" t="s">
        <v>975</v>
      </c>
      <c r="AC1853" s="5">
        <v>44238</v>
      </c>
      <c r="AF1853" s="1">
        <v>10014</v>
      </c>
      <c r="AI1853" s="1" t="s">
        <v>976</v>
      </c>
      <c r="AJ1853" s="1">
        <v>2015</v>
      </c>
      <c r="AK1853" s="1" t="s">
        <v>55</v>
      </c>
      <c r="AL1853" s="1">
        <v>8</v>
      </c>
    </row>
    <row r="1854" spans="1:38" x14ac:dyDescent="0.2">
      <c r="A1854" s="2" t="str">
        <f>HYPERLINK("https://www.compass.com/listing/601-washington-street-unit-4w-manhattan-ny-10014/502707761225008857/","601 Washington St, Unit 4W")</f>
        <v>601 Washington St, Unit 4W</v>
      </c>
      <c r="B1854" s="2" t="str">
        <f t="shared" si="289"/>
        <v>601 Washington St</v>
      </c>
      <c r="C1854" s="1" t="s">
        <v>67</v>
      </c>
      <c r="D1854" s="1" t="s">
        <v>41</v>
      </c>
      <c r="E1854" s="3">
        <v>7500000</v>
      </c>
      <c r="F1854" s="1">
        <v>2593.3609958506199</v>
      </c>
      <c r="G1854" s="1">
        <v>6</v>
      </c>
      <c r="H1854" s="1">
        <v>3</v>
      </c>
      <c r="I1854" s="1">
        <v>4</v>
      </c>
      <c r="J1854" s="1">
        <v>3.5</v>
      </c>
      <c r="K1854" s="1">
        <v>3</v>
      </c>
      <c r="L1854" s="1">
        <v>1</v>
      </c>
      <c r="M1854" s="4">
        <v>2892</v>
      </c>
      <c r="N1854" s="1">
        <v>2819</v>
      </c>
      <c r="O1854" s="1">
        <v>7112</v>
      </c>
      <c r="P1854" s="1">
        <v>4293</v>
      </c>
      <c r="Q1854" s="1" t="s">
        <v>42</v>
      </c>
      <c r="S1854" s="1" t="s">
        <v>42</v>
      </c>
      <c r="T1854" s="1" t="s">
        <v>273</v>
      </c>
      <c r="U1854" s="1">
        <v>102</v>
      </c>
      <c r="V1854" s="5">
        <v>44314</v>
      </c>
      <c r="W1854" s="5">
        <v>43944</v>
      </c>
      <c r="X1854" s="1">
        <v>8650000</v>
      </c>
      <c r="Y1854" s="1">
        <v>8650000</v>
      </c>
      <c r="Z1854" s="5">
        <v>44107</v>
      </c>
      <c r="AA1854" s="1">
        <v>7500000</v>
      </c>
      <c r="AB1854" s="1" t="s">
        <v>977</v>
      </c>
      <c r="AC1854" s="5">
        <v>44260</v>
      </c>
      <c r="AF1854" s="1">
        <v>10014</v>
      </c>
      <c r="AI1854" s="1" t="s">
        <v>973</v>
      </c>
      <c r="AJ1854" s="1">
        <v>2015</v>
      </c>
      <c r="AK1854" s="1" t="s">
        <v>55</v>
      </c>
      <c r="AL1854" s="1">
        <v>8</v>
      </c>
    </row>
    <row r="1855" spans="1:38" x14ac:dyDescent="0.2">
      <c r="A1855" s="2" t="str">
        <f>HYPERLINK("https://www.compass.com/listing/121-east-22nd-street-unit-n307-manhattan-ny-10010/272177498123463345/","121 E 22nd St, Unit N307")</f>
        <v>121 E 22nd St, Unit N307</v>
      </c>
      <c r="B1855" s="2" t="str">
        <f t="shared" ref="B1855:B1860" si="290">HYPERLINK("https://www.compass.com/building/121-e-22nd-manhattan-ny/292795784653461493/","121 E 22nd")</f>
        <v>121 E 22nd</v>
      </c>
      <c r="C1855" s="1" t="s">
        <v>64</v>
      </c>
      <c r="D1855" s="1" t="s">
        <v>41</v>
      </c>
      <c r="E1855" s="3">
        <v>1374638</v>
      </c>
      <c r="F1855" s="1">
        <v>1870.25510204081</v>
      </c>
      <c r="G1855" s="1">
        <v>2</v>
      </c>
      <c r="H1855" s="1" t="s">
        <v>99</v>
      </c>
      <c r="I1855" s="1">
        <v>1</v>
      </c>
      <c r="J1855" s="1">
        <v>1</v>
      </c>
      <c r="K1855" s="1">
        <v>1</v>
      </c>
      <c r="M1855" s="1">
        <v>735</v>
      </c>
      <c r="N1855" s="1">
        <v>757</v>
      </c>
      <c r="O1855" s="1">
        <v>2092</v>
      </c>
      <c r="P1855" s="1">
        <v>1335</v>
      </c>
      <c r="Q1855" s="1" t="s">
        <v>42</v>
      </c>
      <c r="S1855" s="1" t="s">
        <v>42</v>
      </c>
      <c r="T1855" s="1" t="s">
        <v>273</v>
      </c>
      <c r="U1855" s="1">
        <v>200</v>
      </c>
      <c r="V1855" s="5">
        <v>44057</v>
      </c>
      <c r="W1855" s="5">
        <v>43188</v>
      </c>
      <c r="X1855" s="1">
        <v>1350000</v>
      </c>
      <c r="Y1855" s="1">
        <v>1350000</v>
      </c>
      <c r="Z1855" s="5">
        <v>43388</v>
      </c>
      <c r="AA1855" s="1">
        <v>1374637.5</v>
      </c>
      <c r="AB1855" s="1" t="s">
        <v>978</v>
      </c>
      <c r="AC1855" s="5">
        <v>43595</v>
      </c>
      <c r="AF1855" s="1">
        <v>10010</v>
      </c>
      <c r="AI1855" s="1" t="s">
        <v>106</v>
      </c>
      <c r="AJ1855" s="1">
        <v>2016</v>
      </c>
      <c r="AK1855" s="1" t="s">
        <v>46</v>
      </c>
      <c r="AL1855" s="1">
        <v>140</v>
      </c>
    </row>
    <row r="1856" spans="1:38" x14ac:dyDescent="0.2">
      <c r="A1856" s="2" t="str">
        <f>HYPERLINK("https://www.compass.com/listing/121-east-22nd-street-unit-n1103-manhattan-ny-10010/312862632507477889/","121 E 22nd St, Unit N1103")</f>
        <v>121 E 22nd St, Unit N1103</v>
      </c>
      <c r="B1856" s="2" t="str">
        <f t="shared" si="290"/>
        <v>121 E 22nd</v>
      </c>
      <c r="C1856" s="1" t="s">
        <v>64</v>
      </c>
      <c r="D1856" s="1" t="s">
        <v>41</v>
      </c>
      <c r="E1856" s="3">
        <v>1435000</v>
      </c>
      <c r="F1856" s="1">
        <v>2329.54545454545</v>
      </c>
      <c r="G1856" s="1">
        <v>3</v>
      </c>
      <c r="H1856" s="1" t="s">
        <v>99</v>
      </c>
      <c r="I1856" s="1">
        <v>1</v>
      </c>
      <c r="J1856" s="1">
        <v>1</v>
      </c>
      <c r="K1856" s="1">
        <v>1</v>
      </c>
      <c r="M1856" s="1">
        <v>616</v>
      </c>
      <c r="N1856" s="1">
        <v>714</v>
      </c>
      <c r="O1856" s="1">
        <v>1984</v>
      </c>
      <c r="P1856" s="1">
        <v>1270</v>
      </c>
      <c r="Q1856" s="1" t="s">
        <v>42</v>
      </c>
      <c r="S1856" s="1" t="s">
        <v>42</v>
      </c>
      <c r="T1856" s="1" t="s">
        <v>273</v>
      </c>
      <c r="V1856" s="5">
        <v>44057</v>
      </c>
      <c r="W1856" s="5">
        <v>43685</v>
      </c>
      <c r="X1856" s="1">
        <v>1410000</v>
      </c>
      <c r="Y1856" s="1">
        <v>1435000</v>
      </c>
      <c r="Z1856" s="5">
        <v>43685</v>
      </c>
      <c r="AA1856" s="1">
        <v>1464447.15</v>
      </c>
      <c r="AB1856" s="1" t="s">
        <v>902</v>
      </c>
      <c r="AC1856" s="5">
        <v>43739</v>
      </c>
      <c r="AF1856" s="1">
        <v>10010</v>
      </c>
      <c r="AI1856" s="1" t="s">
        <v>106</v>
      </c>
      <c r="AJ1856" s="1">
        <v>2016</v>
      </c>
      <c r="AK1856" s="1" t="s">
        <v>46</v>
      </c>
      <c r="AL1856" s="1">
        <v>140</v>
      </c>
    </row>
    <row r="1857" spans="1:38" x14ac:dyDescent="0.2">
      <c r="A1857" s="2" t="str">
        <f>HYPERLINK("https://www.compass.com/listing/121-east-22nd-street-unit-n204-manhattan-ny-10010/34697254732348977/","121 E 22nd St, Unit N204")</f>
        <v>121 E 22nd St, Unit N204</v>
      </c>
      <c r="B1857" s="2" t="str">
        <f t="shared" si="290"/>
        <v>121 E 22nd</v>
      </c>
      <c r="C1857" s="1" t="s">
        <v>64</v>
      </c>
      <c r="D1857" s="1" t="s">
        <v>41</v>
      </c>
      <c r="E1857" s="3">
        <v>1486645</v>
      </c>
      <c r="F1857" s="1">
        <v>1923.21474773609</v>
      </c>
      <c r="G1857" s="1">
        <v>2</v>
      </c>
      <c r="H1857" s="1" t="s">
        <v>99</v>
      </c>
      <c r="I1857" s="1">
        <v>1</v>
      </c>
      <c r="J1857" s="1">
        <v>1</v>
      </c>
      <c r="K1857" s="1">
        <v>1</v>
      </c>
      <c r="M1857" s="1">
        <v>773</v>
      </c>
      <c r="N1857" s="1">
        <v>785</v>
      </c>
      <c r="O1857" s="1">
        <v>2168</v>
      </c>
      <c r="P1857" s="1">
        <v>1383</v>
      </c>
      <c r="Q1857" s="1" t="s">
        <v>42</v>
      </c>
      <c r="S1857" s="1" t="s">
        <v>42</v>
      </c>
      <c r="T1857" s="1" t="s">
        <v>273</v>
      </c>
      <c r="V1857" s="5">
        <v>44373</v>
      </c>
      <c r="W1857" s="5">
        <v>43315</v>
      </c>
      <c r="X1857" s="1">
        <v>1460000</v>
      </c>
      <c r="Y1857" s="1">
        <v>1460000</v>
      </c>
      <c r="Z1857" s="5">
        <v>43315</v>
      </c>
      <c r="AA1857" s="1">
        <v>1486645</v>
      </c>
      <c r="AB1857" s="1" t="s">
        <v>979</v>
      </c>
      <c r="AC1857" s="5">
        <v>43556</v>
      </c>
      <c r="AF1857" s="1">
        <v>10010</v>
      </c>
      <c r="AI1857" s="1" t="s">
        <v>106</v>
      </c>
      <c r="AJ1857" s="1">
        <v>2016</v>
      </c>
      <c r="AK1857" s="1" t="s">
        <v>46</v>
      </c>
      <c r="AL1857" s="1">
        <v>140</v>
      </c>
    </row>
    <row r="1858" spans="1:38" x14ac:dyDescent="0.2">
      <c r="A1858" s="2" t="str">
        <f>HYPERLINK("https://www.compass.com/listing/121-east-22nd-street-unit-n903-manhattan-ny-10010/34697599973973105/","121 E 22nd St, Unit N903")</f>
        <v>121 E 22nd St, Unit N903</v>
      </c>
      <c r="B1858" s="2" t="str">
        <f t="shared" si="290"/>
        <v>121 E 22nd</v>
      </c>
      <c r="C1858" s="1" t="s">
        <v>64</v>
      </c>
      <c r="D1858" s="1" t="s">
        <v>41</v>
      </c>
      <c r="E1858" s="3">
        <v>1395003</v>
      </c>
      <c r="F1858" s="1">
        <v>2264.6144480519401</v>
      </c>
      <c r="G1858" s="1">
        <v>2</v>
      </c>
      <c r="H1858" s="1" t="s">
        <v>99</v>
      </c>
      <c r="I1858" s="1">
        <v>1</v>
      </c>
      <c r="J1858" s="1">
        <v>1</v>
      </c>
      <c r="K1858" s="1">
        <v>1</v>
      </c>
      <c r="M1858" s="1">
        <v>616</v>
      </c>
      <c r="N1858" s="1">
        <v>695</v>
      </c>
      <c r="O1858" s="1">
        <v>1930</v>
      </c>
      <c r="P1858" s="1">
        <v>1235</v>
      </c>
      <c r="Q1858" s="1" t="s">
        <v>42</v>
      </c>
      <c r="S1858" s="1" t="s">
        <v>42</v>
      </c>
      <c r="T1858" s="1" t="s">
        <v>273</v>
      </c>
      <c r="V1858" s="5">
        <v>44373</v>
      </c>
      <c r="W1858" s="5">
        <v>43315</v>
      </c>
      <c r="X1858" s="1">
        <v>1370000</v>
      </c>
      <c r="Y1858" s="1">
        <v>1370000</v>
      </c>
      <c r="Z1858" s="5">
        <v>43315</v>
      </c>
      <c r="AA1858" s="1">
        <v>1395002.5</v>
      </c>
      <c r="AB1858" s="1" t="s">
        <v>980</v>
      </c>
      <c r="AC1858" s="5">
        <v>43572</v>
      </c>
      <c r="AF1858" s="1">
        <v>10010</v>
      </c>
      <c r="AI1858" s="1" t="s">
        <v>106</v>
      </c>
      <c r="AJ1858" s="1">
        <v>2016</v>
      </c>
      <c r="AK1858" s="1" t="s">
        <v>46</v>
      </c>
      <c r="AL1858" s="1">
        <v>140</v>
      </c>
    </row>
    <row r="1859" spans="1:38" x14ac:dyDescent="0.2">
      <c r="A1859" s="2" t="str">
        <f>HYPERLINK("https://www.compass.com/listing/121-east-22nd-street-unit-n803-manhattan-ny-10010/34697601165156705/","121 E 22nd St, Unit N803")</f>
        <v>121 E 22nd St, Unit N803</v>
      </c>
      <c r="B1859" s="2" t="str">
        <f t="shared" si="290"/>
        <v>121 E 22nd</v>
      </c>
      <c r="C1859" s="1" t="s">
        <v>64</v>
      </c>
      <c r="D1859" s="1" t="s">
        <v>41</v>
      </c>
      <c r="E1859" s="3">
        <v>1318634</v>
      </c>
      <c r="F1859" s="1">
        <v>2140.63961038961</v>
      </c>
      <c r="G1859" s="1">
        <v>2</v>
      </c>
      <c r="H1859" s="1" t="s">
        <v>99</v>
      </c>
      <c r="I1859" s="1">
        <v>1</v>
      </c>
      <c r="J1859" s="1">
        <v>1</v>
      </c>
      <c r="K1859" s="1">
        <v>1</v>
      </c>
      <c r="M1859" s="1">
        <v>616</v>
      </c>
      <c r="N1859" s="1">
        <v>695</v>
      </c>
      <c r="O1859" s="1">
        <v>1930</v>
      </c>
      <c r="P1859" s="1">
        <v>1235</v>
      </c>
      <c r="Q1859" s="1" t="s">
        <v>42</v>
      </c>
      <c r="S1859" s="1" t="s">
        <v>42</v>
      </c>
      <c r="T1859" s="1" t="s">
        <v>273</v>
      </c>
      <c r="V1859" s="5">
        <v>44373</v>
      </c>
      <c r="W1859" s="5">
        <v>43315</v>
      </c>
      <c r="X1859" s="1">
        <v>1295000</v>
      </c>
      <c r="Y1859" s="1">
        <v>1295000</v>
      </c>
      <c r="Z1859" s="5">
        <v>43315</v>
      </c>
      <c r="AA1859" s="1">
        <v>1318634</v>
      </c>
      <c r="AB1859" s="1" t="s">
        <v>981</v>
      </c>
      <c r="AC1859" s="5">
        <v>43580</v>
      </c>
      <c r="AF1859" s="1">
        <v>10010</v>
      </c>
      <c r="AI1859" s="1" t="s">
        <v>106</v>
      </c>
      <c r="AJ1859" s="1">
        <v>2016</v>
      </c>
      <c r="AK1859" s="1" t="s">
        <v>46</v>
      </c>
      <c r="AL1859" s="1">
        <v>140</v>
      </c>
    </row>
    <row r="1860" spans="1:38" x14ac:dyDescent="0.2">
      <c r="A1860" s="2" t="str">
        <f>HYPERLINK("https://www.compass.com/listing/121-east-22nd-street-unit-n403-manhattan-ny-10010/34698288301098177/","121 E 22nd St, Unit N403")</f>
        <v>121 E 22nd St, Unit N403</v>
      </c>
      <c r="B1860" s="2" t="str">
        <f t="shared" si="290"/>
        <v>121 E 22nd</v>
      </c>
      <c r="C1860" s="1" t="s">
        <v>64</v>
      </c>
      <c r="D1860" s="1" t="s">
        <v>41</v>
      </c>
      <c r="E1860" s="3">
        <v>1170988</v>
      </c>
      <c r="F1860" s="1">
        <v>1900.95454545454</v>
      </c>
      <c r="G1860" s="1">
        <v>2</v>
      </c>
      <c r="H1860" s="1" t="s">
        <v>99</v>
      </c>
      <c r="I1860" s="1">
        <v>1</v>
      </c>
      <c r="J1860" s="1">
        <v>1</v>
      </c>
      <c r="K1860" s="1">
        <v>1</v>
      </c>
      <c r="M1860" s="1">
        <v>616</v>
      </c>
      <c r="N1860" s="1">
        <v>649</v>
      </c>
      <c r="O1860" s="1">
        <v>1796</v>
      </c>
      <c r="P1860" s="1">
        <v>1147</v>
      </c>
      <c r="Q1860" s="1" t="s">
        <v>42</v>
      </c>
      <c r="S1860" s="1" t="s">
        <v>42</v>
      </c>
      <c r="T1860" s="1" t="s">
        <v>273</v>
      </c>
      <c r="V1860" s="5">
        <v>44373</v>
      </c>
      <c r="W1860" s="5">
        <v>43315</v>
      </c>
      <c r="X1860" s="1">
        <v>1150000</v>
      </c>
      <c r="Y1860" s="1">
        <v>1150000</v>
      </c>
      <c r="Z1860" s="5">
        <v>43315</v>
      </c>
      <c r="AA1860" s="1">
        <v>1170988</v>
      </c>
      <c r="AB1860" s="1" t="s">
        <v>982</v>
      </c>
      <c r="AC1860" s="5">
        <v>43540</v>
      </c>
      <c r="AF1860" s="1">
        <v>10010</v>
      </c>
      <c r="AI1860" s="1" t="s">
        <v>106</v>
      </c>
      <c r="AJ1860" s="1">
        <v>2016</v>
      </c>
      <c r="AK1860" s="1" t="s">
        <v>46</v>
      </c>
      <c r="AL1860" s="1">
        <v>140</v>
      </c>
    </row>
    <row r="1861" spans="1:38" x14ac:dyDescent="0.2">
      <c r="A1861" s="2" t="str">
        <f>HYPERLINK("https://www.compass.com/listing/175-west-10th-street-unit-2-manhattan-ny-10014/70302011760932993/","175 W 10th St, Unit 2")</f>
        <v>175 W 10th St, Unit 2</v>
      </c>
      <c r="B1861" s="2" t="str">
        <f>HYPERLINK("https://www.compass.com/building/175-w-10th-st-manhattan-ny-10014/281930509993423093/","175 W 10th St")</f>
        <v>175 W 10th St</v>
      </c>
      <c r="C1861" s="1" t="s">
        <v>67</v>
      </c>
      <c r="D1861" s="1" t="s">
        <v>41</v>
      </c>
      <c r="E1861" s="3">
        <v>4887600</v>
      </c>
      <c r="F1861" s="1">
        <v>1808.8823094004399</v>
      </c>
      <c r="G1861" s="1">
        <v>6</v>
      </c>
      <c r="H1861" s="1">
        <v>3</v>
      </c>
      <c r="I1861" s="1">
        <v>4</v>
      </c>
      <c r="J1861" s="1">
        <v>3.5</v>
      </c>
      <c r="K1861" s="1">
        <v>3</v>
      </c>
      <c r="L1861" s="1">
        <v>1</v>
      </c>
      <c r="M1861" s="4">
        <v>2702</v>
      </c>
      <c r="N1861" s="1">
        <v>3428</v>
      </c>
      <c r="O1861" s="1">
        <v>7415</v>
      </c>
      <c r="P1861" s="1">
        <v>3987</v>
      </c>
      <c r="Q1861" s="1" t="s">
        <v>42</v>
      </c>
      <c r="S1861" s="1" t="s">
        <v>42</v>
      </c>
      <c r="T1861" s="1" t="s">
        <v>273</v>
      </c>
      <c r="U1861" s="1">
        <v>254</v>
      </c>
      <c r="V1861" s="5">
        <v>43697</v>
      </c>
      <c r="W1861" s="5">
        <v>43354</v>
      </c>
      <c r="X1861" s="1">
        <v>5395000</v>
      </c>
      <c r="Y1861" s="1">
        <v>4995000</v>
      </c>
      <c r="Z1861" s="5">
        <v>43608</v>
      </c>
      <c r="AA1861" s="1">
        <v>4887600</v>
      </c>
      <c r="AB1861" s="1" t="s">
        <v>983</v>
      </c>
      <c r="AC1861" s="5">
        <v>43643</v>
      </c>
      <c r="AF1861" s="1">
        <v>10014</v>
      </c>
      <c r="AI1861" s="1" t="s">
        <v>216</v>
      </c>
      <c r="AJ1861" s="1">
        <v>2016</v>
      </c>
      <c r="AK1861" s="1" t="s">
        <v>115</v>
      </c>
      <c r="AL1861" s="1">
        <v>5</v>
      </c>
    </row>
    <row r="1862" spans="1:38" x14ac:dyDescent="0.2">
      <c r="A1862" s="2" t="str">
        <f>HYPERLINK("https://www.compass.com/listing/100-barclay-street-unit-15c-manhattan-ny-10007/784675708867947801/","100 Barclay St, Unit 15C")</f>
        <v>100 Barclay St, Unit 15C</v>
      </c>
      <c r="B1862" s="2" t="str">
        <f>HYPERLINK("https://www.compass.com/building/100-barclay-manhattan-ny/281896670466155525/","100 Barclay")</f>
        <v>100 Barclay</v>
      </c>
      <c r="C1862" s="1" t="s">
        <v>50</v>
      </c>
      <c r="D1862" s="1" t="s">
        <v>41</v>
      </c>
      <c r="E1862" s="3">
        <v>3910000</v>
      </c>
      <c r="F1862" s="1">
        <v>1971.7599596570799</v>
      </c>
      <c r="H1862" s="1">
        <v>3</v>
      </c>
      <c r="J1862" s="1">
        <v>3</v>
      </c>
      <c r="K1862" s="1">
        <v>3</v>
      </c>
      <c r="M1862" s="4">
        <v>1983</v>
      </c>
      <c r="N1862" s="1">
        <v>2451</v>
      </c>
      <c r="O1862" s="1">
        <v>5109</v>
      </c>
      <c r="P1862" s="1">
        <v>2658</v>
      </c>
      <c r="Q1862" s="1" t="s">
        <v>42</v>
      </c>
      <c r="S1862" s="1" t="s">
        <v>42</v>
      </c>
      <c r="T1862" s="1" t="s">
        <v>273</v>
      </c>
      <c r="AA1862" s="1">
        <v>3910000</v>
      </c>
      <c r="AB1862" s="1" t="s">
        <v>984</v>
      </c>
      <c r="AC1862" s="5">
        <v>43369</v>
      </c>
      <c r="AF1862" s="1">
        <v>10007</v>
      </c>
      <c r="AI1862" s="1" t="s">
        <v>52</v>
      </c>
      <c r="AJ1862" s="1">
        <v>1930</v>
      </c>
      <c r="AK1862" s="1" t="s">
        <v>49</v>
      </c>
      <c r="AL1862" s="1">
        <v>156</v>
      </c>
    </row>
    <row r="1863" spans="1:38" x14ac:dyDescent="0.2">
      <c r="A1863" s="2" t="str">
        <f>HYPERLINK("https://www.compass.com/listing/45-east-22nd-street-unit-21b-manhattan-ny-10010/29375854568043729/","45 E 22nd St, Unit 21B")</f>
        <v>45 E 22nd St, Unit 21B</v>
      </c>
      <c r="B1863" s="2" t="str">
        <f t="shared" ref="B1863:B1864" si="291">HYPERLINK("https://www.compass.com/building/madison-square-park-tower-manhattan-ny/281903584482705973/","Madison Square Park Tower")</f>
        <v>Madison Square Park Tower</v>
      </c>
      <c r="C1863" s="1" t="s">
        <v>56</v>
      </c>
      <c r="D1863" s="1" t="s">
        <v>41</v>
      </c>
      <c r="E1863" s="3">
        <v>2975276</v>
      </c>
      <c r="F1863" s="1">
        <v>2637.65602836879</v>
      </c>
      <c r="G1863" s="1">
        <v>3</v>
      </c>
      <c r="H1863" s="1">
        <v>1</v>
      </c>
      <c r="I1863" s="1">
        <v>1</v>
      </c>
      <c r="J1863" s="1">
        <v>1</v>
      </c>
      <c r="K1863" s="1">
        <v>1</v>
      </c>
      <c r="M1863" s="4">
        <v>1128</v>
      </c>
      <c r="N1863" s="1">
        <v>1245</v>
      </c>
      <c r="O1863" s="1">
        <v>3138</v>
      </c>
      <c r="P1863" s="1">
        <v>1893</v>
      </c>
      <c r="Q1863" s="1" t="s">
        <v>42</v>
      </c>
      <c r="S1863" s="1" t="s">
        <v>42</v>
      </c>
      <c r="T1863" s="1" t="s">
        <v>273</v>
      </c>
      <c r="V1863" s="5">
        <v>43650</v>
      </c>
      <c r="W1863" s="5">
        <v>42081</v>
      </c>
      <c r="X1863" s="1">
        <v>2907000</v>
      </c>
      <c r="Y1863" s="1">
        <v>2907000</v>
      </c>
      <c r="Z1863" s="5">
        <v>42081</v>
      </c>
      <c r="AA1863" s="1">
        <v>2975276</v>
      </c>
      <c r="AB1863" s="1" t="s">
        <v>985</v>
      </c>
      <c r="AC1863" s="5">
        <v>42951</v>
      </c>
      <c r="AF1863" s="1">
        <v>10010</v>
      </c>
      <c r="AI1863" s="1" t="s">
        <v>48</v>
      </c>
      <c r="AJ1863" s="1">
        <v>2016</v>
      </c>
      <c r="AK1863" s="1" t="s">
        <v>46</v>
      </c>
      <c r="AL1863" s="1">
        <v>83</v>
      </c>
    </row>
    <row r="1864" spans="1:38" x14ac:dyDescent="0.2">
      <c r="A1864" s="2" t="str">
        <f>HYPERLINK("https://www.compass.com/listing/45-east-22nd-street-unit-22b-manhattan-ny-10010/29375855364960481/","45 E 22nd St, Unit 22B")</f>
        <v>45 E 22nd St, Unit 22B</v>
      </c>
      <c r="B1864" s="2" t="str">
        <f t="shared" si="291"/>
        <v>Madison Square Park Tower</v>
      </c>
      <c r="C1864" s="1" t="s">
        <v>56</v>
      </c>
      <c r="D1864" s="1" t="s">
        <v>41</v>
      </c>
      <c r="E1864" s="3">
        <v>2942876</v>
      </c>
      <c r="F1864" s="1">
        <v>2595.1287477954102</v>
      </c>
      <c r="G1864" s="1">
        <v>3</v>
      </c>
      <c r="H1864" s="1">
        <v>1</v>
      </c>
      <c r="I1864" s="1">
        <v>1</v>
      </c>
      <c r="J1864" s="1">
        <v>1</v>
      </c>
      <c r="K1864" s="1">
        <v>1</v>
      </c>
      <c r="M1864" s="4">
        <v>1134</v>
      </c>
      <c r="N1864" s="1">
        <v>1258</v>
      </c>
      <c r="O1864" s="1">
        <v>3170</v>
      </c>
      <c r="P1864" s="1">
        <v>1912</v>
      </c>
      <c r="Q1864" s="1" t="s">
        <v>42</v>
      </c>
      <c r="S1864" s="1" t="s">
        <v>42</v>
      </c>
      <c r="T1864" s="1" t="s">
        <v>273</v>
      </c>
      <c r="V1864" s="5">
        <v>43663</v>
      </c>
      <c r="W1864" s="5">
        <v>41996</v>
      </c>
      <c r="X1864" s="1">
        <v>2875000</v>
      </c>
      <c r="Y1864" s="1">
        <v>2932500</v>
      </c>
      <c r="Z1864" s="5">
        <v>41996</v>
      </c>
      <c r="AA1864" s="1">
        <v>2942876</v>
      </c>
      <c r="AB1864" s="1" t="s">
        <v>986</v>
      </c>
      <c r="AC1864" s="5">
        <v>42978</v>
      </c>
      <c r="AF1864" s="1">
        <v>10010</v>
      </c>
      <c r="AI1864" s="1" t="s">
        <v>48</v>
      </c>
      <c r="AJ1864" s="1">
        <v>2016</v>
      </c>
      <c r="AK1864" s="1" t="s">
        <v>46</v>
      </c>
      <c r="AL1864" s="1">
        <v>83</v>
      </c>
    </row>
    <row r="1865" spans="1:38" x14ac:dyDescent="0.2">
      <c r="A1865" s="2" t="str">
        <f>HYPERLINK("https://www.compass.com/listing/270-riverside-drive-unit-2d-manhattan-ny-10025/29431398435778417/","270 Riverside Dr, Unit 2D")</f>
        <v>270 Riverside Dr, Unit 2D</v>
      </c>
      <c r="B1865" s="2" t="str">
        <f t="shared" ref="B1865:B1867" si="292">HYPERLINK("https://www.compass.com/building/270-riverside-dr-manhattan-ny-10025/281970283991095285/","270 Riverside Dr")</f>
        <v>270 Riverside Dr</v>
      </c>
      <c r="C1865" s="1" t="s">
        <v>57</v>
      </c>
      <c r="D1865" s="1" t="s">
        <v>41</v>
      </c>
      <c r="E1865" s="3">
        <v>3151484</v>
      </c>
      <c r="F1865" s="1">
        <v>1567.9024875621801</v>
      </c>
      <c r="G1865" s="1">
        <v>6</v>
      </c>
      <c r="H1865" s="1">
        <v>2</v>
      </c>
      <c r="I1865" s="1">
        <v>3</v>
      </c>
      <c r="J1865" s="1">
        <v>3</v>
      </c>
      <c r="K1865" s="1">
        <v>3</v>
      </c>
      <c r="M1865" s="4">
        <v>2010</v>
      </c>
      <c r="N1865" s="1">
        <v>1917</v>
      </c>
      <c r="O1865" s="1">
        <v>2891</v>
      </c>
      <c r="P1865" s="1">
        <v>974</v>
      </c>
      <c r="Q1865" s="1" t="s">
        <v>42</v>
      </c>
      <c r="S1865" s="1" t="s">
        <v>42</v>
      </c>
      <c r="T1865" s="1" t="s">
        <v>273</v>
      </c>
      <c r="U1865" s="1">
        <v>27</v>
      </c>
      <c r="V1865" s="5">
        <v>43673</v>
      </c>
      <c r="W1865" s="5">
        <v>42273</v>
      </c>
      <c r="X1865" s="1">
        <v>3095000</v>
      </c>
      <c r="Y1865" s="1">
        <v>3095000</v>
      </c>
      <c r="Z1865" s="5">
        <v>42300</v>
      </c>
      <c r="AA1865" s="1">
        <v>3151484</v>
      </c>
      <c r="AB1865" s="1" t="s">
        <v>987</v>
      </c>
      <c r="AC1865" s="5">
        <v>42592</v>
      </c>
      <c r="AF1865" s="1">
        <v>10025</v>
      </c>
      <c r="AJ1865" s="1">
        <v>1920</v>
      </c>
      <c r="AK1865" s="1" t="s">
        <v>215</v>
      </c>
      <c r="AL1865" s="1">
        <v>57</v>
      </c>
    </row>
    <row r="1866" spans="1:38" x14ac:dyDescent="0.2">
      <c r="A1866" s="2" t="str">
        <f>HYPERLINK("https://www.compass.com/listing/270-riverside-drive-unit-4d-manhattan-ny-10025/29431400407035041/","270 Riverside Dr, Unit 4D")</f>
        <v>270 Riverside Dr, Unit 4D</v>
      </c>
      <c r="B1866" s="2" t="str">
        <f t="shared" si="292"/>
        <v>270 Riverside Dr</v>
      </c>
      <c r="C1866" s="1" t="s">
        <v>57</v>
      </c>
      <c r="D1866" s="1" t="s">
        <v>41</v>
      </c>
      <c r="E1866" s="3">
        <v>3253309</v>
      </c>
      <c r="F1866" s="1">
        <v>1618.56169154228</v>
      </c>
      <c r="G1866" s="1">
        <v>6</v>
      </c>
      <c r="H1866" s="1">
        <v>2</v>
      </c>
      <c r="I1866" s="1">
        <v>3</v>
      </c>
      <c r="J1866" s="1">
        <v>3</v>
      </c>
      <c r="K1866" s="1">
        <v>3</v>
      </c>
      <c r="M1866" s="4">
        <v>2010</v>
      </c>
      <c r="N1866" s="1">
        <v>1996</v>
      </c>
      <c r="O1866" s="1">
        <v>3011</v>
      </c>
      <c r="P1866" s="1">
        <v>1015</v>
      </c>
      <c r="Q1866" s="1" t="s">
        <v>42</v>
      </c>
      <c r="S1866" s="1" t="s">
        <v>42</v>
      </c>
      <c r="T1866" s="1" t="s">
        <v>273</v>
      </c>
      <c r="U1866" s="1">
        <v>21</v>
      </c>
      <c r="V1866" s="5">
        <v>43675</v>
      </c>
      <c r="W1866" s="5">
        <v>42279</v>
      </c>
      <c r="X1866" s="1">
        <v>3195000</v>
      </c>
      <c r="Y1866" s="1">
        <v>3195000</v>
      </c>
      <c r="Z1866" s="5">
        <v>42300</v>
      </c>
      <c r="AA1866" s="1">
        <v>3253309</v>
      </c>
      <c r="AB1866" s="1" t="s">
        <v>988</v>
      </c>
      <c r="AC1866" s="5">
        <v>42658</v>
      </c>
      <c r="AF1866" s="1">
        <v>10025</v>
      </c>
      <c r="AJ1866" s="1">
        <v>1920</v>
      </c>
      <c r="AK1866" s="1" t="s">
        <v>215</v>
      </c>
      <c r="AL1866" s="1">
        <v>57</v>
      </c>
    </row>
    <row r="1867" spans="1:38" x14ac:dyDescent="0.2">
      <c r="A1867" s="2" t="str">
        <f>HYPERLINK("https://www.compass.com/listing/270-riverside-drive-unit-11d-manhattan-ny-10025/29431404794270065/","270 Riverside Dr, Unit 11D")</f>
        <v>270 Riverside Dr, Unit 11D</v>
      </c>
      <c r="B1867" s="2" t="str">
        <f t="shared" si="292"/>
        <v>270 Riverside Dr</v>
      </c>
      <c r="C1867" s="1" t="s">
        <v>57</v>
      </c>
      <c r="D1867" s="1" t="s">
        <v>41</v>
      </c>
      <c r="E1867" s="3">
        <v>3436594</v>
      </c>
      <c r="F1867" s="1">
        <v>1709.74813432835</v>
      </c>
      <c r="G1867" s="1">
        <v>6</v>
      </c>
      <c r="H1867" s="1">
        <v>2</v>
      </c>
      <c r="I1867" s="1">
        <v>3</v>
      </c>
      <c r="J1867" s="1">
        <v>3</v>
      </c>
      <c r="K1867" s="1">
        <v>3</v>
      </c>
      <c r="M1867" s="4">
        <v>2010</v>
      </c>
      <c r="N1867" s="1">
        <v>2296</v>
      </c>
      <c r="O1867" s="1">
        <v>3463</v>
      </c>
      <c r="P1867" s="1">
        <v>1167</v>
      </c>
      <c r="Q1867" s="1" t="s">
        <v>42</v>
      </c>
      <c r="S1867" s="1" t="s">
        <v>42</v>
      </c>
      <c r="T1867" s="1" t="s">
        <v>273</v>
      </c>
      <c r="U1867" s="1">
        <v>90</v>
      </c>
      <c r="V1867" s="5">
        <v>42634</v>
      </c>
      <c r="W1867" s="5">
        <v>42419</v>
      </c>
      <c r="X1867" s="1">
        <v>3450000</v>
      </c>
      <c r="Y1867" s="1">
        <v>3450000</v>
      </c>
      <c r="Z1867" s="5">
        <v>42510</v>
      </c>
      <c r="AA1867" s="1">
        <v>3436593.75</v>
      </c>
      <c r="AB1867" s="1" t="s">
        <v>989</v>
      </c>
      <c r="AC1867" s="5">
        <v>42612</v>
      </c>
      <c r="AF1867" s="1">
        <v>10025</v>
      </c>
      <c r="AJ1867" s="1">
        <v>1920</v>
      </c>
      <c r="AK1867" s="1" t="s">
        <v>215</v>
      </c>
      <c r="AL1867" s="1">
        <v>57</v>
      </c>
    </row>
    <row r="1868" spans="1:38" x14ac:dyDescent="0.2">
      <c r="A1868" s="2" t="str">
        <f>HYPERLINK("https://www.compass.com/listing/175-west-10th-street-unit-5-manhattan-ny-10014/4842272249052408417/","175 W 10th St, Unit 5")</f>
        <v>175 W 10th St, Unit 5</v>
      </c>
      <c r="B1868" s="2" t="str">
        <f>HYPERLINK("https://www.compass.com/building/175-w-10th-st-manhattan-ny-10014/281930509993423093/","175 W 10th St")</f>
        <v>175 W 10th St</v>
      </c>
      <c r="C1868" s="1" t="s">
        <v>67</v>
      </c>
      <c r="D1868" s="1" t="s">
        <v>41</v>
      </c>
      <c r="E1868" s="3">
        <v>6364063</v>
      </c>
      <c r="F1868" s="1">
        <v>2355.3155070318198</v>
      </c>
      <c r="G1868" s="1">
        <v>6</v>
      </c>
      <c r="H1868" s="1">
        <v>3</v>
      </c>
      <c r="I1868" s="1">
        <v>4</v>
      </c>
      <c r="J1868" s="1">
        <v>3.5</v>
      </c>
      <c r="K1868" s="1">
        <v>3</v>
      </c>
      <c r="L1868" s="1">
        <v>1</v>
      </c>
      <c r="M1868" s="4">
        <v>2702</v>
      </c>
      <c r="N1868" s="1">
        <v>3390</v>
      </c>
      <c r="O1868" s="1">
        <v>6198</v>
      </c>
      <c r="P1868" s="1">
        <v>2808</v>
      </c>
      <c r="Q1868" s="1" t="s">
        <v>42</v>
      </c>
      <c r="S1868" s="1" t="s">
        <v>42</v>
      </c>
      <c r="T1868" s="1" t="s">
        <v>273</v>
      </c>
      <c r="U1868" s="1">
        <v>195</v>
      </c>
      <c r="V1868" s="5">
        <v>43650</v>
      </c>
      <c r="W1868" s="5">
        <v>42866</v>
      </c>
      <c r="X1868" s="1">
        <v>7200000</v>
      </c>
      <c r="Y1868" s="1">
        <v>6750000</v>
      </c>
      <c r="Z1868" s="5">
        <v>43061</v>
      </c>
      <c r="AA1868" s="1">
        <v>6250000</v>
      </c>
      <c r="AB1868" s="1" t="s">
        <v>990</v>
      </c>
      <c r="AC1868" s="5">
        <v>43206</v>
      </c>
      <c r="AF1868" s="1">
        <v>10014</v>
      </c>
      <c r="AI1868" s="1" t="s">
        <v>540</v>
      </c>
      <c r="AJ1868" s="1">
        <v>2016</v>
      </c>
      <c r="AK1868" s="1" t="s">
        <v>115</v>
      </c>
      <c r="AL1868" s="1">
        <v>5</v>
      </c>
    </row>
    <row r="1869" spans="1:38" x14ac:dyDescent="0.2">
      <c r="A1869" s="2" t="str">
        <f>HYPERLINK("https://www.compass.com/listing/55-west-17th-street-unit-801-manhattan-ny-10011/29374461262285089/","55 W 17th St, Unit 801")</f>
        <v>55 W 17th St, Unit 801</v>
      </c>
      <c r="B1869" s="2" t="str">
        <f>HYPERLINK("https://www.compass.com/building/55-w-17th-st-manhattan-ny-10011/281911689161499829/","55 W 17th St")</f>
        <v>55 W 17th St</v>
      </c>
      <c r="C1869" s="1" t="s">
        <v>56</v>
      </c>
      <c r="D1869" s="1" t="s">
        <v>41</v>
      </c>
      <c r="E1869" s="3">
        <v>2749275</v>
      </c>
      <c r="F1869" s="1">
        <v>1664.21004842615</v>
      </c>
      <c r="G1869" s="1">
        <v>4</v>
      </c>
      <c r="H1869" s="1">
        <v>2</v>
      </c>
      <c r="I1869" s="1">
        <v>3</v>
      </c>
      <c r="J1869" s="1">
        <v>2.5</v>
      </c>
      <c r="M1869" s="4">
        <v>1652</v>
      </c>
      <c r="N1869" s="1">
        <v>2054</v>
      </c>
      <c r="O1869" s="1">
        <v>4473</v>
      </c>
      <c r="P1869" s="1">
        <v>2419</v>
      </c>
      <c r="Q1869" s="1" t="s">
        <v>42</v>
      </c>
      <c r="S1869" s="1" t="s">
        <v>42</v>
      </c>
      <c r="T1869" s="1" t="s">
        <v>273</v>
      </c>
      <c r="U1869" s="1">
        <v>895</v>
      </c>
      <c r="V1869" s="5">
        <v>43173</v>
      </c>
      <c r="W1869" s="5">
        <v>42277</v>
      </c>
      <c r="X1869" s="1">
        <v>1</v>
      </c>
      <c r="Y1869" s="1">
        <v>3374990</v>
      </c>
      <c r="AA1869" s="1">
        <v>2749275</v>
      </c>
      <c r="AB1869" s="1" t="s">
        <v>991</v>
      </c>
      <c r="AC1869" s="5">
        <v>43210</v>
      </c>
      <c r="AF1869" s="1">
        <v>10011</v>
      </c>
      <c r="AI1869" s="1" t="s">
        <v>102</v>
      </c>
      <c r="AJ1869" s="1">
        <v>2018</v>
      </c>
      <c r="AK1869" s="1" t="s">
        <v>108</v>
      </c>
      <c r="AL1869" s="1">
        <v>52</v>
      </c>
    </row>
    <row r="1870" spans="1:38" x14ac:dyDescent="0.2">
      <c r="A1870" s="2" t="str">
        <f>HYPERLINK("https://www.compass.com/listing/100-barrow-street-unit-11a-manhattan-ny-10014/391847186727453697/","100 Barrow St, Unit 11A")</f>
        <v>100 Barrow St, Unit 11A</v>
      </c>
      <c r="B1870" s="2" t="str">
        <f t="shared" ref="B1870:B1872" si="293">HYPERLINK("https://www.compass.com/building/100-barrow-manhattan-ny/292834978184618837/","100 Barrow")</f>
        <v>100 Barrow</v>
      </c>
      <c r="C1870" s="1" t="s">
        <v>67</v>
      </c>
      <c r="D1870" s="1" t="s">
        <v>41</v>
      </c>
      <c r="E1870" s="3">
        <v>4200000</v>
      </c>
      <c r="F1870" s="1">
        <v>2360.8768971332202</v>
      </c>
      <c r="H1870" s="1">
        <v>2</v>
      </c>
      <c r="J1870" s="1">
        <v>2.5</v>
      </c>
      <c r="M1870" s="4">
        <v>1779</v>
      </c>
      <c r="N1870" s="1">
        <v>5195</v>
      </c>
      <c r="O1870" s="1">
        <v>5195</v>
      </c>
      <c r="S1870" s="1" t="s">
        <v>181</v>
      </c>
      <c r="T1870" s="1" t="s">
        <v>273</v>
      </c>
      <c r="V1870" s="5">
        <v>44247</v>
      </c>
      <c r="AA1870" s="1">
        <v>4200000</v>
      </c>
      <c r="AB1870" s="1" t="s">
        <v>275</v>
      </c>
      <c r="AC1870" s="5">
        <v>43679</v>
      </c>
      <c r="AF1870" s="1">
        <v>10014</v>
      </c>
      <c r="AJ1870" s="1">
        <v>2015</v>
      </c>
      <c r="AK1870" s="1" t="s">
        <v>202</v>
      </c>
      <c r="AL1870" s="1">
        <v>33</v>
      </c>
    </row>
    <row r="1871" spans="1:38" x14ac:dyDescent="0.2">
      <c r="A1871" s="2" t="str">
        <f>HYPERLINK("https://www.compass.com/listing/100-barrow-street-unit-10a-manhattan-ny-10014/391887277235520705/","100 Barrow St, Unit 10A")</f>
        <v>100 Barrow St, Unit 10A</v>
      </c>
      <c r="B1871" s="2" t="str">
        <f t="shared" si="293"/>
        <v>100 Barrow</v>
      </c>
      <c r="C1871" s="1" t="s">
        <v>67</v>
      </c>
      <c r="D1871" s="1" t="s">
        <v>41</v>
      </c>
      <c r="E1871" s="3">
        <v>4150000</v>
      </c>
      <c r="F1871" s="1">
        <v>2332.7712197863898</v>
      </c>
      <c r="H1871" s="1">
        <v>2</v>
      </c>
      <c r="J1871" s="1">
        <v>2.5</v>
      </c>
      <c r="M1871" s="4">
        <v>1779</v>
      </c>
      <c r="N1871" s="1">
        <v>5137</v>
      </c>
      <c r="O1871" s="1">
        <v>5137</v>
      </c>
      <c r="S1871" s="1" t="s">
        <v>181</v>
      </c>
      <c r="T1871" s="1" t="s">
        <v>273</v>
      </c>
      <c r="V1871" s="5">
        <v>44247</v>
      </c>
      <c r="AA1871" s="1">
        <v>4150000</v>
      </c>
      <c r="AB1871" s="1" t="s">
        <v>275</v>
      </c>
      <c r="AC1871" s="5">
        <v>43679</v>
      </c>
      <c r="AF1871" s="1">
        <v>10014</v>
      </c>
      <c r="AJ1871" s="1">
        <v>2015</v>
      </c>
      <c r="AK1871" s="1" t="s">
        <v>202</v>
      </c>
      <c r="AL1871" s="1">
        <v>33</v>
      </c>
    </row>
    <row r="1872" spans="1:38" x14ac:dyDescent="0.2">
      <c r="A1872" s="2" t="str">
        <f>HYPERLINK("https://www.compass.com/listing/100-barrow-street-unit-3c-manhattan-ny-10014/391904962719925953/","100 Barrow St, Unit 3C")</f>
        <v>100 Barrow St, Unit 3C</v>
      </c>
      <c r="B1872" s="2" t="str">
        <f t="shared" si="293"/>
        <v>100 Barrow</v>
      </c>
      <c r="C1872" s="1" t="s">
        <v>67</v>
      </c>
      <c r="D1872" s="1" t="s">
        <v>41</v>
      </c>
      <c r="E1872" s="3">
        <v>3577000</v>
      </c>
      <c r="F1872" s="1">
        <v>1829.66751918158</v>
      </c>
      <c r="H1872" s="1">
        <v>2</v>
      </c>
      <c r="J1872" s="1">
        <v>2.5</v>
      </c>
      <c r="M1872" s="4">
        <v>1955</v>
      </c>
      <c r="N1872" s="1">
        <v>5181</v>
      </c>
      <c r="O1872" s="1">
        <v>5181</v>
      </c>
      <c r="S1872" s="1" t="s">
        <v>181</v>
      </c>
      <c r="T1872" s="1" t="s">
        <v>273</v>
      </c>
      <c r="V1872" s="5">
        <v>44247</v>
      </c>
      <c r="AA1872" s="1">
        <v>3577000</v>
      </c>
      <c r="AB1872" s="1" t="s">
        <v>275</v>
      </c>
      <c r="AC1872" s="5">
        <v>43679</v>
      </c>
      <c r="AF1872" s="1">
        <v>10014</v>
      </c>
      <c r="AJ1872" s="1">
        <v>2015</v>
      </c>
      <c r="AK1872" s="1" t="s">
        <v>202</v>
      </c>
      <c r="AL1872" s="1">
        <v>33</v>
      </c>
    </row>
    <row r="1873" spans="1:38" x14ac:dyDescent="0.2">
      <c r="A1873" s="2" t="str">
        <f>HYPERLINK("https://www.compass.com/listing/55-west-17th-street-unit-604-manhattan-ny-10011/29374460381481841/","55 W 17th St, Unit 604")</f>
        <v>55 W 17th St, Unit 604</v>
      </c>
      <c r="B1873" s="2" t="str">
        <f t="shared" ref="B1873:B1874" si="294">HYPERLINK("https://www.compass.com/building/55-w-17th-st-manhattan-ny-10011/281911689161499829/","55 W 17th St")</f>
        <v>55 W 17th St</v>
      </c>
      <c r="C1873" s="1" t="s">
        <v>56</v>
      </c>
      <c r="D1873" s="1" t="s">
        <v>41</v>
      </c>
      <c r="E1873" s="3">
        <v>3749706</v>
      </c>
      <c r="F1873" s="1">
        <v>1938.8345398138499</v>
      </c>
      <c r="G1873" s="1">
        <v>4</v>
      </c>
      <c r="H1873" s="1">
        <v>3</v>
      </c>
      <c r="I1873" s="1">
        <v>3</v>
      </c>
      <c r="J1873" s="1">
        <v>2.5</v>
      </c>
      <c r="M1873" s="4">
        <v>1934</v>
      </c>
      <c r="N1873" s="1">
        <v>2535</v>
      </c>
      <c r="O1873" s="1">
        <v>5361</v>
      </c>
      <c r="P1873" s="1">
        <v>2826</v>
      </c>
      <c r="Q1873" s="1" t="s">
        <v>42</v>
      </c>
      <c r="S1873" s="1" t="s">
        <v>42</v>
      </c>
      <c r="T1873" s="1" t="s">
        <v>273</v>
      </c>
      <c r="U1873" s="1">
        <v>477</v>
      </c>
      <c r="V1873" s="5">
        <v>43694</v>
      </c>
      <c r="W1873" s="5">
        <v>42711</v>
      </c>
      <c r="X1873" s="1">
        <v>4199990</v>
      </c>
      <c r="Y1873" s="1">
        <v>3890990</v>
      </c>
      <c r="Z1873" s="5">
        <v>43188</v>
      </c>
      <c r="AA1873" s="1">
        <v>3749706</v>
      </c>
      <c r="AB1873" s="1" t="s">
        <v>992</v>
      </c>
      <c r="AC1873" s="5">
        <v>43237</v>
      </c>
      <c r="AF1873" s="1">
        <v>10011</v>
      </c>
      <c r="AI1873" s="1" t="s">
        <v>102</v>
      </c>
      <c r="AJ1873" s="1">
        <v>2018</v>
      </c>
      <c r="AK1873" s="1" t="s">
        <v>108</v>
      </c>
      <c r="AL1873" s="1">
        <v>52</v>
      </c>
    </row>
    <row r="1874" spans="1:38" x14ac:dyDescent="0.2">
      <c r="A1874" s="2" t="str">
        <f>HYPERLINK("https://www.compass.com/listing/55-west-17th-street-unit-1004-manhattan-ny-10011/4868358250149460945/","55 W 17th St, Unit 1004")</f>
        <v>55 W 17th St, Unit 1004</v>
      </c>
      <c r="B1874" s="2" t="str">
        <f t="shared" si="294"/>
        <v>55 W 17th St</v>
      </c>
      <c r="C1874" s="1" t="s">
        <v>56</v>
      </c>
      <c r="D1874" s="1" t="s">
        <v>41</v>
      </c>
      <c r="E1874" s="3">
        <v>4090990</v>
      </c>
      <c r="F1874" s="1">
        <v>2115.2998965873799</v>
      </c>
      <c r="G1874" s="1">
        <v>5</v>
      </c>
      <c r="H1874" s="1">
        <v>3</v>
      </c>
      <c r="I1874" s="1">
        <v>3</v>
      </c>
      <c r="J1874" s="1">
        <v>2.5</v>
      </c>
      <c r="M1874" s="4">
        <v>1934</v>
      </c>
      <c r="N1874" s="1">
        <v>2546</v>
      </c>
      <c r="O1874" s="1">
        <v>5383</v>
      </c>
      <c r="P1874" s="1">
        <v>2837</v>
      </c>
      <c r="Q1874" s="1" t="s">
        <v>42</v>
      </c>
      <c r="S1874" s="1" t="s">
        <v>42</v>
      </c>
      <c r="T1874" s="1" t="s">
        <v>273</v>
      </c>
      <c r="U1874" s="1">
        <v>436</v>
      </c>
      <c r="V1874" s="5">
        <v>43694</v>
      </c>
      <c r="W1874" s="5">
        <v>42711</v>
      </c>
      <c r="X1874" s="1">
        <v>4399990</v>
      </c>
      <c r="Y1874" s="1">
        <v>4090990</v>
      </c>
      <c r="Z1874" s="5">
        <v>43147</v>
      </c>
      <c r="AA1874" s="1">
        <v>4090990</v>
      </c>
      <c r="AB1874" s="1" t="s">
        <v>993</v>
      </c>
      <c r="AC1874" s="5">
        <v>43242</v>
      </c>
      <c r="AF1874" s="1">
        <v>10011</v>
      </c>
      <c r="AI1874" s="1" t="s">
        <v>102</v>
      </c>
      <c r="AJ1874" s="1">
        <v>2018</v>
      </c>
      <c r="AK1874" s="1" t="s">
        <v>108</v>
      </c>
      <c r="AL1874" s="1">
        <v>52</v>
      </c>
    </row>
    <row r="1875" spans="1:38" x14ac:dyDescent="0.2">
      <c r="A1875" s="2" t="str">
        <f>HYPERLINK("https://www.compass.com/listing/100-avenue-a-unit-3a-manhattan-ny-10009/805521559046159681/","100 Avenue A, Unit 3A")</f>
        <v>100 Avenue A, Unit 3A</v>
      </c>
      <c r="B1875" s="2" t="str">
        <f>HYPERLINK("https://www.compass.com/building/100-avenue-a-manhattan-ny-10009/389273110856657541/","100 Avenue A")</f>
        <v>100 Avenue A</v>
      </c>
      <c r="C1875" s="1" t="s">
        <v>71</v>
      </c>
      <c r="D1875" s="1" t="s">
        <v>41</v>
      </c>
      <c r="E1875" s="3">
        <v>1650000</v>
      </c>
      <c r="F1875" s="1">
        <v>1664.9848637739599</v>
      </c>
      <c r="H1875" s="1">
        <v>2</v>
      </c>
      <c r="J1875" s="1">
        <v>2</v>
      </c>
      <c r="K1875" s="1">
        <v>2</v>
      </c>
      <c r="M1875" s="1">
        <v>991</v>
      </c>
      <c r="N1875" s="1">
        <v>1471.08</v>
      </c>
      <c r="O1875" s="1">
        <v>2690.31</v>
      </c>
      <c r="P1875" s="1">
        <v>1219.25</v>
      </c>
      <c r="Q1875" s="1" t="s">
        <v>42</v>
      </c>
      <c r="S1875" s="1" t="s">
        <v>42</v>
      </c>
      <c r="T1875" s="1" t="s">
        <v>273</v>
      </c>
      <c r="AA1875" s="1">
        <v>1650000</v>
      </c>
      <c r="AB1875" s="1" t="s">
        <v>994</v>
      </c>
      <c r="AC1875" s="5">
        <v>44351</v>
      </c>
      <c r="AF1875" s="1">
        <v>10009</v>
      </c>
      <c r="AI1875" s="1" t="s">
        <v>66</v>
      </c>
      <c r="AJ1875" s="1">
        <v>2016</v>
      </c>
      <c r="AK1875" s="1" t="s">
        <v>55</v>
      </c>
    </row>
    <row r="1876" spans="1:38" x14ac:dyDescent="0.2">
      <c r="A1876" s="2" t="str">
        <f>HYPERLINK("https://www.compass.com/listing/270-riverside-drive-unit-10d-manhattan-ny-10025/29431404047691009/","270 Riverside Dr, Unit 10D")</f>
        <v>270 Riverside Dr, Unit 10D</v>
      </c>
      <c r="B1876" s="2" t="str">
        <f>HYPERLINK("https://www.compass.com/building/270-riverside-dr-manhattan-ny-10025/281970283991095285/","270 Riverside Dr")</f>
        <v>270 Riverside Dr</v>
      </c>
      <c r="C1876" s="1" t="s">
        <v>57</v>
      </c>
      <c r="D1876" s="1" t="s">
        <v>41</v>
      </c>
      <c r="E1876" s="3">
        <v>3411138</v>
      </c>
      <c r="F1876" s="1">
        <v>1697.08358208955</v>
      </c>
      <c r="G1876" s="1">
        <v>6</v>
      </c>
      <c r="H1876" s="1">
        <v>2</v>
      </c>
      <c r="I1876" s="1">
        <v>3</v>
      </c>
      <c r="J1876" s="1">
        <v>3</v>
      </c>
      <c r="K1876" s="1">
        <v>3</v>
      </c>
      <c r="M1876" s="4">
        <v>2010</v>
      </c>
      <c r="N1876" s="1">
        <v>2251</v>
      </c>
      <c r="O1876" s="1">
        <v>3395</v>
      </c>
      <c r="P1876" s="1">
        <v>1144</v>
      </c>
      <c r="Q1876" s="1" t="s">
        <v>42</v>
      </c>
      <c r="S1876" s="1" t="s">
        <v>42</v>
      </c>
      <c r="T1876" s="1" t="s">
        <v>273</v>
      </c>
      <c r="U1876" s="1">
        <v>120</v>
      </c>
      <c r="V1876" s="5">
        <v>43673</v>
      </c>
      <c r="W1876" s="5">
        <v>42300</v>
      </c>
      <c r="X1876" s="1">
        <v>3550000</v>
      </c>
      <c r="Y1876" s="1">
        <v>3550000</v>
      </c>
      <c r="Z1876" s="5">
        <v>42420</v>
      </c>
      <c r="AA1876" s="1">
        <v>3411138</v>
      </c>
      <c r="AB1876" s="1" t="s">
        <v>995</v>
      </c>
      <c r="AC1876" s="5">
        <v>42580</v>
      </c>
      <c r="AF1876" s="1">
        <v>10025</v>
      </c>
      <c r="AJ1876" s="1">
        <v>1920</v>
      </c>
      <c r="AK1876" s="1" t="s">
        <v>215</v>
      </c>
      <c r="AL1876" s="1">
        <v>57</v>
      </c>
    </row>
    <row r="1877" spans="1:38" x14ac:dyDescent="0.2">
      <c r="A1877" s="2" t="str">
        <f>HYPERLINK("https://www.compass.com/listing/175-west-10th-street-unit-4-manhattan-ny-10014/29514460234331953/","175 W 10th St, Unit 4")</f>
        <v>175 W 10th St, Unit 4</v>
      </c>
      <c r="B1877" s="2" t="str">
        <f>HYPERLINK("https://www.compass.com/building/175-w-10th-st-manhattan-ny-10014/281930509993423093/","175 W 10th St")</f>
        <v>175 W 10th St</v>
      </c>
      <c r="C1877" s="1" t="s">
        <v>67</v>
      </c>
      <c r="D1877" s="1" t="s">
        <v>41</v>
      </c>
      <c r="E1877" s="3">
        <v>5634000</v>
      </c>
      <c r="F1877" s="1">
        <v>2085.1221317542499</v>
      </c>
      <c r="G1877" s="1">
        <v>6</v>
      </c>
      <c r="H1877" s="1">
        <v>3</v>
      </c>
      <c r="I1877" s="1">
        <v>4</v>
      </c>
      <c r="J1877" s="1">
        <v>3.5</v>
      </c>
      <c r="K1877" s="1">
        <v>3</v>
      </c>
      <c r="L1877" s="1">
        <v>1</v>
      </c>
      <c r="M1877" s="4">
        <v>2702</v>
      </c>
      <c r="N1877" s="1">
        <v>3390</v>
      </c>
      <c r="O1877" s="1">
        <v>6198</v>
      </c>
      <c r="P1877" s="1">
        <v>2808</v>
      </c>
      <c r="Q1877" s="1" t="s">
        <v>42</v>
      </c>
      <c r="S1877" s="1" t="s">
        <v>42</v>
      </c>
      <c r="T1877" s="1" t="s">
        <v>273</v>
      </c>
      <c r="U1877" s="1">
        <v>311</v>
      </c>
      <c r="V1877" s="5">
        <v>43666</v>
      </c>
      <c r="W1877" s="5">
        <v>43081</v>
      </c>
      <c r="X1877" s="1">
        <v>6200000</v>
      </c>
      <c r="Y1877" s="1">
        <v>5995000</v>
      </c>
      <c r="Z1877" s="5">
        <v>43392</v>
      </c>
      <c r="AA1877" s="1">
        <v>5634000</v>
      </c>
      <c r="AB1877" s="1" t="s">
        <v>996</v>
      </c>
      <c r="AC1877" s="5">
        <v>43420</v>
      </c>
      <c r="AF1877" s="1">
        <v>10014</v>
      </c>
      <c r="AI1877" s="1" t="s">
        <v>540</v>
      </c>
      <c r="AJ1877" s="1">
        <v>2016</v>
      </c>
      <c r="AK1877" s="1" t="s">
        <v>115</v>
      </c>
      <c r="AL1877" s="1">
        <v>5</v>
      </c>
    </row>
    <row r="1878" spans="1:38" x14ac:dyDescent="0.2">
      <c r="A1878" s="2" t="str">
        <f>HYPERLINK("https://www.compass.com/listing/55-west-17th-street-unit-903-manhattan-ny-10011/391346842541111905/","55 W 17th St, Unit 903")</f>
        <v>55 W 17th St, Unit 903</v>
      </c>
      <c r="B1878" s="2" t="str">
        <f t="shared" ref="B1878:B1879" si="295">HYPERLINK("https://www.compass.com/building/55-w-17th-st-manhattan-ny-10011/281911689161499829/","55 W 17th St")</f>
        <v>55 W 17th St</v>
      </c>
      <c r="C1878" s="1" t="s">
        <v>56</v>
      </c>
      <c r="D1878" s="1" t="s">
        <v>41</v>
      </c>
      <c r="E1878" s="3">
        <v>2771147</v>
      </c>
      <c r="F1878" s="1">
        <v>2254.7982099267601</v>
      </c>
      <c r="G1878" s="1">
        <v>2</v>
      </c>
      <c r="H1878" s="1">
        <v>4</v>
      </c>
      <c r="I1878" s="1">
        <v>2</v>
      </c>
      <c r="J1878" s="1">
        <v>2</v>
      </c>
      <c r="K1878" s="1">
        <v>2</v>
      </c>
      <c r="M1878" s="4">
        <v>1229</v>
      </c>
      <c r="N1878" s="1">
        <v>1529</v>
      </c>
      <c r="O1878" s="1">
        <v>3330</v>
      </c>
      <c r="P1878" s="1">
        <v>1801</v>
      </c>
      <c r="S1878" s="1" t="s">
        <v>42</v>
      </c>
      <c r="T1878" s="1" t="s">
        <v>273</v>
      </c>
      <c r="V1878" s="5">
        <v>44247</v>
      </c>
      <c r="AA1878" s="1">
        <v>2771147</v>
      </c>
      <c r="AB1878" s="1" t="s">
        <v>275</v>
      </c>
      <c r="AC1878" s="5">
        <v>43678</v>
      </c>
      <c r="AF1878" s="1">
        <v>10011</v>
      </c>
      <c r="AI1878" s="1" t="s">
        <v>952</v>
      </c>
      <c r="AJ1878" s="1">
        <v>2018</v>
      </c>
      <c r="AK1878" s="1" t="s">
        <v>55</v>
      </c>
      <c r="AL1878" s="1">
        <v>52</v>
      </c>
    </row>
    <row r="1879" spans="1:38" x14ac:dyDescent="0.2">
      <c r="A1879" s="2" t="str">
        <f>HYPERLINK("https://www.compass.com/listing/55-west-17th-street-unit-1602-manhattan-ny-10011/392010391735127793/","55 W 17th St, Unit 1602")</f>
        <v>55 W 17th St, Unit 1602</v>
      </c>
      <c r="B1879" s="2" t="str">
        <f t="shared" si="295"/>
        <v>55 W 17th St</v>
      </c>
      <c r="C1879" s="1" t="s">
        <v>56</v>
      </c>
      <c r="D1879" s="1" t="s">
        <v>41</v>
      </c>
      <c r="E1879" s="3">
        <v>4100000</v>
      </c>
      <c r="F1879" s="1">
        <v>2337.5142531356901</v>
      </c>
      <c r="G1879" s="1">
        <v>4</v>
      </c>
      <c r="H1879" s="1">
        <v>2</v>
      </c>
      <c r="I1879" s="1">
        <v>2</v>
      </c>
      <c r="J1879" s="1">
        <v>2</v>
      </c>
      <c r="K1879" s="1">
        <v>2</v>
      </c>
      <c r="M1879" s="4">
        <v>1754</v>
      </c>
      <c r="N1879" s="1">
        <v>2198</v>
      </c>
      <c r="O1879" s="1">
        <v>4787</v>
      </c>
      <c r="P1879" s="1">
        <v>2589</v>
      </c>
      <c r="S1879" s="1" t="s">
        <v>42</v>
      </c>
      <c r="T1879" s="1" t="s">
        <v>273</v>
      </c>
      <c r="V1879" s="5">
        <v>44247</v>
      </c>
      <c r="AA1879" s="1">
        <v>4100000</v>
      </c>
      <c r="AB1879" s="1" t="s">
        <v>275</v>
      </c>
      <c r="AC1879" s="5">
        <v>43678</v>
      </c>
      <c r="AF1879" s="1">
        <v>10011</v>
      </c>
      <c r="AI1879" s="1" t="s">
        <v>952</v>
      </c>
      <c r="AJ1879" s="1">
        <v>2018</v>
      </c>
      <c r="AK1879" s="1" t="s">
        <v>55</v>
      </c>
      <c r="AL1879" s="1">
        <v>52</v>
      </c>
    </row>
    <row r="1880" spans="1:38" x14ac:dyDescent="0.2">
      <c r="A1880" s="2" t="str">
        <f>HYPERLINK("https://www.compass.com/listing/498-west-end-avenue-unit-11b-manhattan-ny-10024/244935175748733873/","498 W End Ave, Unit 11B")</f>
        <v>498 W End Ave, Unit 11B</v>
      </c>
      <c r="B1880" s="2" t="str">
        <f>HYPERLINK("https://www.compass.com/building/498-w-end-ave-manhattan-ny-10024/281925430842268789/","498 W End Ave")</f>
        <v>498 W End Ave</v>
      </c>
      <c r="C1880" s="1" t="s">
        <v>57</v>
      </c>
      <c r="D1880" s="1" t="s">
        <v>41</v>
      </c>
      <c r="E1880" s="3">
        <v>2252878</v>
      </c>
      <c r="F1880" s="1">
        <v>1796.55342902711</v>
      </c>
      <c r="G1880" s="1">
        <v>5</v>
      </c>
      <c r="H1880" s="1">
        <v>2</v>
      </c>
      <c r="I1880" s="1">
        <v>2</v>
      </c>
      <c r="J1880" s="1">
        <v>2</v>
      </c>
      <c r="K1880" s="1">
        <v>2</v>
      </c>
      <c r="M1880" s="4">
        <v>1254</v>
      </c>
      <c r="N1880" s="1">
        <v>1145</v>
      </c>
      <c r="O1880" s="1">
        <v>2243</v>
      </c>
      <c r="P1880" s="1">
        <v>1098</v>
      </c>
      <c r="Q1880" s="1" t="s">
        <v>42</v>
      </c>
      <c r="S1880" s="1" t="s">
        <v>42</v>
      </c>
      <c r="T1880" s="1" t="s">
        <v>273</v>
      </c>
      <c r="U1880" s="1">
        <v>6</v>
      </c>
      <c r="V1880" s="5">
        <v>43697</v>
      </c>
      <c r="W1880" s="5">
        <v>43603</v>
      </c>
      <c r="X1880" s="1">
        <v>2195000</v>
      </c>
      <c r="Y1880" s="1">
        <v>2195000</v>
      </c>
      <c r="Z1880" s="5">
        <v>43609</v>
      </c>
      <c r="AA1880" s="1">
        <v>2252878</v>
      </c>
      <c r="AB1880" s="1" t="s">
        <v>997</v>
      </c>
      <c r="AC1880" s="5">
        <v>43643</v>
      </c>
      <c r="AF1880" s="1">
        <v>10024</v>
      </c>
      <c r="AJ1880" s="1">
        <v>1912</v>
      </c>
      <c r="AK1880" s="1" t="s">
        <v>46</v>
      </c>
      <c r="AL1880" s="1">
        <v>19</v>
      </c>
    </row>
    <row r="1881" spans="1:38" x14ac:dyDescent="0.2">
      <c r="A1881" s="2" t="str">
        <f>HYPERLINK("https://www.compass.com/listing/100-barclay-street-unit-14ab-manhattan-ny-10007/29357194612960385/","100 Barclay St, Unit 14AB")</f>
        <v>100 Barclay St, Unit 14AB</v>
      </c>
      <c r="B1881" s="2" t="str">
        <f>HYPERLINK("https://www.compass.com/building/100-barclay-manhattan-ny/281896670466155525/","100 Barclay")</f>
        <v>100 Barclay</v>
      </c>
      <c r="C1881" s="1" t="s">
        <v>50</v>
      </c>
      <c r="D1881" s="1" t="s">
        <v>41</v>
      </c>
      <c r="E1881" s="3">
        <v>11862613</v>
      </c>
      <c r="F1881" s="1">
        <v>2251.3973239703901</v>
      </c>
      <c r="H1881" s="1">
        <v>5</v>
      </c>
      <c r="J1881" s="1">
        <v>7</v>
      </c>
      <c r="M1881" s="4">
        <v>5269</v>
      </c>
      <c r="N1881" s="1">
        <v>6632</v>
      </c>
      <c r="O1881" s="1">
        <v>12498</v>
      </c>
      <c r="P1881" s="1">
        <v>5866</v>
      </c>
      <c r="Q1881" s="1" t="s">
        <v>42</v>
      </c>
      <c r="S1881" s="1" t="s">
        <v>42</v>
      </c>
      <c r="T1881" s="1" t="s">
        <v>273</v>
      </c>
      <c r="AA1881" s="1">
        <v>11862612.5</v>
      </c>
      <c r="AB1881" s="1" t="s">
        <v>998</v>
      </c>
      <c r="AC1881" s="5">
        <v>42703</v>
      </c>
      <c r="AF1881" s="1">
        <v>10007</v>
      </c>
      <c r="AI1881" s="1" t="s">
        <v>52</v>
      </c>
      <c r="AJ1881" s="1">
        <v>1930</v>
      </c>
      <c r="AK1881" s="1" t="s">
        <v>49</v>
      </c>
      <c r="AL1881" s="1">
        <v>156</v>
      </c>
    </row>
    <row r="1882" spans="1:38" x14ac:dyDescent="0.2">
      <c r="A1882" s="2" t="str">
        <f>HYPERLINK("https://www.compass.com/listing/121-east-22nd-street-unit-n703-manhattan-ny-10010/165104141373388721/","121 E 22nd St, Unit N703")</f>
        <v>121 E 22nd St, Unit N703</v>
      </c>
      <c r="B1882" s="2" t="str">
        <f>HYPERLINK("https://www.compass.com/building/121-e-22nd-manhattan-ny/292795784653461493/","121 E 22nd")</f>
        <v>121 E 22nd</v>
      </c>
      <c r="C1882" s="1" t="s">
        <v>64</v>
      </c>
      <c r="D1882" s="1" t="s">
        <v>41</v>
      </c>
      <c r="E1882" s="3">
        <v>1360000</v>
      </c>
      <c r="F1882" s="1">
        <v>2207.7922077921999</v>
      </c>
      <c r="G1882" s="1">
        <v>2</v>
      </c>
      <c r="H1882" s="1" t="s">
        <v>99</v>
      </c>
      <c r="I1882" s="1">
        <v>1</v>
      </c>
      <c r="J1882" s="1">
        <v>1</v>
      </c>
      <c r="K1882" s="1">
        <v>1</v>
      </c>
      <c r="M1882" s="1">
        <v>616</v>
      </c>
      <c r="N1882" s="1">
        <v>675</v>
      </c>
      <c r="O1882" s="1">
        <v>1875</v>
      </c>
      <c r="P1882" s="1">
        <v>1200</v>
      </c>
      <c r="Q1882" s="1" t="s">
        <v>42</v>
      </c>
      <c r="S1882" s="1" t="s">
        <v>42</v>
      </c>
      <c r="T1882" s="1" t="s">
        <v>273</v>
      </c>
      <c r="U1882" s="1">
        <v>209</v>
      </c>
      <c r="V1882" s="5">
        <v>44334</v>
      </c>
      <c r="W1882" s="5">
        <v>43480</v>
      </c>
      <c r="X1882" s="1">
        <v>1360000</v>
      </c>
      <c r="Y1882" s="1">
        <v>1360000</v>
      </c>
      <c r="Z1882" s="5">
        <v>43689</v>
      </c>
      <c r="AA1882" s="1">
        <v>1360000</v>
      </c>
      <c r="AB1882" s="1" t="s">
        <v>275</v>
      </c>
      <c r="AC1882" s="5">
        <v>43719</v>
      </c>
      <c r="AF1882" s="1">
        <v>10010</v>
      </c>
      <c r="AI1882" s="1" t="s">
        <v>234</v>
      </c>
      <c r="AJ1882" s="1">
        <v>2016</v>
      </c>
      <c r="AK1882" s="1" t="s">
        <v>46</v>
      </c>
      <c r="AL1882" s="1">
        <v>140</v>
      </c>
    </row>
    <row r="1883" spans="1:38" x14ac:dyDescent="0.2">
      <c r="A1883" s="2" t="str">
        <f>HYPERLINK("https://www.compass.com/listing/55-west-17th-street-unit-1302-manhattan-ny-10011/317230293618161953/","55 W 17th St, Unit 1302")</f>
        <v>55 W 17th St, Unit 1302</v>
      </c>
      <c r="B1883" s="2" t="str">
        <f>HYPERLINK("https://www.compass.com/building/55-w-17th-st-manhattan-ny-10011/281911689161499829/","55 W 17th St")</f>
        <v>55 W 17th St</v>
      </c>
      <c r="C1883" s="1" t="s">
        <v>56</v>
      </c>
      <c r="D1883" s="1" t="s">
        <v>41</v>
      </c>
      <c r="E1883" s="3">
        <v>9030000</v>
      </c>
      <c r="F1883" s="1">
        <v>2142.8571428571399</v>
      </c>
      <c r="G1883" s="1">
        <v>9</v>
      </c>
      <c r="H1883" s="1">
        <v>4</v>
      </c>
      <c r="I1883" s="1">
        <v>5</v>
      </c>
      <c r="J1883" s="1">
        <v>4.5</v>
      </c>
      <c r="M1883" s="4">
        <v>4214</v>
      </c>
      <c r="N1883" s="1">
        <v>5995</v>
      </c>
      <c r="O1883" s="1">
        <v>12678</v>
      </c>
      <c r="P1883" s="1">
        <v>6683</v>
      </c>
      <c r="Q1883" s="1" t="s">
        <v>42</v>
      </c>
      <c r="S1883" s="1" t="s">
        <v>42</v>
      </c>
      <c r="T1883" s="1" t="s">
        <v>273</v>
      </c>
      <c r="U1883" s="1">
        <v>246</v>
      </c>
      <c r="V1883" s="5">
        <v>43242</v>
      </c>
      <c r="W1883" s="5">
        <v>42927</v>
      </c>
      <c r="Y1883" s="1">
        <v>9950000</v>
      </c>
      <c r="Z1883" s="5">
        <v>43174</v>
      </c>
      <c r="AA1883" s="1">
        <v>9030000</v>
      </c>
      <c r="AB1883" s="1" t="s">
        <v>999</v>
      </c>
      <c r="AC1883" s="5">
        <v>43210</v>
      </c>
      <c r="AF1883" s="1">
        <v>10011</v>
      </c>
      <c r="AI1883" s="1" t="s">
        <v>952</v>
      </c>
      <c r="AJ1883" s="1">
        <v>2018</v>
      </c>
      <c r="AK1883" s="1" t="s">
        <v>108</v>
      </c>
      <c r="AL1883" s="1">
        <v>52</v>
      </c>
    </row>
    <row r="1884" spans="1:38" x14ac:dyDescent="0.2">
      <c r="A1884" s="2" t="str">
        <f>HYPERLINK("https://www.compass.com/listing/175-west-10th-street-unit-3-manhattan-ny-10014/4855154105271725713/","175 W 10th St, Unit 3")</f>
        <v>175 W 10th St, Unit 3</v>
      </c>
      <c r="B1884" s="2" t="str">
        <f>HYPERLINK("https://www.compass.com/building/175-w-10th-st-manhattan-ny-10014/281930509993423093/","175 W 10th St")</f>
        <v>175 W 10th St</v>
      </c>
      <c r="C1884" s="1" t="s">
        <v>67</v>
      </c>
      <c r="D1884" s="1" t="s">
        <v>41</v>
      </c>
      <c r="E1884" s="3">
        <v>5450000</v>
      </c>
      <c r="F1884" s="1">
        <v>2017.02442635085</v>
      </c>
      <c r="G1884" s="1">
        <v>6</v>
      </c>
      <c r="H1884" s="1">
        <v>3</v>
      </c>
      <c r="I1884" s="1">
        <v>4</v>
      </c>
      <c r="J1884" s="1">
        <v>3.5</v>
      </c>
      <c r="K1884" s="1">
        <v>3</v>
      </c>
      <c r="L1884" s="1">
        <v>1</v>
      </c>
      <c r="M1884" s="4">
        <v>2702</v>
      </c>
      <c r="N1884" s="1">
        <v>3390</v>
      </c>
      <c r="O1884" s="1">
        <v>6198</v>
      </c>
      <c r="P1884" s="1">
        <v>2808</v>
      </c>
      <c r="Q1884" s="1" t="s">
        <v>42</v>
      </c>
      <c r="S1884" s="1" t="s">
        <v>42</v>
      </c>
      <c r="T1884" s="1" t="s">
        <v>273</v>
      </c>
      <c r="U1884" s="1">
        <v>17</v>
      </c>
      <c r="V1884" s="5">
        <v>43601</v>
      </c>
      <c r="W1884" s="5">
        <v>43148</v>
      </c>
      <c r="X1884" s="1">
        <v>5850000</v>
      </c>
      <c r="Y1884" s="1">
        <v>5850000</v>
      </c>
      <c r="Z1884" s="5">
        <v>43165</v>
      </c>
      <c r="AA1884" s="1">
        <v>5450000</v>
      </c>
      <c r="AB1884" s="1" t="s">
        <v>1000</v>
      </c>
      <c r="AC1884" s="5">
        <v>43210</v>
      </c>
      <c r="AF1884" s="1">
        <v>10014</v>
      </c>
      <c r="AI1884" s="1" t="s">
        <v>540</v>
      </c>
      <c r="AJ1884" s="1">
        <v>2016</v>
      </c>
      <c r="AK1884" s="1" t="s">
        <v>115</v>
      </c>
      <c r="AL1884" s="1">
        <v>5</v>
      </c>
    </row>
    <row r="1885" spans="1:38" x14ac:dyDescent="0.2">
      <c r="A1885" s="2" t="str">
        <f>HYPERLINK("https://www.compass.com/listing/55-west-17th-street-unit-901-manhattan-ny-10011/391344015085157137/","55 W 17th St, Unit 901")</f>
        <v>55 W 17th St, Unit 901</v>
      </c>
      <c r="B1885" s="2" t="str">
        <f t="shared" ref="B1885:B1887" si="296">HYPERLINK("https://www.compass.com/building/55-w-17th-st-manhattan-ny-10011/281911689161499829/","55 W 17th St")</f>
        <v>55 W 17th St</v>
      </c>
      <c r="C1885" s="1" t="s">
        <v>56</v>
      </c>
      <c r="D1885" s="1" t="s">
        <v>41</v>
      </c>
      <c r="E1885" s="3">
        <v>2750000</v>
      </c>
      <c r="F1885" s="1">
        <v>1664.6489104116199</v>
      </c>
      <c r="G1885" s="1">
        <v>3</v>
      </c>
      <c r="H1885" s="1">
        <v>2</v>
      </c>
      <c r="I1885" s="1">
        <v>3</v>
      </c>
      <c r="J1885" s="1">
        <v>2.5</v>
      </c>
      <c r="K1885" s="1">
        <v>2</v>
      </c>
      <c r="L1885" s="1">
        <v>1</v>
      </c>
      <c r="M1885" s="4">
        <v>1652</v>
      </c>
      <c r="N1885" s="1">
        <v>2172</v>
      </c>
      <c r="O1885" s="1">
        <v>4593</v>
      </c>
      <c r="P1885" s="1">
        <v>2421</v>
      </c>
      <c r="S1885" s="1" t="s">
        <v>42</v>
      </c>
      <c r="T1885" s="1" t="s">
        <v>273</v>
      </c>
      <c r="V1885" s="5">
        <v>44247</v>
      </c>
      <c r="AA1885" s="1">
        <v>2750000</v>
      </c>
      <c r="AB1885" s="1" t="s">
        <v>275</v>
      </c>
      <c r="AC1885" s="5">
        <v>43678</v>
      </c>
      <c r="AF1885" s="1">
        <v>10011</v>
      </c>
      <c r="AI1885" s="1" t="s">
        <v>952</v>
      </c>
      <c r="AJ1885" s="1">
        <v>2018</v>
      </c>
      <c r="AK1885" s="1" t="s">
        <v>55</v>
      </c>
      <c r="AL1885" s="1">
        <v>52</v>
      </c>
    </row>
    <row r="1886" spans="1:38" x14ac:dyDescent="0.2">
      <c r="A1886" s="2" t="str">
        <f>HYPERLINK("https://www.compass.com/listing/55-west-17th-street-unit-1502-manhattan-ny-10011/310316571776008769/","55 W 17th St, Unit 1502")</f>
        <v>55 W 17th St, Unit 1502</v>
      </c>
      <c r="B1886" s="2" t="str">
        <f t="shared" si="296"/>
        <v>55 W 17th St</v>
      </c>
      <c r="C1886" s="1" t="s">
        <v>56</v>
      </c>
      <c r="D1886" s="1" t="s">
        <v>41</v>
      </c>
      <c r="E1886" s="3">
        <v>4378475</v>
      </c>
      <c r="F1886" s="1">
        <v>2333.9418976545799</v>
      </c>
      <c r="G1886" s="1">
        <v>5</v>
      </c>
      <c r="H1886" s="1">
        <v>3</v>
      </c>
      <c r="I1886" s="1">
        <v>3</v>
      </c>
      <c r="J1886" s="1">
        <v>2.5</v>
      </c>
      <c r="M1886" s="4">
        <v>1876</v>
      </c>
      <c r="N1886" s="1">
        <v>2475</v>
      </c>
      <c r="O1886" s="1">
        <v>5390</v>
      </c>
      <c r="P1886" s="1">
        <v>2915</v>
      </c>
      <c r="Q1886" s="1" t="s">
        <v>42</v>
      </c>
      <c r="S1886" s="1" t="s">
        <v>42</v>
      </c>
      <c r="T1886" s="1" t="s">
        <v>273</v>
      </c>
      <c r="U1886" s="1">
        <v>226</v>
      </c>
      <c r="V1886" s="5">
        <v>43242</v>
      </c>
      <c r="W1886" s="5">
        <v>42479</v>
      </c>
      <c r="X1886" s="1">
        <v>4694990</v>
      </c>
      <c r="Y1886" s="1">
        <v>4694990</v>
      </c>
      <c r="Z1886" s="5">
        <v>42706</v>
      </c>
      <c r="AA1886" s="1">
        <v>4378475</v>
      </c>
      <c r="AB1886" s="1" t="s">
        <v>1001</v>
      </c>
      <c r="AC1886" s="5">
        <v>42947</v>
      </c>
      <c r="AF1886" s="1">
        <v>10011</v>
      </c>
      <c r="AI1886" s="1" t="s">
        <v>102</v>
      </c>
      <c r="AJ1886" s="1">
        <v>2018</v>
      </c>
      <c r="AK1886" s="1" t="s">
        <v>108</v>
      </c>
      <c r="AL1886" s="1">
        <v>52</v>
      </c>
    </row>
    <row r="1887" spans="1:38" x14ac:dyDescent="0.2">
      <c r="A1887" s="2" t="str">
        <f>HYPERLINK("https://www.compass.com/listing/55-west-17th-street-unit-1204-manhattan-ny-10011/4868358213348631089/","55 W 17th St, Unit 1204")</f>
        <v>55 W 17th St, Unit 1204</v>
      </c>
      <c r="B1887" s="2" t="str">
        <f t="shared" si="296"/>
        <v>55 W 17th St</v>
      </c>
      <c r="C1887" s="1" t="s">
        <v>56</v>
      </c>
      <c r="D1887" s="1" t="s">
        <v>41</v>
      </c>
      <c r="E1887" s="3">
        <v>4900000</v>
      </c>
      <c r="F1887" s="1">
        <v>2243.58974358974</v>
      </c>
      <c r="G1887" s="1">
        <v>5</v>
      </c>
      <c r="H1887" s="1">
        <v>3</v>
      </c>
      <c r="I1887" s="1">
        <v>3</v>
      </c>
      <c r="J1887" s="1">
        <v>2.5</v>
      </c>
      <c r="M1887" s="4">
        <v>2184</v>
      </c>
      <c r="N1887" s="1">
        <v>2814</v>
      </c>
      <c r="O1887" s="1">
        <v>6128</v>
      </c>
      <c r="P1887" s="1">
        <v>3314</v>
      </c>
      <c r="Q1887" s="1" t="s">
        <v>42</v>
      </c>
      <c r="S1887" s="1" t="s">
        <v>42</v>
      </c>
      <c r="T1887" s="1" t="s">
        <v>273</v>
      </c>
      <c r="U1887" s="1">
        <v>302</v>
      </c>
      <c r="V1887" s="5">
        <v>43676</v>
      </c>
      <c r="W1887" s="5">
        <v>42514</v>
      </c>
      <c r="X1887" s="1">
        <v>5239990</v>
      </c>
      <c r="Y1887" s="1">
        <v>5239990</v>
      </c>
      <c r="Z1887" s="5">
        <v>42816</v>
      </c>
      <c r="AA1887" s="1">
        <v>4900000</v>
      </c>
      <c r="AB1887" s="1" t="s">
        <v>1002</v>
      </c>
      <c r="AC1887" s="5">
        <v>42940</v>
      </c>
      <c r="AF1887" s="1">
        <v>10011</v>
      </c>
      <c r="AI1887" s="1" t="s">
        <v>952</v>
      </c>
      <c r="AJ1887" s="1">
        <v>2018</v>
      </c>
      <c r="AK1887" s="1" t="s">
        <v>108</v>
      </c>
      <c r="AL1887" s="1">
        <v>52</v>
      </c>
    </row>
    <row r="1888" spans="1:38" x14ac:dyDescent="0.2">
      <c r="A1888" s="2" t="str">
        <f>HYPERLINK("https://www.compass.com/listing/270-riverside-drive-unit-1b-manhattan-ny-10025/4803095474519153201/","270 Riverside Dr, Unit 1B")</f>
        <v>270 Riverside Dr, Unit 1B</v>
      </c>
      <c r="B1888" s="2" t="str">
        <f t="shared" ref="B1888:B1889" si="297">HYPERLINK("https://www.compass.com/building/270-riverside-dr-manhattan-ny-10025/281970283991095285/","270 Riverside Dr")</f>
        <v>270 Riverside Dr</v>
      </c>
      <c r="C1888" s="1" t="s">
        <v>57</v>
      </c>
      <c r="D1888" s="1" t="s">
        <v>41</v>
      </c>
      <c r="E1888" s="3">
        <v>2650000</v>
      </c>
      <c r="F1888" s="1">
        <v>1349.2871690427601</v>
      </c>
      <c r="G1888" s="1">
        <v>6</v>
      </c>
      <c r="H1888" s="1">
        <v>3</v>
      </c>
      <c r="I1888" s="1">
        <v>3</v>
      </c>
      <c r="J1888" s="1">
        <v>3</v>
      </c>
      <c r="K1888" s="1">
        <v>3</v>
      </c>
      <c r="M1888" s="4">
        <v>1964</v>
      </c>
      <c r="N1888" s="1">
        <v>1394</v>
      </c>
      <c r="O1888" s="1">
        <v>2103</v>
      </c>
      <c r="P1888" s="1">
        <v>709</v>
      </c>
      <c r="Q1888" s="1" t="s">
        <v>42</v>
      </c>
      <c r="S1888" s="1" t="s">
        <v>42</v>
      </c>
      <c r="T1888" s="1" t="s">
        <v>273</v>
      </c>
      <c r="U1888" s="1">
        <v>61</v>
      </c>
      <c r="V1888" s="5">
        <v>43649</v>
      </c>
      <c r="W1888" s="5">
        <v>43014</v>
      </c>
      <c r="X1888" s="1">
        <v>2695000</v>
      </c>
      <c r="Y1888" s="1">
        <v>2695000</v>
      </c>
      <c r="Z1888" s="5">
        <v>43075</v>
      </c>
      <c r="AA1888" s="1">
        <v>2650000</v>
      </c>
      <c r="AB1888" s="1" t="s">
        <v>1003</v>
      </c>
      <c r="AC1888" s="5">
        <v>43147</v>
      </c>
      <c r="AF1888" s="1">
        <v>10025</v>
      </c>
      <c r="AJ1888" s="1">
        <v>1920</v>
      </c>
      <c r="AK1888" s="1" t="s">
        <v>215</v>
      </c>
      <c r="AL1888" s="1">
        <v>57</v>
      </c>
    </row>
    <row r="1889" spans="1:38" x14ac:dyDescent="0.2">
      <c r="A1889" s="2" t="str">
        <f>HYPERLINK("https://www.compass.com/listing/270-riverside-drive-unit-3c-manhattan-ny-10025/29661167173571041/","270 Riverside Dr, Unit 3C")</f>
        <v>270 Riverside Dr, Unit 3C</v>
      </c>
      <c r="B1889" s="2" t="str">
        <f t="shared" si="297"/>
        <v>270 Riverside Dr</v>
      </c>
      <c r="C1889" s="1" t="s">
        <v>57</v>
      </c>
      <c r="D1889" s="1" t="s">
        <v>41</v>
      </c>
      <c r="E1889" s="3">
        <v>3900000</v>
      </c>
      <c r="F1889" s="1">
        <v>1628.3924843423799</v>
      </c>
      <c r="G1889" s="1">
        <v>7</v>
      </c>
      <c r="H1889" s="1">
        <v>4</v>
      </c>
      <c r="I1889" s="1">
        <v>3</v>
      </c>
      <c r="J1889" s="1">
        <v>3</v>
      </c>
      <c r="K1889" s="1">
        <v>3</v>
      </c>
      <c r="M1889" s="4">
        <v>2395</v>
      </c>
      <c r="N1889" s="1">
        <v>2355</v>
      </c>
      <c r="O1889" s="1">
        <v>3529</v>
      </c>
      <c r="P1889" s="1">
        <v>1174</v>
      </c>
      <c r="Q1889" s="1" t="s">
        <v>42</v>
      </c>
      <c r="S1889" s="1" t="s">
        <v>42</v>
      </c>
      <c r="T1889" s="1" t="s">
        <v>273</v>
      </c>
      <c r="U1889" s="1">
        <v>98</v>
      </c>
      <c r="V1889" s="5">
        <v>43697</v>
      </c>
      <c r="W1889" s="5">
        <v>43532</v>
      </c>
      <c r="X1889" s="1">
        <v>4000000</v>
      </c>
      <c r="Y1889" s="1">
        <v>4000000</v>
      </c>
      <c r="Z1889" s="5">
        <v>43630</v>
      </c>
      <c r="AA1889" s="1">
        <v>3900000</v>
      </c>
      <c r="AB1889" s="1" t="s">
        <v>1004</v>
      </c>
      <c r="AC1889" s="5">
        <v>43643</v>
      </c>
      <c r="AF1889" s="1">
        <v>10025</v>
      </c>
      <c r="AJ1889" s="1">
        <v>1920</v>
      </c>
      <c r="AK1889" s="1" t="s">
        <v>215</v>
      </c>
      <c r="AL1889" s="1">
        <v>57</v>
      </c>
    </row>
    <row r="1890" spans="1:38" x14ac:dyDescent="0.2">
      <c r="A1890" s="2" t="str">
        <f>HYPERLINK("https://www.compass.com/listing/70-charlton-street-unit-8c-manhattan-ny-10014/309394192408958657/","70 Charlton St, Unit 8C")</f>
        <v>70 Charlton St, Unit 8C</v>
      </c>
      <c r="B1890" s="2" t="str">
        <f>HYPERLINK("https://www.compass.com/building/70-charlton-street-manhattan-ny/292835639240484293/","70 Charlton Street")</f>
        <v>70 Charlton Street</v>
      </c>
      <c r="C1890" s="1" t="s">
        <v>298</v>
      </c>
      <c r="D1890" s="1" t="s">
        <v>41</v>
      </c>
      <c r="E1890" s="3">
        <v>2407070</v>
      </c>
      <c r="F1890" s="1">
        <v>1819.4028722600101</v>
      </c>
      <c r="G1890" s="1">
        <v>5</v>
      </c>
      <c r="H1890" s="1">
        <v>2</v>
      </c>
      <c r="I1890" s="1">
        <v>3</v>
      </c>
      <c r="J1890" s="1">
        <v>2.5</v>
      </c>
      <c r="K1890" s="1">
        <v>2</v>
      </c>
      <c r="L1890" s="1">
        <v>1</v>
      </c>
      <c r="M1890" s="4">
        <v>1323</v>
      </c>
      <c r="N1890" s="1">
        <v>2810</v>
      </c>
      <c r="O1890" s="1">
        <v>2810</v>
      </c>
      <c r="Q1890" s="1" t="s">
        <v>505</v>
      </c>
      <c r="S1890" s="1" t="s">
        <v>505</v>
      </c>
      <c r="T1890" s="1" t="s">
        <v>273</v>
      </c>
      <c r="U1890" s="1">
        <v>13</v>
      </c>
      <c r="V1890" s="5">
        <v>43788</v>
      </c>
      <c r="W1890" s="5">
        <v>43679</v>
      </c>
      <c r="X1890" s="1">
        <v>2525000</v>
      </c>
      <c r="Y1890" s="1">
        <v>2525000</v>
      </c>
      <c r="Z1890" s="5">
        <v>43692</v>
      </c>
      <c r="AA1890" s="1">
        <v>2407070</v>
      </c>
      <c r="AB1890" s="1" t="s">
        <v>1005</v>
      </c>
      <c r="AC1890" s="5">
        <v>43809</v>
      </c>
      <c r="AF1890" s="1">
        <v>10014</v>
      </c>
      <c r="AI1890" s="1" t="s">
        <v>80</v>
      </c>
      <c r="AJ1890" s="1">
        <v>2016</v>
      </c>
      <c r="AK1890" s="1" t="s">
        <v>46</v>
      </c>
      <c r="AL1890" s="1">
        <v>92</v>
      </c>
    </row>
    <row r="1891" spans="1:38" x14ac:dyDescent="0.2">
      <c r="A1891" s="2" t="str">
        <f>HYPERLINK("https://www.compass.com/listing/49-chambers-street-unit-9b-manhattan-ny-10007/492308237790773761/","49 Chambers St, Unit 9B")</f>
        <v>49 Chambers St, Unit 9B</v>
      </c>
      <c r="B1891" s="2" t="str">
        <f>HYPERLINK("https://www.compass.com/building/49-chambers-manhattan-ny/282058733280852725/","49 Chambers")</f>
        <v>49 Chambers</v>
      </c>
      <c r="C1891" s="1" t="s">
        <v>50</v>
      </c>
      <c r="D1891" s="1" t="s">
        <v>41</v>
      </c>
      <c r="E1891" s="3">
        <v>2900000</v>
      </c>
      <c r="F1891" s="1">
        <v>1657.1428571428501</v>
      </c>
      <c r="H1891" s="1">
        <v>2</v>
      </c>
      <c r="J1891" s="1">
        <v>2.5</v>
      </c>
      <c r="M1891" s="4">
        <v>1750</v>
      </c>
      <c r="S1891" s="1" t="s">
        <v>42</v>
      </c>
      <c r="T1891" s="1" t="s">
        <v>273</v>
      </c>
      <c r="V1891" s="5">
        <v>44248</v>
      </c>
      <c r="W1891" s="5">
        <v>43809</v>
      </c>
      <c r="X1891" s="1">
        <v>2975000</v>
      </c>
      <c r="AB1891" s="1" t="s">
        <v>275</v>
      </c>
      <c r="AF1891" s="1">
        <v>10007</v>
      </c>
      <c r="AI1891" s="1" t="s">
        <v>114</v>
      </c>
      <c r="AJ1891" s="1">
        <v>1910</v>
      </c>
      <c r="AK1891" s="1" t="s">
        <v>202</v>
      </c>
      <c r="AL1891" s="1">
        <v>99</v>
      </c>
    </row>
    <row r="1892" spans="1:38" x14ac:dyDescent="0.2">
      <c r="A1892" s="2" t="str">
        <f>HYPERLINK("https://www.compass.com/listing/55-west-17th-street-unit-1001-manhattan-ny-10011/392009437891677889/","55 W 17th St, Unit 1001")</f>
        <v>55 W 17th St, Unit 1001</v>
      </c>
      <c r="B1892" s="2" t="str">
        <f>HYPERLINK("https://www.compass.com/building/55-w-17th-st-manhattan-ny-10011/281911689161499829/","55 W 17th St")</f>
        <v>55 W 17th St</v>
      </c>
      <c r="C1892" s="1" t="s">
        <v>56</v>
      </c>
      <c r="D1892" s="1" t="s">
        <v>41</v>
      </c>
      <c r="E1892" s="3">
        <v>3322040</v>
      </c>
      <c r="F1892" s="1">
        <v>2010.9200968523</v>
      </c>
      <c r="H1892" s="1">
        <v>2</v>
      </c>
      <c r="J1892" s="1">
        <v>2.5</v>
      </c>
      <c r="M1892" s="4">
        <v>1652</v>
      </c>
      <c r="N1892" s="1">
        <v>2174</v>
      </c>
      <c r="O1892" s="1">
        <v>4598</v>
      </c>
      <c r="P1892" s="1">
        <v>2424</v>
      </c>
      <c r="S1892" s="1" t="s">
        <v>42</v>
      </c>
      <c r="T1892" s="1" t="s">
        <v>273</v>
      </c>
      <c r="V1892" s="5">
        <v>44247</v>
      </c>
      <c r="AA1892" s="1">
        <v>3322040</v>
      </c>
      <c r="AB1892" s="1" t="s">
        <v>275</v>
      </c>
      <c r="AC1892" s="5">
        <v>43679</v>
      </c>
      <c r="AF1892" s="1">
        <v>10011</v>
      </c>
      <c r="AI1892" s="1" t="s">
        <v>952</v>
      </c>
      <c r="AJ1892" s="1">
        <v>2018</v>
      </c>
      <c r="AK1892" s="1" t="s">
        <v>55</v>
      </c>
      <c r="AL1892" s="1">
        <v>52</v>
      </c>
    </row>
    <row r="1893" spans="1:38" x14ac:dyDescent="0.2">
      <c r="A1893" s="2" t="str">
        <f>HYPERLINK("https://www.compass.com/listing/111-murray-street-unit-27b-manhattan-ny-10007/424907227231137537/","111 Murray St, Unit 27B")</f>
        <v>111 Murray St, Unit 27B</v>
      </c>
      <c r="B1893" s="2" t="str">
        <f>HYPERLINK("https://www.compass.com/building/111-murray-st-manhattan-ny-10007/281896511862746053/","111 Murray St")</f>
        <v>111 Murray St</v>
      </c>
      <c r="C1893" s="1" t="s">
        <v>50</v>
      </c>
      <c r="D1893" s="1" t="s">
        <v>41</v>
      </c>
      <c r="E1893" s="3">
        <v>3272500</v>
      </c>
      <c r="F1893" s="1">
        <v>2069.8924731182701</v>
      </c>
      <c r="H1893" s="1">
        <v>2</v>
      </c>
      <c r="J1893" s="1">
        <v>2</v>
      </c>
      <c r="M1893" s="4">
        <v>1581</v>
      </c>
      <c r="N1893" s="1">
        <v>1775</v>
      </c>
      <c r="O1893" s="1">
        <v>4267</v>
      </c>
      <c r="P1893" s="1">
        <v>2492</v>
      </c>
      <c r="Q1893" s="1" t="s">
        <v>42</v>
      </c>
      <c r="S1893" s="1" t="s">
        <v>42</v>
      </c>
      <c r="T1893" s="1" t="s">
        <v>273</v>
      </c>
      <c r="AA1893" s="1">
        <v>3272500</v>
      </c>
      <c r="AB1893" s="1" t="s">
        <v>1006</v>
      </c>
      <c r="AC1893" s="5">
        <v>43784</v>
      </c>
      <c r="AF1893" s="1">
        <v>10007</v>
      </c>
      <c r="AI1893" s="1" t="s">
        <v>80</v>
      </c>
      <c r="AJ1893" s="1">
        <v>2018</v>
      </c>
      <c r="AK1893" s="1" t="s">
        <v>49</v>
      </c>
      <c r="AL1893" s="1">
        <v>157</v>
      </c>
    </row>
    <row r="1894" spans="1:38" x14ac:dyDescent="0.2">
      <c r="A1894" s="2" t="str">
        <f>HYPERLINK("https://www.compass.com/listing/270-riverside-drive-unit-2a-manhattan-ny-10025/756411581836848929/","270 Riverside Dr, Unit 2A")</f>
        <v>270 Riverside Dr, Unit 2A</v>
      </c>
      <c r="B1894" s="2" t="str">
        <f>HYPERLINK("https://www.compass.com/building/270-riverside-dr-manhattan-ny-10025/281970283991095285/","270 Riverside Dr")</f>
        <v>270 Riverside Dr</v>
      </c>
      <c r="C1894" s="1" t="s">
        <v>57</v>
      </c>
      <c r="D1894" s="1" t="s">
        <v>41</v>
      </c>
      <c r="E1894" s="3">
        <v>3500000</v>
      </c>
      <c r="F1894" s="1">
        <v>1230.22847100175</v>
      </c>
      <c r="G1894" s="1">
        <v>9</v>
      </c>
      <c r="H1894" s="1">
        <v>5</v>
      </c>
      <c r="I1894" s="1">
        <v>3</v>
      </c>
      <c r="J1894" s="1">
        <v>3</v>
      </c>
      <c r="K1894" s="1">
        <v>3</v>
      </c>
      <c r="M1894" s="4">
        <v>2845</v>
      </c>
      <c r="N1894" s="1">
        <v>3120</v>
      </c>
      <c r="O1894" s="1">
        <v>5966.5</v>
      </c>
      <c r="P1894" s="1">
        <v>2846.5</v>
      </c>
      <c r="Q1894" s="1" t="s">
        <v>42</v>
      </c>
      <c r="S1894" s="1" t="s">
        <v>42</v>
      </c>
      <c r="T1894" s="1" t="s">
        <v>273</v>
      </c>
      <c r="U1894" s="1">
        <v>111</v>
      </c>
      <c r="V1894" s="5">
        <v>44426</v>
      </c>
      <c r="W1894" s="5">
        <v>44295</v>
      </c>
      <c r="X1894" s="1">
        <v>3650000</v>
      </c>
      <c r="Y1894" s="1">
        <v>3650000</v>
      </c>
      <c r="Z1894" s="5">
        <v>44406</v>
      </c>
      <c r="AA1894" s="1">
        <v>3500000</v>
      </c>
      <c r="AB1894" s="1" t="s">
        <v>275</v>
      </c>
      <c r="AC1894" s="5">
        <v>44424</v>
      </c>
      <c r="AF1894" s="1">
        <v>10025</v>
      </c>
      <c r="AI1894" s="1" t="s">
        <v>1007</v>
      </c>
      <c r="AJ1894" s="1">
        <v>1920</v>
      </c>
      <c r="AK1894" s="1" t="s">
        <v>215</v>
      </c>
      <c r="AL1894" s="1">
        <v>57</v>
      </c>
    </row>
    <row r="1895" spans="1:38" x14ac:dyDescent="0.2">
      <c r="A1895" s="2" t="str">
        <f>HYPERLINK("https://www.compass.com/listing/121-east-22nd-street-unit-n507-manhattan-ny-10010/34698235679467921/","121 E 22nd St, Unit N507")</f>
        <v>121 E 22nd St, Unit N507</v>
      </c>
      <c r="B1895" s="2" t="str">
        <f t="shared" ref="B1895:B1898" si="298">HYPERLINK("https://www.compass.com/building/121-e-22nd-manhattan-ny/292795784653461493/","121 E 22nd")</f>
        <v>121 E 22nd</v>
      </c>
      <c r="C1895" s="1" t="s">
        <v>64</v>
      </c>
      <c r="D1895" s="1" t="s">
        <v>41</v>
      </c>
      <c r="E1895" s="3">
        <v>1374638</v>
      </c>
      <c r="F1895" s="1">
        <v>1870.25578231292</v>
      </c>
      <c r="G1895" s="1">
        <v>2</v>
      </c>
      <c r="H1895" s="1" t="s">
        <v>99</v>
      </c>
      <c r="I1895" s="1">
        <v>1</v>
      </c>
      <c r="J1895" s="1">
        <v>1</v>
      </c>
      <c r="K1895" s="1">
        <v>1</v>
      </c>
      <c r="M1895" s="1">
        <v>735</v>
      </c>
      <c r="N1895" s="1">
        <v>775</v>
      </c>
      <c r="O1895" s="1">
        <v>2145</v>
      </c>
      <c r="P1895" s="1">
        <v>1370</v>
      </c>
      <c r="Q1895" s="1" t="s">
        <v>42</v>
      </c>
      <c r="S1895" s="1" t="s">
        <v>42</v>
      </c>
      <c r="T1895" s="1" t="s">
        <v>273</v>
      </c>
      <c r="V1895" s="5">
        <v>44373</v>
      </c>
      <c r="W1895" s="5">
        <v>43315</v>
      </c>
      <c r="X1895" s="1">
        <v>1350000</v>
      </c>
      <c r="Y1895" s="1">
        <v>1350000</v>
      </c>
      <c r="Z1895" s="5">
        <v>43315</v>
      </c>
      <c r="AA1895" s="1">
        <v>1374638</v>
      </c>
      <c r="AB1895" s="1" t="s">
        <v>1008</v>
      </c>
      <c r="AC1895" s="5">
        <v>43546</v>
      </c>
      <c r="AF1895" s="1">
        <v>10010</v>
      </c>
      <c r="AI1895" s="1" t="s">
        <v>106</v>
      </c>
      <c r="AJ1895" s="1">
        <v>2016</v>
      </c>
      <c r="AK1895" s="1" t="s">
        <v>46</v>
      </c>
      <c r="AL1895" s="1">
        <v>140</v>
      </c>
    </row>
    <row r="1896" spans="1:38" x14ac:dyDescent="0.2">
      <c r="A1896" s="2" t="str">
        <f>HYPERLINK("https://www.compass.com/listing/121-east-22nd-street-unit-n603-manhattan-ny-10010/34705205555708401/","121 E 22nd St, Unit N603")</f>
        <v>121 E 22nd St, Unit N603</v>
      </c>
      <c r="B1896" s="2" t="str">
        <f t="shared" si="298"/>
        <v>121 E 22nd</v>
      </c>
      <c r="C1896" s="1" t="s">
        <v>64</v>
      </c>
      <c r="D1896" s="1" t="s">
        <v>41</v>
      </c>
      <c r="E1896" s="3">
        <v>1359364</v>
      </c>
      <c r="F1896" s="1">
        <v>2206.7597402597398</v>
      </c>
      <c r="G1896" s="1">
        <v>2</v>
      </c>
      <c r="H1896" s="1" t="s">
        <v>99</v>
      </c>
      <c r="I1896" s="1">
        <v>1</v>
      </c>
      <c r="J1896" s="1">
        <v>1</v>
      </c>
      <c r="K1896" s="1">
        <v>1</v>
      </c>
      <c r="M1896" s="1">
        <v>616</v>
      </c>
      <c r="N1896" s="1">
        <v>667</v>
      </c>
      <c r="O1896" s="1">
        <v>1849</v>
      </c>
      <c r="P1896" s="1">
        <v>1182</v>
      </c>
      <c r="Q1896" s="1" t="s">
        <v>42</v>
      </c>
      <c r="S1896" s="1" t="s">
        <v>42</v>
      </c>
      <c r="T1896" s="1" t="s">
        <v>273</v>
      </c>
      <c r="V1896" s="5">
        <v>44373</v>
      </c>
      <c r="W1896" s="5">
        <v>43315</v>
      </c>
      <c r="X1896" s="1">
        <v>1335000</v>
      </c>
      <c r="Y1896" s="1">
        <v>1335000</v>
      </c>
      <c r="Z1896" s="5">
        <v>43315</v>
      </c>
      <c r="AA1896" s="1">
        <v>1359364</v>
      </c>
      <c r="AB1896" s="1" t="s">
        <v>1009</v>
      </c>
      <c r="AC1896" s="5">
        <v>43540</v>
      </c>
      <c r="AF1896" s="1">
        <v>10010</v>
      </c>
      <c r="AI1896" s="1" t="s">
        <v>106</v>
      </c>
      <c r="AJ1896" s="1">
        <v>2016</v>
      </c>
      <c r="AK1896" s="1" t="s">
        <v>46</v>
      </c>
      <c r="AL1896" s="1">
        <v>140</v>
      </c>
    </row>
    <row r="1897" spans="1:38" x14ac:dyDescent="0.2">
      <c r="A1897" s="2" t="str">
        <f>HYPERLINK("https://www.compass.com/listing/121-east-22nd-street-unit-n407-manhattan-ny-10010/99043158318436657/","121 E 22nd St, Unit N407")</f>
        <v>121 E 22nd St, Unit N407</v>
      </c>
      <c r="B1897" s="2" t="str">
        <f t="shared" si="298"/>
        <v>121 E 22nd</v>
      </c>
      <c r="C1897" s="1" t="s">
        <v>64</v>
      </c>
      <c r="D1897" s="1" t="s">
        <v>41</v>
      </c>
      <c r="E1897" s="3">
        <v>1400094</v>
      </c>
      <c r="G1897" s="1">
        <v>2</v>
      </c>
      <c r="H1897" s="1" t="s">
        <v>99</v>
      </c>
      <c r="I1897" s="1">
        <v>1</v>
      </c>
      <c r="J1897" s="1">
        <v>1</v>
      </c>
      <c r="K1897" s="1">
        <v>1</v>
      </c>
      <c r="Q1897" s="1" t="s">
        <v>42</v>
      </c>
      <c r="S1897" s="1" t="s">
        <v>42</v>
      </c>
      <c r="T1897" s="1" t="s">
        <v>273</v>
      </c>
      <c r="V1897" s="5">
        <v>44334</v>
      </c>
      <c r="W1897" s="5">
        <v>43389</v>
      </c>
      <c r="X1897" s="1">
        <v>1375000</v>
      </c>
      <c r="Y1897" s="1">
        <v>1375000</v>
      </c>
      <c r="Z1897" s="5">
        <v>43389</v>
      </c>
      <c r="AA1897" s="1">
        <v>1400094</v>
      </c>
      <c r="AB1897" s="1" t="s">
        <v>1010</v>
      </c>
      <c r="AC1897" s="5">
        <v>43543</v>
      </c>
      <c r="AF1897" s="1">
        <v>10010</v>
      </c>
      <c r="AI1897" s="1" t="s">
        <v>106</v>
      </c>
      <c r="AJ1897" s="1">
        <v>2016</v>
      </c>
      <c r="AK1897" s="1" t="s">
        <v>46</v>
      </c>
      <c r="AL1897" s="1">
        <v>140</v>
      </c>
    </row>
    <row r="1898" spans="1:38" x14ac:dyDescent="0.2">
      <c r="A1898" s="2" t="str">
        <f>HYPERLINK("https://www.compass.com/listing/121-east-22nd-street-unit-n1203-manhattan-ny-10010/99043158905677409/","121 E 22nd St, Unit N1203")</f>
        <v>121 E 22nd St, Unit N1203</v>
      </c>
      <c r="B1898" s="2" t="str">
        <f t="shared" si="298"/>
        <v>121 E 22nd</v>
      </c>
      <c r="C1898" s="1" t="s">
        <v>64</v>
      </c>
      <c r="D1898" s="1" t="s">
        <v>41</v>
      </c>
      <c r="E1898" s="3">
        <v>1486645</v>
      </c>
      <c r="G1898" s="1">
        <v>2</v>
      </c>
      <c r="H1898" s="1" t="s">
        <v>99</v>
      </c>
      <c r="I1898" s="1">
        <v>1</v>
      </c>
      <c r="J1898" s="1">
        <v>1</v>
      </c>
      <c r="K1898" s="1">
        <v>1</v>
      </c>
      <c r="Q1898" s="1" t="s">
        <v>42</v>
      </c>
      <c r="S1898" s="1" t="s">
        <v>42</v>
      </c>
      <c r="T1898" s="1" t="s">
        <v>273</v>
      </c>
      <c r="V1898" s="5">
        <v>44057</v>
      </c>
      <c r="W1898" s="5">
        <v>43388</v>
      </c>
      <c r="X1898" s="1">
        <v>1460000</v>
      </c>
      <c r="Y1898" s="1">
        <v>1460000</v>
      </c>
      <c r="Z1898" s="5">
        <v>43388</v>
      </c>
      <c r="AA1898" s="1">
        <v>1486645</v>
      </c>
      <c r="AB1898" s="1" t="s">
        <v>1011</v>
      </c>
      <c r="AC1898" s="5">
        <v>43592</v>
      </c>
      <c r="AF1898" s="1">
        <v>10010</v>
      </c>
      <c r="AI1898" s="1" t="s">
        <v>106</v>
      </c>
      <c r="AJ1898" s="1">
        <v>2016</v>
      </c>
      <c r="AK1898" s="1" t="s">
        <v>46</v>
      </c>
      <c r="AL1898" s="1">
        <v>140</v>
      </c>
    </row>
    <row r="1899" spans="1:38" x14ac:dyDescent="0.2">
      <c r="A1899" s="2" t="str">
        <f>HYPERLINK("https://www.compass.com/listing/601-washington-street-unit-twnhw-manhattan-ny-10014/349175425525140369/","601 Washington St, Unit TWNHW")</f>
        <v>601 Washington St, Unit TWNHW</v>
      </c>
      <c r="B1899" s="2" t="str">
        <f>HYPERLINK("https://www.compass.com/building/601-washington-st-manhattan-ny-10014/281934908392260869/","601 Washington St")</f>
        <v>601 Washington St</v>
      </c>
      <c r="C1899" s="1" t="s">
        <v>67</v>
      </c>
      <c r="D1899" s="1" t="s">
        <v>41</v>
      </c>
      <c r="E1899" s="3">
        <v>18250000</v>
      </c>
      <c r="F1899" s="1">
        <v>2287.8275040742101</v>
      </c>
      <c r="G1899" s="1">
        <v>12</v>
      </c>
      <c r="H1899" s="1">
        <v>4</v>
      </c>
      <c r="I1899" s="1">
        <v>6</v>
      </c>
      <c r="J1899" s="1">
        <v>5.5</v>
      </c>
      <c r="K1899" s="1">
        <v>5</v>
      </c>
      <c r="L1899" s="1">
        <v>1</v>
      </c>
      <c r="M1899" s="4">
        <v>7977</v>
      </c>
      <c r="N1899" s="1">
        <v>2902</v>
      </c>
      <c r="O1899" s="1">
        <v>7321</v>
      </c>
      <c r="P1899" s="1">
        <v>4419</v>
      </c>
      <c r="Q1899" s="1" t="s">
        <v>42</v>
      </c>
      <c r="S1899" s="1" t="s">
        <v>42</v>
      </c>
      <c r="T1899" s="1" t="s">
        <v>273</v>
      </c>
      <c r="U1899" s="1">
        <v>163</v>
      </c>
      <c r="V1899" s="5">
        <v>44267</v>
      </c>
      <c r="W1899" s="5">
        <v>43732</v>
      </c>
      <c r="X1899" s="1">
        <v>19942500</v>
      </c>
      <c r="Y1899" s="1">
        <v>19942500</v>
      </c>
      <c r="Z1899" s="5">
        <v>43896</v>
      </c>
      <c r="AA1899" s="1">
        <v>18250000</v>
      </c>
      <c r="AB1899" s="1" t="s">
        <v>275</v>
      </c>
      <c r="AC1899" s="5">
        <v>44225</v>
      </c>
      <c r="AF1899" s="1">
        <v>10014</v>
      </c>
      <c r="AI1899" s="1" t="s">
        <v>177</v>
      </c>
      <c r="AJ1899" s="1">
        <v>2015</v>
      </c>
      <c r="AK1899" s="1" t="s">
        <v>55</v>
      </c>
      <c r="AL1899" s="1">
        <v>8</v>
      </c>
    </row>
    <row r="1900" spans="1:38" x14ac:dyDescent="0.2">
      <c r="A1900" s="2" t="str">
        <f>HYPERLINK("https://www.compass.com/listing/70-charlton-street-unit-17c-manhattan-ny-10014/267952327669953217/","70 Charlton St, Unit 17C")</f>
        <v>70 Charlton St, Unit 17C</v>
      </c>
      <c r="B1900" s="2" t="str">
        <f>HYPERLINK("https://www.compass.com/building/70-charlton-street-manhattan-ny/292835639240484293/","70 Charlton Street")</f>
        <v>70 Charlton Street</v>
      </c>
      <c r="C1900" s="1" t="s">
        <v>298</v>
      </c>
      <c r="D1900" s="1" t="s">
        <v>41</v>
      </c>
      <c r="E1900" s="3">
        <v>3578057</v>
      </c>
      <c r="F1900" s="1">
        <v>2012.40551181102</v>
      </c>
      <c r="G1900" s="1">
        <v>5</v>
      </c>
      <c r="H1900" s="1">
        <v>3</v>
      </c>
      <c r="I1900" s="1">
        <v>3</v>
      </c>
      <c r="J1900" s="1">
        <v>3</v>
      </c>
      <c r="K1900" s="1">
        <v>3</v>
      </c>
      <c r="M1900" s="4">
        <v>1778</v>
      </c>
      <c r="N1900" s="1">
        <v>4068</v>
      </c>
      <c r="O1900" s="1">
        <v>4068</v>
      </c>
      <c r="Q1900" s="1" t="s">
        <v>505</v>
      </c>
      <c r="S1900" s="1" t="s">
        <v>505</v>
      </c>
      <c r="T1900" s="1" t="s">
        <v>273</v>
      </c>
      <c r="U1900" s="1">
        <v>30</v>
      </c>
      <c r="V1900" s="5">
        <v>43683</v>
      </c>
      <c r="W1900" s="5">
        <v>43592</v>
      </c>
      <c r="X1900" s="1">
        <v>3560000</v>
      </c>
      <c r="Y1900" s="1">
        <v>3560000</v>
      </c>
      <c r="Z1900" s="5">
        <v>43622</v>
      </c>
      <c r="AA1900" s="1">
        <v>3578057</v>
      </c>
      <c r="AB1900" s="1" t="s">
        <v>1012</v>
      </c>
      <c r="AC1900" s="5">
        <v>43644</v>
      </c>
      <c r="AF1900" s="1">
        <v>10014</v>
      </c>
      <c r="AI1900" s="1" t="s">
        <v>80</v>
      </c>
      <c r="AJ1900" s="1">
        <v>2016</v>
      </c>
      <c r="AK1900" s="1" t="s">
        <v>46</v>
      </c>
      <c r="AL1900" s="1">
        <v>92</v>
      </c>
    </row>
    <row r="1901" spans="1:38" x14ac:dyDescent="0.2">
      <c r="A1901" s="2" t="str">
        <f>HYPERLINK("https://www.compass.com/listing/49-chambers-street-unit-8g-manhattan-ny-10007/492308161605551009/","49 Chambers St, Unit 8G")</f>
        <v>49 Chambers St, Unit 8G</v>
      </c>
      <c r="B1901" s="2" t="str">
        <f>HYPERLINK("https://www.compass.com/building/49-chambers-manhattan-ny/282058733280852725/","49 Chambers")</f>
        <v>49 Chambers</v>
      </c>
      <c r="C1901" s="1" t="s">
        <v>50</v>
      </c>
      <c r="D1901" s="1" t="s">
        <v>41</v>
      </c>
      <c r="E1901" s="3">
        <v>1900000</v>
      </c>
      <c r="F1901" s="1">
        <v>1653.6118363794601</v>
      </c>
      <c r="H1901" s="1">
        <v>1</v>
      </c>
      <c r="J1901" s="1">
        <v>2</v>
      </c>
      <c r="M1901" s="4">
        <v>1149</v>
      </c>
      <c r="S1901" s="1" t="s">
        <v>42</v>
      </c>
      <c r="T1901" s="1" t="s">
        <v>273</v>
      </c>
      <c r="V1901" s="5">
        <v>44248</v>
      </c>
      <c r="W1901" s="5">
        <v>43809</v>
      </c>
      <c r="X1901" s="1">
        <v>1925000</v>
      </c>
      <c r="AB1901" s="1" t="s">
        <v>275</v>
      </c>
      <c r="AF1901" s="1">
        <v>10007</v>
      </c>
      <c r="AI1901" s="1" t="s">
        <v>78</v>
      </c>
      <c r="AJ1901" s="1">
        <v>1910</v>
      </c>
      <c r="AK1901" s="1" t="s">
        <v>125</v>
      </c>
      <c r="AL1901" s="1">
        <v>99</v>
      </c>
    </row>
    <row r="1902" spans="1:38" x14ac:dyDescent="0.2">
      <c r="A1902" s="2" t="str">
        <f>HYPERLINK("https://www.compass.com/listing/100-barrow-street-unit-6b-manhattan-ny-10014/391346542690055809/","100 Barrow St, Unit 6B")</f>
        <v>100 Barrow St, Unit 6B</v>
      </c>
      <c r="B1902" s="2" t="str">
        <f t="shared" ref="B1902:B1904" si="299">HYPERLINK("https://www.compass.com/building/100-barrow-manhattan-ny/292834978184618837/","100 Barrow")</f>
        <v>100 Barrow</v>
      </c>
      <c r="C1902" s="1" t="s">
        <v>67</v>
      </c>
      <c r="D1902" s="1" t="s">
        <v>41</v>
      </c>
      <c r="E1902" s="3">
        <v>4400000</v>
      </c>
      <c r="F1902" s="1">
        <v>1821.94616977225</v>
      </c>
      <c r="H1902" s="1">
        <v>3</v>
      </c>
      <c r="I1902" s="1">
        <v>4</v>
      </c>
      <c r="J1902" s="1">
        <v>3.5</v>
      </c>
      <c r="K1902" s="1">
        <v>3</v>
      </c>
      <c r="L1902" s="1">
        <v>1</v>
      </c>
      <c r="M1902" s="4">
        <v>2415</v>
      </c>
      <c r="S1902" s="1" t="s">
        <v>181</v>
      </c>
      <c r="T1902" s="1" t="s">
        <v>273</v>
      </c>
      <c r="V1902" s="5">
        <v>44247</v>
      </c>
      <c r="AA1902" s="1">
        <v>4400000</v>
      </c>
      <c r="AB1902" s="1" t="s">
        <v>275</v>
      </c>
      <c r="AC1902" s="5">
        <v>43679</v>
      </c>
      <c r="AF1902" s="1">
        <v>10014</v>
      </c>
      <c r="AJ1902" s="1">
        <v>2015</v>
      </c>
      <c r="AK1902" s="1" t="s">
        <v>202</v>
      </c>
      <c r="AL1902" s="1">
        <v>33</v>
      </c>
    </row>
    <row r="1903" spans="1:38" x14ac:dyDescent="0.2">
      <c r="A1903" s="2" t="str">
        <f>HYPERLINK("https://www.compass.com/listing/100-barrow-street-unit-4b-manhattan-ny-10014/391838749423715425/","100 Barrow St, Unit 4B")</f>
        <v>100 Barrow St, Unit 4B</v>
      </c>
      <c r="B1903" s="2" t="str">
        <f t="shared" si="299"/>
        <v>100 Barrow</v>
      </c>
      <c r="C1903" s="1" t="s">
        <v>67</v>
      </c>
      <c r="D1903" s="1" t="s">
        <v>41</v>
      </c>
      <c r="E1903" s="3">
        <v>4382625</v>
      </c>
      <c r="F1903" s="1">
        <v>1814.75155279503</v>
      </c>
      <c r="H1903" s="1">
        <v>3</v>
      </c>
      <c r="J1903" s="1">
        <v>3.5</v>
      </c>
      <c r="M1903" s="4">
        <v>2415</v>
      </c>
      <c r="N1903" s="1">
        <v>6417</v>
      </c>
      <c r="O1903" s="1">
        <v>6417</v>
      </c>
      <c r="S1903" s="1" t="s">
        <v>181</v>
      </c>
      <c r="T1903" s="1" t="s">
        <v>273</v>
      </c>
      <c r="V1903" s="5">
        <v>43792</v>
      </c>
      <c r="AA1903" s="1">
        <v>4382625</v>
      </c>
      <c r="AB1903" s="1" t="s">
        <v>275</v>
      </c>
      <c r="AC1903" s="5">
        <v>43679</v>
      </c>
      <c r="AF1903" s="1">
        <v>10014</v>
      </c>
      <c r="AJ1903" s="1">
        <v>2015</v>
      </c>
      <c r="AK1903" s="1" t="s">
        <v>202</v>
      </c>
      <c r="AL1903" s="1">
        <v>33</v>
      </c>
    </row>
    <row r="1904" spans="1:38" x14ac:dyDescent="0.2">
      <c r="A1904" s="2" t="str">
        <f>HYPERLINK("https://www.compass.com/listing/100-barrow-street-unit-5b-manhattan-ny-10014/391906693541152161/","100 Barrow St, Unit 5B")</f>
        <v>100 Barrow St, Unit 5B</v>
      </c>
      <c r="B1904" s="2" t="str">
        <f t="shared" si="299"/>
        <v>100 Barrow</v>
      </c>
      <c r="C1904" s="1" t="s">
        <v>67</v>
      </c>
      <c r="D1904" s="1" t="s">
        <v>41</v>
      </c>
      <c r="E1904" s="3">
        <v>4400000</v>
      </c>
      <c r="F1904" s="1">
        <v>1821.94616977225</v>
      </c>
      <c r="H1904" s="1">
        <v>3</v>
      </c>
      <c r="J1904" s="1">
        <v>3.5</v>
      </c>
      <c r="M1904" s="4">
        <v>2415</v>
      </c>
      <c r="N1904" s="1">
        <v>6475</v>
      </c>
      <c r="O1904" s="1">
        <v>6475</v>
      </c>
      <c r="S1904" s="1" t="s">
        <v>181</v>
      </c>
      <c r="T1904" s="1" t="s">
        <v>273</v>
      </c>
      <c r="V1904" s="5">
        <v>44247</v>
      </c>
      <c r="AA1904" s="1">
        <v>4400000</v>
      </c>
      <c r="AB1904" s="1" t="s">
        <v>275</v>
      </c>
      <c r="AC1904" s="5">
        <v>43679</v>
      </c>
      <c r="AF1904" s="1">
        <v>10014</v>
      </c>
      <c r="AJ1904" s="1">
        <v>2015</v>
      </c>
      <c r="AK1904" s="1" t="s">
        <v>202</v>
      </c>
      <c r="AL1904" s="1">
        <v>33</v>
      </c>
    </row>
    <row r="1905" spans="1:38" x14ac:dyDescent="0.2">
      <c r="A1905" s="2" t="str">
        <f>HYPERLINK("https://www.compass.com/listing/100-avenue-a-unit-7b-manhattan-ny-10009/483749926514728009/","100 Avenue A, Unit 7B")</f>
        <v>100 Avenue A, Unit 7B</v>
      </c>
      <c r="B1905" s="2" t="str">
        <f>HYPERLINK("https://www.compass.com/building/100-avenue-a-manhattan-ny-10009/389273110856657541/","100 Avenue A")</f>
        <v>100 Avenue A</v>
      </c>
      <c r="C1905" s="1" t="s">
        <v>71</v>
      </c>
      <c r="D1905" s="1" t="s">
        <v>41</v>
      </c>
      <c r="E1905" s="3">
        <v>4159551</v>
      </c>
      <c r="F1905" s="1">
        <v>2756.4951954937001</v>
      </c>
      <c r="H1905" s="1">
        <v>2</v>
      </c>
      <c r="J1905" s="1">
        <v>2</v>
      </c>
      <c r="K1905" s="1">
        <v>2</v>
      </c>
      <c r="M1905" s="4">
        <v>1509</v>
      </c>
      <c r="N1905" s="1">
        <v>1172.4100000000001</v>
      </c>
      <c r="O1905" s="1">
        <v>1887.96</v>
      </c>
      <c r="P1905" s="1">
        <v>715.58333333333303</v>
      </c>
      <c r="Q1905" s="1" t="s">
        <v>42</v>
      </c>
      <c r="S1905" s="1" t="s">
        <v>42</v>
      </c>
      <c r="T1905" s="1" t="s">
        <v>273</v>
      </c>
      <c r="AA1905" s="1">
        <v>4159551.25</v>
      </c>
      <c r="AB1905" s="1" t="s">
        <v>1013</v>
      </c>
      <c r="AC1905" s="5">
        <v>42725</v>
      </c>
      <c r="AF1905" s="1">
        <v>10009</v>
      </c>
      <c r="AI1905" s="1" t="s">
        <v>66</v>
      </c>
      <c r="AJ1905" s="1">
        <v>2016</v>
      </c>
      <c r="AK1905" s="1" t="s">
        <v>55</v>
      </c>
    </row>
    <row r="1906" spans="1:38" x14ac:dyDescent="0.2">
      <c r="A1906" s="2" t="str">
        <f>HYPERLINK("https://www.compass.com/listing/21-east-12th-street-unit-5a-manhattan-ny-10003/728317736242709969/","21 E 12th St, Unit 5A")</f>
        <v>21 E 12th St, Unit 5A</v>
      </c>
      <c r="B1906" s="2" t="str">
        <f>HYPERLINK("https://www.compass.com/building/21-east-12th-street-manhattan-ny/292779727154847925/","21 East 12th Street")</f>
        <v>21 East 12th Street</v>
      </c>
      <c r="C1906" s="1" t="s">
        <v>277</v>
      </c>
      <c r="D1906" s="1" t="s">
        <v>41</v>
      </c>
      <c r="E1906" s="3">
        <v>3750000</v>
      </c>
      <c r="F1906" s="1">
        <v>2537.21244925575</v>
      </c>
      <c r="G1906" s="1">
        <v>4</v>
      </c>
      <c r="H1906" s="1">
        <v>2</v>
      </c>
      <c r="I1906" s="1">
        <v>3</v>
      </c>
      <c r="J1906" s="1">
        <v>2.5</v>
      </c>
      <c r="K1906" s="1">
        <v>2</v>
      </c>
      <c r="L1906" s="1">
        <v>1</v>
      </c>
      <c r="M1906" s="4">
        <v>1478</v>
      </c>
      <c r="N1906" s="1">
        <v>2149</v>
      </c>
      <c r="O1906" s="1">
        <v>4083</v>
      </c>
      <c r="P1906" s="1">
        <v>1934</v>
      </c>
      <c r="Q1906" s="1" t="s">
        <v>42</v>
      </c>
      <c r="S1906" s="1" t="s">
        <v>42</v>
      </c>
      <c r="T1906" s="1" t="s">
        <v>273</v>
      </c>
      <c r="U1906" s="1">
        <v>14</v>
      </c>
      <c r="V1906" s="5">
        <v>44357</v>
      </c>
      <c r="W1906" s="5">
        <v>44253</v>
      </c>
      <c r="X1906" s="1">
        <v>3850000</v>
      </c>
      <c r="Y1906" s="1">
        <v>3850000</v>
      </c>
      <c r="Z1906" s="5">
        <v>44271</v>
      </c>
      <c r="AA1906" s="1">
        <v>3750000</v>
      </c>
      <c r="AB1906" s="1" t="s">
        <v>1014</v>
      </c>
      <c r="AC1906" s="5">
        <v>44333</v>
      </c>
      <c r="AF1906" s="1">
        <v>10003</v>
      </c>
      <c r="AI1906" s="1" t="s">
        <v>1015</v>
      </c>
      <c r="AJ1906" s="1">
        <v>2018</v>
      </c>
      <c r="AK1906" s="1" t="s">
        <v>46</v>
      </c>
      <c r="AL1906" s="1">
        <v>52</v>
      </c>
    </row>
    <row r="1907" spans="1:38" x14ac:dyDescent="0.2">
      <c r="A1907" s="2" t="str">
        <f>HYPERLINK("https://www.compass.com/listing/111-murray-street-unit-33b-manhattan-ny-10007/125033711535209089/","111 Murray St, Unit 33B")</f>
        <v>111 Murray St, Unit 33B</v>
      </c>
      <c r="B1907" s="2" t="str">
        <f t="shared" ref="B1907:B1919" si="300">HYPERLINK("https://www.compass.com/building/111-murray-st-manhattan-ny-10007/281896511862746053/","111 Murray St")</f>
        <v>111 Murray St</v>
      </c>
      <c r="C1907" s="1" t="s">
        <v>50</v>
      </c>
      <c r="D1907" s="1" t="s">
        <v>41</v>
      </c>
      <c r="E1907" s="3">
        <v>4887600</v>
      </c>
      <c r="F1907" s="1">
        <v>2933.7334933973498</v>
      </c>
      <c r="H1907" s="1">
        <v>2</v>
      </c>
      <c r="J1907" s="1">
        <v>2.5</v>
      </c>
      <c r="K1907" s="1">
        <v>2</v>
      </c>
      <c r="L1907" s="1">
        <v>1</v>
      </c>
      <c r="M1907" s="4">
        <v>1666</v>
      </c>
      <c r="N1907" s="1">
        <v>2007</v>
      </c>
      <c r="O1907" s="1">
        <v>4833</v>
      </c>
      <c r="P1907" s="1">
        <v>2826</v>
      </c>
      <c r="Q1907" s="1" t="s">
        <v>42</v>
      </c>
      <c r="S1907" s="1" t="s">
        <v>42</v>
      </c>
      <c r="T1907" s="1" t="s">
        <v>273</v>
      </c>
      <c r="AA1907" s="1">
        <v>4887600</v>
      </c>
      <c r="AB1907" s="1" t="s">
        <v>1016</v>
      </c>
      <c r="AC1907" s="5">
        <v>43412</v>
      </c>
      <c r="AF1907" s="1">
        <v>10007</v>
      </c>
      <c r="AI1907" s="1" t="s">
        <v>80</v>
      </c>
      <c r="AJ1907" s="1">
        <v>2018</v>
      </c>
      <c r="AK1907" s="1" t="s">
        <v>49</v>
      </c>
      <c r="AL1907" s="1">
        <v>157</v>
      </c>
    </row>
    <row r="1908" spans="1:38" x14ac:dyDescent="0.2">
      <c r="A1908" s="2" t="str">
        <f>HYPERLINK("https://www.compass.com/listing/111-murray-street-unit-24a-manhattan-ny-10007/276883020252712785/","111 Murray St, Unit 24A")</f>
        <v>111 Murray St, Unit 24A</v>
      </c>
      <c r="B1908" s="2" t="str">
        <f t="shared" si="300"/>
        <v>111 Murray St</v>
      </c>
      <c r="C1908" s="1" t="s">
        <v>50</v>
      </c>
      <c r="D1908" s="1" t="s">
        <v>41</v>
      </c>
      <c r="E1908" s="3">
        <v>4480300</v>
      </c>
      <c r="F1908" s="1">
        <v>2812.4921531701102</v>
      </c>
      <c r="H1908" s="1">
        <v>2</v>
      </c>
      <c r="J1908" s="1">
        <v>2.5</v>
      </c>
      <c r="K1908" s="1">
        <v>2</v>
      </c>
      <c r="L1908" s="1">
        <v>1</v>
      </c>
      <c r="M1908" s="4">
        <v>1593</v>
      </c>
      <c r="N1908" s="1">
        <v>1841</v>
      </c>
      <c r="O1908" s="1">
        <v>4567.9399999999996</v>
      </c>
      <c r="P1908" s="1">
        <v>2726.9166666666601</v>
      </c>
      <c r="Q1908" s="1" t="s">
        <v>42</v>
      </c>
      <c r="S1908" s="1" t="s">
        <v>42</v>
      </c>
      <c r="T1908" s="1" t="s">
        <v>273</v>
      </c>
      <c r="AA1908" s="1">
        <v>4480300</v>
      </c>
      <c r="AB1908" s="1" t="s">
        <v>1017</v>
      </c>
      <c r="AC1908" s="5">
        <v>43593</v>
      </c>
      <c r="AF1908" s="1">
        <v>10007</v>
      </c>
      <c r="AI1908" s="1" t="s">
        <v>80</v>
      </c>
      <c r="AJ1908" s="1">
        <v>2018</v>
      </c>
      <c r="AK1908" s="1" t="s">
        <v>49</v>
      </c>
      <c r="AL1908" s="1">
        <v>157</v>
      </c>
    </row>
    <row r="1909" spans="1:38" x14ac:dyDescent="0.2">
      <c r="A1909" s="2" t="str">
        <f>HYPERLINK("https://www.compass.com/listing/111-murray-street-unit-29a-manhattan-ny-10007/276883025151738961/","111 Murray St, Unit 29A")</f>
        <v>111 Murray St, Unit 29A</v>
      </c>
      <c r="B1909" s="2" t="str">
        <f t="shared" si="300"/>
        <v>111 Murray St</v>
      </c>
      <c r="C1909" s="1" t="s">
        <v>50</v>
      </c>
      <c r="D1909" s="1" t="s">
        <v>41</v>
      </c>
      <c r="E1909" s="3">
        <v>4531213</v>
      </c>
      <c r="F1909" s="1">
        <v>2844.45229127432</v>
      </c>
      <c r="H1909" s="1">
        <v>2</v>
      </c>
      <c r="J1909" s="1">
        <v>2.5</v>
      </c>
      <c r="K1909" s="1">
        <v>2</v>
      </c>
      <c r="L1909" s="1">
        <v>1</v>
      </c>
      <c r="M1909" s="4">
        <v>1593</v>
      </c>
      <c r="N1909" s="1">
        <v>1824</v>
      </c>
      <c r="O1909" s="1">
        <v>4386</v>
      </c>
      <c r="P1909" s="1">
        <v>2562</v>
      </c>
      <c r="Q1909" s="1" t="s">
        <v>42</v>
      </c>
      <c r="S1909" s="1" t="s">
        <v>42</v>
      </c>
      <c r="T1909" s="1" t="s">
        <v>273</v>
      </c>
      <c r="AA1909" s="1">
        <v>4531212.5</v>
      </c>
      <c r="AB1909" s="1" t="s">
        <v>1018</v>
      </c>
      <c r="AC1909" s="5">
        <v>43593</v>
      </c>
      <c r="AF1909" s="1">
        <v>10007</v>
      </c>
      <c r="AI1909" s="1" t="s">
        <v>80</v>
      </c>
      <c r="AJ1909" s="1">
        <v>2018</v>
      </c>
      <c r="AK1909" s="1" t="s">
        <v>49</v>
      </c>
      <c r="AL1909" s="1">
        <v>157</v>
      </c>
    </row>
    <row r="1910" spans="1:38" x14ac:dyDescent="0.2">
      <c r="A1910" s="2" t="str">
        <f>HYPERLINK("https://www.compass.com/listing/111-murray-street-unit-27a-manhattan-ny-10007/324759028588419473/","111 Murray St, Unit 27A")</f>
        <v>111 Murray St, Unit 27A</v>
      </c>
      <c r="B1910" s="2" t="str">
        <f t="shared" si="300"/>
        <v>111 Murray St</v>
      </c>
      <c r="C1910" s="1" t="s">
        <v>50</v>
      </c>
      <c r="D1910" s="1" t="s">
        <v>41</v>
      </c>
      <c r="E1910" s="3">
        <v>4260000</v>
      </c>
      <c r="F1910" s="1">
        <v>2674.19962335216</v>
      </c>
      <c r="H1910" s="1">
        <v>2</v>
      </c>
      <c r="J1910" s="1">
        <v>2.5</v>
      </c>
      <c r="M1910" s="4">
        <v>1593</v>
      </c>
      <c r="N1910" s="1">
        <v>1805</v>
      </c>
      <c r="O1910" s="1">
        <v>4340</v>
      </c>
      <c r="P1910" s="1">
        <v>2535</v>
      </c>
      <c r="Q1910" s="1" t="s">
        <v>42</v>
      </c>
      <c r="S1910" s="1" t="s">
        <v>42</v>
      </c>
      <c r="T1910" s="1" t="s">
        <v>273</v>
      </c>
      <c r="AA1910" s="1">
        <v>4260000</v>
      </c>
      <c r="AB1910" s="1" t="s">
        <v>1019</v>
      </c>
      <c r="AC1910" s="5">
        <v>43606</v>
      </c>
      <c r="AF1910" s="1">
        <v>10007</v>
      </c>
      <c r="AI1910" s="1" t="s">
        <v>80</v>
      </c>
      <c r="AJ1910" s="1">
        <v>2018</v>
      </c>
      <c r="AK1910" s="1" t="s">
        <v>49</v>
      </c>
      <c r="AL1910" s="1">
        <v>157</v>
      </c>
    </row>
    <row r="1911" spans="1:38" x14ac:dyDescent="0.2">
      <c r="A1911" s="2" t="str">
        <f>HYPERLINK("https://www.compass.com/listing/111-murray-street-unit-30b-manhattan-ny-10007/370697023755016097/","111 Murray St, Unit 30B")</f>
        <v>111 Murray St, Unit 30B</v>
      </c>
      <c r="B1911" s="2" t="str">
        <f t="shared" si="300"/>
        <v>111 Murray St</v>
      </c>
      <c r="C1911" s="1" t="s">
        <v>50</v>
      </c>
      <c r="D1911" s="1" t="s">
        <v>41</v>
      </c>
      <c r="E1911" s="3">
        <v>4150000</v>
      </c>
      <c r="F1911" s="1">
        <v>2624.9209361163798</v>
      </c>
      <c r="H1911" s="1">
        <v>2</v>
      </c>
      <c r="J1911" s="1">
        <v>2</v>
      </c>
      <c r="K1911" s="1">
        <v>2</v>
      </c>
      <c r="M1911" s="4">
        <v>1581</v>
      </c>
      <c r="N1911" s="1">
        <v>1884</v>
      </c>
      <c r="O1911" s="1">
        <v>4706</v>
      </c>
      <c r="P1911" s="1">
        <v>2822</v>
      </c>
      <c r="Q1911" s="1" t="s">
        <v>42</v>
      </c>
      <c r="S1911" s="1" t="s">
        <v>42</v>
      </c>
      <c r="T1911" s="1" t="s">
        <v>273</v>
      </c>
      <c r="AA1911" s="1">
        <v>4150000</v>
      </c>
      <c r="AB1911" s="1" t="s">
        <v>1020</v>
      </c>
      <c r="AC1911" s="5">
        <v>43733</v>
      </c>
      <c r="AF1911" s="1">
        <v>10007</v>
      </c>
      <c r="AI1911" s="1" t="s">
        <v>80</v>
      </c>
      <c r="AJ1911" s="1">
        <v>2018</v>
      </c>
      <c r="AK1911" s="1" t="s">
        <v>49</v>
      </c>
      <c r="AL1911" s="1">
        <v>157</v>
      </c>
    </row>
    <row r="1912" spans="1:38" x14ac:dyDescent="0.2">
      <c r="A1912" s="2" t="str">
        <f>HYPERLINK("https://www.compass.com/listing/111-murray-street-unit-25b-manhattan-ny-10007/373595204627518209/","111 Murray St, Unit 25B")</f>
        <v>111 Murray St, Unit 25B</v>
      </c>
      <c r="B1912" s="2" t="str">
        <f t="shared" si="300"/>
        <v>111 Murray St</v>
      </c>
      <c r="C1912" s="1" t="s">
        <v>50</v>
      </c>
      <c r="D1912" s="1" t="s">
        <v>41</v>
      </c>
      <c r="E1912" s="3">
        <v>3875000</v>
      </c>
      <c r="F1912" s="1">
        <v>2450.98039215686</v>
      </c>
      <c r="H1912" s="1">
        <v>2</v>
      </c>
      <c r="J1912" s="1">
        <v>2</v>
      </c>
      <c r="K1912" s="1">
        <v>2</v>
      </c>
      <c r="M1912" s="4">
        <v>1581</v>
      </c>
      <c r="N1912" s="1">
        <v>1824</v>
      </c>
      <c r="O1912" s="1">
        <v>4299</v>
      </c>
      <c r="P1912" s="1">
        <v>2475</v>
      </c>
      <c r="Q1912" s="1" t="s">
        <v>42</v>
      </c>
      <c r="S1912" s="1" t="s">
        <v>42</v>
      </c>
      <c r="T1912" s="1" t="s">
        <v>273</v>
      </c>
      <c r="AA1912" s="1">
        <v>3875000</v>
      </c>
      <c r="AB1912" s="1" t="s">
        <v>1021</v>
      </c>
      <c r="AC1912" s="5">
        <v>43742</v>
      </c>
      <c r="AF1912" s="1">
        <v>10007</v>
      </c>
      <c r="AI1912" s="1" t="s">
        <v>80</v>
      </c>
      <c r="AJ1912" s="1">
        <v>2018</v>
      </c>
      <c r="AK1912" s="1" t="s">
        <v>49</v>
      </c>
      <c r="AL1912" s="1">
        <v>157</v>
      </c>
    </row>
    <row r="1913" spans="1:38" x14ac:dyDescent="0.2">
      <c r="A1913" s="2" t="str">
        <f>HYPERLINK("https://www.compass.com/listing/111-murray-street-unit-17b-manhattan-ny-10007/70671957586203713/","111 Murray St, Unit 17B")</f>
        <v>111 Murray St, Unit 17B</v>
      </c>
      <c r="B1913" s="2" t="str">
        <f t="shared" si="300"/>
        <v>111 Murray St</v>
      </c>
      <c r="C1913" s="1" t="s">
        <v>50</v>
      </c>
      <c r="D1913" s="1" t="s">
        <v>41</v>
      </c>
      <c r="E1913" s="3">
        <v>3818438</v>
      </c>
      <c r="F1913" s="1">
        <v>2415.2039848197301</v>
      </c>
      <c r="H1913" s="1">
        <v>2</v>
      </c>
      <c r="J1913" s="1">
        <v>2</v>
      </c>
      <c r="K1913" s="1">
        <v>2</v>
      </c>
      <c r="M1913" s="4">
        <v>1581</v>
      </c>
      <c r="N1913" s="1">
        <v>1923</v>
      </c>
      <c r="O1913" s="1">
        <v>5099</v>
      </c>
      <c r="P1913" s="1">
        <v>3176</v>
      </c>
      <c r="Q1913" s="1" t="s">
        <v>42</v>
      </c>
      <c r="S1913" s="1" t="s">
        <v>42</v>
      </c>
      <c r="T1913" s="1" t="s">
        <v>273</v>
      </c>
      <c r="AA1913" s="1">
        <v>3818437.5</v>
      </c>
      <c r="AB1913" s="1" t="s">
        <v>1022</v>
      </c>
      <c r="AC1913" s="5">
        <v>43341</v>
      </c>
      <c r="AF1913" s="1">
        <v>10007</v>
      </c>
      <c r="AI1913" s="1" t="s">
        <v>80</v>
      </c>
      <c r="AJ1913" s="1">
        <v>2018</v>
      </c>
      <c r="AK1913" s="1" t="s">
        <v>49</v>
      </c>
      <c r="AL1913" s="1">
        <v>157</v>
      </c>
    </row>
    <row r="1914" spans="1:38" x14ac:dyDescent="0.2">
      <c r="A1914" s="2" t="str">
        <f>HYPERLINK("https://www.compass.com/listing/111-murray-street-unit-20b-manhattan-ny-10007/84428810564469153/","111 Murray St, Unit 20B")</f>
        <v>111 Murray St, Unit 20B</v>
      </c>
      <c r="B1914" s="2" t="str">
        <f t="shared" si="300"/>
        <v>111 Murray St</v>
      </c>
      <c r="C1914" s="1" t="s">
        <v>50</v>
      </c>
      <c r="D1914" s="1" t="s">
        <v>41</v>
      </c>
      <c r="E1914" s="3">
        <v>3971175</v>
      </c>
      <c r="F1914" s="1">
        <v>2511.8121442125198</v>
      </c>
      <c r="H1914" s="1">
        <v>2</v>
      </c>
      <c r="J1914" s="1">
        <v>2</v>
      </c>
      <c r="K1914" s="1">
        <v>2</v>
      </c>
      <c r="M1914" s="4">
        <v>1581</v>
      </c>
      <c r="N1914" s="1">
        <v>1774</v>
      </c>
      <c r="O1914" s="1">
        <v>4401</v>
      </c>
      <c r="P1914" s="1">
        <v>2627</v>
      </c>
      <c r="Q1914" s="1" t="s">
        <v>42</v>
      </c>
      <c r="S1914" s="1" t="s">
        <v>42</v>
      </c>
      <c r="T1914" s="1" t="s">
        <v>273</v>
      </c>
      <c r="AA1914" s="1">
        <v>3971175</v>
      </c>
      <c r="AB1914" s="1" t="s">
        <v>1023</v>
      </c>
      <c r="AC1914" s="5">
        <v>43361</v>
      </c>
      <c r="AF1914" s="1">
        <v>10007</v>
      </c>
      <c r="AI1914" s="1" t="s">
        <v>80</v>
      </c>
      <c r="AJ1914" s="1">
        <v>2018</v>
      </c>
      <c r="AK1914" s="1" t="s">
        <v>49</v>
      </c>
      <c r="AL1914" s="1">
        <v>157</v>
      </c>
    </row>
    <row r="1915" spans="1:38" x14ac:dyDescent="0.2">
      <c r="A1915" s="2" t="str">
        <f>HYPERLINK("https://www.compass.com/listing/111-murray-street-unit-40a-manhattan-ny-10007/276883042885267041/","111 Murray St, Unit 40A")</f>
        <v>111 Murray St, Unit 40A</v>
      </c>
      <c r="B1915" s="2" t="str">
        <f t="shared" si="300"/>
        <v>111 Murray St</v>
      </c>
      <c r="C1915" s="1" t="s">
        <v>50</v>
      </c>
      <c r="D1915" s="1" t="s">
        <v>41</v>
      </c>
      <c r="E1915" s="3">
        <v>6150000</v>
      </c>
      <c r="F1915" s="1">
        <v>3193.14641744548</v>
      </c>
      <c r="H1915" s="1">
        <v>3</v>
      </c>
      <c r="J1915" s="1">
        <v>3.5</v>
      </c>
      <c r="M1915" s="4">
        <v>1926</v>
      </c>
      <c r="N1915" s="1">
        <v>2306</v>
      </c>
      <c r="O1915" s="1">
        <v>5544</v>
      </c>
      <c r="P1915" s="1">
        <v>3238</v>
      </c>
      <c r="Q1915" s="1" t="s">
        <v>42</v>
      </c>
      <c r="S1915" s="1" t="s">
        <v>42</v>
      </c>
      <c r="T1915" s="1" t="s">
        <v>273</v>
      </c>
      <c r="AA1915" s="1">
        <v>6150000</v>
      </c>
      <c r="AB1915" s="1" t="s">
        <v>1024</v>
      </c>
      <c r="AC1915" s="5">
        <v>43616</v>
      </c>
      <c r="AF1915" s="1">
        <v>10007</v>
      </c>
      <c r="AI1915" s="1" t="s">
        <v>80</v>
      </c>
      <c r="AJ1915" s="1">
        <v>2018</v>
      </c>
      <c r="AK1915" s="1" t="s">
        <v>49</v>
      </c>
      <c r="AL1915" s="1">
        <v>157</v>
      </c>
    </row>
    <row r="1916" spans="1:38" x14ac:dyDescent="0.2">
      <c r="A1916" s="2" t="str">
        <f>HYPERLINK("https://www.compass.com/listing/111-murray-street-unit-34a-manhattan-ny-10007/324759069239617793/","111 Murray St, Unit 34A")</f>
        <v>111 Murray St, Unit 34A</v>
      </c>
      <c r="B1916" s="2" t="str">
        <f t="shared" si="300"/>
        <v>111 Murray St</v>
      </c>
      <c r="C1916" s="1" t="s">
        <v>50</v>
      </c>
      <c r="D1916" s="1" t="s">
        <v>41</v>
      </c>
      <c r="E1916" s="3">
        <v>5498550</v>
      </c>
      <c r="F1916" s="1">
        <v>2854.9065420560701</v>
      </c>
      <c r="H1916" s="1">
        <v>3</v>
      </c>
      <c r="J1916" s="1">
        <v>3.5</v>
      </c>
      <c r="K1916" s="1">
        <v>3</v>
      </c>
      <c r="L1916" s="1">
        <v>1</v>
      </c>
      <c r="M1916" s="4">
        <v>1926</v>
      </c>
      <c r="N1916" s="1">
        <v>2270</v>
      </c>
      <c r="O1916" s="1">
        <v>5351</v>
      </c>
      <c r="P1916" s="1">
        <v>3081</v>
      </c>
      <c r="Q1916" s="1" t="s">
        <v>42</v>
      </c>
      <c r="S1916" s="1" t="s">
        <v>42</v>
      </c>
      <c r="T1916" s="1" t="s">
        <v>273</v>
      </c>
      <c r="AA1916" s="1">
        <v>5498550</v>
      </c>
      <c r="AB1916" s="1" t="s">
        <v>1025</v>
      </c>
      <c r="AC1916" s="5">
        <v>43620</v>
      </c>
      <c r="AF1916" s="1">
        <v>10007</v>
      </c>
      <c r="AI1916" s="1" t="s">
        <v>80</v>
      </c>
      <c r="AJ1916" s="1">
        <v>2018</v>
      </c>
      <c r="AK1916" s="1" t="s">
        <v>49</v>
      </c>
      <c r="AL1916" s="1">
        <v>157</v>
      </c>
    </row>
    <row r="1917" spans="1:38" x14ac:dyDescent="0.2">
      <c r="A1917" s="2" t="str">
        <f>HYPERLINK("https://www.compass.com/listing/111-murray-street-unit-42a-manhattan-ny-10007/324759167075960849/","111 Murray St, Unit 42A")</f>
        <v>111 Murray St, Unit 42A</v>
      </c>
      <c r="B1917" s="2" t="str">
        <f t="shared" si="300"/>
        <v>111 Murray St</v>
      </c>
      <c r="C1917" s="1" t="s">
        <v>50</v>
      </c>
      <c r="D1917" s="1" t="s">
        <v>41</v>
      </c>
      <c r="E1917" s="3">
        <v>6465888</v>
      </c>
      <c r="F1917" s="1">
        <v>3357.1586188992701</v>
      </c>
      <c r="H1917" s="1">
        <v>3</v>
      </c>
      <c r="J1917" s="1">
        <v>3.5</v>
      </c>
      <c r="M1917" s="4">
        <v>1926</v>
      </c>
      <c r="N1917" s="1">
        <v>2335</v>
      </c>
      <c r="O1917" s="1">
        <v>5614</v>
      </c>
      <c r="P1917" s="1">
        <v>3279</v>
      </c>
      <c r="Q1917" s="1" t="s">
        <v>42</v>
      </c>
      <c r="S1917" s="1" t="s">
        <v>42</v>
      </c>
      <c r="T1917" s="1" t="s">
        <v>273</v>
      </c>
      <c r="AA1917" s="1">
        <v>6465887.5</v>
      </c>
      <c r="AB1917" s="1" t="s">
        <v>1026</v>
      </c>
      <c r="AC1917" s="5">
        <v>43620</v>
      </c>
      <c r="AF1917" s="1">
        <v>10007</v>
      </c>
      <c r="AI1917" s="1" t="s">
        <v>80</v>
      </c>
      <c r="AJ1917" s="1">
        <v>2018</v>
      </c>
      <c r="AK1917" s="1" t="s">
        <v>49</v>
      </c>
      <c r="AL1917" s="1">
        <v>157</v>
      </c>
    </row>
    <row r="1918" spans="1:38" x14ac:dyDescent="0.2">
      <c r="A1918" s="2" t="str">
        <f>HYPERLINK("https://www.compass.com/listing/111-murray-street-unit-44a-manhattan-ny-10007/338010411924061617/","111 Murray St, Unit 44A")</f>
        <v>111 Murray St, Unit 44A</v>
      </c>
      <c r="B1918" s="2" t="str">
        <f t="shared" si="300"/>
        <v>111 Murray St</v>
      </c>
      <c r="C1918" s="1" t="s">
        <v>50</v>
      </c>
      <c r="D1918" s="1" t="s">
        <v>41</v>
      </c>
      <c r="E1918" s="3">
        <v>6262238</v>
      </c>
      <c r="F1918" s="1">
        <v>3261.58203125</v>
      </c>
      <c r="H1918" s="1">
        <v>3</v>
      </c>
      <c r="J1918" s="1">
        <v>3.5</v>
      </c>
      <c r="K1918" s="1">
        <v>3</v>
      </c>
      <c r="L1918" s="1">
        <v>1</v>
      </c>
      <c r="M1918" s="4">
        <v>1920</v>
      </c>
      <c r="N1918" s="1">
        <v>2437</v>
      </c>
      <c r="O1918" s="1">
        <v>6950.49</v>
      </c>
      <c r="P1918" s="1">
        <v>4513.5</v>
      </c>
      <c r="Q1918" s="1" t="s">
        <v>42</v>
      </c>
      <c r="S1918" s="1" t="s">
        <v>42</v>
      </c>
      <c r="T1918" s="1" t="s">
        <v>273</v>
      </c>
      <c r="AA1918" s="1">
        <v>6262237.5</v>
      </c>
      <c r="AB1918" s="1" t="s">
        <v>1027</v>
      </c>
      <c r="AC1918" s="5">
        <v>43644</v>
      </c>
      <c r="AF1918" s="1">
        <v>10007</v>
      </c>
      <c r="AI1918" s="1" t="s">
        <v>80</v>
      </c>
      <c r="AJ1918" s="1">
        <v>2018</v>
      </c>
      <c r="AK1918" s="1" t="s">
        <v>49</v>
      </c>
      <c r="AL1918" s="1">
        <v>157</v>
      </c>
    </row>
    <row r="1919" spans="1:38" x14ac:dyDescent="0.2">
      <c r="A1919" s="2" t="str">
        <f>HYPERLINK("https://www.compass.com/listing/111-murray-street-unit-36a-manhattan-ny-10007/618194491838948513/","111 Murray St, Unit 36A")</f>
        <v>111 Murray St, Unit 36A</v>
      </c>
      <c r="B1919" s="2" t="str">
        <f t="shared" si="300"/>
        <v>111 Murray St</v>
      </c>
      <c r="C1919" s="1" t="s">
        <v>50</v>
      </c>
      <c r="D1919" s="1" t="s">
        <v>41</v>
      </c>
      <c r="E1919" s="3">
        <v>5563350</v>
      </c>
      <c r="F1919" s="1">
        <v>2888.5514018691501</v>
      </c>
      <c r="H1919" s="1">
        <v>3</v>
      </c>
      <c r="J1919" s="1">
        <v>3.5</v>
      </c>
      <c r="K1919" s="1">
        <v>3</v>
      </c>
      <c r="L1919" s="1">
        <v>1</v>
      </c>
      <c r="M1919" s="4">
        <v>1926</v>
      </c>
      <c r="N1919" s="1">
        <v>2290</v>
      </c>
      <c r="O1919" s="1">
        <v>5720</v>
      </c>
      <c r="P1919" s="1">
        <v>3430</v>
      </c>
      <c r="Q1919" s="1" t="s">
        <v>42</v>
      </c>
      <c r="S1919" s="1" t="s">
        <v>42</v>
      </c>
      <c r="T1919" s="1" t="s">
        <v>273</v>
      </c>
      <c r="AA1919" s="1">
        <v>5563350</v>
      </c>
      <c r="AB1919" s="1" t="s">
        <v>1028</v>
      </c>
      <c r="AC1919" s="5">
        <v>43620</v>
      </c>
      <c r="AF1919" s="1">
        <v>10007</v>
      </c>
      <c r="AI1919" s="1" t="s">
        <v>80</v>
      </c>
      <c r="AJ1919" s="1">
        <v>2018</v>
      </c>
      <c r="AK1919" s="1" t="s">
        <v>49</v>
      </c>
      <c r="AL1919" s="1">
        <v>157</v>
      </c>
    </row>
    <row r="1920" spans="1:38" x14ac:dyDescent="0.2">
      <c r="A1920" s="2" t="str">
        <f>HYPERLINK("https://www.compass.com/listing/55-west-17th-street-unit-1501-manhattan-ny-10011/70929863518840785/","55 W 17th St, Unit 1501")</f>
        <v>55 W 17th St, Unit 1501</v>
      </c>
      <c r="B1920" s="2" t="str">
        <f>HYPERLINK("https://www.compass.com/building/55-w-17th-st-manhattan-ny-10011/281911689161499829/","55 W 17th St")</f>
        <v>55 W 17th St</v>
      </c>
      <c r="C1920" s="1" t="s">
        <v>56</v>
      </c>
      <c r="D1920" s="1" t="s">
        <v>41</v>
      </c>
      <c r="E1920" s="3">
        <v>4757763</v>
      </c>
      <c r="F1920" s="1">
        <v>2662.4302965864499</v>
      </c>
      <c r="G1920" s="1">
        <v>4</v>
      </c>
      <c r="H1920" s="1">
        <v>2</v>
      </c>
      <c r="I1920" s="1">
        <v>3</v>
      </c>
      <c r="J1920" s="1">
        <v>2.5</v>
      </c>
      <c r="M1920" s="4">
        <v>1787</v>
      </c>
      <c r="N1920" s="1">
        <v>2364</v>
      </c>
      <c r="O1920" s="1">
        <v>5148</v>
      </c>
      <c r="P1920" s="1">
        <v>2784</v>
      </c>
      <c r="Q1920" s="1" t="s">
        <v>42</v>
      </c>
      <c r="S1920" s="1" t="s">
        <v>42</v>
      </c>
      <c r="T1920" s="1" t="s">
        <v>273</v>
      </c>
      <c r="U1920" s="1">
        <v>646</v>
      </c>
      <c r="V1920" s="5">
        <v>43173</v>
      </c>
      <c r="W1920" s="5">
        <v>42298</v>
      </c>
      <c r="X1920" s="1">
        <v>4294990</v>
      </c>
      <c r="Y1920" s="1">
        <v>4294990</v>
      </c>
      <c r="AA1920" s="1">
        <v>4757762.9400000004</v>
      </c>
      <c r="AB1920" s="1" t="s">
        <v>965</v>
      </c>
      <c r="AC1920" s="5">
        <v>42944</v>
      </c>
      <c r="AF1920" s="1">
        <v>10011</v>
      </c>
      <c r="AI1920" s="1" t="s">
        <v>952</v>
      </c>
      <c r="AJ1920" s="1">
        <v>2018</v>
      </c>
      <c r="AK1920" s="1" t="s">
        <v>108</v>
      </c>
      <c r="AL1920" s="1">
        <v>52</v>
      </c>
    </row>
    <row r="1921" spans="1:38" x14ac:dyDescent="0.2">
      <c r="A1921" s="2" t="str">
        <f>HYPERLINK("https://www.compass.com/listing/270-riverside-drive-unit-3b-manhattan-ny-10025/29431398863523633/","270 Riverside Dr, Unit 3B")</f>
        <v>270 Riverside Dr, Unit 3B</v>
      </c>
      <c r="B1921" s="2" t="str">
        <f>HYPERLINK("https://www.compass.com/building/270-riverside-dr-manhattan-ny-10025/281970283991095285/","270 Riverside Dr")</f>
        <v>270 Riverside Dr</v>
      </c>
      <c r="C1921" s="1" t="s">
        <v>57</v>
      </c>
      <c r="D1921" s="1" t="s">
        <v>41</v>
      </c>
      <c r="E1921" s="3">
        <v>3156575</v>
      </c>
      <c r="F1921" s="1">
        <v>1416.7751346499099</v>
      </c>
      <c r="G1921" s="1">
        <v>7</v>
      </c>
      <c r="H1921" s="1">
        <v>4</v>
      </c>
      <c r="I1921" s="1">
        <v>3</v>
      </c>
      <c r="J1921" s="1">
        <v>3</v>
      </c>
      <c r="K1921" s="1">
        <v>3</v>
      </c>
      <c r="M1921" s="4">
        <v>2228</v>
      </c>
      <c r="N1921" s="1">
        <v>1971</v>
      </c>
      <c r="O1921" s="1">
        <v>2973</v>
      </c>
      <c r="P1921" s="1">
        <v>1002</v>
      </c>
      <c r="Q1921" s="1" t="s">
        <v>42</v>
      </c>
      <c r="S1921" s="1" t="s">
        <v>42</v>
      </c>
      <c r="T1921" s="1" t="s">
        <v>273</v>
      </c>
      <c r="U1921" s="1">
        <v>87</v>
      </c>
      <c r="V1921" s="5">
        <v>43789</v>
      </c>
      <c r="W1921" s="5">
        <v>42815</v>
      </c>
      <c r="X1921" s="1">
        <v>3395000</v>
      </c>
      <c r="Y1921" s="1">
        <v>3395000</v>
      </c>
      <c r="Z1921" s="5">
        <v>42902</v>
      </c>
      <c r="AA1921" s="1">
        <v>3156575</v>
      </c>
      <c r="AB1921" s="1" t="s">
        <v>1029</v>
      </c>
      <c r="AC1921" s="5">
        <v>43003</v>
      </c>
      <c r="AF1921" s="1">
        <v>10025</v>
      </c>
      <c r="AJ1921" s="1">
        <v>1920</v>
      </c>
      <c r="AK1921" s="1" t="s">
        <v>215</v>
      </c>
      <c r="AL1921" s="1">
        <v>57</v>
      </c>
    </row>
    <row r="1922" spans="1:38" x14ac:dyDescent="0.2">
      <c r="A1922" s="2" t="str">
        <f>HYPERLINK("https://www.compass.com/listing/100-barrow-street-unit-9b-manhattan-ny-10014/391878299806090753/","100 Barrow St, Unit 9B")</f>
        <v>100 Barrow St, Unit 9B</v>
      </c>
      <c r="B1922" s="2" t="str">
        <f t="shared" ref="B1922:B1923" si="301">HYPERLINK("https://www.compass.com/building/100-barrow-manhattan-ny/292834978184618837/","100 Barrow")</f>
        <v>100 Barrow</v>
      </c>
      <c r="C1922" s="1" t="s">
        <v>67</v>
      </c>
      <c r="D1922" s="1" t="s">
        <v>41</v>
      </c>
      <c r="E1922" s="3">
        <v>6499990</v>
      </c>
      <c r="F1922" s="1">
        <v>2775.4013663535402</v>
      </c>
      <c r="H1922" s="1">
        <v>3</v>
      </c>
      <c r="J1922" s="1">
        <v>3.5</v>
      </c>
      <c r="M1922" s="4">
        <v>2342</v>
      </c>
      <c r="N1922" s="1">
        <v>6520</v>
      </c>
      <c r="O1922" s="1">
        <v>6520</v>
      </c>
      <c r="S1922" s="1" t="s">
        <v>181</v>
      </c>
      <c r="T1922" s="1" t="s">
        <v>273</v>
      </c>
      <c r="V1922" s="5">
        <v>43793</v>
      </c>
      <c r="AA1922" s="1">
        <v>6499990</v>
      </c>
      <c r="AB1922" s="1" t="s">
        <v>275</v>
      </c>
      <c r="AC1922" s="5">
        <v>43679</v>
      </c>
      <c r="AF1922" s="1">
        <v>10014</v>
      </c>
      <c r="AJ1922" s="1">
        <v>2015</v>
      </c>
      <c r="AK1922" s="1" t="s">
        <v>202</v>
      </c>
      <c r="AL1922" s="1">
        <v>33</v>
      </c>
    </row>
    <row r="1923" spans="1:38" x14ac:dyDescent="0.2">
      <c r="A1923" s="2" t="str">
        <f>HYPERLINK("https://www.compass.com/listing/100-barrow-street-unit-10b-manhattan-ny-10014/391883786048128593/","100 Barrow St, Unit 10B")</f>
        <v>100 Barrow St, Unit 10B</v>
      </c>
      <c r="B1923" s="2" t="str">
        <f t="shared" si="301"/>
        <v>100 Barrow</v>
      </c>
      <c r="C1923" s="1" t="s">
        <v>67</v>
      </c>
      <c r="D1923" s="1" t="s">
        <v>41</v>
      </c>
      <c r="E1923" s="3">
        <v>6539990</v>
      </c>
      <c r="F1923" s="1">
        <v>2812.8989247311802</v>
      </c>
      <c r="H1923" s="1">
        <v>3</v>
      </c>
      <c r="J1923" s="1">
        <v>3.5</v>
      </c>
      <c r="M1923" s="4">
        <v>2325</v>
      </c>
      <c r="N1923" s="1">
        <v>6535</v>
      </c>
      <c r="O1923" s="1">
        <v>6535</v>
      </c>
      <c r="S1923" s="1" t="s">
        <v>181</v>
      </c>
      <c r="T1923" s="1" t="s">
        <v>273</v>
      </c>
      <c r="V1923" s="5">
        <v>44247</v>
      </c>
      <c r="AA1923" s="1">
        <v>6539990</v>
      </c>
      <c r="AB1923" s="1" t="s">
        <v>275</v>
      </c>
      <c r="AC1923" s="5">
        <v>43679</v>
      </c>
      <c r="AF1923" s="1">
        <v>10014</v>
      </c>
      <c r="AJ1923" s="1">
        <v>2015</v>
      </c>
      <c r="AK1923" s="1" t="s">
        <v>202</v>
      </c>
      <c r="AL1923" s="1">
        <v>33</v>
      </c>
    </row>
    <row r="1924" spans="1:38" x14ac:dyDescent="0.2">
      <c r="A1924" s="2" t="str">
        <f>HYPERLINK("https://www.compass.com/listing/49-chambers-street-unit-7d-manhattan-ny-10007/492308159122522953/","49 Chambers St, Unit 7D")</f>
        <v>49 Chambers St, Unit 7D</v>
      </c>
      <c r="B1924" s="2" t="str">
        <f t="shared" ref="B1924:B1925" si="302">HYPERLINK("https://www.compass.com/building/49-chambers-manhattan-ny/282058733280852725/","49 Chambers")</f>
        <v>49 Chambers</v>
      </c>
      <c r="C1924" s="1" t="s">
        <v>50</v>
      </c>
      <c r="D1924" s="1" t="s">
        <v>41</v>
      </c>
      <c r="E1924" s="3">
        <v>3650000</v>
      </c>
      <c r="H1924" s="1">
        <v>2</v>
      </c>
      <c r="J1924" s="1">
        <v>2.5</v>
      </c>
      <c r="S1924" s="1" t="s">
        <v>42</v>
      </c>
      <c r="T1924" s="1" t="s">
        <v>273</v>
      </c>
      <c r="V1924" s="5">
        <v>44248</v>
      </c>
      <c r="W1924" s="5">
        <v>43811</v>
      </c>
      <c r="X1924" s="1">
        <v>3800000</v>
      </c>
      <c r="AB1924" s="1" t="s">
        <v>275</v>
      </c>
      <c r="AF1924" s="1">
        <v>10007</v>
      </c>
      <c r="AI1924" s="1" t="s">
        <v>78</v>
      </c>
      <c r="AJ1924" s="1">
        <v>1910</v>
      </c>
      <c r="AK1924" s="1" t="s">
        <v>202</v>
      </c>
      <c r="AL1924" s="1">
        <v>99</v>
      </c>
    </row>
    <row r="1925" spans="1:38" x14ac:dyDescent="0.2">
      <c r="A1925" s="2" t="str">
        <f>HYPERLINK("https://www.compass.com/listing/49-chambers-street-unit-6c-manhattan-ny-10007/492308143955803753/","49 Chambers St, Unit 6C")</f>
        <v>49 Chambers St, Unit 6C</v>
      </c>
      <c r="B1925" s="2" t="str">
        <f t="shared" si="302"/>
        <v>49 Chambers</v>
      </c>
      <c r="C1925" s="1" t="s">
        <v>50</v>
      </c>
      <c r="D1925" s="1" t="s">
        <v>41</v>
      </c>
      <c r="E1925" s="3">
        <v>2000000</v>
      </c>
      <c r="H1925" s="1">
        <v>1</v>
      </c>
      <c r="J1925" s="1">
        <v>1.5</v>
      </c>
      <c r="S1925" s="1" t="s">
        <v>42</v>
      </c>
      <c r="T1925" s="1" t="s">
        <v>273</v>
      </c>
      <c r="V1925" s="5">
        <v>44248</v>
      </c>
      <c r="W1925" s="5">
        <v>43811</v>
      </c>
      <c r="X1925" s="1">
        <v>2150000</v>
      </c>
      <c r="AB1925" s="1" t="s">
        <v>275</v>
      </c>
      <c r="AF1925" s="1">
        <v>10007</v>
      </c>
      <c r="AI1925" s="1" t="s">
        <v>78</v>
      </c>
      <c r="AJ1925" s="1">
        <v>1910</v>
      </c>
      <c r="AK1925" s="1" t="s">
        <v>202</v>
      </c>
      <c r="AL1925" s="1">
        <v>99</v>
      </c>
    </row>
    <row r="1926" spans="1:38" x14ac:dyDescent="0.2">
      <c r="A1926" s="2" t="str">
        <f>HYPERLINK("https://www.compass.com/listing/111-murray-street-unit-11a-manhattan-ny-10007/324758808018167105/","111 Murray St, Unit 11A")</f>
        <v>111 Murray St, Unit 11A</v>
      </c>
      <c r="B1926" s="2" t="str">
        <f>HYPERLINK("https://www.compass.com/building/111-murray-st-manhattan-ny-10007/281896511862746053/","111 Murray St")</f>
        <v>111 Murray St</v>
      </c>
      <c r="C1926" s="1" t="s">
        <v>50</v>
      </c>
      <c r="D1926" s="1" t="s">
        <v>41</v>
      </c>
      <c r="E1926" s="3">
        <v>2240150</v>
      </c>
      <c r="F1926" s="1">
        <v>1989.47602131438</v>
      </c>
      <c r="H1926" s="1">
        <v>1</v>
      </c>
      <c r="J1926" s="1">
        <v>1.5</v>
      </c>
      <c r="M1926" s="4">
        <v>1126</v>
      </c>
      <c r="N1926" s="1">
        <v>1185</v>
      </c>
      <c r="O1926" s="1">
        <v>2849</v>
      </c>
      <c r="P1926" s="1">
        <v>1664</v>
      </c>
      <c r="Q1926" s="1" t="s">
        <v>42</v>
      </c>
      <c r="S1926" s="1" t="s">
        <v>42</v>
      </c>
      <c r="T1926" s="1" t="s">
        <v>273</v>
      </c>
      <c r="AA1926" s="1">
        <v>2240150</v>
      </c>
      <c r="AB1926" s="1" t="s">
        <v>1030</v>
      </c>
      <c r="AC1926" s="5">
        <v>43621</v>
      </c>
      <c r="AF1926" s="1">
        <v>10007</v>
      </c>
      <c r="AI1926" s="1" t="s">
        <v>80</v>
      </c>
      <c r="AJ1926" s="1">
        <v>2018</v>
      </c>
      <c r="AK1926" s="1" t="s">
        <v>49</v>
      </c>
      <c r="AL1926" s="1">
        <v>157</v>
      </c>
    </row>
    <row r="1927" spans="1:38" x14ac:dyDescent="0.2">
      <c r="A1927" s="2" t="str">
        <f>HYPERLINK("https://www.compass.com/listing/160-leroy-street-unit-south9c-manhattan-ny-10014/16651976473389553/","160 Leroy St, Unit SOUTH9C")</f>
        <v>160 Leroy St, Unit SOUTH9C</v>
      </c>
      <c r="B1927" s="2" t="str">
        <f t="shared" ref="B1927:B1929" si="303">HYPERLINK("https://www.compass.com/building/160-leroy-st-manhattan-ny-10014/293418469918017093/","160 Leroy St")</f>
        <v>160 Leroy St</v>
      </c>
      <c r="C1927" s="1" t="s">
        <v>67</v>
      </c>
      <c r="D1927" s="1" t="s">
        <v>41</v>
      </c>
      <c r="E1927" s="3">
        <v>5300000</v>
      </c>
      <c r="F1927" s="1">
        <v>3223.84428223844</v>
      </c>
      <c r="G1927" s="1">
        <v>4</v>
      </c>
      <c r="H1927" s="1">
        <v>2</v>
      </c>
      <c r="I1927" s="1">
        <v>3</v>
      </c>
      <c r="J1927" s="1">
        <v>2.5</v>
      </c>
      <c r="M1927" s="4">
        <v>1644</v>
      </c>
      <c r="N1927" s="1">
        <v>2322</v>
      </c>
      <c r="O1927" s="1">
        <v>4576</v>
      </c>
      <c r="P1927" s="1">
        <v>2254</v>
      </c>
      <c r="Q1927" s="1" t="s">
        <v>42</v>
      </c>
      <c r="S1927" s="1" t="s">
        <v>42</v>
      </c>
      <c r="T1927" s="1" t="s">
        <v>273</v>
      </c>
      <c r="U1927" s="1">
        <v>65</v>
      </c>
      <c r="V1927" s="5">
        <v>43648</v>
      </c>
      <c r="W1927" s="5">
        <v>42485</v>
      </c>
      <c r="X1927" s="1">
        <v>5300000</v>
      </c>
      <c r="Y1927" s="1">
        <v>5300000</v>
      </c>
      <c r="Z1927" s="5">
        <v>42550</v>
      </c>
      <c r="AA1927" s="1">
        <v>5300000</v>
      </c>
      <c r="AB1927" s="1" t="s">
        <v>1031</v>
      </c>
      <c r="AC1927" s="5">
        <v>43272</v>
      </c>
      <c r="AF1927" s="1">
        <v>10014</v>
      </c>
      <c r="AI1927" s="1" t="s">
        <v>65</v>
      </c>
      <c r="AJ1927" s="1">
        <v>2017</v>
      </c>
      <c r="AK1927" s="1" t="s">
        <v>49</v>
      </c>
      <c r="AL1927" s="1">
        <v>57</v>
      </c>
    </row>
    <row r="1928" spans="1:38" x14ac:dyDescent="0.2">
      <c r="A1928" s="2" t="str">
        <f>HYPERLINK("https://www.compass.com/listing/160-leroy-street-unit-south5c-manhattan-ny-10014/4825535365110569841/","160 Leroy St, Unit SOUTH5C")</f>
        <v>160 Leroy St, Unit SOUTH5C</v>
      </c>
      <c r="B1928" s="2" t="str">
        <f t="shared" si="303"/>
        <v>160 Leroy St</v>
      </c>
      <c r="C1928" s="1" t="s">
        <v>67</v>
      </c>
      <c r="D1928" s="1" t="s">
        <v>41</v>
      </c>
      <c r="E1928" s="3">
        <v>4789210</v>
      </c>
      <c r="F1928" s="1">
        <v>2913.14495742092</v>
      </c>
      <c r="G1928" s="1">
        <v>4</v>
      </c>
      <c r="H1928" s="1">
        <v>2</v>
      </c>
      <c r="I1928" s="1">
        <v>3</v>
      </c>
      <c r="J1928" s="1">
        <v>2.5</v>
      </c>
      <c r="M1928" s="4">
        <v>1644</v>
      </c>
      <c r="N1928" s="1">
        <v>2322</v>
      </c>
      <c r="O1928" s="1">
        <v>4576</v>
      </c>
      <c r="P1928" s="1">
        <v>2254</v>
      </c>
      <c r="Q1928" s="1" t="s">
        <v>42</v>
      </c>
      <c r="S1928" s="1" t="s">
        <v>42</v>
      </c>
      <c r="T1928" s="1" t="s">
        <v>273</v>
      </c>
      <c r="U1928" s="1">
        <v>400</v>
      </c>
      <c r="V1928" s="5">
        <v>43648</v>
      </c>
      <c r="W1928" s="5">
        <v>42629</v>
      </c>
      <c r="X1928" s="1">
        <v>4550000</v>
      </c>
      <c r="Y1928" s="1">
        <v>4700000</v>
      </c>
      <c r="Z1928" s="5">
        <v>43029</v>
      </c>
      <c r="AA1928" s="1">
        <v>4789210.3099999996</v>
      </c>
      <c r="AB1928" s="1" t="s">
        <v>1032</v>
      </c>
      <c r="AC1928" s="5">
        <v>43173</v>
      </c>
      <c r="AF1928" s="1">
        <v>10014</v>
      </c>
      <c r="AI1928" s="1" t="s">
        <v>65</v>
      </c>
      <c r="AJ1928" s="1">
        <v>2017</v>
      </c>
      <c r="AK1928" s="1" t="s">
        <v>202</v>
      </c>
      <c r="AL1928" s="1">
        <v>57</v>
      </c>
    </row>
    <row r="1929" spans="1:38" x14ac:dyDescent="0.2">
      <c r="A1929" s="2" t="str">
        <f>HYPERLINK("https://www.compass.com/listing/160-leroy-street-unit-south6c-manhattan-ny-10014/4866127256239484881/","160 Leroy St, Unit SOUTH6C")</f>
        <v>160 Leroy St, Unit SOUTH6C</v>
      </c>
      <c r="B1929" s="2" t="str">
        <f t="shared" si="303"/>
        <v>160 Leroy St</v>
      </c>
      <c r="C1929" s="1" t="s">
        <v>67</v>
      </c>
      <c r="D1929" s="1" t="s">
        <v>41</v>
      </c>
      <c r="E1929" s="3">
        <v>4900000</v>
      </c>
      <c r="F1929" s="1">
        <v>2980.53527980535</v>
      </c>
      <c r="G1929" s="1">
        <v>4</v>
      </c>
      <c r="H1929" s="1">
        <v>2</v>
      </c>
      <c r="I1929" s="1">
        <v>3</v>
      </c>
      <c r="J1929" s="1">
        <v>2.5</v>
      </c>
      <c r="M1929" s="4">
        <v>1644</v>
      </c>
      <c r="N1929" s="1">
        <v>2330</v>
      </c>
      <c r="O1929" s="1">
        <v>4592</v>
      </c>
      <c r="P1929" s="1">
        <v>2262</v>
      </c>
      <c r="Q1929" s="1" t="s">
        <v>42</v>
      </c>
      <c r="S1929" s="1" t="s">
        <v>42</v>
      </c>
      <c r="T1929" s="1" t="s">
        <v>273</v>
      </c>
      <c r="V1929" s="5">
        <v>43648</v>
      </c>
      <c r="W1929" s="5">
        <v>42780</v>
      </c>
      <c r="X1929" s="1">
        <v>4750000</v>
      </c>
      <c r="Y1929" s="1">
        <v>4750000</v>
      </c>
      <c r="Z1929" s="5">
        <v>42780</v>
      </c>
      <c r="AA1929" s="1">
        <v>4900000</v>
      </c>
      <c r="AB1929" s="1" t="s">
        <v>275</v>
      </c>
      <c r="AC1929" s="5">
        <v>43238</v>
      </c>
      <c r="AF1929" s="1">
        <v>10014</v>
      </c>
      <c r="AI1929" s="1" t="s">
        <v>65</v>
      </c>
      <c r="AJ1929" s="1">
        <v>2017</v>
      </c>
      <c r="AK1929" s="1" t="s">
        <v>49</v>
      </c>
      <c r="AL1929" s="1">
        <v>57</v>
      </c>
    </row>
    <row r="1930" spans="1:38" x14ac:dyDescent="0.2">
      <c r="A1930" s="2" t="str">
        <f>HYPERLINK("https://www.compass.com/listing/55-west-17th-street-unit-1102-manhattan-ny-10011/392007110396890721/","55 W 17th St, Unit 1102")</f>
        <v>55 W 17th St, Unit 1102</v>
      </c>
      <c r="B1930" s="2" t="str">
        <f>HYPERLINK("https://www.compass.com/building/55-w-17th-st-manhattan-ny-10011/281911689161499829/","55 W 17th St")</f>
        <v>55 W 17th St</v>
      </c>
      <c r="C1930" s="1" t="s">
        <v>56</v>
      </c>
      <c r="D1930" s="1" t="s">
        <v>41</v>
      </c>
      <c r="E1930" s="3">
        <v>1923973</v>
      </c>
      <c r="F1930" s="1">
        <v>2432.3299620733201</v>
      </c>
      <c r="H1930" s="1">
        <v>1</v>
      </c>
      <c r="J1930" s="1">
        <v>1</v>
      </c>
      <c r="M1930" s="1">
        <v>791</v>
      </c>
      <c r="N1930" s="1">
        <v>986</v>
      </c>
      <c r="O1930" s="1">
        <v>2148</v>
      </c>
      <c r="P1930" s="1">
        <v>1162</v>
      </c>
      <c r="S1930" s="1" t="s">
        <v>181</v>
      </c>
      <c r="T1930" s="1" t="s">
        <v>273</v>
      </c>
      <c r="V1930" s="5">
        <v>44247</v>
      </c>
      <c r="AA1930" s="1">
        <v>1923973</v>
      </c>
      <c r="AB1930" s="1" t="s">
        <v>275</v>
      </c>
      <c r="AC1930" s="5">
        <v>43679</v>
      </c>
      <c r="AF1930" s="1">
        <v>10011</v>
      </c>
      <c r="AI1930" s="1" t="s">
        <v>952</v>
      </c>
      <c r="AJ1930" s="1">
        <v>2018</v>
      </c>
      <c r="AK1930" s="1" t="s">
        <v>55</v>
      </c>
      <c r="AL1930" s="1">
        <v>52</v>
      </c>
    </row>
    <row r="1931" spans="1:38" x14ac:dyDescent="0.2">
      <c r="A1931" s="2" t="str">
        <f>HYPERLINK("https://www.compass.com/listing/160-leroy-street-unit-south11c-manhattan-ny-10014/29514411462921153/","160 Leroy St, Unit SOUTH11C")</f>
        <v>160 Leroy St, Unit SOUTH11C</v>
      </c>
      <c r="B1931" s="2" t="str">
        <f>HYPERLINK("https://www.compass.com/building/160-leroy-st-manhattan-ny-10014/293418469918017093/","160 Leroy St")</f>
        <v>160 Leroy St</v>
      </c>
      <c r="C1931" s="1" t="s">
        <v>67</v>
      </c>
      <c r="D1931" s="1" t="s">
        <v>41</v>
      </c>
      <c r="E1931" s="3">
        <v>5629081</v>
      </c>
      <c r="F1931" s="1">
        <v>3424.0153588807698</v>
      </c>
      <c r="G1931" s="1">
        <v>4</v>
      </c>
      <c r="H1931" s="1">
        <v>2</v>
      </c>
      <c r="I1931" s="1">
        <v>3</v>
      </c>
      <c r="J1931" s="1">
        <v>2.5</v>
      </c>
      <c r="M1931" s="4">
        <v>1644</v>
      </c>
      <c r="N1931" s="1">
        <v>2322</v>
      </c>
      <c r="O1931" s="1">
        <v>4576</v>
      </c>
      <c r="P1931" s="1">
        <v>2254</v>
      </c>
      <c r="Q1931" s="1" t="s">
        <v>42</v>
      </c>
      <c r="S1931" s="1" t="s">
        <v>42</v>
      </c>
      <c r="T1931" s="1" t="s">
        <v>273</v>
      </c>
      <c r="V1931" s="5">
        <v>43647</v>
      </c>
      <c r="W1931" s="5">
        <v>42711</v>
      </c>
      <c r="X1931" s="1">
        <v>5650000</v>
      </c>
      <c r="Y1931" s="1">
        <v>5650000</v>
      </c>
      <c r="Z1931" s="5">
        <v>42711</v>
      </c>
      <c r="AA1931" s="1">
        <v>5629081.25</v>
      </c>
      <c r="AB1931" s="1" t="s">
        <v>1033</v>
      </c>
      <c r="AC1931" s="5">
        <v>43307</v>
      </c>
      <c r="AF1931" s="1">
        <v>10014</v>
      </c>
      <c r="AI1931" s="1" t="s">
        <v>65</v>
      </c>
      <c r="AJ1931" s="1">
        <v>2017</v>
      </c>
      <c r="AK1931" s="1" t="s">
        <v>49</v>
      </c>
      <c r="AL1931" s="1">
        <v>57</v>
      </c>
    </row>
    <row r="1932" spans="1:38" x14ac:dyDescent="0.2">
      <c r="A1932" s="2" t="str">
        <f>HYPERLINK("https://www.compass.com/listing/100-barrow-street-unit-6d-manhattan-ny-10014/29367156454059985/","100 Barrow St, Unit 6D")</f>
        <v>100 Barrow St, Unit 6D</v>
      </c>
      <c r="B1932" s="2" t="str">
        <f t="shared" ref="B1932:B1933" si="304">HYPERLINK("https://www.compass.com/building/100-barrow-manhattan-ny/292834978184618837/","100 Barrow")</f>
        <v>100 Barrow</v>
      </c>
      <c r="C1932" s="1" t="s">
        <v>67</v>
      </c>
      <c r="D1932" s="1" t="s">
        <v>41</v>
      </c>
      <c r="E1932" s="3">
        <v>3387000</v>
      </c>
      <c r="F1932" s="1">
        <v>2097.2136222910199</v>
      </c>
      <c r="H1932" s="1">
        <v>2</v>
      </c>
      <c r="J1932" s="1">
        <v>2.5</v>
      </c>
      <c r="M1932" s="4">
        <v>1615</v>
      </c>
      <c r="N1932" s="1">
        <v>4512</v>
      </c>
      <c r="O1932" s="1">
        <v>4512</v>
      </c>
      <c r="Q1932" s="1" t="s">
        <v>271</v>
      </c>
      <c r="S1932" s="1" t="s">
        <v>271</v>
      </c>
      <c r="T1932" s="1" t="s">
        <v>273</v>
      </c>
      <c r="AA1932" s="1">
        <v>3387000</v>
      </c>
      <c r="AB1932" s="1" t="s">
        <v>1034</v>
      </c>
      <c r="AC1932" s="5">
        <v>43034</v>
      </c>
      <c r="AF1932" s="1">
        <v>10014</v>
      </c>
      <c r="AJ1932" s="1">
        <v>2015</v>
      </c>
      <c r="AK1932" s="1" t="s">
        <v>202</v>
      </c>
      <c r="AL1932" s="1">
        <v>33</v>
      </c>
    </row>
    <row r="1933" spans="1:38" x14ac:dyDescent="0.2">
      <c r="A1933" s="2" t="str">
        <f>HYPERLINK("https://www.compass.com/listing/100-barrow-street-unit-11a-manhattan-ny-10014/317235003527877137/","100 Barrow St, Unit 11A")</f>
        <v>100 Barrow St, Unit 11A</v>
      </c>
      <c r="B1933" s="2" t="str">
        <f t="shared" si="304"/>
        <v>100 Barrow</v>
      </c>
      <c r="C1933" s="1" t="s">
        <v>67</v>
      </c>
      <c r="D1933" s="1" t="s">
        <v>41</v>
      </c>
      <c r="E1933" s="3">
        <v>4200000</v>
      </c>
      <c r="F1933" s="1">
        <v>2360.8768971332202</v>
      </c>
      <c r="H1933" s="1">
        <v>2</v>
      </c>
      <c r="J1933" s="1">
        <v>2.5</v>
      </c>
      <c r="M1933" s="4">
        <v>1779</v>
      </c>
      <c r="N1933" s="1">
        <v>5195</v>
      </c>
      <c r="O1933" s="1">
        <v>5195</v>
      </c>
      <c r="Q1933" s="1" t="s">
        <v>271</v>
      </c>
      <c r="S1933" s="1" t="s">
        <v>271</v>
      </c>
      <c r="T1933" s="1" t="s">
        <v>273</v>
      </c>
      <c r="AA1933" s="1">
        <v>4200000</v>
      </c>
      <c r="AB1933" s="1" t="s">
        <v>1035</v>
      </c>
      <c r="AC1933" s="5">
        <v>43236</v>
      </c>
      <c r="AF1933" s="1">
        <v>10014</v>
      </c>
      <c r="AJ1933" s="1">
        <v>2015</v>
      </c>
      <c r="AK1933" s="1" t="s">
        <v>202</v>
      </c>
      <c r="AL1933" s="1">
        <v>33</v>
      </c>
    </row>
    <row r="1934" spans="1:38" x14ac:dyDescent="0.2">
      <c r="A1934" s="2" t="str">
        <f>HYPERLINK("https://www.compass.com/listing/49-chambers-street-unit-7f-manhattan-ny-10007/492308062074384873/","49 Chambers St, Unit 7F")</f>
        <v>49 Chambers St, Unit 7F</v>
      </c>
      <c r="B1934" s="2" t="str">
        <f t="shared" ref="B1934:B1935" si="305">HYPERLINK("https://www.compass.com/building/49-chambers-manhattan-ny/282058733280852725/","49 Chambers")</f>
        <v>49 Chambers</v>
      </c>
      <c r="C1934" s="1" t="s">
        <v>50</v>
      </c>
      <c r="D1934" s="1" t="s">
        <v>41</v>
      </c>
      <c r="E1934" s="3">
        <v>1650000</v>
      </c>
      <c r="H1934" s="1">
        <v>1</v>
      </c>
      <c r="J1934" s="1">
        <v>1.5</v>
      </c>
      <c r="S1934" s="1" t="s">
        <v>42</v>
      </c>
      <c r="T1934" s="1" t="s">
        <v>273</v>
      </c>
      <c r="V1934" s="5">
        <v>44248</v>
      </c>
      <c r="W1934" s="5">
        <v>43811</v>
      </c>
      <c r="X1934" s="1">
        <v>1670000</v>
      </c>
      <c r="AB1934" s="1" t="s">
        <v>275</v>
      </c>
      <c r="AF1934" s="1">
        <v>10007</v>
      </c>
      <c r="AI1934" s="1" t="s">
        <v>78</v>
      </c>
      <c r="AJ1934" s="1">
        <v>1910</v>
      </c>
      <c r="AK1934" s="1" t="s">
        <v>202</v>
      </c>
      <c r="AL1934" s="1">
        <v>99</v>
      </c>
    </row>
    <row r="1935" spans="1:38" x14ac:dyDescent="0.2">
      <c r="A1935" s="2" t="str">
        <f>HYPERLINK("https://www.compass.com/listing/49-chambers-street-unit-6f-manhattan-ny-10007/492308159382238369/","49 Chambers St, Unit 6F")</f>
        <v>49 Chambers St, Unit 6F</v>
      </c>
      <c r="B1935" s="2" t="str">
        <f t="shared" si="305"/>
        <v>49 Chambers</v>
      </c>
      <c r="C1935" s="1" t="s">
        <v>50</v>
      </c>
      <c r="D1935" s="1" t="s">
        <v>41</v>
      </c>
      <c r="E1935" s="3">
        <v>1580000</v>
      </c>
      <c r="H1935" s="1">
        <v>1</v>
      </c>
      <c r="J1935" s="1">
        <v>1.5</v>
      </c>
      <c r="S1935" s="1" t="s">
        <v>42</v>
      </c>
      <c r="T1935" s="1" t="s">
        <v>273</v>
      </c>
      <c r="V1935" s="5">
        <v>44248</v>
      </c>
      <c r="W1935" s="5">
        <v>43811</v>
      </c>
      <c r="X1935" s="1">
        <v>1650000</v>
      </c>
      <c r="AB1935" s="1" t="s">
        <v>275</v>
      </c>
      <c r="AF1935" s="1">
        <v>10007</v>
      </c>
      <c r="AI1935" s="1" t="s">
        <v>78</v>
      </c>
      <c r="AJ1935" s="1">
        <v>1910</v>
      </c>
      <c r="AK1935" s="1" t="s">
        <v>202</v>
      </c>
      <c r="AL1935" s="1">
        <v>99</v>
      </c>
    </row>
    <row r="1936" spans="1:38" x14ac:dyDescent="0.2">
      <c r="A1936" s="2" t="str">
        <f>HYPERLINK("https://www.compass.com/listing/111-murray-street-unit-15c-manhattan-ny-10007/104724596397194993/","111 Murray St, Unit 15C")</f>
        <v>111 Murray St, Unit 15C</v>
      </c>
      <c r="B1936" s="2" t="str">
        <f t="shared" ref="B1936:B1937" si="306">HYPERLINK("https://www.compass.com/building/111-murray-st-manhattan-ny-10007/281896511862746053/","111 Murray St")</f>
        <v>111 Murray St</v>
      </c>
      <c r="C1936" s="1" t="s">
        <v>50</v>
      </c>
      <c r="D1936" s="1" t="s">
        <v>41</v>
      </c>
      <c r="E1936" s="3">
        <v>2291063</v>
      </c>
      <c r="F1936" s="1">
        <v>2777.04545454545</v>
      </c>
      <c r="H1936" s="1">
        <v>1</v>
      </c>
      <c r="J1936" s="1">
        <v>1</v>
      </c>
      <c r="K1936" s="1">
        <v>1</v>
      </c>
      <c r="M1936" s="1">
        <v>825</v>
      </c>
      <c r="N1936" s="1">
        <v>969</v>
      </c>
      <c r="O1936" s="1">
        <v>2152</v>
      </c>
      <c r="P1936" s="1">
        <v>1183</v>
      </c>
      <c r="Q1936" s="1" t="s">
        <v>42</v>
      </c>
      <c r="S1936" s="1" t="s">
        <v>42</v>
      </c>
      <c r="T1936" s="1" t="s">
        <v>273</v>
      </c>
      <c r="AA1936" s="1">
        <v>2291062.5</v>
      </c>
      <c r="AB1936" s="1" t="s">
        <v>1036</v>
      </c>
      <c r="AC1936" s="5">
        <v>43389</v>
      </c>
      <c r="AF1936" s="1">
        <v>10007</v>
      </c>
      <c r="AI1936" s="1" t="s">
        <v>80</v>
      </c>
      <c r="AJ1936" s="1">
        <v>2018</v>
      </c>
      <c r="AK1936" s="1" t="s">
        <v>49</v>
      </c>
      <c r="AL1936" s="1">
        <v>157</v>
      </c>
    </row>
    <row r="1937" spans="1:38" x14ac:dyDescent="0.2">
      <c r="A1937" s="2" t="str">
        <f>HYPERLINK("https://www.compass.com/listing/111-murray-street-unit-11c-manhattan-ny-10007/157094711465610497/","111 Murray St, Unit 11C")</f>
        <v>111 Murray St, Unit 11C</v>
      </c>
      <c r="B1937" s="2" t="str">
        <f t="shared" si="306"/>
        <v>111 Murray St</v>
      </c>
      <c r="C1937" s="1" t="s">
        <v>50</v>
      </c>
      <c r="D1937" s="1" t="s">
        <v>41</v>
      </c>
      <c r="E1937" s="3">
        <v>2189238</v>
      </c>
      <c r="F1937" s="1">
        <v>2653.6212121212102</v>
      </c>
      <c r="H1937" s="1">
        <v>1</v>
      </c>
      <c r="J1937" s="1">
        <v>1</v>
      </c>
      <c r="K1937" s="1">
        <v>1</v>
      </c>
      <c r="M1937" s="1">
        <v>825</v>
      </c>
      <c r="N1937" s="1">
        <v>949</v>
      </c>
      <c r="O1937" s="1">
        <v>1745.58</v>
      </c>
      <c r="P1937" s="1">
        <v>796.58333333333303</v>
      </c>
      <c r="Q1937" s="1" t="s">
        <v>42</v>
      </c>
      <c r="S1937" s="1" t="s">
        <v>42</v>
      </c>
      <c r="T1937" s="1" t="s">
        <v>273</v>
      </c>
      <c r="AA1937" s="1">
        <v>2189237.5</v>
      </c>
      <c r="AB1937" s="1" t="s">
        <v>1037</v>
      </c>
      <c r="AC1937" s="5">
        <v>43314</v>
      </c>
      <c r="AF1937" s="1">
        <v>10007</v>
      </c>
      <c r="AI1937" s="1" t="s">
        <v>80</v>
      </c>
      <c r="AJ1937" s="1">
        <v>2018</v>
      </c>
      <c r="AK1937" s="1" t="s">
        <v>49</v>
      </c>
      <c r="AL1937" s="1">
        <v>157</v>
      </c>
    </row>
    <row r="1938" spans="1:38" x14ac:dyDescent="0.2">
      <c r="A1938" s="2" t="str">
        <f>HYPERLINK("https://www.compass.com/listing/90-morton-street-unit-3d-manhattan-ny-10014/76213069797223841/","90 Morton St, Unit 3D")</f>
        <v>90 Morton St, Unit 3D</v>
      </c>
      <c r="B1938" s="2" t="str">
        <f>HYPERLINK("https://www.compass.com/building/90-morton-street-manhattan-ny/292834843018978005/","90 Morton Street")</f>
        <v>90 Morton Street</v>
      </c>
      <c r="C1938" s="1" t="s">
        <v>67</v>
      </c>
      <c r="D1938" s="1" t="s">
        <v>41</v>
      </c>
      <c r="E1938" s="3">
        <v>4900000</v>
      </c>
      <c r="F1938" s="1">
        <v>2705.6874654886801</v>
      </c>
      <c r="G1938" s="1">
        <v>4</v>
      </c>
      <c r="H1938" s="1">
        <v>2</v>
      </c>
      <c r="I1938" s="1">
        <v>3</v>
      </c>
      <c r="J1938" s="1">
        <v>2.5</v>
      </c>
      <c r="K1938" s="1">
        <v>2</v>
      </c>
      <c r="L1938" s="1">
        <v>1</v>
      </c>
      <c r="M1938" s="4">
        <v>1811</v>
      </c>
      <c r="N1938" s="1">
        <v>2388.7600000000002</v>
      </c>
      <c r="O1938" s="1">
        <v>4307.2299999999996</v>
      </c>
      <c r="P1938" s="1">
        <v>1918.5</v>
      </c>
      <c r="Q1938" s="1" t="s">
        <v>42</v>
      </c>
      <c r="S1938" s="1" t="s">
        <v>42</v>
      </c>
      <c r="T1938" s="1" t="s">
        <v>273</v>
      </c>
      <c r="U1938" s="1">
        <v>100</v>
      </c>
      <c r="V1938" s="5">
        <v>43851</v>
      </c>
      <c r="W1938" s="5">
        <v>43586</v>
      </c>
      <c r="X1938" s="1">
        <v>5400000</v>
      </c>
      <c r="Y1938" s="1">
        <v>5400000</v>
      </c>
      <c r="Z1938" s="5">
        <v>43805</v>
      </c>
      <c r="AA1938" s="1">
        <v>4900000</v>
      </c>
      <c r="AB1938" s="1" t="s">
        <v>1038</v>
      </c>
      <c r="AC1938" s="5">
        <v>43837</v>
      </c>
      <c r="AF1938" s="1">
        <v>10014</v>
      </c>
      <c r="AI1938" s="1" t="s">
        <v>111</v>
      </c>
      <c r="AJ1938" s="1">
        <v>2018</v>
      </c>
      <c r="AK1938" s="1" t="s">
        <v>49</v>
      </c>
      <c r="AL1938" s="1">
        <v>35</v>
      </c>
    </row>
    <row r="1939" spans="1:38" x14ac:dyDescent="0.2">
      <c r="A1939" s="2" t="str">
        <f>HYPERLINK("https://www.compass.com/listing/55-west-17th-street-unit-1601-manhattan-ny-10011/391352103632779921/","55 W 17th St, Unit 1601")</f>
        <v>55 W 17th St, Unit 1601</v>
      </c>
      <c r="B1939" s="2" t="str">
        <f t="shared" ref="B1939:B1941" si="307">HYPERLINK("https://www.compass.com/building/55-w-17th-st-manhattan-ny-10011/281911689161499829/","55 W 17th St")</f>
        <v>55 W 17th St</v>
      </c>
      <c r="C1939" s="1" t="s">
        <v>56</v>
      </c>
      <c r="D1939" s="1" t="s">
        <v>41</v>
      </c>
      <c r="E1939" s="3">
        <v>4413750</v>
      </c>
      <c r="F1939" s="1">
        <v>2514.9572649572601</v>
      </c>
      <c r="G1939" s="1">
        <v>4</v>
      </c>
      <c r="H1939" s="1">
        <v>2</v>
      </c>
      <c r="I1939" s="1">
        <v>3</v>
      </c>
      <c r="J1939" s="1">
        <v>2.5</v>
      </c>
      <c r="K1939" s="1">
        <v>2</v>
      </c>
      <c r="L1939" s="1">
        <v>1</v>
      </c>
      <c r="M1939" s="4">
        <v>1755</v>
      </c>
      <c r="N1939" s="1">
        <v>2269</v>
      </c>
      <c r="O1939" s="1">
        <v>4942</v>
      </c>
      <c r="P1939" s="1">
        <v>2673</v>
      </c>
      <c r="S1939" s="1" t="s">
        <v>42</v>
      </c>
      <c r="T1939" s="1" t="s">
        <v>273</v>
      </c>
      <c r="V1939" s="5">
        <v>44247</v>
      </c>
      <c r="AA1939" s="1">
        <v>4413750</v>
      </c>
      <c r="AB1939" s="1" t="s">
        <v>275</v>
      </c>
      <c r="AC1939" s="5">
        <v>43678</v>
      </c>
      <c r="AF1939" s="1">
        <v>10011</v>
      </c>
      <c r="AI1939" s="1" t="s">
        <v>952</v>
      </c>
      <c r="AJ1939" s="1">
        <v>2018</v>
      </c>
      <c r="AK1939" s="1" t="s">
        <v>55</v>
      </c>
      <c r="AL1939" s="1">
        <v>52</v>
      </c>
    </row>
    <row r="1940" spans="1:38" x14ac:dyDescent="0.2">
      <c r="A1940" s="2" t="str">
        <f>HYPERLINK("https://www.compass.com/listing/55-west-17th-street-unit-1501-manhattan-ny-10011/392051234550468833/","55 W 17th St, Unit 1501")</f>
        <v>55 W 17th St, Unit 1501</v>
      </c>
      <c r="B1940" s="2" t="str">
        <f t="shared" si="307"/>
        <v>55 W 17th St</v>
      </c>
      <c r="C1940" s="1" t="s">
        <v>56</v>
      </c>
      <c r="D1940" s="1" t="s">
        <v>41</v>
      </c>
      <c r="E1940" s="3">
        <v>4757762</v>
      </c>
      <c r="F1940" s="1">
        <v>2662.4297705651902</v>
      </c>
      <c r="H1940" s="1">
        <v>2</v>
      </c>
      <c r="I1940" s="1">
        <v>3</v>
      </c>
      <c r="J1940" s="1">
        <v>2.5</v>
      </c>
      <c r="K1940" s="1">
        <v>2</v>
      </c>
      <c r="L1940" s="1">
        <v>1</v>
      </c>
      <c r="M1940" s="4">
        <v>1787</v>
      </c>
      <c r="N1940" s="1">
        <v>2364</v>
      </c>
      <c r="O1940" s="1">
        <v>5148</v>
      </c>
      <c r="P1940" s="1">
        <v>2784</v>
      </c>
      <c r="S1940" s="1" t="s">
        <v>42</v>
      </c>
      <c r="T1940" s="1" t="s">
        <v>273</v>
      </c>
      <c r="V1940" s="5">
        <v>44247</v>
      </c>
      <c r="AA1940" s="1">
        <v>4757762</v>
      </c>
      <c r="AB1940" s="1" t="s">
        <v>275</v>
      </c>
      <c r="AC1940" s="5">
        <v>43679</v>
      </c>
      <c r="AF1940" s="1">
        <v>10011</v>
      </c>
      <c r="AI1940" s="1" t="s">
        <v>952</v>
      </c>
      <c r="AJ1940" s="1">
        <v>2018</v>
      </c>
      <c r="AK1940" s="1" t="s">
        <v>55</v>
      </c>
      <c r="AL1940" s="1">
        <v>52</v>
      </c>
    </row>
    <row r="1941" spans="1:38" x14ac:dyDescent="0.2">
      <c r="A1941" s="2" t="str">
        <f>HYPERLINK("https://www.compass.com/listing/55-west-17th-street-unit-1601-manhattan-ny-10011/803330191476455145/","55 W 17th St, Unit 1601")</f>
        <v>55 W 17th St, Unit 1601</v>
      </c>
      <c r="B1941" s="2" t="str">
        <f t="shared" si="307"/>
        <v>55 W 17th St</v>
      </c>
      <c r="C1941" s="1" t="s">
        <v>56</v>
      </c>
      <c r="D1941" s="1" t="s">
        <v>41</v>
      </c>
      <c r="E1941" s="3">
        <v>4413750</v>
      </c>
      <c r="F1941" s="1">
        <v>2514.9572649572601</v>
      </c>
      <c r="G1941" s="1">
        <v>4</v>
      </c>
      <c r="H1941" s="1">
        <v>2</v>
      </c>
      <c r="I1941" s="1">
        <v>3</v>
      </c>
      <c r="J1941" s="1">
        <v>2.5</v>
      </c>
      <c r="M1941" s="4">
        <v>1755</v>
      </c>
      <c r="N1941" s="1">
        <v>2269</v>
      </c>
      <c r="O1941" s="1">
        <v>4942</v>
      </c>
      <c r="P1941" s="1">
        <v>2673</v>
      </c>
      <c r="Q1941" s="1" t="s">
        <v>42</v>
      </c>
      <c r="S1941" s="1" t="s">
        <v>42</v>
      </c>
      <c r="T1941" s="1" t="s">
        <v>273</v>
      </c>
      <c r="U1941" s="1">
        <v>39</v>
      </c>
      <c r="V1941" s="5">
        <v>42879</v>
      </c>
      <c r="W1941" s="5">
        <v>42276</v>
      </c>
      <c r="X1941" s="1">
        <v>4149990</v>
      </c>
      <c r="Y1941" s="1">
        <v>4149990</v>
      </c>
      <c r="AA1941" s="1">
        <v>4413750</v>
      </c>
      <c r="AB1941" s="1" t="s">
        <v>964</v>
      </c>
      <c r="AC1941" s="5">
        <v>42978</v>
      </c>
      <c r="AF1941" s="1">
        <v>10011</v>
      </c>
      <c r="AI1941" s="1" t="s">
        <v>952</v>
      </c>
      <c r="AJ1941" s="1">
        <v>2018</v>
      </c>
      <c r="AK1941" s="1" t="s">
        <v>55</v>
      </c>
      <c r="AL1941" s="1">
        <v>52</v>
      </c>
    </row>
    <row r="1942" spans="1:38" x14ac:dyDescent="0.2">
      <c r="A1942" s="2" t="str">
        <f>HYPERLINK("https://www.compass.com/listing/100-barrow-street-unit-7a-manhattan-ny-10014/391339003487335809/","100 Barrow St, Unit 7A")</f>
        <v>100 Barrow St, Unit 7A</v>
      </c>
      <c r="B1942" s="2" t="str">
        <f>HYPERLINK("https://www.compass.com/building/100-barrow-manhattan-ny/292834978184618837/","100 Barrow")</f>
        <v>100 Barrow</v>
      </c>
      <c r="C1942" s="1" t="s">
        <v>67</v>
      </c>
      <c r="D1942" s="1" t="s">
        <v>41</v>
      </c>
      <c r="E1942" s="3">
        <v>11810000</v>
      </c>
      <c r="F1942" s="1">
        <v>3097.2987149226301</v>
      </c>
      <c r="H1942" s="1">
        <v>4</v>
      </c>
      <c r="I1942" s="1">
        <v>5</v>
      </c>
      <c r="J1942" s="1">
        <v>4.5</v>
      </c>
      <c r="K1942" s="1">
        <v>4</v>
      </c>
      <c r="L1942" s="1">
        <v>1</v>
      </c>
      <c r="M1942" s="4">
        <v>3813</v>
      </c>
      <c r="N1942" s="1">
        <v>10926</v>
      </c>
      <c r="O1942" s="1">
        <v>10926</v>
      </c>
      <c r="S1942" s="1" t="s">
        <v>181</v>
      </c>
      <c r="T1942" s="1" t="s">
        <v>273</v>
      </c>
      <c r="V1942" s="5">
        <v>44247</v>
      </c>
      <c r="AA1942" s="1">
        <v>11810000</v>
      </c>
      <c r="AB1942" s="1" t="s">
        <v>275</v>
      </c>
      <c r="AC1942" s="5">
        <v>43679</v>
      </c>
      <c r="AF1942" s="1">
        <v>10014</v>
      </c>
      <c r="AI1942" s="1" t="s">
        <v>1039</v>
      </c>
      <c r="AJ1942" s="1">
        <v>2015</v>
      </c>
      <c r="AK1942" s="1" t="s">
        <v>202</v>
      </c>
      <c r="AL1942" s="1">
        <v>33</v>
      </c>
    </row>
    <row r="1943" spans="1:38" x14ac:dyDescent="0.2">
      <c r="A1943" s="2" t="str">
        <f>HYPERLINK("https://www.compass.com/listing/70-charlton-street-unit-15e-manhattan-ny-10014/194053536516957537/","70 Charlton St, Unit 15E")</f>
        <v>70 Charlton St, Unit 15E</v>
      </c>
      <c r="B1943" s="2" t="str">
        <f>HYPERLINK("https://www.compass.com/building/70-charlton-street-manhattan-ny/292835639240484293/","70 Charlton Street")</f>
        <v>70 Charlton Street</v>
      </c>
      <c r="C1943" s="1" t="s">
        <v>298</v>
      </c>
      <c r="D1943" s="1" t="s">
        <v>41</v>
      </c>
      <c r="E1943" s="3">
        <v>4840688</v>
      </c>
      <c r="F1943" s="1">
        <v>2149.5062166962698</v>
      </c>
      <c r="G1943" s="1">
        <v>6</v>
      </c>
      <c r="H1943" s="1">
        <v>4</v>
      </c>
      <c r="I1943" s="1">
        <v>5</v>
      </c>
      <c r="J1943" s="1">
        <v>4.5</v>
      </c>
      <c r="K1943" s="1">
        <v>4</v>
      </c>
      <c r="L1943" s="1">
        <v>1</v>
      </c>
      <c r="M1943" s="4">
        <v>2252</v>
      </c>
      <c r="N1943" s="1">
        <v>5210</v>
      </c>
      <c r="O1943" s="1">
        <v>5210</v>
      </c>
      <c r="Q1943" s="1" t="s">
        <v>505</v>
      </c>
      <c r="S1943" s="1" t="s">
        <v>505</v>
      </c>
      <c r="T1943" s="1" t="s">
        <v>273</v>
      </c>
      <c r="V1943" s="5">
        <v>43694</v>
      </c>
      <c r="W1943" s="5">
        <v>43525</v>
      </c>
      <c r="X1943" s="1">
        <v>4750000</v>
      </c>
      <c r="Y1943" s="1">
        <v>4750000</v>
      </c>
      <c r="Z1943" s="5">
        <v>43525</v>
      </c>
      <c r="AA1943" s="1">
        <v>4840688</v>
      </c>
      <c r="AB1943" s="1" t="s">
        <v>1040</v>
      </c>
      <c r="AC1943" s="5">
        <v>43620</v>
      </c>
      <c r="AF1943" s="1">
        <v>10014</v>
      </c>
      <c r="AI1943" s="1" t="s">
        <v>319</v>
      </c>
      <c r="AJ1943" s="1">
        <v>2016</v>
      </c>
      <c r="AK1943" s="1" t="s">
        <v>46</v>
      </c>
      <c r="AL1943" s="1">
        <v>92</v>
      </c>
    </row>
    <row r="1944" spans="1:38" x14ac:dyDescent="0.2">
      <c r="A1944" s="2" t="str">
        <f>HYPERLINK("https://www.compass.com/listing/155-west-18th-street-unit-303-manhattan-ny-10011/29373029091910113/","155 W 18th St, Unit 303")</f>
        <v>155 W 18th St, Unit 303</v>
      </c>
      <c r="B1944" s="2" t="str">
        <f>HYPERLINK("https://www.compass.com/building/the-flynn-manhattan-ny/281905793161251925/","The Flynn")</f>
        <v>The Flynn</v>
      </c>
      <c r="C1944" s="1" t="s">
        <v>62</v>
      </c>
      <c r="D1944" s="1" t="s">
        <v>41</v>
      </c>
      <c r="E1944" s="3">
        <v>1600000</v>
      </c>
      <c r="F1944" s="1">
        <v>2295.5523672883701</v>
      </c>
      <c r="H1944" s="1">
        <v>1</v>
      </c>
      <c r="J1944" s="1">
        <v>1.5</v>
      </c>
      <c r="M1944" s="1">
        <v>697</v>
      </c>
      <c r="N1944" s="1">
        <v>1062</v>
      </c>
      <c r="O1944" s="1">
        <v>1876</v>
      </c>
      <c r="P1944" s="1">
        <v>814</v>
      </c>
      <c r="Q1944" s="1" t="s">
        <v>42</v>
      </c>
      <c r="S1944" s="1" t="s">
        <v>42</v>
      </c>
      <c r="T1944" s="1" t="s">
        <v>273</v>
      </c>
      <c r="AA1944" s="1">
        <v>1600000</v>
      </c>
      <c r="AB1944" s="1" t="s">
        <v>1041</v>
      </c>
      <c r="AC1944" s="5">
        <v>42900</v>
      </c>
      <c r="AF1944" s="1">
        <v>10011</v>
      </c>
      <c r="AI1944" s="1" t="s">
        <v>78</v>
      </c>
      <c r="AJ1944" s="1">
        <v>2016</v>
      </c>
      <c r="AK1944" s="1" t="s">
        <v>55</v>
      </c>
      <c r="AL1944" s="1">
        <v>30</v>
      </c>
    </row>
    <row r="1945" spans="1:38" x14ac:dyDescent="0.2">
      <c r="A1945" s="2" t="str">
        <f>HYPERLINK("https://www.compass.com/listing/70-charlton-street-unit-pha-manhattan-ny-10014/217227885516181361/","70 Charlton St, Unit PHA")</f>
        <v>70 Charlton St, Unit PHA</v>
      </c>
      <c r="B1945" s="2" t="str">
        <f>HYPERLINK("https://www.compass.com/building/70-charlton-street-manhattan-ny/292835639240484293/","70 Charlton Street")</f>
        <v>70 Charlton Street</v>
      </c>
      <c r="C1945" s="1" t="s">
        <v>298</v>
      </c>
      <c r="D1945" s="1" t="s">
        <v>41</v>
      </c>
      <c r="E1945" s="3">
        <v>5502550</v>
      </c>
      <c r="F1945" s="1">
        <v>1926.6631652660999</v>
      </c>
      <c r="G1945" s="1">
        <v>7</v>
      </c>
      <c r="H1945" s="1">
        <v>3</v>
      </c>
      <c r="I1945" s="1">
        <v>4</v>
      </c>
      <c r="J1945" s="1">
        <v>3.5</v>
      </c>
      <c r="K1945" s="1">
        <v>3</v>
      </c>
      <c r="L1945" s="1">
        <v>1</v>
      </c>
      <c r="M1945" s="4">
        <v>2856</v>
      </c>
      <c r="N1945" s="1">
        <v>8323</v>
      </c>
      <c r="O1945" s="1">
        <v>8323</v>
      </c>
      <c r="Q1945" s="1" t="s">
        <v>272</v>
      </c>
      <c r="S1945" s="1" t="s">
        <v>272</v>
      </c>
      <c r="T1945" s="1" t="s">
        <v>273</v>
      </c>
      <c r="U1945" s="1">
        <v>30</v>
      </c>
      <c r="V1945" s="5">
        <v>43694</v>
      </c>
      <c r="W1945" s="5">
        <v>43552</v>
      </c>
      <c r="X1945" s="1">
        <v>5999000</v>
      </c>
      <c r="Y1945" s="1">
        <v>5999000</v>
      </c>
      <c r="Z1945" s="5">
        <v>43582</v>
      </c>
      <c r="AA1945" s="1">
        <v>5502550</v>
      </c>
      <c r="AB1945" s="1" t="s">
        <v>345</v>
      </c>
      <c r="AC1945" s="5">
        <v>43628</v>
      </c>
      <c r="AF1945" s="1">
        <v>10014</v>
      </c>
      <c r="AI1945" s="1" t="s">
        <v>346</v>
      </c>
      <c r="AJ1945" s="1">
        <v>2016</v>
      </c>
      <c r="AK1945" s="1" t="s">
        <v>46</v>
      </c>
      <c r="AL1945" s="1">
        <v>92</v>
      </c>
    </row>
    <row r="1946" spans="1:38" x14ac:dyDescent="0.2">
      <c r="A1946" s="2" t="str">
        <f>HYPERLINK("https://www.compass.com/listing/55-west-17th-street-unit-1004-manhattan-ny-10011/391987891156176337/","55 W 17th St, Unit 1004")</f>
        <v>55 W 17th St, Unit 1004</v>
      </c>
      <c r="B1946" s="2" t="str">
        <f t="shared" ref="B1946:B1947" si="308">HYPERLINK("https://www.compass.com/building/55-w-17th-st-manhattan-ny-10011/281911689161499829/","55 W 17th St")</f>
        <v>55 W 17th St</v>
      </c>
      <c r="C1946" s="1" t="s">
        <v>56</v>
      </c>
      <c r="D1946" s="1" t="s">
        <v>41</v>
      </c>
      <c r="E1946" s="3">
        <v>4090990</v>
      </c>
      <c r="F1946" s="1">
        <v>2115.2998965873799</v>
      </c>
      <c r="H1946" s="1">
        <v>3</v>
      </c>
      <c r="J1946" s="1">
        <v>2.5</v>
      </c>
      <c r="M1946" s="4">
        <v>1934</v>
      </c>
      <c r="N1946" s="1">
        <v>2546</v>
      </c>
      <c r="O1946" s="1">
        <v>5383</v>
      </c>
      <c r="P1946" s="1">
        <v>2837</v>
      </c>
      <c r="S1946" s="1" t="s">
        <v>42</v>
      </c>
      <c r="T1946" s="1" t="s">
        <v>273</v>
      </c>
      <c r="V1946" s="5">
        <v>44247</v>
      </c>
      <c r="AA1946" s="1">
        <v>4090990</v>
      </c>
      <c r="AB1946" s="1" t="s">
        <v>275</v>
      </c>
      <c r="AC1946" s="5">
        <v>43679</v>
      </c>
      <c r="AF1946" s="1">
        <v>10011</v>
      </c>
      <c r="AI1946" s="1" t="s">
        <v>952</v>
      </c>
      <c r="AJ1946" s="1">
        <v>2018</v>
      </c>
      <c r="AK1946" s="1" t="s">
        <v>55</v>
      </c>
      <c r="AL1946" s="1">
        <v>52</v>
      </c>
    </row>
    <row r="1947" spans="1:38" x14ac:dyDescent="0.2">
      <c r="A1947" s="2" t="str">
        <f>HYPERLINK("https://www.compass.com/listing/55-west-17th-street-unit-604-manhattan-ny-10011/391991373418613761/","55 W 17th St, Unit 604")</f>
        <v>55 W 17th St, Unit 604</v>
      </c>
      <c r="B1947" s="2" t="str">
        <f t="shared" si="308"/>
        <v>55 W 17th St</v>
      </c>
      <c r="C1947" s="1" t="s">
        <v>56</v>
      </c>
      <c r="D1947" s="1" t="s">
        <v>41</v>
      </c>
      <c r="E1947" s="3">
        <v>3682500</v>
      </c>
      <c r="F1947" s="1">
        <v>1904.08479834539</v>
      </c>
      <c r="H1947" s="1">
        <v>3</v>
      </c>
      <c r="I1947" s="1">
        <v>3</v>
      </c>
      <c r="J1947" s="1">
        <v>2.5</v>
      </c>
      <c r="K1947" s="1">
        <v>2</v>
      </c>
      <c r="L1947" s="1">
        <v>1</v>
      </c>
      <c r="M1947" s="4">
        <v>1934</v>
      </c>
      <c r="N1947" s="1">
        <v>2535</v>
      </c>
      <c r="O1947" s="1">
        <v>5361</v>
      </c>
      <c r="P1947" s="1">
        <v>2826</v>
      </c>
      <c r="S1947" s="1" t="s">
        <v>42</v>
      </c>
      <c r="T1947" s="1" t="s">
        <v>273</v>
      </c>
      <c r="V1947" s="5">
        <v>44247</v>
      </c>
      <c r="AA1947" s="1">
        <v>3682500</v>
      </c>
      <c r="AB1947" s="1" t="s">
        <v>275</v>
      </c>
      <c r="AC1947" s="5">
        <v>43679</v>
      </c>
      <c r="AF1947" s="1">
        <v>10011</v>
      </c>
      <c r="AI1947" s="1" t="s">
        <v>952</v>
      </c>
      <c r="AJ1947" s="1">
        <v>2018</v>
      </c>
      <c r="AK1947" s="1" t="s">
        <v>55</v>
      </c>
      <c r="AL1947" s="1">
        <v>52</v>
      </c>
    </row>
    <row r="1948" spans="1:38" x14ac:dyDescent="0.2">
      <c r="A1948" s="2" t="str">
        <f>HYPERLINK("https://www.compass.com/listing/49-chambers-street-unit-phb-manhattan-ny-10007/492308094605622633/","49 Chambers St, Unit PHB")</f>
        <v>49 Chambers St, Unit PHB</v>
      </c>
      <c r="B1948" s="2" t="str">
        <f>HYPERLINK("https://www.compass.com/building/49-chambers-manhattan-ny/282058733280852725/","49 Chambers")</f>
        <v>49 Chambers</v>
      </c>
      <c r="C1948" s="1" t="s">
        <v>50</v>
      </c>
      <c r="D1948" s="1" t="s">
        <v>41</v>
      </c>
      <c r="E1948" s="3">
        <v>8750000</v>
      </c>
      <c r="H1948" s="1">
        <v>3</v>
      </c>
      <c r="J1948" s="1">
        <v>3.5</v>
      </c>
      <c r="K1948" s="1">
        <v>3</v>
      </c>
      <c r="L1948" s="1">
        <v>1</v>
      </c>
      <c r="S1948" s="1" t="s">
        <v>42</v>
      </c>
      <c r="T1948" s="1" t="s">
        <v>273</v>
      </c>
      <c r="V1948" s="5">
        <v>44248</v>
      </c>
      <c r="W1948" s="5">
        <v>43834</v>
      </c>
      <c r="X1948" s="1">
        <v>8950000</v>
      </c>
      <c r="AB1948" s="1" t="s">
        <v>275</v>
      </c>
      <c r="AF1948" s="1">
        <v>10007</v>
      </c>
      <c r="AI1948" s="1" t="s">
        <v>78</v>
      </c>
      <c r="AJ1948" s="1">
        <v>1910</v>
      </c>
      <c r="AK1948" s="1" t="s">
        <v>202</v>
      </c>
      <c r="AL1948" s="1">
        <v>99</v>
      </c>
    </row>
    <row r="1949" spans="1:38" x14ac:dyDescent="0.2">
      <c r="A1949" s="2" t="str">
        <f>HYPERLINK("https://www.compass.com/listing/160-leroy-street-unit-south4c-manhattan-ny-10014/4842560442540762929/","160 Leroy St, Unit SOUTH4C")</f>
        <v>160 Leroy St, Unit SOUTH4C</v>
      </c>
      <c r="B1949" s="2" t="str">
        <f>HYPERLINK("https://www.compass.com/building/160-leroy-st-manhattan-ny-10014/293418469918017093/","160 Leroy St")</f>
        <v>160 Leroy St</v>
      </c>
      <c r="C1949" s="1" t="s">
        <v>67</v>
      </c>
      <c r="D1949" s="1" t="s">
        <v>41</v>
      </c>
      <c r="E1949" s="3">
        <v>4075000</v>
      </c>
      <c r="F1949" s="1">
        <v>2478.7104622871002</v>
      </c>
      <c r="G1949" s="1">
        <v>4</v>
      </c>
      <c r="H1949" s="1">
        <v>2</v>
      </c>
      <c r="I1949" s="1">
        <v>3</v>
      </c>
      <c r="J1949" s="1">
        <v>2.5</v>
      </c>
      <c r="M1949" s="4">
        <v>1644</v>
      </c>
      <c r="N1949" s="1">
        <v>2322</v>
      </c>
      <c r="O1949" s="1">
        <v>4576</v>
      </c>
      <c r="P1949" s="1">
        <v>2254</v>
      </c>
      <c r="Q1949" s="1" t="s">
        <v>42</v>
      </c>
      <c r="S1949" s="1" t="s">
        <v>42</v>
      </c>
      <c r="T1949" s="1" t="s">
        <v>273</v>
      </c>
      <c r="U1949" s="1">
        <v>77</v>
      </c>
      <c r="V1949" s="5">
        <v>43654</v>
      </c>
      <c r="W1949" s="5">
        <v>42551</v>
      </c>
      <c r="X1949" s="1">
        <v>4200000</v>
      </c>
      <c r="Y1949" s="1">
        <v>4200000</v>
      </c>
      <c r="Z1949" s="5">
        <v>42628</v>
      </c>
      <c r="AA1949" s="1">
        <v>4075000</v>
      </c>
      <c r="AB1949" s="1" t="s">
        <v>1042</v>
      </c>
      <c r="AC1949" s="5">
        <v>43199</v>
      </c>
      <c r="AF1949" s="1">
        <v>10014</v>
      </c>
      <c r="AI1949" s="1" t="s">
        <v>65</v>
      </c>
      <c r="AJ1949" s="1">
        <v>2017</v>
      </c>
      <c r="AK1949" s="1" t="s">
        <v>49</v>
      </c>
      <c r="AL1949" s="1">
        <v>57</v>
      </c>
    </row>
    <row r="1950" spans="1:38" x14ac:dyDescent="0.2">
      <c r="A1950" s="2" t="str">
        <f>HYPERLINK("https://www.compass.com/listing/270-riverside-drive-unit-8c-manhattan-ny-10025/29431402822954225/","270 Riverside Dr, Unit 8C")</f>
        <v>270 Riverside Dr, Unit 8C</v>
      </c>
      <c r="B1950" s="2" t="str">
        <f t="shared" ref="B1950:B1953" si="309">HYPERLINK("https://www.compass.com/building/270-riverside-dr-manhattan-ny-10025/281970283991095285/","270 Riverside Dr")</f>
        <v>270 Riverside Dr</v>
      </c>
      <c r="C1950" s="1" t="s">
        <v>57</v>
      </c>
      <c r="D1950" s="1" t="s">
        <v>41</v>
      </c>
      <c r="E1950" s="3">
        <v>4150000</v>
      </c>
      <c r="F1950" s="1">
        <v>1732.7766179540699</v>
      </c>
      <c r="G1950" s="1">
        <v>7</v>
      </c>
      <c r="H1950" s="1">
        <v>4</v>
      </c>
      <c r="I1950" s="1">
        <v>3</v>
      </c>
      <c r="J1950" s="1">
        <v>3</v>
      </c>
      <c r="K1950" s="1">
        <v>3</v>
      </c>
      <c r="M1950" s="4">
        <v>2395</v>
      </c>
      <c r="N1950" s="1">
        <v>2571</v>
      </c>
      <c r="O1950" s="1">
        <v>3878</v>
      </c>
      <c r="P1950" s="1">
        <v>1307</v>
      </c>
      <c r="Q1950" s="1" t="s">
        <v>42</v>
      </c>
      <c r="S1950" s="1" t="s">
        <v>42</v>
      </c>
      <c r="T1950" s="1" t="s">
        <v>273</v>
      </c>
      <c r="U1950" s="1">
        <v>199</v>
      </c>
      <c r="V1950" s="5">
        <v>43789</v>
      </c>
      <c r="W1950" s="5">
        <v>42815</v>
      </c>
      <c r="X1950" s="1">
        <v>4600000</v>
      </c>
      <c r="Y1950" s="1">
        <v>4450000</v>
      </c>
      <c r="Z1950" s="5">
        <v>43014</v>
      </c>
      <c r="AA1950" s="1">
        <v>4150000</v>
      </c>
      <c r="AB1950" s="1" t="s">
        <v>1043</v>
      </c>
      <c r="AC1950" s="5">
        <v>43105</v>
      </c>
      <c r="AF1950" s="1">
        <v>10025</v>
      </c>
      <c r="AJ1950" s="1">
        <v>1920</v>
      </c>
      <c r="AK1950" s="1" t="s">
        <v>215</v>
      </c>
      <c r="AL1950" s="1">
        <v>57</v>
      </c>
    </row>
    <row r="1951" spans="1:38" x14ac:dyDescent="0.2">
      <c r="A1951" s="2" t="str">
        <f>HYPERLINK("https://www.compass.com/listing/270-riverside-drive-unit-3c-manhattan-ny-10025/29661167173571025/","270 Riverside Dr, Unit 3C")</f>
        <v>270 Riverside Dr, Unit 3C</v>
      </c>
      <c r="B1951" s="2" t="str">
        <f t="shared" si="309"/>
        <v>270 Riverside Dr</v>
      </c>
      <c r="C1951" s="1" t="s">
        <v>57</v>
      </c>
      <c r="D1951" s="1" t="s">
        <v>41</v>
      </c>
      <c r="E1951" s="3">
        <v>4073000</v>
      </c>
      <c r="F1951" s="1">
        <v>1700.6263048016699</v>
      </c>
      <c r="G1951" s="1">
        <v>7</v>
      </c>
      <c r="H1951" s="1">
        <v>3</v>
      </c>
      <c r="I1951" s="1">
        <v>3</v>
      </c>
      <c r="J1951" s="1">
        <v>3</v>
      </c>
      <c r="K1951" s="1">
        <v>3</v>
      </c>
      <c r="M1951" s="4">
        <v>2395</v>
      </c>
      <c r="N1951" s="1">
        <v>2355</v>
      </c>
      <c r="O1951" s="1">
        <v>3552</v>
      </c>
      <c r="P1951" s="1">
        <v>1197</v>
      </c>
      <c r="Q1951" s="1" t="s">
        <v>42</v>
      </c>
      <c r="S1951" s="1" t="s">
        <v>42</v>
      </c>
      <c r="T1951" s="1" t="s">
        <v>273</v>
      </c>
      <c r="U1951" s="1">
        <v>81</v>
      </c>
      <c r="V1951" s="5">
        <v>43673</v>
      </c>
      <c r="W1951" s="5">
        <v>42272</v>
      </c>
      <c r="X1951" s="1">
        <v>4095000</v>
      </c>
      <c r="Y1951" s="1">
        <v>4095000</v>
      </c>
      <c r="Z1951" s="5">
        <v>42353</v>
      </c>
      <c r="AA1951" s="1">
        <v>4073000</v>
      </c>
      <c r="AB1951" s="1" t="s">
        <v>1044</v>
      </c>
      <c r="AC1951" s="5">
        <v>42605</v>
      </c>
      <c r="AF1951" s="1">
        <v>10025</v>
      </c>
      <c r="AJ1951" s="1">
        <v>1920</v>
      </c>
      <c r="AK1951" s="1" t="s">
        <v>215</v>
      </c>
      <c r="AL1951" s="1">
        <v>57</v>
      </c>
    </row>
    <row r="1952" spans="1:38" x14ac:dyDescent="0.2">
      <c r="A1952" s="2" t="str">
        <f>HYPERLINK("https://www.compass.com/listing/270-riverside-drive-unit-5c-manhattan-ny-10025/29431401162002401/","270 Riverside Dr, Unit 5C")</f>
        <v>270 Riverside Dr, Unit 5C</v>
      </c>
      <c r="B1952" s="2" t="str">
        <f t="shared" si="309"/>
        <v>270 Riverside Dr</v>
      </c>
      <c r="C1952" s="1" t="s">
        <v>57</v>
      </c>
      <c r="D1952" s="1" t="s">
        <v>41</v>
      </c>
      <c r="E1952" s="3">
        <v>4271559</v>
      </c>
      <c r="F1952" s="1">
        <v>1783.5319415448801</v>
      </c>
      <c r="G1952" s="1">
        <v>7</v>
      </c>
      <c r="H1952" s="1">
        <v>4</v>
      </c>
      <c r="I1952" s="1">
        <v>3</v>
      </c>
      <c r="J1952" s="1">
        <v>3</v>
      </c>
      <c r="K1952" s="1">
        <v>3</v>
      </c>
      <c r="M1952" s="4">
        <v>2395</v>
      </c>
      <c r="N1952" s="1">
        <v>2439</v>
      </c>
      <c r="O1952" s="1">
        <v>3679</v>
      </c>
      <c r="P1952" s="1">
        <v>1240</v>
      </c>
      <c r="Q1952" s="1" t="s">
        <v>42</v>
      </c>
      <c r="S1952" s="1" t="s">
        <v>42</v>
      </c>
      <c r="T1952" s="1" t="s">
        <v>273</v>
      </c>
      <c r="U1952" s="1">
        <v>28</v>
      </c>
      <c r="V1952" s="5">
        <v>43789</v>
      </c>
      <c r="W1952" s="5">
        <v>43117</v>
      </c>
      <c r="X1952" s="1">
        <v>4195000</v>
      </c>
      <c r="Y1952" s="1">
        <v>4195000</v>
      </c>
      <c r="Z1952" s="5">
        <v>43145</v>
      </c>
      <c r="AA1952" s="1">
        <v>4271559</v>
      </c>
      <c r="AB1952" s="1" t="s">
        <v>1045</v>
      </c>
      <c r="AC1952" s="5">
        <v>43203</v>
      </c>
      <c r="AF1952" s="1">
        <v>10025</v>
      </c>
      <c r="AJ1952" s="1">
        <v>1920</v>
      </c>
      <c r="AK1952" s="1" t="s">
        <v>215</v>
      </c>
      <c r="AL1952" s="1">
        <v>57</v>
      </c>
    </row>
    <row r="1953" spans="1:38" x14ac:dyDescent="0.2">
      <c r="A1953" s="2" t="str">
        <f>HYPERLINK("https://www.compass.com/listing/270-riverside-drive-unit-6c-manhattan-ny-10025/29431401656937681/","270 Riverside Dr, Unit 6C")</f>
        <v>270 Riverside Dr, Unit 6C</v>
      </c>
      <c r="B1953" s="2" t="str">
        <f t="shared" si="309"/>
        <v>270 Riverside Dr</v>
      </c>
      <c r="C1953" s="1" t="s">
        <v>57</v>
      </c>
      <c r="D1953" s="1" t="s">
        <v>41</v>
      </c>
      <c r="E1953" s="3">
        <v>4150000</v>
      </c>
      <c r="F1953" s="1">
        <v>1732.7766179540699</v>
      </c>
      <c r="G1953" s="1">
        <v>7</v>
      </c>
      <c r="H1953" s="1">
        <v>4</v>
      </c>
      <c r="I1953" s="1">
        <v>3</v>
      </c>
      <c r="J1953" s="1">
        <v>3</v>
      </c>
      <c r="K1953" s="1">
        <v>3</v>
      </c>
      <c r="M1953" s="4">
        <v>2395</v>
      </c>
      <c r="N1953" s="1">
        <v>2483</v>
      </c>
      <c r="O1953" s="1">
        <v>3745</v>
      </c>
      <c r="P1953" s="1">
        <v>1262</v>
      </c>
      <c r="Q1953" s="1" t="s">
        <v>42</v>
      </c>
      <c r="S1953" s="1" t="s">
        <v>42</v>
      </c>
      <c r="T1953" s="1" t="s">
        <v>273</v>
      </c>
      <c r="U1953" s="1">
        <v>260</v>
      </c>
      <c r="V1953" s="5">
        <v>43789</v>
      </c>
      <c r="W1953" s="5">
        <v>42815</v>
      </c>
      <c r="X1953" s="1">
        <v>4375000</v>
      </c>
      <c r="Y1953" s="1">
        <v>4195000</v>
      </c>
      <c r="Z1953" s="5">
        <v>43075</v>
      </c>
      <c r="AA1953" s="1">
        <v>4150000</v>
      </c>
      <c r="AB1953" s="1" t="s">
        <v>1046</v>
      </c>
      <c r="AC1953" s="5">
        <v>43118</v>
      </c>
      <c r="AF1953" s="1">
        <v>10025</v>
      </c>
      <c r="AJ1953" s="1">
        <v>1920</v>
      </c>
      <c r="AK1953" s="1" t="s">
        <v>215</v>
      </c>
      <c r="AL1953" s="1">
        <v>57</v>
      </c>
    </row>
    <row r="1954" spans="1:38" x14ac:dyDescent="0.2">
      <c r="A1954" s="2" t="str">
        <f>HYPERLINK("https://www.compass.com/listing/560-west-24th-street-unit-7-manhattan-ny-10011/395498258062399425/","560 W 24th St, Unit 7")</f>
        <v>560 W 24th St, Unit 7</v>
      </c>
      <c r="B1954" s="2" t="str">
        <f>HYPERLINK("https://www.compass.com/building/five-sixty-manhattan-ny/282058548421098597/","Five Sixty")</f>
        <v>Five Sixty</v>
      </c>
      <c r="C1954" s="1" t="s">
        <v>62</v>
      </c>
      <c r="D1954" s="1" t="s">
        <v>41</v>
      </c>
      <c r="E1954" s="3">
        <v>6140000</v>
      </c>
      <c r="F1954" s="1">
        <v>1908.6105066832399</v>
      </c>
      <c r="G1954" s="1">
        <v>11.5</v>
      </c>
      <c r="H1954" s="1">
        <v>4</v>
      </c>
      <c r="I1954" s="1">
        <v>5</v>
      </c>
      <c r="J1954" s="1">
        <v>4.5</v>
      </c>
      <c r="K1954" s="1">
        <v>4</v>
      </c>
      <c r="L1954" s="1">
        <v>1</v>
      </c>
      <c r="M1954" s="4">
        <v>3217</v>
      </c>
      <c r="N1954" s="1">
        <v>6077</v>
      </c>
      <c r="O1954" s="1">
        <v>12323</v>
      </c>
      <c r="P1954" s="1">
        <v>6246</v>
      </c>
      <c r="Q1954" s="1" t="s">
        <v>42</v>
      </c>
      <c r="S1954" s="1" t="s">
        <v>42</v>
      </c>
      <c r="T1954" s="1" t="s">
        <v>273</v>
      </c>
      <c r="U1954" s="1">
        <v>310</v>
      </c>
      <c r="V1954" s="5">
        <v>44257</v>
      </c>
      <c r="W1954" s="5">
        <v>43797</v>
      </c>
      <c r="X1954" s="1">
        <v>8150000</v>
      </c>
      <c r="Y1954" s="1">
        <v>6850000</v>
      </c>
      <c r="Z1954" s="5">
        <v>44201</v>
      </c>
      <c r="AA1954" s="1">
        <v>6140000</v>
      </c>
      <c r="AB1954" s="1" t="s">
        <v>275</v>
      </c>
      <c r="AC1954" s="5">
        <v>44253</v>
      </c>
      <c r="AF1954" s="1">
        <v>10011</v>
      </c>
      <c r="AI1954" s="1" t="s">
        <v>1047</v>
      </c>
      <c r="AJ1954" s="1">
        <v>2015</v>
      </c>
      <c r="AK1954" s="1" t="s">
        <v>108</v>
      </c>
      <c r="AL1954" s="1">
        <v>8</v>
      </c>
    </row>
    <row r="1955" spans="1:38" x14ac:dyDescent="0.2">
      <c r="A1955" s="2" t="str">
        <f>HYPERLINK("https://www.compass.com/listing/160-leroy-street-unit-north4a-manhattan-ny-10014/50872563554918465/","160 Leroy St, Unit NORTH4A")</f>
        <v>160 Leroy St, Unit NORTH4A</v>
      </c>
      <c r="B1955" s="2" t="str">
        <f t="shared" ref="B1955:B1956" si="310">HYPERLINK("https://www.compass.com/building/160-leroy-st-manhattan-ny-10014/293418469918017093/","160 Leroy St")</f>
        <v>160 Leroy St</v>
      </c>
      <c r="C1955" s="1" t="s">
        <v>67</v>
      </c>
      <c r="D1955" s="1" t="s">
        <v>41</v>
      </c>
      <c r="E1955" s="3">
        <v>5679578</v>
      </c>
      <c r="F1955" s="1">
        <v>2775.94232649071</v>
      </c>
      <c r="G1955" s="1">
        <v>6</v>
      </c>
      <c r="H1955" s="1">
        <v>3</v>
      </c>
      <c r="I1955" s="1">
        <v>4</v>
      </c>
      <c r="J1955" s="1">
        <v>3.5</v>
      </c>
      <c r="M1955" s="4">
        <v>2046</v>
      </c>
      <c r="N1955" s="1">
        <v>2889</v>
      </c>
      <c r="O1955" s="1">
        <v>5694</v>
      </c>
      <c r="P1955" s="1">
        <v>2805</v>
      </c>
      <c r="Q1955" s="1" t="s">
        <v>42</v>
      </c>
      <c r="S1955" s="1" t="s">
        <v>42</v>
      </c>
      <c r="T1955" s="1" t="s">
        <v>273</v>
      </c>
      <c r="U1955" s="1">
        <v>112</v>
      </c>
      <c r="V1955" s="5">
        <v>43654</v>
      </c>
      <c r="W1955" s="5">
        <v>42672</v>
      </c>
      <c r="X1955" s="1">
        <v>5650000</v>
      </c>
      <c r="Y1955" s="1">
        <v>5650000</v>
      </c>
      <c r="Z1955" s="5">
        <v>42784</v>
      </c>
      <c r="AA1955" s="1">
        <v>5679578</v>
      </c>
      <c r="AB1955" s="1" t="s">
        <v>275</v>
      </c>
      <c r="AC1955" s="5">
        <v>43134</v>
      </c>
      <c r="AF1955" s="1">
        <v>10014</v>
      </c>
      <c r="AI1955" s="1" t="s">
        <v>65</v>
      </c>
      <c r="AJ1955" s="1">
        <v>2017</v>
      </c>
      <c r="AK1955" s="1" t="s">
        <v>202</v>
      </c>
      <c r="AL1955" s="1">
        <v>57</v>
      </c>
    </row>
    <row r="1956" spans="1:38" x14ac:dyDescent="0.2">
      <c r="A1956" s="2" t="str">
        <f>HYPERLINK("https://www.compass.com/listing/160-leroy-street-unit-south7b-manhattan-ny-10014/578961479616070073/","160 Leroy St, Unit SOUTH7B")</f>
        <v>160 Leroy St, Unit SOUTH7B</v>
      </c>
      <c r="B1956" s="2" t="str">
        <f t="shared" si="310"/>
        <v>160 Leroy St</v>
      </c>
      <c r="C1956" s="1" t="s">
        <v>67</v>
      </c>
      <c r="D1956" s="1" t="s">
        <v>41</v>
      </c>
      <c r="E1956" s="3">
        <v>7450000</v>
      </c>
      <c r="F1956" s="1">
        <v>3168.86431305827</v>
      </c>
      <c r="G1956" s="1">
        <v>6</v>
      </c>
      <c r="H1956" s="1">
        <v>3</v>
      </c>
      <c r="I1956" s="1">
        <v>4</v>
      </c>
      <c r="J1956" s="1">
        <v>3.5</v>
      </c>
      <c r="K1956" s="1">
        <v>3</v>
      </c>
      <c r="L1956" s="1">
        <v>1</v>
      </c>
      <c r="M1956" s="4">
        <v>2351</v>
      </c>
      <c r="N1956" s="1">
        <v>4080</v>
      </c>
      <c r="O1956" s="1">
        <v>8037</v>
      </c>
      <c r="P1956" s="1">
        <v>3957</v>
      </c>
      <c r="Q1956" s="1" t="s">
        <v>42</v>
      </c>
      <c r="S1956" s="1" t="s">
        <v>42</v>
      </c>
      <c r="T1956" s="1" t="s">
        <v>273</v>
      </c>
      <c r="U1956" s="1">
        <v>34</v>
      </c>
      <c r="V1956" s="5">
        <v>44378</v>
      </c>
      <c r="W1956" s="5">
        <v>44280</v>
      </c>
      <c r="Y1956" s="1">
        <v>7950000</v>
      </c>
      <c r="Z1956" s="5">
        <v>44315</v>
      </c>
      <c r="AA1956" s="1">
        <v>7450000</v>
      </c>
      <c r="AB1956" s="1" t="s">
        <v>275</v>
      </c>
      <c r="AC1956" s="5">
        <v>44377</v>
      </c>
      <c r="AF1956" s="1">
        <v>10014</v>
      </c>
      <c r="AI1956" s="1" t="s">
        <v>65</v>
      </c>
      <c r="AJ1956" s="1">
        <v>2017</v>
      </c>
      <c r="AK1956" s="1" t="s">
        <v>155</v>
      </c>
      <c r="AL1956" s="1">
        <v>57</v>
      </c>
    </row>
    <row r="1957" spans="1:38" x14ac:dyDescent="0.2">
      <c r="A1957" s="2" t="str">
        <f>HYPERLINK("https://www.compass.com/listing/90-morton-street-unit-2d-manhattan-ny-10014/29515684283228305/","90 Morton St, Unit 2D")</f>
        <v>90 Morton St, Unit 2D</v>
      </c>
      <c r="B1957" s="2" t="str">
        <f>HYPERLINK("https://www.compass.com/building/90-morton-street-manhattan-ny/292834843018978005/","90 Morton Street")</f>
        <v>90 Morton Street</v>
      </c>
      <c r="C1957" s="1" t="s">
        <v>67</v>
      </c>
      <c r="D1957" s="1" t="s">
        <v>41</v>
      </c>
      <c r="E1957" s="3">
        <v>4900000</v>
      </c>
      <c r="F1957" s="1">
        <v>2705.6874654886801</v>
      </c>
      <c r="G1957" s="1">
        <v>4</v>
      </c>
      <c r="H1957" s="1">
        <v>2</v>
      </c>
      <c r="I1957" s="1">
        <v>3</v>
      </c>
      <c r="J1957" s="1">
        <v>2.5</v>
      </c>
      <c r="K1957" s="1">
        <v>2</v>
      </c>
      <c r="L1957" s="1">
        <v>1</v>
      </c>
      <c r="M1957" s="4">
        <v>1811</v>
      </c>
      <c r="N1957" s="1">
        <v>2364.44</v>
      </c>
      <c r="O1957" s="1">
        <v>4263.38</v>
      </c>
      <c r="P1957" s="1">
        <v>1898.9166666666599</v>
      </c>
      <c r="Q1957" s="1" t="s">
        <v>42</v>
      </c>
      <c r="S1957" s="1" t="s">
        <v>42</v>
      </c>
      <c r="T1957" s="1" t="s">
        <v>273</v>
      </c>
      <c r="U1957" s="1">
        <v>417</v>
      </c>
      <c r="V1957" s="5">
        <v>44349</v>
      </c>
      <c r="W1957" s="5">
        <v>43685</v>
      </c>
      <c r="Y1957" s="1">
        <v>5300000</v>
      </c>
      <c r="Z1957" s="5">
        <v>44282</v>
      </c>
      <c r="AA1957" s="1">
        <v>4900000</v>
      </c>
      <c r="AB1957" s="1" t="s">
        <v>1048</v>
      </c>
      <c r="AC1957" s="5">
        <v>44330</v>
      </c>
      <c r="AF1957" s="1">
        <v>10014</v>
      </c>
      <c r="AI1957" s="1" t="s">
        <v>111</v>
      </c>
      <c r="AJ1957" s="1">
        <v>2018</v>
      </c>
      <c r="AK1957" s="1" t="s">
        <v>49</v>
      </c>
      <c r="AL1957" s="1">
        <v>35</v>
      </c>
    </row>
    <row r="1958" spans="1:38" x14ac:dyDescent="0.2">
      <c r="A1958" s="2" t="str">
        <f>HYPERLINK("https://www.compass.com/listing/55-west-17th-street-unit-1302-manhattan-ny-10011/391341826765632977/","55 W 17th St, Unit 1302")</f>
        <v>55 W 17th St, Unit 1302</v>
      </c>
      <c r="B1958" s="2" t="str">
        <f>HYPERLINK("https://www.compass.com/building/55-w-17th-st-manhattan-ny-10011/281911689161499829/","55 W 17th St")</f>
        <v>55 W 17th St</v>
      </c>
      <c r="C1958" s="1" t="s">
        <v>56</v>
      </c>
      <c r="D1958" s="1" t="s">
        <v>41</v>
      </c>
      <c r="E1958" s="3">
        <v>9030000</v>
      </c>
      <c r="F1958" s="1">
        <v>2142.8571428571399</v>
      </c>
      <c r="G1958" s="1">
        <v>9</v>
      </c>
      <c r="H1958" s="1">
        <v>4</v>
      </c>
      <c r="I1958" s="1">
        <v>5</v>
      </c>
      <c r="J1958" s="1">
        <v>4.5</v>
      </c>
      <c r="K1958" s="1">
        <v>4</v>
      </c>
      <c r="L1958" s="1">
        <v>1</v>
      </c>
      <c r="M1958" s="4">
        <v>4214</v>
      </c>
      <c r="N1958" s="1">
        <v>5995</v>
      </c>
      <c r="O1958" s="1">
        <v>12678</v>
      </c>
      <c r="P1958" s="1">
        <v>6683</v>
      </c>
      <c r="S1958" s="1" t="s">
        <v>42</v>
      </c>
      <c r="T1958" s="1" t="s">
        <v>273</v>
      </c>
      <c r="V1958" s="5">
        <v>44247</v>
      </c>
      <c r="AA1958" s="1">
        <v>9030000</v>
      </c>
      <c r="AB1958" s="1" t="s">
        <v>275</v>
      </c>
      <c r="AC1958" s="5">
        <v>43678</v>
      </c>
      <c r="AF1958" s="1">
        <v>10011</v>
      </c>
      <c r="AI1958" s="1" t="s">
        <v>952</v>
      </c>
      <c r="AJ1958" s="1">
        <v>2018</v>
      </c>
      <c r="AK1958" s="1" t="s">
        <v>55</v>
      </c>
      <c r="AL1958" s="1">
        <v>52</v>
      </c>
    </row>
    <row r="1959" spans="1:38" x14ac:dyDescent="0.2">
      <c r="A1959" s="2" t="str">
        <f>HYPERLINK("https://www.compass.com/listing/100-barrow-street-unit-3b-manhattan-ny-10014/391334657156592929/","100 Barrow St, Unit 3B")</f>
        <v>100 Barrow St, Unit 3B</v>
      </c>
      <c r="B1959" s="2" t="str">
        <f>HYPERLINK("https://www.compass.com/building/100-barrow-manhattan-ny/292834978184618837/","100 Barrow")</f>
        <v>100 Barrow</v>
      </c>
      <c r="C1959" s="1" t="s">
        <v>67</v>
      </c>
      <c r="D1959" s="1" t="s">
        <v>41</v>
      </c>
      <c r="E1959" s="3">
        <v>4367000</v>
      </c>
      <c r="F1959" s="1">
        <v>1808.2815734989599</v>
      </c>
      <c r="H1959" s="1">
        <v>3</v>
      </c>
      <c r="I1959" s="1">
        <v>4</v>
      </c>
      <c r="J1959" s="1">
        <v>3.5</v>
      </c>
      <c r="K1959" s="1">
        <v>3</v>
      </c>
      <c r="L1959" s="1">
        <v>1</v>
      </c>
      <c r="M1959" s="4">
        <v>2415</v>
      </c>
      <c r="N1959" s="1">
        <v>6359</v>
      </c>
      <c r="O1959" s="1">
        <v>6359</v>
      </c>
      <c r="S1959" s="1" t="s">
        <v>42</v>
      </c>
      <c r="T1959" s="1" t="s">
        <v>273</v>
      </c>
      <c r="V1959" s="5">
        <v>44247</v>
      </c>
      <c r="AA1959" s="1">
        <v>4367000</v>
      </c>
      <c r="AB1959" s="1" t="s">
        <v>275</v>
      </c>
      <c r="AC1959" s="5">
        <v>43679</v>
      </c>
      <c r="AF1959" s="1">
        <v>10014</v>
      </c>
      <c r="AJ1959" s="1">
        <v>2015</v>
      </c>
      <c r="AK1959" s="1" t="s">
        <v>202</v>
      </c>
      <c r="AL1959" s="1">
        <v>33</v>
      </c>
    </row>
    <row r="1960" spans="1:38" x14ac:dyDescent="0.2">
      <c r="A1960" s="2" t="str">
        <f>HYPERLINK("https://www.compass.com/listing/160-leroy-street-unit-north11a-manhattan-ny-10014/89117533172403121/","160 Leroy St, Unit NORTH11A")</f>
        <v>160 Leroy St, Unit NORTH11A</v>
      </c>
      <c r="B1960" s="2" t="str">
        <f>HYPERLINK("https://www.compass.com/building/160-leroy-st-manhattan-ny-10014/293418469918017093/","160 Leroy St")</f>
        <v>160 Leroy St</v>
      </c>
      <c r="C1960" s="1" t="s">
        <v>67</v>
      </c>
      <c r="D1960" s="1" t="s">
        <v>41</v>
      </c>
      <c r="E1960" s="3">
        <v>7150000</v>
      </c>
      <c r="F1960" s="1">
        <v>3494.6236559139702</v>
      </c>
      <c r="G1960" s="1">
        <v>5</v>
      </c>
      <c r="H1960" s="1">
        <v>3</v>
      </c>
      <c r="I1960" s="1">
        <v>4</v>
      </c>
      <c r="J1960" s="1">
        <v>3.5</v>
      </c>
      <c r="K1960" s="1">
        <v>3</v>
      </c>
      <c r="L1960" s="1">
        <v>1</v>
      </c>
      <c r="M1960" s="4">
        <v>2046</v>
      </c>
      <c r="N1960" s="1">
        <v>2889</v>
      </c>
      <c r="O1960" s="1">
        <v>7067</v>
      </c>
      <c r="P1960" s="1">
        <v>4178</v>
      </c>
      <c r="Q1960" s="1" t="s">
        <v>42</v>
      </c>
      <c r="S1960" s="1" t="s">
        <v>42</v>
      </c>
      <c r="T1960" s="1" t="s">
        <v>273</v>
      </c>
      <c r="U1960" s="1">
        <v>323</v>
      </c>
      <c r="V1960" s="5">
        <v>43751</v>
      </c>
      <c r="W1960" s="5">
        <v>43374</v>
      </c>
      <c r="X1960" s="1">
        <v>7995000</v>
      </c>
      <c r="Y1960" s="1">
        <v>7695000</v>
      </c>
      <c r="Z1960" s="5">
        <v>43697</v>
      </c>
      <c r="AA1960" s="1">
        <v>7150000</v>
      </c>
      <c r="AB1960" s="1" t="s">
        <v>1049</v>
      </c>
      <c r="AC1960" s="5">
        <v>43748</v>
      </c>
      <c r="AF1960" s="1">
        <v>10014</v>
      </c>
      <c r="AI1960" s="1" t="s">
        <v>65</v>
      </c>
      <c r="AJ1960" s="1">
        <v>2017</v>
      </c>
      <c r="AK1960" s="1" t="s">
        <v>121</v>
      </c>
      <c r="AL1960" s="1">
        <v>57</v>
      </c>
    </row>
    <row r="1961" spans="1:38" x14ac:dyDescent="0.2">
      <c r="A1961" s="2" t="str">
        <f>HYPERLINK("https://www.compass.com/listing/55-west-17th-street-unit-1502-manhattan-ny-10011/391918746989512689/","55 W 17th St, Unit 1502")</f>
        <v>55 W 17th St, Unit 1502</v>
      </c>
      <c r="B1961" s="2" t="str">
        <f t="shared" ref="B1961:B1962" si="311">HYPERLINK("https://www.compass.com/building/55-w-17th-st-manhattan-ny-10011/281911689161499829/","55 W 17th St")</f>
        <v>55 W 17th St</v>
      </c>
      <c r="C1961" s="1" t="s">
        <v>56</v>
      </c>
      <c r="D1961" s="1" t="s">
        <v>41</v>
      </c>
      <c r="E1961" s="3">
        <v>4378475</v>
      </c>
      <c r="F1961" s="1">
        <v>2333.9418976545799</v>
      </c>
      <c r="H1961" s="1">
        <v>3</v>
      </c>
      <c r="J1961" s="1">
        <v>2.5</v>
      </c>
      <c r="M1961" s="4">
        <v>1876</v>
      </c>
      <c r="N1961" s="1">
        <v>2475</v>
      </c>
      <c r="O1961" s="1">
        <v>5390</v>
      </c>
      <c r="P1961" s="1">
        <v>2915</v>
      </c>
      <c r="S1961" s="1" t="s">
        <v>42</v>
      </c>
      <c r="T1961" s="1" t="s">
        <v>273</v>
      </c>
      <c r="V1961" s="5">
        <v>44247</v>
      </c>
      <c r="AA1961" s="1">
        <v>4378475</v>
      </c>
      <c r="AB1961" s="1" t="s">
        <v>275</v>
      </c>
      <c r="AC1961" s="5">
        <v>43679</v>
      </c>
      <c r="AF1961" s="1">
        <v>10011</v>
      </c>
      <c r="AI1961" s="1" t="s">
        <v>952</v>
      </c>
      <c r="AJ1961" s="1">
        <v>2018</v>
      </c>
      <c r="AK1961" s="1" t="s">
        <v>55</v>
      </c>
      <c r="AL1961" s="1">
        <v>52</v>
      </c>
    </row>
    <row r="1962" spans="1:38" x14ac:dyDescent="0.2">
      <c r="A1962" s="2" t="str">
        <f>HYPERLINK("https://www.compass.com/listing/55-west-17th-street-unit-1204-manhattan-ny-10011/391942714391808769/","55 W 17th St, Unit 1204")</f>
        <v>55 W 17th St, Unit 1204</v>
      </c>
      <c r="B1962" s="2" t="str">
        <f t="shared" si="311"/>
        <v>55 W 17th St</v>
      </c>
      <c r="C1962" s="1" t="s">
        <v>56</v>
      </c>
      <c r="D1962" s="1" t="s">
        <v>41</v>
      </c>
      <c r="E1962" s="3">
        <v>4989425</v>
      </c>
      <c r="F1962" s="1">
        <v>2284.53525641025</v>
      </c>
      <c r="G1962" s="1">
        <v>5</v>
      </c>
      <c r="H1962" s="1">
        <v>3</v>
      </c>
      <c r="I1962" s="1">
        <v>3</v>
      </c>
      <c r="J1962" s="1">
        <v>2.5</v>
      </c>
      <c r="K1962" s="1">
        <v>2</v>
      </c>
      <c r="L1962" s="1">
        <v>1</v>
      </c>
      <c r="M1962" s="4">
        <v>2184</v>
      </c>
      <c r="N1962" s="1">
        <v>2814</v>
      </c>
      <c r="O1962" s="1">
        <v>6128</v>
      </c>
      <c r="P1962" s="1">
        <v>3314</v>
      </c>
      <c r="S1962" s="1" t="s">
        <v>42</v>
      </c>
      <c r="T1962" s="1" t="s">
        <v>273</v>
      </c>
      <c r="V1962" s="5">
        <v>43793</v>
      </c>
      <c r="AA1962" s="1">
        <v>4989425</v>
      </c>
      <c r="AB1962" s="1" t="s">
        <v>275</v>
      </c>
      <c r="AC1962" s="5">
        <v>43678</v>
      </c>
      <c r="AF1962" s="1">
        <v>10011</v>
      </c>
      <c r="AI1962" s="1" t="s">
        <v>102</v>
      </c>
      <c r="AJ1962" s="1">
        <v>2018</v>
      </c>
      <c r="AK1962" s="1" t="s">
        <v>55</v>
      </c>
      <c r="AL1962" s="1">
        <v>52</v>
      </c>
    </row>
    <row r="1963" spans="1:38" x14ac:dyDescent="0.2">
      <c r="A1963" s="2" t="str">
        <f>HYPERLINK("https://www.compass.com/listing/160-leroy-street-unit-south8a-manhattan-ny-10014/29514407386057473/","160 Leroy St, Unit SOUTH8A")</f>
        <v>160 Leroy St, Unit SOUTH8A</v>
      </c>
      <c r="B1963" s="2" t="str">
        <f t="shared" ref="B1963:B1966" si="312">HYPERLINK("https://www.compass.com/building/160-leroy-st-manhattan-ny-10014/293418469918017093/","160 Leroy St")</f>
        <v>160 Leroy St</v>
      </c>
      <c r="C1963" s="1" t="s">
        <v>67</v>
      </c>
      <c r="D1963" s="1" t="s">
        <v>41</v>
      </c>
      <c r="E1963" s="3">
        <v>3150000</v>
      </c>
      <c r="F1963" s="1">
        <v>2874.0875912408701</v>
      </c>
      <c r="G1963" s="1">
        <v>3</v>
      </c>
      <c r="H1963" s="1">
        <v>1</v>
      </c>
      <c r="I1963" s="1">
        <v>2</v>
      </c>
      <c r="J1963" s="1">
        <v>1.5</v>
      </c>
      <c r="M1963" s="4">
        <v>1096</v>
      </c>
      <c r="N1963" s="1">
        <v>1548</v>
      </c>
      <c r="O1963" s="1">
        <v>3050</v>
      </c>
      <c r="P1963" s="1">
        <v>1502</v>
      </c>
      <c r="Q1963" s="1" t="s">
        <v>42</v>
      </c>
      <c r="S1963" s="1" t="s">
        <v>42</v>
      </c>
      <c r="T1963" s="1" t="s">
        <v>273</v>
      </c>
      <c r="U1963" s="1">
        <v>76</v>
      </c>
      <c r="V1963" s="5">
        <v>43648</v>
      </c>
      <c r="W1963" s="5">
        <v>42399</v>
      </c>
      <c r="X1963" s="1">
        <v>3000000</v>
      </c>
      <c r="Y1963" s="1">
        <v>3000000</v>
      </c>
      <c r="Z1963" s="5">
        <v>42475</v>
      </c>
      <c r="AA1963" s="1">
        <v>3150000</v>
      </c>
      <c r="AB1963" s="1" t="s">
        <v>275</v>
      </c>
      <c r="AC1963" s="5">
        <v>43274</v>
      </c>
      <c r="AF1963" s="1">
        <v>10014</v>
      </c>
      <c r="AI1963" s="1" t="s">
        <v>65</v>
      </c>
      <c r="AJ1963" s="1">
        <v>2017</v>
      </c>
      <c r="AK1963" s="1" t="s">
        <v>49</v>
      </c>
      <c r="AL1963" s="1">
        <v>57</v>
      </c>
    </row>
    <row r="1964" spans="1:38" x14ac:dyDescent="0.2">
      <c r="A1964" s="2" t="str">
        <f>HYPERLINK("https://www.compass.com/listing/160-leroy-street-unit-south10a-manhattan-ny-10014/29514408711499457/","160 Leroy St, Unit SOUTH10A")</f>
        <v>160 Leroy St, Unit SOUTH10A</v>
      </c>
      <c r="B1964" s="2" t="str">
        <f t="shared" si="312"/>
        <v>160 Leroy St</v>
      </c>
      <c r="C1964" s="1" t="s">
        <v>67</v>
      </c>
      <c r="D1964" s="1" t="s">
        <v>41</v>
      </c>
      <c r="E1964" s="3">
        <v>3131538</v>
      </c>
      <c r="F1964" s="1">
        <v>2857.2422445255402</v>
      </c>
      <c r="G1964" s="1">
        <v>3</v>
      </c>
      <c r="H1964" s="1">
        <v>1</v>
      </c>
      <c r="I1964" s="1">
        <v>2</v>
      </c>
      <c r="J1964" s="1">
        <v>1.5</v>
      </c>
      <c r="M1964" s="4">
        <v>1096</v>
      </c>
      <c r="N1964" s="1">
        <v>1548</v>
      </c>
      <c r="O1964" s="1">
        <v>3050</v>
      </c>
      <c r="P1964" s="1">
        <v>1502</v>
      </c>
      <c r="Q1964" s="1" t="s">
        <v>42</v>
      </c>
      <c r="S1964" s="1" t="s">
        <v>42</v>
      </c>
      <c r="T1964" s="1" t="s">
        <v>273</v>
      </c>
      <c r="U1964" s="1">
        <v>423</v>
      </c>
      <c r="V1964" s="5">
        <v>43647</v>
      </c>
      <c r="W1964" s="5">
        <v>42476</v>
      </c>
      <c r="X1964" s="1">
        <v>3100000</v>
      </c>
      <c r="Y1964" s="1">
        <v>3300000</v>
      </c>
      <c r="Z1964" s="5">
        <v>42899</v>
      </c>
      <c r="AA1964" s="1">
        <v>3131537.5</v>
      </c>
      <c r="AB1964" s="1" t="s">
        <v>1050</v>
      </c>
      <c r="AC1964" s="5">
        <v>43300</v>
      </c>
      <c r="AF1964" s="1">
        <v>10014</v>
      </c>
      <c r="AI1964" s="1" t="s">
        <v>65</v>
      </c>
      <c r="AJ1964" s="1">
        <v>2017</v>
      </c>
      <c r="AK1964" s="1" t="s">
        <v>49</v>
      </c>
      <c r="AL1964" s="1">
        <v>57</v>
      </c>
    </row>
    <row r="1965" spans="1:38" x14ac:dyDescent="0.2">
      <c r="A1965" s="2" t="str">
        <f>HYPERLINK("https://www.compass.com/listing/160-leroy-street-unit-south9a-manhattan-ny-10014/29514414356956433/","160 Leroy St, Unit SOUTH9A")</f>
        <v>160 Leroy St, Unit SOUTH9A</v>
      </c>
      <c r="B1965" s="2" t="str">
        <f t="shared" si="312"/>
        <v>160 Leroy St</v>
      </c>
      <c r="C1965" s="1" t="s">
        <v>67</v>
      </c>
      <c r="D1965" s="1" t="s">
        <v>41</v>
      </c>
      <c r="E1965" s="3">
        <v>3200000</v>
      </c>
      <c r="F1965" s="1">
        <v>2919.7080291970801</v>
      </c>
      <c r="G1965" s="1">
        <v>2</v>
      </c>
      <c r="H1965" s="1">
        <v>1</v>
      </c>
      <c r="I1965" s="1">
        <v>2</v>
      </c>
      <c r="J1965" s="1">
        <v>1.5</v>
      </c>
      <c r="M1965" s="4">
        <v>1096</v>
      </c>
      <c r="N1965" s="1">
        <v>1548</v>
      </c>
      <c r="O1965" s="1">
        <v>3050</v>
      </c>
      <c r="P1965" s="1">
        <v>1502</v>
      </c>
      <c r="Q1965" s="1" t="s">
        <v>42</v>
      </c>
      <c r="S1965" s="1" t="s">
        <v>42</v>
      </c>
      <c r="T1965" s="1" t="s">
        <v>273</v>
      </c>
      <c r="U1965" s="1">
        <v>212</v>
      </c>
      <c r="V1965" s="5">
        <v>43647</v>
      </c>
      <c r="W1965" s="5">
        <v>42899</v>
      </c>
      <c r="X1965" s="1">
        <v>3200000</v>
      </c>
      <c r="Y1965" s="1">
        <v>3200000</v>
      </c>
      <c r="Z1965" s="5">
        <v>43111</v>
      </c>
      <c r="AA1965" s="1">
        <v>3200000</v>
      </c>
      <c r="AB1965" s="1" t="s">
        <v>275</v>
      </c>
      <c r="AC1965" s="5">
        <v>43323</v>
      </c>
      <c r="AF1965" s="1">
        <v>10014</v>
      </c>
      <c r="AI1965" s="1" t="s">
        <v>65</v>
      </c>
      <c r="AJ1965" s="1">
        <v>2017</v>
      </c>
      <c r="AK1965" s="1" t="s">
        <v>49</v>
      </c>
      <c r="AL1965" s="1">
        <v>57</v>
      </c>
    </row>
    <row r="1966" spans="1:38" x14ac:dyDescent="0.2">
      <c r="A1966" s="2" t="str">
        <f>HYPERLINK("https://www.compass.com/listing/160-leroy-street-unit-south7a-manhattan-ny-10014/6502119867728241/","160 Leroy St, Unit SOUTH7A")</f>
        <v>160 Leroy St, Unit SOUTH7A</v>
      </c>
      <c r="B1966" s="2" t="str">
        <f t="shared" si="312"/>
        <v>160 Leroy St</v>
      </c>
      <c r="C1966" s="1" t="s">
        <v>67</v>
      </c>
      <c r="D1966" s="1" t="s">
        <v>41</v>
      </c>
      <c r="E1966" s="3">
        <v>3000000</v>
      </c>
      <c r="F1966" s="1">
        <v>2737.22627737226</v>
      </c>
      <c r="G1966" s="1">
        <v>2</v>
      </c>
      <c r="H1966" s="1">
        <v>1</v>
      </c>
      <c r="I1966" s="1">
        <v>2</v>
      </c>
      <c r="J1966" s="1">
        <v>1.5</v>
      </c>
      <c r="M1966" s="4">
        <v>1096</v>
      </c>
      <c r="N1966" s="1">
        <v>1548</v>
      </c>
      <c r="O1966" s="1">
        <v>3050</v>
      </c>
      <c r="P1966" s="1">
        <v>1502</v>
      </c>
      <c r="Q1966" s="1" t="s">
        <v>42</v>
      </c>
      <c r="S1966" s="1" t="s">
        <v>42</v>
      </c>
      <c r="T1966" s="1" t="s">
        <v>273</v>
      </c>
      <c r="V1966" s="5">
        <v>43654</v>
      </c>
      <c r="W1966" s="5">
        <v>42495</v>
      </c>
      <c r="X1966" s="1">
        <v>2850000</v>
      </c>
      <c r="Y1966" s="1">
        <v>2850000</v>
      </c>
      <c r="Z1966" s="5">
        <v>42495</v>
      </c>
      <c r="AA1966" s="1">
        <v>3000000</v>
      </c>
      <c r="AB1966" s="1" t="s">
        <v>275</v>
      </c>
      <c r="AC1966" s="5">
        <v>43259</v>
      </c>
      <c r="AF1966" s="1">
        <v>10014</v>
      </c>
      <c r="AI1966" s="1" t="s">
        <v>65</v>
      </c>
      <c r="AJ1966" s="1">
        <v>2017</v>
      </c>
      <c r="AK1966" s="1" t="s">
        <v>49</v>
      </c>
      <c r="AL1966" s="1">
        <v>57</v>
      </c>
    </row>
    <row r="1967" spans="1:38" x14ac:dyDescent="0.2">
      <c r="A1967" s="2" t="str">
        <f>HYPERLINK("https://www.compass.com/listing/100-barrow-street-unit-ph-manhattan-ny-10014/483771170345540673/","100 Barrow St, Unit PH")</f>
        <v>100 Barrow St, Unit PH</v>
      </c>
      <c r="B1967" s="2" t="str">
        <f>HYPERLINK("https://www.compass.com/building/100-barrow-manhattan-ny/292834978184618837/","100 Barrow")</f>
        <v>100 Barrow</v>
      </c>
      <c r="C1967" s="1" t="s">
        <v>67</v>
      </c>
      <c r="D1967" s="1" t="s">
        <v>41</v>
      </c>
      <c r="E1967" s="3">
        <v>14000000</v>
      </c>
      <c r="F1967" s="1">
        <v>4724.9409382382701</v>
      </c>
      <c r="H1967" s="1">
        <v>3</v>
      </c>
      <c r="J1967" s="1">
        <v>3.5</v>
      </c>
      <c r="M1967" s="4">
        <v>2963</v>
      </c>
      <c r="N1967" s="1">
        <v>8885</v>
      </c>
      <c r="O1967" s="1">
        <v>8885</v>
      </c>
      <c r="Q1967" s="1" t="s">
        <v>271</v>
      </c>
      <c r="S1967" s="1" t="s">
        <v>271</v>
      </c>
      <c r="T1967" s="1" t="s">
        <v>273</v>
      </c>
      <c r="AA1967" s="1">
        <v>14000000</v>
      </c>
      <c r="AB1967" s="1" t="s">
        <v>1051</v>
      </c>
      <c r="AC1967" s="5">
        <v>43180</v>
      </c>
      <c r="AF1967" s="1">
        <v>10014</v>
      </c>
      <c r="AJ1967" s="1">
        <v>2015</v>
      </c>
      <c r="AK1967" s="1" t="s">
        <v>202</v>
      </c>
      <c r="AL1967" s="1">
        <v>33</v>
      </c>
    </row>
    <row r="1968" spans="1:38" x14ac:dyDescent="0.2">
      <c r="A1968" s="2" t="str">
        <f>HYPERLINK("https://www.compass.com/listing/160-leroy-street-unit-south6a-manhattan-ny-10014/4850179630075749985/","160 Leroy St, Unit SOUTH6A")</f>
        <v>160 Leroy St, Unit SOUTH6A</v>
      </c>
      <c r="B1968" s="2" t="str">
        <f>HYPERLINK("https://www.compass.com/building/160-leroy-st-manhattan-ny-10014/293418469918017093/","160 Leroy St")</f>
        <v>160 Leroy St</v>
      </c>
      <c r="C1968" s="1" t="s">
        <v>67</v>
      </c>
      <c r="D1968" s="1" t="s">
        <v>41</v>
      </c>
      <c r="E1968" s="3">
        <v>2900000</v>
      </c>
      <c r="F1968" s="1">
        <v>2645.98540145985</v>
      </c>
      <c r="G1968" s="1">
        <v>3</v>
      </c>
      <c r="H1968" s="1">
        <v>1</v>
      </c>
      <c r="I1968" s="1">
        <v>2</v>
      </c>
      <c r="J1968" s="1">
        <v>1.5</v>
      </c>
      <c r="M1968" s="4">
        <v>1096</v>
      </c>
      <c r="N1968" s="1">
        <v>1548</v>
      </c>
      <c r="O1968" s="1">
        <v>3050</v>
      </c>
      <c r="P1968" s="1">
        <v>1502</v>
      </c>
      <c r="Q1968" s="1" t="s">
        <v>42</v>
      </c>
      <c r="S1968" s="1" t="s">
        <v>42</v>
      </c>
      <c r="T1968" s="1" t="s">
        <v>273</v>
      </c>
      <c r="V1968" s="5">
        <v>43654</v>
      </c>
      <c r="W1968" s="5">
        <v>42537</v>
      </c>
      <c r="X1968" s="1">
        <v>2750000</v>
      </c>
      <c r="Y1968" s="1">
        <v>2750000</v>
      </c>
      <c r="Z1968" s="5">
        <v>42537</v>
      </c>
      <c r="AA1968" s="1">
        <v>2900000</v>
      </c>
      <c r="AB1968" s="1" t="s">
        <v>275</v>
      </c>
      <c r="AC1968" s="5">
        <v>43215</v>
      </c>
      <c r="AF1968" s="1">
        <v>10014</v>
      </c>
      <c r="AI1968" s="1" t="s">
        <v>65</v>
      </c>
      <c r="AJ1968" s="1">
        <v>2017</v>
      </c>
      <c r="AK1968" s="1" t="s">
        <v>49</v>
      </c>
      <c r="AL1968" s="1">
        <v>57</v>
      </c>
    </row>
    <row r="1969" spans="1:38" x14ac:dyDescent="0.2">
      <c r="A1969" s="2" t="str">
        <f>HYPERLINK("https://www.compass.com/listing/21-east-12th-street-unit-6d-manhattan-ny-10003/29514932630346721/","21 E 12th St, Unit 6D")</f>
        <v>21 E 12th St, Unit 6D</v>
      </c>
      <c r="B1969" s="2" t="str">
        <f>HYPERLINK("https://www.compass.com/building/21-east-12th-street-manhattan-ny/292779727154847925/","21 East 12th Street")</f>
        <v>21 East 12th Street</v>
      </c>
      <c r="C1969" s="1" t="s">
        <v>277</v>
      </c>
      <c r="D1969" s="1" t="s">
        <v>41</v>
      </c>
      <c r="E1969" s="3">
        <v>2421419</v>
      </c>
      <c r="F1969" s="1">
        <v>2406.9771371769298</v>
      </c>
      <c r="G1969" s="1">
        <v>3</v>
      </c>
      <c r="H1969" s="1">
        <v>1</v>
      </c>
      <c r="I1969" s="1">
        <v>2</v>
      </c>
      <c r="J1969" s="1">
        <v>1.5</v>
      </c>
      <c r="K1969" s="1">
        <v>1</v>
      </c>
      <c r="L1969" s="1">
        <v>1</v>
      </c>
      <c r="M1969" s="4">
        <v>1006</v>
      </c>
      <c r="N1969" s="1">
        <v>1313</v>
      </c>
      <c r="O1969" s="1">
        <v>3317</v>
      </c>
      <c r="P1969" s="1">
        <v>2004</v>
      </c>
      <c r="Q1969" s="1" t="s">
        <v>42</v>
      </c>
      <c r="S1969" s="1" t="s">
        <v>42</v>
      </c>
      <c r="T1969" s="1" t="s">
        <v>273</v>
      </c>
      <c r="U1969" s="1">
        <v>285</v>
      </c>
      <c r="V1969" s="5">
        <v>43647</v>
      </c>
      <c r="W1969" s="5">
        <v>42588</v>
      </c>
      <c r="X1969" s="1">
        <v>2425000</v>
      </c>
      <c r="Y1969" s="1">
        <v>2575000</v>
      </c>
      <c r="Z1969" s="5">
        <v>42873</v>
      </c>
      <c r="AA1969" s="1">
        <v>2421419</v>
      </c>
      <c r="AB1969" s="1" t="s">
        <v>1052</v>
      </c>
      <c r="AC1969" s="5">
        <v>43545</v>
      </c>
      <c r="AF1969" s="1">
        <v>10003</v>
      </c>
      <c r="AI1969" s="1" t="s">
        <v>80</v>
      </c>
      <c r="AJ1969" s="1">
        <v>2018</v>
      </c>
      <c r="AK1969" s="1" t="s">
        <v>125</v>
      </c>
      <c r="AL1969" s="1">
        <v>52</v>
      </c>
    </row>
    <row r="1970" spans="1:38" x14ac:dyDescent="0.2">
      <c r="A1970" s="2" t="str">
        <f>HYPERLINK("https://www.compass.com/listing/270-riverside-drive-unit-7c-manhattan-ny-10025/29431402395127873/","270 Riverside Dr, Unit 7C")</f>
        <v>270 Riverside Dr, Unit 7C</v>
      </c>
      <c r="B1970" s="2" t="str">
        <f>HYPERLINK("https://www.compass.com/building/270-riverside-dr-manhattan-ny-10025/281970283991095285/","270 Riverside Dr")</f>
        <v>270 Riverside Dr</v>
      </c>
      <c r="C1970" s="1" t="s">
        <v>57</v>
      </c>
      <c r="D1970" s="1" t="s">
        <v>41</v>
      </c>
      <c r="E1970" s="3">
        <v>4734863</v>
      </c>
      <c r="F1970" s="1">
        <v>1976.9782881002</v>
      </c>
      <c r="G1970" s="1">
        <v>7</v>
      </c>
      <c r="H1970" s="1">
        <v>3</v>
      </c>
      <c r="I1970" s="1">
        <v>3</v>
      </c>
      <c r="J1970" s="1">
        <v>3</v>
      </c>
      <c r="K1970" s="1">
        <v>3</v>
      </c>
      <c r="M1970" s="4">
        <v>2395</v>
      </c>
      <c r="N1970" s="1">
        <v>2527</v>
      </c>
      <c r="O1970" s="1">
        <v>3811</v>
      </c>
      <c r="P1970" s="1">
        <v>1284</v>
      </c>
      <c r="Q1970" s="1" t="s">
        <v>42</v>
      </c>
      <c r="S1970" s="1" t="s">
        <v>42</v>
      </c>
      <c r="T1970" s="1" t="s">
        <v>273</v>
      </c>
      <c r="U1970" s="1">
        <v>92</v>
      </c>
      <c r="V1970" s="5">
        <v>43665</v>
      </c>
      <c r="W1970" s="5">
        <v>42353</v>
      </c>
      <c r="X1970" s="1">
        <v>4650000</v>
      </c>
      <c r="Y1970" s="1">
        <v>4650000</v>
      </c>
      <c r="Z1970" s="5">
        <v>42445</v>
      </c>
      <c r="AA1970" s="1">
        <v>4734863</v>
      </c>
      <c r="AB1970" s="1" t="s">
        <v>1053</v>
      </c>
      <c r="AC1970" s="5">
        <v>42682</v>
      </c>
      <c r="AF1970" s="1">
        <v>10025</v>
      </c>
      <c r="AJ1970" s="1">
        <v>1920</v>
      </c>
      <c r="AK1970" s="1" t="s">
        <v>215</v>
      </c>
      <c r="AL1970" s="1">
        <v>57</v>
      </c>
    </row>
    <row r="1971" spans="1:38" x14ac:dyDescent="0.2">
      <c r="A1971" s="2" t="str">
        <f>HYPERLINK("https://www.compass.com/listing/160-leroy-street-unit-north10c-manhattan-ny-10014/29514410087154737/","160 Leroy St, Unit NORTH10C")</f>
        <v>160 Leroy St, Unit NORTH10C</v>
      </c>
      <c r="B1971" s="2" t="str">
        <f>HYPERLINK("https://www.compass.com/building/160-leroy-st-manhattan-ny-10014/293418469918017093/","160 Leroy St")</f>
        <v>160 Leroy St</v>
      </c>
      <c r="C1971" s="1" t="s">
        <v>67</v>
      </c>
      <c r="D1971" s="1" t="s">
        <v>41</v>
      </c>
      <c r="E1971" s="3">
        <v>4868400</v>
      </c>
      <c r="F1971" s="1">
        <v>2817.3611111111099</v>
      </c>
      <c r="G1971" s="1">
        <v>4</v>
      </c>
      <c r="H1971" s="1">
        <v>2</v>
      </c>
      <c r="I1971" s="1">
        <v>3</v>
      </c>
      <c r="J1971" s="1">
        <v>2.5</v>
      </c>
      <c r="M1971" s="4">
        <v>1728</v>
      </c>
      <c r="N1971" s="1">
        <v>2509</v>
      </c>
      <c r="O1971" s="1">
        <v>4945</v>
      </c>
      <c r="P1971" s="1">
        <v>2436</v>
      </c>
      <c r="Q1971" s="1" t="s">
        <v>42</v>
      </c>
      <c r="S1971" s="1" t="s">
        <v>42</v>
      </c>
      <c r="T1971" s="1" t="s">
        <v>273</v>
      </c>
      <c r="V1971" s="5">
        <v>43648</v>
      </c>
      <c r="W1971" s="5">
        <v>42495</v>
      </c>
      <c r="X1971" s="1">
        <v>4900000</v>
      </c>
      <c r="Y1971" s="1">
        <v>4900000</v>
      </c>
      <c r="Z1971" s="5">
        <v>42495</v>
      </c>
      <c r="AA1971" s="1">
        <v>4868400</v>
      </c>
      <c r="AB1971" s="1" t="s">
        <v>1054</v>
      </c>
      <c r="AC1971" s="5">
        <v>43293</v>
      </c>
      <c r="AF1971" s="1">
        <v>10014</v>
      </c>
      <c r="AI1971" s="1" t="s">
        <v>65</v>
      </c>
      <c r="AJ1971" s="1">
        <v>2017</v>
      </c>
      <c r="AK1971" s="1" t="s">
        <v>49</v>
      </c>
      <c r="AL1971" s="1">
        <v>57</v>
      </c>
    </row>
    <row r="1972" spans="1:38" x14ac:dyDescent="0.2">
      <c r="A1972" s="2" t="str">
        <f>HYPERLINK("https://www.compass.com/listing/21-east-12th-street-unit-7d-manhattan-ny-10003/29514924745082257/","21 E 12th St, Unit 7D")</f>
        <v>21 E 12th St, Unit 7D</v>
      </c>
      <c r="B1972" s="2" t="str">
        <f t="shared" ref="B1972:B1973" si="313">HYPERLINK("https://www.compass.com/building/21-east-12th-street-manhattan-ny/292779727154847925/","21 East 12th Street")</f>
        <v>21 East 12th Street</v>
      </c>
      <c r="C1972" s="1" t="s">
        <v>277</v>
      </c>
      <c r="D1972" s="1" t="s">
        <v>41</v>
      </c>
      <c r="E1972" s="3">
        <v>2446647</v>
      </c>
      <c r="F1972" s="1">
        <v>2432.0546719681902</v>
      </c>
      <c r="G1972" s="1">
        <v>3</v>
      </c>
      <c r="H1972" s="1">
        <v>1</v>
      </c>
      <c r="I1972" s="1">
        <v>2</v>
      </c>
      <c r="J1972" s="1">
        <v>1.5</v>
      </c>
      <c r="K1972" s="1">
        <v>1</v>
      </c>
      <c r="L1972" s="1">
        <v>1</v>
      </c>
      <c r="M1972" s="4">
        <v>1006</v>
      </c>
      <c r="N1972" s="1">
        <v>1311</v>
      </c>
      <c r="O1972" s="1">
        <v>3315</v>
      </c>
      <c r="P1972" s="1">
        <v>2004</v>
      </c>
      <c r="Q1972" s="1" t="s">
        <v>42</v>
      </c>
      <c r="S1972" s="1" t="s">
        <v>42</v>
      </c>
      <c r="T1972" s="1" t="s">
        <v>273</v>
      </c>
      <c r="V1972" s="5">
        <v>43678</v>
      </c>
      <c r="W1972" s="5">
        <v>42873</v>
      </c>
      <c r="X1972" s="1">
        <v>2450000</v>
      </c>
      <c r="Y1972" s="1">
        <v>2625000</v>
      </c>
      <c r="Z1972" s="5">
        <v>42873</v>
      </c>
      <c r="AA1972" s="1">
        <v>2446647</v>
      </c>
      <c r="AB1972" s="1" t="s">
        <v>1055</v>
      </c>
      <c r="AC1972" s="5">
        <v>43571</v>
      </c>
      <c r="AF1972" s="1">
        <v>10003</v>
      </c>
      <c r="AI1972" s="1" t="s">
        <v>80</v>
      </c>
      <c r="AJ1972" s="1">
        <v>2018</v>
      </c>
      <c r="AK1972" s="1" t="s">
        <v>125</v>
      </c>
      <c r="AL1972" s="1">
        <v>52</v>
      </c>
    </row>
    <row r="1973" spans="1:38" x14ac:dyDescent="0.2">
      <c r="A1973" s="2" t="str">
        <f>HYPERLINK("https://www.compass.com/listing/21-east-12th-street-unit-8d-manhattan-ny-10003/29514931338501057/","21 E 12th St, Unit 8D")</f>
        <v>21 E 12th St, Unit 8D</v>
      </c>
      <c r="B1973" s="2" t="str">
        <f t="shared" si="313"/>
        <v>21 East 12th Street</v>
      </c>
      <c r="C1973" s="1" t="s">
        <v>277</v>
      </c>
      <c r="D1973" s="1" t="s">
        <v>41</v>
      </c>
      <c r="E1973" s="3">
        <v>2544916</v>
      </c>
      <c r="F1973" s="1">
        <v>2529.7375745526801</v>
      </c>
      <c r="G1973" s="1">
        <v>3</v>
      </c>
      <c r="H1973" s="1">
        <v>1</v>
      </c>
      <c r="I1973" s="1">
        <v>2</v>
      </c>
      <c r="J1973" s="1">
        <v>1.5</v>
      </c>
      <c r="K1973" s="1">
        <v>1</v>
      </c>
      <c r="L1973" s="1">
        <v>1</v>
      </c>
      <c r="M1973" s="4">
        <v>1006</v>
      </c>
      <c r="N1973" s="1">
        <v>1311</v>
      </c>
      <c r="O1973" s="1">
        <v>3315</v>
      </c>
      <c r="P1973" s="1">
        <v>2004</v>
      </c>
      <c r="Q1973" s="1" t="s">
        <v>42</v>
      </c>
      <c r="S1973" s="1" t="s">
        <v>42</v>
      </c>
      <c r="T1973" s="1" t="s">
        <v>273</v>
      </c>
      <c r="U1973" s="1">
        <v>12</v>
      </c>
      <c r="V1973" s="5">
        <v>43637</v>
      </c>
      <c r="W1973" s="5">
        <v>42573</v>
      </c>
      <c r="X1973" s="1">
        <v>2475000</v>
      </c>
      <c r="Y1973" s="1">
        <v>2675000</v>
      </c>
      <c r="Z1973" s="5">
        <v>42585</v>
      </c>
      <c r="AA1973" s="1">
        <v>2544916</v>
      </c>
      <c r="AB1973" s="1" t="s">
        <v>1056</v>
      </c>
      <c r="AC1973" s="5">
        <v>43594</v>
      </c>
      <c r="AF1973" s="1">
        <v>10003</v>
      </c>
      <c r="AI1973" s="1" t="s">
        <v>80</v>
      </c>
      <c r="AJ1973" s="1">
        <v>2018</v>
      </c>
      <c r="AK1973" s="1" t="s">
        <v>125</v>
      </c>
      <c r="AL1973" s="1">
        <v>52</v>
      </c>
    </row>
    <row r="1974" spans="1:38" x14ac:dyDescent="0.2">
      <c r="A1974" s="2" t="str">
        <f>HYPERLINK("https://www.compass.com/listing/160-leroy-street-unit-south9b-manhattan-ny-10014/21020952741602161/","160 Leroy St, Unit SOUTH9B")</f>
        <v>160 Leroy St, Unit SOUTH9B</v>
      </c>
      <c r="B1974" s="2" t="str">
        <f t="shared" ref="B1974:B1980" si="314">HYPERLINK("https://www.compass.com/building/160-leroy-st-manhattan-ny-10014/293418469918017093/","160 Leroy St")</f>
        <v>160 Leroy St</v>
      </c>
      <c r="C1974" s="1" t="s">
        <v>67</v>
      </c>
      <c r="D1974" s="1" t="s">
        <v>41</v>
      </c>
      <c r="E1974" s="3">
        <v>7993263</v>
      </c>
      <c r="F1974" s="1">
        <v>3399.9415142492498</v>
      </c>
      <c r="G1974" s="1">
        <v>6</v>
      </c>
      <c r="H1974" s="1">
        <v>3</v>
      </c>
      <c r="I1974" s="1">
        <v>4</v>
      </c>
      <c r="J1974" s="1">
        <v>3.5</v>
      </c>
      <c r="M1974" s="4">
        <v>2351</v>
      </c>
      <c r="N1974" s="1">
        <v>3320</v>
      </c>
      <c r="O1974" s="1">
        <v>6543</v>
      </c>
      <c r="P1974" s="1">
        <v>3223</v>
      </c>
      <c r="Q1974" s="1" t="s">
        <v>42</v>
      </c>
      <c r="S1974" s="1" t="s">
        <v>42</v>
      </c>
      <c r="T1974" s="1" t="s">
        <v>273</v>
      </c>
      <c r="V1974" s="5">
        <v>43648</v>
      </c>
      <c r="W1974" s="5">
        <v>42742</v>
      </c>
      <c r="X1974" s="1">
        <v>7850000</v>
      </c>
      <c r="Y1974" s="1">
        <v>7850000</v>
      </c>
      <c r="Z1974" s="5">
        <v>42742</v>
      </c>
      <c r="AA1974" s="1">
        <v>7993262.5</v>
      </c>
      <c r="AB1974" s="1" t="s">
        <v>1057</v>
      </c>
      <c r="AC1974" s="5">
        <v>43278</v>
      </c>
      <c r="AF1974" s="1">
        <v>10014</v>
      </c>
      <c r="AI1974" s="1" t="s">
        <v>65</v>
      </c>
      <c r="AJ1974" s="1">
        <v>2017</v>
      </c>
      <c r="AK1974" s="1" t="s">
        <v>49</v>
      </c>
      <c r="AL1974" s="1">
        <v>57</v>
      </c>
    </row>
    <row r="1975" spans="1:38" x14ac:dyDescent="0.2">
      <c r="A1975" s="2" t="str">
        <f>HYPERLINK("https://www.compass.com/listing/160-leroy-street-unit-south10b-manhattan-ny-10014/25369554725114369/","160 Leroy St, Unit SOUTH10B")</f>
        <v>160 Leroy St, Unit SOUTH10B</v>
      </c>
      <c r="B1975" s="2" t="str">
        <f t="shared" si="314"/>
        <v>160 Leroy St</v>
      </c>
      <c r="C1975" s="1" t="s">
        <v>67</v>
      </c>
      <c r="D1975" s="1" t="s">
        <v>41</v>
      </c>
      <c r="E1975" s="3">
        <v>8098338</v>
      </c>
      <c r="F1975" s="1">
        <v>3444.6352615908099</v>
      </c>
      <c r="G1975" s="1">
        <v>6</v>
      </c>
      <c r="H1975" s="1">
        <v>3</v>
      </c>
      <c r="I1975" s="1">
        <v>4</v>
      </c>
      <c r="J1975" s="1">
        <v>3.5</v>
      </c>
      <c r="M1975" s="4">
        <v>2351</v>
      </c>
      <c r="N1975" s="1">
        <v>3320</v>
      </c>
      <c r="O1975" s="1">
        <v>6543</v>
      </c>
      <c r="P1975" s="1">
        <v>3223</v>
      </c>
      <c r="Q1975" s="1" t="s">
        <v>42</v>
      </c>
      <c r="S1975" s="1" t="s">
        <v>42</v>
      </c>
      <c r="T1975" s="1" t="s">
        <v>273</v>
      </c>
      <c r="V1975" s="5">
        <v>43647</v>
      </c>
      <c r="W1975" s="5">
        <v>42481</v>
      </c>
      <c r="X1975" s="1">
        <v>7950000</v>
      </c>
      <c r="Y1975" s="1">
        <v>7950000</v>
      </c>
      <c r="Z1975" s="5">
        <v>42481</v>
      </c>
      <c r="AA1975" s="1">
        <v>8098337.5</v>
      </c>
      <c r="AB1975" s="1" t="s">
        <v>1058</v>
      </c>
      <c r="AC1975" s="5">
        <v>43284</v>
      </c>
      <c r="AF1975" s="1">
        <v>10014</v>
      </c>
      <c r="AI1975" s="1" t="s">
        <v>65</v>
      </c>
      <c r="AJ1975" s="1">
        <v>2017</v>
      </c>
      <c r="AK1975" s="1" t="s">
        <v>49</v>
      </c>
      <c r="AL1975" s="1">
        <v>57</v>
      </c>
    </row>
    <row r="1976" spans="1:38" x14ac:dyDescent="0.2">
      <c r="A1976" s="2" t="str">
        <f>HYPERLINK("https://www.compass.com/listing/160-leroy-street-unit-south6b-manhattan-ny-10014/29514409701355233/","160 Leroy St, Unit SOUTH6B")</f>
        <v>160 Leroy St, Unit SOUTH6B</v>
      </c>
      <c r="B1976" s="2" t="str">
        <f t="shared" si="314"/>
        <v>160 Leroy St</v>
      </c>
      <c r="C1976" s="1" t="s">
        <v>67</v>
      </c>
      <c r="D1976" s="1" t="s">
        <v>41</v>
      </c>
      <c r="E1976" s="3">
        <v>7080088</v>
      </c>
      <c r="F1976" s="1">
        <v>3011.5216928966302</v>
      </c>
      <c r="G1976" s="1">
        <v>6</v>
      </c>
      <c r="H1976" s="1">
        <v>3</v>
      </c>
      <c r="I1976" s="1">
        <v>4</v>
      </c>
      <c r="J1976" s="1">
        <v>3.5</v>
      </c>
      <c r="M1976" s="4">
        <v>2351</v>
      </c>
      <c r="N1976" s="1">
        <v>3333</v>
      </c>
      <c r="O1976" s="1">
        <v>6568</v>
      </c>
      <c r="P1976" s="1">
        <v>3235</v>
      </c>
      <c r="Q1976" s="1" t="s">
        <v>42</v>
      </c>
      <c r="S1976" s="1" t="s">
        <v>42</v>
      </c>
      <c r="T1976" s="1" t="s">
        <v>273</v>
      </c>
      <c r="V1976" s="5">
        <v>43654</v>
      </c>
      <c r="W1976" s="5">
        <v>42495</v>
      </c>
      <c r="X1976" s="1">
        <v>6950000</v>
      </c>
      <c r="Y1976" s="1">
        <v>6950000</v>
      </c>
      <c r="Z1976" s="5">
        <v>42495</v>
      </c>
      <c r="AA1976" s="1">
        <v>7080087.5</v>
      </c>
      <c r="AB1976" s="1" t="s">
        <v>1059</v>
      </c>
      <c r="AC1976" s="5">
        <v>43223</v>
      </c>
      <c r="AF1976" s="1">
        <v>10014</v>
      </c>
      <c r="AI1976" s="1" t="s">
        <v>65</v>
      </c>
      <c r="AJ1976" s="1">
        <v>2017</v>
      </c>
      <c r="AK1976" s="1" t="s">
        <v>49</v>
      </c>
      <c r="AL1976" s="1">
        <v>57</v>
      </c>
    </row>
    <row r="1977" spans="1:38" x14ac:dyDescent="0.2">
      <c r="A1977" s="2" t="str">
        <f>HYPERLINK("https://www.compass.com/listing/160-leroy-street-unit-north10a-manhattan-ny-10014/29514411135730833/","160 Leroy St, Unit NORTH10A")</f>
        <v>160 Leroy St, Unit NORTH10A</v>
      </c>
      <c r="B1977" s="2" t="str">
        <f t="shared" si="314"/>
        <v>160 Leroy St</v>
      </c>
      <c r="C1977" s="1" t="s">
        <v>67</v>
      </c>
      <c r="D1977" s="1" t="s">
        <v>41</v>
      </c>
      <c r="E1977" s="3">
        <v>7000000</v>
      </c>
      <c r="F1977" s="1">
        <v>3421.30987292277</v>
      </c>
      <c r="G1977" s="1">
        <v>6</v>
      </c>
      <c r="H1977" s="1">
        <v>3</v>
      </c>
      <c r="I1977" s="1">
        <v>4</v>
      </c>
      <c r="J1977" s="1">
        <v>3.5</v>
      </c>
      <c r="M1977" s="4">
        <v>2046</v>
      </c>
      <c r="N1977" s="1">
        <v>2889</v>
      </c>
      <c r="O1977" s="1">
        <v>5694</v>
      </c>
      <c r="P1977" s="1">
        <v>2805</v>
      </c>
      <c r="Q1977" s="1" t="s">
        <v>42</v>
      </c>
      <c r="S1977" s="1" t="s">
        <v>42</v>
      </c>
      <c r="T1977" s="1" t="s">
        <v>273</v>
      </c>
      <c r="V1977" s="5">
        <v>43647</v>
      </c>
      <c r="W1977" s="5">
        <v>42672</v>
      </c>
      <c r="X1977" s="1">
        <v>7000000</v>
      </c>
      <c r="Y1977" s="1">
        <v>7000000</v>
      </c>
      <c r="Z1977" s="5">
        <v>42672</v>
      </c>
      <c r="AA1977" s="1">
        <v>7000000</v>
      </c>
      <c r="AB1977" s="1" t="s">
        <v>275</v>
      </c>
      <c r="AC1977" s="5">
        <v>43302</v>
      </c>
      <c r="AF1977" s="1">
        <v>10014</v>
      </c>
      <c r="AI1977" s="1" t="s">
        <v>65</v>
      </c>
      <c r="AJ1977" s="1">
        <v>2017</v>
      </c>
      <c r="AK1977" s="1" t="s">
        <v>49</v>
      </c>
      <c r="AL1977" s="1">
        <v>57</v>
      </c>
    </row>
    <row r="1978" spans="1:38" x14ac:dyDescent="0.2">
      <c r="A1978" s="2" t="str">
        <f>HYPERLINK("https://www.compass.com/listing/160-leroy-street-unit-south7b-manhattan-ny-10014/4861052676755954465/","160 Leroy St, Unit SOUTH7B")</f>
        <v>160 Leroy St, Unit SOUTH7B</v>
      </c>
      <c r="B1978" s="2" t="str">
        <f t="shared" si="314"/>
        <v>160 Leroy St</v>
      </c>
      <c r="C1978" s="1" t="s">
        <v>67</v>
      </c>
      <c r="D1978" s="1" t="s">
        <v>41</v>
      </c>
      <c r="E1978" s="3">
        <v>7181913</v>
      </c>
      <c r="F1978" s="1">
        <v>3054.83304976605</v>
      </c>
      <c r="G1978" s="1">
        <v>6</v>
      </c>
      <c r="H1978" s="1">
        <v>3</v>
      </c>
      <c r="I1978" s="1">
        <v>4</v>
      </c>
      <c r="J1978" s="1">
        <v>4</v>
      </c>
      <c r="K1978" s="1">
        <v>4</v>
      </c>
      <c r="M1978" s="4">
        <v>2351</v>
      </c>
      <c r="N1978" s="1">
        <v>3333</v>
      </c>
      <c r="O1978" s="1">
        <v>6568</v>
      </c>
      <c r="P1978" s="1">
        <v>3235</v>
      </c>
      <c r="Q1978" s="1" t="s">
        <v>42</v>
      </c>
      <c r="S1978" s="1" t="s">
        <v>42</v>
      </c>
      <c r="T1978" s="1" t="s">
        <v>273</v>
      </c>
      <c r="V1978" s="5">
        <v>44225</v>
      </c>
      <c r="W1978" s="5">
        <v>42756</v>
      </c>
      <c r="X1978" s="1">
        <v>7050000</v>
      </c>
      <c r="Y1978" s="1">
        <v>7050000</v>
      </c>
      <c r="Z1978" s="5">
        <v>42756</v>
      </c>
      <c r="AA1978" s="1">
        <v>7181912.5</v>
      </c>
      <c r="AB1978" s="1" t="s">
        <v>1060</v>
      </c>
      <c r="AC1978" s="5">
        <v>43230</v>
      </c>
      <c r="AF1978" s="1">
        <v>10014</v>
      </c>
      <c r="AI1978" s="1" t="s">
        <v>65</v>
      </c>
      <c r="AJ1978" s="1">
        <v>2017</v>
      </c>
      <c r="AK1978" s="1" t="s">
        <v>49</v>
      </c>
      <c r="AL1978" s="1">
        <v>57</v>
      </c>
    </row>
    <row r="1979" spans="1:38" x14ac:dyDescent="0.2">
      <c r="A1979" s="2" t="str">
        <f>HYPERLINK("https://www.compass.com/listing/160-leroy-street-unit-south8b-manhattan-ny-10014/4876993572823371537/","160 Leroy St, Unit SOUTH8B")</f>
        <v>160 Leroy St, Unit SOUTH8B</v>
      </c>
      <c r="B1979" s="2" t="str">
        <f t="shared" si="314"/>
        <v>160 Leroy St</v>
      </c>
      <c r="C1979" s="1" t="s">
        <v>67</v>
      </c>
      <c r="D1979" s="1" t="s">
        <v>41</v>
      </c>
      <c r="E1979" s="3">
        <v>7650000</v>
      </c>
      <c r="F1979" s="1">
        <v>3253.9344959591599</v>
      </c>
      <c r="G1979" s="1">
        <v>6</v>
      </c>
      <c r="H1979" s="1">
        <v>3</v>
      </c>
      <c r="I1979" s="1">
        <v>4</v>
      </c>
      <c r="J1979" s="1">
        <v>3.5</v>
      </c>
      <c r="M1979" s="4">
        <v>2351</v>
      </c>
      <c r="N1979" s="1">
        <v>3333</v>
      </c>
      <c r="O1979" s="1">
        <v>6568</v>
      </c>
      <c r="P1979" s="1">
        <v>3235</v>
      </c>
      <c r="Q1979" s="1" t="s">
        <v>42</v>
      </c>
      <c r="S1979" s="1" t="s">
        <v>42</v>
      </c>
      <c r="T1979" s="1" t="s">
        <v>273</v>
      </c>
      <c r="U1979" s="1">
        <v>90</v>
      </c>
      <c r="V1979" s="5">
        <v>43648</v>
      </c>
      <c r="W1979" s="5">
        <v>42985</v>
      </c>
      <c r="X1979" s="1">
        <v>7100000</v>
      </c>
      <c r="Y1979" s="1">
        <v>7750000</v>
      </c>
      <c r="Z1979" s="5">
        <v>43075</v>
      </c>
      <c r="AA1979" s="1">
        <v>7650000</v>
      </c>
      <c r="AB1979" s="1" t="s">
        <v>1061</v>
      </c>
      <c r="AC1979" s="5">
        <v>43251</v>
      </c>
      <c r="AF1979" s="1">
        <v>10014</v>
      </c>
      <c r="AI1979" s="1" t="s">
        <v>65</v>
      </c>
      <c r="AJ1979" s="1">
        <v>2017</v>
      </c>
      <c r="AK1979" s="1" t="s">
        <v>49</v>
      </c>
      <c r="AL1979" s="1">
        <v>57</v>
      </c>
    </row>
    <row r="1980" spans="1:38" x14ac:dyDescent="0.2">
      <c r="A1980" s="2" t="str">
        <f>HYPERLINK("https://www.compass.com/listing/160-leroy-street-unit-north6a-manhattan-ny-10014/70930667323574321/","160 Leroy St, Unit NORTH6A")</f>
        <v>160 Leroy St, Unit NORTH6A</v>
      </c>
      <c r="B1980" s="2" t="str">
        <f t="shared" si="314"/>
        <v>160 Leroy St</v>
      </c>
      <c r="C1980" s="1" t="s">
        <v>67</v>
      </c>
      <c r="D1980" s="1" t="s">
        <v>41</v>
      </c>
      <c r="E1980" s="3">
        <v>6450000</v>
      </c>
      <c r="F1980" s="1">
        <v>3152.4926686217</v>
      </c>
      <c r="G1980" s="1">
        <v>6</v>
      </c>
      <c r="H1980" s="1">
        <v>3</v>
      </c>
      <c r="I1980" s="1">
        <v>4</v>
      </c>
      <c r="J1980" s="1">
        <v>3.5</v>
      </c>
      <c r="M1980" s="4">
        <v>2046</v>
      </c>
      <c r="N1980" s="1">
        <v>2889</v>
      </c>
      <c r="O1980" s="1">
        <v>5694</v>
      </c>
      <c r="P1980" s="1">
        <v>2805</v>
      </c>
      <c r="Q1980" s="1" t="s">
        <v>42</v>
      </c>
      <c r="S1980" s="1" t="s">
        <v>42</v>
      </c>
      <c r="T1980" s="1" t="s">
        <v>273</v>
      </c>
      <c r="U1980" s="1">
        <v>68</v>
      </c>
      <c r="V1980" s="5">
        <v>43654</v>
      </c>
      <c r="W1980" s="5">
        <v>42788</v>
      </c>
      <c r="X1980" s="1">
        <v>6300000</v>
      </c>
      <c r="Y1980" s="1">
        <v>6300000</v>
      </c>
      <c r="Z1980" s="5">
        <v>42856</v>
      </c>
      <c r="AA1980" s="1">
        <v>6450000</v>
      </c>
      <c r="AB1980" s="1" t="s">
        <v>275</v>
      </c>
      <c r="AC1980" s="5">
        <v>43214</v>
      </c>
      <c r="AF1980" s="1">
        <v>10014</v>
      </c>
      <c r="AI1980" s="1" t="s">
        <v>65</v>
      </c>
      <c r="AJ1980" s="1">
        <v>2017</v>
      </c>
      <c r="AK1980" s="1" t="s">
        <v>49</v>
      </c>
      <c r="AL1980" s="1">
        <v>57</v>
      </c>
    </row>
    <row r="1981" spans="1:38" x14ac:dyDescent="0.2">
      <c r="A1981" s="2" t="str">
        <f>HYPERLINK("https://www.compass.com/listing/90-morton-street-unit-6d-manhattan-ny-10014/76220637378630369/","90 Morton St, Unit 6D")</f>
        <v>90 Morton St, Unit 6D</v>
      </c>
      <c r="B1981" s="2" t="str">
        <f>HYPERLINK("https://www.compass.com/building/90-morton-street-manhattan-ny/292834843018978005/","90 Morton Street")</f>
        <v>90 Morton Street</v>
      </c>
      <c r="C1981" s="1" t="s">
        <v>67</v>
      </c>
      <c r="D1981" s="1" t="s">
        <v>41</v>
      </c>
      <c r="E1981" s="3">
        <v>5900000</v>
      </c>
      <c r="F1981" s="1">
        <v>2629.2335115864498</v>
      </c>
      <c r="G1981" s="1">
        <v>5</v>
      </c>
      <c r="H1981" s="1">
        <v>3</v>
      </c>
      <c r="I1981" s="1">
        <v>4</v>
      </c>
      <c r="J1981" s="1">
        <v>3.5</v>
      </c>
      <c r="K1981" s="1">
        <v>3</v>
      </c>
      <c r="L1981" s="1">
        <v>1</v>
      </c>
      <c r="M1981" s="4">
        <v>2244</v>
      </c>
      <c r="N1981" s="1">
        <v>3003.57</v>
      </c>
      <c r="O1981" s="1">
        <v>5415.8</v>
      </c>
      <c r="P1981" s="1">
        <v>2412.25</v>
      </c>
      <c r="Q1981" s="1" t="s">
        <v>42</v>
      </c>
      <c r="S1981" s="1" t="s">
        <v>42</v>
      </c>
      <c r="T1981" s="1" t="s">
        <v>273</v>
      </c>
      <c r="U1981" s="1">
        <v>541</v>
      </c>
      <c r="V1981" s="5">
        <v>44102</v>
      </c>
      <c r="W1981" s="5">
        <v>43356</v>
      </c>
      <c r="X1981" s="1">
        <v>6900000</v>
      </c>
      <c r="Y1981" s="1">
        <v>6900000</v>
      </c>
      <c r="Z1981" s="5">
        <v>44055</v>
      </c>
      <c r="AA1981" s="1">
        <v>5900000</v>
      </c>
      <c r="AB1981" s="1" t="s">
        <v>1062</v>
      </c>
      <c r="AC1981" s="5">
        <v>44084</v>
      </c>
      <c r="AF1981" s="1">
        <v>10014</v>
      </c>
      <c r="AI1981" s="1" t="s">
        <v>1063</v>
      </c>
      <c r="AJ1981" s="1">
        <v>2018</v>
      </c>
      <c r="AK1981" s="1" t="s">
        <v>49</v>
      </c>
      <c r="AL1981" s="1">
        <v>35</v>
      </c>
    </row>
    <row r="1982" spans="1:38" x14ac:dyDescent="0.2">
      <c r="A1982" s="2" t="str">
        <f>HYPERLINK("https://www.compass.com/listing/160-leroy-street-unit-north11a-manhattan-ny-10014/29514407688089217/","160 Leroy St, Unit NORTH11A")</f>
        <v>160 Leroy St, Unit NORTH11A</v>
      </c>
      <c r="B1982" s="2" t="str">
        <f t="shared" ref="B1982:B1986" si="315">HYPERLINK("https://www.compass.com/building/160-leroy-st-manhattan-ny-10014/293418469918017093/","160 Leroy St")</f>
        <v>160 Leroy St</v>
      </c>
      <c r="C1982" s="1" t="s">
        <v>67</v>
      </c>
      <c r="D1982" s="1" t="s">
        <v>41</v>
      </c>
      <c r="E1982" s="3">
        <v>7100000</v>
      </c>
      <c r="F1982" s="1">
        <v>3470.1857282502401</v>
      </c>
      <c r="G1982" s="1">
        <v>5</v>
      </c>
      <c r="H1982" s="1">
        <v>3</v>
      </c>
      <c r="I1982" s="1">
        <v>4</v>
      </c>
      <c r="J1982" s="1">
        <v>3.5</v>
      </c>
      <c r="M1982" s="4">
        <v>2046</v>
      </c>
      <c r="N1982" s="1">
        <v>2889</v>
      </c>
      <c r="O1982" s="1">
        <v>5694</v>
      </c>
      <c r="P1982" s="1">
        <v>2805</v>
      </c>
      <c r="Q1982" s="1" t="s">
        <v>42</v>
      </c>
      <c r="S1982" s="1" t="s">
        <v>42</v>
      </c>
      <c r="T1982" s="1" t="s">
        <v>273</v>
      </c>
      <c r="V1982" s="5">
        <v>43650</v>
      </c>
      <c r="W1982" s="5">
        <v>42383</v>
      </c>
      <c r="X1982" s="1">
        <v>7100000</v>
      </c>
      <c r="Y1982" s="1">
        <v>7100000</v>
      </c>
      <c r="Z1982" s="5">
        <v>42383</v>
      </c>
      <c r="AA1982" s="1">
        <v>7100000</v>
      </c>
      <c r="AB1982" s="1" t="s">
        <v>275</v>
      </c>
      <c r="AC1982" s="5">
        <v>43293</v>
      </c>
      <c r="AF1982" s="1">
        <v>10014</v>
      </c>
      <c r="AI1982" s="1" t="s">
        <v>65</v>
      </c>
      <c r="AJ1982" s="1">
        <v>2017</v>
      </c>
      <c r="AK1982" s="1" t="s">
        <v>49</v>
      </c>
      <c r="AL1982" s="1">
        <v>57</v>
      </c>
    </row>
    <row r="1983" spans="1:38" x14ac:dyDescent="0.2">
      <c r="A1983" s="2" t="str">
        <f>HYPERLINK("https://www.compass.com/listing/160-leroy-street-unit-north9a-manhattan-ny-10014/29514408065500113/","160 Leroy St, Unit NORTH9A")</f>
        <v>160 Leroy St, Unit NORTH9A</v>
      </c>
      <c r="B1983" s="2" t="str">
        <f t="shared" si="315"/>
        <v>160 Leroy St</v>
      </c>
      <c r="C1983" s="1" t="s">
        <v>67</v>
      </c>
      <c r="D1983" s="1" t="s">
        <v>41</v>
      </c>
      <c r="E1983" s="3">
        <v>6865300</v>
      </c>
      <c r="F1983" s="1">
        <v>3355.4740957966701</v>
      </c>
      <c r="G1983" s="1">
        <v>5</v>
      </c>
      <c r="H1983" s="1">
        <v>3</v>
      </c>
      <c r="I1983" s="1">
        <v>4</v>
      </c>
      <c r="J1983" s="1">
        <v>3.5</v>
      </c>
      <c r="M1983" s="4">
        <v>2046</v>
      </c>
      <c r="N1983" s="1">
        <v>2889</v>
      </c>
      <c r="O1983" s="1">
        <v>5694</v>
      </c>
      <c r="P1983" s="1">
        <v>2805</v>
      </c>
      <c r="Q1983" s="1" t="s">
        <v>42</v>
      </c>
      <c r="S1983" s="1" t="s">
        <v>42</v>
      </c>
      <c r="T1983" s="1" t="s">
        <v>273</v>
      </c>
      <c r="V1983" s="5">
        <v>43648</v>
      </c>
      <c r="W1983" s="5">
        <v>42749</v>
      </c>
      <c r="X1983" s="1">
        <v>6850000</v>
      </c>
      <c r="Y1983" s="1">
        <v>6850000</v>
      </c>
      <c r="Z1983" s="5">
        <v>42749</v>
      </c>
      <c r="AA1983" s="1">
        <v>6865300</v>
      </c>
      <c r="AB1983" s="1" t="s">
        <v>1064</v>
      </c>
      <c r="AC1983" s="5">
        <v>43273</v>
      </c>
      <c r="AF1983" s="1">
        <v>10014</v>
      </c>
      <c r="AI1983" s="1" t="s">
        <v>65</v>
      </c>
      <c r="AJ1983" s="1">
        <v>2017</v>
      </c>
      <c r="AK1983" s="1" t="s">
        <v>49</v>
      </c>
      <c r="AL1983" s="1">
        <v>57</v>
      </c>
    </row>
    <row r="1984" spans="1:38" x14ac:dyDescent="0.2">
      <c r="A1984" s="2" t="str">
        <f>HYPERLINK("https://www.compass.com/listing/160-leroy-street-unit-north5a-manhattan-ny-10014/4845320399866576449/","160 Leroy St, Unit NORTH5A")</f>
        <v>160 Leroy St, Unit NORTH5A</v>
      </c>
      <c r="B1984" s="2" t="str">
        <f t="shared" si="315"/>
        <v>160 Leroy St</v>
      </c>
      <c r="C1984" s="1" t="s">
        <v>67</v>
      </c>
      <c r="D1984" s="1" t="s">
        <v>41</v>
      </c>
      <c r="E1984" s="3">
        <v>6000000</v>
      </c>
      <c r="F1984" s="1">
        <v>2928.2576866764198</v>
      </c>
      <c r="G1984" s="1">
        <v>6</v>
      </c>
      <c r="H1984" s="1">
        <v>3</v>
      </c>
      <c r="I1984" s="1">
        <v>4</v>
      </c>
      <c r="J1984" s="1">
        <v>4</v>
      </c>
      <c r="K1984" s="1">
        <v>4</v>
      </c>
      <c r="M1984" s="4">
        <v>2049</v>
      </c>
      <c r="N1984" s="1">
        <v>2889</v>
      </c>
      <c r="O1984" s="1">
        <v>5694</v>
      </c>
      <c r="P1984" s="1">
        <v>2805</v>
      </c>
      <c r="Q1984" s="1" t="s">
        <v>42</v>
      </c>
      <c r="S1984" s="1" t="s">
        <v>42</v>
      </c>
      <c r="T1984" s="1" t="s">
        <v>273</v>
      </c>
      <c r="V1984" s="5">
        <v>44335</v>
      </c>
      <c r="W1984" s="5">
        <v>42768</v>
      </c>
      <c r="X1984" s="1">
        <v>6150000</v>
      </c>
      <c r="Y1984" s="1">
        <v>6150000</v>
      </c>
      <c r="Z1984" s="5">
        <v>42768</v>
      </c>
      <c r="AA1984" s="1">
        <v>6000000</v>
      </c>
      <c r="AB1984" s="1" t="s">
        <v>1065</v>
      </c>
      <c r="AC1984" s="5">
        <v>43207</v>
      </c>
      <c r="AF1984" s="1">
        <v>10014</v>
      </c>
      <c r="AI1984" s="1" t="s">
        <v>65</v>
      </c>
      <c r="AJ1984" s="1">
        <v>2017</v>
      </c>
      <c r="AK1984" s="1" t="s">
        <v>49</v>
      </c>
      <c r="AL1984" s="1">
        <v>57</v>
      </c>
    </row>
    <row r="1985" spans="1:38" x14ac:dyDescent="0.2">
      <c r="A1985" s="2" t="str">
        <f>HYPERLINK("https://www.compass.com/listing/160-leroy-street-unit-north8a-manhattan-ny-10014/4875011531894429745/","160 Leroy St, Unit NORTH8A")</f>
        <v>160 Leroy St, Unit NORTH8A</v>
      </c>
      <c r="B1985" s="2" t="str">
        <f t="shared" si="315"/>
        <v>160 Leroy St</v>
      </c>
      <c r="C1985" s="1" t="s">
        <v>67</v>
      </c>
      <c r="D1985" s="1" t="s">
        <v>41</v>
      </c>
      <c r="E1985" s="3">
        <v>6672788</v>
      </c>
      <c r="F1985" s="1">
        <v>3261.38196480938</v>
      </c>
      <c r="G1985" s="1">
        <v>6</v>
      </c>
      <c r="H1985" s="1">
        <v>3</v>
      </c>
      <c r="I1985" s="1">
        <v>4</v>
      </c>
      <c r="J1985" s="1">
        <v>3.5</v>
      </c>
      <c r="M1985" s="4">
        <v>2046</v>
      </c>
      <c r="N1985" s="1">
        <v>2900</v>
      </c>
      <c r="O1985" s="1">
        <v>5715</v>
      </c>
      <c r="P1985" s="1">
        <v>2815</v>
      </c>
      <c r="Q1985" s="1" t="s">
        <v>42</v>
      </c>
      <c r="S1985" s="1" t="s">
        <v>42</v>
      </c>
      <c r="T1985" s="1" t="s">
        <v>273</v>
      </c>
      <c r="V1985" s="5">
        <v>43648</v>
      </c>
      <c r="W1985" s="5">
        <v>42504</v>
      </c>
      <c r="X1985" s="1">
        <v>6700000</v>
      </c>
      <c r="Y1985" s="1">
        <v>6700000</v>
      </c>
      <c r="Z1985" s="5">
        <v>42504</v>
      </c>
      <c r="AA1985" s="1">
        <v>6672787.5</v>
      </c>
      <c r="AB1985" s="1" t="s">
        <v>1066</v>
      </c>
      <c r="AC1985" s="5">
        <v>43244</v>
      </c>
      <c r="AF1985" s="1">
        <v>10014</v>
      </c>
      <c r="AI1985" s="1" t="s">
        <v>65</v>
      </c>
      <c r="AJ1985" s="1">
        <v>2017</v>
      </c>
      <c r="AK1985" s="1" t="s">
        <v>49</v>
      </c>
      <c r="AL1985" s="1">
        <v>57</v>
      </c>
    </row>
    <row r="1986" spans="1:38" x14ac:dyDescent="0.2">
      <c r="A1986" s="2" t="str">
        <f>HYPERLINK("https://www.compass.com/listing/160-leroy-street-unit-south4a-manhattan-ny-10014/4825535378557511649/","160 Leroy St, Unit SOUTH4A")</f>
        <v>160 Leroy St, Unit SOUTH4A</v>
      </c>
      <c r="B1986" s="2" t="str">
        <f t="shared" si="315"/>
        <v>160 Leroy St</v>
      </c>
      <c r="C1986" s="1" t="s">
        <v>67</v>
      </c>
      <c r="D1986" s="1" t="s">
        <v>41</v>
      </c>
      <c r="E1986" s="3">
        <v>2350000</v>
      </c>
      <c r="F1986" s="1">
        <v>2144.1605839416002</v>
      </c>
      <c r="G1986" s="1">
        <v>3</v>
      </c>
      <c r="H1986" s="1">
        <v>1</v>
      </c>
      <c r="I1986" s="1">
        <v>2</v>
      </c>
      <c r="J1986" s="1">
        <v>1.5</v>
      </c>
      <c r="M1986" s="4">
        <v>1096</v>
      </c>
      <c r="N1986" s="1">
        <v>1548</v>
      </c>
      <c r="O1986" s="1">
        <v>3050</v>
      </c>
      <c r="P1986" s="1">
        <v>1502</v>
      </c>
      <c r="Q1986" s="1" t="s">
        <v>42</v>
      </c>
      <c r="S1986" s="1" t="s">
        <v>42</v>
      </c>
      <c r="T1986" s="1" t="s">
        <v>273</v>
      </c>
      <c r="U1986" s="1">
        <v>78</v>
      </c>
      <c r="V1986" s="5">
        <v>43648</v>
      </c>
      <c r="W1986" s="5">
        <v>42383</v>
      </c>
      <c r="X1986" s="1">
        <v>2400000</v>
      </c>
      <c r="Y1986" s="1">
        <v>2400000</v>
      </c>
      <c r="Z1986" s="5">
        <v>42509</v>
      </c>
      <c r="AA1986" s="1">
        <v>2350000</v>
      </c>
      <c r="AB1986" s="1" t="s">
        <v>1067</v>
      </c>
      <c r="AC1986" s="5">
        <v>43171</v>
      </c>
      <c r="AF1986" s="1">
        <v>10014</v>
      </c>
      <c r="AI1986" s="1" t="s">
        <v>65</v>
      </c>
      <c r="AJ1986" s="1">
        <v>2017</v>
      </c>
      <c r="AK1986" s="1" t="s">
        <v>202</v>
      </c>
      <c r="AL1986" s="1">
        <v>57</v>
      </c>
    </row>
    <row r="1987" spans="1:38" x14ac:dyDescent="0.2">
      <c r="A1987" s="2" t="str">
        <f>HYPERLINK("https://www.compass.com/listing/90-morton-street-unit-ph10b-manhattan-ny-10014/29515687168957089/","90 Morton St, Unit PH10B")</f>
        <v>90 Morton St, Unit PH10B</v>
      </c>
      <c r="B1987" s="2" t="str">
        <f>HYPERLINK("https://www.compass.com/building/90-morton-street-manhattan-ny/292834843018978005/","90 Morton Street")</f>
        <v>90 Morton Street</v>
      </c>
      <c r="C1987" s="1" t="s">
        <v>67</v>
      </c>
      <c r="D1987" s="1" t="s">
        <v>41</v>
      </c>
      <c r="E1987" s="3">
        <v>15566438</v>
      </c>
      <c r="F1987" s="1">
        <v>4332.4345950459201</v>
      </c>
      <c r="G1987" s="1">
        <v>6</v>
      </c>
      <c r="H1987" s="1">
        <v>3</v>
      </c>
      <c r="I1987" s="1">
        <v>5</v>
      </c>
      <c r="J1987" s="1">
        <v>4.5</v>
      </c>
      <c r="K1987" s="1">
        <v>4</v>
      </c>
      <c r="L1987" s="1">
        <v>1</v>
      </c>
      <c r="M1987" s="4">
        <v>3593</v>
      </c>
      <c r="N1987" s="1">
        <v>6252.42</v>
      </c>
      <c r="O1987" s="1">
        <v>11273.89</v>
      </c>
      <c r="P1987" s="1">
        <v>5021.5</v>
      </c>
      <c r="Q1987" s="1" t="s">
        <v>42</v>
      </c>
      <c r="S1987" s="1" t="s">
        <v>42</v>
      </c>
      <c r="T1987" s="1" t="s">
        <v>273</v>
      </c>
      <c r="U1987" s="1">
        <v>893</v>
      </c>
      <c r="V1987" s="5">
        <v>44385</v>
      </c>
      <c r="W1987" s="5">
        <v>43357</v>
      </c>
      <c r="Y1987" s="1">
        <v>17700000</v>
      </c>
      <c r="Z1987" s="5">
        <v>44344</v>
      </c>
      <c r="AA1987" s="1">
        <v>15566437.5</v>
      </c>
      <c r="AB1987" s="1" t="s">
        <v>1068</v>
      </c>
      <c r="AC1987" s="5">
        <v>44372</v>
      </c>
      <c r="AF1987" s="1">
        <v>10014</v>
      </c>
      <c r="AI1987" s="1" t="s">
        <v>1069</v>
      </c>
      <c r="AJ1987" s="1">
        <v>2018</v>
      </c>
      <c r="AK1987" s="1" t="s">
        <v>49</v>
      </c>
      <c r="AL1987" s="1">
        <v>35</v>
      </c>
    </row>
    <row r="1988" spans="1:38" x14ac:dyDescent="0.2">
      <c r="A1988" s="2" t="str">
        <f>HYPERLINK("https://www.compass.com/listing/160-leroy-street-unit-north8c-manhattan-ny-10014/29514409063744513/","160 Leroy St, Unit NORTH8C")</f>
        <v>160 Leroy St, Unit NORTH8C</v>
      </c>
      <c r="B1988" s="2" t="str">
        <f t="shared" ref="B1988:B1990" si="316">HYPERLINK("https://www.compass.com/building/160-leroy-st-manhattan-ny-10014/293418469918017093/","160 Leroy St")</f>
        <v>160 Leroy St</v>
      </c>
      <c r="C1988" s="1" t="s">
        <v>67</v>
      </c>
      <c r="D1988" s="1" t="s">
        <v>41</v>
      </c>
      <c r="E1988" s="3">
        <v>4645225</v>
      </c>
      <c r="F1988" s="1">
        <v>2688.2089120370301</v>
      </c>
      <c r="G1988" s="1">
        <v>4</v>
      </c>
      <c r="H1988" s="1">
        <v>2</v>
      </c>
      <c r="I1988" s="1">
        <v>3</v>
      </c>
      <c r="J1988" s="1">
        <v>2.5</v>
      </c>
      <c r="K1988" s="1">
        <v>2</v>
      </c>
      <c r="L1988" s="1">
        <v>1</v>
      </c>
      <c r="M1988" s="4">
        <v>1728</v>
      </c>
      <c r="N1988" s="1">
        <v>2519</v>
      </c>
      <c r="O1988" s="1">
        <v>4964</v>
      </c>
      <c r="P1988" s="1">
        <v>2445</v>
      </c>
      <c r="Q1988" s="1" t="s">
        <v>42</v>
      </c>
      <c r="S1988" s="1" t="s">
        <v>42</v>
      </c>
      <c r="T1988" s="1" t="s">
        <v>273</v>
      </c>
      <c r="V1988" s="5">
        <v>44225</v>
      </c>
      <c r="W1988" s="5">
        <v>42488</v>
      </c>
      <c r="X1988" s="1">
        <v>4600000</v>
      </c>
      <c r="Y1988" s="1">
        <v>4600000</v>
      </c>
      <c r="Z1988" s="5">
        <v>42488</v>
      </c>
      <c r="AA1988" s="1">
        <v>4645225</v>
      </c>
      <c r="AB1988" s="1" t="s">
        <v>1070</v>
      </c>
      <c r="AC1988" s="5">
        <v>43251</v>
      </c>
      <c r="AF1988" s="1">
        <v>10014</v>
      </c>
      <c r="AI1988" s="1" t="s">
        <v>1071</v>
      </c>
      <c r="AJ1988" s="1">
        <v>2017</v>
      </c>
      <c r="AK1988" s="1" t="s">
        <v>49</v>
      </c>
      <c r="AL1988" s="1">
        <v>57</v>
      </c>
    </row>
    <row r="1989" spans="1:38" x14ac:dyDescent="0.2">
      <c r="A1989" s="2" t="str">
        <f>HYPERLINK("https://www.compass.com/listing/160-leroy-street-unit-north9c-manhattan-ny-10014/29514413618793489/","160 Leroy St, Unit NORTH9C")</f>
        <v>160 Leroy St, Unit NORTH9C</v>
      </c>
      <c r="B1989" s="2" t="str">
        <f t="shared" si="316"/>
        <v>160 Leroy St</v>
      </c>
      <c r="C1989" s="1" t="s">
        <v>67</v>
      </c>
      <c r="D1989" s="1" t="s">
        <v>41</v>
      </c>
      <c r="E1989" s="3">
        <v>4839938</v>
      </c>
      <c r="F1989" s="1">
        <v>2800.8897569444398</v>
      </c>
      <c r="G1989" s="1">
        <v>4</v>
      </c>
      <c r="H1989" s="1">
        <v>2</v>
      </c>
      <c r="I1989" s="1">
        <v>3</v>
      </c>
      <c r="J1989" s="1">
        <v>2.5</v>
      </c>
      <c r="K1989" s="1">
        <v>2</v>
      </c>
      <c r="L1989" s="1">
        <v>1</v>
      </c>
      <c r="M1989" s="4">
        <v>1728</v>
      </c>
      <c r="N1989" s="1">
        <v>2509</v>
      </c>
      <c r="O1989" s="1">
        <v>4945</v>
      </c>
      <c r="P1989" s="1">
        <v>2436</v>
      </c>
      <c r="Q1989" s="1" t="s">
        <v>42</v>
      </c>
      <c r="S1989" s="1" t="s">
        <v>42</v>
      </c>
      <c r="T1989" s="1" t="s">
        <v>273</v>
      </c>
      <c r="U1989" s="1">
        <v>215</v>
      </c>
      <c r="V1989" s="5">
        <v>44225</v>
      </c>
      <c r="W1989" s="5">
        <v>42623</v>
      </c>
      <c r="X1989" s="1">
        <v>4750000</v>
      </c>
      <c r="Y1989" s="1">
        <v>4750000</v>
      </c>
      <c r="Z1989" s="5">
        <v>42838</v>
      </c>
      <c r="AA1989" s="1">
        <v>4839937.5</v>
      </c>
      <c r="AB1989" s="1" t="s">
        <v>1072</v>
      </c>
      <c r="AC1989" s="5">
        <v>43277</v>
      </c>
      <c r="AF1989" s="1">
        <v>10014</v>
      </c>
      <c r="AI1989" s="1" t="s">
        <v>1071</v>
      </c>
      <c r="AJ1989" s="1">
        <v>2017</v>
      </c>
      <c r="AK1989" s="1" t="s">
        <v>49</v>
      </c>
      <c r="AL1989" s="1">
        <v>57</v>
      </c>
    </row>
    <row r="1990" spans="1:38" x14ac:dyDescent="0.2">
      <c r="A1990" s="2" t="str">
        <f>HYPERLINK("https://www.compass.com/listing/160-leroy-street-unit-north6c-manhattan-ny-10014/4850179610110861505/","160 Leroy St, Unit NORTH6C")</f>
        <v>160 Leroy St, Unit NORTH6C</v>
      </c>
      <c r="B1990" s="2" t="str">
        <f t="shared" si="316"/>
        <v>160 Leroy St</v>
      </c>
      <c r="C1990" s="1" t="s">
        <v>67</v>
      </c>
      <c r="D1990" s="1" t="s">
        <v>41</v>
      </c>
      <c r="E1990" s="3">
        <v>4300000</v>
      </c>
      <c r="F1990" s="1">
        <v>2488.4259259259202</v>
      </c>
      <c r="G1990" s="1">
        <v>4</v>
      </c>
      <c r="H1990" s="1">
        <v>2</v>
      </c>
      <c r="I1990" s="1">
        <v>3</v>
      </c>
      <c r="J1990" s="1">
        <v>2.5</v>
      </c>
      <c r="M1990" s="4">
        <v>1728</v>
      </c>
      <c r="N1990" s="1">
        <v>2509</v>
      </c>
      <c r="O1990" s="1">
        <v>4945</v>
      </c>
      <c r="P1990" s="1">
        <v>2436</v>
      </c>
      <c r="Q1990" s="1" t="s">
        <v>42</v>
      </c>
      <c r="S1990" s="1" t="s">
        <v>42</v>
      </c>
      <c r="T1990" s="1" t="s">
        <v>273</v>
      </c>
      <c r="U1990" s="1">
        <v>140</v>
      </c>
      <c r="V1990" s="5">
        <v>43654</v>
      </c>
      <c r="W1990" s="5">
        <v>42383</v>
      </c>
      <c r="X1990" s="1">
        <v>4300000</v>
      </c>
      <c r="Y1990" s="1">
        <v>4300000</v>
      </c>
      <c r="Z1990" s="5">
        <v>42523</v>
      </c>
      <c r="AA1990" s="1">
        <v>4300000</v>
      </c>
      <c r="AB1990" s="1" t="s">
        <v>1073</v>
      </c>
      <c r="AC1990" s="5">
        <v>43214</v>
      </c>
      <c r="AF1990" s="1">
        <v>10014</v>
      </c>
      <c r="AI1990" s="1" t="s">
        <v>1074</v>
      </c>
      <c r="AJ1990" s="1">
        <v>2017</v>
      </c>
      <c r="AK1990" s="1" t="s">
        <v>49</v>
      </c>
      <c r="AL1990" s="1">
        <v>57</v>
      </c>
    </row>
    <row r="1991" spans="1:38" x14ac:dyDescent="0.2">
      <c r="A1991" s="2" t="str">
        <f>HYPERLINK("https://www.compass.com/listing/45-east-22nd-street-unit-43a-manhattan-ny-10010/29514228616462465/","45 E 22nd St, Unit 43A")</f>
        <v>45 E 22nd St, Unit 43A</v>
      </c>
      <c r="B1991" s="2" t="str">
        <f>HYPERLINK("https://www.compass.com/building/madison-square-park-tower-manhattan-ny/281903584482705973/","Madison Square Park Tower")</f>
        <v>Madison Square Park Tower</v>
      </c>
      <c r="C1991" s="1" t="s">
        <v>56</v>
      </c>
      <c r="D1991" s="1" t="s">
        <v>41</v>
      </c>
      <c r="E1991" s="3">
        <v>9124194</v>
      </c>
      <c r="F1991" s="1">
        <v>3731.7768302658401</v>
      </c>
      <c r="H1991" s="1">
        <v>3</v>
      </c>
      <c r="J1991" s="1">
        <v>3</v>
      </c>
      <c r="K1991" s="1">
        <v>3</v>
      </c>
      <c r="M1991" s="4">
        <v>2445</v>
      </c>
      <c r="N1991" s="1">
        <v>2950</v>
      </c>
      <c r="O1991" s="1">
        <v>8917</v>
      </c>
      <c r="P1991" s="1">
        <v>5967</v>
      </c>
      <c r="Q1991" s="1" t="s">
        <v>42</v>
      </c>
      <c r="S1991" s="1" t="s">
        <v>42</v>
      </c>
      <c r="T1991" s="1" t="s">
        <v>273</v>
      </c>
      <c r="AA1991" s="1">
        <v>9124194.3499999996</v>
      </c>
      <c r="AB1991" s="1" t="s">
        <v>1075</v>
      </c>
      <c r="AC1991" s="5">
        <v>43024</v>
      </c>
      <c r="AF1991" s="1">
        <v>10010</v>
      </c>
      <c r="AI1991" s="1" t="s">
        <v>48</v>
      </c>
      <c r="AJ1991" s="1">
        <v>2016</v>
      </c>
      <c r="AK1991" s="1" t="s">
        <v>49</v>
      </c>
      <c r="AL1991" s="1">
        <v>83</v>
      </c>
    </row>
    <row r="1992" spans="1:38" x14ac:dyDescent="0.2">
      <c r="A1992" s="2" t="str">
        <f>HYPERLINK("https://www.compass.com/listing/21-east-12th-street-unit-5d-manhattan-ny-10003/29514924115977601/","21 E 12th St, Unit 5D")</f>
        <v>21 E 12th St, Unit 5D</v>
      </c>
      <c r="B1992" s="2" t="str">
        <f>HYPERLINK("https://www.compass.com/building/21-east-12th-street-manhattan-ny/292779727154847925/","21 East 12th Street")</f>
        <v>21 East 12th Street</v>
      </c>
      <c r="C1992" s="1" t="s">
        <v>277</v>
      </c>
      <c r="D1992" s="1" t="s">
        <v>41</v>
      </c>
      <c r="E1992" s="3">
        <v>2507195</v>
      </c>
      <c r="F1992" s="1">
        <v>2492.24155069582</v>
      </c>
      <c r="G1992" s="1">
        <v>3</v>
      </c>
      <c r="H1992" s="1">
        <v>1</v>
      </c>
      <c r="I1992" s="1">
        <v>2</v>
      </c>
      <c r="J1992" s="1">
        <v>1.5</v>
      </c>
      <c r="K1992" s="1">
        <v>1</v>
      </c>
      <c r="L1992" s="1">
        <v>1</v>
      </c>
      <c r="M1992" s="4">
        <v>1006</v>
      </c>
      <c r="N1992" s="1">
        <v>1311</v>
      </c>
      <c r="O1992" s="1">
        <v>3315</v>
      </c>
      <c r="P1992" s="1">
        <v>2004</v>
      </c>
      <c r="Q1992" s="1" t="s">
        <v>42</v>
      </c>
      <c r="S1992" s="1" t="s">
        <v>42</v>
      </c>
      <c r="T1992" s="1" t="s">
        <v>273</v>
      </c>
      <c r="U1992" s="1">
        <v>558</v>
      </c>
      <c r="V1992" s="5">
        <v>43648</v>
      </c>
      <c r="W1992" s="5">
        <v>42873</v>
      </c>
      <c r="X1992" s="1">
        <v>2450000</v>
      </c>
      <c r="Y1992" s="1">
        <v>2595000</v>
      </c>
      <c r="Z1992" s="5">
        <v>43431</v>
      </c>
      <c r="AA1992" s="1">
        <v>2507195</v>
      </c>
      <c r="AB1992" s="1" t="s">
        <v>1076</v>
      </c>
      <c r="AC1992" s="5">
        <v>43544</v>
      </c>
      <c r="AF1992" s="1">
        <v>10003</v>
      </c>
      <c r="AI1992" s="1" t="s">
        <v>80</v>
      </c>
      <c r="AJ1992" s="1">
        <v>2018</v>
      </c>
      <c r="AK1992" s="1" t="s">
        <v>125</v>
      </c>
      <c r="AL1992" s="1">
        <v>52</v>
      </c>
    </row>
    <row r="1993" spans="1:38" x14ac:dyDescent="0.2">
      <c r="A1993" s="2" t="str">
        <f>HYPERLINK("https://www.compass.com/listing/160-leroy-street-unit-phnorth-manhattan-ny-10014/29514411781730097/","160 Leroy St, Unit PHNORTH")</f>
        <v>160 Leroy St, Unit PHNORTH</v>
      </c>
      <c r="B1993" s="2" t="str">
        <f>HYPERLINK("https://www.compass.com/building/160-leroy-st-manhattan-ny-10014/293418469918017093/","160 Leroy St")</f>
        <v>160 Leroy St</v>
      </c>
      <c r="C1993" s="1" t="s">
        <v>67</v>
      </c>
      <c r="D1993" s="1" t="s">
        <v>41</v>
      </c>
      <c r="E1993" s="3">
        <v>43503250</v>
      </c>
      <c r="F1993" s="1">
        <v>5613.3225806451601</v>
      </c>
      <c r="G1993" s="1">
        <v>10</v>
      </c>
      <c r="H1993" s="1">
        <v>5</v>
      </c>
      <c r="I1993" s="1">
        <v>6</v>
      </c>
      <c r="J1993" s="1">
        <v>5.5</v>
      </c>
      <c r="M1993" s="4">
        <v>7750</v>
      </c>
      <c r="N1993" s="1">
        <v>12656</v>
      </c>
      <c r="O1993" s="1">
        <v>24942</v>
      </c>
      <c r="P1993" s="1">
        <v>12286</v>
      </c>
      <c r="Q1993" s="1" t="s">
        <v>42</v>
      </c>
      <c r="S1993" s="1" t="s">
        <v>42</v>
      </c>
      <c r="T1993" s="1" t="s">
        <v>273</v>
      </c>
      <c r="U1993" s="1">
        <v>490</v>
      </c>
      <c r="V1993" s="5">
        <v>43647</v>
      </c>
      <c r="W1993" s="5">
        <v>42524</v>
      </c>
      <c r="X1993" s="1">
        <v>48500000</v>
      </c>
      <c r="Y1993" s="1">
        <v>51000000</v>
      </c>
      <c r="Z1993" s="5">
        <v>43014</v>
      </c>
      <c r="AA1993" s="1">
        <v>43503250</v>
      </c>
      <c r="AB1993" s="1" t="s">
        <v>1077</v>
      </c>
      <c r="AC1993" s="5">
        <v>43304</v>
      </c>
      <c r="AF1993" s="1">
        <v>10014</v>
      </c>
      <c r="AI1993" s="1" t="s">
        <v>1078</v>
      </c>
      <c r="AJ1993" s="1">
        <v>2017</v>
      </c>
      <c r="AK1993" s="1" t="s">
        <v>49</v>
      </c>
      <c r="AL1993" s="1">
        <v>57</v>
      </c>
    </row>
    <row r="1994" spans="1:38" x14ac:dyDescent="0.2">
      <c r="A1994" s="2" t="str">
        <f>HYPERLINK("https://www.compass.com/listing/21-east-12th-street-unit-14a-manhattan-ny-10003/29514929878910561/","21 E 12th St, Unit 14A")</f>
        <v>21 E 12th St, Unit 14A</v>
      </c>
      <c r="B1994" s="2" t="str">
        <f>HYPERLINK("https://www.compass.com/building/21-east-12th-street-manhattan-ny/292779727154847925/","21 East 12th Street")</f>
        <v>21 East 12th Street</v>
      </c>
      <c r="C1994" s="1" t="s">
        <v>277</v>
      </c>
      <c r="D1994" s="1" t="s">
        <v>41</v>
      </c>
      <c r="E1994" s="3">
        <v>4170485</v>
      </c>
      <c r="F1994" s="1">
        <v>2821.70846414073</v>
      </c>
      <c r="G1994" s="1">
        <v>4</v>
      </c>
      <c r="H1994" s="1">
        <v>2</v>
      </c>
      <c r="I1994" s="1">
        <v>3</v>
      </c>
      <c r="J1994" s="1">
        <v>2.5</v>
      </c>
      <c r="K1994" s="1">
        <v>2</v>
      </c>
      <c r="L1994" s="1">
        <v>1</v>
      </c>
      <c r="M1994" s="4">
        <v>1478</v>
      </c>
      <c r="N1994" s="1">
        <v>1927</v>
      </c>
      <c r="O1994" s="1">
        <v>4871</v>
      </c>
      <c r="P1994" s="1">
        <v>2944</v>
      </c>
      <c r="Q1994" s="1" t="s">
        <v>42</v>
      </c>
      <c r="S1994" s="1" t="s">
        <v>42</v>
      </c>
      <c r="T1994" s="1" t="s">
        <v>273</v>
      </c>
      <c r="U1994" s="1">
        <v>289</v>
      </c>
      <c r="V1994" s="5">
        <v>44426</v>
      </c>
      <c r="W1994" s="5">
        <v>43596</v>
      </c>
      <c r="Y1994" s="1">
        <v>4500000</v>
      </c>
      <c r="Z1994" s="5">
        <v>43886</v>
      </c>
      <c r="AA1994" s="1">
        <v>4170485.11</v>
      </c>
      <c r="AB1994" s="1" t="s">
        <v>1079</v>
      </c>
      <c r="AC1994" s="5">
        <v>43977</v>
      </c>
      <c r="AF1994" s="1">
        <v>10003</v>
      </c>
      <c r="AI1994" s="1" t="s">
        <v>80</v>
      </c>
      <c r="AJ1994" s="1">
        <v>2018</v>
      </c>
      <c r="AK1994" s="1" t="s">
        <v>125</v>
      </c>
      <c r="AL1994" s="1">
        <v>52</v>
      </c>
    </row>
    <row r="1995" spans="1:38" x14ac:dyDescent="0.2">
      <c r="A1995" s="2" t="str">
        <f>HYPERLINK("https://www.compass.com/listing/270-riverside-drive-unit-11a-manhattan-ny-10025/29510376953566049/","270 Riverside Dr, Unit 11A")</f>
        <v>270 Riverside Dr, Unit 11A</v>
      </c>
      <c r="B1995" s="2" t="str">
        <f>HYPERLINK("https://www.compass.com/building/270-riverside-dr-manhattan-ny-10025/281970283991095285/","270 Riverside Dr")</f>
        <v>270 Riverside Dr</v>
      </c>
      <c r="C1995" s="1" t="s">
        <v>57</v>
      </c>
      <c r="D1995" s="1" t="s">
        <v>41</v>
      </c>
      <c r="E1995" s="3">
        <v>5650000</v>
      </c>
      <c r="F1995" s="1">
        <v>1985.9402460456899</v>
      </c>
      <c r="G1995" s="1">
        <v>8</v>
      </c>
      <c r="H1995" s="1">
        <v>3</v>
      </c>
      <c r="I1995" s="1">
        <v>4</v>
      </c>
      <c r="J1995" s="1">
        <v>4</v>
      </c>
      <c r="M1995" s="4">
        <v>2845</v>
      </c>
      <c r="N1995" s="1">
        <v>3312</v>
      </c>
      <c r="O1995" s="1">
        <v>5039</v>
      </c>
      <c r="P1995" s="1">
        <v>1727</v>
      </c>
      <c r="Q1995" s="1" t="s">
        <v>42</v>
      </c>
      <c r="S1995" s="1" t="s">
        <v>42</v>
      </c>
      <c r="T1995" s="1" t="s">
        <v>273</v>
      </c>
      <c r="U1995" s="1">
        <v>144</v>
      </c>
      <c r="V1995" s="5">
        <v>43640</v>
      </c>
      <c r="W1995" s="5">
        <v>43162</v>
      </c>
      <c r="X1995" s="1">
        <v>5950000</v>
      </c>
      <c r="Y1995" s="1">
        <v>5850000</v>
      </c>
      <c r="Z1995" s="5">
        <v>43306</v>
      </c>
      <c r="AA1995" s="1">
        <v>5650000</v>
      </c>
      <c r="AB1995" s="1" t="s">
        <v>1080</v>
      </c>
      <c r="AC1995" s="5">
        <v>43340</v>
      </c>
      <c r="AF1995" s="1">
        <v>10025</v>
      </c>
      <c r="AJ1995" s="1">
        <v>1920</v>
      </c>
      <c r="AK1995" s="1" t="s">
        <v>70</v>
      </c>
      <c r="AL1995" s="1">
        <v>57</v>
      </c>
    </row>
    <row r="1996" spans="1:38" x14ac:dyDescent="0.2">
      <c r="A1996" s="2" t="str">
        <f>HYPERLINK("https://www.compass.com/listing/21-east-12th-street-unit-11c-manhattan-ny-10003/26452756994810209/","21 E 12th St, Unit 11C")</f>
        <v>21 E 12th St, Unit 11C</v>
      </c>
      <c r="B1996" s="2" t="str">
        <f t="shared" ref="B1996:B2000" si="317">HYPERLINK("https://www.compass.com/building/21-east-12th-street-manhattan-ny/292779727154847925/","21 East 12th Street")</f>
        <v>21 East 12th Street</v>
      </c>
      <c r="C1996" s="1" t="s">
        <v>277</v>
      </c>
      <c r="D1996" s="1" t="s">
        <v>41</v>
      </c>
      <c r="E1996" s="3">
        <v>4217808</v>
      </c>
      <c r="F1996" s="1">
        <v>2079.7867603550199</v>
      </c>
      <c r="G1996" s="1">
        <v>4.5</v>
      </c>
      <c r="H1996" s="1">
        <v>2</v>
      </c>
      <c r="I1996" s="1">
        <v>3</v>
      </c>
      <c r="J1996" s="1">
        <v>2.5</v>
      </c>
      <c r="K1996" s="1">
        <v>2</v>
      </c>
      <c r="L1996" s="1">
        <v>1</v>
      </c>
      <c r="M1996" s="4">
        <v>2028</v>
      </c>
      <c r="N1996" s="1">
        <v>2644</v>
      </c>
      <c r="O1996" s="1">
        <v>6684</v>
      </c>
      <c r="P1996" s="1">
        <v>4040</v>
      </c>
      <c r="Q1996" s="1" t="s">
        <v>42</v>
      </c>
      <c r="S1996" s="1" t="s">
        <v>42</v>
      </c>
      <c r="T1996" s="1" t="s">
        <v>273</v>
      </c>
      <c r="U1996" s="1">
        <v>118</v>
      </c>
      <c r="V1996" s="5">
        <v>43872</v>
      </c>
      <c r="W1996" s="5">
        <v>43675</v>
      </c>
      <c r="X1996" s="1">
        <v>4900000</v>
      </c>
      <c r="Y1996" s="1">
        <v>4375000</v>
      </c>
      <c r="Z1996" s="5">
        <v>43793</v>
      </c>
      <c r="AA1996" s="1">
        <v>4217807.55</v>
      </c>
      <c r="AB1996" s="1" t="s">
        <v>1081</v>
      </c>
      <c r="AC1996" s="5">
        <v>43845</v>
      </c>
      <c r="AF1996" s="1">
        <v>10003</v>
      </c>
      <c r="AI1996" s="1" t="s">
        <v>80</v>
      </c>
      <c r="AJ1996" s="1">
        <v>2018</v>
      </c>
      <c r="AK1996" s="1" t="s">
        <v>125</v>
      </c>
      <c r="AL1996" s="1">
        <v>52</v>
      </c>
    </row>
    <row r="1997" spans="1:38" x14ac:dyDescent="0.2">
      <c r="A1997" s="2" t="str">
        <f>HYPERLINK("https://www.compass.com/listing/21-east-12th-street-unit-5c-manhattan-ny-10003/29514924451453633/","21 E 12th St, Unit 5C")</f>
        <v>21 E 12th St, Unit 5C</v>
      </c>
      <c r="B1997" s="2" t="str">
        <f t="shared" si="317"/>
        <v>21 East 12th Street</v>
      </c>
      <c r="C1997" s="1" t="s">
        <v>277</v>
      </c>
      <c r="D1997" s="1" t="s">
        <v>41</v>
      </c>
      <c r="E1997" s="3">
        <v>2638241</v>
      </c>
      <c r="F1997" s="1">
        <v>2553.9603097773402</v>
      </c>
      <c r="G1997" s="1">
        <v>3</v>
      </c>
      <c r="H1997" s="1">
        <v>1</v>
      </c>
      <c r="I1997" s="1">
        <v>2</v>
      </c>
      <c r="J1997" s="1">
        <v>1.5</v>
      </c>
      <c r="K1997" s="1">
        <v>1</v>
      </c>
      <c r="L1997" s="1">
        <v>1</v>
      </c>
      <c r="M1997" s="4">
        <v>1033</v>
      </c>
      <c r="N1997" s="1">
        <v>1347</v>
      </c>
      <c r="O1997" s="1">
        <v>3404</v>
      </c>
      <c r="P1997" s="1">
        <v>2057</v>
      </c>
      <c r="Q1997" s="1" t="s">
        <v>42</v>
      </c>
      <c r="S1997" s="1" t="s">
        <v>42</v>
      </c>
      <c r="T1997" s="1" t="s">
        <v>273</v>
      </c>
      <c r="U1997" s="1">
        <v>478</v>
      </c>
      <c r="V1997" s="5">
        <v>43637</v>
      </c>
      <c r="W1997" s="5">
        <v>42873</v>
      </c>
      <c r="X1997" s="1">
        <v>2600000</v>
      </c>
      <c r="Y1997" s="1">
        <v>2650000</v>
      </c>
      <c r="Z1997" s="5">
        <v>43351</v>
      </c>
      <c r="AA1997" s="1">
        <v>2638241</v>
      </c>
      <c r="AB1997" s="1" t="s">
        <v>1082</v>
      </c>
      <c r="AC1997" s="5">
        <v>43551</v>
      </c>
      <c r="AF1997" s="1">
        <v>10003</v>
      </c>
      <c r="AI1997" s="1" t="s">
        <v>80</v>
      </c>
      <c r="AJ1997" s="1">
        <v>2018</v>
      </c>
      <c r="AK1997" s="1" t="s">
        <v>125</v>
      </c>
      <c r="AL1997" s="1">
        <v>52</v>
      </c>
    </row>
    <row r="1998" spans="1:38" x14ac:dyDescent="0.2">
      <c r="A1998" s="2" t="str">
        <f>HYPERLINK("https://www.compass.com/listing/21-east-12th-street-unit-8c-manhattan-ny-10003/29514930776491633/","21 E 12th St, Unit 8C")</f>
        <v>21 E 12th St, Unit 8C</v>
      </c>
      <c r="B1998" s="2" t="str">
        <f t="shared" si="317"/>
        <v>21 East 12th Street</v>
      </c>
      <c r="C1998" s="1" t="s">
        <v>277</v>
      </c>
      <c r="D1998" s="1" t="s">
        <v>41</v>
      </c>
      <c r="E1998" s="3">
        <v>2723774</v>
      </c>
      <c r="F1998" s="1">
        <v>2636.7608809293301</v>
      </c>
      <c r="G1998" s="1">
        <v>3</v>
      </c>
      <c r="H1998" s="1">
        <v>1</v>
      </c>
      <c r="I1998" s="1">
        <v>2</v>
      </c>
      <c r="J1998" s="1">
        <v>1.5</v>
      </c>
      <c r="K1998" s="1">
        <v>1</v>
      </c>
      <c r="L1998" s="1">
        <v>1</v>
      </c>
      <c r="M1998" s="4">
        <v>1033</v>
      </c>
      <c r="N1998" s="1">
        <v>1348</v>
      </c>
      <c r="O1998" s="1">
        <v>3405</v>
      </c>
      <c r="P1998" s="1">
        <v>2057</v>
      </c>
      <c r="Q1998" s="1" t="s">
        <v>42</v>
      </c>
      <c r="S1998" s="1" t="s">
        <v>42</v>
      </c>
      <c r="T1998" s="1" t="s">
        <v>273</v>
      </c>
      <c r="U1998" s="1">
        <v>11</v>
      </c>
      <c r="V1998" s="5">
        <v>43684</v>
      </c>
      <c r="W1998" s="5">
        <v>42580</v>
      </c>
      <c r="X1998" s="1">
        <v>2650000</v>
      </c>
      <c r="Y1998" s="1">
        <v>2725000</v>
      </c>
      <c r="Z1998" s="5">
        <v>42592</v>
      </c>
      <c r="AA1998" s="1">
        <v>2723773.99</v>
      </c>
      <c r="AB1998" s="1" t="s">
        <v>1083</v>
      </c>
      <c r="AC1998" s="5">
        <v>43572</v>
      </c>
      <c r="AF1998" s="1">
        <v>10003</v>
      </c>
      <c r="AI1998" s="1" t="s">
        <v>80</v>
      </c>
      <c r="AJ1998" s="1">
        <v>2018</v>
      </c>
      <c r="AK1998" s="1" t="s">
        <v>125</v>
      </c>
      <c r="AL1998" s="1">
        <v>52</v>
      </c>
    </row>
    <row r="1999" spans="1:38" x14ac:dyDescent="0.2">
      <c r="A1999" s="2" t="str">
        <f>HYPERLINK("https://www.compass.com/listing/21-east-12th-street-unit-6c-manhattan-ny-10003/29514933385389777/","21 E 12th St, Unit 6C")</f>
        <v>21 E 12th St, Unit 6C</v>
      </c>
      <c r="B1999" s="2" t="str">
        <f t="shared" si="317"/>
        <v>21 East 12th Street</v>
      </c>
      <c r="C1999" s="1" t="s">
        <v>277</v>
      </c>
      <c r="D1999" s="1" t="s">
        <v>41</v>
      </c>
      <c r="E1999" s="3">
        <v>2608771</v>
      </c>
      <c r="F1999" s="1">
        <v>2525.43175217812</v>
      </c>
      <c r="G1999" s="1">
        <v>3</v>
      </c>
      <c r="H1999" s="1">
        <v>1</v>
      </c>
      <c r="I1999" s="1">
        <v>2</v>
      </c>
      <c r="J1999" s="1">
        <v>1.5</v>
      </c>
      <c r="K1999" s="1">
        <v>1</v>
      </c>
      <c r="L1999" s="1">
        <v>1</v>
      </c>
      <c r="M1999" s="4">
        <v>1033</v>
      </c>
      <c r="N1999" s="1">
        <v>1349</v>
      </c>
      <c r="O1999" s="1">
        <v>3406</v>
      </c>
      <c r="P1999" s="1">
        <v>2057</v>
      </c>
      <c r="Q1999" s="1" t="s">
        <v>42</v>
      </c>
      <c r="S1999" s="1" t="s">
        <v>42</v>
      </c>
      <c r="T1999" s="1" t="s">
        <v>273</v>
      </c>
      <c r="U1999" s="1">
        <v>287</v>
      </c>
      <c r="V1999" s="5">
        <v>43643</v>
      </c>
      <c r="W1999" s="5">
        <v>42586</v>
      </c>
      <c r="X1999" s="1">
        <v>2575000</v>
      </c>
      <c r="Y1999" s="1">
        <v>2625000</v>
      </c>
      <c r="Z1999" s="5">
        <v>42873</v>
      </c>
      <c r="AA1999" s="1">
        <v>2608771</v>
      </c>
      <c r="AB1999" s="1" t="s">
        <v>1084</v>
      </c>
      <c r="AC1999" s="5">
        <v>43545</v>
      </c>
      <c r="AF1999" s="1">
        <v>10003</v>
      </c>
      <c r="AI1999" s="1" t="s">
        <v>80</v>
      </c>
      <c r="AJ1999" s="1">
        <v>2018</v>
      </c>
      <c r="AK1999" s="1" t="s">
        <v>125</v>
      </c>
      <c r="AL1999" s="1">
        <v>52</v>
      </c>
    </row>
    <row r="2000" spans="1:38" x14ac:dyDescent="0.2">
      <c r="A2000" s="2" t="str">
        <f>HYPERLINK("https://www.compass.com/listing/21-east-12th-street-unit-7c-manhattan-ny-10003/29514934853355297/","21 E 12th St, Unit 7C")</f>
        <v>21 E 12th St, Unit 7C</v>
      </c>
      <c r="B2000" s="2" t="str">
        <f t="shared" si="317"/>
        <v>21 East 12th Street</v>
      </c>
      <c r="C2000" s="1" t="s">
        <v>277</v>
      </c>
      <c r="D2000" s="1" t="s">
        <v>41</v>
      </c>
      <c r="E2000" s="3">
        <v>2675411</v>
      </c>
      <c r="F2000" s="1">
        <v>2589.94288480154</v>
      </c>
      <c r="G2000" s="1">
        <v>3</v>
      </c>
      <c r="H2000" s="1">
        <v>1</v>
      </c>
      <c r="I2000" s="1">
        <v>2</v>
      </c>
      <c r="J2000" s="1">
        <v>1.5</v>
      </c>
      <c r="K2000" s="1">
        <v>1</v>
      </c>
      <c r="L2000" s="1">
        <v>1</v>
      </c>
      <c r="M2000" s="4">
        <v>1033</v>
      </c>
      <c r="N2000" s="1">
        <v>1346</v>
      </c>
      <c r="O2000" s="1">
        <v>3403</v>
      </c>
      <c r="P2000" s="1">
        <v>2057</v>
      </c>
      <c r="Q2000" s="1" t="s">
        <v>42</v>
      </c>
      <c r="S2000" s="1" t="s">
        <v>42</v>
      </c>
      <c r="T2000" s="1" t="s">
        <v>273</v>
      </c>
      <c r="U2000" s="1">
        <v>5</v>
      </c>
      <c r="V2000" s="5">
        <v>43637</v>
      </c>
      <c r="W2000" s="5">
        <v>42950</v>
      </c>
      <c r="X2000" s="1">
        <v>2675000</v>
      </c>
      <c r="Y2000" s="1">
        <v>2675000</v>
      </c>
      <c r="Z2000" s="5">
        <v>42955</v>
      </c>
      <c r="AA2000" s="1">
        <v>2675411</v>
      </c>
      <c r="AB2000" s="1" t="s">
        <v>1085</v>
      </c>
      <c r="AC2000" s="5">
        <v>43580</v>
      </c>
      <c r="AF2000" s="1">
        <v>10003</v>
      </c>
      <c r="AI2000" s="1" t="s">
        <v>80</v>
      </c>
      <c r="AJ2000" s="1">
        <v>2018</v>
      </c>
      <c r="AK2000" s="1" t="s">
        <v>125</v>
      </c>
      <c r="AL2000" s="1">
        <v>52</v>
      </c>
    </row>
    <row r="2001" spans="1:38" x14ac:dyDescent="0.2">
      <c r="A2001" s="2" t="str">
        <f>HYPERLINK("https://www.compass.com/listing/270-riverside-drive-unit-5a-manhattan-ny-10025/29431400792977297/","270 Riverside Dr, Unit 5A")</f>
        <v>270 Riverside Dr, Unit 5A</v>
      </c>
      <c r="B2001" s="2" t="str">
        <f>HYPERLINK("https://www.compass.com/building/270-riverside-dr-manhattan-ny-10025/281970283991095285/","270 Riverside Dr")</f>
        <v>270 Riverside Dr</v>
      </c>
      <c r="C2001" s="1" t="s">
        <v>57</v>
      </c>
      <c r="D2001" s="1" t="s">
        <v>41</v>
      </c>
      <c r="E2001" s="3">
        <v>4989425</v>
      </c>
      <c r="F2001" s="1">
        <v>1753.75219683655</v>
      </c>
      <c r="G2001" s="1">
        <v>8</v>
      </c>
      <c r="H2001" s="1">
        <v>3</v>
      </c>
      <c r="I2001" s="1">
        <v>4</v>
      </c>
      <c r="J2001" s="1">
        <v>4</v>
      </c>
      <c r="K2001" s="1">
        <v>4</v>
      </c>
      <c r="M2001" s="4">
        <v>2845</v>
      </c>
      <c r="N2001" s="1">
        <v>3315</v>
      </c>
      <c r="O2001" s="1">
        <v>5000</v>
      </c>
      <c r="P2001" s="1">
        <v>1685</v>
      </c>
      <c r="Q2001" s="1" t="s">
        <v>42</v>
      </c>
      <c r="S2001" s="1" t="s">
        <v>42</v>
      </c>
      <c r="T2001" s="1" t="s">
        <v>273</v>
      </c>
      <c r="U2001" s="1">
        <v>85</v>
      </c>
      <c r="V2001" s="5">
        <v>43665</v>
      </c>
      <c r="W2001" s="5">
        <v>42353</v>
      </c>
      <c r="X2001" s="1">
        <v>4995000</v>
      </c>
      <c r="Y2001" s="1">
        <v>4995000</v>
      </c>
      <c r="Z2001" s="5">
        <v>42438</v>
      </c>
      <c r="AA2001" s="1">
        <v>4989425</v>
      </c>
      <c r="AB2001" s="1" t="s">
        <v>1086</v>
      </c>
      <c r="AC2001" s="5">
        <v>42585</v>
      </c>
      <c r="AF2001" s="1">
        <v>10025</v>
      </c>
      <c r="AJ2001" s="1">
        <v>1920</v>
      </c>
      <c r="AK2001" s="1" t="s">
        <v>215</v>
      </c>
      <c r="AL2001" s="1">
        <v>57</v>
      </c>
    </row>
    <row r="2002" spans="1:38" x14ac:dyDescent="0.2">
      <c r="A2002" s="2" t="str">
        <f>HYPERLINK("https://www.compass.com/listing/160-leroy-street-unit-north5c-manhattan-ny-10014/4825535383448071249/","160 Leroy St, Unit NORTH5C")</f>
        <v>160 Leroy St, Unit NORTH5C</v>
      </c>
      <c r="B2002" s="2" t="str">
        <f t="shared" ref="B2002:B2005" si="318">HYPERLINK("https://www.compass.com/building/160-leroy-st-manhattan-ny-10014/293418469918017093/","160 Leroy St")</f>
        <v>160 Leroy St</v>
      </c>
      <c r="C2002" s="1" t="s">
        <v>67</v>
      </c>
      <c r="D2002" s="1" t="s">
        <v>41</v>
      </c>
      <c r="E2002" s="3">
        <v>4076250</v>
      </c>
      <c r="F2002" s="1">
        <v>2358.9409722222199</v>
      </c>
      <c r="G2002" s="1">
        <v>4</v>
      </c>
      <c r="H2002" s="1">
        <v>2</v>
      </c>
      <c r="I2002" s="1">
        <v>3</v>
      </c>
      <c r="J2002" s="1">
        <v>2.5</v>
      </c>
      <c r="M2002" s="4">
        <v>1728</v>
      </c>
      <c r="N2002" s="1">
        <v>2509</v>
      </c>
      <c r="O2002" s="1">
        <v>4945</v>
      </c>
      <c r="P2002" s="1">
        <v>2436</v>
      </c>
      <c r="Q2002" s="1" t="s">
        <v>42</v>
      </c>
      <c r="S2002" s="1" t="s">
        <v>42</v>
      </c>
      <c r="T2002" s="1" t="s">
        <v>273</v>
      </c>
      <c r="U2002" s="1">
        <v>90</v>
      </c>
      <c r="V2002" s="5">
        <v>43650</v>
      </c>
      <c r="W2002" s="5">
        <v>42524</v>
      </c>
      <c r="X2002" s="1">
        <v>4050000</v>
      </c>
      <c r="Y2002" s="1">
        <v>4050000</v>
      </c>
      <c r="Z2002" s="5">
        <v>42614</v>
      </c>
      <c r="AA2002" s="1">
        <v>4076250</v>
      </c>
      <c r="AB2002" s="1" t="s">
        <v>1087</v>
      </c>
      <c r="AC2002" s="5">
        <v>43175</v>
      </c>
      <c r="AF2002" s="1">
        <v>10014</v>
      </c>
      <c r="AI2002" s="1" t="s">
        <v>65</v>
      </c>
      <c r="AJ2002" s="1">
        <v>2017</v>
      </c>
      <c r="AK2002" s="1" t="s">
        <v>202</v>
      </c>
      <c r="AL2002" s="1">
        <v>57</v>
      </c>
    </row>
    <row r="2003" spans="1:38" x14ac:dyDescent="0.2">
      <c r="A2003" s="2" t="str">
        <f>HYPERLINK("https://www.compass.com/listing/160-leroy-street-unit-south11a-manhattan-ny-10014/29514407100810145/","160 Leroy St, Unit SOUTH11A")</f>
        <v>160 Leroy St, Unit SOUTH11A</v>
      </c>
      <c r="B2003" s="2" t="str">
        <f t="shared" si="318"/>
        <v>160 Leroy St</v>
      </c>
      <c r="C2003" s="1" t="s">
        <v>67</v>
      </c>
      <c r="D2003" s="1" t="s">
        <v>41</v>
      </c>
      <c r="E2003" s="3">
        <v>13500000</v>
      </c>
      <c r="F2003" s="1">
        <v>3913.04347826086</v>
      </c>
      <c r="G2003" s="1">
        <v>8</v>
      </c>
      <c r="H2003" s="1">
        <v>3</v>
      </c>
      <c r="I2003" s="1">
        <v>4</v>
      </c>
      <c r="J2003" s="1">
        <v>3.5</v>
      </c>
      <c r="K2003" s="1">
        <v>3</v>
      </c>
      <c r="L2003" s="1">
        <v>1</v>
      </c>
      <c r="M2003" s="4">
        <v>3450</v>
      </c>
      <c r="N2003" s="1">
        <v>4872</v>
      </c>
      <c r="O2003" s="1">
        <v>9602</v>
      </c>
      <c r="P2003" s="1">
        <v>4730</v>
      </c>
      <c r="Q2003" s="1" t="s">
        <v>42</v>
      </c>
      <c r="S2003" s="1" t="s">
        <v>42</v>
      </c>
      <c r="T2003" s="1" t="s">
        <v>273</v>
      </c>
      <c r="U2003" s="1">
        <v>342</v>
      </c>
      <c r="V2003" s="5">
        <v>43648</v>
      </c>
      <c r="W2003" s="5">
        <v>43107</v>
      </c>
      <c r="X2003" s="1">
        <v>15250000</v>
      </c>
      <c r="Y2003" s="1">
        <v>15250000</v>
      </c>
      <c r="Z2003" s="5">
        <v>43449</v>
      </c>
      <c r="AA2003" s="1">
        <v>13500000</v>
      </c>
      <c r="AB2003" s="1" t="s">
        <v>1088</v>
      </c>
      <c r="AC2003" s="5">
        <v>43502</v>
      </c>
      <c r="AF2003" s="1">
        <v>10014</v>
      </c>
      <c r="AI2003" s="1" t="s">
        <v>65</v>
      </c>
      <c r="AJ2003" s="1">
        <v>2017</v>
      </c>
      <c r="AK2003" s="1" t="s">
        <v>49</v>
      </c>
      <c r="AL2003" s="1">
        <v>57</v>
      </c>
    </row>
    <row r="2004" spans="1:38" x14ac:dyDescent="0.2">
      <c r="A2004" s="2" t="str">
        <f>HYPERLINK("https://www.compass.com/listing/160-leroy-street-unit-south4b-manhattan-ny-10014/4825535365328673681/","160 Leroy St, Unit SOUTH4B")</f>
        <v>160 Leroy St, Unit SOUTH4B</v>
      </c>
      <c r="B2004" s="2" t="str">
        <f t="shared" si="318"/>
        <v>160 Leroy St</v>
      </c>
      <c r="C2004" s="1" t="s">
        <v>67</v>
      </c>
      <c r="D2004" s="1" t="s">
        <v>41</v>
      </c>
      <c r="E2004" s="3">
        <v>6061838</v>
      </c>
      <c r="F2004" s="1">
        <v>2578.4081242024599</v>
      </c>
      <c r="G2004" s="1">
        <v>6</v>
      </c>
      <c r="H2004" s="1">
        <v>3</v>
      </c>
      <c r="I2004" s="1">
        <v>4</v>
      </c>
      <c r="J2004" s="1">
        <v>3.5</v>
      </c>
      <c r="M2004" s="4">
        <v>2351</v>
      </c>
      <c r="N2004" s="1">
        <v>3333</v>
      </c>
      <c r="O2004" s="1">
        <v>6568</v>
      </c>
      <c r="P2004" s="1">
        <v>3235</v>
      </c>
      <c r="Q2004" s="1" t="s">
        <v>42</v>
      </c>
      <c r="S2004" s="1" t="s">
        <v>42</v>
      </c>
      <c r="T2004" s="1" t="s">
        <v>273</v>
      </c>
      <c r="V2004" s="5">
        <v>43649</v>
      </c>
      <c r="W2004" s="5">
        <v>42524</v>
      </c>
      <c r="X2004" s="1">
        <v>5950000</v>
      </c>
      <c r="Y2004" s="1">
        <v>5950000</v>
      </c>
      <c r="Z2004" s="5">
        <v>42524</v>
      </c>
      <c r="AA2004" s="1">
        <v>6061837.5</v>
      </c>
      <c r="AB2004" s="1" t="s">
        <v>1089</v>
      </c>
      <c r="AC2004" s="5">
        <v>43164</v>
      </c>
      <c r="AF2004" s="1">
        <v>10014</v>
      </c>
      <c r="AI2004" s="1" t="s">
        <v>65</v>
      </c>
      <c r="AJ2004" s="1">
        <v>2017</v>
      </c>
      <c r="AK2004" s="1" t="s">
        <v>202</v>
      </c>
      <c r="AL2004" s="1">
        <v>57</v>
      </c>
    </row>
    <row r="2005" spans="1:38" x14ac:dyDescent="0.2">
      <c r="A2005" s="2" t="str">
        <f>HYPERLINK("https://www.compass.com/listing/160-leroy-street-unit-south5b-manhattan-ny-10014/70929969634689729/","160 Leroy St, Unit SOUTH5B")</f>
        <v>160 Leroy St, Unit SOUTH5B</v>
      </c>
      <c r="B2005" s="2" t="str">
        <f t="shared" si="318"/>
        <v>160 Leroy St</v>
      </c>
      <c r="C2005" s="1" t="s">
        <v>67</v>
      </c>
      <c r="D2005" s="1" t="s">
        <v>41</v>
      </c>
      <c r="E2005" s="3">
        <v>6750000</v>
      </c>
      <c r="F2005" s="1">
        <v>2871.1186729051401</v>
      </c>
      <c r="G2005" s="1">
        <v>6</v>
      </c>
      <c r="H2005" s="1">
        <v>3</v>
      </c>
      <c r="I2005" s="1">
        <v>4</v>
      </c>
      <c r="J2005" s="1">
        <v>3.5</v>
      </c>
      <c r="M2005" s="4">
        <v>2351</v>
      </c>
      <c r="N2005" s="1">
        <v>3333</v>
      </c>
      <c r="O2005" s="1">
        <v>6568</v>
      </c>
      <c r="P2005" s="1">
        <v>3235</v>
      </c>
      <c r="Q2005" s="1" t="s">
        <v>42</v>
      </c>
      <c r="S2005" s="1" t="s">
        <v>42</v>
      </c>
      <c r="T2005" s="1" t="s">
        <v>273</v>
      </c>
      <c r="U2005" s="1">
        <v>208</v>
      </c>
      <c r="V2005" s="5">
        <v>43700</v>
      </c>
      <c r="W2005" s="5">
        <v>42382</v>
      </c>
      <c r="X2005" s="1">
        <v>6750000</v>
      </c>
      <c r="Y2005" s="1">
        <v>6750000</v>
      </c>
      <c r="Z2005" s="5">
        <v>42591</v>
      </c>
      <c r="AA2005" s="1">
        <v>6750000</v>
      </c>
      <c r="AB2005" s="1" t="s">
        <v>275</v>
      </c>
      <c r="AC2005" s="5">
        <v>43173</v>
      </c>
      <c r="AF2005" s="1">
        <v>10014</v>
      </c>
      <c r="AI2005" s="1" t="s">
        <v>65</v>
      </c>
      <c r="AJ2005" s="1">
        <v>2017</v>
      </c>
      <c r="AK2005" s="1" t="s">
        <v>202</v>
      </c>
      <c r="AL2005" s="1">
        <v>57</v>
      </c>
    </row>
    <row r="2006" spans="1:38" x14ac:dyDescent="0.2">
      <c r="A2006" s="2" t="str">
        <f>HYPERLINK("https://www.compass.com/listing/90-morton-street-unit-5d-manhattan-ny-10014/29515688276253393/","90 Morton St, Unit 5D")</f>
        <v>90 Morton St, Unit 5D</v>
      </c>
      <c r="B2006" s="2" t="str">
        <f>HYPERLINK("https://www.compass.com/building/90-morton-street-manhattan-ny/292834843018978005/","90 Morton Street")</f>
        <v>90 Morton Street</v>
      </c>
      <c r="C2006" s="1" t="s">
        <v>67</v>
      </c>
      <c r="D2006" s="1" t="s">
        <v>41</v>
      </c>
      <c r="E2006" s="3">
        <v>6400000</v>
      </c>
      <c r="F2006" s="1">
        <v>2852.0499108734398</v>
      </c>
      <c r="G2006" s="1">
        <v>5</v>
      </c>
      <c r="H2006" s="1">
        <v>3</v>
      </c>
      <c r="I2006" s="1">
        <v>4</v>
      </c>
      <c r="J2006" s="1">
        <v>3.5</v>
      </c>
      <c r="K2006" s="1">
        <v>3</v>
      </c>
      <c r="L2006" s="1">
        <v>1</v>
      </c>
      <c r="M2006" s="4">
        <v>2244</v>
      </c>
      <c r="N2006" s="1">
        <v>2999.51</v>
      </c>
      <c r="O2006" s="1">
        <v>5408.48</v>
      </c>
      <c r="P2006" s="1">
        <v>2409</v>
      </c>
      <c r="Q2006" s="1" t="s">
        <v>42</v>
      </c>
      <c r="S2006" s="1" t="s">
        <v>42</v>
      </c>
      <c r="T2006" s="1" t="s">
        <v>273</v>
      </c>
      <c r="U2006" s="1">
        <v>62</v>
      </c>
      <c r="V2006" s="5">
        <v>43824</v>
      </c>
      <c r="W2006" s="5">
        <v>43476</v>
      </c>
      <c r="X2006" s="1">
        <v>6880000</v>
      </c>
      <c r="Y2006" s="1">
        <v>6880000</v>
      </c>
      <c r="Z2006" s="5">
        <v>43538</v>
      </c>
      <c r="AA2006" s="1">
        <v>6400000</v>
      </c>
      <c r="AB2006" s="1" t="s">
        <v>1090</v>
      </c>
      <c r="AC2006" s="5">
        <v>43809</v>
      </c>
      <c r="AF2006" s="1">
        <v>10014</v>
      </c>
      <c r="AI2006" s="1" t="s">
        <v>1091</v>
      </c>
      <c r="AJ2006" s="1">
        <v>2018</v>
      </c>
      <c r="AK2006" s="1" t="s">
        <v>49</v>
      </c>
      <c r="AL2006" s="1">
        <v>35</v>
      </c>
    </row>
    <row r="2007" spans="1:38" x14ac:dyDescent="0.2">
      <c r="A2007" s="2" t="str">
        <f>HYPERLINK("https://www.compass.com/listing/160-leroy-street-unit-north9b-manhattan-ny-10014/21776562403771409/","160 Leroy St, Unit NORTH9B")</f>
        <v>160 Leroy St, Unit NORTH9B</v>
      </c>
      <c r="B2007" s="2" t="str">
        <f t="shared" ref="B2007:B2018" si="319">HYPERLINK("https://www.compass.com/building/160-leroy-st-manhattan-ny-10014/293418469918017093/","160 Leroy St")</f>
        <v>160 Leroy St</v>
      </c>
      <c r="C2007" s="1" t="s">
        <v>67</v>
      </c>
      <c r="D2007" s="1" t="s">
        <v>41</v>
      </c>
      <c r="E2007" s="3">
        <v>11250000</v>
      </c>
      <c r="F2007" s="1">
        <v>4029.3696275071602</v>
      </c>
      <c r="G2007" s="1">
        <v>6</v>
      </c>
      <c r="H2007" s="1">
        <v>4</v>
      </c>
      <c r="I2007" s="1">
        <v>5</v>
      </c>
      <c r="J2007" s="1">
        <v>5</v>
      </c>
      <c r="K2007" s="1">
        <v>5</v>
      </c>
      <c r="M2007" s="4">
        <v>2792</v>
      </c>
      <c r="N2007" s="1">
        <v>3943</v>
      </c>
      <c r="O2007" s="1">
        <v>7770</v>
      </c>
      <c r="P2007" s="1">
        <v>3827</v>
      </c>
      <c r="Q2007" s="1" t="s">
        <v>42</v>
      </c>
      <c r="S2007" s="1" t="s">
        <v>42</v>
      </c>
      <c r="T2007" s="1" t="s">
        <v>273</v>
      </c>
      <c r="U2007" s="1">
        <v>293</v>
      </c>
      <c r="V2007" s="5">
        <v>44311</v>
      </c>
      <c r="W2007" s="5">
        <v>42383</v>
      </c>
      <c r="X2007" s="1">
        <v>10250000</v>
      </c>
      <c r="Y2007" s="1">
        <v>10750000</v>
      </c>
      <c r="Z2007" s="5">
        <v>42676</v>
      </c>
      <c r="AA2007" s="1">
        <v>11250000</v>
      </c>
      <c r="AB2007" s="1" t="s">
        <v>1092</v>
      </c>
      <c r="AC2007" s="5">
        <v>43279</v>
      </c>
      <c r="AF2007" s="1">
        <v>10014</v>
      </c>
      <c r="AI2007" s="1" t="s">
        <v>65</v>
      </c>
      <c r="AJ2007" s="1">
        <v>2017</v>
      </c>
      <c r="AK2007" s="1" t="s">
        <v>49</v>
      </c>
      <c r="AL2007" s="1">
        <v>57</v>
      </c>
    </row>
    <row r="2008" spans="1:38" x14ac:dyDescent="0.2">
      <c r="A2008" s="2" t="str">
        <f>HYPERLINK("https://www.compass.com/listing/160-leroy-street-unit-north12b-manhattan-ny-10014/282036166423807185/","160 Leroy St, Unit NORTH12B")</f>
        <v>160 Leroy St, Unit NORTH12B</v>
      </c>
      <c r="B2008" s="2" t="str">
        <f t="shared" si="319"/>
        <v>160 Leroy St</v>
      </c>
      <c r="C2008" s="1" t="s">
        <v>67</v>
      </c>
      <c r="D2008" s="1" t="s">
        <v>41</v>
      </c>
      <c r="E2008" s="3">
        <v>15000000</v>
      </c>
      <c r="F2008" s="1">
        <v>3291.6392363396899</v>
      </c>
      <c r="G2008" s="1">
        <v>9</v>
      </c>
      <c r="H2008" s="1">
        <v>4</v>
      </c>
      <c r="I2008" s="1">
        <v>5</v>
      </c>
      <c r="J2008" s="1">
        <v>4.5</v>
      </c>
      <c r="K2008" s="1">
        <v>4</v>
      </c>
      <c r="L2008" s="1">
        <v>1</v>
      </c>
      <c r="M2008" s="4">
        <v>4557</v>
      </c>
      <c r="N2008" s="1">
        <v>6505</v>
      </c>
      <c r="O2008" s="1">
        <v>12819</v>
      </c>
      <c r="P2008" s="1">
        <v>6314</v>
      </c>
      <c r="Q2008" s="1" t="s">
        <v>42</v>
      </c>
      <c r="S2008" s="1" t="s">
        <v>42</v>
      </c>
      <c r="T2008" s="1" t="s">
        <v>273</v>
      </c>
      <c r="U2008" s="1">
        <v>661</v>
      </c>
      <c r="V2008" s="5">
        <v>43851</v>
      </c>
      <c r="W2008" s="5">
        <v>43112</v>
      </c>
      <c r="X2008" s="1">
        <v>20000000</v>
      </c>
      <c r="Y2008" s="1">
        <v>18250000</v>
      </c>
      <c r="Z2008" s="5">
        <v>43773</v>
      </c>
      <c r="AA2008" s="1">
        <v>15000000</v>
      </c>
      <c r="AB2008" s="1" t="s">
        <v>275</v>
      </c>
      <c r="AC2008" s="5">
        <v>43839</v>
      </c>
      <c r="AF2008" s="1">
        <v>10014</v>
      </c>
      <c r="AI2008" s="1" t="s">
        <v>243</v>
      </c>
      <c r="AJ2008" s="1">
        <v>2017</v>
      </c>
      <c r="AK2008" s="1" t="s">
        <v>49</v>
      </c>
      <c r="AL2008" s="1">
        <v>57</v>
      </c>
    </row>
    <row r="2009" spans="1:38" x14ac:dyDescent="0.2">
      <c r="A2009" s="2" t="str">
        <f>HYPERLINK("https://www.compass.com/listing/160-leroy-street-unit-north14b-manhattan-ny-10014/29514408401079089/","160 Leroy St, Unit NORTH14B")</f>
        <v>160 Leroy St, Unit NORTH14B</v>
      </c>
      <c r="B2009" s="2" t="str">
        <f t="shared" si="319"/>
        <v>160 Leroy St</v>
      </c>
      <c r="C2009" s="1" t="s">
        <v>67</v>
      </c>
      <c r="D2009" s="1" t="s">
        <v>41</v>
      </c>
      <c r="E2009" s="3">
        <v>20120000</v>
      </c>
      <c r="F2009" s="1">
        <v>4415.1854290103101</v>
      </c>
      <c r="G2009" s="1">
        <v>9</v>
      </c>
      <c r="H2009" s="1">
        <v>4</v>
      </c>
      <c r="I2009" s="1">
        <v>5</v>
      </c>
      <c r="J2009" s="1">
        <v>4.5</v>
      </c>
      <c r="M2009" s="4">
        <v>4557</v>
      </c>
      <c r="N2009" s="1">
        <v>6505</v>
      </c>
      <c r="O2009" s="1">
        <v>12819</v>
      </c>
      <c r="P2009" s="1">
        <v>6314</v>
      </c>
      <c r="Q2009" s="1" t="s">
        <v>42</v>
      </c>
      <c r="S2009" s="1" t="s">
        <v>42</v>
      </c>
      <c r="T2009" s="1" t="s">
        <v>273</v>
      </c>
      <c r="U2009" s="1">
        <v>184</v>
      </c>
      <c r="V2009" s="5">
        <v>43647</v>
      </c>
      <c r="W2009" s="5">
        <v>42927</v>
      </c>
      <c r="X2009" s="1">
        <v>19750000</v>
      </c>
      <c r="Y2009" s="1">
        <v>21000000</v>
      </c>
      <c r="Z2009" s="5">
        <v>43111</v>
      </c>
      <c r="AA2009" s="1">
        <v>20120000</v>
      </c>
      <c r="AB2009" s="1" t="s">
        <v>1093</v>
      </c>
      <c r="AC2009" s="5">
        <v>43322</v>
      </c>
      <c r="AF2009" s="1">
        <v>10014</v>
      </c>
      <c r="AI2009" s="1" t="s">
        <v>243</v>
      </c>
      <c r="AJ2009" s="1">
        <v>2017</v>
      </c>
      <c r="AK2009" s="1" t="s">
        <v>49</v>
      </c>
      <c r="AL2009" s="1">
        <v>57</v>
      </c>
    </row>
    <row r="2010" spans="1:38" x14ac:dyDescent="0.2">
      <c r="A2010" s="2" t="str">
        <f>HYPERLINK("https://www.compass.com/listing/160-leroy-street-unit-north11b-manhattan-ny-10014/29514409399323473/","160 Leroy St, Unit NORTH11B")</f>
        <v>160 Leroy St, Unit NORTH11B</v>
      </c>
      <c r="B2010" s="2" t="str">
        <f t="shared" si="319"/>
        <v>160 Leroy St</v>
      </c>
      <c r="C2010" s="1" t="s">
        <v>67</v>
      </c>
      <c r="D2010" s="1" t="s">
        <v>41</v>
      </c>
      <c r="E2010" s="3">
        <v>10750000</v>
      </c>
      <c r="F2010" s="1">
        <v>3850.2865329512802</v>
      </c>
      <c r="G2010" s="1">
        <v>8</v>
      </c>
      <c r="H2010" s="1">
        <v>4</v>
      </c>
      <c r="I2010" s="1">
        <v>5</v>
      </c>
      <c r="J2010" s="1">
        <v>4.5</v>
      </c>
      <c r="M2010" s="4">
        <v>2792</v>
      </c>
      <c r="N2010" s="1">
        <v>3943</v>
      </c>
      <c r="O2010" s="1">
        <v>7770</v>
      </c>
      <c r="P2010" s="1">
        <v>3827</v>
      </c>
      <c r="Q2010" s="1" t="s">
        <v>42</v>
      </c>
      <c r="S2010" s="1" t="s">
        <v>42</v>
      </c>
      <c r="T2010" s="1" t="s">
        <v>273</v>
      </c>
      <c r="V2010" s="5">
        <v>43654</v>
      </c>
      <c r="W2010" s="5">
        <v>42504</v>
      </c>
      <c r="X2010" s="1">
        <v>10750000</v>
      </c>
      <c r="Y2010" s="1">
        <v>10750000</v>
      </c>
      <c r="Z2010" s="5">
        <v>42504</v>
      </c>
      <c r="AA2010" s="1">
        <v>10750000</v>
      </c>
      <c r="AB2010" s="1" t="s">
        <v>275</v>
      </c>
      <c r="AC2010" s="5">
        <v>43299</v>
      </c>
      <c r="AF2010" s="1">
        <v>10014</v>
      </c>
      <c r="AI2010" s="1" t="s">
        <v>65</v>
      </c>
      <c r="AJ2010" s="1">
        <v>2017</v>
      </c>
      <c r="AK2010" s="1" t="s">
        <v>49</v>
      </c>
      <c r="AL2010" s="1">
        <v>57</v>
      </c>
    </row>
    <row r="2011" spans="1:38" x14ac:dyDescent="0.2">
      <c r="A2011" s="2" t="str">
        <f>HYPERLINK("https://www.compass.com/listing/160-leroy-street-unit-north12a-manhattan-ny-10014/29514410481453969/","160 Leroy St, Unit NORTH12A")</f>
        <v>160 Leroy St, Unit NORTH12A</v>
      </c>
      <c r="B2011" s="2" t="str">
        <f t="shared" si="319"/>
        <v>160 Leroy St</v>
      </c>
      <c r="C2011" s="1" t="s">
        <v>67</v>
      </c>
      <c r="D2011" s="1" t="s">
        <v>41</v>
      </c>
      <c r="E2011" s="3">
        <v>14000000</v>
      </c>
      <c r="F2011" s="1">
        <v>3930.3761931499098</v>
      </c>
      <c r="G2011" s="1">
        <v>9</v>
      </c>
      <c r="H2011" s="1">
        <v>5</v>
      </c>
      <c r="I2011" s="1">
        <v>5</v>
      </c>
      <c r="J2011" s="1">
        <v>4.5</v>
      </c>
      <c r="M2011" s="4">
        <v>3562</v>
      </c>
      <c r="N2011" s="1">
        <v>5030</v>
      </c>
      <c r="O2011" s="1">
        <v>9913</v>
      </c>
      <c r="P2011" s="1">
        <v>4883</v>
      </c>
      <c r="Q2011" s="1" t="s">
        <v>42</v>
      </c>
      <c r="S2011" s="1" t="s">
        <v>42</v>
      </c>
      <c r="T2011" s="1" t="s">
        <v>273</v>
      </c>
      <c r="U2011" s="1">
        <v>13</v>
      </c>
      <c r="V2011" s="5">
        <v>43647</v>
      </c>
      <c r="W2011" s="5">
        <v>42496</v>
      </c>
      <c r="X2011" s="1">
        <v>13750000</v>
      </c>
      <c r="Y2011" s="1">
        <v>13750000</v>
      </c>
      <c r="Z2011" s="5">
        <v>42509</v>
      </c>
      <c r="AA2011" s="1">
        <v>14000000</v>
      </c>
      <c r="AB2011" s="1" t="s">
        <v>275</v>
      </c>
      <c r="AC2011" s="5">
        <v>43321</v>
      </c>
      <c r="AF2011" s="1">
        <v>10014</v>
      </c>
      <c r="AI2011" s="1" t="s">
        <v>65</v>
      </c>
      <c r="AJ2011" s="1">
        <v>2017</v>
      </c>
      <c r="AK2011" s="1" t="s">
        <v>49</v>
      </c>
      <c r="AL2011" s="1">
        <v>57</v>
      </c>
    </row>
    <row r="2012" spans="1:38" x14ac:dyDescent="0.2">
      <c r="A2012" s="2" t="str">
        <f>HYPERLINK("https://www.compass.com/listing/160-leroy-street-unit-south12a-manhattan-ny-10014/29514410800262929/","160 Leroy St, Unit SOUTH12A")</f>
        <v>160 Leroy St, Unit SOUTH12A</v>
      </c>
      <c r="B2012" s="2" t="str">
        <f t="shared" si="319"/>
        <v>160 Leroy St</v>
      </c>
      <c r="C2012" s="1" t="s">
        <v>67</v>
      </c>
      <c r="D2012" s="1" t="s">
        <v>41</v>
      </c>
      <c r="E2012" s="3">
        <v>16250000</v>
      </c>
      <c r="F2012" s="1">
        <v>4267.3319327731097</v>
      </c>
      <c r="G2012" s="1">
        <v>9</v>
      </c>
      <c r="H2012" s="1">
        <v>4</v>
      </c>
      <c r="I2012" s="1">
        <v>5</v>
      </c>
      <c r="J2012" s="1">
        <v>4.5</v>
      </c>
      <c r="K2012" s="1">
        <v>4</v>
      </c>
      <c r="L2012" s="1">
        <v>1</v>
      </c>
      <c r="M2012" s="4">
        <v>3808</v>
      </c>
      <c r="N2012" s="1">
        <v>5378</v>
      </c>
      <c r="O2012" s="1">
        <v>10598</v>
      </c>
      <c r="P2012" s="1">
        <v>5220</v>
      </c>
      <c r="Q2012" s="1" t="s">
        <v>42</v>
      </c>
      <c r="S2012" s="1" t="s">
        <v>42</v>
      </c>
      <c r="T2012" s="1" t="s">
        <v>273</v>
      </c>
      <c r="U2012" s="1">
        <v>304</v>
      </c>
      <c r="V2012" s="5">
        <v>43647</v>
      </c>
      <c r="W2012" s="5">
        <v>42665</v>
      </c>
      <c r="X2012" s="1">
        <v>16000000</v>
      </c>
      <c r="Y2012" s="1">
        <v>16250000</v>
      </c>
      <c r="Z2012" s="5">
        <v>42969</v>
      </c>
      <c r="AA2012" s="1">
        <v>16250000</v>
      </c>
      <c r="AB2012" s="1" t="s">
        <v>275</v>
      </c>
      <c r="AC2012" s="5">
        <v>43476</v>
      </c>
      <c r="AF2012" s="1">
        <v>10014</v>
      </c>
      <c r="AI2012" s="1" t="s">
        <v>65</v>
      </c>
      <c r="AJ2012" s="1">
        <v>2017</v>
      </c>
      <c r="AK2012" s="1" t="s">
        <v>49</v>
      </c>
      <c r="AL2012" s="1">
        <v>57</v>
      </c>
    </row>
    <row r="2013" spans="1:38" x14ac:dyDescent="0.2">
      <c r="A2013" s="2" t="str">
        <f>HYPERLINK("https://www.compass.com/listing/160-leroy-street-unit-north14a-manhattan-ny-10014/29514412192695473/","160 Leroy St, Unit NORTH14A")</f>
        <v>160 Leroy St, Unit NORTH14A</v>
      </c>
      <c r="B2013" s="2" t="str">
        <f t="shared" si="319"/>
        <v>160 Leroy St</v>
      </c>
      <c r="C2013" s="1" t="s">
        <v>67</v>
      </c>
      <c r="D2013" s="1" t="s">
        <v>41</v>
      </c>
      <c r="E2013" s="3">
        <v>12450000</v>
      </c>
      <c r="F2013" s="1">
        <v>3495.2274003368798</v>
      </c>
      <c r="G2013" s="1">
        <v>9</v>
      </c>
      <c r="H2013" s="1">
        <v>5</v>
      </c>
      <c r="I2013" s="1">
        <v>5</v>
      </c>
      <c r="J2013" s="1">
        <v>4.5</v>
      </c>
      <c r="K2013" s="1">
        <v>4</v>
      </c>
      <c r="L2013" s="1">
        <v>1</v>
      </c>
      <c r="M2013" s="4">
        <v>3562</v>
      </c>
      <c r="N2013" s="1">
        <v>5030</v>
      </c>
      <c r="O2013" s="1">
        <v>9913</v>
      </c>
      <c r="P2013" s="1">
        <v>4883</v>
      </c>
      <c r="Q2013" s="1" t="s">
        <v>42</v>
      </c>
      <c r="S2013" s="1" t="s">
        <v>42</v>
      </c>
      <c r="T2013" s="1" t="s">
        <v>273</v>
      </c>
      <c r="U2013" s="1">
        <v>938</v>
      </c>
      <c r="V2013" s="5">
        <v>43857</v>
      </c>
      <c r="W2013" s="5">
        <v>42811</v>
      </c>
      <c r="X2013" s="1">
        <v>14250000</v>
      </c>
      <c r="Y2013" s="1">
        <v>15750000</v>
      </c>
      <c r="Z2013" s="5">
        <v>43750</v>
      </c>
      <c r="AA2013" s="1">
        <v>12450000</v>
      </c>
      <c r="AB2013" s="1" t="s">
        <v>275</v>
      </c>
      <c r="AC2013" s="5">
        <v>43844</v>
      </c>
      <c r="AF2013" s="1">
        <v>10014</v>
      </c>
      <c r="AI2013" s="1" t="s">
        <v>65</v>
      </c>
      <c r="AJ2013" s="1">
        <v>2017</v>
      </c>
      <c r="AK2013" s="1" t="s">
        <v>49</v>
      </c>
      <c r="AL2013" s="1">
        <v>57</v>
      </c>
    </row>
    <row r="2014" spans="1:38" x14ac:dyDescent="0.2">
      <c r="A2014" s="2" t="str">
        <f>HYPERLINK("https://www.compass.com/listing/160-leroy-street-unit-south14a-manhattan-ny-10014/29514412897414993/","160 Leroy St, Unit SOUTH14A")</f>
        <v>160 Leroy St, Unit SOUTH14A</v>
      </c>
      <c r="B2014" s="2" t="str">
        <f t="shared" si="319"/>
        <v>160 Leroy St</v>
      </c>
      <c r="C2014" s="1" t="s">
        <v>67</v>
      </c>
      <c r="D2014" s="1" t="s">
        <v>41</v>
      </c>
      <c r="E2014" s="3">
        <v>16804375</v>
      </c>
      <c r="F2014" s="1">
        <v>4412.9136029411702</v>
      </c>
      <c r="G2014" s="1">
        <v>9</v>
      </c>
      <c r="H2014" s="1">
        <v>4</v>
      </c>
      <c r="I2014" s="1">
        <v>5</v>
      </c>
      <c r="J2014" s="1">
        <v>4.5</v>
      </c>
      <c r="M2014" s="4">
        <v>3808</v>
      </c>
      <c r="N2014" s="1">
        <v>5378</v>
      </c>
      <c r="O2014" s="1">
        <v>10598</v>
      </c>
      <c r="P2014" s="1">
        <v>5220</v>
      </c>
      <c r="Q2014" s="1" t="s">
        <v>42</v>
      </c>
      <c r="S2014" s="1" t="s">
        <v>42</v>
      </c>
      <c r="T2014" s="1" t="s">
        <v>273</v>
      </c>
      <c r="U2014" s="1">
        <v>28</v>
      </c>
      <c r="V2014" s="5">
        <v>43647</v>
      </c>
      <c r="W2014" s="5">
        <v>42635</v>
      </c>
      <c r="X2014" s="1">
        <v>16500000</v>
      </c>
      <c r="Y2014" s="1">
        <v>16500000</v>
      </c>
      <c r="Z2014" s="5">
        <v>42663</v>
      </c>
      <c r="AA2014" s="1">
        <v>16804375</v>
      </c>
      <c r="AB2014" s="1" t="s">
        <v>1094</v>
      </c>
      <c r="AC2014" s="5">
        <v>43339</v>
      </c>
      <c r="AF2014" s="1">
        <v>10014</v>
      </c>
      <c r="AI2014" s="1" t="s">
        <v>65</v>
      </c>
      <c r="AJ2014" s="1">
        <v>2017</v>
      </c>
      <c r="AK2014" s="1" t="s">
        <v>49</v>
      </c>
      <c r="AL2014" s="1">
        <v>57</v>
      </c>
    </row>
    <row r="2015" spans="1:38" x14ac:dyDescent="0.2">
      <c r="A2015" s="2" t="str">
        <f>HYPERLINK("https://www.compass.com/listing/160-leroy-street-unit-north10b-manhattan-ny-10014/29517558021386209/","160 Leroy St, Unit NORTH10B")</f>
        <v>160 Leroy St, Unit NORTH10B</v>
      </c>
      <c r="B2015" s="2" t="str">
        <f t="shared" si="319"/>
        <v>160 Leroy St</v>
      </c>
      <c r="C2015" s="1" t="s">
        <v>67</v>
      </c>
      <c r="D2015" s="1" t="s">
        <v>41</v>
      </c>
      <c r="E2015" s="3">
        <v>10500000</v>
      </c>
      <c r="F2015" s="1">
        <v>3760.7449856733501</v>
      </c>
      <c r="G2015" s="1">
        <v>8</v>
      </c>
      <c r="H2015" s="1">
        <v>4</v>
      </c>
      <c r="I2015" s="1">
        <v>5</v>
      </c>
      <c r="J2015" s="1">
        <v>4.5</v>
      </c>
      <c r="M2015" s="4">
        <v>2792</v>
      </c>
      <c r="N2015" s="1">
        <v>3943</v>
      </c>
      <c r="O2015" s="1">
        <v>7770</v>
      </c>
      <c r="P2015" s="1">
        <v>3827</v>
      </c>
      <c r="Q2015" s="1" t="s">
        <v>42</v>
      </c>
      <c r="S2015" s="1" t="s">
        <v>42</v>
      </c>
      <c r="T2015" s="1" t="s">
        <v>273</v>
      </c>
      <c r="V2015" s="5">
        <v>43647</v>
      </c>
      <c r="W2015" s="5">
        <v>42476</v>
      </c>
      <c r="X2015" s="1">
        <v>10500000</v>
      </c>
      <c r="Y2015" s="1">
        <v>10500000</v>
      </c>
      <c r="Z2015" s="5">
        <v>42476</v>
      </c>
      <c r="AA2015" s="1">
        <v>10500000</v>
      </c>
      <c r="AB2015" s="1" t="s">
        <v>1095</v>
      </c>
      <c r="AC2015" s="5">
        <v>43291</v>
      </c>
      <c r="AF2015" s="1">
        <v>10014</v>
      </c>
      <c r="AI2015" s="1" t="s">
        <v>65</v>
      </c>
      <c r="AJ2015" s="1">
        <v>2017</v>
      </c>
      <c r="AK2015" s="1" t="s">
        <v>49</v>
      </c>
      <c r="AL2015" s="1">
        <v>57</v>
      </c>
    </row>
    <row r="2016" spans="1:38" x14ac:dyDescent="0.2">
      <c r="A2016" s="2" t="str">
        <f>HYPERLINK("https://www.compass.com/listing/160-leroy-street-unit-north8b-manhattan-ny-10014/4333557929567137/","160 Leroy St, Unit NORTH8B")</f>
        <v>160 Leroy St, Unit NORTH8B</v>
      </c>
      <c r="B2016" s="2" t="str">
        <f t="shared" si="319"/>
        <v>160 Leroy St</v>
      </c>
      <c r="C2016" s="1" t="s">
        <v>67</v>
      </c>
      <c r="D2016" s="1" t="s">
        <v>41</v>
      </c>
      <c r="E2016" s="3">
        <v>10949438</v>
      </c>
      <c r="F2016" s="1">
        <v>3921.71830229226</v>
      </c>
      <c r="G2016" s="1">
        <v>8</v>
      </c>
      <c r="H2016" s="1">
        <v>4</v>
      </c>
      <c r="I2016" s="1">
        <v>5</v>
      </c>
      <c r="J2016" s="1">
        <v>4.5</v>
      </c>
      <c r="M2016" s="4">
        <v>2792</v>
      </c>
      <c r="N2016" s="1">
        <v>3958</v>
      </c>
      <c r="O2016" s="1">
        <v>7800</v>
      </c>
      <c r="P2016" s="1">
        <v>3842</v>
      </c>
      <c r="Q2016" s="1" t="s">
        <v>42</v>
      </c>
      <c r="S2016" s="1" t="s">
        <v>42</v>
      </c>
      <c r="T2016" s="1" t="s">
        <v>273</v>
      </c>
      <c r="U2016" s="1">
        <v>698</v>
      </c>
      <c r="V2016" s="5">
        <v>43647</v>
      </c>
      <c r="W2016" s="5">
        <v>42537</v>
      </c>
      <c r="X2016" s="1">
        <v>10000000</v>
      </c>
      <c r="Y2016" s="1">
        <v>11250000</v>
      </c>
      <c r="Z2016" s="5">
        <v>43235</v>
      </c>
      <c r="AA2016" s="1">
        <v>10949437.5</v>
      </c>
      <c r="AB2016" s="1" t="s">
        <v>1096</v>
      </c>
      <c r="AC2016" s="5">
        <v>43252</v>
      </c>
      <c r="AF2016" s="1">
        <v>10014</v>
      </c>
      <c r="AI2016" s="1" t="s">
        <v>65</v>
      </c>
      <c r="AJ2016" s="1">
        <v>2017</v>
      </c>
      <c r="AK2016" s="1" t="s">
        <v>49</v>
      </c>
      <c r="AL2016" s="1">
        <v>57</v>
      </c>
    </row>
    <row r="2017" spans="1:38" x14ac:dyDescent="0.2">
      <c r="A2017" s="2" t="str">
        <f>HYPERLINK("https://www.compass.com/listing/160-leroy-street-unit-north7b-manhattan-ny-10014/4866846065497748673/","160 Leroy St, Unit NORTH7B")</f>
        <v>160 Leroy St, Unit NORTH7B</v>
      </c>
      <c r="B2017" s="2" t="str">
        <f t="shared" si="319"/>
        <v>160 Leroy St</v>
      </c>
      <c r="C2017" s="1" t="s">
        <v>67</v>
      </c>
      <c r="D2017" s="1" t="s">
        <v>41</v>
      </c>
      <c r="E2017" s="3">
        <v>9750000</v>
      </c>
      <c r="F2017" s="1">
        <v>3492.1203438395401</v>
      </c>
      <c r="G2017" s="1">
        <v>8</v>
      </c>
      <c r="H2017" s="1">
        <v>4</v>
      </c>
      <c r="I2017" s="1">
        <v>5</v>
      </c>
      <c r="J2017" s="1">
        <v>4.5</v>
      </c>
      <c r="M2017" s="4">
        <v>2792</v>
      </c>
      <c r="N2017" s="1">
        <v>3958</v>
      </c>
      <c r="O2017" s="1">
        <v>7800</v>
      </c>
      <c r="P2017" s="1">
        <v>3842</v>
      </c>
      <c r="Q2017" s="1" t="s">
        <v>42</v>
      </c>
      <c r="S2017" s="1" t="s">
        <v>42</v>
      </c>
      <c r="T2017" s="1" t="s">
        <v>273</v>
      </c>
      <c r="U2017" s="1">
        <v>136</v>
      </c>
      <c r="V2017" s="5">
        <v>43648</v>
      </c>
      <c r="W2017" s="5">
        <v>42676</v>
      </c>
      <c r="X2017" s="1">
        <v>9750000</v>
      </c>
      <c r="Y2017" s="1">
        <v>9750000</v>
      </c>
      <c r="Z2017" s="5">
        <v>42812</v>
      </c>
      <c r="AA2017" s="1">
        <v>9750000</v>
      </c>
      <c r="AB2017" s="1" t="s">
        <v>1097</v>
      </c>
      <c r="AC2017" s="5">
        <v>43237</v>
      </c>
      <c r="AF2017" s="1">
        <v>10014</v>
      </c>
      <c r="AI2017" s="1" t="s">
        <v>65</v>
      </c>
      <c r="AJ2017" s="1">
        <v>2017</v>
      </c>
      <c r="AK2017" s="1" t="s">
        <v>49</v>
      </c>
      <c r="AL2017" s="1">
        <v>57</v>
      </c>
    </row>
    <row r="2018" spans="1:38" x14ac:dyDescent="0.2">
      <c r="A2018" s="2" t="str">
        <f>HYPERLINK("https://www.compass.com/listing/160-leroy-street-unit-phsouth-manhattan-ny-10014/29514412612160497/","160 Leroy St, Unit PHSOUTH")</f>
        <v>160 Leroy St, Unit PHSOUTH</v>
      </c>
      <c r="B2018" s="2" t="str">
        <f t="shared" si="319"/>
        <v>160 Leroy St</v>
      </c>
      <c r="C2018" s="1" t="s">
        <v>67</v>
      </c>
      <c r="D2018" s="1" t="s">
        <v>41</v>
      </c>
      <c r="E2018" s="3">
        <v>28000000</v>
      </c>
      <c r="F2018" s="1">
        <v>5774.3864714374004</v>
      </c>
      <c r="G2018" s="1">
        <v>9</v>
      </c>
      <c r="H2018" s="1">
        <v>4</v>
      </c>
      <c r="I2018" s="1">
        <v>5</v>
      </c>
      <c r="J2018" s="1">
        <v>4.5</v>
      </c>
      <c r="M2018" s="4">
        <v>4849</v>
      </c>
      <c r="N2018" s="1">
        <v>7709</v>
      </c>
      <c r="O2018" s="1">
        <v>15192</v>
      </c>
      <c r="P2018" s="1">
        <v>7483</v>
      </c>
      <c r="Q2018" s="1" t="s">
        <v>42</v>
      </c>
      <c r="S2018" s="1" t="s">
        <v>42</v>
      </c>
      <c r="T2018" s="1" t="s">
        <v>273</v>
      </c>
      <c r="U2018" s="1">
        <v>90</v>
      </c>
      <c r="V2018" s="5">
        <v>43647</v>
      </c>
      <c r="W2018" s="5">
        <v>42827</v>
      </c>
      <c r="X2018" s="1">
        <v>29500000</v>
      </c>
      <c r="Y2018" s="1">
        <v>31500000</v>
      </c>
      <c r="Z2018" s="5">
        <v>42917</v>
      </c>
      <c r="AA2018" s="1">
        <v>28000000</v>
      </c>
      <c r="AB2018" s="1" t="s">
        <v>1098</v>
      </c>
      <c r="AC2018" s="5">
        <v>43336</v>
      </c>
      <c r="AF2018" s="1">
        <v>10014</v>
      </c>
      <c r="AI2018" s="1" t="s">
        <v>1099</v>
      </c>
      <c r="AJ2018" s="1">
        <v>2017</v>
      </c>
      <c r="AK2018" s="1" t="s">
        <v>49</v>
      </c>
      <c r="AL2018" s="1">
        <v>57</v>
      </c>
    </row>
    <row r="2019" spans="1:38" x14ac:dyDescent="0.2">
      <c r="A2019" s="2" t="str">
        <f>HYPERLINK("https://www.compass.com/listing/21-east-12th-street-unit-9c-manhattan-ny-10003/29514935683827521/","21 E 12th St, Unit 9C")</f>
        <v>21 E 12th St, Unit 9C</v>
      </c>
      <c r="B2019" s="2" t="str">
        <f>HYPERLINK("https://www.compass.com/building/21-east-12th-street-manhattan-ny/292779727154847925/","21 East 12th Street")</f>
        <v>21 East 12th Street</v>
      </c>
      <c r="C2019" s="1" t="s">
        <v>277</v>
      </c>
      <c r="D2019" s="1" t="s">
        <v>41</v>
      </c>
      <c r="E2019" s="3">
        <v>4025011</v>
      </c>
      <c r="F2019" s="1">
        <v>1984.7192652859901</v>
      </c>
      <c r="G2019" s="1">
        <v>4</v>
      </c>
      <c r="H2019" s="1">
        <v>2</v>
      </c>
      <c r="I2019" s="1">
        <v>3</v>
      </c>
      <c r="J2019" s="1">
        <v>2.5</v>
      </c>
      <c r="K2019" s="1">
        <v>2</v>
      </c>
      <c r="L2019" s="1">
        <v>1</v>
      </c>
      <c r="M2019" s="4">
        <v>2028</v>
      </c>
      <c r="N2019" s="1">
        <v>2648</v>
      </c>
      <c r="O2019" s="1">
        <v>6688</v>
      </c>
      <c r="P2019" s="1">
        <v>4040</v>
      </c>
      <c r="Q2019" s="1" t="s">
        <v>42</v>
      </c>
      <c r="S2019" s="1" t="s">
        <v>42</v>
      </c>
      <c r="T2019" s="1" t="s">
        <v>273</v>
      </c>
      <c r="U2019" s="1">
        <v>225</v>
      </c>
      <c r="V2019" s="5">
        <v>44067</v>
      </c>
      <c r="W2019" s="5">
        <v>43678</v>
      </c>
      <c r="X2019" s="1">
        <v>4750000</v>
      </c>
      <c r="Y2019" s="1">
        <v>4750000</v>
      </c>
      <c r="Z2019" s="5">
        <v>43904</v>
      </c>
      <c r="AA2019" s="1">
        <v>4025010.67</v>
      </c>
      <c r="AB2019" s="1" t="s">
        <v>1100</v>
      </c>
      <c r="AC2019" s="5">
        <v>44035</v>
      </c>
      <c r="AF2019" s="1">
        <v>10003</v>
      </c>
      <c r="AI2019" s="1" t="s">
        <v>80</v>
      </c>
      <c r="AJ2019" s="1">
        <v>2018</v>
      </c>
      <c r="AK2019" s="1" t="s">
        <v>46</v>
      </c>
      <c r="AL2019" s="1">
        <v>52</v>
      </c>
    </row>
    <row r="2020" spans="1:38" x14ac:dyDescent="0.2">
      <c r="A2020" s="2" t="str">
        <f>HYPERLINK("https://www.compass.com/listing/270-riverside-drive-unit-4a-manhattan-ny-10025/29431399635349377/","270 Riverside Dr, Unit 4A")</f>
        <v>270 Riverside Dr, Unit 4A</v>
      </c>
      <c r="B2020" s="2" t="str">
        <f t="shared" ref="B2020:B2023" si="320">HYPERLINK("https://www.compass.com/building/270-riverside-dr-manhattan-ny-10025/281970283991095285/","270 Riverside Dr")</f>
        <v>270 Riverside Dr</v>
      </c>
      <c r="C2020" s="1" t="s">
        <v>57</v>
      </c>
      <c r="D2020" s="1" t="s">
        <v>41</v>
      </c>
      <c r="E2020" s="3">
        <v>4984334</v>
      </c>
      <c r="F2020" s="1">
        <v>1751.96274165202</v>
      </c>
      <c r="G2020" s="1">
        <v>8</v>
      </c>
      <c r="H2020" s="1">
        <v>3</v>
      </c>
      <c r="I2020" s="1">
        <v>4</v>
      </c>
      <c r="J2020" s="1">
        <v>4</v>
      </c>
      <c r="K2020" s="1">
        <v>4</v>
      </c>
      <c r="M2020" s="4">
        <v>2845</v>
      </c>
      <c r="N2020" s="1">
        <v>3249</v>
      </c>
      <c r="O2020" s="1">
        <v>4900</v>
      </c>
      <c r="P2020" s="1">
        <v>1651</v>
      </c>
      <c r="Q2020" s="1" t="s">
        <v>42</v>
      </c>
      <c r="S2020" s="1" t="s">
        <v>42</v>
      </c>
      <c r="T2020" s="1" t="s">
        <v>273</v>
      </c>
      <c r="U2020" s="1">
        <v>42</v>
      </c>
      <c r="V2020" s="5">
        <v>43675</v>
      </c>
      <c r="W2020" s="5">
        <v>42272</v>
      </c>
      <c r="X2020" s="1">
        <v>4895000</v>
      </c>
      <c r="Y2020" s="1">
        <v>4895000</v>
      </c>
      <c r="Z2020" s="5">
        <v>42314</v>
      </c>
      <c r="AA2020" s="1">
        <v>4984334</v>
      </c>
      <c r="AB2020" s="1" t="s">
        <v>1101</v>
      </c>
      <c r="AC2020" s="5">
        <v>42600</v>
      </c>
      <c r="AF2020" s="1">
        <v>10025</v>
      </c>
      <c r="AJ2020" s="1">
        <v>1920</v>
      </c>
      <c r="AK2020" s="1" t="s">
        <v>215</v>
      </c>
      <c r="AL2020" s="1">
        <v>57</v>
      </c>
    </row>
    <row r="2021" spans="1:38" x14ac:dyDescent="0.2">
      <c r="A2021" s="2" t="str">
        <f>HYPERLINK("https://www.compass.com/listing/270-riverside-drive-unit-9a-manhattan-ny-10025/29431403292782513/","270 Riverside Dr, Unit 9A")</f>
        <v>270 Riverside Dr, Unit 9A</v>
      </c>
      <c r="B2021" s="2" t="str">
        <f t="shared" si="320"/>
        <v>270 Riverside Dr</v>
      </c>
      <c r="C2021" s="1" t="s">
        <v>57</v>
      </c>
      <c r="D2021" s="1" t="s">
        <v>41</v>
      </c>
      <c r="E2021" s="3">
        <v>5391634</v>
      </c>
      <c r="F2021" s="1">
        <v>1895.1261862917399</v>
      </c>
      <c r="G2021" s="1">
        <v>8</v>
      </c>
      <c r="H2021" s="1">
        <v>3</v>
      </c>
      <c r="I2021" s="1">
        <v>4</v>
      </c>
      <c r="J2021" s="1">
        <v>4</v>
      </c>
      <c r="K2021" s="1">
        <v>4</v>
      </c>
      <c r="M2021" s="4">
        <v>2845</v>
      </c>
      <c r="N2021" s="1">
        <v>3591</v>
      </c>
      <c r="O2021" s="1">
        <v>5416</v>
      </c>
      <c r="P2021" s="1">
        <v>1825</v>
      </c>
      <c r="Q2021" s="1" t="s">
        <v>42</v>
      </c>
      <c r="S2021" s="1" t="s">
        <v>42</v>
      </c>
      <c r="T2021" s="1" t="s">
        <v>273</v>
      </c>
      <c r="U2021" s="1">
        <v>28</v>
      </c>
      <c r="V2021" s="5">
        <v>43673</v>
      </c>
      <c r="W2021" s="5">
        <v>42272</v>
      </c>
      <c r="X2021" s="1">
        <v>5295000</v>
      </c>
      <c r="Y2021" s="1">
        <v>5295000</v>
      </c>
      <c r="Z2021" s="5">
        <v>42300</v>
      </c>
      <c r="AA2021" s="1">
        <v>5391633.75</v>
      </c>
      <c r="AB2021" s="1" t="s">
        <v>1102</v>
      </c>
      <c r="AC2021" s="5">
        <v>42613</v>
      </c>
      <c r="AF2021" s="1">
        <v>10025</v>
      </c>
      <c r="AJ2021" s="1">
        <v>1920</v>
      </c>
      <c r="AK2021" s="1" t="s">
        <v>215</v>
      </c>
      <c r="AL2021" s="1">
        <v>57</v>
      </c>
    </row>
    <row r="2022" spans="1:38" x14ac:dyDescent="0.2">
      <c r="A2022" s="2" t="str">
        <f>HYPERLINK("https://www.compass.com/listing/270-riverside-drive-unit-10a-manhattan-ny-10025/29431403678585041/","270 Riverside Dr, Unit 10A")</f>
        <v>270 Riverside Dr, Unit 10A</v>
      </c>
      <c r="B2022" s="2" t="str">
        <f t="shared" si="320"/>
        <v>270 Riverside Dr</v>
      </c>
      <c r="C2022" s="1" t="s">
        <v>57</v>
      </c>
      <c r="D2022" s="1" t="s">
        <v>41</v>
      </c>
      <c r="E2022" s="3">
        <v>5391634</v>
      </c>
      <c r="F2022" s="1">
        <v>1895.1261862917399</v>
      </c>
      <c r="G2022" s="1">
        <v>8</v>
      </c>
      <c r="H2022" s="1">
        <v>3</v>
      </c>
      <c r="I2022" s="1">
        <v>4</v>
      </c>
      <c r="J2022" s="1">
        <v>4</v>
      </c>
      <c r="K2022" s="1">
        <v>4</v>
      </c>
      <c r="M2022" s="4">
        <v>2845</v>
      </c>
      <c r="N2022" s="1">
        <v>3663</v>
      </c>
      <c r="O2022" s="1">
        <v>5525</v>
      </c>
      <c r="P2022" s="1">
        <v>1862</v>
      </c>
      <c r="Q2022" s="1" t="s">
        <v>42</v>
      </c>
      <c r="S2022" s="1" t="s">
        <v>42</v>
      </c>
      <c r="T2022" s="1" t="s">
        <v>273</v>
      </c>
      <c r="U2022" s="1">
        <v>84</v>
      </c>
      <c r="V2022" s="5">
        <v>43673</v>
      </c>
      <c r="W2022" s="5">
        <v>42300</v>
      </c>
      <c r="X2022" s="1">
        <v>5395000</v>
      </c>
      <c r="Y2022" s="1">
        <v>5395000</v>
      </c>
      <c r="Z2022" s="5">
        <v>42384</v>
      </c>
      <c r="AA2022" s="1">
        <v>5391634</v>
      </c>
      <c r="AB2022" s="1" t="s">
        <v>1103</v>
      </c>
      <c r="AC2022" s="5">
        <v>42622</v>
      </c>
      <c r="AF2022" s="1">
        <v>10025</v>
      </c>
      <c r="AJ2022" s="1">
        <v>1920</v>
      </c>
      <c r="AK2022" s="1" t="s">
        <v>215</v>
      </c>
      <c r="AL2022" s="1">
        <v>57</v>
      </c>
    </row>
    <row r="2023" spans="1:38" x14ac:dyDescent="0.2">
      <c r="A2023" s="2" t="str">
        <f>HYPERLINK("https://www.compass.com/listing/270-riverside-drive-unit-11a-manhattan-ny-10025/29510376953566065/","270 Riverside Dr, Unit 11A")</f>
        <v>270 Riverside Dr, Unit 11A</v>
      </c>
      <c r="B2023" s="2" t="str">
        <f t="shared" si="320"/>
        <v>270 Riverside Dr</v>
      </c>
      <c r="C2023" s="1" t="s">
        <v>57</v>
      </c>
      <c r="D2023" s="1" t="s">
        <v>41</v>
      </c>
      <c r="E2023" s="3">
        <v>5854938</v>
      </c>
      <c r="F2023" s="1">
        <v>2057.97469244288</v>
      </c>
      <c r="G2023" s="1">
        <v>8</v>
      </c>
      <c r="H2023" s="1">
        <v>3</v>
      </c>
      <c r="I2023" s="1">
        <v>4</v>
      </c>
      <c r="J2023" s="1">
        <v>4</v>
      </c>
      <c r="K2023" s="1">
        <v>4</v>
      </c>
      <c r="M2023" s="4">
        <v>2845</v>
      </c>
      <c r="N2023" s="1">
        <v>3737</v>
      </c>
      <c r="O2023" s="1">
        <v>5636</v>
      </c>
      <c r="P2023" s="1">
        <v>1899</v>
      </c>
      <c r="Q2023" s="1" t="s">
        <v>42</v>
      </c>
      <c r="S2023" s="1" t="s">
        <v>42</v>
      </c>
      <c r="T2023" s="1" t="s">
        <v>273</v>
      </c>
      <c r="U2023" s="1">
        <v>49</v>
      </c>
      <c r="V2023" s="5">
        <v>43780</v>
      </c>
      <c r="W2023" s="5">
        <v>42389</v>
      </c>
      <c r="X2023" s="1">
        <v>5495000</v>
      </c>
      <c r="Y2023" s="1">
        <v>5495000</v>
      </c>
      <c r="Z2023" s="5">
        <v>42438</v>
      </c>
      <c r="AA2023" s="1">
        <v>5854938</v>
      </c>
      <c r="AB2023" s="1" t="s">
        <v>1104</v>
      </c>
      <c r="AC2023" s="5">
        <v>42579</v>
      </c>
      <c r="AF2023" s="1">
        <v>10025</v>
      </c>
      <c r="AJ2023" s="1">
        <v>1920</v>
      </c>
      <c r="AK2023" s="1" t="s">
        <v>215</v>
      </c>
      <c r="AL2023" s="1">
        <v>57</v>
      </c>
    </row>
    <row r="2024" spans="1:38" x14ac:dyDescent="0.2">
      <c r="A2024" s="2" t="str">
        <f>HYPERLINK("https://www.compass.com/listing/121-east-22nd-street-unit-s503-manhattan-ny-10010/34697600812834721/","121 E 22nd St, Unit S503")</f>
        <v>121 E 22nd St, Unit S503</v>
      </c>
      <c r="B2024" s="2" t="str">
        <f>HYPERLINK("https://www.compass.com/building/121-e-22nd-manhattan-ny/292795784653461493/","121 E 22nd")</f>
        <v>121 E 22nd</v>
      </c>
      <c r="C2024" s="1" t="s">
        <v>64</v>
      </c>
      <c r="D2024" s="1" t="s">
        <v>41</v>
      </c>
      <c r="E2024" s="3">
        <v>14942</v>
      </c>
      <c r="F2024" s="1">
        <v>9.2865133623368497</v>
      </c>
      <c r="G2024" s="1">
        <v>4</v>
      </c>
      <c r="H2024" s="1">
        <v>2</v>
      </c>
      <c r="I2024" s="1">
        <v>3</v>
      </c>
      <c r="J2024" s="1">
        <v>2.5</v>
      </c>
      <c r="K2024" s="1">
        <v>2</v>
      </c>
      <c r="L2024" s="1">
        <v>1</v>
      </c>
      <c r="M2024" s="4">
        <v>1609</v>
      </c>
      <c r="N2024" s="1">
        <v>1698</v>
      </c>
      <c r="O2024" s="1">
        <v>4699</v>
      </c>
      <c r="P2024" s="1">
        <v>3001</v>
      </c>
      <c r="Q2024" s="1" t="s">
        <v>42</v>
      </c>
      <c r="S2024" s="1" t="s">
        <v>42</v>
      </c>
      <c r="T2024" s="1" t="s">
        <v>273</v>
      </c>
      <c r="V2024" s="5">
        <v>44373</v>
      </c>
      <c r="W2024" s="5">
        <v>43315</v>
      </c>
      <c r="X2024" s="1">
        <v>3405000</v>
      </c>
      <c r="Y2024" s="1">
        <v>3405000</v>
      </c>
      <c r="Z2024" s="5">
        <v>43315</v>
      </c>
      <c r="AA2024" s="1">
        <v>14942</v>
      </c>
      <c r="AB2024" s="1" t="s">
        <v>275</v>
      </c>
      <c r="AC2024" s="5">
        <v>43561</v>
      </c>
      <c r="AF2024" s="1">
        <v>10010</v>
      </c>
      <c r="AI2024" s="1" t="s">
        <v>106</v>
      </c>
      <c r="AJ2024" s="1">
        <v>2016</v>
      </c>
      <c r="AK2024" s="1" t="s">
        <v>46</v>
      </c>
      <c r="AL2024" s="1">
        <v>140</v>
      </c>
    </row>
    <row r="2025" spans="1:38" x14ac:dyDescent="0.2">
      <c r="A2025" s="2" t="str">
        <f>HYPERLINK("https://www.compass.com/listing/70-charlton-street-unit-2d-manhattan-ny-10014/54152655479629569/","70 Charlton St, Unit 2D")</f>
        <v>70 Charlton St, Unit 2D</v>
      </c>
      <c r="B2025" s="2" t="str">
        <f>HYPERLINK("https://www.compass.com/building/70-charlton-street-manhattan-ny/292835639240484293/","70 Charlton Street")</f>
        <v>70 Charlton Street</v>
      </c>
      <c r="C2025" s="1" t="s">
        <v>298</v>
      </c>
      <c r="D2025" s="1" t="s">
        <v>41</v>
      </c>
      <c r="E2025" s="3">
        <v>1200000</v>
      </c>
      <c r="F2025" s="1">
        <v>1500</v>
      </c>
      <c r="G2025" s="1">
        <v>3</v>
      </c>
      <c r="H2025" s="1">
        <v>1</v>
      </c>
      <c r="I2025" s="1">
        <v>1</v>
      </c>
      <c r="J2025" s="1">
        <v>1</v>
      </c>
      <c r="K2025" s="1">
        <v>1</v>
      </c>
      <c r="M2025" s="1">
        <v>800</v>
      </c>
      <c r="N2025" s="1">
        <v>1585</v>
      </c>
      <c r="O2025" s="1">
        <v>1585</v>
      </c>
      <c r="Q2025" s="1" t="s">
        <v>272</v>
      </c>
      <c r="S2025" s="1" t="s">
        <v>272</v>
      </c>
      <c r="T2025" s="1" t="s">
        <v>273</v>
      </c>
      <c r="U2025" s="1">
        <v>312</v>
      </c>
      <c r="V2025" s="5">
        <v>43704</v>
      </c>
      <c r="W2025" s="5">
        <v>43326</v>
      </c>
      <c r="X2025" s="1">
        <v>1495000</v>
      </c>
      <c r="Y2025" s="1">
        <v>1250000</v>
      </c>
      <c r="Z2025" s="5">
        <v>43638</v>
      </c>
      <c r="AA2025" s="1">
        <v>1200000</v>
      </c>
      <c r="AB2025" s="1" t="s">
        <v>1105</v>
      </c>
      <c r="AC2025" s="5">
        <v>43690</v>
      </c>
      <c r="AF2025" s="1">
        <v>10014</v>
      </c>
      <c r="AI2025" s="1" t="s">
        <v>80</v>
      </c>
      <c r="AJ2025" s="1">
        <v>2016</v>
      </c>
      <c r="AK2025" s="1" t="s">
        <v>46</v>
      </c>
      <c r="AL2025" s="1">
        <v>92</v>
      </c>
    </row>
    <row r="2026" spans="1:38" x14ac:dyDescent="0.2">
      <c r="A2026" s="2" t="str">
        <f>HYPERLINK("https://www.compass.com/listing/90-morton-street-unit-2a-manhattan-ny-10014/710507939897931889/","90 Morton St, Unit 2A")</f>
        <v>90 Morton St, Unit 2A</v>
      </c>
      <c r="B2026" s="2" t="str">
        <f t="shared" ref="B2026:B2028" si="321">HYPERLINK("https://www.compass.com/building/90-morton-street-manhattan-ny/292834843018978005/","90 Morton Street")</f>
        <v>90 Morton Street</v>
      </c>
      <c r="C2026" s="1" t="s">
        <v>67</v>
      </c>
      <c r="D2026" s="1" t="s">
        <v>41</v>
      </c>
      <c r="E2026" s="3">
        <v>9000000</v>
      </c>
      <c r="F2026" s="1">
        <v>2770.0831024930699</v>
      </c>
      <c r="G2026" s="1">
        <v>6</v>
      </c>
      <c r="H2026" s="1">
        <v>4</v>
      </c>
      <c r="I2026" s="1">
        <v>5</v>
      </c>
      <c r="J2026" s="1">
        <v>4.5</v>
      </c>
      <c r="K2026" s="1">
        <v>4</v>
      </c>
      <c r="L2026" s="1">
        <v>1</v>
      </c>
      <c r="M2026" s="4">
        <v>3249</v>
      </c>
      <c r="N2026" s="1">
        <v>4247</v>
      </c>
      <c r="O2026" s="1">
        <v>7658</v>
      </c>
      <c r="P2026" s="1">
        <v>3411</v>
      </c>
      <c r="Q2026" s="1" t="s">
        <v>42</v>
      </c>
      <c r="S2026" s="1" t="s">
        <v>42</v>
      </c>
      <c r="T2026" s="1" t="s">
        <v>273</v>
      </c>
      <c r="V2026" s="5">
        <v>44363</v>
      </c>
      <c r="W2026" s="5">
        <v>44239</v>
      </c>
      <c r="Y2026" s="1">
        <v>9500000</v>
      </c>
      <c r="Z2026" s="5">
        <v>44239</v>
      </c>
      <c r="AA2026" s="1">
        <v>9000000</v>
      </c>
      <c r="AB2026" s="1" t="s">
        <v>1106</v>
      </c>
      <c r="AC2026" s="5">
        <v>44351</v>
      </c>
      <c r="AF2026" s="1">
        <v>10014</v>
      </c>
      <c r="AI2026" s="1" t="s">
        <v>111</v>
      </c>
      <c r="AJ2026" s="1">
        <v>2018</v>
      </c>
      <c r="AK2026" s="1" t="s">
        <v>49</v>
      </c>
      <c r="AL2026" s="1">
        <v>35</v>
      </c>
    </row>
    <row r="2027" spans="1:38" x14ac:dyDescent="0.2">
      <c r="A2027" s="2" t="str">
        <f>HYPERLINK("https://www.compass.com/listing/90-morton-street-unit-6a-manhattan-ny-10014/76213070048837985/","90 Morton St, Unit 6A")</f>
        <v>90 Morton St, Unit 6A</v>
      </c>
      <c r="B2027" s="2" t="str">
        <f t="shared" si="321"/>
        <v>90 Morton Street</v>
      </c>
      <c r="C2027" s="1" t="s">
        <v>67</v>
      </c>
      <c r="D2027" s="1" t="s">
        <v>41</v>
      </c>
      <c r="E2027" s="3">
        <v>9250000</v>
      </c>
      <c r="F2027" s="1">
        <v>2847.0298553400999</v>
      </c>
      <c r="G2027" s="1">
        <v>6</v>
      </c>
      <c r="H2027" s="1">
        <v>4</v>
      </c>
      <c r="I2027" s="1">
        <v>5</v>
      </c>
      <c r="J2027" s="1">
        <v>4.5</v>
      </c>
      <c r="K2027" s="1">
        <v>4</v>
      </c>
      <c r="L2027" s="1">
        <v>1</v>
      </c>
      <c r="M2027" s="4">
        <v>3249</v>
      </c>
      <c r="N2027" s="1">
        <v>4339</v>
      </c>
      <c r="O2027" s="1">
        <v>7824</v>
      </c>
      <c r="P2027" s="1">
        <v>3485</v>
      </c>
      <c r="Q2027" s="1" t="s">
        <v>42</v>
      </c>
      <c r="S2027" s="1" t="s">
        <v>42</v>
      </c>
      <c r="T2027" s="1" t="s">
        <v>273</v>
      </c>
      <c r="U2027" s="1">
        <v>18</v>
      </c>
      <c r="V2027" s="5">
        <v>44303</v>
      </c>
      <c r="W2027" s="5">
        <v>44239</v>
      </c>
      <c r="Y2027" s="1">
        <v>9950000</v>
      </c>
      <c r="Z2027" s="5">
        <v>44257</v>
      </c>
      <c r="AA2027" s="1">
        <v>9250000</v>
      </c>
      <c r="AB2027" s="1" t="s">
        <v>1107</v>
      </c>
      <c r="AC2027" s="5">
        <v>44302</v>
      </c>
      <c r="AF2027" s="1">
        <v>10014</v>
      </c>
      <c r="AI2027" s="1" t="s">
        <v>111</v>
      </c>
      <c r="AJ2027" s="1">
        <v>2018</v>
      </c>
      <c r="AK2027" s="1" t="s">
        <v>49</v>
      </c>
      <c r="AL2027" s="1">
        <v>35</v>
      </c>
    </row>
    <row r="2028" spans="1:38" x14ac:dyDescent="0.2">
      <c r="A2028" s="2" t="str">
        <f>HYPERLINK("https://www.compass.com/listing/90-morton-street-unit-6b-manhattan-ny-10014/714544364440109065/","90 Morton St, Unit 6B")</f>
        <v>90 Morton St, Unit 6B</v>
      </c>
      <c r="B2028" s="2" t="str">
        <f t="shared" si="321"/>
        <v>90 Morton Street</v>
      </c>
      <c r="C2028" s="1" t="s">
        <v>67</v>
      </c>
      <c r="D2028" s="1" t="s">
        <v>41</v>
      </c>
      <c r="E2028" s="3">
        <v>7600000</v>
      </c>
      <c r="F2028" s="1">
        <v>2608.0988332189399</v>
      </c>
      <c r="G2028" s="1">
        <v>6</v>
      </c>
      <c r="H2028" s="1">
        <v>4</v>
      </c>
      <c r="I2028" s="1">
        <v>4</v>
      </c>
      <c r="J2028" s="1">
        <v>4.5</v>
      </c>
      <c r="K2028" s="1">
        <v>4</v>
      </c>
      <c r="L2028" s="1">
        <v>1</v>
      </c>
      <c r="M2028" s="4">
        <v>2914</v>
      </c>
      <c r="N2028" s="1">
        <v>3891</v>
      </c>
      <c r="O2028" s="1">
        <v>7016</v>
      </c>
      <c r="P2028" s="1">
        <v>3125</v>
      </c>
      <c r="Q2028" s="1" t="s">
        <v>42</v>
      </c>
      <c r="S2028" s="1" t="s">
        <v>42</v>
      </c>
      <c r="T2028" s="1" t="s">
        <v>273</v>
      </c>
      <c r="V2028" s="5">
        <v>44307</v>
      </c>
      <c r="W2028" s="5">
        <v>44237</v>
      </c>
      <c r="X2028" s="1">
        <v>8920000</v>
      </c>
      <c r="Y2028" s="1">
        <v>8920000</v>
      </c>
      <c r="Z2028" s="5">
        <v>44237</v>
      </c>
      <c r="AA2028" s="1">
        <v>7600000</v>
      </c>
      <c r="AB2028" s="1" t="s">
        <v>1108</v>
      </c>
      <c r="AC2028" s="5">
        <v>44288</v>
      </c>
      <c r="AF2028" s="1">
        <v>10014</v>
      </c>
      <c r="AI2028" s="1" t="s">
        <v>111</v>
      </c>
      <c r="AJ2028" s="1">
        <v>2018</v>
      </c>
      <c r="AK2028" s="1" t="s">
        <v>49</v>
      </c>
      <c r="AL2028" s="1">
        <v>35</v>
      </c>
    </row>
    <row r="2029" spans="1:38" x14ac:dyDescent="0.2">
      <c r="A2029" s="2" t="str">
        <f>HYPERLINK("https://www.compass.com/listing/160-leroy-street-unit-north7c-manhattan-ny-10014/18882643697357857/","160 Leroy St, Unit NORTH7C")</f>
        <v>160 Leroy St, Unit NORTH7C</v>
      </c>
      <c r="B2029" s="2" t="str">
        <f>HYPERLINK("https://www.compass.com/building/160-leroy-st-manhattan-ny-10014/293418469918017093/","160 Leroy St")</f>
        <v>160 Leroy St</v>
      </c>
      <c r="C2029" s="1" t="s">
        <v>67</v>
      </c>
      <c r="D2029" s="1" t="s">
        <v>41</v>
      </c>
      <c r="E2029" s="3">
        <v>4407181</v>
      </c>
      <c r="F2029" s="1">
        <v>2550.4521122685101</v>
      </c>
      <c r="G2029" s="1">
        <v>4</v>
      </c>
      <c r="H2029" s="1">
        <v>2</v>
      </c>
      <c r="I2029" s="1">
        <v>3</v>
      </c>
      <c r="J2029" s="1">
        <v>3</v>
      </c>
      <c r="K2029" s="1">
        <v>3</v>
      </c>
      <c r="M2029" s="4">
        <v>1728</v>
      </c>
      <c r="N2029" s="1">
        <v>2519</v>
      </c>
      <c r="O2029" s="1">
        <v>4964</v>
      </c>
      <c r="P2029" s="1">
        <v>2445</v>
      </c>
      <c r="Q2029" s="1" t="s">
        <v>42</v>
      </c>
      <c r="S2029" s="1" t="s">
        <v>42</v>
      </c>
      <c r="T2029" s="1" t="s">
        <v>273</v>
      </c>
      <c r="V2029" s="5">
        <v>44225</v>
      </c>
      <c r="W2029" s="5">
        <v>42491</v>
      </c>
      <c r="X2029" s="1">
        <v>4450000</v>
      </c>
      <c r="Y2029" s="1">
        <v>4450000</v>
      </c>
      <c r="Z2029" s="5">
        <v>42491</v>
      </c>
      <c r="AA2029" s="1">
        <v>4407181.25</v>
      </c>
      <c r="AB2029" s="1" t="s">
        <v>1109</v>
      </c>
      <c r="AC2029" s="5">
        <v>43271</v>
      </c>
      <c r="AF2029" s="1">
        <v>10014</v>
      </c>
      <c r="AI2029" s="1" t="s">
        <v>159</v>
      </c>
      <c r="AJ2029" s="1">
        <v>2017</v>
      </c>
      <c r="AK2029" s="1" t="s">
        <v>49</v>
      </c>
      <c r="AL2029" s="1">
        <v>57</v>
      </c>
    </row>
    <row r="2030" spans="1:38" x14ac:dyDescent="0.2">
      <c r="A2030" s="2" t="str">
        <f>HYPERLINK("https://www.compass.com/listing/90-morton-street-unit-ph11a-manhattan-ny-10014/147807250671472065/","90 Morton St, Unit PH11A")</f>
        <v>90 Morton St, Unit PH11A</v>
      </c>
      <c r="B2030" s="2" t="str">
        <f t="shared" ref="B2030:B2033" si="322">HYPERLINK("https://www.compass.com/building/90-morton-street-manhattan-ny/292834843018978005/","90 Morton Street")</f>
        <v>90 Morton Street</v>
      </c>
      <c r="C2030" s="1" t="s">
        <v>67</v>
      </c>
      <c r="D2030" s="1" t="s">
        <v>41</v>
      </c>
      <c r="E2030" s="3">
        <v>24900000</v>
      </c>
      <c r="F2030" s="1">
        <v>4739.24628854206</v>
      </c>
      <c r="G2030" s="1">
        <v>9</v>
      </c>
      <c r="H2030" s="1">
        <v>5</v>
      </c>
      <c r="I2030" s="1">
        <v>6</v>
      </c>
      <c r="J2030" s="1">
        <v>5.5</v>
      </c>
      <c r="K2030" s="1">
        <v>5</v>
      </c>
      <c r="L2030" s="1">
        <v>1</v>
      </c>
      <c r="M2030" s="4">
        <v>5254</v>
      </c>
      <c r="N2030" s="1">
        <v>11877</v>
      </c>
      <c r="O2030" s="1">
        <v>21416</v>
      </c>
      <c r="P2030" s="1">
        <v>9539</v>
      </c>
      <c r="Q2030" s="1" t="s">
        <v>42</v>
      </c>
      <c r="S2030" s="1" t="s">
        <v>42</v>
      </c>
      <c r="T2030" s="1" t="s">
        <v>273</v>
      </c>
      <c r="V2030" s="5">
        <v>44194</v>
      </c>
      <c r="W2030" s="5">
        <v>43943</v>
      </c>
      <c r="Y2030" s="1">
        <v>33000000</v>
      </c>
      <c r="Z2030" s="5">
        <v>43944</v>
      </c>
      <c r="AA2030" s="1">
        <v>24900000</v>
      </c>
      <c r="AB2030" s="1" t="s">
        <v>1110</v>
      </c>
      <c r="AC2030" s="5">
        <v>44188</v>
      </c>
      <c r="AF2030" s="1">
        <v>10014</v>
      </c>
      <c r="AI2030" s="1" t="s">
        <v>1111</v>
      </c>
      <c r="AJ2030" s="1">
        <v>2018</v>
      </c>
      <c r="AK2030" s="1" t="s">
        <v>49</v>
      </c>
      <c r="AL2030" s="1">
        <v>35</v>
      </c>
    </row>
    <row r="2031" spans="1:38" x14ac:dyDescent="0.2">
      <c r="A2031" s="2" t="str">
        <f>HYPERLINK("https://www.compass.com/listing/90-morton-street-unit-ph11b-manhattan-ny-10014/157950645003887105/","90 Morton St, Unit PH11B")</f>
        <v>90 Morton St, Unit PH11B</v>
      </c>
      <c r="B2031" s="2" t="str">
        <f t="shared" si="322"/>
        <v>90 Morton Street</v>
      </c>
      <c r="C2031" s="1" t="s">
        <v>67</v>
      </c>
      <c r="D2031" s="1" t="s">
        <v>41</v>
      </c>
      <c r="E2031" s="3">
        <v>24802505</v>
      </c>
      <c r="F2031" s="1">
        <v>5294.02454642476</v>
      </c>
      <c r="G2031" s="1">
        <v>9</v>
      </c>
      <c r="H2031" s="1">
        <v>5</v>
      </c>
      <c r="I2031" s="1">
        <v>5</v>
      </c>
      <c r="J2031" s="1">
        <v>4.5</v>
      </c>
      <c r="K2031" s="1">
        <v>4</v>
      </c>
      <c r="L2031" s="1">
        <v>1</v>
      </c>
      <c r="M2031" s="4">
        <v>4685</v>
      </c>
      <c r="N2031" s="1">
        <v>10534.76</v>
      </c>
      <c r="O2031" s="1">
        <v>18995.48</v>
      </c>
      <c r="P2031" s="1">
        <v>8460.75</v>
      </c>
      <c r="Q2031" s="1" t="s">
        <v>42</v>
      </c>
      <c r="S2031" s="1" t="s">
        <v>42</v>
      </c>
      <c r="T2031" s="1" t="s">
        <v>273</v>
      </c>
      <c r="U2031" s="1">
        <v>391</v>
      </c>
      <c r="V2031" s="5">
        <v>44194</v>
      </c>
      <c r="W2031" s="5">
        <v>43469</v>
      </c>
      <c r="X2031" s="1">
        <v>26500000</v>
      </c>
      <c r="Y2031" s="1">
        <v>31000000</v>
      </c>
      <c r="Z2031" s="5">
        <v>43861</v>
      </c>
      <c r="AA2031" s="1">
        <v>24802505</v>
      </c>
      <c r="AB2031" s="1" t="s">
        <v>1112</v>
      </c>
      <c r="AC2031" s="5">
        <v>44173</v>
      </c>
      <c r="AF2031" s="1">
        <v>10014</v>
      </c>
      <c r="AI2031" s="1" t="s">
        <v>192</v>
      </c>
      <c r="AJ2031" s="1">
        <v>2018</v>
      </c>
      <c r="AK2031" s="1" t="s">
        <v>49</v>
      </c>
      <c r="AL2031" s="1">
        <v>35</v>
      </c>
    </row>
    <row r="2032" spans="1:38" x14ac:dyDescent="0.2">
      <c r="A2032" s="2" t="str">
        <f>HYPERLINK("https://www.compass.com/listing/90-morton-street-unit-5a-manhattan-ny-10014/29515686883696913/","90 Morton St, Unit 5A")</f>
        <v>90 Morton St, Unit 5A</v>
      </c>
      <c r="B2032" s="2" t="str">
        <f t="shared" si="322"/>
        <v>90 Morton Street</v>
      </c>
      <c r="C2032" s="1" t="s">
        <v>67</v>
      </c>
      <c r="D2032" s="1" t="s">
        <v>41</v>
      </c>
      <c r="E2032" s="3">
        <v>9244931</v>
      </c>
      <c r="F2032" s="1">
        <v>2845.4697599261299</v>
      </c>
      <c r="G2032" s="1">
        <v>6</v>
      </c>
      <c r="H2032" s="1">
        <v>4</v>
      </c>
      <c r="I2032" s="1">
        <v>5</v>
      </c>
      <c r="J2032" s="1">
        <v>4.5</v>
      </c>
      <c r="K2032" s="1">
        <v>4</v>
      </c>
      <c r="L2032" s="1">
        <v>1</v>
      </c>
      <c r="M2032" s="4">
        <v>3249</v>
      </c>
      <c r="N2032" s="1">
        <v>4318</v>
      </c>
      <c r="O2032" s="1">
        <v>7786</v>
      </c>
      <c r="P2032" s="1">
        <v>3468</v>
      </c>
      <c r="Q2032" s="1" t="s">
        <v>42</v>
      </c>
      <c r="S2032" s="1" t="s">
        <v>42</v>
      </c>
      <c r="T2032" s="1" t="s">
        <v>273</v>
      </c>
      <c r="U2032" s="1">
        <v>480</v>
      </c>
      <c r="V2032" s="5">
        <v>44357</v>
      </c>
      <c r="W2032" s="5">
        <v>43685</v>
      </c>
      <c r="Y2032" s="1">
        <v>9850000</v>
      </c>
      <c r="Z2032" s="5">
        <v>44286</v>
      </c>
      <c r="AA2032" s="1">
        <v>9244931.25</v>
      </c>
      <c r="AB2032" s="1" t="s">
        <v>1113</v>
      </c>
      <c r="AC2032" s="5">
        <v>44337</v>
      </c>
      <c r="AF2032" s="1">
        <v>10014</v>
      </c>
      <c r="AI2032" s="1" t="s">
        <v>111</v>
      </c>
      <c r="AJ2032" s="1">
        <v>2018</v>
      </c>
      <c r="AK2032" s="1" t="s">
        <v>49</v>
      </c>
      <c r="AL2032" s="1">
        <v>35</v>
      </c>
    </row>
    <row r="2033" spans="1:38" x14ac:dyDescent="0.2">
      <c r="A2033" s="2" t="str">
        <f>HYPERLINK("https://www.compass.com/listing/90-morton-street-unit-5b-manhattan-ny-10014/29515687982604593/","90 Morton St, Unit 5B")</f>
        <v>90 Morton St, Unit 5B</v>
      </c>
      <c r="B2033" s="2" t="str">
        <f t="shared" si="322"/>
        <v>90 Morton Street</v>
      </c>
      <c r="C2033" s="1" t="s">
        <v>67</v>
      </c>
      <c r="D2033" s="1" t="s">
        <v>41</v>
      </c>
      <c r="E2033" s="3">
        <v>7500000</v>
      </c>
      <c r="F2033" s="1">
        <v>2573.78174330816</v>
      </c>
      <c r="G2033" s="1">
        <v>6</v>
      </c>
      <c r="H2033" s="1">
        <v>4</v>
      </c>
      <c r="I2033" s="1">
        <v>4</v>
      </c>
      <c r="J2033" s="1">
        <v>4.5</v>
      </c>
      <c r="K2033" s="1">
        <v>4</v>
      </c>
      <c r="L2033" s="1">
        <v>1</v>
      </c>
      <c r="M2033" s="4">
        <v>2914</v>
      </c>
      <c r="N2033" s="1">
        <v>3870.24</v>
      </c>
      <c r="O2033" s="1">
        <v>6978.52</v>
      </c>
      <c r="P2033" s="1">
        <v>3108.25</v>
      </c>
      <c r="Q2033" s="1" t="s">
        <v>42</v>
      </c>
      <c r="S2033" s="1" t="s">
        <v>42</v>
      </c>
      <c r="T2033" s="1" t="s">
        <v>273</v>
      </c>
      <c r="U2033" s="1">
        <v>273</v>
      </c>
      <c r="V2033" s="5">
        <v>44284</v>
      </c>
      <c r="W2033" s="5">
        <v>43863</v>
      </c>
      <c r="Z2033" s="5">
        <v>44231</v>
      </c>
      <c r="AA2033" s="1">
        <v>7500000</v>
      </c>
      <c r="AB2033" s="1" t="s">
        <v>1114</v>
      </c>
      <c r="AC2033" s="5">
        <v>44267</v>
      </c>
      <c r="AF2033" s="1">
        <v>10014</v>
      </c>
      <c r="AI2033" s="1" t="s">
        <v>111</v>
      </c>
      <c r="AJ2033" s="1">
        <v>2018</v>
      </c>
      <c r="AK2033" s="1" t="s">
        <v>49</v>
      </c>
      <c r="AL2033" s="1">
        <v>35</v>
      </c>
    </row>
    <row r="2034" spans="1:38" x14ac:dyDescent="0.2">
      <c r="A2034" s="2" t="str">
        <f>HYPERLINK("https://www.compass.com/listing/45-east-22nd-street-unit-56a-manhattan-ny-10010/324888187088096353/","45 E 22nd St, Unit 56A")</f>
        <v>45 E 22nd St, Unit 56A</v>
      </c>
      <c r="B2034" s="2" t="str">
        <f t="shared" ref="B2034:B2037" si="323">HYPERLINK("https://www.compass.com/building/madison-square-park-tower-manhattan-ny/281903584482705973/","Madison Square Park Tower")</f>
        <v>Madison Square Park Tower</v>
      </c>
      <c r="C2034" s="1" t="s">
        <v>56</v>
      </c>
      <c r="D2034" s="1" t="s">
        <v>41</v>
      </c>
      <c r="E2034" s="3">
        <v>13190708</v>
      </c>
      <c r="F2034" s="1">
        <v>2833.6644618689502</v>
      </c>
      <c r="H2034" s="1">
        <v>4</v>
      </c>
      <c r="J2034" s="1">
        <v>4.5</v>
      </c>
      <c r="M2034" s="4">
        <v>4655</v>
      </c>
      <c r="N2034" s="1">
        <v>5909</v>
      </c>
      <c r="O2034" s="1">
        <v>14893</v>
      </c>
      <c r="P2034" s="1">
        <v>8984</v>
      </c>
      <c r="Q2034" s="1" t="s">
        <v>42</v>
      </c>
      <c r="S2034" s="1" t="s">
        <v>42</v>
      </c>
      <c r="T2034" s="1" t="s">
        <v>273</v>
      </c>
      <c r="AA2034" s="1">
        <v>13190708.07</v>
      </c>
      <c r="AB2034" s="1" t="s">
        <v>1115</v>
      </c>
      <c r="AC2034" s="5">
        <v>43636</v>
      </c>
      <c r="AF2034" s="1">
        <v>10010</v>
      </c>
      <c r="AI2034" s="1" t="s">
        <v>48</v>
      </c>
      <c r="AJ2034" s="1">
        <v>2016</v>
      </c>
      <c r="AK2034" s="1" t="s">
        <v>49</v>
      </c>
      <c r="AL2034" s="1">
        <v>83</v>
      </c>
    </row>
    <row r="2035" spans="1:38" x14ac:dyDescent="0.2">
      <c r="A2035" s="2" t="str">
        <f>HYPERLINK("https://www.compass.com/listing/45-east-22nd-street-unit-phb-manhattan-ny-10010/462020059129537769/","45 E 22nd St, Unit PHB")</f>
        <v>45 E 22nd St, Unit PHB</v>
      </c>
      <c r="B2035" s="2" t="str">
        <f t="shared" si="323"/>
        <v>Madison Square Park Tower</v>
      </c>
      <c r="C2035" s="1" t="s">
        <v>56</v>
      </c>
      <c r="D2035" s="1" t="s">
        <v>41</v>
      </c>
      <c r="E2035" s="3">
        <v>24845250</v>
      </c>
      <c r="F2035" s="1">
        <v>4118.9074171087505</v>
      </c>
      <c r="H2035" s="1">
        <v>4</v>
      </c>
      <c r="J2035" s="1">
        <v>6</v>
      </c>
      <c r="K2035" s="1">
        <v>6</v>
      </c>
      <c r="M2035" s="4">
        <v>6032</v>
      </c>
      <c r="N2035" s="1">
        <v>7976</v>
      </c>
      <c r="O2035" s="1">
        <v>20102</v>
      </c>
      <c r="P2035" s="1">
        <v>12126</v>
      </c>
      <c r="Q2035" s="1" t="s">
        <v>42</v>
      </c>
      <c r="S2035" s="1" t="s">
        <v>42</v>
      </c>
      <c r="T2035" s="1" t="s">
        <v>273</v>
      </c>
      <c r="AA2035" s="1">
        <v>24845249.539999999</v>
      </c>
      <c r="AB2035" s="1" t="s">
        <v>1116</v>
      </c>
      <c r="AC2035" s="5">
        <v>43882</v>
      </c>
      <c r="AF2035" s="1">
        <v>10010</v>
      </c>
      <c r="AI2035" s="1" t="s">
        <v>48</v>
      </c>
      <c r="AJ2035" s="1">
        <v>2016</v>
      </c>
      <c r="AK2035" s="1" t="s">
        <v>49</v>
      </c>
      <c r="AL2035" s="1">
        <v>83</v>
      </c>
    </row>
    <row r="2036" spans="1:38" x14ac:dyDescent="0.2">
      <c r="A2036" s="2" t="str">
        <f>HYPERLINK("https://www.compass.com/listing/45-east-22nd-street-unit-pha-manhattan-ny-10010/462020059978699401/","45 E 22nd St, Unit PHA")</f>
        <v>45 E 22nd St, Unit PHA</v>
      </c>
      <c r="B2036" s="2" t="str">
        <f t="shared" si="323"/>
        <v>Madison Square Park Tower</v>
      </c>
      <c r="C2036" s="1" t="s">
        <v>56</v>
      </c>
      <c r="D2036" s="1" t="s">
        <v>41</v>
      </c>
      <c r="E2036" s="3">
        <v>19361423</v>
      </c>
      <c r="F2036" s="1">
        <v>2747.0804157207699</v>
      </c>
      <c r="H2036" s="1">
        <v>5</v>
      </c>
      <c r="J2036" s="1">
        <v>5.5</v>
      </c>
      <c r="M2036" s="4">
        <v>7048</v>
      </c>
      <c r="N2036" s="1">
        <v>10495</v>
      </c>
      <c r="O2036" s="1">
        <v>25539</v>
      </c>
      <c r="P2036" s="1">
        <v>15044</v>
      </c>
      <c r="Q2036" s="1" t="s">
        <v>42</v>
      </c>
      <c r="S2036" s="1" t="s">
        <v>42</v>
      </c>
      <c r="T2036" s="1" t="s">
        <v>273</v>
      </c>
      <c r="AA2036" s="1">
        <v>19361422.77</v>
      </c>
      <c r="AB2036" s="1" t="s">
        <v>1117</v>
      </c>
      <c r="AC2036" s="5">
        <v>43882</v>
      </c>
      <c r="AF2036" s="1">
        <v>10010</v>
      </c>
      <c r="AI2036" s="1" t="s">
        <v>48</v>
      </c>
      <c r="AJ2036" s="1">
        <v>2016</v>
      </c>
      <c r="AK2036" s="1" t="s">
        <v>49</v>
      </c>
      <c r="AL2036" s="1">
        <v>83</v>
      </c>
    </row>
    <row r="2037" spans="1:38" x14ac:dyDescent="0.2">
      <c r="A2037" s="2" t="str">
        <f>HYPERLINK("https://www.compass.com/listing/45-east-22nd-street-unit-55a-manhattan-ny-10010/785461069715640625/","45 E 22nd St, Unit 55A")</f>
        <v>45 E 22nd St, Unit 55A</v>
      </c>
      <c r="B2037" s="2" t="str">
        <f t="shared" si="323"/>
        <v>Madison Square Park Tower</v>
      </c>
      <c r="C2037" s="1" t="s">
        <v>56</v>
      </c>
      <c r="D2037" s="1" t="s">
        <v>41</v>
      </c>
      <c r="E2037" s="3">
        <v>15573284</v>
      </c>
      <c r="F2037" s="1">
        <v>3348.3731584605398</v>
      </c>
      <c r="H2037" s="1">
        <v>4</v>
      </c>
      <c r="J2037" s="1">
        <v>4.5</v>
      </c>
      <c r="K2037" s="1">
        <v>4</v>
      </c>
      <c r="L2037" s="1">
        <v>1</v>
      </c>
      <c r="M2037" s="4">
        <v>4651</v>
      </c>
      <c r="N2037" s="1">
        <v>5923</v>
      </c>
      <c r="O2037" s="1">
        <v>14923</v>
      </c>
      <c r="P2037" s="1">
        <v>9000</v>
      </c>
      <c r="Q2037" s="1" t="s">
        <v>42</v>
      </c>
      <c r="S2037" s="1" t="s">
        <v>42</v>
      </c>
      <c r="T2037" s="1" t="s">
        <v>273</v>
      </c>
      <c r="AA2037" s="1">
        <v>15573283.560000001</v>
      </c>
      <c r="AB2037" s="1" t="s">
        <v>1118</v>
      </c>
      <c r="AC2037" s="5">
        <v>43297</v>
      </c>
      <c r="AF2037" s="1">
        <v>10010</v>
      </c>
      <c r="AI2037" s="1" t="s">
        <v>48</v>
      </c>
      <c r="AJ2037" s="1">
        <v>2016</v>
      </c>
      <c r="AK2037" s="1" t="s">
        <v>49</v>
      </c>
      <c r="AL2037" s="1">
        <v>83</v>
      </c>
    </row>
    <row r="2038" spans="1:38" x14ac:dyDescent="0.2">
      <c r="A2038" s="2" t="str">
        <f>HYPERLINK("https://www.compass.com/listing/25-prince-street-unit-3a-manhattan-ny-10012/50844890619189121/","25 Prince St, Unit 3A")</f>
        <v>25 Prince St, Unit 3A</v>
      </c>
      <c r="B2038" s="2" t="str">
        <f>HYPERLINK("https://www.compass.com/building/25-prince-st-manhattan-ny-10012/281914530534027029/","25 Prince St")</f>
        <v>25 Prince St</v>
      </c>
      <c r="C2038" s="1" t="s">
        <v>79</v>
      </c>
      <c r="D2038" s="1" t="s">
        <v>41</v>
      </c>
      <c r="E2038" s="3">
        <v>1781413</v>
      </c>
      <c r="F2038" s="1">
        <v>2463.91839557399</v>
      </c>
      <c r="G2038" s="1">
        <v>3</v>
      </c>
      <c r="H2038" s="1">
        <v>1</v>
      </c>
      <c r="I2038" s="1">
        <v>1</v>
      </c>
      <c r="J2038" s="1">
        <v>1</v>
      </c>
      <c r="M2038" s="1">
        <v>723</v>
      </c>
      <c r="N2038" s="1">
        <v>637</v>
      </c>
      <c r="O2038" s="1">
        <v>1221</v>
      </c>
      <c r="P2038" s="1">
        <v>584</v>
      </c>
      <c r="Q2038" s="1" t="s">
        <v>42</v>
      </c>
      <c r="S2038" s="1" t="s">
        <v>42</v>
      </c>
      <c r="T2038" s="1" t="s">
        <v>273</v>
      </c>
      <c r="U2038" s="1">
        <v>91</v>
      </c>
      <c r="V2038" s="5">
        <v>43680</v>
      </c>
      <c r="W2038" s="5">
        <v>42203</v>
      </c>
      <c r="X2038" s="1">
        <v>1950000</v>
      </c>
      <c r="Y2038" s="1">
        <v>1850000</v>
      </c>
      <c r="AA2038" s="1">
        <v>1781413</v>
      </c>
      <c r="AB2038" s="1" t="s">
        <v>1119</v>
      </c>
      <c r="AC2038" s="5">
        <v>42301</v>
      </c>
      <c r="AF2038" s="1">
        <v>10012</v>
      </c>
      <c r="AI2038" s="1" t="s">
        <v>540</v>
      </c>
      <c r="AJ2038" s="1">
        <v>1910</v>
      </c>
      <c r="AL2038" s="1">
        <v>3</v>
      </c>
    </row>
    <row r="2039" spans="1:38" x14ac:dyDescent="0.2">
      <c r="A2039" s="2" t="str">
        <f>HYPERLINK("https://www.compass.com/listing/21-east-12th-street-unit-14c-manhattan-ny-10003/420937992152188113/","21 E 12th St, Unit 14C")</f>
        <v>21 E 12th St, Unit 14C</v>
      </c>
      <c r="B2039" s="2" t="str">
        <f>HYPERLINK("https://www.compass.com/building/21-east-12th-street-manhattan-ny/292779727154847925/","21 East 12th Street")</f>
        <v>21 East 12th Street</v>
      </c>
      <c r="C2039" s="1" t="s">
        <v>277</v>
      </c>
      <c r="D2039" s="1" t="s">
        <v>41</v>
      </c>
      <c r="E2039" s="3">
        <v>4475011</v>
      </c>
      <c r="F2039" s="1">
        <v>2206.6127564102499</v>
      </c>
      <c r="G2039" s="1">
        <v>4.5</v>
      </c>
      <c r="H2039" s="1">
        <v>2</v>
      </c>
      <c r="I2039" s="1">
        <v>3</v>
      </c>
      <c r="J2039" s="1">
        <v>2.5</v>
      </c>
      <c r="K2039" s="1">
        <v>2</v>
      </c>
      <c r="L2039" s="1">
        <v>1</v>
      </c>
      <c r="M2039" s="4">
        <v>2028</v>
      </c>
      <c r="N2039" s="1">
        <v>2648</v>
      </c>
      <c r="O2039" s="1">
        <v>6688</v>
      </c>
      <c r="P2039" s="1">
        <v>4040</v>
      </c>
      <c r="Q2039" s="1" t="s">
        <v>42</v>
      </c>
      <c r="S2039" s="1" t="s">
        <v>42</v>
      </c>
      <c r="T2039" s="1" t="s">
        <v>273</v>
      </c>
      <c r="V2039" s="5">
        <v>44427</v>
      </c>
      <c r="W2039" s="5">
        <v>43832</v>
      </c>
      <c r="X2039" s="1">
        <v>4775000</v>
      </c>
      <c r="Y2039" s="1">
        <v>4775000</v>
      </c>
      <c r="Z2039" s="5">
        <v>43832</v>
      </c>
      <c r="AA2039" s="1">
        <v>4475010.67</v>
      </c>
      <c r="AB2039" s="1" t="s">
        <v>1120</v>
      </c>
      <c r="AC2039" s="5">
        <v>43949</v>
      </c>
      <c r="AF2039" s="1">
        <v>10003</v>
      </c>
      <c r="AI2039" s="1" t="s">
        <v>80</v>
      </c>
      <c r="AJ2039" s="1">
        <v>2018</v>
      </c>
      <c r="AK2039" s="1" t="s">
        <v>125</v>
      </c>
      <c r="AL2039" s="1">
        <v>52</v>
      </c>
    </row>
    <row r="2040" spans="1:38" x14ac:dyDescent="0.2">
      <c r="A2040" s="2" t="str">
        <f>HYPERLINK("https://www.compass.com/listing/63-greene-street-unit-5b-manhattan-ny-10012/13087406232283985/","63 Greene St, Unit 5B")</f>
        <v>63 Greene St, Unit 5B</v>
      </c>
      <c r="B2040" s="2" t="str">
        <f>HYPERLINK("https://www.compass.com/building/63-greene-street-manhattan-ny/292812252044627637/","63 Greene Street")</f>
        <v>63 Greene Street</v>
      </c>
      <c r="C2040" s="1" t="s">
        <v>298</v>
      </c>
      <c r="D2040" s="1" t="s">
        <v>41</v>
      </c>
      <c r="E2040" s="3">
        <v>4350000</v>
      </c>
      <c r="F2040" s="1">
        <v>2102.46495891735</v>
      </c>
      <c r="G2040" s="1">
        <v>4</v>
      </c>
      <c r="H2040" s="1">
        <v>2</v>
      </c>
      <c r="I2040" s="1">
        <v>3</v>
      </c>
      <c r="J2040" s="1">
        <v>0.5</v>
      </c>
      <c r="L2040" s="1">
        <v>1</v>
      </c>
      <c r="M2040" s="4">
        <v>2069</v>
      </c>
      <c r="N2040" s="1">
        <v>2073</v>
      </c>
      <c r="O2040" s="1">
        <v>4500</v>
      </c>
      <c r="P2040" s="1">
        <v>2427</v>
      </c>
      <c r="Q2040" s="1" t="s">
        <v>42</v>
      </c>
      <c r="S2040" s="1" t="s">
        <v>42</v>
      </c>
      <c r="T2040" s="1" t="s">
        <v>273</v>
      </c>
      <c r="U2040" s="1">
        <v>410</v>
      </c>
      <c r="V2040" s="5">
        <v>43650</v>
      </c>
      <c r="W2040" s="5">
        <v>42440</v>
      </c>
      <c r="X2040" s="1">
        <v>5450000</v>
      </c>
      <c r="Y2040" s="1">
        <v>4950000</v>
      </c>
      <c r="Z2040" s="5">
        <v>42850</v>
      </c>
      <c r="AA2040" s="1">
        <v>4350000</v>
      </c>
      <c r="AB2040" s="1" t="s">
        <v>1121</v>
      </c>
      <c r="AC2040" s="5">
        <v>42895</v>
      </c>
      <c r="AF2040" s="1">
        <v>10012</v>
      </c>
      <c r="AI2040" s="1" t="s">
        <v>140</v>
      </c>
      <c r="AJ2040" s="1">
        <v>1877</v>
      </c>
      <c r="AK2040" s="1" t="s">
        <v>146</v>
      </c>
      <c r="AL2040" s="1">
        <v>23</v>
      </c>
    </row>
    <row r="2041" spans="1:38" x14ac:dyDescent="0.2">
      <c r="A2041" s="2" t="str">
        <f>HYPERLINK("https://www.compass.com/listing/21-east-12th-street-unit-10c-manhattan-ny-10003/26452769946822497/","21 E 12th St, Unit 10C")</f>
        <v>21 E 12th St, Unit 10C</v>
      </c>
      <c r="B2041" s="2" t="str">
        <f>HYPERLINK("https://www.compass.com/building/21-east-12th-street-manhattan-ny/292779727154847925/","21 East 12th Street")</f>
        <v>21 East 12th Street</v>
      </c>
      <c r="C2041" s="1" t="s">
        <v>277</v>
      </c>
      <c r="D2041" s="1" t="s">
        <v>41</v>
      </c>
      <c r="E2041" s="3">
        <v>4050011</v>
      </c>
      <c r="F2041" s="1">
        <v>1997.04668145956</v>
      </c>
      <c r="G2041" s="1">
        <v>4.5</v>
      </c>
      <c r="H2041" s="1">
        <v>2</v>
      </c>
      <c r="I2041" s="1">
        <v>3</v>
      </c>
      <c r="J2041" s="1">
        <v>2.5</v>
      </c>
      <c r="K2041" s="1">
        <v>2</v>
      </c>
      <c r="L2041" s="1">
        <v>1</v>
      </c>
      <c r="M2041" s="4">
        <v>2028</v>
      </c>
      <c r="N2041" s="1">
        <v>2644</v>
      </c>
      <c r="O2041" s="1">
        <v>6684</v>
      </c>
      <c r="P2041" s="1">
        <v>4040</v>
      </c>
      <c r="Q2041" s="1" t="s">
        <v>42</v>
      </c>
      <c r="S2041" s="1" t="s">
        <v>42</v>
      </c>
      <c r="T2041" s="1" t="s">
        <v>273</v>
      </c>
      <c r="U2041" s="1">
        <v>137</v>
      </c>
      <c r="V2041" s="5">
        <v>43868</v>
      </c>
      <c r="W2041" s="5">
        <v>43553</v>
      </c>
      <c r="Y2041" s="1">
        <v>4175000</v>
      </c>
      <c r="AA2041" s="1">
        <v>4050010.67</v>
      </c>
      <c r="AB2041" s="1" t="s">
        <v>1122</v>
      </c>
      <c r="AC2041" s="5">
        <v>43866</v>
      </c>
      <c r="AF2041" s="1">
        <v>10003</v>
      </c>
      <c r="AI2041" s="1" t="s">
        <v>80</v>
      </c>
      <c r="AJ2041" s="1">
        <v>2018</v>
      </c>
      <c r="AK2041" s="1" t="s">
        <v>125</v>
      </c>
      <c r="AL2041" s="1">
        <v>52</v>
      </c>
    </row>
    <row r="2042" spans="1:38" x14ac:dyDescent="0.2">
      <c r="A2042" s="2" t="str">
        <f>HYPERLINK("https://www.compass.com/listing/63-greene-street-unit-ph-c-manhattan-ny-10012/736308055590018321/","63 Greene St, Unit PH C")</f>
        <v>63 Greene St, Unit PH C</v>
      </c>
      <c r="B2042" s="2" t="str">
        <f>HYPERLINK("https://www.compass.com/building/63-greene-street-manhattan-ny/292812252044627637/","63 Greene Street")</f>
        <v>63 Greene Street</v>
      </c>
      <c r="C2042" s="1" t="s">
        <v>298</v>
      </c>
      <c r="D2042" s="1" t="s">
        <v>41</v>
      </c>
      <c r="E2042" s="3">
        <v>6350000</v>
      </c>
      <c r="F2042" s="1">
        <v>2471.7789022966099</v>
      </c>
      <c r="G2042" s="1">
        <v>5</v>
      </c>
      <c r="H2042" s="1">
        <v>2</v>
      </c>
      <c r="I2042" s="1">
        <v>2</v>
      </c>
      <c r="J2042" s="1">
        <v>2</v>
      </c>
      <c r="K2042" s="1">
        <v>2</v>
      </c>
      <c r="M2042" s="4">
        <v>2569</v>
      </c>
      <c r="N2042" s="1">
        <v>2381</v>
      </c>
      <c r="O2042" s="1">
        <v>7283</v>
      </c>
      <c r="P2042" s="1">
        <v>4902</v>
      </c>
      <c r="Q2042" s="1" t="s">
        <v>42</v>
      </c>
      <c r="S2042" s="1" t="s">
        <v>42</v>
      </c>
      <c r="T2042" s="1" t="s">
        <v>273</v>
      </c>
      <c r="U2042" s="1">
        <v>33</v>
      </c>
      <c r="V2042" s="5">
        <v>44394</v>
      </c>
      <c r="W2042" s="5">
        <v>44268</v>
      </c>
      <c r="X2042" s="1">
        <v>6499000</v>
      </c>
      <c r="Y2042" s="1">
        <v>6499000</v>
      </c>
      <c r="Z2042" s="5">
        <v>44301</v>
      </c>
      <c r="AA2042" s="1">
        <v>6350000</v>
      </c>
      <c r="AB2042" s="1" t="s">
        <v>1123</v>
      </c>
      <c r="AC2042" s="5">
        <v>44368</v>
      </c>
      <c r="AF2042" s="1">
        <v>10012</v>
      </c>
      <c r="AI2042" s="1" t="s">
        <v>1124</v>
      </c>
      <c r="AJ2042" s="1">
        <v>1877</v>
      </c>
      <c r="AK2042" s="1" t="s">
        <v>146</v>
      </c>
      <c r="AL2042" s="1">
        <v>23</v>
      </c>
    </row>
    <row r="2043" spans="1:38" x14ac:dyDescent="0.2">
      <c r="A2043" s="2" t="str">
        <f>HYPERLINK("https://www.compass.com/listing/121-east-22nd-street-unit-n601-manhattan-ny-10010/720792258752534233/","121 E 22nd St, Unit N601")</f>
        <v>121 E 22nd St, Unit N601</v>
      </c>
      <c r="B2043" s="2" t="str">
        <f>HYPERLINK("https://www.compass.com/building/121-e-22nd-manhattan-ny/292795784653461493/","121 E 22nd")</f>
        <v>121 E 22nd</v>
      </c>
      <c r="C2043" s="1" t="s">
        <v>64</v>
      </c>
      <c r="D2043" s="1" t="s">
        <v>41</v>
      </c>
      <c r="E2043" s="3">
        <v>2540000</v>
      </c>
      <c r="F2043" s="1">
        <v>1877.30968218773</v>
      </c>
      <c r="H2043" s="1">
        <v>2</v>
      </c>
      <c r="J2043" s="1">
        <v>2.5</v>
      </c>
      <c r="K2043" s="1">
        <v>2</v>
      </c>
      <c r="L2043" s="1">
        <v>1</v>
      </c>
      <c r="M2043" s="4">
        <v>1353</v>
      </c>
      <c r="N2043" s="1">
        <v>1451</v>
      </c>
      <c r="O2043" s="1">
        <v>4027</v>
      </c>
      <c r="P2043" s="1">
        <v>2576</v>
      </c>
      <c r="Q2043" s="1" t="s">
        <v>42</v>
      </c>
      <c r="S2043" s="1" t="s">
        <v>42</v>
      </c>
      <c r="T2043" s="1" t="s">
        <v>273</v>
      </c>
      <c r="AA2043" s="1">
        <v>2540000</v>
      </c>
      <c r="AB2043" s="1" t="s">
        <v>1125</v>
      </c>
      <c r="AC2043" s="5">
        <v>44231</v>
      </c>
      <c r="AF2043" s="1">
        <v>10010</v>
      </c>
      <c r="AI2043" s="1" t="s">
        <v>66</v>
      </c>
      <c r="AJ2043" s="1">
        <v>2016</v>
      </c>
      <c r="AK2043" s="1" t="s">
        <v>55</v>
      </c>
      <c r="AL2043" s="1">
        <v>140</v>
      </c>
    </row>
    <row r="2044" spans="1:38" x14ac:dyDescent="0.2">
      <c r="A2044" s="2" t="str">
        <f>HYPERLINK("https://www.compass.com/listing/63-greene-street-unit-2a-manhattan-ny-10012/13087393682861137/","63 Greene St, Unit 2A")</f>
        <v>63 Greene St, Unit 2A</v>
      </c>
      <c r="B2044" s="2" t="str">
        <f t="shared" ref="B2044:B2045" si="324">HYPERLINK("https://www.compass.com/building/63-greene-street-manhattan-ny/292812252044627637/","63 Greene Street")</f>
        <v>63 Greene Street</v>
      </c>
      <c r="C2044" s="1" t="s">
        <v>298</v>
      </c>
      <c r="D2044" s="1" t="s">
        <v>41</v>
      </c>
      <c r="E2044" s="3">
        <v>2250000</v>
      </c>
      <c r="F2044" s="1">
        <v>2401.2806830309501</v>
      </c>
      <c r="G2044" s="1">
        <v>3</v>
      </c>
      <c r="H2044" s="1">
        <v>1</v>
      </c>
      <c r="I2044" s="1">
        <v>1</v>
      </c>
      <c r="M2044" s="1">
        <v>937</v>
      </c>
      <c r="N2044" s="1">
        <v>917</v>
      </c>
      <c r="O2044" s="1">
        <v>1991</v>
      </c>
      <c r="P2044" s="1">
        <v>1074</v>
      </c>
      <c r="Q2044" s="1" t="s">
        <v>42</v>
      </c>
      <c r="S2044" s="1" t="s">
        <v>42</v>
      </c>
      <c r="T2044" s="1" t="s">
        <v>273</v>
      </c>
      <c r="U2044" s="1">
        <v>380</v>
      </c>
      <c r="V2044" s="5">
        <v>43693</v>
      </c>
      <c r="W2044" s="5">
        <v>42440</v>
      </c>
      <c r="X2044" s="1">
        <v>2375000</v>
      </c>
      <c r="Y2044" s="1">
        <v>2375000</v>
      </c>
      <c r="Z2044" s="5">
        <v>42820</v>
      </c>
      <c r="AA2044" s="1">
        <v>2250000</v>
      </c>
      <c r="AB2044" s="1" t="s">
        <v>1126</v>
      </c>
      <c r="AC2044" s="5">
        <v>42852</v>
      </c>
      <c r="AF2044" s="1">
        <v>10012</v>
      </c>
      <c r="AI2044" s="1" t="s">
        <v>140</v>
      </c>
      <c r="AJ2044" s="1">
        <v>1877</v>
      </c>
      <c r="AK2044" s="1" t="s">
        <v>146</v>
      </c>
      <c r="AL2044" s="1">
        <v>23</v>
      </c>
    </row>
    <row r="2045" spans="1:38" x14ac:dyDescent="0.2">
      <c r="A2045" s="2" t="str">
        <f>HYPERLINK("https://www.compass.com/listing/63-greene-street-unit-2a-manhattan-ny-10012/13087393682861153/","63 Greene St, Unit 2A")</f>
        <v>63 Greene St, Unit 2A</v>
      </c>
      <c r="B2045" s="2" t="str">
        <f t="shared" si="324"/>
        <v>63 Greene Street</v>
      </c>
      <c r="C2045" s="1" t="s">
        <v>298</v>
      </c>
      <c r="D2045" s="1" t="s">
        <v>41</v>
      </c>
      <c r="E2045" s="3">
        <v>2250000</v>
      </c>
      <c r="F2045" s="1">
        <v>2401.2806830309501</v>
      </c>
      <c r="G2045" s="1">
        <v>3</v>
      </c>
      <c r="H2045" s="1">
        <v>1</v>
      </c>
      <c r="I2045" s="1">
        <v>1</v>
      </c>
      <c r="J2045" s="1">
        <v>1</v>
      </c>
      <c r="M2045" s="1">
        <v>937</v>
      </c>
      <c r="N2045" s="1">
        <v>917</v>
      </c>
      <c r="O2045" s="1">
        <v>1991</v>
      </c>
      <c r="P2045" s="1">
        <v>1074</v>
      </c>
      <c r="Q2045" s="1" t="s">
        <v>42</v>
      </c>
      <c r="S2045" s="1" t="s">
        <v>42</v>
      </c>
      <c r="T2045" s="1" t="s">
        <v>273</v>
      </c>
      <c r="U2045" s="1">
        <v>380</v>
      </c>
      <c r="V2045" s="5">
        <v>43666</v>
      </c>
      <c r="W2045" s="5">
        <v>42440</v>
      </c>
      <c r="X2045" s="1">
        <v>2375000</v>
      </c>
      <c r="Y2045" s="1">
        <v>2375000</v>
      </c>
      <c r="Z2045" s="5">
        <v>42820</v>
      </c>
      <c r="AA2045" s="1">
        <v>2250000</v>
      </c>
      <c r="AB2045" s="1" t="s">
        <v>1126</v>
      </c>
      <c r="AC2045" s="5">
        <v>42852</v>
      </c>
      <c r="AF2045" s="1">
        <v>10012</v>
      </c>
      <c r="AI2045" s="1" t="s">
        <v>140</v>
      </c>
      <c r="AJ2045" s="1">
        <v>1877</v>
      </c>
      <c r="AK2045" s="1" t="s">
        <v>239</v>
      </c>
      <c r="AL2045" s="1">
        <v>23</v>
      </c>
    </row>
    <row r="2046" spans="1:38" x14ac:dyDescent="0.2">
      <c r="A2046" s="2" t="str">
        <f>HYPERLINK("https://www.compass.com/listing/90-morton-street-unit-2b-manhattan-ny-10014/248539167464657665/","90 Morton St, Unit 2B")</f>
        <v>90 Morton St, Unit 2B</v>
      </c>
      <c r="B2046" s="2" t="str">
        <f t="shared" ref="B2046:B2050" si="325">HYPERLINK("https://www.compass.com/building/90-morton-street-manhattan-ny/292834843018978005/","90 Morton Street")</f>
        <v>90 Morton Street</v>
      </c>
      <c r="C2046" s="1" t="s">
        <v>67</v>
      </c>
      <c r="D2046" s="1" t="s">
        <v>41</v>
      </c>
      <c r="E2046" s="3">
        <v>7577813</v>
      </c>
      <c r="F2046" s="1">
        <v>2600.48472889498</v>
      </c>
      <c r="G2046" s="1">
        <v>6</v>
      </c>
      <c r="H2046" s="1">
        <v>4</v>
      </c>
      <c r="I2046" s="1">
        <v>4</v>
      </c>
      <c r="J2046" s="1">
        <v>4.5</v>
      </c>
      <c r="K2046" s="1">
        <v>4</v>
      </c>
      <c r="L2046" s="1">
        <v>1</v>
      </c>
      <c r="M2046" s="4">
        <v>2914</v>
      </c>
      <c r="N2046" s="1">
        <v>3809</v>
      </c>
      <c r="O2046" s="1">
        <v>6868</v>
      </c>
      <c r="P2046" s="1">
        <v>3059</v>
      </c>
      <c r="Q2046" s="1" t="s">
        <v>42</v>
      </c>
      <c r="S2046" s="1" t="s">
        <v>42</v>
      </c>
      <c r="T2046" s="1" t="s">
        <v>273</v>
      </c>
      <c r="U2046" s="1">
        <v>59</v>
      </c>
      <c r="V2046" s="5">
        <v>44338</v>
      </c>
      <c r="W2046" s="5">
        <v>44238</v>
      </c>
      <c r="Y2046" s="1">
        <v>8520000</v>
      </c>
      <c r="Z2046" s="5">
        <v>44297</v>
      </c>
      <c r="AA2046" s="1">
        <v>7577812.5</v>
      </c>
      <c r="AB2046" s="1" t="s">
        <v>1127</v>
      </c>
      <c r="AC2046" s="5">
        <v>44336</v>
      </c>
      <c r="AF2046" s="1">
        <v>10014</v>
      </c>
      <c r="AI2046" s="1" t="s">
        <v>111</v>
      </c>
      <c r="AJ2046" s="1">
        <v>2018</v>
      </c>
      <c r="AK2046" s="1" t="s">
        <v>49</v>
      </c>
      <c r="AL2046" s="1">
        <v>35</v>
      </c>
    </row>
    <row r="2047" spans="1:38" x14ac:dyDescent="0.2">
      <c r="A2047" s="2" t="str">
        <f>HYPERLINK("https://www.compass.com/listing/90-morton-street-unit-3a-manhattan-ny-10014/162515127470459329/","90 Morton St, Unit 3A")</f>
        <v>90 Morton St, Unit 3A</v>
      </c>
      <c r="B2047" s="2" t="str">
        <f t="shared" si="325"/>
        <v>90 Morton Street</v>
      </c>
      <c r="C2047" s="1" t="s">
        <v>67</v>
      </c>
      <c r="D2047" s="1" t="s">
        <v>41</v>
      </c>
      <c r="E2047" s="3">
        <v>8800000</v>
      </c>
      <c r="F2047" s="1">
        <v>2708.5257002154499</v>
      </c>
      <c r="G2047" s="1">
        <v>6</v>
      </c>
      <c r="H2047" s="1">
        <v>4</v>
      </c>
      <c r="I2047" s="1">
        <v>5</v>
      </c>
      <c r="J2047" s="1">
        <v>4.5</v>
      </c>
      <c r="K2047" s="1">
        <v>4</v>
      </c>
      <c r="L2047" s="1">
        <v>1</v>
      </c>
      <c r="M2047" s="4">
        <v>3249</v>
      </c>
      <c r="N2047" s="1">
        <v>4267</v>
      </c>
      <c r="O2047" s="1">
        <v>7695</v>
      </c>
      <c r="P2047" s="1">
        <v>3428</v>
      </c>
      <c r="Q2047" s="1" t="s">
        <v>42</v>
      </c>
      <c r="S2047" s="1" t="s">
        <v>42</v>
      </c>
      <c r="T2047" s="1" t="s">
        <v>273</v>
      </c>
      <c r="U2047" s="1">
        <v>57</v>
      </c>
      <c r="V2047" s="5">
        <v>43697</v>
      </c>
      <c r="W2047" s="5">
        <v>43476</v>
      </c>
      <c r="X2047" s="1">
        <v>9600000</v>
      </c>
      <c r="Y2047" s="1">
        <v>9600000</v>
      </c>
      <c r="Z2047" s="5">
        <v>43620</v>
      </c>
      <c r="AA2047" s="1">
        <v>8800000</v>
      </c>
      <c r="AB2047" s="1" t="s">
        <v>1128</v>
      </c>
      <c r="AC2047" s="5">
        <v>43644</v>
      </c>
      <c r="AF2047" s="1">
        <v>10014</v>
      </c>
      <c r="AI2047" s="1" t="s">
        <v>201</v>
      </c>
      <c r="AJ2047" s="1">
        <v>2018</v>
      </c>
      <c r="AK2047" s="1" t="s">
        <v>49</v>
      </c>
      <c r="AL2047" s="1">
        <v>35</v>
      </c>
    </row>
    <row r="2048" spans="1:38" x14ac:dyDescent="0.2">
      <c r="A2048" s="2" t="str">
        <f>HYPERLINK("https://www.compass.com/listing/90-morton-street-unit-7b-manhattan-ny-10014/162515127755678833/","90 Morton St, Unit 7B")</f>
        <v>90 Morton St, Unit 7B</v>
      </c>
      <c r="B2048" s="2" t="str">
        <f t="shared" si="325"/>
        <v>90 Morton Street</v>
      </c>
      <c r="C2048" s="1" t="s">
        <v>67</v>
      </c>
      <c r="D2048" s="1" t="s">
        <v>41</v>
      </c>
      <c r="E2048" s="3">
        <v>8200000</v>
      </c>
      <c r="F2048" s="1">
        <v>2814.00137268359</v>
      </c>
      <c r="G2048" s="1">
        <v>6</v>
      </c>
      <c r="H2048" s="1">
        <v>4</v>
      </c>
      <c r="I2048" s="1">
        <v>4</v>
      </c>
      <c r="J2048" s="1">
        <v>4.5</v>
      </c>
      <c r="K2048" s="1">
        <v>4</v>
      </c>
      <c r="L2048" s="1">
        <v>1</v>
      </c>
      <c r="M2048" s="4">
        <v>2914</v>
      </c>
      <c r="N2048" s="1">
        <v>3906.85</v>
      </c>
      <c r="O2048" s="1">
        <v>7044.53</v>
      </c>
      <c r="P2048" s="1">
        <v>3137.6666666666601</v>
      </c>
      <c r="Q2048" s="1" t="s">
        <v>42</v>
      </c>
      <c r="S2048" s="1" t="s">
        <v>42</v>
      </c>
      <c r="T2048" s="1" t="s">
        <v>273</v>
      </c>
      <c r="U2048" s="1">
        <v>175</v>
      </c>
      <c r="V2048" s="5">
        <v>43894</v>
      </c>
      <c r="W2048" s="5">
        <v>43685</v>
      </c>
      <c r="Y2048" s="1">
        <v>9000000</v>
      </c>
      <c r="Z2048" s="5">
        <v>43861</v>
      </c>
      <c r="AA2048" s="1">
        <v>8200000</v>
      </c>
      <c r="AB2048" s="1" t="s">
        <v>1129</v>
      </c>
      <c r="AC2048" s="5">
        <v>43867</v>
      </c>
      <c r="AF2048" s="1">
        <v>10014</v>
      </c>
      <c r="AI2048" s="1" t="s">
        <v>201</v>
      </c>
      <c r="AJ2048" s="1">
        <v>2018</v>
      </c>
      <c r="AK2048" s="1" t="s">
        <v>49</v>
      </c>
      <c r="AL2048" s="1">
        <v>35</v>
      </c>
    </row>
    <row r="2049" spans="1:38" x14ac:dyDescent="0.2">
      <c r="A2049" s="2" t="str">
        <f>HYPERLINK("https://www.compass.com/listing/90-morton-street-unit-4a-manhattan-ny-10014/203579585856663889/","90 Morton St, Unit 4A")</f>
        <v>90 Morton St, Unit 4A</v>
      </c>
      <c r="B2049" s="2" t="str">
        <f t="shared" si="325"/>
        <v>90 Morton Street</v>
      </c>
      <c r="C2049" s="1" t="s">
        <v>67</v>
      </c>
      <c r="D2049" s="1" t="s">
        <v>41</v>
      </c>
      <c r="E2049" s="3">
        <v>8850000</v>
      </c>
      <c r="F2049" s="1">
        <v>2723.9150507848499</v>
      </c>
      <c r="G2049" s="1">
        <v>6</v>
      </c>
      <c r="H2049" s="1">
        <v>4</v>
      </c>
      <c r="I2049" s="1">
        <v>5</v>
      </c>
      <c r="J2049" s="1">
        <v>4.5</v>
      </c>
      <c r="K2049" s="1">
        <v>4</v>
      </c>
      <c r="L2049" s="1">
        <v>1</v>
      </c>
      <c r="M2049" s="4">
        <v>3249</v>
      </c>
      <c r="N2049" s="1">
        <v>4298.17</v>
      </c>
      <c r="O2049" s="1">
        <v>7750.13</v>
      </c>
      <c r="P2049" s="1">
        <v>3452</v>
      </c>
      <c r="Q2049" s="1" t="s">
        <v>42</v>
      </c>
      <c r="S2049" s="1" t="s">
        <v>42</v>
      </c>
      <c r="T2049" s="1" t="s">
        <v>273</v>
      </c>
      <c r="U2049" s="1">
        <v>52</v>
      </c>
      <c r="V2049" s="5">
        <v>43781</v>
      </c>
      <c r="W2049" s="5">
        <v>43533</v>
      </c>
      <c r="X2049" s="1">
        <v>9750000</v>
      </c>
      <c r="Y2049" s="1">
        <v>9750000</v>
      </c>
      <c r="Z2049" s="5">
        <v>43635</v>
      </c>
      <c r="AA2049" s="1">
        <v>8850000</v>
      </c>
      <c r="AB2049" s="1" t="s">
        <v>1130</v>
      </c>
      <c r="AC2049" s="5">
        <v>43768</v>
      </c>
      <c r="AF2049" s="1">
        <v>10014</v>
      </c>
      <c r="AI2049" s="1" t="s">
        <v>111</v>
      </c>
      <c r="AJ2049" s="1">
        <v>2018</v>
      </c>
      <c r="AK2049" s="1" t="s">
        <v>49</v>
      </c>
      <c r="AL2049" s="1">
        <v>35</v>
      </c>
    </row>
    <row r="2050" spans="1:38" x14ac:dyDescent="0.2">
      <c r="A2050" s="2" t="str">
        <f>HYPERLINK("https://www.compass.com/listing/90-morton-street-unit-3b-manhattan-ny-10014/297323939952940465/","90 Morton St, Unit 3B")</f>
        <v>90 Morton St, Unit 3B</v>
      </c>
      <c r="B2050" s="2" t="str">
        <f t="shared" si="325"/>
        <v>90 Morton Street</v>
      </c>
      <c r="C2050" s="1" t="s">
        <v>67</v>
      </c>
      <c r="D2050" s="1" t="s">
        <v>41</v>
      </c>
      <c r="E2050" s="3">
        <v>7800000</v>
      </c>
      <c r="F2050" s="1">
        <v>2676.7330130404898</v>
      </c>
      <c r="G2050" s="1">
        <v>6</v>
      </c>
      <c r="H2050" s="1">
        <v>4</v>
      </c>
      <c r="I2050" s="1">
        <v>4</v>
      </c>
      <c r="J2050" s="1">
        <v>4.5</v>
      </c>
      <c r="K2050" s="1">
        <v>4</v>
      </c>
      <c r="L2050" s="1">
        <v>1</v>
      </c>
      <c r="M2050" s="4">
        <v>2914</v>
      </c>
      <c r="N2050" s="1">
        <v>3829.66</v>
      </c>
      <c r="O2050" s="1">
        <v>6905.35</v>
      </c>
      <c r="P2050" s="1">
        <v>3075.6666666666601</v>
      </c>
      <c r="Q2050" s="1" t="s">
        <v>42</v>
      </c>
      <c r="S2050" s="1" t="s">
        <v>42</v>
      </c>
      <c r="T2050" s="1" t="s">
        <v>273</v>
      </c>
      <c r="V2050" s="5">
        <v>43794</v>
      </c>
      <c r="W2050" s="5">
        <v>43661</v>
      </c>
      <c r="X2050" s="1">
        <v>8620000</v>
      </c>
      <c r="Y2050" s="1">
        <v>8620000</v>
      </c>
      <c r="Z2050" s="5">
        <v>43661</v>
      </c>
      <c r="AA2050" s="1">
        <v>7800000</v>
      </c>
      <c r="AB2050" s="1" t="s">
        <v>1131</v>
      </c>
      <c r="AC2050" s="5">
        <v>43791</v>
      </c>
      <c r="AF2050" s="1">
        <v>10014</v>
      </c>
      <c r="AI2050" s="1" t="s">
        <v>201</v>
      </c>
      <c r="AJ2050" s="1">
        <v>2018</v>
      </c>
      <c r="AK2050" s="1" t="s">
        <v>49</v>
      </c>
      <c r="AL2050" s="1">
        <v>35</v>
      </c>
    </row>
    <row r="2051" spans="1:38" x14ac:dyDescent="0.2">
      <c r="A2051" s="2" t="str">
        <f>HYPERLINK("https://www.compass.com/listing/25-prince-street-unit-2a-manhattan-ny-10012/50857457727118817/","25 Prince St, Unit 2A")</f>
        <v>25 Prince St, Unit 2A</v>
      </c>
      <c r="B2051" s="2" t="str">
        <f>HYPERLINK("https://www.compass.com/building/25-prince-st-manhattan-ny-10012/281914530534027029/","25 Prince St")</f>
        <v>25 Prince St</v>
      </c>
      <c r="C2051" s="1" t="s">
        <v>79</v>
      </c>
      <c r="D2051" s="1" t="s">
        <v>41</v>
      </c>
      <c r="E2051" s="3">
        <v>1883763</v>
      </c>
      <c r="F2051" s="1">
        <v>2576.96648426812</v>
      </c>
      <c r="G2051" s="1">
        <v>3</v>
      </c>
      <c r="H2051" s="1">
        <v>1</v>
      </c>
      <c r="I2051" s="1">
        <v>1</v>
      </c>
      <c r="J2051" s="1">
        <v>1</v>
      </c>
      <c r="M2051" s="1">
        <v>731</v>
      </c>
      <c r="N2051" s="1">
        <v>643</v>
      </c>
      <c r="O2051" s="1">
        <v>1233</v>
      </c>
      <c r="P2051" s="1">
        <v>590</v>
      </c>
      <c r="Q2051" s="1" t="s">
        <v>42</v>
      </c>
      <c r="S2051" s="1" t="s">
        <v>42</v>
      </c>
      <c r="T2051" s="1" t="s">
        <v>273</v>
      </c>
      <c r="U2051" s="1">
        <v>17</v>
      </c>
      <c r="V2051" s="5">
        <v>42374</v>
      </c>
      <c r="W2051" s="5">
        <v>42191</v>
      </c>
      <c r="X2051" s="1">
        <v>1980000</v>
      </c>
      <c r="Y2051" s="1">
        <v>1980000</v>
      </c>
      <c r="Z2051" s="5">
        <v>42209</v>
      </c>
      <c r="AA2051" s="1">
        <v>1883762.5</v>
      </c>
      <c r="AB2051" s="1" t="s">
        <v>1132</v>
      </c>
      <c r="AC2051" s="5">
        <v>42279</v>
      </c>
      <c r="AF2051" s="1">
        <v>10012</v>
      </c>
      <c r="AI2051" s="1" t="s">
        <v>973</v>
      </c>
      <c r="AJ2051" s="1">
        <v>1910</v>
      </c>
      <c r="AL2051" s="1">
        <v>3</v>
      </c>
    </row>
    <row r="2052" spans="1:38" x14ac:dyDescent="0.2">
      <c r="A2052" s="2" t="str">
        <f>HYPERLINK("https://www.compass.com/listing/63-greene-street-unit-phc-manhattan-ny-10012/126721393667693329/","63 Greene St, Unit PHC")</f>
        <v>63 Greene St, Unit PHC</v>
      </c>
      <c r="B2052" s="2" t="str">
        <f>HYPERLINK("https://www.compass.com/building/63-greene-street-manhattan-ny/292812252044627637/","63 Greene Street")</f>
        <v>63 Greene Street</v>
      </c>
      <c r="C2052" s="1" t="s">
        <v>298</v>
      </c>
      <c r="D2052" s="1" t="s">
        <v>41</v>
      </c>
      <c r="E2052" s="3">
        <v>6100000</v>
      </c>
      <c r="F2052" s="1">
        <v>2798.1651376146701</v>
      </c>
      <c r="G2052" s="1">
        <v>5</v>
      </c>
      <c r="H2052" s="1">
        <v>2</v>
      </c>
      <c r="I2052" s="1">
        <v>2</v>
      </c>
      <c r="J2052" s="1">
        <v>2</v>
      </c>
      <c r="K2052" s="1">
        <v>2</v>
      </c>
      <c r="M2052" s="4">
        <v>2180</v>
      </c>
      <c r="N2052" s="1">
        <v>1755</v>
      </c>
      <c r="O2052" s="1">
        <v>6674</v>
      </c>
      <c r="P2052" s="1">
        <v>4919</v>
      </c>
      <c r="Q2052" s="1" t="s">
        <v>42</v>
      </c>
      <c r="S2052" s="1" t="s">
        <v>42</v>
      </c>
      <c r="T2052" s="1" t="s">
        <v>273</v>
      </c>
      <c r="U2052" s="1">
        <v>315</v>
      </c>
      <c r="V2052" s="5">
        <v>43802</v>
      </c>
      <c r="W2052" s="5">
        <v>43427</v>
      </c>
      <c r="X2052" s="1">
        <v>6995000</v>
      </c>
      <c r="Y2052" s="1">
        <v>6495000</v>
      </c>
      <c r="Z2052" s="5">
        <v>43742</v>
      </c>
      <c r="AA2052" s="1">
        <v>6100000</v>
      </c>
      <c r="AB2052" s="1" t="s">
        <v>1133</v>
      </c>
      <c r="AC2052" s="5">
        <v>43789</v>
      </c>
      <c r="AF2052" s="1">
        <v>10012</v>
      </c>
      <c r="AI2052" s="1" t="s">
        <v>1134</v>
      </c>
      <c r="AJ2052" s="1">
        <v>1877</v>
      </c>
      <c r="AK2052" s="1" t="s">
        <v>146</v>
      </c>
      <c r="AL2052" s="1">
        <v>23</v>
      </c>
    </row>
    <row r="2053" spans="1:38" x14ac:dyDescent="0.2">
      <c r="A2053" s="2" t="str">
        <f>HYPERLINK("https://www.compass.com/listing/121-east-22nd-street-unit-n302-manhattan-ny-10010/761297227246117457/","121 E 22nd St, Unit N302")</f>
        <v>121 E 22nd St, Unit N302</v>
      </c>
      <c r="B2053" s="2" t="str">
        <f>HYPERLINK("https://www.compass.com/building/121-e-22nd-manhattan-ny/292795784653461493/","121 E 22nd")</f>
        <v>121 E 22nd</v>
      </c>
      <c r="C2053" s="1" t="s">
        <v>64</v>
      </c>
      <c r="D2053" s="1" t="s">
        <v>41</v>
      </c>
      <c r="E2053" s="3">
        <v>2825644</v>
      </c>
      <c r="F2053" s="1">
        <v>1687.9590800477799</v>
      </c>
      <c r="H2053" s="1">
        <v>2</v>
      </c>
      <c r="J2053" s="1">
        <v>2.5</v>
      </c>
      <c r="K2053" s="1">
        <v>2</v>
      </c>
      <c r="L2053" s="1">
        <v>1</v>
      </c>
      <c r="M2053" s="4">
        <v>1674</v>
      </c>
      <c r="N2053" s="1">
        <v>1822</v>
      </c>
      <c r="O2053" s="1">
        <v>5480</v>
      </c>
      <c r="P2053" s="1">
        <v>3658</v>
      </c>
      <c r="Q2053" s="1" t="s">
        <v>42</v>
      </c>
      <c r="S2053" s="1" t="s">
        <v>42</v>
      </c>
      <c r="T2053" s="1" t="s">
        <v>273</v>
      </c>
      <c r="AA2053" s="1">
        <v>2825643.5</v>
      </c>
      <c r="AB2053" s="1" t="s">
        <v>1135</v>
      </c>
      <c r="AC2053" s="5">
        <v>44286</v>
      </c>
      <c r="AF2053" s="1">
        <v>10010</v>
      </c>
      <c r="AI2053" s="1" t="s">
        <v>66</v>
      </c>
      <c r="AJ2053" s="1">
        <v>2016</v>
      </c>
      <c r="AK2053" s="1" t="s">
        <v>55</v>
      </c>
      <c r="AL2053" s="1">
        <v>140</v>
      </c>
    </row>
    <row r="2054" spans="1:38" x14ac:dyDescent="0.2">
      <c r="A2054" s="2" t="str">
        <f>HYPERLINK("https://www.compass.com/listing/21-east-12th-street-unit-15c-manhattan-ny-10003/218015138995858753/","21 E 12th St, Unit 15C")</f>
        <v>21 E 12th St, Unit 15C</v>
      </c>
      <c r="B2054" s="2" t="str">
        <f>HYPERLINK("https://www.compass.com/building/21-east-12th-street-manhattan-ny/292779727154847925/","21 East 12th Street")</f>
        <v>21 East 12th Street</v>
      </c>
      <c r="C2054" s="1" t="s">
        <v>277</v>
      </c>
      <c r="D2054" s="1" t="s">
        <v>41</v>
      </c>
      <c r="E2054" s="3">
        <v>4550011</v>
      </c>
      <c r="F2054" s="1">
        <v>2243.5950049309599</v>
      </c>
      <c r="G2054" s="1">
        <v>4.5</v>
      </c>
      <c r="H2054" s="1">
        <v>2</v>
      </c>
      <c r="I2054" s="1">
        <v>3</v>
      </c>
      <c r="J2054" s="1">
        <v>2.5</v>
      </c>
      <c r="K2054" s="1">
        <v>2</v>
      </c>
      <c r="L2054" s="1">
        <v>1</v>
      </c>
      <c r="M2054" s="4">
        <v>2028</v>
      </c>
      <c r="N2054" s="1">
        <v>2644</v>
      </c>
      <c r="O2054" s="1">
        <v>6684</v>
      </c>
      <c r="P2054" s="1">
        <v>4040</v>
      </c>
      <c r="Q2054" s="1" t="s">
        <v>42</v>
      </c>
      <c r="S2054" s="1" t="s">
        <v>42</v>
      </c>
      <c r="T2054" s="1" t="s">
        <v>273</v>
      </c>
      <c r="U2054" s="1">
        <v>334</v>
      </c>
      <c r="V2054" s="5">
        <v>44004</v>
      </c>
      <c r="W2054" s="5">
        <v>43552</v>
      </c>
      <c r="X2054" s="1">
        <v>6075000</v>
      </c>
      <c r="Y2054" s="1">
        <v>4975000</v>
      </c>
      <c r="Z2054" s="5">
        <v>43887</v>
      </c>
      <c r="AA2054" s="1">
        <v>4550010.67</v>
      </c>
      <c r="AB2054" s="1" t="s">
        <v>1136</v>
      </c>
      <c r="AC2054" s="5">
        <v>43938</v>
      </c>
      <c r="AF2054" s="1">
        <v>10003</v>
      </c>
      <c r="AI2054" s="1" t="s">
        <v>80</v>
      </c>
      <c r="AJ2054" s="1">
        <v>2018</v>
      </c>
      <c r="AK2054" s="1" t="s">
        <v>125</v>
      </c>
      <c r="AL2054" s="1">
        <v>52</v>
      </c>
    </row>
    <row r="2055" spans="1:38" x14ac:dyDescent="0.2">
      <c r="A2055" s="2" t="str">
        <f>HYPERLINK("https://www.compass.com/listing/270-riverside-drive-unit-12a-manhattan-ny-10025/29510377272363873/","270 Riverside Dr, Unit 12A")</f>
        <v>270 Riverside Dr, Unit 12A</v>
      </c>
      <c r="B2055" s="2" t="str">
        <f>HYPERLINK("https://www.compass.com/building/270-riverside-dr-manhattan-ny-10025/281970283991095285/","270 Riverside Dr")</f>
        <v>270 Riverside Dr</v>
      </c>
      <c r="C2055" s="1" t="s">
        <v>57</v>
      </c>
      <c r="D2055" s="1" t="s">
        <v>41</v>
      </c>
      <c r="E2055" s="3">
        <v>6715359</v>
      </c>
      <c r="F2055" s="1">
        <v>2360.4072934973601</v>
      </c>
      <c r="G2055" s="1">
        <v>8</v>
      </c>
      <c r="H2055" s="1">
        <v>3</v>
      </c>
      <c r="I2055" s="1">
        <v>4</v>
      </c>
      <c r="J2055" s="1">
        <v>4</v>
      </c>
      <c r="K2055" s="1">
        <v>4</v>
      </c>
      <c r="M2055" s="4">
        <v>2845</v>
      </c>
      <c r="N2055" s="1">
        <v>3811</v>
      </c>
      <c r="O2055" s="1">
        <v>5748</v>
      </c>
      <c r="P2055" s="1">
        <v>1937</v>
      </c>
      <c r="Q2055" s="1" t="s">
        <v>42</v>
      </c>
      <c r="S2055" s="1" t="s">
        <v>42</v>
      </c>
      <c r="T2055" s="1" t="s">
        <v>273</v>
      </c>
      <c r="V2055" s="5">
        <v>43724</v>
      </c>
      <c r="W2055" s="5">
        <v>42516</v>
      </c>
      <c r="X2055" s="1">
        <v>6795000</v>
      </c>
      <c r="Y2055" s="1">
        <v>6795000</v>
      </c>
      <c r="Z2055" s="5">
        <v>42517</v>
      </c>
      <c r="AA2055" s="1">
        <v>6715358.75</v>
      </c>
      <c r="AB2055" s="1" t="s">
        <v>1137</v>
      </c>
      <c r="AC2055" s="5">
        <v>43713</v>
      </c>
      <c r="AF2055" s="1">
        <v>10025</v>
      </c>
      <c r="AJ2055" s="1">
        <v>1920</v>
      </c>
      <c r="AK2055" s="1" t="s">
        <v>215</v>
      </c>
      <c r="AL2055" s="1">
        <v>57</v>
      </c>
    </row>
    <row r="2056" spans="1:38" x14ac:dyDescent="0.2">
      <c r="A2056" s="2" t="str">
        <f>HYPERLINK("https://www.compass.com/listing/63-greene-street-unit-3e-manhattan-ny-10012/13087395796853009/","63 Greene St, Unit 3E")</f>
        <v>63 Greene St, Unit 3E</v>
      </c>
      <c r="B2056" s="2" t="str">
        <f t="shared" ref="B2056:B2058" si="326">HYPERLINK("https://www.compass.com/building/63-greene-street-manhattan-ny/292812252044627637/","63 Greene Street")</f>
        <v>63 Greene Street</v>
      </c>
      <c r="C2056" s="1" t="s">
        <v>298</v>
      </c>
      <c r="D2056" s="1" t="s">
        <v>41</v>
      </c>
      <c r="E2056" s="3">
        <v>2800187</v>
      </c>
      <c r="F2056" s="1">
        <v>2095.94835329341</v>
      </c>
      <c r="G2056" s="1">
        <v>4</v>
      </c>
      <c r="H2056" s="1">
        <v>1</v>
      </c>
      <c r="I2056" s="1">
        <v>2</v>
      </c>
      <c r="J2056" s="1">
        <v>2</v>
      </c>
      <c r="M2056" s="4">
        <v>1336</v>
      </c>
      <c r="N2056" s="1">
        <v>1262</v>
      </c>
      <c r="O2056" s="1">
        <v>2739</v>
      </c>
      <c r="P2056" s="1">
        <v>1477</v>
      </c>
      <c r="Q2056" s="1" t="s">
        <v>42</v>
      </c>
      <c r="S2056" s="1" t="s">
        <v>42</v>
      </c>
      <c r="T2056" s="1" t="s">
        <v>273</v>
      </c>
      <c r="V2056" s="5">
        <v>43636</v>
      </c>
      <c r="W2056" s="5">
        <v>42448</v>
      </c>
      <c r="X2056" s="1">
        <v>2750000</v>
      </c>
      <c r="Y2056" s="1">
        <v>2750000</v>
      </c>
      <c r="Z2056" s="5">
        <v>42448</v>
      </c>
      <c r="AA2056" s="1">
        <v>2800187</v>
      </c>
      <c r="AB2056" s="1" t="s">
        <v>275</v>
      </c>
      <c r="AC2056" s="5">
        <v>42711</v>
      </c>
      <c r="AF2056" s="1">
        <v>10012</v>
      </c>
      <c r="AI2056" s="1" t="s">
        <v>140</v>
      </c>
      <c r="AJ2056" s="1">
        <v>1877</v>
      </c>
      <c r="AK2056" s="1" t="s">
        <v>146</v>
      </c>
      <c r="AL2056" s="1">
        <v>23</v>
      </c>
    </row>
    <row r="2057" spans="1:38" x14ac:dyDescent="0.2">
      <c r="A2057" s="2" t="str">
        <f>HYPERLINK("https://www.compass.com/listing/63-greene-street-unit-2e-manhattan-ny-10012/13087414352397105/","63 Greene St, Unit 2E")</f>
        <v>63 Greene St, Unit 2E</v>
      </c>
      <c r="B2057" s="2" t="str">
        <f t="shared" si="326"/>
        <v>63 Greene Street</v>
      </c>
      <c r="C2057" s="1" t="s">
        <v>298</v>
      </c>
      <c r="D2057" s="1" t="s">
        <v>41</v>
      </c>
      <c r="E2057" s="3">
        <v>2800187</v>
      </c>
      <c r="F2057" s="1">
        <v>1936.50553250345</v>
      </c>
      <c r="G2057" s="1">
        <v>4</v>
      </c>
      <c r="H2057" s="1">
        <v>1</v>
      </c>
      <c r="I2057" s="1">
        <v>2</v>
      </c>
      <c r="J2057" s="1">
        <v>2</v>
      </c>
      <c r="M2057" s="4">
        <v>1446</v>
      </c>
      <c r="N2057" s="1">
        <v>1352</v>
      </c>
      <c r="O2057" s="1">
        <v>2935</v>
      </c>
      <c r="P2057" s="1">
        <v>1583</v>
      </c>
      <c r="Q2057" s="1" t="s">
        <v>42</v>
      </c>
      <c r="S2057" s="1" t="s">
        <v>42</v>
      </c>
      <c r="T2057" s="1" t="s">
        <v>273</v>
      </c>
      <c r="V2057" s="5">
        <v>43673</v>
      </c>
      <c r="W2057" s="5">
        <v>42440</v>
      </c>
      <c r="X2057" s="1">
        <v>2750000</v>
      </c>
      <c r="Y2057" s="1">
        <v>2750000</v>
      </c>
      <c r="Z2057" s="5">
        <v>42440</v>
      </c>
      <c r="AA2057" s="1">
        <v>2800187</v>
      </c>
      <c r="AB2057" s="1" t="s">
        <v>275</v>
      </c>
      <c r="AC2057" s="5">
        <v>42712</v>
      </c>
      <c r="AF2057" s="1">
        <v>10012</v>
      </c>
      <c r="AI2057" s="1" t="s">
        <v>140</v>
      </c>
      <c r="AJ2057" s="1">
        <v>1877</v>
      </c>
      <c r="AK2057" s="1" t="s">
        <v>146</v>
      </c>
      <c r="AL2057" s="1">
        <v>23</v>
      </c>
    </row>
    <row r="2058" spans="1:38" x14ac:dyDescent="0.2">
      <c r="A2058" s="2" t="str">
        <f>HYPERLINK("https://www.compass.com/listing/63-greene-street-unit-2f-manhattan-ny-10012/4845166084342427297/","63 Greene St, Unit 2F")</f>
        <v>63 Greene St, Unit 2F</v>
      </c>
      <c r="B2058" s="2" t="str">
        <f t="shared" si="326"/>
        <v>63 Greene Street</v>
      </c>
      <c r="C2058" s="1" t="s">
        <v>298</v>
      </c>
      <c r="D2058" s="1" t="s">
        <v>41</v>
      </c>
      <c r="E2058" s="3">
        <v>2700000</v>
      </c>
      <c r="F2058" s="1">
        <v>1718.6505410566499</v>
      </c>
      <c r="G2058" s="1">
        <v>4</v>
      </c>
      <c r="H2058" s="1">
        <v>1</v>
      </c>
      <c r="I2058" s="1">
        <v>2</v>
      </c>
      <c r="J2058" s="1">
        <v>2</v>
      </c>
      <c r="M2058" s="4">
        <v>1571</v>
      </c>
      <c r="N2058" s="1">
        <v>1469</v>
      </c>
      <c r="O2058" s="1">
        <v>3189</v>
      </c>
      <c r="P2058" s="1">
        <v>1720</v>
      </c>
      <c r="Q2058" s="1" t="s">
        <v>42</v>
      </c>
      <c r="S2058" s="1" t="s">
        <v>42</v>
      </c>
      <c r="T2058" s="1" t="s">
        <v>273</v>
      </c>
      <c r="U2058" s="1">
        <v>281</v>
      </c>
      <c r="V2058" s="5">
        <v>43689</v>
      </c>
      <c r="W2058" s="5">
        <v>42495</v>
      </c>
      <c r="X2058" s="1">
        <v>3000000</v>
      </c>
      <c r="Y2058" s="1">
        <v>2850000</v>
      </c>
      <c r="Z2058" s="5">
        <v>42776</v>
      </c>
      <c r="AA2058" s="1">
        <v>2700000</v>
      </c>
      <c r="AB2058" s="1" t="s">
        <v>1138</v>
      </c>
      <c r="AC2058" s="5">
        <v>42825</v>
      </c>
      <c r="AF2058" s="1">
        <v>10012</v>
      </c>
      <c r="AI2058" s="1" t="s">
        <v>140</v>
      </c>
      <c r="AJ2058" s="1">
        <v>1877</v>
      </c>
      <c r="AK2058" s="1" t="s">
        <v>146</v>
      </c>
      <c r="AL2058" s="1">
        <v>23</v>
      </c>
    </row>
    <row r="2059" spans="1:38" x14ac:dyDescent="0.2">
      <c r="A2059" s="2" t="str">
        <f>HYPERLINK("https://www.compass.com/listing/225-west-17th-street-unit-5a-manhattan-ny-10011/437125156994361657/","225 W 17th St, Unit 5A")</f>
        <v>225 W 17th St, Unit 5A</v>
      </c>
      <c r="B2059" s="2" t="str">
        <f>HYPERLINK("https://www.compass.com/building/225-west-17th-street-manhattan-ny/292802090781141541/","225 West 17th Street")</f>
        <v>225 West 17th Street</v>
      </c>
      <c r="C2059" s="1" t="s">
        <v>62</v>
      </c>
      <c r="D2059" s="1" t="s">
        <v>41</v>
      </c>
      <c r="E2059" s="3">
        <v>4200000</v>
      </c>
      <c r="F2059" s="1">
        <v>2069.9852143913199</v>
      </c>
      <c r="H2059" s="1">
        <v>3</v>
      </c>
      <c r="J2059" s="1">
        <v>3.5</v>
      </c>
      <c r="K2059" s="1">
        <v>3</v>
      </c>
      <c r="L2059" s="1">
        <v>1</v>
      </c>
      <c r="M2059" s="4">
        <v>2029</v>
      </c>
      <c r="N2059" s="1">
        <v>1188</v>
      </c>
      <c r="O2059" s="1">
        <v>3666</v>
      </c>
      <c r="P2059" s="1">
        <v>2478</v>
      </c>
      <c r="Q2059" s="1" t="s">
        <v>42</v>
      </c>
      <c r="S2059" s="1" t="s">
        <v>42</v>
      </c>
      <c r="T2059" s="1" t="s">
        <v>273</v>
      </c>
      <c r="AA2059" s="1">
        <v>4200000</v>
      </c>
      <c r="AB2059" s="1" t="s">
        <v>1139</v>
      </c>
      <c r="AC2059" s="5">
        <v>43829</v>
      </c>
      <c r="AF2059" s="1">
        <v>10011</v>
      </c>
      <c r="AI2059" s="1" t="s">
        <v>177</v>
      </c>
      <c r="AJ2059" s="1">
        <v>2018</v>
      </c>
      <c r="AK2059" s="1" t="s">
        <v>73</v>
      </c>
      <c r="AL2059" s="1">
        <v>14</v>
      </c>
    </row>
    <row r="2060" spans="1:38" x14ac:dyDescent="0.2">
      <c r="A2060" s="2" t="str">
        <f>HYPERLINK("https://www.compass.com/listing/63-greene-street-unit-2f-manhattan-ny-10012/4845166084342427281/","63 Greene St, Unit 2F")</f>
        <v>63 Greene St, Unit 2F</v>
      </c>
      <c r="B2060" s="2" t="str">
        <f t="shared" ref="B2060:B2062" si="327">HYPERLINK("https://www.compass.com/building/63-greene-street-manhattan-ny/292812252044627637/","63 Greene Street")</f>
        <v>63 Greene Street</v>
      </c>
      <c r="C2060" s="1" t="s">
        <v>298</v>
      </c>
      <c r="D2060" s="1" t="s">
        <v>41</v>
      </c>
      <c r="E2060" s="3">
        <v>2700000</v>
      </c>
      <c r="F2060" s="1">
        <v>1718.6505410566499</v>
      </c>
      <c r="G2060" s="1">
        <v>4</v>
      </c>
      <c r="H2060" s="1">
        <v>1</v>
      </c>
      <c r="I2060" s="1">
        <v>2</v>
      </c>
      <c r="M2060" s="4">
        <v>1571</v>
      </c>
      <c r="N2060" s="1">
        <v>1469</v>
      </c>
      <c r="O2060" s="1">
        <v>3189</v>
      </c>
      <c r="P2060" s="1">
        <v>1720</v>
      </c>
      <c r="Q2060" s="1" t="s">
        <v>42</v>
      </c>
      <c r="S2060" s="1" t="s">
        <v>42</v>
      </c>
      <c r="T2060" s="1" t="s">
        <v>273</v>
      </c>
      <c r="U2060" s="1">
        <v>281</v>
      </c>
      <c r="V2060" s="5">
        <v>43694</v>
      </c>
      <c r="W2060" s="5">
        <v>42495</v>
      </c>
      <c r="X2060" s="1">
        <v>3000000</v>
      </c>
      <c r="Y2060" s="1">
        <v>2850000</v>
      </c>
      <c r="Z2060" s="5">
        <v>42776</v>
      </c>
      <c r="AA2060" s="1">
        <v>2700000</v>
      </c>
      <c r="AB2060" s="1" t="s">
        <v>1138</v>
      </c>
      <c r="AC2060" s="5">
        <v>42825</v>
      </c>
      <c r="AF2060" s="1">
        <v>10012</v>
      </c>
      <c r="AI2060" s="1" t="s">
        <v>140</v>
      </c>
      <c r="AJ2060" s="1">
        <v>1877</v>
      </c>
      <c r="AK2060" s="1" t="s">
        <v>146</v>
      </c>
      <c r="AL2060" s="1">
        <v>23</v>
      </c>
    </row>
    <row r="2061" spans="1:38" x14ac:dyDescent="0.2">
      <c r="A2061" s="2" t="str">
        <f>HYPERLINK("https://www.compass.com/listing/63-greene-street-unit-3e-manhattan-ny-10012/13087395796852993/","63 Greene St, Unit 3E")</f>
        <v>63 Greene St, Unit 3E</v>
      </c>
      <c r="B2061" s="2" t="str">
        <f t="shared" si="327"/>
        <v>63 Greene Street</v>
      </c>
      <c r="C2061" s="1" t="s">
        <v>298</v>
      </c>
      <c r="D2061" s="1" t="s">
        <v>41</v>
      </c>
      <c r="E2061" s="3">
        <v>2800187</v>
      </c>
      <c r="F2061" s="1">
        <v>2095.94835329341</v>
      </c>
      <c r="G2061" s="1">
        <v>4</v>
      </c>
      <c r="H2061" s="1">
        <v>1</v>
      </c>
      <c r="I2061" s="1">
        <v>2</v>
      </c>
      <c r="M2061" s="4">
        <v>1336</v>
      </c>
      <c r="N2061" s="1">
        <v>1262</v>
      </c>
      <c r="O2061" s="1">
        <v>2739</v>
      </c>
      <c r="P2061" s="1">
        <v>1477</v>
      </c>
      <c r="Q2061" s="1" t="s">
        <v>42</v>
      </c>
      <c r="S2061" s="1" t="s">
        <v>42</v>
      </c>
      <c r="T2061" s="1" t="s">
        <v>273</v>
      </c>
      <c r="V2061" s="5">
        <v>43693</v>
      </c>
      <c r="W2061" s="5">
        <v>42448</v>
      </c>
      <c r="X2061" s="1">
        <v>2750000</v>
      </c>
      <c r="Y2061" s="1">
        <v>2750000</v>
      </c>
      <c r="Z2061" s="5">
        <v>42448</v>
      </c>
      <c r="AA2061" s="1">
        <v>2800187</v>
      </c>
      <c r="AB2061" s="1" t="s">
        <v>275</v>
      </c>
      <c r="AC2061" s="5">
        <v>42711</v>
      </c>
      <c r="AF2061" s="1">
        <v>10012</v>
      </c>
      <c r="AI2061" s="1" t="s">
        <v>140</v>
      </c>
      <c r="AJ2061" s="1">
        <v>1877</v>
      </c>
      <c r="AK2061" s="1" t="s">
        <v>146</v>
      </c>
      <c r="AL2061" s="1">
        <v>23</v>
      </c>
    </row>
    <row r="2062" spans="1:38" x14ac:dyDescent="0.2">
      <c r="A2062" s="2" t="str">
        <f>HYPERLINK("https://www.compass.com/listing/63-greene-street-unit-2e-manhattan-ny-10012/13087414352397089/","63 Greene St, Unit 2E")</f>
        <v>63 Greene St, Unit 2E</v>
      </c>
      <c r="B2062" s="2" t="str">
        <f t="shared" si="327"/>
        <v>63 Greene Street</v>
      </c>
      <c r="C2062" s="1" t="s">
        <v>298</v>
      </c>
      <c r="D2062" s="1" t="s">
        <v>41</v>
      </c>
      <c r="E2062" s="3">
        <v>2800187</v>
      </c>
      <c r="F2062" s="1">
        <v>1936.50553250345</v>
      </c>
      <c r="G2062" s="1">
        <v>4</v>
      </c>
      <c r="H2062" s="1">
        <v>1</v>
      </c>
      <c r="I2062" s="1">
        <v>2</v>
      </c>
      <c r="M2062" s="4">
        <v>1446</v>
      </c>
      <c r="N2062" s="1">
        <v>1352</v>
      </c>
      <c r="O2062" s="1">
        <v>2935</v>
      </c>
      <c r="P2062" s="1">
        <v>1583</v>
      </c>
      <c r="Q2062" s="1" t="s">
        <v>42</v>
      </c>
      <c r="S2062" s="1" t="s">
        <v>42</v>
      </c>
      <c r="T2062" s="1" t="s">
        <v>273</v>
      </c>
      <c r="V2062" s="5">
        <v>43691</v>
      </c>
      <c r="W2062" s="5">
        <v>42440</v>
      </c>
      <c r="X2062" s="1">
        <v>2750000</v>
      </c>
      <c r="Y2062" s="1">
        <v>2750000</v>
      </c>
      <c r="Z2062" s="5">
        <v>42440</v>
      </c>
      <c r="AA2062" s="1">
        <v>2800187</v>
      </c>
      <c r="AB2062" s="1" t="s">
        <v>275</v>
      </c>
      <c r="AC2062" s="5">
        <v>42712</v>
      </c>
      <c r="AF2062" s="1">
        <v>10012</v>
      </c>
      <c r="AI2062" s="1" t="s">
        <v>140</v>
      </c>
      <c r="AJ2062" s="1">
        <v>1877</v>
      </c>
      <c r="AK2062" s="1" t="s">
        <v>146</v>
      </c>
      <c r="AL2062" s="1">
        <v>23</v>
      </c>
    </row>
    <row r="2063" spans="1:38" x14ac:dyDescent="0.2">
      <c r="A2063" s="2" t="str">
        <f>HYPERLINK("https://www.compass.com/listing/121-east-22nd-street-unit-n506-manhattan-ny-10010/200660095208532913/","121 E 22nd St, Unit N506")</f>
        <v>121 E 22nd St, Unit N506</v>
      </c>
      <c r="B2063" s="2" t="str">
        <f t="shared" ref="B2063:B2064" si="328">HYPERLINK("https://www.compass.com/building/121-e-22nd-manhattan-ny/292795784653461493/","121 E 22nd")</f>
        <v>121 E 22nd</v>
      </c>
      <c r="C2063" s="1" t="s">
        <v>64</v>
      </c>
      <c r="D2063" s="1" t="s">
        <v>41</v>
      </c>
      <c r="E2063" s="3">
        <v>3568329</v>
      </c>
      <c r="F2063" s="1">
        <v>2065.0052083333298</v>
      </c>
      <c r="G2063" s="1">
        <v>4.5</v>
      </c>
      <c r="H2063" s="1">
        <v>2</v>
      </c>
      <c r="I2063" s="1">
        <v>3</v>
      </c>
      <c r="J2063" s="1">
        <v>2.5</v>
      </c>
      <c r="K2063" s="1">
        <v>2</v>
      </c>
      <c r="L2063" s="1">
        <v>1</v>
      </c>
      <c r="M2063" s="4">
        <v>1728</v>
      </c>
      <c r="N2063" s="1">
        <v>1747</v>
      </c>
      <c r="O2063" s="1">
        <v>4836</v>
      </c>
      <c r="P2063" s="1">
        <v>3089</v>
      </c>
      <c r="Q2063" s="1" t="s">
        <v>42</v>
      </c>
      <c r="S2063" s="1" t="s">
        <v>42</v>
      </c>
      <c r="T2063" s="1" t="s">
        <v>273</v>
      </c>
      <c r="V2063" s="5">
        <v>44373</v>
      </c>
      <c r="W2063" s="5">
        <v>43529</v>
      </c>
      <c r="X2063" s="1">
        <v>3700000</v>
      </c>
      <c r="Y2063" s="1">
        <v>3700000</v>
      </c>
      <c r="Z2063" s="5">
        <v>43529</v>
      </c>
      <c r="AA2063" s="1">
        <v>3568329</v>
      </c>
      <c r="AB2063" s="1" t="s">
        <v>1140</v>
      </c>
      <c r="AC2063" s="5">
        <v>43560</v>
      </c>
      <c r="AF2063" s="1">
        <v>10010</v>
      </c>
      <c r="AI2063" s="1" t="s">
        <v>234</v>
      </c>
      <c r="AJ2063" s="1">
        <v>2016</v>
      </c>
      <c r="AK2063" s="1" t="s">
        <v>108</v>
      </c>
      <c r="AL2063" s="1">
        <v>140</v>
      </c>
    </row>
    <row r="2064" spans="1:38" x14ac:dyDescent="0.2">
      <c r="A2064" s="2" t="str">
        <f>HYPERLINK("https://www.compass.com/listing/121-east-22nd-street-unit-s701-manhattan-ny-10010/840321490212983785/","121 E 22nd St, Unit S701")</f>
        <v>121 E 22nd St, Unit S701</v>
      </c>
      <c r="B2064" s="2" t="str">
        <f t="shared" si="328"/>
        <v>121 E 22nd</v>
      </c>
      <c r="C2064" s="1" t="s">
        <v>64</v>
      </c>
      <c r="D2064" s="1" t="s">
        <v>41</v>
      </c>
      <c r="E2064" s="3">
        <v>3062250</v>
      </c>
      <c r="F2064" s="1">
        <v>1823.8534842167901</v>
      </c>
      <c r="H2064" s="1">
        <v>2</v>
      </c>
      <c r="J2064" s="1">
        <v>2.5</v>
      </c>
      <c r="K2064" s="1">
        <v>2</v>
      </c>
      <c r="L2064" s="1">
        <v>1</v>
      </c>
      <c r="M2064" s="4">
        <v>1679</v>
      </c>
      <c r="N2064" s="1">
        <v>1801</v>
      </c>
      <c r="O2064" s="1">
        <v>5460</v>
      </c>
      <c r="P2064" s="1">
        <v>3659</v>
      </c>
      <c r="Q2064" s="1" t="s">
        <v>42</v>
      </c>
      <c r="S2064" s="1" t="s">
        <v>42</v>
      </c>
      <c r="T2064" s="1" t="s">
        <v>273</v>
      </c>
      <c r="AA2064" s="1">
        <v>3062250</v>
      </c>
      <c r="AB2064" s="1" t="s">
        <v>1141</v>
      </c>
      <c r="AC2064" s="5">
        <v>44392</v>
      </c>
      <c r="AF2064" s="1">
        <v>10010</v>
      </c>
      <c r="AI2064" s="1" t="s">
        <v>66</v>
      </c>
      <c r="AJ2064" s="1">
        <v>2016</v>
      </c>
      <c r="AK2064" s="1" t="s">
        <v>55</v>
      </c>
      <c r="AL2064" s="1">
        <v>140</v>
      </c>
    </row>
    <row r="2065" spans="1:38" x14ac:dyDescent="0.2">
      <c r="A2065" s="2" t="str">
        <f>HYPERLINK("https://www.compass.com/listing/559-west-23rd-street-unit-5-6-manhattan-ny-10011/4848541635782386513/","559 W 23rd St, Unit 5/6")</f>
        <v>559 W 23rd St, Unit 5/6</v>
      </c>
      <c r="B2065" s="2" t="str">
        <f>HYPERLINK("https://www.compass.com/building/chelsea-waterside-residences-manhattan-ny/281911750683552581/","Chelsea Waterside Residences")</f>
        <v>Chelsea Waterside Residences</v>
      </c>
      <c r="C2065" s="1" t="s">
        <v>62</v>
      </c>
      <c r="D2065" s="1" t="s">
        <v>41</v>
      </c>
      <c r="E2065" s="3">
        <v>4995000</v>
      </c>
      <c r="F2065" s="1">
        <v>2072.61410788381</v>
      </c>
      <c r="G2065" s="1">
        <v>7</v>
      </c>
      <c r="H2065" s="1">
        <v>3</v>
      </c>
      <c r="I2065" s="1">
        <v>4</v>
      </c>
      <c r="J2065" s="1">
        <v>4</v>
      </c>
      <c r="M2065" s="4">
        <v>2410</v>
      </c>
      <c r="Q2065" s="1" t="s">
        <v>42</v>
      </c>
      <c r="S2065" s="1" t="s">
        <v>42</v>
      </c>
      <c r="T2065" s="1" t="s">
        <v>273</v>
      </c>
      <c r="U2065" s="1">
        <v>18</v>
      </c>
      <c r="V2065" s="5">
        <v>42343</v>
      </c>
      <c r="W2065" s="5">
        <v>42325</v>
      </c>
      <c r="X2065" s="1">
        <v>4995000</v>
      </c>
      <c r="Y2065" s="1">
        <v>4995000</v>
      </c>
      <c r="AA2065" s="1">
        <v>4995000</v>
      </c>
      <c r="AB2065" s="1" t="s">
        <v>275</v>
      </c>
      <c r="AC2065" s="5">
        <v>42343</v>
      </c>
      <c r="AF2065" s="1">
        <v>10011</v>
      </c>
      <c r="AI2065" s="1" t="s">
        <v>231</v>
      </c>
      <c r="AJ2065" s="1">
        <v>2015</v>
      </c>
      <c r="AK2065" s="1" t="s">
        <v>73</v>
      </c>
      <c r="AL2065" s="1">
        <v>8</v>
      </c>
    </row>
    <row r="2066" spans="1:38" x14ac:dyDescent="0.2">
      <c r="A2066" s="2" t="str">
        <f>HYPERLINK("https://www.compass.com/listing/155-west-18th-street-unit-ph4-manhattan-ny-10011/380686481526636321/","155 W 18th St, Unit PH4")</f>
        <v>155 W 18th St, Unit PH4</v>
      </c>
      <c r="B2066" s="2" t="str">
        <f>HYPERLINK("https://www.compass.com/building/the-flynn-manhattan-ny/281905793161251925/","The Flynn")</f>
        <v>The Flynn</v>
      </c>
      <c r="C2066" s="1" t="s">
        <v>62</v>
      </c>
      <c r="D2066" s="1" t="s">
        <v>41</v>
      </c>
      <c r="E2066" s="3">
        <v>8335000</v>
      </c>
      <c r="F2066" s="1">
        <v>54477.124183006497</v>
      </c>
      <c r="H2066" s="1">
        <v>4</v>
      </c>
      <c r="J2066" s="1">
        <v>4.5</v>
      </c>
      <c r="K2066" s="1">
        <v>4</v>
      </c>
      <c r="L2066" s="1">
        <v>1</v>
      </c>
      <c r="M2066" s="1">
        <v>153</v>
      </c>
      <c r="N2066" s="1">
        <v>4300</v>
      </c>
      <c r="O2066" s="1">
        <v>10384</v>
      </c>
      <c r="P2066" s="1">
        <v>6084</v>
      </c>
      <c r="Q2066" s="1" t="s">
        <v>42</v>
      </c>
      <c r="S2066" s="1" t="s">
        <v>42</v>
      </c>
      <c r="T2066" s="1" t="s">
        <v>273</v>
      </c>
      <c r="AA2066" s="1">
        <v>8335000</v>
      </c>
      <c r="AB2066" s="1" t="s">
        <v>1142</v>
      </c>
      <c r="AC2066" s="5">
        <v>42734</v>
      </c>
      <c r="AF2066" s="1">
        <v>10011</v>
      </c>
      <c r="AI2066" s="1" t="s">
        <v>78</v>
      </c>
      <c r="AJ2066" s="1">
        <v>2016</v>
      </c>
      <c r="AK2066" s="1" t="s">
        <v>55</v>
      </c>
      <c r="AL2066" s="1">
        <v>30</v>
      </c>
    </row>
    <row r="2067" spans="1:38" x14ac:dyDescent="0.2">
      <c r="A2067" s="2" t="str">
        <f>HYPERLINK("https://www.compass.com/listing/498-west-end-avenue-unit-6c-manhattan-ny-10024/29400625238342177/","498 W End Ave, Unit 6C")</f>
        <v>498 W End Ave, Unit 6C</v>
      </c>
      <c r="B2067" s="2" t="str">
        <f>HYPERLINK("https://www.compass.com/building/498-w-end-ave-manhattan-ny-10024/281925430842268789/","498 W End Ave")</f>
        <v>498 W End Ave</v>
      </c>
      <c r="C2067" s="1" t="s">
        <v>57</v>
      </c>
      <c r="D2067" s="1" t="s">
        <v>41</v>
      </c>
      <c r="E2067" s="3">
        <v>3195000</v>
      </c>
      <c r="F2067" s="1">
        <v>1884.95575221238</v>
      </c>
      <c r="G2067" s="1">
        <v>5</v>
      </c>
      <c r="H2067" s="1">
        <v>3</v>
      </c>
      <c r="I2067" s="1">
        <v>2</v>
      </c>
      <c r="J2067" s="1">
        <v>2</v>
      </c>
      <c r="M2067" s="4">
        <v>1695</v>
      </c>
      <c r="N2067" s="1">
        <v>1386</v>
      </c>
      <c r="O2067" s="1">
        <v>2795</v>
      </c>
      <c r="P2067" s="1">
        <v>1409</v>
      </c>
      <c r="Q2067" s="1" t="s">
        <v>42</v>
      </c>
      <c r="S2067" s="1" t="s">
        <v>42</v>
      </c>
      <c r="T2067" s="1" t="s">
        <v>273</v>
      </c>
      <c r="U2067" s="1">
        <v>87</v>
      </c>
      <c r="V2067" s="5">
        <v>43640</v>
      </c>
      <c r="W2067" s="5">
        <v>43050</v>
      </c>
      <c r="X2067" s="1">
        <v>3195000</v>
      </c>
      <c r="Y2067" s="1">
        <v>3195000</v>
      </c>
      <c r="Z2067" s="5">
        <v>43137</v>
      </c>
      <c r="AA2067" s="1">
        <v>3195000</v>
      </c>
      <c r="AB2067" s="1" t="s">
        <v>1143</v>
      </c>
      <c r="AC2067" s="5">
        <v>43185</v>
      </c>
      <c r="AF2067" s="1">
        <v>10024</v>
      </c>
      <c r="AJ2067" s="1">
        <v>1912</v>
      </c>
      <c r="AK2067" s="1" t="s">
        <v>46</v>
      </c>
      <c r="AL2067" s="1">
        <v>19</v>
      </c>
    </row>
    <row r="2068" spans="1:38" x14ac:dyDescent="0.2">
      <c r="A2068" s="2" t="str">
        <f>HYPERLINK("https://www.compass.com/listing/63-greene-street-unit-4d-manhattan-ny-10012/13087402239243585/","63 Greene St, Unit 4D")</f>
        <v>63 Greene St, Unit 4D</v>
      </c>
      <c r="B2068" s="2" t="str">
        <f t="shared" ref="B2068:B2069" si="329">HYPERLINK("https://www.compass.com/building/63-greene-street-manhattan-ny/292812252044627637/","63 Greene Street")</f>
        <v>63 Greene Street</v>
      </c>
      <c r="C2068" s="1" t="s">
        <v>298</v>
      </c>
      <c r="D2068" s="1" t="s">
        <v>41</v>
      </c>
      <c r="E2068" s="3">
        <v>4450000</v>
      </c>
      <c r="F2068" s="1">
        <v>1848.7744079767299</v>
      </c>
      <c r="G2068" s="1">
        <v>5</v>
      </c>
      <c r="H2068" s="1">
        <v>3</v>
      </c>
      <c r="I2068" s="1">
        <v>4</v>
      </c>
      <c r="J2068" s="1">
        <v>0.5</v>
      </c>
      <c r="L2068" s="1">
        <v>1</v>
      </c>
      <c r="M2068" s="4">
        <v>2407</v>
      </c>
      <c r="N2068" s="1">
        <v>2316</v>
      </c>
      <c r="O2068" s="1">
        <v>5027</v>
      </c>
      <c r="P2068" s="1">
        <v>2711</v>
      </c>
      <c r="Q2068" s="1" t="s">
        <v>42</v>
      </c>
      <c r="S2068" s="1" t="s">
        <v>42</v>
      </c>
      <c r="T2068" s="1" t="s">
        <v>273</v>
      </c>
      <c r="U2068" s="1">
        <v>462</v>
      </c>
      <c r="V2068" s="5">
        <v>43694</v>
      </c>
      <c r="W2068" s="5">
        <v>42409</v>
      </c>
      <c r="X2068" s="1">
        <v>5000000</v>
      </c>
      <c r="Y2068" s="1">
        <v>4500000</v>
      </c>
      <c r="Z2068" s="5">
        <v>42871</v>
      </c>
      <c r="AA2068" s="1">
        <v>4450000</v>
      </c>
      <c r="AB2068" s="1" t="s">
        <v>1144</v>
      </c>
      <c r="AC2068" s="5">
        <v>42905</v>
      </c>
      <c r="AF2068" s="1">
        <v>10012</v>
      </c>
      <c r="AI2068" s="1" t="s">
        <v>140</v>
      </c>
      <c r="AJ2068" s="1">
        <v>1877</v>
      </c>
      <c r="AK2068" s="1" t="s">
        <v>146</v>
      </c>
      <c r="AL2068" s="1">
        <v>23</v>
      </c>
    </row>
    <row r="2069" spans="1:38" x14ac:dyDescent="0.2">
      <c r="A2069" s="2" t="str">
        <f>HYPERLINK("https://www.compass.com/listing/63-greene-street-unit-3a-manhattan-ny-10012/13087414713063265/","63 Greene St, Unit 3A")</f>
        <v>63 Greene St, Unit 3A</v>
      </c>
      <c r="B2069" s="2" t="str">
        <f t="shared" si="329"/>
        <v>63 Greene Street</v>
      </c>
      <c r="C2069" s="1" t="s">
        <v>298</v>
      </c>
      <c r="D2069" s="1" t="s">
        <v>41</v>
      </c>
      <c r="E2069" s="3">
        <v>5600375</v>
      </c>
      <c r="F2069" s="1">
        <v>2333.4895833333298</v>
      </c>
      <c r="G2069" s="1">
        <v>5</v>
      </c>
      <c r="H2069" s="1">
        <v>3</v>
      </c>
      <c r="I2069" s="1">
        <v>3</v>
      </c>
      <c r="M2069" s="4">
        <v>2400</v>
      </c>
      <c r="N2069" s="1">
        <v>2343</v>
      </c>
      <c r="O2069" s="1">
        <v>5086</v>
      </c>
      <c r="P2069" s="1">
        <v>2743</v>
      </c>
      <c r="Q2069" s="1" t="s">
        <v>42</v>
      </c>
      <c r="S2069" s="1" t="s">
        <v>42</v>
      </c>
      <c r="T2069" s="1" t="s">
        <v>273</v>
      </c>
      <c r="U2069" s="1">
        <v>53</v>
      </c>
      <c r="V2069" s="5">
        <v>43693</v>
      </c>
      <c r="W2069" s="5">
        <v>42535</v>
      </c>
      <c r="X2069" s="1">
        <v>5900000</v>
      </c>
      <c r="Y2069" s="1">
        <v>5900000</v>
      </c>
      <c r="Z2069" s="5">
        <v>42588</v>
      </c>
      <c r="AA2069" s="1">
        <v>5600375</v>
      </c>
      <c r="AB2069" s="1" t="s">
        <v>275</v>
      </c>
      <c r="AC2069" s="5">
        <v>42707</v>
      </c>
      <c r="AF2069" s="1">
        <v>10012</v>
      </c>
      <c r="AI2069" s="1" t="s">
        <v>140</v>
      </c>
      <c r="AJ2069" s="1">
        <v>1877</v>
      </c>
      <c r="AK2069" s="1" t="s">
        <v>146</v>
      </c>
      <c r="AL2069" s="1">
        <v>23</v>
      </c>
    </row>
    <row r="2070" spans="1:38" x14ac:dyDescent="0.2">
      <c r="A2070" s="2" t="str">
        <f>HYPERLINK("https://www.compass.com/listing/111-murray-street-unit-9d-manhattan-ny-10007/72121472440649793/","111 Murray St, Unit 9D")</f>
        <v>111 Murray St, Unit 9D</v>
      </c>
      <c r="B2070" s="2" t="str">
        <f t="shared" ref="B2070:B2073" si="330">HYPERLINK("https://www.compass.com/building/111-murray-st-manhattan-ny-10007/281896511862746053/","111 Murray St")</f>
        <v>111 Murray St</v>
      </c>
      <c r="C2070" s="1" t="s">
        <v>50</v>
      </c>
      <c r="D2070" s="1" t="s">
        <v>41</v>
      </c>
      <c r="E2070" s="3">
        <v>1568105</v>
      </c>
      <c r="F2070" s="1">
        <v>2060.5847568988102</v>
      </c>
      <c r="H2070" s="1" t="s">
        <v>99</v>
      </c>
      <c r="J2070" s="1">
        <v>1</v>
      </c>
      <c r="K2070" s="1">
        <v>1</v>
      </c>
      <c r="M2070" s="1">
        <v>761</v>
      </c>
      <c r="N2070" s="1">
        <v>755</v>
      </c>
      <c r="O2070" s="1">
        <v>1816</v>
      </c>
      <c r="P2070" s="1">
        <v>1061</v>
      </c>
      <c r="Q2070" s="1" t="s">
        <v>42</v>
      </c>
      <c r="S2070" s="1" t="s">
        <v>42</v>
      </c>
      <c r="T2070" s="1" t="s">
        <v>273</v>
      </c>
      <c r="AA2070" s="1">
        <v>1568105</v>
      </c>
      <c r="AB2070" s="1" t="s">
        <v>1145</v>
      </c>
      <c r="AC2070" s="5">
        <v>43339</v>
      </c>
      <c r="AF2070" s="1">
        <v>10007</v>
      </c>
      <c r="AI2070" s="1" t="s">
        <v>80</v>
      </c>
      <c r="AJ2070" s="1">
        <v>2018</v>
      </c>
      <c r="AK2070" s="1" t="s">
        <v>49</v>
      </c>
      <c r="AL2070" s="1">
        <v>157</v>
      </c>
    </row>
    <row r="2071" spans="1:38" x14ac:dyDescent="0.2">
      <c r="A2071" s="2" t="str">
        <f>HYPERLINK("https://www.compass.com/listing/111-murray-street-unit-11d-manhattan-ny-10007/82254867359398065/","111 Murray St, Unit 11D")</f>
        <v>111 Murray St, Unit 11D</v>
      </c>
      <c r="B2071" s="2" t="str">
        <f t="shared" si="330"/>
        <v>111 Murray St</v>
      </c>
      <c r="C2071" s="1" t="s">
        <v>50</v>
      </c>
      <c r="D2071" s="1" t="s">
        <v>41</v>
      </c>
      <c r="E2071" s="3">
        <v>1598653</v>
      </c>
      <c r="F2071" s="1">
        <v>2100.7260183968401</v>
      </c>
      <c r="H2071" s="1" t="s">
        <v>153</v>
      </c>
      <c r="J2071" s="1">
        <v>1</v>
      </c>
      <c r="K2071" s="1">
        <v>1</v>
      </c>
      <c r="M2071" s="1">
        <v>761</v>
      </c>
      <c r="N2071" s="1">
        <v>792</v>
      </c>
      <c r="O2071" s="1">
        <v>1952</v>
      </c>
      <c r="P2071" s="1">
        <v>1160</v>
      </c>
      <c r="Q2071" s="1" t="s">
        <v>42</v>
      </c>
      <c r="S2071" s="1" t="s">
        <v>42</v>
      </c>
      <c r="T2071" s="1" t="s">
        <v>273</v>
      </c>
      <c r="AA2071" s="1">
        <v>1598652.5</v>
      </c>
      <c r="AB2071" s="1" t="s">
        <v>1146</v>
      </c>
      <c r="AC2071" s="5">
        <v>43343</v>
      </c>
      <c r="AF2071" s="1">
        <v>10007</v>
      </c>
      <c r="AI2071" s="1" t="s">
        <v>80</v>
      </c>
      <c r="AJ2071" s="1">
        <v>2018</v>
      </c>
      <c r="AK2071" s="1" t="s">
        <v>49</v>
      </c>
      <c r="AL2071" s="1">
        <v>157</v>
      </c>
    </row>
    <row r="2072" spans="1:38" x14ac:dyDescent="0.2">
      <c r="A2072" s="2" t="str">
        <f>HYPERLINK("https://www.compass.com/listing/111-murray-street-unit-12d-manhattan-ny-10007/84428807955646865/","111 Murray St, Unit 12D")</f>
        <v>111 Murray St, Unit 12D</v>
      </c>
      <c r="B2072" s="2" t="str">
        <f t="shared" si="330"/>
        <v>111 Murray St</v>
      </c>
      <c r="C2072" s="1" t="s">
        <v>50</v>
      </c>
      <c r="D2072" s="1" t="s">
        <v>41</v>
      </c>
      <c r="E2072" s="3">
        <v>1452534</v>
      </c>
      <c r="F2072" s="1">
        <v>1908.7169908015701</v>
      </c>
      <c r="H2072" s="1" t="s">
        <v>153</v>
      </c>
      <c r="J2072" s="1">
        <v>1</v>
      </c>
      <c r="K2072" s="1">
        <v>1</v>
      </c>
      <c r="M2072" s="1">
        <v>761</v>
      </c>
      <c r="N2072" s="1">
        <v>795</v>
      </c>
      <c r="O2072" s="1">
        <v>1463</v>
      </c>
      <c r="P2072" s="1">
        <v>668</v>
      </c>
      <c r="Q2072" s="1" t="s">
        <v>42</v>
      </c>
      <c r="S2072" s="1" t="s">
        <v>42</v>
      </c>
      <c r="T2072" s="1" t="s">
        <v>273</v>
      </c>
      <c r="AA2072" s="1">
        <v>1452533.63</v>
      </c>
      <c r="AB2072" s="1" t="s">
        <v>1147</v>
      </c>
      <c r="AC2072" s="5">
        <v>43350</v>
      </c>
      <c r="AF2072" s="1">
        <v>10007</v>
      </c>
      <c r="AI2072" s="1" t="s">
        <v>80</v>
      </c>
      <c r="AJ2072" s="1">
        <v>2018</v>
      </c>
      <c r="AK2072" s="1" t="s">
        <v>49</v>
      </c>
      <c r="AL2072" s="1">
        <v>157</v>
      </c>
    </row>
    <row r="2073" spans="1:38" x14ac:dyDescent="0.2">
      <c r="A2073" s="2" t="str">
        <f>HYPERLINK("https://www.compass.com/listing/111-murray-street-unit-8d-manhattan-ny-10007/99648758286978753/","111 Murray St, Unit 8D")</f>
        <v>111 Murray St, Unit 8D</v>
      </c>
      <c r="B2073" s="2" t="str">
        <f t="shared" si="330"/>
        <v>111 Murray St</v>
      </c>
      <c r="C2073" s="1" t="s">
        <v>50</v>
      </c>
      <c r="D2073" s="1" t="s">
        <v>41</v>
      </c>
      <c r="E2073" s="3">
        <v>1552831</v>
      </c>
      <c r="F2073" s="1">
        <v>2040.5141261497999</v>
      </c>
      <c r="H2073" s="1" t="s">
        <v>99</v>
      </c>
      <c r="J2073" s="1">
        <v>1</v>
      </c>
      <c r="M2073" s="1">
        <v>761</v>
      </c>
      <c r="N2073" s="1">
        <v>753</v>
      </c>
      <c r="O2073" s="1">
        <v>1810</v>
      </c>
      <c r="P2073" s="1">
        <v>1057</v>
      </c>
      <c r="Q2073" s="1" t="s">
        <v>42</v>
      </c>
      <c r="S2073" s="1" t="s">
        <v>42</v>
      </c>
      <c r="T2073" s="1" t="s">
        <v>273</v>
      </c>
      <c r="AA2073" s="1">
        <v>1552831.25</v>
      </c>
      <c r="AB2073" s="1" t="s">
        <v>1148</v>
      </c>
      <c r="AC2073" s="5">
        <v>43371</v>
      </c>
      <c r="AF2073" s="1">
        <v>10007</v>
      </c>
      <c r="AI2073" s="1" t="s">
        <v>80</v>
      </c>
      <c r="AJ2073" s="1">
        <v>2018</v>
      </c>
      <c r="AK2073" s="1" t="s">
        <v>49</v>
      </c>
      <c r="AL2073" s="1">
        <v>157</v>
      </c>
    </row>
    <row r="2074" spans="1:38" x14ac:dyDescent="0.2">
      <c r="A2074" s="2" t="str">
        <f>HYPERLINK("https://www.compass.com/listing/21-east-12th-street-unit-9a-manhattan-ny-10003/29514923126121809/","21 E 12th St, Unit 9A")</f>
        <v>21 E 12th St, Unit 9A</v>
      </c>
      <c r="B2074" s="2" t="str">
        <f t="shared" ref="B2074:B2077" si="331">HYPERLINK("https://www.compass.com/building/21-east-12th-street-manhattan-ny/292779727154847925/","21 East 12th Street")</f>
        <v>21 East 12th Street</v>
      </c>
      <c r="C2074" s="1" t="s">
        <v>277</v>
      </c>
      <c r="D2074" s="1" t="s">
        <v>41</v>
      </c>
      <c r="E2074" s="3">
        <v>4323858</v>
      </c>
      <c r="F2074" s="1">
        <v>2925.47902571041</v>
      </c>
      <c r="G2074" s="1">
        <v>4</v>
      </c>
      <c r="H2074" s="1">
        <v>2</v>
      </c>
      <c r="I2074" s="1">
        <v>3</v>
      </c>
      <c r="J2074" s="1">
        <v>2.5</v>
      </c>
      <c r="K2074" s="1">
        <v>2</v>
      </c>
      <c r="L2074" s="1">
        <v>1</v>
      </c>
      <c r="M2074" s="4">
        <v>1478</v>
      </c>
      <c r="N2074" s="1">
        <v>1927</v>
      </c>
      <c r="O2074" s="1">
        <v>4871</v>
      </c>
      <c r="P2074" s="1">
        <v>2944</v>
      </c>
      <c r="Q2074" s="1" t="s">
        <v>42</v>
      </c>
      <c r="S2074" s="1" t="s">
        <v>42</v>
      </c>
      <c r="T2074" s="1" t="s">
        <v>273</v>
      </c>
      <c r="U2074" s="1">
        <v>61</v>
      </c>
      <c r="V2074" s="5">
        <v>43648</v>
      </c>
      <c r="W2074" s="5">
        <v>42889</v>
      </c>
      <c r="X2074" s="1">
        <v>4350000</v>
      </c>
      <c r="Y2074" s="1">
        <v>4375000</v>
      </c>
      <c r="Z2074" s="5">
        <v>42975</v>
      </c>
      <c r="AA2074" s="1">
        <v>4323858</v>
      </c>
      <c r="AB2074" s="1" t="s">
        <v>1149</v>
      </c>
      <c r="AC2074" s="5">
        <v>43574</v>
      </c>
      <c r="AF2074" s="1">
        <v>10003</v>
      </c>
      <c r="AI2074" s="1" t="s">
        <v>80</v>
      </c>
      <c r="AJ2074" s="1">
        <v>2018</v>
      </c>
      <c r="AK2074" s="1" t="s">
        <v>125</v>
      </c>
      <c r="AL2074" s="1">
        <v>52</v>
      </c>
    </row>
    <row r="2075" spans="1:38" x14ac:dyDescent="0.2">
      <c r="A2075" s="2" t="str">
        <f>HYPERLINK("https://www.compass.com/listing/21-east-12th-street-unit-10a-manhattan-ny-10003/29514929048438337/","21 E 12th St, Unit 10A")</f>
        <v>21 E 12th St, Unit 10A</v>
      </c>
      <c r="B2075" s="2" t="str">
        <f t="shared" si="331"/>
        <v>21 East 12th Street</v>
      </c>
      <c r="C2075" s="1" t="s">
        <v>277</v>
      </c>
      <c r="D2075" s="1" t="s">
        <v>41</v>
      </c>
      <c r="E2075" s="3">
        <v>4329496</v>
      </c>
      <c r="F2075" s="1">
        <v>2929.2936400541198</v>
      </c>
      <c r="G2075" s="1">
        <v>4</v>
      </c>
      <c r="H2075" s="1">
        <v>2</v>
      </c>
      <c r="I2075" s="1">
        <v>3</v>
      </c>
      <c r="J2075" s="1">
        <v>2.5</v>
      </c>
      <c r="K2075" s="1">
        <v>2</v>
      </c>
      <c r="L2075" s="1">
        <v>1</v>
      </c>
      <c r="M2075" s="4">
        <v>1478</v>
      </c>
      <c r="N2075" s="1">
        <v>1927</v>
      </c>
      <c r="O2075" s="1">
        <v>4871</v>
      </c>
      <c r="P2075" s="1">
        <v>2944</v>
      </c>
      <c r="Q2075" s="1" t="s">
        <v>42</v>
      </c>
      <c r="S2075" s="1" t="s">
        <v>42</v>
      </c>
      <c r="T2075" s="1" t="s">
        <v>273</v>
      </c>
      <c r="U2075" s="1">
        <v>4</v>
      </c>
      <c r="V2075" s="5">
        <v>43648</v>
      </c>
      <c r="W2075" s="5">
        <v>42581</v>
      </c>
      <c r="X2075" s="1">
        <v>4400000</v>
      </c>
      <c r="Y2075" s="1">
        <v>4425000</v>
      </c>
      <c r="Z2075" s="5">
        <v>42585</v>
      </c>
      <c r="AA2075" s="1">
        <v>4329496</v>
      </c>
      <c r="AB2075" s="1" t="s">
        <v>1150</v>
      </c>
      <c r="AC2075" s="5">
        <v>43601</v>
      </c>
      <c r="AF2075" s="1">
        <v>10003</v>
      </c>
      <c r="AI2075" s="1" t="s">
        <v>80</v>
      </c>
      <c r="AJ2075" s="1">
        <v>2018</v>
      </c>
      <c r="AK2075" s="1" t="s">
        <v>125</v>
      </c>
      <c r="AL2075" s="1">
        <v>52</v>
      </c>
    </row>
    <row r="2076" spans="1:38" x14ac:dyDescent="0.2">
      <c r="A2076" s="2" t="str">
        <f>HYPERLINK("https://www.compass.com/listing/21-east-12th-street-unit-7a-manhattan-ny-10003/29514931883787921/","21 E 12th St, Unit 7A")</f>
        <v>21 E 12th St, Unit 7A</v>
      </c>
      <c r="B2076" s="2" t="str">
        <f t="shared" si="331"/>
        <v>21 East 12th Street</v>
      </c>
      <c r="C2076" s="1" t="s">
        <v>277</v>
      </c>
      <c r="D2076" s="1" t="s">
        <v>41</v>
      </c>
      <c r="E2076" s="3">
        <v>4067812</v>
      </c>
      <c r="F2076" s="1">
        <v>2752.2408660351798</v>
      </c>
      <c r="G2076" s="1">
        <v>4</v>
      </c>
      <c r="H2076" s="1">
        <v>2</v>
      </c>
      <c r="I2076" s="1">
        <v>3</v>
      </c>
      <c r="J2076" s="1">
        <v>2.5</v>
      </c>
      <c r="K2076" s="1">
        <v>2</v>
      </c>
      <c r="L2076" s="1">
        <v>1</v>
      </c>
      <c r="M2076" s="4">
        <v>1478</v>
      </c>
      <c r="N2076" s="1">
        <v>1927</v>
      </c>
      <c r="O2076" s="1">
        <v>4871</v>
      </c>
      <c r="P2076" s="1">
        <v>2944</v>
      </c>
      <c r="Q2076" s="1" t="s">
        <v>42</v>
      </c>
      <c r="S2076" s="1" t="s">
        <v>42</v>
      </c>
      <c r="T2076" s="1" t="s">
        <v>273</v>
      </c>
      <c r="U2076" s="1">
        <v>250</v>
      </c>
      <c r="V2076" s="5">
        <v>43694</v>
      </c>
      <c r="W2076" s="5">
        <v>43120</v>
      </c>
      <c r="X2076" s="1">
        <v>4175000</v>
      </c>
      <c r="Y2076" s="1">
        <v>4175000</v>
      </c>
      <c r="Z2076" s="5">
        <v>43586</v>
      </c>
      <c r="AA2076" s="1">
        <v>4067812</v>
      </c>
      <c r="AB2076" s="1" t="s">
        <v>1151</v>
      </c>
      <c r="AC2076" s="5">
        <v>43631</v>
      </c>
      <c r="AF2076" s="1">
        <v>10003</v>
      </c>
      <c r="AI2076" s="1" t="s">
        <v>80</v>
      </c>
      <c r="AJ2076" s="1">
        <v>2018</v>
      </c>
      <c r="AK2076" s="1" t="s">
        <v>125</v>
      </c>
      <c r="AL2076" s="1">
        <v>52</v>
      </c>
    </row>
    <row r="2077" spans="1:38" x14ac:dyDescent="0.2">
      <c r="A2077" s="2" t="str">
        <f>HYPERLINK("https://www.compass.com/listing/21-east-12th-street-unit-6a-manhattan-ny-10003/85485151571774433/","21 E 12th St, Unit 6A")</f>
        <v>21 E 12th St, Unit 6A</v>
      </c>
      <c r="B2077" s="2" t="str">
        <f t="shared" si="331"/>
        <v>21 East 12th Street</v>
      </c>
      <c r="C2077" s="1" t="s">
        <v>277</v>
      </c>
      <c r="D2077" s="1" t="s">
        <v>41</v>
      </c>
      <c r="E2077" s="3">
        <v>3926358</v>
      </c>
      <c r="F2077" s="1">
        <v>2656.5345060893101</v>
      </c>
      <c r="G2077" s="1">
        <v>4</v>
      </c>
      <c r="H2077" s="1">
        <v>2</v>
      </c>
      <c r="I2077" s="1">
        <v>3</v>
      </c>
      <c r="J2077" s="1">
        <v>2.5</v>
      </c>
      <c r="K2077" s="1">
        <v>2</v>
      </c>
      <c r="L2077" s="1">
        <v>1</v>
      </c>
      <c r="M2077" s="4">
        <v>1478</v>
      </c>
      <c r="N2077" s="1">
        <v>1930</v>
      </c>
      <c r="O2077" s="1">
        <v>4874</v>
      </c>
      <c r="P2077" s="1">
        <v>2944</v>
      </c>
      <c r="Q2077" s="1" t="s">
        <v>42</v>
      </c>
      <c r="S2077" s="1" t="s">
        <v>42</v>
      </c>
      <c r="T2077" s="1" t="s">
        <v>273</v>
      </c>
      <c r="U2077" s="1">
        <v>210</v>
      </c>
      <c r="V2077" s="5">
        <v>43694</v>
      </c>
      <c r="W2077" s="5">
        <v>43370</v>
      </c>
      <c r="X2077" s="1">
        <v>4075000</v>
      </c>
      <c r="Y2077" s="1">
        <v>4075000</v>
      </c>
      <c r="Z2077" s="5">
        <v>43582</v>
      </c>
      <c r="AA2077" s="1">
        <v>3926358</v>
      </c>
      <c r="AB2077" s="1" t="s">
        <v>1152</v>
      </c>
      <c r="AC2077" s="5">
        <v>43631</v>
      </c>
      <c r="AF2077" s="1">
        <v>10003</v>
      </c>
      <c r="AI2077" s="1" t="s">
        <v>80</v>
      </c>
      <c r="AJ2077" s="1">
        <v>2018</v>
      </c>
      <c r="AK2077" s="1" t="s">
        <v>125</v>
      </c>
      <c r="AL2077" s="1">
        <v>52</v>
      </c>
    </row>
    <row r="2078" spans="1:38" x14ac:dyDescent="0.2">
      <c r="A2078" s="2" t="str">
        <f>HYPERLINK("https://www.compass.com/listing/225-west-17th-street-unit-ph2-manhattan-ny-10011/502215522520382433/","225 W 17th St, Unit PH2")</f>
        <v>225 W 17th St, Unit PH2</v>
      </c>
      <c r="B2078" s="2" t="str">
        <f>HYPERLINK("https://www.compass.com/building/225-west-17th-street-manhattan-ny/292802090781141541/","225 West 17th Street")</f>
        <v>225 West 17th Street</v>
      </c>
      <c r="C2078" s="1" t="s">
        <v>62</v>
      </c>
      <c r="D2078" s="1" t="s">
        <v>41</v>
      </c>
      <c r="E2078" s="3">
        <v>5550000</v>
      </c>
      <c r="F2078" s="1">
        <v>2195.4113924050598</v>
      </c>
      <c r="H2078" s="1">
        <v>3</v>
      </c>
      <c r="J2078" s="1">
        <v>3.5</v>
      </c>
      <c r="K2078" s="1">
        <v>3</v>
      </c>
      <c r="L2078" s="1">
        <v>1</v>
      </c>
      <c r="M2078" s="4">
        <v>2528</v>
      </c>
      <c r="N2078" s="1">
        <v>1564</v>
      </c>
      <c r="O2078" s="1">
        <v>4952</v>
      </c>
      <c r="P2078" s="1">
        <v>3388</v>
      </c>
      <c r="Q2078" s="1" t="s">
        <v>42</v>
      </c>
      <c r="S2078" s="1" t="s">
        <v>42</v>
      </c>
      <c r="T2078" s="1" t="s">
        <v>273</v>
      </c>
      <c r="AA2078" s="1">
        <v>5550000</v>
      </c>
      <c r="AB2078" s="1" t="s">
        <v>1153</v>
      </c>
      <c r="AC2078" s="5">
        <v>43619</v>
      </c>
      <c r="AF2078" s="1">
        <v>10011</v>
      </c>
      <c r="AI2078" s="1" t="s">
        <v>177</v>
      </c>
      <c r="AJ2078" s="1">
        <v>2018</v>
      </c>
      <c r="AK2078" s="1" t="s">
        <v>73</v>
      </c>
      <c r="AL2078" s="1">
        <v>14</v>
      </c>
    </row>
    <row r="2079" spans="1:38" x14ac:dyDescent="0.2">
      <c r="A2079" s="2" t="str">
        <f>HYPERLINK("https://www.compass.com/listing/63-greene-street-unit-5b-manhattan-ny-10012/13087406240672609/","63 Greene St, Unit 5B")</f>
        <v>63 Greene St, Unit 5B</v>
      </c>
      <c r="B2079" s="2" t="str">
        <f t="shared" ref="B2079:B2081" si="332">HYPERLINK("https://www.compass.com/building/63-greene-street-manhattan-ny/292812252044627637/","63 Greene Street")</f>
        <v>63 Greene Street</v>
      </c>
      <c r="C2079" s="1" t="s">
        <v>298</v>
      </c>
      <c r="D2079" s="1" t="s">
        <v>41</v>
      </c>
      <c r="E2079" s="3">
        <v>4350000</v>
      </c>
      <c r="F2079" s="1">
        <v>2102.46495891735</v>
      </c>
      <c r="G2079" s="1">
        <v>4</v>
      </c>
      <c r="H2079" s="1">
        <v>2</v>
      </c>
      <c r="I2079" s="1">
        <v>3</v>
      </c>
      <c r="J2079" s="1">
        <v>2.5</v>
      </c>
      <c r="M2079" s="4">
        <v>2069</v>
      </c>
      <c r="N2079" s="1">
        <v>2073</v>
      </c>
      <c r="O2079" s="1">
        <v>4500</v>
      </c>
      <c r="P2079" s="1">
        <v>2427</v>
      </c>
      <c r="Q2079" s="1" t="s">
        <v>42</v>
      </c>
      <c r="S2079" s="1" t="s">
        <v>42</v>
      </c>
      <c r="T2079" s="1" t="s">
        <v>273</v>
      </c>
      <c r="U2079" s="1">
        <v>410</v>
      </c>
      <c r="V2079" s="5">
        <v>43638</v>
      </c>
      <c r="W2079" s="5">
        <v>42440</v>
      </c>
      <c r="X2079" s="1">
        <v>5450000</v>
      </c>
      <c r="Y2079" s="1">
        <v>4950000</v>
      </c>
      <c r="Z2079" s="5">
        <v>42850</v>
      </c>
      <c r="AA2079" s="1">
        <v>4350000</v>
      </c>
      <c r="AB2079" s="1" t="s">
        <v>1121</v>
      </c>
      <c r="AC2079" s="5">
        <v>42895</v>
      </c>
      <c r="AF2079" s="1">
        <v>10012</v>
      </c>
      <c r="AI2079" s="1" t="s">
        <v>140</v>
      </c>
      <c r="AJ2079" s="1">
        <v>1877</v>
      </c>
      <c r="AK2079" s="1" t="s">
        <v>239</v>
      </c>
      <c r="AL2079" s="1">
        <v>23</v>
      </c>
    </row>
    <row r="2080" spans="1:38" x14ac:dyDescent="0.2">
      <c r="A2080" s="2" t="str">
        <f>HYPERLINK("https://www.compass.com/listing/63-greene-street-unit-phb-manhattan-ny-10012/19416289550349729/","63 Greene St, Unit PHB")</f>
        <v>63 Greene St, Unit PHB</v>
      </c>
      <c r="B2080" s="2" t="str">
        <f t="shared" si="332"/>
        <v>63 Greene Street</v>
      </c>
      <c r="C2080" s="1" t="s">
        <v>298</v>
      </c>
      <c r="D2080" s="1" t="s">
        <v>41</v>
      </c>
      <c r="E2080" s="3">
        <v>4582125</v>
      </c>
      <c r="F2080" s="1">
        <v>2382.8003120124799</v>
      </c>
      <c r="G2080" s="1">
        <v>4</v>
      </c>
      <c r="H2080" s="1">
        <v>2</v>
      </c>
      <c r="I2080" s="1">
        <v>3</v>
      </c>
      <c r="J2080" s="1">
        <v>2.5</v>
      </c>
      <c r="M2080" s="4">
        <v>1923</v>
      </c>
      <c r="N2080" s="1">
        <v>2241</v>
      </c>
      <c r="O2080" s="1">
        <v>6584</v>
      </c>
      <c r="P2080" s="1">
        <v>4343</v>
      </c>
      <c r="Q2080" s="1" t="s">
        <v>42</v>
      </c>
      <c r="S2080" s="1" t="s">
        <v>42</v>
      </c>
      <c r="T2080" s="1" t="s">
        <v>273</v>
      </c>
      <c r="U2080" s="1">
        <v>509</v>
      </c>
      <c r="V2080" s="5">
        <v>43648</v>
      </c>
      <c r="W2080" s="5">
        <v>42637</v>
      </c>
      <c r="X2080" s="1">
        <v>5195000</v>
      </c>
      <c r="Y2080" s="1">
        <v>4450000</v>
      </c>
      <c r="Z2080" s="5">
        <v>43146</v>
      </c>
      <c r="AA2080" s="1">
        <v>4582125</v>
      </c>
      <c r="AB2080" s="1" t="s">
        <v>1154</v>
      </c>
      <c r="AC2080" s="5">
        <v>43168</v>
      </c>
      <c r="AF2080" s="1">
        <v>10012</v>
      </c>
      <c r="AI2080" s="1" t="s">
        <v>1155</v>
      </c>
      <c r="AJ2080" s="1">
        <v>1877</v>
      </c>
      <c r="AK2080" s="1" t="s">
        <v>146</v>
      </c>
      <c r="AL2080" s="1">
        <v>23</v>
      </c>
    </row>
    <row r="2081" spans="1:38" x14ac:dyDescent="0.2">
      <c r="A2081" s="2" t="str">
        <f>HYPERLINK("https://www.compass.com/listing/63-greene-street-unit-phb-manhattan-ny-10012/803351504773570505/","63 Greene St, Unit PHB")</f>
        <v>63 Greene St, Unit PHB</v>
      </c>
      <c r="B2081" s="2" t="str">
        <f t="shared" si="332"/>
        <v>63 Greene Street</v>
      </c>
      <c r="C2081" s="1" t="s">
        <v>298</v>
      </c>
      <c r="D2081" s="1" t="s">
        <v>41</v>
      </c>
      <c r="E2081" s="3">
        <v>4582125</v>
      </c>
      <c r="F2081" s="1">
        <v>2382.8003120124799</v>
      </c>
      <c r="G2081" s="1">
        <v>4</v>
      </c>
      <c r="H2081" s="1">
        <v>2</v>
      </c>
      <c r="I2081" s="1">
        <v>3</v>
      </c>
      <c r="J2081" s="1">
        <v>2.5</v>
      </c>
      <c r="K2081" s="1">
        <v>2</v>
      </c>
      <c r="L2081" s="1">
        <v>1</v>
      </c>
      <c r="M2081" s="4">
        <v>1923</v>
      </c>
      <c r="N2081" s="1">
        <v>2241</v>
      </c>
      <c r="O2081" s="1">
        <v>6584</v>
      </c>
      <c r="P2081" s="1">
        <v>4343</v>
      </c>
      <c r="Q2081" s="1" t="s">
        <v>42</v>
      </c>
      <c r="S2081" s="1" t="s">
        <v>42</v>
      </c>
      <c r="T2081" s="1" t="s">
        <v>273</v>
      </c>
      <c r="U2081" s="1">
        <v>533</v>
      </c>
      <c r="V2081" s="5">
        <v>43678</v>
      </c>
      <c r="W2081" s="5">
        <v>42635</v>
      </c>
      <c r="X2081" s="1">
        <v>5195000</v>
      </c>
      <c r="Y2081" s="1">
        <v>5195000</v>
      </c>
      <c r="AA2081" s="1">
        <v>4582125</v>
      </c>
      <c r="AB2081" s="1" t="s">
        <v>1154</v>
      </c>
      <c r="AC2081" s="5">
        <v>43168</v>
      </c>
      <c r="AF2081" s="1">
        <v>10012</v>
      </c>
      <c r="AI2081" s="1" t="s">
        <v>1156</v>
      </c>
      <c r="AJ2081" s="1">
        <v>1877</v>
      </c>
      <c r="AK2081" s="1" t="s">
        <v>146</v>
      </c>
      <c r="AL2081" s="1">
        <v>23</v>
      </c>
    </row>
    <row r="2082" spans="1:38" x14ac:dyDescent="0.2">
      <c r="A2082" s="2" t="str">
        <f>HYPERLINK("https://www.compass.com/listing/121-east-22nd-street-unit-n1006-manhattan-ny-10010/429940705293975041/","121 E 22nd St, Unit N1006")</f>
        <v>121 E 22nd St, Unit N1006</v>
      </c>
      <c r="B2082" s="2" t="str">
        <f t="shared" ref="B2082:B2083" si="333">HYPERLINK("https://www.compass.com/building/121-e-22nd-manhattan-ny/292795784653461493/","121 E 22nd")</f>
        <v>121 E 22nd</v>
      </c>
      <c r="C2082" s="1" t="s">
        <v>64</v>
      </c>
      <c r="D2082" s="1" t="s">
        <v>41</v>
      </c>
      <c r="E2082" s="3">
        <v>5150000</v>
      </c>
      <c r="F2082" s="1">
        <v>2075.7758968158</v>
      </c>
      <c r="H2082" s="1">
        <v>3</v>
      </c>
      <c r="J2082" s="1">
        <v>3.5</v>
      </c>
      <c r="K2082" s="1">
        <v>3</v>
      </c>
      <c r="L2082" s="1">
        <v>1</v>
      </c>
      <c r="M2082" s="4">
        <v>2481</v>
      </c>
      <c r="N2082" s="1">
        <v>2540</v>
      </c>
      <c r="O2082" s="1">
        <v>7019</v>
      </c>
      <c r="P2082" s="1">
        <v>4479</v>
      </c>
      <c r="Q2082" s="1" t="s">
        <v>42</v>
      </c>
      <c r="S2082" s="1" t="s">
        <v>42</v>
      </c>
      <c r="T2082" s="1" t="s">
        <v>273</v>
      </c>
      <c r="AA2082" s="1">
        <v>5150000</v>
      </c>
      <c r="AB2082" s="1" t="s">
        <v>1157</v>
      </c>
      <c r="AC2082" s="5">
        <v>43789</v>
      </c>
      <c r="AF2082" s="1">
        <v>10010</v>
      </c>
      <c r="AI2082" s="1" t="s">
        <v>66</v>
      </c>
      <c r="AJ2082" s="1">
        <v>2016</v>
      </c>
      <c r="AK2082" s="1" t="s">
        <v>55</v>
      </c>
      <c r="AL2082" s="1">
        <v>140</v>
      </c>
    </row>
    <row r="2083" spans="1:38" x14ac:dyDescent="0.2">
      <c r="A2083" s="2" t="str">
        <f>HYPERLINK("https://www.compass.com/listing/121-east-22nd-street-unit-n806-manhattan-ny-10010/653594861812259761/","121 E 22nd St, Unit N806")</f>
        <v>121 E 22nd St, Unit N806</v>
      </c>
      <c r="B2083" s="2" t="str">
        <f t="shared" si="333"/>
        <v>121 E 22nd</v>
      </c>
      <c r="C2083" s="1" t="s">
        <v>64</v>
      </c>
      <c r="D2083" s="1" t="s">
        <v>41</v>
      </c>
      <c r="E2083" s="3">
        <v>4752015</v>
      </c>
      <c r="F2083" s="1">
        <v>1913.81997583568</v>
      </c>
      <c r="H2083" s="1">
        <v>3</v>
      </c>
      <c r="J2083" s="1">
        <v>3.5</v>
      </c>
      <c r="M2083" s="4">
        <v>2483</v>
      </c>
      <c r="N2083" s="1">
        <v>2524</v>
      </c>
      <c r="O2083" s="1">
        <v>6972</v>
      </c>
      <c r="P2083" s="1">
        <v>4448</v>
      </c>
      <c r="Q2083" s="1" t="s">
        <v>42</v>
      </c>
      <c r="S2083" s="1" t="s">
        <v>42</v>
      </c>
      <c r="T2083" s="1" t="s">
        <v>273</v>
      </c>
      <c r="AA2083" s="1">
        <v>4752015</v>
      </c>
      <c r="AB2083" s="1" t="s">
        <v>1158</v>
      </c>
      <c r="AC2083" s="5">
        <v>44098</v>
      </c>
      <c r="AF2083" s="1">
        <v>10010</v>
      </c>
      <c r="AI2083" s="1" t="s">
        <v>66</v>
      </c>
      <c r="AJ2083" s="1">
        <v>2016</v>
      </c>
      <c r="AK2083" s="1" t="s">
        <v>55</v>
      </c>
      <c r="AL2083" s="1">
        <v>140</v>
      </c>
    </row>
    <row r="2084" spans="1:38" x14ac:dyDescent="0.2">
      <c r="A2084" s="2" t="str">
        <f>HYPERLINK("https://www.compass.com/listing/21-east-12th-street-unit-pha-manhattan-ny-10003/29514926548633057/","21 E 12th St, Unit PHA")</f>
        <v>21 E 12th St, Unit PHA</v>
      </c>
      <c r="B2084" s="2" t="str">
        <f t="shared" ref="B2084:B2086" si="334">HYPERLINK("https://www.compass.com/building/21-east-12th-street-manhattan-ny/292779727154847925/","21 East 12th Street")</f>
        <v>21 East 12th Street</v>
      </c>
      <c r="C2084" s="1" t="s">
        <v>277</v>
      </c>
      <c r="D2084" s="1" t="s">
        <v>41</v>
      </c>
      <c r="E2084" s="3">
        <v>15001496</v>
      </c>
      <c r="F2084" s="1">
        <v>4617.2655032317598</v>
      </c>
      <c r="G2084" s="1">
        <v>5</v>
      </c>
      <c r="H2084" s="1">
        <v>3</v>
      </c>
      <c r="I2084" s="1">
        <v>4</v>
      </c>
      <c r="J2084" s="1">
        <v>3.5</v>
      </c>
      <c r="K2084" s="1">
        <v>3</v>
      </c>
      <c r="L2084" s="1">
        <v>1</v>
      </c>
      <c r="M2084" s="4">
        <v>3249</v>
      </c>
      <c r="N2084" s="1">
        <v>4382</v>
      </c>
      <c r="O2084" s="1">
        <v>11047</v>
      </c>
      <c r="P2084" s="1">
        <v>6665</v>
      </c>
      <c r="Q2084" s="1" t="s">
        <v>42</v>
      </c>
      <c r="S2084" s="1" t="s">
        <v>42</v>
      </c>
      <c r="T2084" s="1" t="s">
        <v>273</v>
      </c>
      <c r="V2084" s="5">
        <v>43775</v>
      </c>
      <c r="W2084" s="5">
        <v>42584</v>
      </c>
      <c r="X2084" s="1">
        <v>14750000</v>
      </c>
      <c r="Y2084" s="1">
        <v>15500000</v>
      </c>
      <c r="Z2084" s="5">
        <v>42585</v>
      </c>
      <c r="AA2084" s="1">
        <v>15001495.619999999</v>
      </c>
      <c r="AB2084" s="1" t="s">
        <v>1159</v>
      </c>
      <c r="AC2084" s="5">
        <v>43735</v>
      </c>
      <c r="AF2084" s="1">
        <v>10003</v>
      </c>
      <c r="AI2084" s="1" t="s">
        <v>1160</v>
      </c>
      <c r="AJ2084" s="1">
        <v>2018</v>
      </c>
      <c r="AK2084" s="1" t="s">
        <v>125</v>
      </c>
      <c r="AL2084" s="1">
        <v>52</v>
      </c>
    </row>
    <row r="2085" spans="1:38" x14ac:dyDescent="0.2">
      <c r="A2085" s="2" t="str">
        <f>HYPERLINK("https://www.compass.com/listing/21-east-12th-street-unit-5a-manhattan-ny-10003/29514934576503873/","21 E 12th St, Unit 5A")</f>
        <v>21 E 12th St, Unit 5A</v>
      </c>
      <c r="B2085" s="2" t="str">
        <f t="shared" si="334"/>
        <v>21 East 12th Street</v>
      </c>
      <c r="C2085" s="1" t="s">
        <v>277</v>
      </c>
      <c r="D2085" s="1" t="s">
        <v>41</v>
      </c>
      <c r="E2085" s="3">
        <v>3886358</v>
      </c>
      <c r="F2085" s="1">
        <v>2629.47090663058</v>
      </c>
      <c r="G2085" s="1">
        <v>4</v>
      </c>
      <c r="H2085" s="1">
        <v>2</v>
      </c>
      <c r="I2085" s="1">
        <v>3</v>
      </c>
      <c r="J2085" s="1">
        <v>2.5</v>
      </c>
      <c r="K2085" s="1">
        <v>2</v>
      </c>
      <c r="L2085" s="1">
        <v>1</v>
      </c>
      <c r="M2085" s="4">
        <v>1478</v>
      </c>
      <c r="N2085" s="1">
        <v>1927</v>
      </c>
      <c r="O2085" s="1">
        <v>4871</v>
      </c>
      <c r="P2085" s="1">
        <v>2944</v>
      </c>
      <c r="Q2085" s="1" t="s">
        <v>42</v>
      </c>
      <c r="S2085" s="1" t="s">
        <v>42</v>
      </c>
      <c r="T2085" s="1" t="s">
        <v>273</v>
      </c>
      <c r="U2085" s="1">
        <v>417</v>
      </c>
      <c r="V2085" s="5">
        <v>43637</v>
      </c>
      <c r="W2085" s="5">
        <v>42950</v>
      </c>
      <c r="X2085" s="1">
        <v>3950000</v>
      </c>
      <c r="Y2085" s="1">
        <v>3975000</v>
      </c>
      <c r="Z2085" s="5">
        <v>43367</v>
      </c>
      <c r="AA2085" s="1">
        <v>3886358</v>
      </c>
      <c r="AB2085" s="1" t="s">
        <v>1161</v>
      </c>
      <c r="AC2085" s="5">
        <v>43551</v>
      </c>
      <c r="AF2085" s="1">
        <v>10003</v>
      </c>
      <c r="AI2085" s="1" t="s">
        <v>1015</v>
      </c>
      <c r="AJ2085" s="1">
        <v>2018</v>
      </c>
      <c r="AK2085" s="1" t="s">
        <v>125</v>
      </c>
      <c r="AL2085" s="1">
        <v>52</v>
      </c>
    </row>
    <row r="2086" spans="1:38" x14ac:dyDescent="0.2">
      <c r="A2086" s="2" t="str">
        <f>HYPERLINK("https://www.compass.com/listing/21-east-12th-street-unit-8a-manhattan-ny-10003/29514935398587473/","21 E 12th St, Unit 8A")</f>
        <v>21 E 12th St, Unit 8A</v>
      </c>
      <c r="B2086" s="2" t="str">
        <f t="shared" si="334"/>
        <v>21 East 12th Street</v>
      </c>
      <c r="C2086" s="1" t="s">
        <v>277</v>
      </c>
      <c r="D2086" s="1" t="s">
        <v>41</v>
      </c>
      <c r="E2086" s="3">
        <v>4173771</v>
      </c>
      <c r="F2086" s="1">
        <v>2823.9315629228599</v>
      </c>
      <c r="G2086" s="1">
        <v>4.5</v>
      </c>
      <c r="H2086" s="1">
        <v>2</v>
      </c>
      <c r="I2086" s="1">
        <v>3</v>
      </c>
      <c r="J2086" s="1">
        <v>2.5</v>
      </c>
      <c r="K2086" s="1">
        <v>2</v>
      </c>
      <c r="L2086" s="1">
        <v>1</v>
      </c>
      <c r="M2086" s="4">
        <v>1478</v>
      </c>
      <c r="N2086" s="1">
        <v>1927</v>
      </c>
      <c r="O2086" s="1">
        <v>4871</v>
      </c>
      <c r="P2086" s="1">
        <v>2944</v>
      </c>
      <c r="Q2086" s="1" t="s">
        <v>42</v>
      </c>
      <c r="S2086" s="1" t="s">
        <v>42</v>
      </c>
      <c r="T2086" s="1" t="s">
        <v>273</v>
      </c>
      <c r="U2086" s="1">
        <v>92</v>
      </c>
      <c r="V2086" s="5">
        <v>43631</v>
      </c>
      <c r="W2086" s="5">
        <v>43030</v>
      </c>
      <c r="X2086" s="1">
        <v>4200000</v>
      </c>
      <c r="Y2086" s="1">
        <v>4225000</v>
      </c>
      <c r="Z2086" s="5">
        <v>43123</v>
      </c>
      <c r="AA2086" s="1">
        <v>4173770.85</v>
      </c>
      <c r="AB2086" s="1" t="s">
        <v>1162</v>
      </c>
      <c r="AC2086" s="5">
        <v>43572</v>
      </c>
      <c r="AF2086" s="1">
        <v>10003</v>
      </c>
      <c r="AI2086" s="1" t="s">
        <v>80</v>
      </c>
      <c r="AJ2086" s="1">
        <v>2018</v>
      </c>
      <c r="AK2086" s="1" t="s">
        <v>125</v>
      </c>
      <c r="AL2086" s="1">
        <v>52</v>
      </c>
    </row>
    <row r="2087" spans="1:38" x14ac:dyDescent="0.2">
      <c r="A2087" s="2" t="str">
        <f>HYPERLINK("https://www.compass.com/listing/100-west-80th-street-unit-9bc-manhattan-ny-10024/4845830740505531297/","100 W 80th St, Unit 9BC")</f>
        <v>100 W 80th St, Unit 9BC</v>
      </c>
      <c r="B2087" s="2" t="str">
        <f>HYPERLINK("https://www.compass.com/building/the-orleans-manhattan-ny/281961359686577973/","The Orleans")</f>
        <v>The Orleans</v>
      </c>
      <c r="C2087" s="1" t="s">
        <v>57</v>
      </c>
      <c r="D2087" s="1" t="s">
        <v>41</v>
      </c>
      <c r="E2087" s="3">
        <v>4950000</v>
      </c>
      <c r="F2087" s="1">
        <v>1875.7104964001501</v>
      </c>
      <c r="G2087" s="1">
        <v>9</v>
      </c>
      <c r="H2087" s="1">
        <v>5</v>
      </c>
      <c r="I2087" s="1">
        <v>4</v>
      </c>
      <c r="J2087" s="1">
        <v>4</v>
      </c>
      <c r="K2087" s="1">
        <v>4</v>
      </c>
      <c r="M2087" s="4">
        <v>2639</v>
      </c>
      <c r="N2087" s="1">
        <v>3995</v>
      </c>
      <c r="O2087" s="1">
        <v>8243</v>
      </c>
      <c r="P2087" s="1">
        <v>4248</v>
      </c>
      <c r="Q2087" s="1" t="s">
        <v>42</v>
      </c>
      <c r="S2087" s="1" t="s">
        <v>42</v>
      </c>
      <c r="T2087" s="1" t="s">
        <v>273</v>
      </c>
      <c r="U2087" s="1">
        <v>343</v>
      </c>
      <c r="V2087" s="5">
        <v>43770</v>
      </c>
      <c r="W2087" s="5">
        <v>42810</v>
      </c>
      <c r="X2087" s="1">
        <v>5975000</v>
      </c>
      <c r="Y2087" s="1">
        <v>5245000</v>
      </c>
      <c r="Z2087" s="5">
        <v>43153</v>
      </c>
      <c r="AA2087" s="1">
        <v>4950000</v>
      </c>
      <c r="AB2087" s="1" t="s">
        <v>275</v>
      </c>
      <c r="AC2087" s="5">
        <v>43207</v>
      </c>
      <c r="AF2087" s="1">
        <v>10024</v>
      </c>
      <c r="AJ2087" s="1">
        <v>1900</v>
      </c>
      <c r="AK2087" s="1" t="s">
        <v>146</v>
      </c>
      <c r="AL2087" s="1">
        <v>24</v>
      </c>
    </row>
    <row r="2088" spans="1:38" x14ac:dyDescent="0.2">
      <c r="A2088" s="2" t="str">
        <f>HYPERLINK("https://www.compass.com/listing/121-east-22nd-street-unit-n1604-manhattan-ny-10010/201233866290208785/","121 E 22nd St, Unit N1604")</f>
        <v>121 E 22nd St, Unit N1604</v>
      </c>
      <c r="B2088" s="2" t="str">
        <f>HYPERLINK("https://www.compass.com/building/121-e-22nd-manhattan-ny/292795784653461493/","121 E 22nd")</f>
        <v>121 E 22nd</v>
      </c>
      <c r="C2088" s="1" t="s">
        <v>64</v>
      </c>
      <c r="D2088" s="1" t="s">
        <v>41</v>
      </c>
      <c r="E2088" s="3">
        <v>2355212</v>
      </c>
      <c r="F2088" s="1">
        <v>2087.9539007092199</v>
      </c>
      <c r="G2088" s="1">
        <v>3.5</v>
      </c>
      <c r="H2088" s="1">
        <v>1</v>
      </c>
      <c r="I2088" s="1">
        <v>2</v>
      </c>
      <c r="J2088" s="1">
        <v>1.5</v>
      </c>
      <c r="K2088" s="1">
        <v>1</v>
      </c>
      <c r="L2088" s="1">
        <v>1</v>
      </c>
      <c r="M2088" s="4">
        <v>1128</v>
      </c>
      <c r="N2088" s="1">
        <v>1260</v>
      </c>
      <c r="O2088" s="1">
        <v>3504</v>
      </c>
      <c r="P2088" s="1">
        <v>2244</v>
      </c>
      <c r="Q2088" s="1" t="s">
        <v>42</v>
      </c>
      <c r="S2088" s="1" t="s">
        <v>42</v>
      </c>
      <c r="T2088" s="1" t="s">
        <v>273</v>
      </c>
      <c r="V2088" s="5">
        <v>44373</v>
      </c>
      <c r="W2088" s="5">
        <v>43529</v>
      </c>
      <c r="X2088" s="1">
        <v>2410000</v>
      </c>
      <c r="Y2088" s="1">
        <v>2410000</v>
      </c>
      <c r="Z2088" s="5">
        <v>43529</v>
      </c>
      <c r="AA2088" s="1">
        <v>2355212</v>
      </c>
      <c r="AB2088" s="1" t="s">
        <v>275</v>
      </c>
      <c r="AC2088" s="5">
        <v>43649</v>
      </c>
      <c r="AF2088" s="1">
        <v>10010</v>
      </c>
      <c r="AI2088" s="1" t="s">
        <v>234</v>
      </c>
      <c r="AJ2088" s="1">
        <v>2016</v>
      </c>
      <c r="AK2088" s="1" t="s">
        <v>108</v>
      </c>
      <c r="AL2088" s="1">
        <v>140</v>
      </c>
    </row>
    <row r="2089" spans="1:38" x14ac:dyDescent="0.2">
      <c r="A2089" s="2" t="str">
        <f>HYPERLINK("https://www.compass.com/listing/498-west-end-avenue-unit-8a-manhattan-ny-10024/259238277423331313/","498 W End Ave, Unit 8A")</f>
        <v>498 W End Ave, Unit 8A</v>
      </c>
      <c r="B2089" s="2" t="str">
        <f>HYPERLINK("https://www.compass.com/building/498-w-end-ave-manhattan-ny-10024/281925430842268789/","498 W End Ave")</f>
        <v>498 W End Ave</v>
      </c>
      <c r="C2089" s="1" t="s">
        <v>57</v>
      </c>
      <c r="D2089" s="1" t="s">
        <v>41</v>
      </c>
      <c r="E2089" s="3">
        <v>3870000</v>
      </c>
      <c r="F2089" s="1">
        <v>1849.02054467271</v>
      </c>
      <c r="G2089" s="1">
        <v>5</v>
      </c>
      <c r="H2089" s="1">
        <v>3</v>
      </c>
      <c r="I2089" s="1">
        <v>2</v>
      </c>
      <c r="J2089" s="1">
        <v>2</v>
      </c>
      <c r="K2089" s="1">
        <v>2</v>
      </c>
      <c r="M2089" s="4">
        <v>2093</v>
      </c>
      <c r="N2089" s="1">
        <v>1973</v>
      </c>
      <c r="O2089" s="1">
        <v>4251</v>
      </c>
      <c r="P2089" s="1">
        <v>2278</v>
      </c>
      <c r="Q2089" s="1" t="s">
        <v>42</v>
      </c>
      <c r="S2089" s="1" t="s">
        <v>42</v>
      </c>
      <c r="T2089" s="1" t="s">
        <v>273</v>
      </c>
      <c r="U2089" s="1">
        <v>563</v>
      </c>
      <c r="V2089" s="5">
        <v>44330</v>
      </c>
      <c r="W2089" s="5">
        <v>43609</v>
      </c>
      <c r="X2089" s="1">
        <v>1</v>
      </c>
      <c r="Y2089" s="1">
        <v>3995000</v>
      </c>
      <c r="Z2089" s="5">
        <v>44267</v>
      </c>
      <c r="AA2089" s="1">
        <v>3870000</v>
      </c>
      <c r="AB2089" s="1" t="s">
        <v>1163</v>
      </c>
      <c r="AC2089" s="5">
        <v>44323</v>
      </c>
      <c r="AF2089" s="1">
        <v>10024</v>
      </c>
      <c r="AJ2089" s="1">
        <v>1912</v>
      </c>
      <c r="AK2089" s="1" t="s">
        <v>46</v>
      </c>
      <c r="AL2089" s="1">
        <v>19</v>
      </c>
    </row>
    <row r="2090" spans="1:38" x14ac:dyDescent="0.2">
      <c r="A2090" s="2" t="str">
        <f>HYPERLINK("https://www.compass.com/listing/63-greene-street-unit-5d-manhattan-ny-10012/19416289843933121/","63 Greene St, Unit 5D")</f>
        <v>63 Greene St, Unit 5D</v>
      </c>
      <c r="B2090" s="2" t="str">
        <f t="shared" ref="B2090:B2093" si="335">HYPERLINK("https://www.compass.com/building/63-greene-street-manhattan-ny/292812252044627637/","63 Greene Street")</f>
        <v>63 Greene Street</v>
      </c>
      <c r="C2090" s="1" t="s">
        <v>298</v>
      </c>
      <c r="D2090" s="1" t="s">
        <v>41</v>
      </c>
      <c r="E2090" s="3">
        <v>3000000</v>
      </c>
      <c r="F2090" s="1">
        <v>1556.01659751037</v>
      </c>
      <c r="G2090" s="1">
        <v>4</v>
      </c>
      <c r="H2090" s="1">
        <v>2</v>
      </c>
      <c r="I2090" s="1">
        <v>3</v>
      </c>
      <c r="J2090" s="1">
        <v>2.5</v>
      </c>
      <c r="M2090" s="4">
        <v>1928</v>
      </c>
      <c r="N2090" s="1">
        <v>1916</v>
      </c>
      <c r="O2090" s="1">
        <v>5624</v>
      </c>
      <c r="P2090" s="1">
        <v>3708</v>
      </c>
      <c r="Q2090" s="1" t="s">
        <v>42</v>
      </c>
      <c r="S2090" s="1" t="s">
        <v>42</v>
      </c>
      <c r="T2090" s="1" t="s">
        <v>273</v>
      </c>
      <c r="U2090" s="1">
        <v>579</v>
      </c>
      <c r="V2090" s="5">
        <v>43654</v>
      </c>
      <c r="W2090" s="5">
        <v>42567</v>
      </c>
      <c r="X2090" s="1">
        <v>4500000</v>
      </c>
      <c r="Y2090" s="1">
        <v>3450000</v>
      </c>
      <c r="Z2090" s="5">
        <v>43146</v>
      </c>
      <c r="AA2090" s="1">
        <v>3000000</v>
      </c>
      <c r="AB2090" s="1" t="s">
        <v>1164</v>
      </c>
      <c r="AC2090" s="5">
        <v>43157</v>
      </c>
      <c r="AF2090" s="1">
        <v>10012</v>
      </c>
      <c r="AI2090" s="1" t="s">
        <v>140</v>
      </c>
      <c r="AJ2090" s="1">
        <v>1877</v>
      </c>
      <c r="AK2090" s="1" t="s">
        <v>146</v>
      </c>
      <c r="AL2090" s="1">
        <v>23</v>
      </c>
    </row>
    <row r="2091" spans="1:38" x14ac:dyDescent="0.2">
      <c r="A2091" s="2" t="str">
        <f>HYPERLINK("https://www.compass.com/listing/63-greene-street-unit-5d-manhattan-ny-10012/803306199696815841/","63 Greene St, Unit 5D")</f>
        <v>63 Greene St, Unit 5D</v>
      </c>
      <c r="B2091" s="2" t="str">
        <f t="shared" si="335"/>
        <v>63 Greene Street</v>
      </c>
      <c r="C2091" s="1" t="s">
        <v>298</v>
      </c>
      <c r="D2091" s="1" t="s">
        <v>41</v>
      </c>
      <c r="E2091" s="3">
        <v>3000000</v>
      </c>
      <c r="F2091" s="1">
        <v>1556.01659751037</v>
      </c>
      <c r="G2091" s="1">
        <v>4</v>
      </c>
      <c r="H2091" s="1">
        <v>2</v>
      </c>
      <c r="I2091" s="1">
        <v>3</v>
      </c>
      <c r="J2091" s="1">
        <v>2.5</v>
      </c>
      <c r="K2091" s="1">
        <v>2</v>
      </c>
      <c r="L2091" s="1">
        <v>1</v>
      </c>
      <c r="M2091" s="4">
        <v>1928</v>
      </c>
      <c r="N2091" s="1">
        <v>1916</v>
      </c>
      <c r="O2091" s="1">
        <v>5624</v>
      </c>
      <c r="P2091" s="1">
        <v>3708</v>
      </c>
      <c r="Q2091" s="1" t="s">
        <v>42</v>
      </c>
      <c r="S2091" s="1" t="s">
        <v>42</v>
      </c>
      <c r="T2091" s="1" t="s">
        <v>273</v>
      </c>
      <c r="U2091" s="1">
        <v>591</v>
      </c>
      <c r="V2091" s="5">
        <v>43678</v>
      </c>
      <c r="W2091" s="5">
        <v>42566</v>
      </c>
      <c r="X2091" s="1">
        <v>4500000</v>
      </c>
      <c r="Y2091" s="1">
        <v>4500000</v>
      </c>
      <c r="AA2091" s="1">
        <v>3000000</v>
      </c>
      <c r="AB2091" s="1" t="s">
        <v>1164</v>
      </c>
      <c r="AC2091" s="5">
        <v>43157</v>
      </c>
      <c r="AF2091" s="1">
        <v>10012</v>
      </c>
      <c r="AI2091" s="1" t="s">
        <v>140</v>
      </c>
      <c r="AJ2091" s="1">
        <v>1877</v>
      </c>
      <c r="AK2091" s="1" t="s">
        <v>146</v>
      </c>
      <c r="AL2091" s="1">
        <v>23</v>
      </c>
    </row>
    <row r="2092" spans="1:38" x14ac:dyDescent="0.2">
      <c r="A2092" s="2" t="str">
        <f>HYPERLINK("https://www.compass.com/listing/63-greene-street-unit-phc-manhattan-ny-10012/19416289231624513/","63 Greene St, Unit PHC")</f>
        <v>63 Greene St, Unit PHC</v>
      </c>
      <c r="B2092" s="2" t="str">
        <f t="shared" si="335"/>
        <v>63 Greene Street</v>
      </c>
      <c r="C2092" s="1" t="s">
        <v>298</v>
      </c>
      <c r="D2092" s="1" t="s">
        <v>41</v>
      </c>
      <c r="E2092" s="3">
        <v>5850000</v>
      </c>
      <c r="F2092" s="1">
        <v>2685.95041322314</v>
      </c>
      <c r="G2092" s="1">
        <v>5</v>
      </c>
      <c r="H2092" s="1">
        <v>2</v>
      </c>
      <c r="I2092" s="1">
        <v>2</v>
      </c>
      <c r="J2092" s="1">
        <v>2</v>
      </c>
      <c r="M2092" s="4">
        <v>2178</v>
      </c>
      <c r="N2092" s="1">
        <v>2555</v>
      </c>
      <c r="O2092" s="1">
        <v>7505</v>
      </c>
      <c r="P2092" s="1">
        <v>4950</v>
      </c>
      <c r="Q2092" s="1" t="s">
        <v>42</v>
      </c>
      <c r="S2092" s="1" t="s">
        <v>42</v>
      </c>
      <c r="T2092" s="1" t="s">
        <v>273</v>
      </c>
      <c r="U2092" s="1">
        <v>3</v>
      </c>
      <c r="V2092" s="5">
        <v>43654</v>
      </c>
      <c r="W2092" s="5">
        <v>42994</v>
      </c>
      <c r="X2092" s="1">
        <v>6145000</v>
      </c>
      <c r="Y2092" s="1">
        <v>6145000</v>
      </c>
      <c r="Z2092" s="5">
        <v>42997</v>
      </c>
      <c r="AA2092" s="1">
        <v>5850000</v>
      </c>
      <c r="AB2092" s="1" t="s">
        <v>1165</v>
      </c>
      <c r="AC2092" s="5">
        <v>43074</v>
      </c>
      <c r="AF2092" s="1">
        <v>10012</v>
      </c>
      <c r="AI2092" s="1" t="s">
        <v>201</v>
      </c>
      <c r="AJ2092" s="1">
        <v>1877</v>
      </c>
      <c r="AK2092" s="1" t="s">
        <v>146</v>
      </c>
      <c r="AL2092" s="1">
        <v>23</v>
      </c>
    </row>
    <row r="2093" spans="1:38" x14ac:dyDescent="0.2">
      <c r="A2093" s="2" t="str">
        <f>HYPERLINK("https://www.compass.com/listing/63-greene-street-unit-phc-manhattan-ny-10012/801632172431368521/","63 Greene St, Unit PHC")</f>
        <v>63 Greene St, Unit PHC</v>
      </c>
      <c r="B2093" s="2" t="str">
        <f t="shared" si="335"/>
        <v>63 Greene Street</v>
      </c>
      <c r="C2093" s="1" t="s">
        <v>298</v>
      </c>
      <c r="D2093" s="1" t="s">
        <v>41</v>
      </c>
      <c r="E2093" s="3">
        <v>5850000</v>
      </c>
      <c r="F2093" s="1">
        <v>2685.95041322314</v>
      </c>
      <c r="G2093" s="1">
        <v>5</v>
      </c>
      <c r="H2093" s="1">
        <v>2</v>
      </c>
      <c r="I2093" s="1">
        <v>2</v>
      </c>
      <c r="J2093" s="1">
        <v>2</v>
      </c>
      <c r="K2093" s="1">
        <v>2</v>
      </c>
      <c r="M2093" s="4">
        <v>2178</v>
      </c>
      <c r="N2093" s="1">
        <v>2555</v>
      </c>
      <c r="O2093" s="1">
        <v>7505</v>
      </c>
      <c r="P2093" s="1">
        <v>4950</v>
      </c>
      <c r="Q2093" s="1" t="s">
        <v>42</v>
      </c>
      <c r="S2093" s="1" t="s">
        <v>42</v>
      </c>
      <c r="T2093" s="1" t="s">
        <v>273</v>
      </c>
      <c r="U2093" s="1">
        <v>81</v>
      </c>
      <c r="V2093" s="5">
        <v>43678</v>
      </c>
      <c r="W2093" s="5">
        <v>42993</v>
      </c>
      <c r="X2093" s="1">
        <v>6145000</v>
      </c>
      <c r="Y2093" s="1">
        <v>6145000</v>
      </c>
      <c r="AA2093" s="1">
        <v>5850000</v>
      </c>
      <c r="AB2093" s="1" t="s">
        <v>1165</v>
      </c>
      <c r="AC2093" s="5">
        <v>43074</v>
      </c>
      <c r="AF2093" s="1">
        <v>10012</v>
      </c>
      <c r="AI2093" s="1" t="s">
        <v>140</v>
      </c>
      <c r="AJ2093" s="1">
        <v>1877</v>
      </c>
      <c r="AK2093" s="1" t="s">
        <v>146</v>
      </c>
      <c r="AL2093" s="1">
        <v>23</v>
      </c>
    </row>
    <row r="2094" spans="1:38" x14ac:dyDescent="0.2">
      <c r="A2094" s="2" t="str">
        <f>HYPERLINK("https://www.compass.com/listing/21-east-12th-street-unit-9b-manhattan-ny-10003/29514922094322993/","21 E 12th St, Unit 9B")</f>
        <v>21 E 12th St, Unit 9B</v>
      </c>
      <c r="B2094" s="2" t="str">
        <f t="shared" ref="B2094:B2109" si="336">HYPERLINK("https://www.compass.com/building/21-east-12th-street-manhattan-ny/292779727154847925/","21 East 12th Street")</f>
        <v>21 East 12th Street</v>
      </c>
      <c r="C2094" s="1" t="s">
        <v>277</v>
      </c>
      <c r="D2094" s="1" t="s">
        <v>41</v>
      </c>
      <c r="E2094" s="3">
        <v>4782960</v>
      </c>
      <c r="F2094" s="1">
        <v>2936.13259668508</v>
      </c>
      <c r="G2094" s="1">
        <v>4</v>
      </c>
      <c r="H2094" s="1">
        <v>2</v>
      </c>
      <c r="I2094" s="1">
        <v>3</v>
      </c>
      <c r="J2094" s="1">
        <v>2.5</v>
      </c>
      <c r="K2094" s="1">
        <v>2</v>
      </c>
      <c r="L2094" s="1">
        <v>1</v>
      </c>
      <c r="M2094" s="4">
        <v>1629</v>
      </c>
      <c r="N2094" s="1">
        <v>2124</v>
      </c>
      <c r="O2094" s="1">
        <v>5369</v>
      </c>
      <c r="P2094" s="1">
        <v>3245</v>
      </c>
      <c r="Q2094" s="1" t="s">
        <v>42</v>
      </c>
      <c r="S2094" s="1" t="s">
        <v>42</v>
      </c>
      <c r="T2094" s="1" t="s">
        <v>273</v>
      </c>
      <c r="U2094" s="1">
        <v>153</v>
      </c>
      <c r="V2094" s="5">
        <v>43685</v>
      </c>
      <c r="W2094" s="5">
        <v>42769</v>
      </c>
      <c r="X2094" s="1">
        <v>4750000</v>
      </c>
      <c r="Y2094" s="1">
        <v>4750000</v>
      </c>
      <c r="Z2094" s="5">
        <v>42922</v>
      </c>
      <c r="AA2094" s="1">
        <v>4782960</v>
      </c>
      <c r="AB2094" s="1" t="s">
        <v>1166</v>
      </c>
      <c r="AC2094" s="5">
        <v>43578</v>
      </c>
      <c r="AF2094" s="1">
        <v>10003</v>
      </c>
      <c r="AI2094" s="1" t="s">
        <v>80</v>
      </c>
      <c r="AJ2094" s="1">
        <v>2018</v>
      </c>
      <c r="AK2094" s="1" t="s">
        <v>125</v>
      </c>
      <c r="AL2094" s="1">
        <v>52</v>
      </c>
    </row>
    <row r="2095" spans="1:38" x14ac:dyDescent="0.2">
      <c r="A2095" s="2" t="str">
        <f>HYPERLINK("https://www.compass.com/listing/21-east-12th-street-unit-16b-manhattan-ny-10003/29514926800332273/","21 E 12th St, Unit 16B")</f>
        <v>21 E 12th St, Unit 16B</v>
      </c>
      <c r="B2095" s="2" t="str">
        <f t="shared" si="336"/>
        <v>21 East 12th Street</v>
      </c>
      <c r="C2095" s="1" t="s">
        <v>277</v>
      </c>
      <c r="D2095" s="1" t="s">
        <v>41</v>
      </c>
      <c r="E2095" s="3">
        <v>5105867</v>
      </c>
      <c r="F2095" s="1">
        <v>3134.3564456721901</v>
      </c>
      <c r="G2095" s="1">
        <v>4</v>
      </c>
      <c r="H2095" s="1">
        <v>2</v>
      </c>
      <c r="I2095" s="1">
        <v>3</v>
      </c>
      <c r="J2095" s="1">
        <v>2.5</v>
      </c>
      <c r="K2095" s="1">
        <v>2</v>
      </c>
      <c r="L2095" s="1">
        <v>1</v>
      </c>
      <c r="M2095" s="4">
        <v>1629</v>
      </c>
      <c r="N2095" s="1">
        <v>2124</v>
      </c>
      <c r="O2095" s="1">
        <v>5369</v>
      </c>
      <c r="P2095" s="1">
        <v>3245</v>
      </c>
      <c r="Q2095" s="1" t="s">
        <v>42</v>
      </c>
      <c r="S2095" s="1" t="s">
        <v>42</v>
      </c>
      <c r="T2095" s="1" t="s">
        <v>273</v>
      </c>
      <c r="U2095" s="1">
        <v>4</v>
      </c>
      <c r="V2095" s="5">
        <v>43631</v>
      </c>
      <c r="W2095" s="5">
        <v>42580</v>
      </c>
      <c r="X2095" s="1">
        <v>5150000</v>
      </c>
      <c r="Y2095" s="1">
        <v>5150000</v>
      </c>
      <c r="Z2095" s="5">
        <v>42585</v>
      </c>
      <c r="AA2095" s="1">
        <v>5105866.6500000004</v>
      </c>
      <c r="AB2095" s="1" t="s">
        <v>1167</v>
      </c>
      <c r="AC2095" s="5">
        <v>43616</v>
      </c>
      <c r="AF2095" s="1">
        <v>10003</v>
      </c>
      <c r="AI2095" s="1" t="s">
        <v>80</v>
      </c>
      <c r="AJ2095" s="1">
        <v>2018</v>
      </c>
      <c r="AK2095" s="1" t="s">
        <v>125</v>
      </c>
      <c r="AL2095" s="1">
        <v>52</v>
      </c>
    </row>
    <row r="2096" spans="1:38" x14ac:dyDescent="0.2">
      <c r="A2096" s="2" t="str">
        <f>HYPERLINK("https://www.compass.com/listing/21-east-12th-street-unit-17b-manhattan-ny-10003/29514927370716673/","21 E 12th St, Unit 17B")</f>
        <v>21 E 12th St, Unit 17B</v>
      </c>
      <c r="B2096" s="2" t="str">
        <f t="shared" si="336"/>
        <v>21 East 12th Street</v>
      </c>
      <c r="C2096" s="1" t="s">
        <v>277</v>
      </c>
      <c r="D2096" s="1" t="s">
        <v>41</v>
      </c>
      <c r="E2096" s="3">
        <v>5207692</v>
      </c>
      <c r="F2096" s="1">
        <v>3196.86411909146</v>
      </c>
      <c r="G2096" s="1">
        <v>4</v>
      </c>
      <c r="H2096" s="1">
        <v>2</v>
      </c>
      <c r="I2096" s="1">
        <v>3</v>
      </c>
      <c r="J2096" s="1">
        <v>2.5</v>
      </c>
      <c r="K2096" s="1">
        <v>2</v>
      </c>
      <c r="L2096" s="1">
        <v>1</v>
      </c>
      <c r="M2096" s="4">
        <v>1629</v>
      </c>
      <c r="N2096" s="1">
        <v>2124</v>
      </c>
      <c r="O2096" s="1">
        <v>5369</v>
      </c>
      <c r="P2096" s="1">
        <v>3245</v>
      </c>
      <c r="Q2096" s="1" t="s">
        <v>42</v>
      </c>
      <c r="S2096" s="1" t="s">
        <v>42</v>
      </c>
      <c r="T2096" s="1" t="s">
        <v>273</v>
      </c>
      <c r="U2096" s="1">
        <v>4</v>
      </c>
      <c r="V2096" s="5">
        <v>43713</v>
      </c>
      <c r="W2096" s="5">
        <v>42581</v>
      </c>
      <c r="X2096" s="1">
        <v>5250000</v>
      </c>
      <c r="Y2096" s="1">
        <v>5250000</v>
      </c>
      <c r="Z2096" s="5">
        <v>42585</v>
      </c>
      <c r="AA2096" s="1">
        <v>5207691.6500000004</v>
      </c>
      <c r="AB2096" s="1" t="s">
        <v>1168</v>
      </c>
      <c r="AC2096" s="5">
        <v>43663</v>
      </c>
      <c r="AF2096" s="1">
        <v>10003</v>
      </c>
      <c r="AI2096" s="1" t="s">
        <v>80</v>
      </c>
      <c r="AJ2096" s="1">
        <v>2018</v>
      </c>
      <c r="AK2096" s="1" t="s">
        <v>125</v>
      </c>
      <c r="AL2096" s="1">
        <v>52</v>
      </c>
    </row>
    <row r="2097" spans="1:38" x14ac:dyDescent="0.2">
      <c r="A2097" s="2" t="str">
        <f>HYPERLINK("https://www.compass.com/listing/21-east-12th-street-unit-12b-manhattan-ny-10003/29514927941114673/","21 E 12th St, Unit 12B")</f>
        <v>21 E 12th St, Unit 12B</v>
      </c>
      <c r="B2097" s="2" t="str">
        <f t="shared" si="336"/>
        <v>21 East 12th Street</v>
      </c>
      <c r="C2097" s="1" t="s">
        <v>277</v>
      </c>
      <c r="D2097" s="1" t="s">
        <v>41</v>
      </c>
      <c r="E2097" s="3">
        <v>4804210</v>
      </c>
      <c r="F2097" s="1">
        <v>2949.1774647022698</v>
      </c>
      <c r="G2097" s="1">
        <v>4</v>
      </c>
      <c r="H2097" s="1">
        <v>2</v>
      </c>
      <c r="I2097" s="1">
        <v>3</v>
      </c>
      <c r="J2097" s="1">
        <v>2.5</v>
      </c>
      <c r="K2097" s="1">
        <v>2</v>
      </c>
      <c r="L2097" s="1">
        <v>1</v>
      </c>
      <c r="M2097" s="4">
        <v>1629</v>
      </c>
      <c r="N2097" s="1">
        <v>2124</v>
      </c>
      <c r="O2097" s="1">
        <v>5369</v>
      </c>
      <c r="P2097" s="1">
        <v>3245</v>
      </c>
      <c r="Q2097" s="1" t="s">
        <v>42</v>
      </c>
      <c r="S2097" s="1" t="s">
        <v>42</v>
      </c>
      <c r="T2097" s="1" t="s">
        <v>273</v>
      </c>
      <c r="U2097" s="1">
        <v>4</v>
      </c>
      <c r="V2097" s="5">
        <v>43608</v>
      </c>
      <c r="W2097" s="5">
        <v>42580</v>
      </c>
      <c r="X2097" s="1">
        <v>4900000</v>
      </c>
      <c r="Y2097" s="1">
        <v>4900000</v>
      </c>
      <c r="Z2097" s="5">
        <v>42585</v>
      </c>
      <c r="AA2097" s="1">
        <v>4804210.09</v>
      </c>
      <c r="AB2097" s="1" t="s">
        <v>1169</v>
      </c>
      <c r="AC2097" s="5">
        <v>43607</v>
      </c>
      <c r="AF2097" s="1">
        <v>10003</v>
      </c>
      <c r="AI2097" s="1" t="s">
        <v>80</v>
      </c>
      <c r="AJ2097" s="1">
        <v>2018</v>
      </c>
      <c r="AK2097" s="1" t="s">
        <v>125</v>
      </c>
      <c r="AL2097" s="1">
        <v>52</v>
      </c>
    </row>
    <row r="2098" spans="1:38" x14ac:dyDescent="0.2">
      <c r="A2098" s="2" t="str">
        <f>HYPERLINK("https://www.compass.com/listing/21-east-12th-street-unit-11b-manhattan-ny-10003/29514928226354721/","21 E 12th St, Unit 11B")</f>
        <v>21 E 12th St, Unit 11B</v>
      </c>
      <c r="B2098" s="2" t="str">
        <f t="shared" si="336"/>
        <v>21 East 12th Street</v>
      </c>
      <c r="C2098" s="1" t="s">
        <v>277</v>
      </c>
      <c r="D2098" s="1" t="s">
        <v>41</v>
      </c>
      <c r="E2098" s="3">
        <v>4825848</v>
      </c>
      <c r="F2098" s="1">
        <v>2962.4604051565302</v>
      </c>
      <c r="G2098" s="1">
        <v>4</v>
      </c>
      <c r="H2098" s="1">
        <v>2</v>
      </c>
      <c r="I2098" s="1">
        <v>3</v>
      </c>
      <c r="J2098" s="1">
        <v>2.5</v>
      </c>
      <c r="K2098" s="1">
        <v>2</v>
      </c>
      <c r="L2098" s="1">
        <v>1</v>
      </c>
      <c r="M2098" s="4">
        <v>1629</v>
      </c>
      <c r="N2098" s="1">
        <v>2124</v>
      </c>
      <c r="O2098" s="1">
        <v>5369</v>
      </c>
      <c r="P2098" s="1">
        <v>3245</v>
      </c>
      <c r="Q2098" s="1" t="s">
        <v>42</v>
      </c>
      <c r="S2098" s="1" t="s">
        <v>42</v>
      </c>
      <c r="T2098" s="1" t="s">
        <v>273</v>
      </c>
      <c r="U2098" s="1">
        <v>4</v>
      </c>
      <c r="V2098" s="5">
        <v>43637</v>
      </c>
      <c r="W2098" s="5">
        <v>42581</v>
      </c>
      <c r="X2098" s="1">
        <v>4850000</v>
      </c>
      <c r="Y2098" s="1">
        <v>4850000</v>
      </c>
      <c r="Z2098" s="5">
        <v>42585</v>
      </c>
      <c r="AA2098" s="1">
        <v>4825848</v>
      </c>
      <c r="AB2098" s="1" t="s">
        <v>1170</v>
      </c>
      <c r="AC2098" s="5">
        <v>43580</v>
      </c>
      <c r="AF2098" s="1">
        <v>10003</v>
      </c>
      <c r="AI2098" s="1" t="s">
        <v>80</v>
      </c>
      <c r="AJ2098" s="1">
        <v>2018</v>
      </c>
      <c r="AK2098" s="1" t="s">
        <v>125</v>
      </c>
      <c r="AL2098" s="1">
        <v>52</v>
      </c>
    </row>
    <row r="2099" spans="1:38" x14ac:dyDescent="0.2">
      <c r="A2099" s="2" t="str">
        <f>HYPERLINK("https://www.compass.com/listing/21-east-12th-street-unit-14b-manhattan-ny-10003/29514928469665329/","21 E 12th St, Unit 14B")</f>
        <v>21 E 12th St, Unit 14B</v>
      </c>
      <c r="B2099" s="2" t="str">
        <f t="shared" si="336"/>
        <v>21 East 12th Street</v>
      </c>
      <c r="C2099" s="1" t="s">
        <v>277</v>
      </c>
      <c r="D2099" s="1" t="s">
        <v>41</v>
      </c>
      <c r="E2099" s="3">
        <v>5058923</v>
      </c>
      <c r="F2099" s="1">
        <v>3105.53898096992</v>
      </c>
      <c r="G2099" s="1">
        <v>4</v>
      </c>
      <c r="H2099" s="1">
        <v>2</v>
      </c>
      <c r="I2099" s="1">
        <v>3</v>
      </c>
      <c r="J2099" s="1">
        <v>2.5</v>
      </c>
      <c r="K2099" s="1">
        <v>2</v>
      </c>
      <c r="L2099" s="1">
        <v>1</v>
      </c>
      <c r="M2099" s="4">
        <v>1629</v>
      </c>
      <c r="N2099" s="1">
        <v>2124</v>
      </c>
      <c r="O2099" s="1">
        <v>5369</v>
      </c>
      <c r="P2099" s="1">
        <v>3245</v>
      </c>
      <c r="Q2099" s="1" t="s">
        <v>42</v>
      </c>
      <c r="S2099" s="1" t="s">
        <v>42</v>
      </c>
      <c r="T2099" s="1" t="s">
        <v>273</v>
      </c>
      <c r="U2099" s="1">
        <v>4</v>
      </c>
      <c r="V2099" s="5">
        <v>43694</v>
      </c>
      <c r="W2099" s="5">
        <v>42581</v>
      </c>
      <c r="X2099" s="1">
        <v>4975000</v>
      </c>
      <c r="Y2099" s="1">
        <v>4975000</v>
      </c>
      <c r="Z2099" s="5">
        <v>42585</v>
      </c>
      <c r="AA2099" s="1">
        <v>5058923</v>
      </c>
      <c r="AB2099" s="1" t="s">
        <v>1171</v>
      </c>
      <c r="AC2099" s="5">
        <v>43620</v>
      </c>
      <c r="AF2099" s="1">
        <v>10003</v>
      </c>
      <c r="AI2099" s="1" t="s">
        <v>80</v>
      </c>
      <c r="AJ2099" s="1">
        <v>2018</v>
      </c>
      <c r="AK2099" s="1" t="s">
        <v>125</v>
      </c>
      <c r="AL2099" s="1">
        <v>52</v>
      </c>
    </row>
    <row r="2100" spans="1:38" x14ac:dyDescent="0.2">
      <c r="A2100" s="2" t="str">
        <f>HYPERLINK("https://www.compass.com/listing/21-east-12th-street-unit-11a-manhattan-ny-10003/29514929308526145/","21 E 12th St, Unit 11A")</f>
        <v>21 E 12th St, Unit 11A</v>
      </c>
      <c r="B2100" s="2" t="str">
        <f t="shared" si="336"/>
        <v>21 East 12th Street</v>
      </c>
      <c r="C2100" s="1" t="s">
        <v>277</v>
      </c>
      <c r="D2100" s="1" t="s">
        <v>41</v>
      </c>
      <c r="E2100" s="3">
        <v>4381008</v>
      </c>
      <c r="F2100" s="1">
        <v>2964.1461434370699</v>
      </c>
      <c r="G2100" s="1">
        <v>4</v>
      </c>
      <c r="H2100" s="1">
        <v>2</v>
      </c>
      <c r="I2100" s="1">
        <v>3</v>
      </c>
      <c r="J2100" s="1">
        <v>2.5</v>
      </c>
      <c r="K2100" s="1">
        <v>2</v>
      </c>
      <c r="L2100" s="1">
        <v>1</v>
      </c>
      <c r="M2100" s="4">
        <v>1478</v>
      </c>
      <c r="N2100" s="1">
        <v>1927</v>
      </c>
      <c r="O2100" s="1">
        <v>4871</v>
      </c>
      <c r="P2100" s="1">
        <v>2944</v>
      </c>
      <c r="Q2100" s="1" t="s">
        <v>42</v>
      </c>
      <c r="S2100" s="1" t="s">
        <v>42</v>
      </c>
      <c r="T2100" s="1" t="s">
        <v>273</v>
      </c>
      <c r="U2100" s="1">
        <v>4</v>
      </c>
      <c r="V2100" s="5">
        <v>43648</v>
      </c>
      <c r="W2100" s="5">
        <v>42581</v>
      </c>
      <c r="X2100" s="1">
        <v>4450000</v>
      </c>
      <c r="Y2100" s="1">
        <v>4475000</v>
      </c>
      <c r="Z2100" s="5">
        <v>42585</v>
      </c>
      <c r="AA2100" s="1">
        <v>4381008</v>
      </c>
      <c r="AB2100" s="1" t="s">
        <v>1172</v>
      </c>
      <c r="AC2100" s="5">
        <v>43600</v>
      </c>
      <c r="AF2100" s="1">
        <v>10003</v>
      </c>
      <c r="AI2100" s="1" t="s">
        <v>80</v>
      </c>
      <c r="AJ2100" s="1">
        <v>2018</v>
      </c>
      <c r="AK2100" s="1" t="s">
        <v>125</v>
      </c>
      <c r="AL2100" s="1">
        <v>52</v>
      </c>
    </row>
    <row r="2101" spans="1:38" x14ac:dyDescent="0.2">
      <c r="A2101" s="2" t="str">
        <f>HYPERLINK("https://www.compass.com/listing/21-east-12th-street-unit-12a-manhattan-ny-10003/29514929602059121/","21 E 12th St, Unit 12A")</f>
        <v>21 E 12th St, Unit 12A</v>
      </c>
      <c r="B2101" s="2" t="str">
        <f t="shared" si="336"/>
        <v>21 East 12th Street</v>
      </c>
      <c r="C2101" s="1" t="s">
        <v>277</v>
      </c>
      <c r="D2101" s="1" t="s">
        <v>41</v>
      </c>
      <c r="E2101" s="3">
        <v>4432521</v>
      </c>
      <c r="F2101" s="1">
        <v>2998.9993234100102</v>
      </c>
      <c r="G2101" s="1">
        <v>4</v>
      </c>
      <c r="H2101" s="1">
        <v>2</v>
      </c>
      <c r="I2101" s="1">
        <v>3</v>
      </c>
      <c r="J2101" s="1">
        <v>2.5</v>
      </c>
      <c r="K2101" s="1">
        <v>2</v>
      </c>
      <c r="L2101" s="1">
        <v>1</v>
      </c>
      <c r="M2101" s="4">
        <v>1478</v>
      </c>
      <c r="N2101" s="1">
        <v>1927</v>
      </c>
      <c r="O2101" s="1">
        <v>4871</v>
      </c>
      <c r="P2101" s="1">
        <v>2944</v>
      </c>
      <c r="Q2101" s="1" t="s">
        <v>42</v>
      </c>
      <c r="S2101" s="1" t="s">
        <v>42</v>
      </c>
      <c r="T2101" s="1" t="s">
        <v>273</v>
      </c>
      <c r="U2101" s="1">
        <v>4</v>
      </c>
      <c r="V2101" s="5">
        <v>43648</v>
      </c>
      <c r="W2101" s="5">
        <v>42581</v>
      </c>
      <c r="X2101" s="1">
        <v>4500000</v>
      </c>
      <c r="Y2101" s="1">
        <v>4525000</v>
      </c>
      <c r="Z2101" s="5">
        <v>42585</v>
      </c>
      <c r="AA2101" s="1">
        <v>4432521</v>
      </c>
      <c r="AB2101" s="1" t="s">
        <v>1173</v>
      </c>
      <c r="AC2101" s="5">
        <v>43601</v>
      </c>
      <c r="AF2101" s="1">
        <v>10003</v>
      </c>
      <c r="AI2101" s="1" t="s">
        <v>80</v>
      </c>
      <c r="AJ2101" s="1">
        <v>2018</v>
      </c>
      <c r="AK2101" s="1" t="s">
        <v>125</v>
      </c>
      <c r="AL2101" s="1">
        <v>52</v>
      </c>
    </row>
    <row r="2102" spans="1:38" x14ac:dyDescent="0.2">
      <c r="A2102" s="2" t="str">
        <f>HYPERLINK("https://www.compass.com/listing/21-east-12th-street-unit-17a-manhattan-ny-10003/29514930147386977/","21 E 12th St, Unit 17A")</f>
        <v>21 E 12th St, Unit 17A</v>
      </c>
      <c r="B2102" s="2" t="str">
        <f t="shared" si="336"/>
        <v>21 East 12th Street</v>
      </c>
      <c r="C2102" s="1" t="s">
        <v>277</v>
      </c>
      <c r="D2102" s="1" t="s">
        <v>41</v>
      </c>
      <c r="E2102" s="3">
        <v>4796677</v>
      </c>
      <c r="F2102" s="1">
        <v>3245.3836941813202</v>
      </c>
      <c r="G2102" s="1">
        <v>4</v>
      </c>
      <c r="H2102" s="1">
        <v>2</v>
      </c>
      <c r="I2102" s="1">
        <v>3</v>
      </c>
      <c r="J2102" s="1">
        <v>2.5</v>
      </c>
      <c r="K2102" s="1">
        <v>2</v>
      </c>
      <c r="L2102" s="1">
        <v>1</v>
      </c>
      <c r="M2102" s="4">
        <v>1478</v>
      </c>
      <c r="N2102" s="1">
        <v>1927</v>
      </c>
      <c r="O2102" s="1">
        <v>4871</v>
      </c>
      <c r="P2102" s="1">
        <v>2944</v>
      </c>
      <c r="Q2102" s="1" t="s">
        <v>42</v>
      </c>
      <c r="S2102" s="1" t="s">
        <v>42</v>
      </c>
      <c r="T2102" s="1" t="s">
        <v>273</v>
      </c>
      <c r="U2102" s="1">
        <v>4</v>
      </c>
      <c r="V2102" s="5">
        <v>43669</v>
      </c>
      <c r="W2102" s="5">
        <v>42581</v>
      </c>
      <c r="X2102" s="1">
        <v>4850000</v>
      </c>
      <c r="Y2102" s="1">
        <v>4875000</v>
      </c>
      <c r="Z2102" s="5">
        <v>42585</v>
      </c>
      <c r="AA2102" s="1">
        <v>4796677.0999999996</v>
      </c>
      <c r="AB2102" s="1" t="s">
        <v>1174</v>
      </c>
      <c r="AC2102" s="5">
        <v>43663</v>
      </c>
      <c r="AF2102" s="1">
        <v>10003</v>
      </c>
      <c r="AI2102" s="1" t="s">
        <v>80</v>
      </c>
      <c r="AJ2102" s="1">
        <v>2018</v>
      </c>
      <c r="AK2102" s="1" t="s">
        <v>125</v>
      </c>
      <c r="AL2102" s="1">
        <v>52</v>
      </c>
    </row>
    <row r="2103" spans="1:38" x14ac:dyDescent="0.2">
      <c r="A2103" s="2" t="str">
        <f>HYPERLINK("https://www.compass.com/listing/21-east-12th-street-unit-15a-manhattan-ny-10003/29514930466085793/","21 E 12th St, Unit 15A")</f>
        <v>21 E 12th St, Unit 15A</v>
      </c>
      <c r="B2103" s="2" t="str">
        <f t="shared" si="336"/>
        <v>21 East 12th Street</v>
      </c>
      <c r="C2103" s="1" t="s">
        <v>277</v>
      </c>
      <c r="D2103" s="1" t="s">
        <v>41</v>
      </c>
      <c r="E2103" s="3">
        <v>4618483</v>
      </c>
      <c r="F2103" s="1">
        <v>3124.8195872801002</v>
      </c>
      <c r="G2103" s="1">
        <v>4</v>
      </c>
      <c r="H2103" s="1">
        <v>2</v>
      </c>
      <c r="I2103" s="1">
        <v>3</v>
      </c>
      <c r="J2103" s="1">
        <v>2.5</v>
      </c>
      <c r="K2103" s="1">
        <v>2</v>
      </c>
      <c r="L2103" s="1">
        <v>1</v>
      </c>
      <c r="M2103" s="4">
        <v>1478</v>
      </c>
      <c r="N2103" s="1">
        <v>1927</v>
      </c>
      <c r="O2103" s="1">
        <v>4871</v>
      </c>
      <c r="P2103" s="1">
        <v>2944</v>
      </c>
      <c r="Q2103" s="1" t="s">
        <v>42</v>
      </c>
      <c r="S2103" s="1" t="s">
        <v>42</v>
      </c>
      <c r="T2103" s="1" t="s">
        <v>273</v>
      </c>
      <c r="U2103" s="1">
        <v>4</v>
      </c>
      <c r="V2103" s="5">
        <v>43607</v>
      </c>
      <c r="W2103" s="5">
        <v>42580</v>
      </c>
      <c r="X2103" s="1">
        <v>4675000</v>
      </c>
      <c r="Y2103" s="1">
        <v>4700000</v>
      </c>
      <c r="Z2103" s="5">
        <v>42585</v>
      </c>
      <c r="AA2103" s="1">
        <v>4618483.3499999996</v>
      </c>
      <c r="AB2103" s="1" t="s">
        <v>1175</v>
      </c>
      <c r="AC2103" s="5">
        <v>43602</v>
      </c>
      <c r="AF2103" s="1">
        <v>10003</v>
      </c>
      <c r="AI2103" s="1" t="s">
        <v>80</v>
      </c>
      <c r="AJ2103" s="1">
        <v>2018</v>
      </c>
      <c r="AK2103" s="1" t="s">
        <v>125</v>
      </c>
      <c r="AL2103" s="1">
        <v>52</v>
      </c>
    </row>
    <row r="2104" spans="1:38" x14ac:dyDescent="0.2">
      <c r="A2104" s="2" t="str">
        <f>HYPERLINK("https://www.compass.com/listing/21-east-12th-street-unit-5b-manhattan-ny-10003/29514931053356673/","21 E 12th St, Unit 5B")</f>
        <v>21 E 12th St, Unit 5B</v>
      </c>
      <c r="B2104" s="2" t="str">
        <f t="shared" si="336"/>
        <v>21 East 12th Street</v>
      </c>
      <c r="C2104" s="1" t="s">
        <v>277</v>
      </c>
      <c r="D2104" s="1" t="s">
        <v>41</v>
      </c>
      <c r="E2104" s="3">
        <v>4429042</v>
      </c>
      <c r="F2104" s="1">
        <v>2718.87170042971</v>
      </c>
      <c r="G2104" s="1">
        <v>4</v>
      </c>
      <c r="H2104" s="1">
        <v>2</v>
      </c>
      <c r="I2104" s="1">
        <v>3</v>
      </c>
      <c r="J2104" s="1">
        <v>2.5</v>
      </c>
      <c r="K2104" s="1">
        <v>2</v>
      </c>
      <c r="L2104" s="1">
        <v>1</v>
      </c>
      <c r="M2104" s="4">
        <v>1629</v>
      </c>
      <c r="N2104" s="1">
        <v>2124</v>
      </c>
      <c r="O2104" s="1">
        <v>5369</v>
      </c>
      <c r="P2104" s="1">
        <v>3245</v>
      </c>
      <c r="Q2104" s="1" t="s">
        <v>42</v>
      </c>
      <c r="S2104" s="1" t="s">
        <v>42</v>
      </c>
      <c r="T2104" s="1" t="s">
        <v>273</v>
      </c>
      <c r="V2104" s="5">
        <v>43648</v>
      </c>
      <c r="W2104" s="5">
        <v>42630</v>
      </c>
      <c r="X2104" s="1">
        <v>4350000</v>
      </c>
      <c r="Y2104" s="1">
        <v>4350000</v>
      </c>
      <c r="Z2104" s="5">
        <v>42630</v>
      </c>
      <c r="AA2104" s="1">
        <v>4429042</v>
      </c>
      <c r="AB2104" s="1" t="s">
        <v>1176</v>
      </c>
      <c r="AC2104" s="5">
        <v>43550</v>
      </c>
      <c r="AF2104" s="1">
        <v>10003</v>
      </c>
      <c r="AI2104" s="1" t="s">
        <v>80</v>
      </c>
      <c r="AJ2104" s="1">
        <v>2018</v>
      </c>
      <c r="AK2104" s="1" t="s">
        <v>125</v>
      </c>
      <c r="AL2104" s="1">
        <v>52</v>
      </c>
    </row>
    <row r="2105" spans="1:38" x14ac:dyDescent="0.2">
      <c r="A2105" s="2" t="str">
        <f>HYPERLINK("https://www.compass.com/listing/21-east-12th-street-unit-7b-manhattan-ny-10003/29514932227761825/","21 E 12th St, Unit 7B")</f>
        <v>21 E 12th St, Unit 7B</v>
      </c>
      <c r="B2105" s="2" t="str">
        <f t="shared" si="336"/>
        <v>21 East 12th Street</v>
      </c>
      <c r="C2105" s="1" t="s">
        <v>277</v>
      </c>
      <c r="D2105" s="1" t="s">
        <v>41</v>
      </c>
      <c r="E2105" s="3">
        <v>4581135</v>
      </c>
      <c r="F2105" s="1">
        <v>2812.2375690607701</v>
      </c>
      <c r="G2105" s="1">
        <v>4</v>
      </c>
      <c r="H2105" s="1">
        <v>2</v>
      </c>
      <c r="I2105" s="1">
        <v>3</v>
      </c>
      <c r="J2105" s="1">
        <v>2.5</v>
      </c>
      <c r="K2105" s="1">
        <v>2</v>
      </c>
      <c r="L2105" s="1">
        <v>1</v>
      </c>
      <c r="M2105" s="4">
        <v>1629</v>
      </c>
      <c r="N2105" s="1">
        <v>2124</v>
      </c>
      <c r="O2105" s="1">
        <v>5369</v>
      </c>
      <c r="P2105" s="1">
        <v>3245</v>
      </c>
      <c r="Q2105" s="1" t="s">
        <v>42</v>
      </c>
      <c r="S2105" s="1" t="s">
        <v>42</v>
      </c>
      <c r="T2105" s="1" t="s">
        <v>273</v>
      </c>
      <c r="U2105" s="1">
        <v>178</v>
      </c>
      <c r="V2105" s="5">
        <v>43637</v>
      </c>
      <c r="W2105" s="5">
        <v>42591</v>
      </c>
      <c r="X2105" s="1">
        <v>4450000</v>
      </c>
      <c r="Y2105" s="1">
        <v>4650000</v>
      </c>
      <c r="Z2105" s="5">
        <v>42769</v>
      </c>
      <c r="AA2105" s="1">
        <v>4581135</v>
      </c>
      <c r="AB2105" s="1" t="s">
        <v>1177</v>
      </c>
      <c r="AC2105" s="5">
        <v>43568</v>
      </c>
      <c r="AF2105" s="1">
        <v>10003</v>
      </c>
      <c r="AI2105" s="1" t="s">
        <v>80</v>
      </c>
      <c r="AJ2105" s="1">
        <v>2018</v>
      </c>
      <c r="AK2105" s="1" t="s">
        <v>125</v>
      </c>
      <c r="AL2105" s="1">
        <v>52</v>
      </c>
    </row>
    <row r="2106" spans="1:38" x14ac:dyDescent="0.2">
      <c r="A2106" s="2" t="str">
        <f>HYPERLINK("https://www.compass.com/listing/21-east-12th-street-unit-16a-manhattan-ny-10003/29514933116913329/","21 E 12th St, Unit 16A")</f>
        <v>21 E 12th St, Unit 16A</v>
      </c>
      <c r="B2106" s="2" t="str">
        <f t="shared" si="336"/>
        <v>21 East 12th Street</v>
      </c>
      <c r="C2106" s="1" t="s">
        <v>277</v>
      </c>
      <c r="D2106" s="1" t="s">
        <v>41</v>
      </c>
      <c r="E2106" s="3">
        <v>4829702</v>
      </c>
      <c r="F2106" s="1">
        <v>3267.7280784844302</v>
      </c>
      <c r="G2106" s="1">
        <v>4</v>
      </c>
      <c r="H2106" s="1">
        <v>2</v>
      </c>
      <c r="I2106" s="1">
        <v>3</v>
      </c>
      <c r="J2106" s="1">
        <v>2.5</v>
      </c>
      <c r="K2106" s="1">
        <v>2</v>
      </c>
      <c r="L2106" s="1">
        <v>1</v>
      </c>
      <c r="M2106" s="4">
        <v>1478</v>
      </c>
      <c r="N2106" s="1">
        <v>1927</v>
      </c>
      <c r="O2106" s="1">
        <v>4871</v>
      </c>
      <c r="P2106" s="1">
        <v>2944</v>
      </c>
      <c r="Q2106" s="1" t="s">
        <v>42</v>
      </c>
      <c r="S2106" s="1" t="s">
        <v>42</v>
      </c>
      <c r="T2106" s="1" t="s">
        <v>273</v>
      </c>
      <c r="U2106" s="1">
        <v>310</v>
      </c>
      <c r="V2106" s="5">
        <v>43616</v>
      </c>
      <c r="W2106" s="5">
        <v>42558</v>
      </c>
      <c r="X2106" s="1">
        <v>4750000</v>
      </c>
      <c r="Y2106" s="1">
        <v>4775000</v>
      </c>
      <c r="Z2106" s="5">
        <v>42873</v>
      </c>
      <c r="AA2106" s="1">
        <v>4829702.0999999996</v>
      </c>
      <c r="AB2106" s="1" t="s">
        <v>1178</v>
      </c>
      <c r="AC2106" s="5">
        <v>43614</v>
      </c>
      <c r="AF2106" s="1">
        <v>10003</v>
      </c>
      <c r="AI2106" s="1" t="s">
        <v>80</v>
      </c>
      <c r="AJ2106" s="1">
        <v>2018</v>
      </c>
      <c r="AK2106" s="1" t="s">
        <v>125</v>
      </c>
      <c r="AL2106" s="1">
        <v>52</v>
      </c>
    </row>
    <row r="2107" spans="1:38" x14ac:dyDescent="0.2">
      <c r="A2107" s="2" t="str">
        <f>HYPERLINK("https://www.compass.com/listing/21-east-12th-street-unit-6b-manhattan-ny-10003/29514934039660257/","21 E 12th St, Unit 6B")</f>
        <v>21 E 12th St, Unit 6B</v>
      </c>
      <c r="B2107" s="2" t="str">
        <f t="shared" si="336"/>
        <v>21 East 12th Street</v>
      </c>
      <c r="C2107" s="1" t="s">
        <v>277</v>
      </c>
      <c r="D2107" s="1" t="s">
        <v>41</v>
      </c>
      <c r="E2107" s="3">
        <v>4356000</v>
      </c>
      <c r="F2107" s="1">
        <v>2674.03314917127</v>
      </c>
      <c r="G2107" s="1">
        <v>4</v>
      </c>
      <c r="H2107" s="1">
        <v>2</v>
      </c>
      <c r="I2107" s="1">
        <v>3</v>
      </c>
      <c r="J2107" s="1">
        <v>2.5</v>
      </c>
      <c r="K2107" s="1">
        <v>2</v>
      </c>
      <c r="L2107" s="1">
        <v>1</v>
      </c>
      <c r="M2107" s="4">
        <v>1629</v>
      </c>
      <c r="N2107" s="1">
        <v>2124</v>
      </c>
      <c r="O2107" s="1">
        <v>5369</v>
      </c>
      <c r="P2107" s="1">
        <v>3245</v>
      </c>
      <c r="Q2107" s="1" t="s">
        <v>42</v>
      </c>
      <c r="S2107" s="1" t="s">
        <v>42</v>
      </c>
      <c r="T2107" s="1" t="s">
        <v>273</v>
      </c>
      <c r="V2107" s="5">
        <v>43669</v>
      </c>
      <c r="W2107" s="5">
        <v>42739</v>
      </c>
      <c r="X2107" s="1">
        <v>4400000</v>
      </c>
      <c r="Y2107" s="1">
        <v>4400000</v>
      </c>
      <c r="Z2107" s="5">
        <v>42739</v>
      </c>
      <c r="AA2107" s="1">
        <v>4396072.9000000004</v>
      </c>
      <c r="AB2107" s="1" t="s">
        <v>1179</v>
      </c>
      <c r="AC2107" s="5">
        <v>43661</v>
      </c>
      <c r="AF2107" s="1">
        <v>10003</v>
      </c>
      <c r="AI2107" s="1" t="s">
        <v>80</v>
      </c>
      <c r="AJ2107" s="1">
        <v>2018</v>
      </c>
      <c r="AK2107" s="1" t="s">
        <v>125</v>
      </c>
      <c r="AL2107" s="1">
        <v>52</v>
      </c>
    </row>
    <row r="2108" spans="1:38" x14ac:dyDescent="0.2">
      <c r="A2108" s="2" t="str">
        <f>HYPERLINK("https://www.compass.com/listing/21-east-12th-street-unit-10b-manhattan-ny-10003/29514934282970865/","21 E 12th St, Unit 10B")</f>
        <v>21 E 12th St, Unit 10B</v>
      </c>
      <c r="B2108" s="2" t="str">
        <f t="shared" si="336"/>
        <v>21 East 12th Street</v>
      </c>
      <c r="C2108" s="1" t="s">
        <v>277</v>
      </c>
      <c r="D2108" s="1" t="s">
        <v>41</v>
      </c>
      <c r="E2108" s="3">
        <v>4843800</v>
      </c>
      <c r="F2108" s="1">
        <v>2973.4806629834202</v>
      </c>
      <c r="G2108" s="1">
        <v>4</v>
      </c>
      <c r="H2108" s="1">
        <v>2</v>
      </c>
      <c r="I2108" s="1">
        <v>3</v>
      </c>
      <c r="J2108" s="1">
        <v>2.5</v>
      </c>
      <c r="K2108" s="1">
        <v>2</v>
      </c>
      <c r="L2108" s="1">
        <v>1</v>
      </c>
      <c r="M2108" s="4">
        <v>1629</v>
      </c>
      <c r="N2108" s="1">
        <v>2127</v>
      </c>
      <c r="O2108" s="1">
        <v>5372</v>
      </c>
      <c r="P2108" s="1">
        <v>3245</v>
      </c>
      <c r="Q2108" s="1" t="s">
        <v>42</v>
      </c>
      <c r="S2108" s="1" t="s">
        <v>42</v>
      </c>
      <c r="T2108" s="1" t="s">
        <v>273</v>
      </c>
      <c r="U2108" s="1">
        <v>28</v>
      </c>
      <c r="V2108" s="5">
        <v>43637</v>
      </c>
      <c r="W2108" s="5">
        <v>42922</v>
      </c>
      <c r="X2108" s="1">
        <v>4800000</v>
      </c>
      <c r="Y2108" s="1">
        <v>4850000</v>
      </c>
      <c r="Z2108" s="5">
        <v>42950</v>
      </c>
      <c r="AA2108" s="1">
        <v>4843800</v>
      </c>
      <c r="AB2108" s="1" t="s">
        <v>1180</v>
      </c>
      <c r="AC2108" s="5">
        <v>43593</v>
      </c>
      <c r="AF2108" s="1">
        <v>10003</v>
      </c>
      <c r="AI2108" s="1" t="s">
        <v>80</v>
      </c>
      <c r="AJ2108" s="1">
        <v>2018</v>
      </c>
      <c r="AK2108" s="1" t="s">
        <v>125</v>
      </c>
      <c r="AL2108" s="1">
        <v>52</v>
      </c>
    </row>
    <row r="2109" spans="1:38" x14ac:dyDescent="0.2">
      <c r="A2109" s="2" t="str">
        <f>HYPERLINK("https://www.compass.com/listing/21-east-12th-street-unit-8b-manhattan-ny-10003/29514935096665905/","21 E 12th St, Unit 8B")</f>
        <v>21 E 12th St, Unit 8B</v>
      </c>
      <c r="B2109" s="2" t="str">
        <f t="shared" si="336"/>
        <v>21 East 12th Street</v>
      </c>
      <c r="C2109" s="1" t="s">
        <v>277</v>
      </c>
      <c r="D2109" s="1" t="s">
        <v>41</v>
      </c>
      <c r="E2109" s="3">
        <v>4516285</v>
      </c>
      <c r="F2109" s="1">
        <v>2772.42811540822</v>
      </c>
      <c r="G2109" s="1">
        <v>4</v>
      </c>
      <c r="H2109" s="1">
        <v>2</v>
      </c>
      <c r="I2109" s="1">
        <v>3</v>
      </c>
      <c r="J2109" s="1">
        <v>2.5</v>
      </c>
      <c r="K2109" s="1">
        <v>2</v>
      </c>
      <c r="L2109" s="1">
        <v>1</v>
      </c>
      <c r="M2109" s="4">
        <v>1629</v>
      </c>
      <c r="N2109" s="1">
        <v>2127</v>
      </c>
      <c r="O2109" s="1">
        <v>5372</v>
      </c>
      <c r="P2109" s="1">
        <v>3245</v>
      </c>
      <c r="Q2109" s="1" t="s">
        <v>42</v>
      </c>
      <c r="S2109" s="1" t="s">
        <v>42</v>
      </c>
      <c r="T2109" s="1" t="s">
        <v>273</v>
      </c>
      <c r="V2109" s="5">
        <v>43678</v>
      </c>
      <c r="W2109" s="5">
        <v>42955</v>
      </c>
      <c r="X2109" s="1">
        <v>4500000</v>
      </c>
      <c r="Y2109" s="1">
        <v>4500000</v>
      </c>
      <c r="Z2109" s="5">
        <v>42956</v>
      </c>
      <c r="AA2109" s="1">
        <v>4516285.4000000004</v>
      </c>
      <c r="AB2109" s="1" t="s">
        <v>1181</v>
      </c>
      <c r="AC2109" s="5">
        <v>43572</v>
      </c>
      <c r="AF2109" s="1">
        <v>10003</v>
      </c>
      <c r="AI2109" s="1" t="s">
        <v>80</v>
      </c>
      <c r="AJ2109" s="1">
        <v>2018</v>
      </c>
      <c r="AK2109" s="1" t="s">
        <v>125</v>
      </c>
      <c r="AL2109" s="1">
        <v>52</v>
      </c>
    </row>
    <row r="2110" spans="1:38" x14ac:dyDescent="0.2">
      <c r="A2110" s="2" t="str">
        <f>HYPERLINK("https://www.compass.com/listing/100-west-80th-street-unit-3e-manhattan-ny-10024/29399450321499681/","100 W 80th St, Unit 3E")</f>
        <v>100 W 80th St, Unit 3E</v>
      </c>
      <c r="B2110" s="2" t="str">
        <f>HYPERLINK("https://www.compass.com/building/the-orleans-manhattan-ny/281961359686577973/","The Orleans")</f>
        <v>The Orleans</v>
      </c>
      <c r="C2110" s="1" t="s">
        <v>57</v>
      </c>
      <c r="D2110" s="1" t="s">
        <v>41</v>
      </c>
      <c r="E2110" s="3">
        <v>5000000</v>
      </c>
      <c r="F2110" s="1">
        <v>1990.4458598726101</v>
      </c>
      <c r="G2110" s="1">
        <v>8</v>
      </c>
      <c r="H2110" s="1">
        <v>4</v>
      </c>
      <c r="I2110" s="1">
        <v>3</v>
      </c>
      <c r="J2110" s="1">
        <v>3</v>
      </c>
      <c r="M2110" s="4">
        <v>2512</v>
      </c>
      <c r="N2110" s="1">
        <v>3790</v>
      </c>
      <c r="O2110" s="1">
        <v>8741</v>
      </c>
      <c r="P2110" s="1">
        <v>4951</v>
      </c>
      <c r="Q2110" s="1" t="s">
        <v>42</v>
      </c>
      <c r="S2110" s="1" t="s">
        <v>42</v>
      </c>
      <c r="T2110" s="1" t="s">
        <v>273</v>
      </c>
      <c r="U2110" s="1">
        <v>157</v>
      </c>
      <c r="V2110" s="5">
        <v>43641</v>
      </c>
      <c r="W2110" s="5">
        <v>42989</v>
      </c>
      <c r="X2110" s="1">
        <v>5500000</v>
      </c>
      <c r="Y2110" s="1">
        <v>5150000</v>
      </c>
      <c r="Z2110" s="5">
        <v>43146</v>
      </c>
      <c r="AA2110" s="1">
        <v>5000000</v>
      </c>
      <c r="AB2110" s="1" t="s">
        <v>1182</v>
      </c>
      <c r="AC2110" s="5">
        <v>43182</v>
      </c>
      <c r="AF2110" s="1">
        <v>10024</v>
      </c>
      <c r="AJ2110" s="1">
        <v>1900</v>
      </c>
      <c r="AK2110" s="1" t="s">
        <v>146</v>
      </c>
      <c r="AL2110" s="1">
        <v>24</v>
      </c>
    </row>
    <row r="2111" spans="1:38" x14ac:dyDescent="0.2">
      <c r="A2111" s="2" t="str">
        <f>HYPERLINK("https://www.compass.com/listing/100-barclay-street-unit-31b-manhattan-ny-10007/850522481760269025/","100 Barclay St, Unit 31B")</f>
        <v>100 Barclay St, Unit 31B</v>
      </c>
      <c r="B2111" s="2" t="str">
        <f>HYPERLINK("https://www.compass.com/building/100-barclay-manhattan-ny/281896670466155525/","100 Barclay")</f>
        <v>100 Barclay</v>
      </c>
      <c r="C2111" s="1" t="s">
        <v>50</v>
      </c>
      <c r="D2111" s="1" t="s">
        <v>41</v>
      </c>
      <c r="E2111" s="3">
        <v>9000000</v>
      </c>
      <c r="F2111" s="1">
        <v>2115.6558533145198</v>
      </c>
      <c r="M2111" s="4">
        <v>4254</v>
      </c>
      <c r="Q2111" s="1" t="s">
        <v>42</v>
      </c>
      <c r="S2111" s="1" t="s">
        <v>42</v>
      </c>
      <c r="T2111" s="1" t="s">
        <v>273</v>
      </c>
      <c r="AA2111" s="1">
        <v>9000000</v>
      </c>
      <c r="AB2111" s="1" t="s">
        <v>1183</v>
      </c>
      <c r="AC2111" s="5">
        <v>44389</v>
      </c>
      <c r="AF2111" s="1">
        <v>10007</v>
      </c>
      <c r="AI2111" s="1" t="s">
        <v>52</v>
      </c>
      <c r="AJ2111" s="1">
        <v>1930</v>
      </c>
      <c r="AK2111" s="1" t="s">
        <v>49</v>
      </c>
      <c r="AL2111" s="1">
        <v>156</v>
      </c>
    </row>
    <row r="2112" spans="1:38" x14ac:dyDescent="0.2">
      <c r="A2112" s="2" t="str">
        <f>HYPERLINK("https://www.compass.com/listing/559-west-23rd-street-unit-78-manhattan-ny-10011/841463252575913265/","559 W 23rd St, Unit 78")</f>
        <v>559 W 23rd St, Unit 78</v>
      </c>
      <c r="B2112" s="2" t="str">
        <f>HYPERLINK("https://www.compass.com/building/chelsea-waterside-residences-manhattan-ny/281911750683552581/","Chelsea Waterside Residences")</f>
        <v>Chelsea Waterside Residences</v>
      </c>
      <c r="C2112" s="1" t="s">
        <v>62</v>
      </c>
      <c r="D2112" s="1" t="s">
        <v>41</v>
      </c>
      <c r="E2112" s="3">
        <v>3850000</v>
      </c>
      <c r="F2112" s="1">
        <v>1597.5103734439799</v>
      </c>
      <c r="H2112" s="1">
        <v>3</v>
      </c>
      <c r="J2112" s="1">
        <v>4</v>
      </c>
      <c r="K2112" s="1">
        <v>4</v>
      </c>
      <c r="M2112" s="4">
        <v>2410</v>
      </c>
      <c r="N2112" s="1">
        <v>3540</v>
      </c>
      <c r="O2112" s="1">
        <v>8485</v>
      </c>
      <c r="P2112" s="1">
        <v>4945</v>
      </c>
      <c r="Q2112" s="1" t="s">
        <v>42</v>
      </c>
      <c r="S2112" s="1" t="s">
        <v>42</v>
      </c>
      <c r="T2112" s="1" t="s">
        <v>273</v>
      </c>
      <c r="AA2112" s="1">
        <v>3850000</v>
      </c>
      <c r="AB2112" s="1" t="s">
        <v>1184</v>
      </c>
      <c r="AC2112" s="5">
        <v>44105</v>
      </c>
      <c r="AF2112" s="1">
        <v>10011</v>
      </c>
      <c r="AJ2112" s="1">
        <v>2015</v>
      </c>
      <c r="AK2112" s="1" t="s">
        <v>73</v>
      </c>
      <c r="AL2112" s="1">
        <v>8</v>
      </c>
    </row>
    <row r="2113" spans="1:38" x14ac:dyDescent="0.2">
      <c r="A2113" s="2" t="str">
        <f>HYPERLINK("https://www.compass.com/listing/63-greene-street-unit-3a-manhattan-ny-10012/13087414713063281/","63 Greene St, Unit 3A")</f>
        <v>63 Greene St, Unit 3A</v>
      </c>
      <c r="B2113" s="2" t="str">
        <f t="shared" ref="B2113:B2114" si="337">HYPERLINK("https://www.compass.com/building/63-greene-street-manhattan-ny/292812252044627637/","63 Greene Street")</f>
        <v>63 Greene Street</v>
      </c>
      <c r="C2113" s="1" t="s">
        <v>298</v>
      </c>
      <c r="D2113" s="1" t="s">
        <v>41</v>
      </c>
      <c r="E2113" s="3">
        <v>5600375</v>
      </c>
      <c r="F2113" s="1">
        <v>2333.4895833333298</v>
      </c>
      <c r="G2113" s="1">
        <v>5</v>
      </c>
      <c r="H2113" s="1">
        <v>3</v>
      </c>
      <c r="I2113" s="1">
        <v>3</v>
      </c>
      <c r="J2113" s="1">
        <v>3</v>
      </c>
      <c r="M2113" s="4">
        <v>2400</v>
      </c>
      <c r="N2113" s="1">
        <v>2343</v>
      </c>
      <c r="O2113" s="1">
        <v>5086</v>
      </c>
      <c r="P2113" s="1">
        <v>2743</v>
      </c>
      <c r="Q2113" s="1" t="s">
        <v>42</v>
      </c>
      <c r="S2113" s="1" t="s">
        <v>42</v>
      </c>
      <c r="T2113" s="1" t="s">
        <v>273</v>
      </c>
      <c r="U2113" s="1">
        <v>53</v>
      </c>
      <c r="V2113" s="5">
        <v>43636</v>
      </c>
      <c r="W2113" s="5">
        <v>42535</v>
      </c>
      <c r="X2113" s="1">
        <v>5900000</v>
      </c>
      <c r="Y2113" s="1">
        <v>5900000</v>
      </c>
      <c r="Z2113" s="5">
        <v>42588</v>
      </c>
      <c r="AA2113" s="1">
        <v>5600375</v>
      </c>
      <c r="AB2113" s="1" t="s">
        <v>275</v>
      </c>
      <c r="AC2113" s="5">
        <v>42707</v>
      </c>
      <c r="AF2113" s="1">
        <v>10012</v>
      </c>
      <c r="AI2113" s="1" t="s">
        <v>140</v>
      </c>
      <c r="AJ2113" s="1">
        <v>1877</v>
      </c>
      <c r="AK2113" s="1" t="s">
        <v>146</v>
      </c>
      <c r="AL2113" s="1">
        <v>23</v>
      </c>
    </row>
    <row r="2114" spans="1:38" x14ac:dyDescent="0.2">
      <c r="A2114" s="2" t="str">
        <f>HYPERLINK("https://www.compass.com/listing/63-greene-street-unit-4d-manhattan-ny-10012/13087402239243601/","63 Greene St, Unit 4D")</f>
        <v>63 Greene St, Unit 4D</v>
      </c>
      <c r="B2114" s="2" t="str">
        <f t="shared" si="337"/>
        <v>63 Greene Street</v>
      </c>
      <c r="C2114" s="1" t="s">
        <v>298</v>
      </c>
      <c r="D2114" s="1" t="s">
        <v>41</v>
      </c>
      <c r="E2114" s="3">
        <v>4450000</v>
      </c>
      <c r="F2114" s="1">
        <v>1848.7744079767299</v>
      </c>
      <c r="G2114" s="1">
        <v>5</v>
      </c>
      <c r="H2114" s="1">
        <v>3</v>
      </c>
      <c r="I2114" s="1">
        <v>4</v>
      </c>
      <c r="J2114" s="1">
        <v>3.5</v>
      </c>
      <c r="M2114" s="4">
        <v>2407</v>
      </c>
      <c r="N2114" s="1">
        <v>2316</v>
      </c>
      <c r="O2114" s="1">
        <v>5027</v>
      </c>
      <c r="P2114" s="1">
        <v>2711</v>
      </c>
      <c r="Q2114" s="1" t="s">
        <v>42</v>
      </c>
      <c r="S2114" s="1" t="s">
        <v>42</v>
      </c>
      <c r="T2114" s="1" t="s">
        <v>273</v>
      </c>
      <c r="U2114" s="1">
        <v>462</v>
      </c>
      <c r="V2114" s="5">
        <v>43668</v>
      </c>
      <c r="W2114" s="5">
        <v>42409</v>
      </c>
      <c r="X2114" s="1">
        <v>5000000</v>
      </c>
      <c r="Y2114" s="1">
        <v>4500000</v>
      </c>
      <c r="Z2114" s="5">
        <v>42871</v>
      </c>
      <c r="AA2114" s="1">
        <v>4450000</v>
      </c>
      <c r="AB2114" s="1" t="s">
        <v>1144</v>
      </c>
      <c r="AC2114" s="5">
        <v>42905</v>
      </c>
      <c r="AF2114" s="1">
        <v>10012</v>
      </c>
      <c r="AI2114" s="1" t="s">
        <v>140</v>
      </c>
      <c r="AJ2114" s="1">
        <v>1877</v>
      </c>
      <c r="AK2114" s="1" t="s">
        <v>146</v>
      </c>
      <c r="AL2114" s="1">
        <v>23</v>
      </c>
    </row>
    <row r="2115" spans="1:38" x14ac:dyDescent="0.2">
      <c r="A2115" s="2" t="str">
        <f>HYPERLINK("https://www.compass.com/listing/175-west-10th-street-unit-ph-manhattan-ny-10014/4855309801594304913/","175 W 10th St, Unit PH")</f>
        <v>175 W 10th St, Unit PH</v>
      </c>
      <c r="B2115" s="2" t="str">
        <f>HYPERLINK("https://www.compass.com/building/175-w-10th-st-manhattan-ny-10014/281930509993423093/","175 W 10th St")</f>
        <v>175 W 10th St</v>
      </c>
      <c r="C2115" s="1" t="s">
        <v>67</v>
      </c>
      <c r="D2115" s="1" t="s">
        <v>41</v>
      </c>
      <c r="E2115" s="3">
        <v>9500000</v>
      </c>
      <c r="F2115" s="1">
        <v>3115.7756641521801</v>
      </c>
      <c r="G2115" s="1">
        <v>6</v>
      </c>
      <c r="H2115" s="1">
        <v>3</v>
      </c>
      <c r="I2115" s="1">
        <v>3</v>
      </c>
      <c r="J2115" s="1">
        <v>3</v>
      </c>
      <c r="K2115" s="1">
        <v>3</v>
      </c>
      <c r="M2115" s="4">
        <v>3049</v>
      </c>
      <c r="N2115" s="1">
        <v>4223</v>
      </c>
      <c r="O2115" s="1">
        <v>7721</v>
      </c>
      <c r="P2115" s="1">
        <v>3498</v>
      </c>
      <c r="Q2115" s="1" t="s">
        <v>42</v>
      </c>
      <c r="S2115" s="1" t="s">
        <v>42</v>
      </c>
      <c r="T2115" s="1" t="s">
        <v>273</v>
      </c>
      <c r="V2115" s="5">
        <v>44096</v>
      </c>
      <c r="W2115" s="5">
        <v>43004</v>
      </c>
      <c r="X2115" s="1">
        <v>9995000</v>
      </c>
      <c r="Y2115" s="1">
        <v>9995000</v>
      </c>
      <c r="Z2115" s="5">
        <v>43004</v>
      </c>
      <c r="AA2115" s="1">
        <v>9500000</v>
      </c>
      <c r="AB2115" s="1" t="s">
        <v>967</v>
      </c>
      <c r="AC2115" s="5">
        <v>43069</v>
      </c>
      <c r="AF2115" s="1">
        <v>10014</v>
      </c>
      <c r="AI2115" s="1" t="s">
        <v>767</v>
      </c>
      <c r="AJ2115" s="1">
        <v>2016</v>
      </c>
      <c r="AK2115" s="1" t="s">
        <v>115</v>
      </c>
      <c r="AL2115" s="1">
        <v>5</v>
      </c>
    </row>
    <row r="2116" spans="1:38" x14ac:dyDescent="0.2">
      <c r="A2116" s="2" t="str">
        <f>HYPERLINK("https://www.compass.com/listing/21-east-12th-street-unit-phb-manhattan-ny-10003/29514926255004401/","21 E 12th St, Unit PHB")</f>
        <v>21 E 12th St, Unit PHB</v>
      </c>
      <c r="B2116" s="2" t="str">
        <f t="shared" ref="B2116:B2118" si="338">HYPERLINK("https://www.compass.com/building/21-east-12th-street-manhattan-ny/292779727154847925/","21 East 12th Street")</f>
        <v>21 East 12th Street</v>
      </c>
      <c r="C2116" s="1" t="s">
        <v>277</v>
      </c>
      <c r="D2116" s="1" t="s">
        <v>41</v>
      </c>
      <c r="E2116" s="3">
        <v>16842943</v>
      </c>
      <c r="F2116" s="1">
        <v>4596.8731877729197</v>
      </c>
      <c r="G2116" s="1">
        <v>6</v>
      </c>
      <c r="H2116" s="1">
        <v>4</v>
      </c>
      <c r="I2116" s="1">
        <v>5</v>
      </c>
      <c r="J2116" s="1">
        <v>4.5</v>
      </c>
      <c r="K2116" s="1">
        <v>4</v>
      </c>
      <c r="L2116" s="1">
        <v>1</v>
      </c>
      <c r="M2116" s="4">
        <v>3664</v>
      </c>
      <c r="N2116" s="1">
        <v>4866</v>
      </c>
      <c r="O2116" s="1">
        <v>12302</v>
      </c>
      <c r="P2116" s="1">
        <v>7436</v>
      </c>
      <c r="Q2116" s="1" t="s">
        <v>42</v>
      </c>
      <c r="S2116" s="1" t="s">
        <v>42</v>
      </c>
      <c r="T2116" s="1" t="s">
        <v>273</v>
      </c>
      <c r="V2116" s="5">
        <v>43761</v>
      </c>
      <c r="W2116" s="5">
        <v>42584</v>
      </c>
      <c r="X2116" s="1">
        <v>16500000</v>
      </c>
      <c r="Y2116" s="1">
        <v>17500000</v>
      </c>
      <c r="Z2116" s="5">
        <v>42585</v>
      </c>
      <c r="AA2116" s="1">
        <v>16842943.359999999</v>
      </c>
      <c r="AB2116" s="1" t="s">
        <v>1185</v>
      </c>
      <c r="AC2116" s="5">
        <v>43749</v>
      </c>
      <c r="AF2116" s="1">
        <v>10003</v>
      </c>
      <c r="AI2116" s="1" t="s">
        <v>1186</v>
      </c>
      <c r="AJ2116" s="1">
        <v>2018</v>
      </c>
      <c r="AK2116" s="1" t="s">
        <v>125</v>
      </c>
      <c r="AL2116" s="1">
        <v>52</v>
      </c>
    </row>
    <row r="2117" spans="1:38" x14ac:dyDescent="0.2">
      <c r="A2117" s="2" t="str">
        <f>HYPERLINK("https://www.compass.com/listing/21-east-12th-street-unit-16c-manhattan-ny-10003/29514925030335921/","21 E 12th St, Unit 16C")</f>
        <v>21 E 12th St, Unit 16C</v>
      </c>
      <c r="B2117" s="2" t="str">
        <f t="shared" si="338"/>
        <v>21 East 12th Street</v>
      </c>
      <c r="C2117" s="1" t="s">
        <v>277</v>
      </c>
      <c r="D2117" s="1" t="s">
        <v>41</v>
      </c>
      <c r="E2117" s="3">
        <v>6078963</v>
      </c>
      <c r="F2117" s="1">
        <v>2997.5162721893398</v>
      </c>
      <c r="G2117" s="1">
        <v>4.5</v>
      </c>
      <c r="H2117" s="1">
        <v>2</v>
      </c>
      <c r="I2117" s="1">
        <v>3</v>
      </c>
      <c r="J2117" s="1">
        <v>2.5</v>
      </c>
      <c r="K2117" s="1">
        <v>2</v>
      </c>
      <c r="L2117" s="1">
        <v>1</v>
      </c>
      <c r="M2117" s="4">
        <v>2028</v>
      </c>
      <c r="N2117" s="1">
        <v>2644</v>
      </c>
      <c r="O2117" s="1">
        <v>6684</v>
      </c>
      <c r="P2117" s="1">
        <v>4040</v>
      </c>
      <c r="Q2117" s="1" t="s">
        <v>42</v>
      </c>
      <c r="S2117" s="1" t="s">
        <v>42</v>
      </c>
      <c r="T2117" s="1" t="s">
        <v>273</v>
      </c>
      <c r="U2117" s="1">
        <v>164</v>
      </c>
      <c r="V2117" s="5">
        <v>43788</v>
      </c>
      <c r="W2117" s="5">
        <v>43137</v>
      </c>
      <c r="X2117" s="1">
        <v>6225000</v>
      </c>
      <c r="Y2117" s="1">
        <v>6225000</v>
      </c>
      <c r="Z2117" s="5">
        <v>43301</v>
      </c>
      <c r="AA2117" s="1">
        <v>6078963</v>
      </c>
      <c r="AB2117" s="1" t="s">
        <v>1187</v>
      </c>
      <c r="AC2117" s="5">
        <v>43617</v>
      </c>
      <c r="AF2117" s="1">
        <v>10003</v>
      </c>
      <c r="AI2117" s="1" t="s">
        <v>80</v>
      </c>
      <c r="AJ2117" s="1">
        <v>2018</v>
      </c>
      <c r="AK2117" s="1" t="s">
        <v>125</v>
      </c>
      <c r="AL2117" s="1">
        <v>52</v>
      </c>
    </row>
    <row r="2118" spans="1:38" x14ac:dyDescent="0.2">
      <c r="A2118" s="2" t="str">
        <f>HYPERLINK("https://www.compass.com/listing/21-east-12th-street-unit-17c-manhattan-ny-10003/29514936002635601/","21 E 12th St, Unit 17C")</f>
        <v>21 E 12th St, Unit 17C</v>
      </c>
      <c r="B2118" s="2" t="str">
        <f t="shared" si="338"/>
        <v>21 East 12th Street</v>
      </c>
      <c r="C2118" s="1" t="s">
        <v>277</v>
      </c>
      <c r="D2118" s="1" t="s">
        <v>41</v>
      </c>
      <c r="E2118" s="3">
        <v>5948994</v>
      </c>
      <c r="F2118" s="1">
        <v>2933.4289940828398</v>
      </c>
      <c r="G2118" s="1">
        <v>4</v>
      </c>
      <c r="H2118" s="1">
        <v>2</v>
      </c>
      <c r="I2118" s="1">
        <v>3</v>
      </c>
      <c r="J2118" s="1">
        <v>2.5</v>
      </c>
      <c r="K2118" s="1">
        <v>2</v>
      </c>
      <c r="L2118" s="1">
        <v>1</v>
      </c>
      <c r="M2118" s="4">
        <v>2028</v>
      </c>
      <c r="N2118" s="1">
        <v>2648</v>
      </c>
      <c r="O2118" s="1">
        <v>6688</v>
      </c>
      <c r="P2118" s="1">
        <v>4040</v>
      </c>
      <c r="Q2118" s="1" t="s">
        <v>42</v>
      </c>
      <c r="S2118" s="1" t="s">
        <v>42</v>
      </c>
      <c r="T2118" s="1" t="s">
        <v>273</v>
      </c>
      <c r="U2118" s="1">
        <v>14</v>
      </c>
      <c r="V2118" s="5">
        <v>43694</v>
      </c>
      <c r="W2118" s="5">
        <v>43222</v>
      </c>
      <c r="X2118" s="1">
        <v>6375000</v>
      </c>
      <c r="Y2118" s="1">
        <v>6375000</v>
      </c>
      <c r="Z2118" s="5">
        <v>43236</v>
      </c>
      <c r="AA2118" s="1">
        <v>5948994</v>
      </c>
      <c r="AB2118" s="1" t="s">
        <v>1188</v>
      </c>
      <c r="AC2118" s="5">
        <v>43635</v>
      </c>
      <c r="AF2118" s="1">
        <v>10003</v>
      </c>
      <c r="AI2118" s="1" t="s">
        <v>80</v>
      </c>
      <c r="AJ2118" s="1">
        <v>2018</v>
      </c>
      <c r="AK2118" s="1" t="s">
        <v>125</v>
      </c>
      <c r="AL2118" s="1">
        <v>52</v>
      </c>
    </row>
    <row r="2119" spans="1:38" x14ac:dyDescent="0.2">
      <c r="A2119" s="2" t="str">
        <f>HYPERLINK("https://www.compass.com/listing/63-greene-street-unit-pha-manhattan-ny-10012/19416282227093729/","63 Greene St, Unit PHA")</f>
        <v>63 Greene St, Unit PHA</v>
      </c>
      <c r="B2119" s="2" t="str">
        <f t="shared" ref="B2119:B2120" si="339">HYPERLINK("https://www.compass.com/building/63-greene-street-manhattan-ny/292812252044627637/","63 Greene Street")</f>
        <v>63 Greene Street</v>
      </c>
      <c r="C2119" s="1" t="s">
        <v>298</v>
      </c>
      <c r="D2119" s="1" t="s">
        <v>41</v>
      </c>
      <c r="E2119" s="3">
        <v>10691625</v>
      </c>
      <c r="F2119" s="1">
        <v>2972.3728106755598</v>
      </c>
      <c r="G2119" s="1">
        <v>7</v>
      </c>
      <c r="H2119" s="1">
        <v>4</v>
      </c>
      <c r="I2119" s="1">
        <v>4</v>
      </c>
      <c r="J2119" s="1">
        <v>4</v>
      </c>
      <c r="M2119" s="4">
        <v>3597</v>
      </c>
      <c r="N2119" s="1">
        <v>4267</v>
      </c>
      <c r="O2119" s="1">
        <v>12527</v>
      </c>
      <c r="P2119" s="1">
        <v>8260</v>
      </c>
      <c r="Q2119" s="1" t="s">
        <v>42</v>
      </c>
      <c r="S2119" s="1" t="s">
        <v>42</v>
      </c>
      <c r="T2119" s="1" t="s">
        <v>273</v>
      </c>
      <c r="U2119" s="1">
        <v>737</v>
      </c>
      <c r="V2119" s="5">
        <v>43643</v>
      </c>
      <c r="W2119" s="5">
        <v>42409</v>
      </c>
      <c r="X2119" s="1">
        <v>12950000</v>
      </c>
      <c r="Y2119" s="1">
        <v>10500000</v>
      </c>
      <c r="Z2119" s="5">
        <v>43146</v>
      </c>
      <c r="AA2119" s="1">
        <v>10691625</v>
      </c>
      <c r="AB2119" s="1" t="s">
        <v>1189</v>
      </c>
      <c r="AC2119" s="5">
        <v>43172</v>
      </c>
      <c r="AF2119" s="1">
        <v>10012</v>
      </c>
      <c r="AI2119" s="1" t="s">
        <v>61</v>
      </c>
      <c r="AJ2119" s="1">
        <v>1877</v>
      </c>
      <c r="AK2119" s="1" t="s">
        <v>146</v>
      </c>
      <c r="AL2119" s="1">
        <v>23</v>
      </c>
    </row>
    <row r="2120" spans="1:38" x14ac:dyDescent="0.2">
      <c r="A2120" s="2" t="str">
        <f>HYPERLINK("https://www.compass.com/listing/63-greene-street-unit-pha-manhattan-ny-10012/803364640192708737/","63 Greene St, Unit PHA")</f>
        <v>63 Greene St, Unit PHA</v>
      </c>
      <c r="B2120" s="2" t="str">
        <f t="shared" si="339"/>
        <v>63 Greene Street</v>
      </c>
      <c r="C2120" s="1" t="s">
        <v>298</v>
      </c>
      <c r="D2120" s="1" t="s">
        <v>41</v>
      </c>
      <c r="E2120" s="3">
        <v>10691625</v>
      </c>
      <c r="F2120" s="1">
        <v>2972.3728106755598</v>
      </c>
      <c r="G2120" s="1">
        <v>7</v>
      </c>
      <c r="H2120" s="1">
        <v>4</v>
      </c>
      <c r="I2120" s="1">
        <v>4</v>
      </c>
      <c r="J2120" s="1">
        <v>4</v>
      </c>
      <c r="K2120" s="1">
        <v>4</v>
      </c>
      <c r="M2120" s="4">
        <v>3597</v>
      </c>
      <c r="N2120" s="1">
        <v>4267</v>
      </c>
      <c r="O2120" s="1">
        <v>12527</v>
      </c>
      <c r="P2120" s="1">
        <v>8260</v>
      </c>
      <c r="Q2120" s="1" t="s">
        <v>42</v>
      </c>
      <c r="S2120" s="1" t="s">
        <v>42</v>
      </c>
      <c r="T2120" s="1" t="s">
        <v>273</v>
      </c>
      <c r="U2120" s="1">
        <v>763</v>
      </c>
      <c r="V2120" s="5">
        <v>43678</v>
      </c>
      <c r="W2120" s="5">
        <v>42408</v>
      </c>
      <c r="X2120" s="1">
        <v>12950000</v>
      </c>
      <c r="Y2120" s="1">
        <v>12950000</v>
      </c>
      <c r="AA2120" s="1">
        <v>10691625</v>
      </c>
      <c r="AB2120" s="1" t="s">
        <v>1189</v>
      </c>
      <c r="AC2120" s="5">
        <v>43172</v>
      </c>
      <c r="AF2120" s="1">
        <v>10012</v>
      </c>
      <c r="AI2120" s="1" t="s">
        <v>1156</v>
      </c>
      <c r="AJ2120" s="1">
        <v>1877</v>
      </c>
      <c r="AK2120" s="1" t="s">
        <v>146</v>
      </c>
      <c r="AL2120" s="1">
        <v>23</v>
      </c>
    </row>
    <row r="2121" spans="1:38" x14ac:dyDescent="0.2">
      <c r="A2121" s="2" t="str">
        <f>HYPERLINK("https://www.compass.com/listing/121-east-22nd-street-unit-n205-manhattan-ny-10010/200643485085244753/","121 E 22nd St, Unit N205")</f>
        <v>121 E 22nd St, Unit N205</v>
      </c>
      <c r="B2121" s="2" t="str">
        <f t="shared" ref="B2121:B2122" si="340">HYPERLINK("https://www.compass.com/building/121-e-22nd-manhattan-ny/292795784653461493/","121 E 22nd")</f>
        <v>121 E 22nd</v>
      </c>
      <c r="C2121" s="1" t="s">
        <v>64</v>
      </c>
      <c r="D2121" s="1" t="s">
        <v>41</v>
      </c>
      <c r="E2121" s="3">
        <v>1456098</v>
      </c>
      <c r="F2121" s="1">
        <v>1923.51122853368</v>
      </c>
      <c r="G2121" s="1">
        <v>3</v>
      </c>
      <c r="H2121" s="1">
        <v>1</v>
      </c>
      <c r="I2121" s="1">
        <v>1</v>
      </c>
      <c r="J2121" s="1">
        <v>1</v>
      </c>
      <c r="K2121" s="1">
        <v>1</v>
      </c>
      <c r="M2121" s="1">
        <v>757</v>
      </c>
      <c r="N2121" s="1">
        <v>767</v>
      </c>
      <c r="O2121" s="1">
        <v>2123</v>
      </c>
      <c r="P2121" s="1">
        <v>1356</v>
      </c>
      <c r="Q2121" s="1" t="s">
        <v>42</v>
      </c>
      <c r="S2121" s="1" t="s">
        <v>42</v>
      </c>
      <c r="T2121" s="1" t="s">
        <v>273</v>
      </c>
      <c r="V2121" s="5">
        <v>44373</v>
      </c>
      <c r="W2121" s="5">
        <v>43529</v>
      </c>
      <c r="X2121" s="1">
        <v>1430000</v>
      </c>
      <c r="Y2121" s="1">
        <v>1430000</v>
      </c>
      <c r="Z2121" s="5">
        <v>43529</v>
      </c>
      <c r="AA2121" s="1">
        <v>1456098</v>
      </c>
      <c r="AB2121" s="1" t="s">
        <v>1190</v>
      </c>
      <c r="AC2121" s="5">
        <v>43571</v>
      </c>
      <c r="AF2121" s="1">
        <v>10010</v>
      </c>
      <c r="AI2121" s="1" t="s">
        <v>234</v>
      </c>
      <c r="AJ2121" s="1">
        <v>2016</v>
      </c>
      <c r="AK2121" s="1" t="s">
        <v>108</v>
      </c>
      <c r="AL2121" s="1">
        <v>140</v>
      </c>
    </row>
    <row r="2122" spans="1:38" x14ac:dyDescent="0.2">
      <c r="A2122" s="2" t="str">
        <f>HYPERLINK("https://www.compass.com/listing/121-east-22nd-street-unit-n404-manhattan-ny-10010/424914840186420113/","121 E 22nd St, Unit N404")</f>
        <v>121 E 22nd St, Unit N404</v>
      </c>
      <c r="B2122" s="2" t="str">
        <f t="shared" si="340"/>
        <v>121 E 22nd</v>
      </c>
      <c r="C2122" s="1" t="s">
        <v>64</v>
      </c>
      <c r="D2122" s="1" t="s">
        <v>41</v>
      </c>
      <c r="E2122" s="3">
        <v>1604202</v>
      </c>
      <c r="F2122" s="1">
        <v>2056.6691794871699</v>
      </c>
      <c r="H2122" s="1">
        <v>1</v>
      </c>
      <c r="J2122" s="1">
        <v>1</v>
      </c>
      <c r="K2122" s="1">
        <v>1</v>
      </c>
      <c r="M2122" s="1">
        <v>780</v>
      </c>
      <c r="N2122" s="1">
        <v>811</v>
      </c>
      <c r="O2122" s="1">
        <v>2242</v>
      </c>
      <c r="P2122" s="1">
        <v>1431</v>
      </c>
      <c r="Q2122" s="1" t="s">
        <v>42</v>
      </c>
      <c r="S2122" s="1" t="s">
        <v>42</v>
      </c>
      <c r="T2122" s="1" t="s">
        <v>273</v>
      </c>
      <c r="AA2122" s="1">
        <v>1604201.96</v>
      </c>
      <c r="AB2122" s="1" t="s">
        <v>1191</v>
      </c>
      <c r="AC2122" s="5">
        <v>43768</v>
      </c>
      <c r="AF2122" s="1">
        <v>10010</v>
      </c>
      <c r="AI2122" s="1" t="s">
        <v>66</v>
      </c>
      <c r="AJ2122" s="1">
        <v>2016</v>
      </c>
      <c r="AK2122" s="1" t="s">
        <v>55</v>
      </c>
      <c r="AL2122" s="1">
        <v>140</v>
      </c>
    </row>
    <row r="2123" spans="1:38" x14ac:dyDescent="0.2">
      <c r="A2123" s="2" t="str">
        <f>HYPERLINK("https://www.compass.com/listing/63-greene-street-unit-5a-manhattan-ny-10012/4845165728866773121/","63 Greene St, Unit 5A")</f>
        <v>63 Greene St, Unit 5A</v>
      </c>
      <c r="B2123" s="2" t="str">
        <f>HYPERLINK("https://www.compass.com/building/63-greene-street-manhattan-ny/292812252044627637/","63 Greene Street")</f>
        <v>63 Greene Street</v>
      </c>
      <c r="C2123" s="1" t="s">
        <v>298</v>
      </c>
      <c r="D2123" s="1" t="s">
        <v>41</v>
      </c>
      <c r="E2123" s="3">
        <v>4500000</v>
      </c>
      <c r="F2123" s="1">
        <v>2304.1474654377798</v>
      </c>
      <c r="G2123" s="1">
        <v>4</v>
      </c>
      <c r="H2123" s="1">
        <v>2</v>
      </c>
      <c r="I2123" s="1">
        <v>2</v>
      </c>
      <c r="J2123" s="1">
        <v>2</v>
      </c>
      <c r="M2123" s="4">
        <v>1953</v>
      </c>
      <c r="N2123" s="1">
        <v>1951</v>
      </c>
      <c r="O2123" s="1">
        <v>4236</v>
      </c>
      <c r="P2123" s="1">
        <v>2285</v>
      </c>
      <c r="Q2123" s="1" t="s">
        <v>42</v>
      </c>
      <c r="S2123" s="1" t="s">
        <v>42</v>
      </c>
      <c r="T2123" s="1" t="s">
        <v>273</v>
      </c>
      <c r="V2123" s="5">
        <v>43694</v>
      </c>
      <c r="W2123" s="5">
        <v>42878</v>
      </c>
      <c r="X2123" s="1">
        <v>5150000</v>
      </c>
      <c r="Y2123" s="1">
        <v>5150000</v>
      </c>
      <c r="Z2123" s="5">
        <v>42878</v>
      </c>
      <c r="AA2123" s="1">
        <v>4500000</v>
      </c>
      <c r="AB2123" s="1" t="s">
        <v>1192</v>
      </c>
      <c r="AC2123" s="5">
        <v>42893</v>
      </c>
      <c r="AF2123" s="1">
        <v>10012</v>
      </c>
      <c r="AI2123" s="1" t="s">
        <v>140</v>
      </c>
      <c r="AJ2123" s="1">
        <v>1877</v>
      </c>
      <c r="AK2123" s="1" t="s">
        <v>146</v>
      </c>
      <c r="AL2123" s="1">
        <v>23</v>
      </c>
    </row>
    <row r="2124" spans="1:38" x14ac:dyDescent="0.2">
      <c r="A2124" s="2" t="str">
        <f>HYPERLINK("https://www.compass.com/listing/108-leonard-street-unit-8a-manhattan-ny-10013/812310989904650641/","108 Leonard St, Unit 8A")</f>
        <v>108 Leonard St, Unit 8A</v>
      </c>
      <c r="B2124" s="2" t="str">
        <f>HYPERLINK("https://www.compass.com/building/108-leonard-st-manhattan-ny-10013/307456049610778277/","108 Leonard St")</f>
        <v>108 Leonard St</v>
      </c>
      <c r="C2124" s="1" t="s">
        <v>113</v>
      </c>
      <c r="D2124" s="1" t="s">
        <v>41</v>
      </c>
      <c r="E2124" s="3">
        <v>4225000</v>
      </c>
      <c r="F2124" s="1">
        <v>2395.12471655328</v>
      </c>
      <c r="G2124" s="1">
        <v>4</v>
      </c>
      <c r="H2124" s="1">
        <v>2</v>
      </c>
      <c r="I2124" s="1">
        <v>3</v>
      </c>
      <c r="J2124" s="1">
        <v>2.5</v>
      </c>
      <c r="K2124" s="1">
        <v>2</v>
      </c>
      <c r="L2124" s="1">
        <v>1</v>
      </c>
      <c r="M2124" s="4">
        <v>1764</v>
      </c>
      <c r="N2124" s="1">
        <v>2091</v>
      </c>
      <c r="O2124" s="1">
        <v>4921</v>
      </c>
      <c r="P2124" s="1">
        <v>2830</v>
      </c>
      <c r="Q2124" s="1" t="s">
        <v>42</v>
      </c>
      <c r="S2124" s="1" t="s">
        <v>42</v>
      </c>
      <c r="T2124" s="1" t="s">
        <v>273</v>
      </c>
      <c r="V2124" s="5">
        <v>44415</v>
      </c>
      <c r="W2124" s="5">
        <v>44372</v>
      </c>
      <c r="Y2124" s="1">
        <v>4225000</v>
      </c>
      <c r="Z2124" s="5">
        <v>44373</v>
      </c>
      <c r="AA2124" s="1">
        <v>4225000</v>
      </c>
      <c r="AB2124" s="1" t="s">
        <v>275</v>
      </c>
      <c r="AC2124" s="5">
        <v>44414</v>
      </c>
      <c r="AF2124" s="1">
        <v>10013</v>
      </c>
      <c r="AI2124" s="1" t="s">
        <v>78</v>
      </c>
      <c r="AJ2124" s="1">
        <v>1899</v>
      </c>
      <c r="AK2124" s="1" t="s">
        <v>115</v>
      </c>
      <c r="AL2124" s="1">
        <v>167</v>
      </c>
    </row>
    <row r="2125" spans="1:38" x14ac:dyDescent="0.2">
      <c r="A2125" s="2" t="str">
        <f>HYPERLINK("https://www.compass.com/listing/21-east-12th-street-unit-15b-manhattan-ny-10003/29514928754809681/","21 E 12th St, Unit 15B")</f>
        <v>21 E 12th St, Unit 15B</v>
      </c>
      <c r="B2125" s="2" t="str">
        <f>HYPERLINK("https://www.compass.com/building/21-east-12th-street-manhattan-ny/292779727154847925/","21 East 12th Street")</f>
        <v>21 East 12th Street</v>
      </c>
      <c r="C2125" s="1" t="s">
        <v>277</v>
      </c>
      <c r="D2125" s="1" t="s">
        <v>41</v>
      </c>
      <c r="E2125" s="3">
        <v>4953938</v>
      </c>
      <c r="F2125" s="1">
        <v>3041.0914671577598</v>
      </c>
      <c r="G2125" s="1">
        <v>4</v>
      </c>
      <c r="H2125" s="1">
        <v>2</v>
      </c>
      <c r="I2125" s="1">
        <v>3</v>
      </c>
      <c r="J2125" s="1">
        <v>2.5</v>
      </c>
      <c r="K2125" s="1">
        <v>2</v>
      </c>
      <c r="L2125" s="1">
        <v>1</v>
      </c>
      <c r="M2125" s="4">
        <v>1629</v>
      </c>
      <c r="N2125" s="1">
        <v>2124</v>
      </c>
      <c r="O2125" s="1">
        <v>5369</v>
      </c>
      <c r="P2125" s="1">
        <v>3245</v>
      </c>
      <c r="Q2125" s="1" t="s">
        <v>42</v>
      </c>
      <c r="S2125" s="1" t="s">
        <v>42</v>
      </c>
      <c r="T2125" s="1" t="s">
        <v>273</v>
      </c>
      <c r="U2125" s="1">
        <v>4</v>
      </c>
      <c r="V2125" s="5">
        <v>43697</v>
      </c>
      <c r="W2125" s="5">
        <v>42581</v>
      </c>
      <c r="X2125" s="1">
        <v>5075000</v>
      </c>
      <c r="Y2125" s="1">
        <v>5075000</v>
      </c>
      <c r="Z2125" s="5">
        <v>42585</v>
      </c>
      <c r="AA2125" s="1">
        <v>4953938</v>
      </c>
      <c r="AB2125" s="1" t="s">
        <v>1193</v>
      </c>
      <c r="AC2125" s="5">
        <v>43645</v>
      </c>
      <c r="AF2125" s="1">
        <v>10003</v>
      </c>
      <c r="AI2125" s="1" t="s">
        <v>80</v>
      </c>
      <c r="AJ2125" s="1">
        <v>2018</v>
      </c>
      <c r="AK2125" s="1" t="s">
        <v>125</v>
      </c>
      <c r="AL2125" s="1">
        <v>52</v>
      </c>
    </row>
    <row r="2126" spans="1:38" x14ac:dyDescent="0.2">
      <c r="A2126" s="2" t="str">
        <f>HYPERLINK("https://www.compass.com/listing/63-greene-street-unit-5a-manhattan-ny-10012/4845165728866773105/","63 Greene St, Unit 5A")</f>
        <v>63 Greene St, Unit 5A</v>
      </c>
      <c r="B2126" s="2" t="str">
        <f>HYPERLINK("https://www.compass.com/building/63-greene-street-manhattan-ny/292812252044627637/","63 Greene Street")</f>
        <v>63 Greene Street</v>
      </c>
      <c r="C2126" s="1" t="s">
        <v>298</v>
      </c>
      <c r="D2126" s="1" t="s">
        <v>41</v>
      </c>
      <c r="E2126" s="3">
        <v>4500000</v>
      </c>
      <c r="F2126" s="1">
        <v>2304.1474654377798</v>
      </c>
      <c r="G2126" s="1">
        <v>4</v>
      </c>
      <c r="H2126" s="1">
        <v>2</v>
      </c>
      <c r="I2126" s="1">
        <v>2</v>
      </c>
      <c r="M2126" s="4">
        <v>1953</v>
      </c>
      <c r="N2126" s="1">
        <v>1951</v>
      </c>
      <c r="O2126" s="1">
        <v>4236</v>
      </c>
      <c r="P2126" s="1">
        <v>2285</v>
      </c>
      <c r="Q2126" s="1" t="s">
        <v>42</v>
      </c>
      <c r="S2126" s="1" t="s">
        <v>42</v>
      </c>
      <c r="T2126" s="1" t="s">
        <v>273</v>
      </c>
      <c r="V2126" s="5">
        <v>43694</v>
      </c>
      <c r="W2126" s="5">
        <v>42878</v>
      </c>
      <c r="X2126" s="1">
        <v>5150000</v>
      </c>
      <c r="Y2126" s="1">
        <v>5150000</v>
      </c>
      <c r="Z2126" s="5">
        <v>42878</v>
      </c>
      <c r="AA2126" s="1">
        <v>4500000</v>
      </c>
      <c r="AB2126" s="1" t="s">
        <v>1192</v>
      </c>
      <c r="AC2126" s="5">
        <v>42893</v>
      </c>
      <c r="AF2126" s="1">
        <v>10012</v>
      </c>
      <c r="AI2126" s="1" t="s">
        <v>140</v>
      </c>
      <c r="AJ2126" s="1">
        <v>1877</v>
      </c>
      <c r="AK2126" s="1" t="s">
        <v>146</v>
      </c>
      <c r="AL2126" s="1">
        <v>23</v>
      </c>
    </row>
    <row r="2127" spans="1:38" x14ac:dyDescent="0.2">
      <c r="A2127" s="2" t="str">
        <f>HYPERLINK("https://www.compass.com/listing/498-west-end-avenue-unit-8c-manhattan-ny-10024/29400625976460433/","498 W End Ave, Unit 8C")</f>
        <v>498 W End Ave, Unit 8C</v>
      </c>
      <c r="B2127" s="2" t="str">
        <f>HYPERLINK("https://www.compass.com/building/498-w-end-ave-manhattan-ny-10024/281925430842268789/","498 W End Ave")</f>
        <v>498 W End Ave</v>
      </c>
      <c r="C2127" s="1" t="s">
        <v>57</v>
      </c>
      <c r="D2127" s="1" t="s">
        <v>41</v>
      </c>
      <c r="E2127" s="3">
        <v>3377535</v>
      </c>
      <c r="F2127" s="1">
        <v>2008.04696789536</v>
      </c>
      <c r="G2127" s="1">
        <v>5</v>
      </c>
      <c r="H2127" s="1">
        <v>3</v>
      </c>
      <c r="I2127" s="1">
        <v>2</v>
      </c>
      <c r="J2127" s="1">
        <v>2</v>
      </c>
      <c r="M2127" s="4">
        <v>1682</v>
      </c>
      <c r="N2127" s="1">
        <v>1451</v>
      </c>
      <c r="O2127" s="1">
        <v>2494</v>
      </c>
      <c r="P2127" s="1">
        <v>1043</v>
      </c>
      <c r="Q2127" s="1" t="s">
        <v>42</v>
      </c>
      <c r="S2127" s="1" t="s">
        <v>42</v>
      </c>
      <c r="T2127" s="1" t="s">
        <v>273</v>
      </c>
      <c r="U2127" s="1">
        <v>13</v>
      </c>
      <c r="V2127" s="5">
        <v>43675</v>
      </c>
      <c r="W2127" s="5">
        <v>41976</v>
      </c>
      <c r="X2127" s="1">
        <v>3300000</v>
      </c>
      <c r="Y2127" s="1">
        <v>3300000</v>
      </c>
      <c r="Z2127" s="5">
        <v>41989</v>
      </c>
      <c r="AA2127" s="1">
        <v>3377535</v>
      </c>
      <c r="AB2127" s="1" t="s">
        <v>1194</v>
      </c>
      <c r="AC2127" s="5">
        <v>42571</v>
      </c>
      <c r="AF2127" s="1">
        <v>10024</v>
      </c>
      <c r="AJ2127" s="1">
        <v>1912</v>
      </c>
      <c r="AK2127" s="1" t="s">
        <v>46</v>
      </c>
      <c r="AL2127" s="1">
        <v>19</v>
      </c>
    </row>
    <row r="2128" spans="1:38" x14ac:dyDescent="0.2">
      <c r="A2128" s="2" t="str">
        <f>HYPERLINK("https://www.compass.com/listing/21-east-12th-street-unit-tha-manhattan-ny-10003/29514925332257489/","21 E 12th St, Unit THA")</f>
        <v>21 E 12th St, Unit THA</v>
      </c>
      <c r="B2128" s="2" t="str">
        <f>HYPERLINK("https://www.compass.com/building/21-east-12th-street-manhattan-ny/292779727154847925/","21 East 12th Street")</f>
        <v>21 East 12th Street</v>
      </c>
      <c r="C2128" s="1" t="s">
        <v>277</v>
      </c>
      <c r="D2128" s="1" t="s">
        <v>41</v>
      </c>
      <c r="E2128" s="3">
        <v>11100000</v>
      </c>
      <c r="F2128" s="1">
        <v>3353.4743202416898</v>
      </c>
      <c r="G2128" s="1">
        <v>6</v>
      </c>
      <c r="H2128" s="1">
        <v>4</v>
      </c>
      <c r="I2128" s="1">
        <v>4</v>
      </c>
      <c r="J2128" s="1">
        <v>4</v>
      </c>
      <c r="K2128" s="1">
        <v>4</v>
      </c>
      <c r="M2128" s="4">
        <v>3310</v>
      </c>
      <c r="N2128" s="1">
        <v>4740</v>
      </c>
      <c r="O2128" s="1">
        <v>11972</v>
      </c>
      <c r="P2128" s="1">
        <v>7232</v>
      </c>
      <c r="Q2128" s="1" t="s">
        <v>42</v>
      </c>
      <c r="S2128" s="1" t="s">
        <v>42</v>
      </c>
      <c r="T2128" s="1" t="s">
        <v>273</v>
      </c>
      <c r="U2128" s="1">
        <v>20</v>
      </c>
      <c r="V2128" s="5">
        <v>43648</v>
      </c>
      <c r="W2128" s="5">
        <v>42880</v>
      </c>
      <c r="X2128" s="1">
        <v>11500000</v>
      </c>
      <c r="Y2128" s="1">
        <v>11500000</v>
      </c>
      <c r="Z2128" s="5">
        <v>42900</v>
      </c>
      <c r="AA2128" s="1">
        <v>11100000</v>
      </c>
      <c r="AB2128" s="1" t="s">
        <v>275</v>
      </c>
      <c r="AC2128" s="5">
        <v>43564</v>
      </c>
      <c r="AF2128" s="1">
        <v>10003</v>
      </c>
      <c r="AI2128" s="1" t="s">
        <v>152</v>
      </c>
      <c r="AJ2128" s="1">
        <v>2018</v>
      </c>
      <c r="AK2128" s="1" t="s">
        <v>125</v>
      </c>
      <c r="AL2128" s="1">
        <v>52</v>
      </c>
    </row>
    <row r="2129" spans="1:38" x14ac:dyDescent="0.2">
      <c r="A2129" s="2" t="str">
        <f>HYPERLINK("https://www.compass.com/listing/63-greene-street-unit-4d-manhattan-ny-10012/595133335654091529/","63 Greene St, Unit 4D")</f>
        <v>63 Greene St, Unit 4D</v>
      </c>
      <c r="B2129" s="2" t="str">
        <f>HYPERLINK("https://www.compass.com/building/63-greene-street-manhattan-ny/292812252044627637/","63 Greene Street")</f>
        <v>63 Greene Street</v>
      </c>
      <c r="C2129" s="1" t="s">
        <v>298</v>
      </c>
      <c r="D2129" s="1" t="s">
        <v>41</v>
      </c>
      <c r="E2129" s="3">
        <v>4450000</v>
      </c>
      <c r="F2129" s="1">
        <v>1848.7744079767299</v>
      </c>
      <c r="G2129" s="1">
        <v>5</v>
      </c>
      <c r="H2129" s="1">
        <v>3</v>
      </c>
      <c r="I2129" s="1">
        <v>4</v>
      </c>
      <c r="J2129" s="1">
        <v>3.5</v>
      </c>
      <c r="K2129" s="1">
        <v>3</v>
      </c>
      <c r="L2129" s="1">
        <v>1</v>
      </c>
      <c r="M2129" s="4">
        <v>2407</v>
      </c>
      <c r="N2129" s="1">
        <v>1989</v>
      </c>
      <c r="O2129" s="1">
        <v>6505</v>
      </c>
      <c r="P2129" s="1">
        <v>4516</v>
      </c>
      <c r="Q2129" s="1" t="s">
        <v>42</v>
      </c>
      <c r="S2129" s="1" t="s">
        <v>42</v>
      </c>
      <c r="T2129" s="1" t="s">
        <v>273</v>
      </c>
      <c r="U2129" s="1">
        <v>143</v>
      </c>
      <c r="V2129" s="5">
        <v>44259</v>
      </c>
      <c r="W2129" s="5">
        <v>44072</v>
      </c>
      <c r="X2129" s="1">
        <v>4950000</v>
      </c>
      <c r="Y2129" s="1">
        <v>4950000</v>
      </c>
      <c r="Z2129" s="5">
        <v>44216</v>
      </c>
      <c r="AA2129" s="1">
        <v>4450000</v>
      </c>
      <c r="AB2129" s="1" t="s">
        <v>1195</v>
      </c>
      <c r="AC2129" s="5">
        <v>44257</v>
      </c>
      <c r="AF2129" s="1">
        <v>10012</v>
      </c>
      <c r="AI2129" s="1" t="s">
        <v>48</v>
      </c>
      <c r="AJ2129" s="1">
        <v>1877</v>
      </c>
      <c r="AK2129" s="1" t="s">
        <v>239</v>
      </c>
      <c r="AL2129" s="1">
        <v>23</v>
      </c>
    </row>
    <row r="2130" spans="1:38" x14ac:dyDescent="0.2">
      <c r="A2130" s="2" t="str">
        <f>HYPERLINK("https://www.compass.com/listing/21-east-12th-street-unit-th3b-manhattan-ny-10003/29514922773759297/","21 E 12th St, Unit TH3B")</f>
        <v>21 E 12th St, Unit TH3B</v>
      </c>
      <c r="B2130" s="2" t="str">
        <f>HYPERLINK("https://www.compass.com/building/21-east-12th-street-manhattan-ny/292779727154847925/","21 East 12th Street")</f>
        <v>21 East 12th Street</v>
      </c>
      <c r="C2130" s="1" t="s">
        <v>277</v>
      </c>
      <c r="D2130" s="1" t="s">
        <v>41</v>
      </c>
      <c r="E2130" s="3">
        <v>12000000</v>
      </c>
      <c r="F2130" s="1">
        <v>3628.66646507408</v>
      </c>
      <c r="G2130" s="1">
        <v>8</v>
      </c>
      <c r="H2130" s="1">
        <v>4</v>
      </c>
      <c r="I2130" s="1">
        <v>5</v>
      </c>
      <c r="J2130" s="1">
        <v>4.5</v>
      </c>
      <c r="K2130" s="1">
        <v>4</v>
      </c>
      <c r="L2130" s="1">
        <v>1</v>
      </c>
      <c r="M2130" s="4">
        <v>3307</v>
      </c>
      <c r="N2130" s="1">
        <v>4741</v>
      </c>
      <c r="O2130" s="1">
        <v>11975</v>
      </c>
      <c r="P2130" s="1">
        <v>7234</v>
      </c>
      <c r="Q2130" s="1" t="s">
        <v>42</v>
      </c>
      <c r="S2130" s="1" t="s">
        <v>42</v>
      </c>
      <c r="T2130" s="1" t="s">
        <v>273</v>
      </c>
      <c r="U2130" s="1">
        <v>63</v>
      </c>
      <c r="V2130" s="5">
        <v>43644</v>
      </c>
      <c r="W2130" s="5">
        <v>42837</v>
      </c>
      <c r="X2130" s="1">
        <v>12000000</v>
      </c>
      <c r="Y2130" s="1">
        <v>12000000</v>
      </c>
      <c r="Z2130" s="5">
        <v>42900</v>
      </c>
      <c r="AA2130" s="1">
        <v>12000000</v>
      </c>
      <c r="AB2130" s="1" t="s">
        <v>275</v>
      </c>
      <c r="AC2130" s="5">
        <v>43564</v>
      </c>
      <c r="AF2130" s="1">
        <v>10003</v>
      </c>
      <c r="AI2130" s="1" t="s">
        <v>152</v>
      </c>
      <c r="AJ2130" s="1">
        <v>2018</v>
      </c>
      <c r="AK2130" s="1" t="s">
        <v>125</v>
      </c>
      <c r="AL2130" s="1">
        <v>52</v>
      </c>
    </row>
    <row r="2131" spans="1:38" x14ac:dyDescent="0.2">
      <c r="A2131" s="2" t="str">
        <f>HYPERLINK("https://www.compass.com/listing/25-prince-street-unit-ph-manhattan-ny-10012/803336773799290609/","25 Prince St, Unit PH")</f>
        <v>25 Prince St, Unit PH</v>
      </c>
      <c r="B2131" s="2" t="str">
        <f>HYPERLINK("https://www.compass.com/building/25-prince-st-manhattan-ny-10012/281914530534027029/","25 Prince St")</f>
        <v>25 Prince St</v>
      </c>
      <c r="C2131" s="1" t="s">
        <v>79</v>
      </c>
      <c r="D2131" s="1" t="s">
        <v>41</v>
      </c>
      <c r="E2131" s="3">
        <v>5500000</v>
      </c>
      <c r="F2131" s="1">
        <v>2232.1428571428501</v>
      </c>
      <c r="G2131" s="1">
        <v>7</v>
      </c>
      <c r="H2131" s="1">
        <v>3</v>
      </c>
      <c r="I2131" s="1">
        <v>3</v>
      </c>
      <c r="J2131" s="1">
        <v>2.5</v>
      </c>
      <c r="K2131" s="1">
        <v>2</v>
      </c>
      <c r="L2131" s="1">
        <v>1</v>
      </c>
      <c r="M2131" s="4">
        <v>2464</v>
      </c>
      <c r="N2131" s="1">
        <v>2173</v>
      </c>
      <c r="O2131" s="1">
        <v>3272</v>
      </c>
      <c r="P2131" s="1">
        <v>1099</v>
      </c>
      <c r="Q2131" s="1" t="s">
        <v>42</v>
      </c>
      <c r="S2131" s="1" t="s">
        <v>42</v>
      </c>
      <c r="T2131" s="1" t="s">
        <v>273</v>
      </c>
      <c r="U2131" s="1">
        <v>358</v>
      </c>
      <c r="V2131" s="5">
        <v>42811</v>
      </c>
      <c r="W2131" s="5">
        <v>42299</v>
      </c>
      <c r="X2131" s="1">
        <v>5850000</v>
      </c>
      <c r="Y2131" s="1">
        <v>5850000</v>
      </c>
      <c r="Z2131" s="5">
        <v>42658</v>
      </c>
      <c r="AA2131" s="1">
        <v>5500000</v>
      </c>
      <c r="AB2131" s="1" t="s">
        <v>275</v>
      </c>
      <c r="AC2131" s="5">
        <v>42810</v>
      </c>
      <c r="AF2131" s="1">
        <v>10012</v>
      </c>
      <c r="AI2131" s="1" t="s">
        <v>767</v>
      </c>
      <c r="AJ2131" s="1">
        <v>1910</v>
      </c>
      <c r="AL2131" s="1">
        <v>3</v>
      </c>
    </row>
    <row r="2132" spans="1:38" x14ac:dyDescent="0.2">
      <c r="A2132" s="2" t="str">
        <f>HYPERLINK("https://www.compass.com/listing/21-east-12th-street-unit-21b-manhattan-ny-10003/29514925944694225/","21 E 12th St, Unit 21B")</f>
        <v>21 E 12th St, Unit 21B</v>
      </c>
      <c r="B2132" s="2" t="str">
        <f t="shared" ref="B2132:B2136" si="341">HYPERLINK("https://www.compass.com/building/21-east-12th-street-manhattan-ny/292779727154847925/","21 East 12th Street")</f>
        <v>21 East 12th Street</v>
      </c>
      <c r="C2132" s="1" t="s">
        <v>277</v>
      </c>
      <c r="D2132" s="1" t="s">
        <v>41</v>
      </c>
      <c r="E2132" s="3">
        <v>8125000</v>
      </c>
      <c r="F2132" s="1">
        <v>3255.2083333333298</v>
      </c>
      <c r="G2132" s="1">
        <v>5</v>
      </c>
      <c r="H2132" s="1">
        <v>3</v>
      </c>
      <c r="I2132" s="1">
        <v>4</v>
      </c>
      <c r="J2132" s="1">
        <v>3.5</v>
      </c>
      <c r="K2132" s="1">
        <v>3</v>
      </c>
      <c r="L2132" s="1">
        <v>1</v>
      </c>
      <c r="M2132" s="4">
        <v>2496</v>
      </c>
      <c r="N2132" s="1">
        <v>3254</v>
      </c>
      <c r="O2132" s="1">
        <v>8226</v>
      </c>
      <c r="P2132" s="1">
        <v>4972</v>
      </c>
      <c r="Q2132" s="1" t="s">
        <v>42</v>
      </c>
      <c r="S2132" s="1" t="s">
        <v>42</v>
      </c>
      <c r="T2132" s="1" t="s">
        <v>273</v>
      </c>
      <c r="U2132" s="1">
        <v>295</v>
      </c>
      <c r="V2132" s="5">
        <v>43752</v>
      </c>
      <c r="W2132" s="5">
        <v>42591</v>
      </c>
      <c r="X2132" s="1">
        <v>8350000</v>
      </c>
      <c r="Y2132" s="1">
        <v>8450000</v>
      </c>
      <c r="Z2132" s="5">
        <v>42886</v>
      </c>
      <c r="AA2132" s="1">
        <v>8125000</v>
      </c>
      <c r="AB2132" s="1" t="s">
        <v>275</v>
      </c>
      <c r="AC2132" s="5">
        <v>43746</v>
      </c>
      <c r="AF2132" s="1">
        <v>10003</v>
      </c>
      <c r="AI2132" s="1" t="s">
        <v>80</v>
      </c>
      <c r="AJ2132" s="1">
        <v>2018</v>
      </c>
      <c r="AK2132" s="1" t="s">
        <v>125</v>
      </c>
      <c r="AL2132" s="1">
        <v>52</v>
      </c>
    </row>
    <row r="2133" spans="1:38" x14ac:dyDescent="0.2">
      <c r="A2133" s="2" t="str">
        <f>HYPERLINK("https://www.compass.com/listing/21-east-12th-street-unit-19b-manhattan-ny-10003/29514927085476625/","21 E 12th St, Unit 19B")</f>
        <v>21 E 12th St, Unit 19B</v>
      </c>
      <c r="B2133" s="2" t="str">
        <f t="shared" si="341"/>
        <v>21 East 12th Street</v>
      </c>
      <c r="C2133" s="1" t="s">
        <v>277</v>
      </c>
      <c r="D2133" s="1" t="s">
        <v>41</v>
      </c>
      <c r="E2133" s="3">
        <v>8083945</v>
      </c>
      <c r="F2133" s="1">
        <v>3238.7598517628198</v>
      </c>
      <c r="G2133" s="1">
        <v>5</v>
      </c>
      <c r="H2133" s="1">
        <v>3</v>
      </c>
      <c r="I2133" s="1">
        <v>4</v>
      </c>
      <c r="J2133" s="1">
        <v>3.5</v>
      </c>
      <c r="K2133" s="1">
        <v>3</v>
      </c>
      <c r="L2133" s="1">
        <v>1</v>
      </c>
      <c r="M2133" s="4">
        <v>2496</v>
      </c>
      <c r="N2133" s="1">
        <v>3254</v>
      </c>
      <c r="O2133" s="1">
        <v>8226</v>
      </c>
      <c r="P2133" s="1">
        <v>4972</v>
      </c>
      <c r="Q2133" s="1" t="s">
        <v>42</v>
      </c>
      <c r="S2133" s="1" t="s">
        <v>42</v>
      </c>
      <c r="T2133" s="1" t="s">
        <v>273</v>
      </c>
      <c r="U2133" s="1">
        <v>4</v>
      </c>
      <c r="V2133" s="5">
        <v>43669</v>
      </c>
      <c r="W2133" s="5">
        <v>42581</v>
      </c>
      <c r="X2133" s="1">
        <v>7950000</v>
      </c>
      <c r="Y2133" s="1">
        <v>8250000</v>
      </c>
      <c r="Z2133" s="5">
        <v>42585</v>
      </c>
      <c r="AA2133" s="1">
        <v>8083944.5899999999</v>
      </c>
      <c r="AB2133" s="1" t="s">
        <v>1196</v>
      </c>
      <c r="AC2133" s="5">
        <v>43657</v>
      </c>
      <c r="AF2133" s="1">
        <v>10003</v>
      </c>
      <c r="AI2133" s="1" t="s">
        <v>80</v>
      </c>
      <c r="AJ2133" s="1">
        <v>2018</v>
      </c>
      <c r="AK2133" s="1" t="s">
        <v>125</v>
      </c>
      <c r="AL2133" s="1">
        <v>52</v>
      </c>
    </row>
    <row r="2134" spans="1:38" x14ac:dyDescent="0.2">
      <c r="A2134" s="2" t="str">
        <f>HYPERLINK("https://www.compass.com/listing/21-east-12th-street-unit-18b-manhattan-ny-10003/29514927655970321/","21 E 12th St, Unit 18B")</f>
        <v>21 E 12th St, Unit 18B</v>
      </c>
      <c r="B2134" s="2" t="str">
        <f t="shared" si="341"/>
        <v>21 East 12th Street</v>
      </c>
      <c r="C2134" s="1" t="s">
        <v>277</v>
      </c>
      <c r="D2134" s="1" t="s">
        <v>41</v>
      </c>
      <c r="E2134" s="3">
        <v>7882119</v>
      </c>
      <c r="F2134" s="1">
        <v>3157.9002403846098</v>
      </c>
      <c r="G2134" s="1">
        <v>5</v>
      </c>
      <c r="H2134" s="1">
        <v>3</v>
      </c>
      <c r="I2134" s="1">
        <v>4</v>
      </c>
      <c r="J2134" s="1">
        <v>3.5</v>
      </c>
      <c r="K2134" s="1">
        <v>3</v>
      </c>
      <c r="L2134" s="1">
        <v>1</v>
      </c>
      <c r="M2134" s="4">
        <v>2496</v>
      </c>
      <c r="N2134" s="1">
        <v>3254</v>
      </c>
      <c r="O2134" s="1">
        <v>8226</v>
      </c>
      <c r="P2134" s="1">
        <v>4972</v>
      </c>
      <c r="Q2134" s="1" t="s">
        <v>42</v>
      </c>
      <c r="S2134" s="1" t="s">
        <v>42</v>
      </c>
      <c r="T2134" s="1" t="s">
        <v>273</v>
      </c>
      <c r="U2134" s="1">
        <v>4</v>
      </c>
      <c r="V2134" s="5">
        <v>43669</v>
      </c>
      <c r="W2134" s="5">
        <v>42581</v>
      </c>
      <c r="X2134" s="1">
        <v>7750000</v>
      </c>
      <c r="Y2134" s="1">
        <v>8050000</v>
      </c>
      <c r="Z2134" s="5">
        <v>42585</v>
      </c>
      <c r="AA2134" s="1">
        <v>7882119</v>
      </c>
      <c r="AB2134" s="1" t="s">
        <v>1197</v>
      </c>
      <c r="AC2134" s="5">
        <v>43663</v>
      </c>
      <c r="AF2134" s="1">
        <v>10003</v>
      </c>
      <c r="AI2134" s="1" t="s">
        <v>80</v>
      </c>
      <c r="AJ2134" s="1">
        <v>2018</v>
      </c>
      <c r="AK2134" s="1" t="s">
        <v>125</v>
      </c>
      <c r="AL2134" s="1">
        <v>52</v>
      </c>
    </row>
    <row r="2135" spans="1:38" x14ac:dyDescent="0.2">
      <c r="A2135" s="2" t="str">
        <f>HYPERLINK("https://www.compass.com/listing/21-east-12th-street-unit-20b-manhattan-ny-10003/29514933746031617/","21 E 12th St, Unit 20B")</f>
        <v>21 E 12th St, Unit 20B</v>
      </c>
      <c r="B2135" s="2" t="str">
        <f t="shared" si="341"/>
        <v>21 East 12th Street</v>
      </c>
      <c r="C2135" s="1" t="s">
        <v>277</v>
      </c>
      <c r="D2135" s="1" t="s">
        <v>41</v>
      </c>
      <c r="E2135" s="3">
        <v>8284412</v>
      </c>
      <c r="F2135" s="1">
        <v>3319.0753205128199</v>
      </c>
      <c r="G2135" s="1">
        <v>5</v>
      </c>
      <c r="H2135" s="1">
        <v>3</v>
      </c>
      <c r="I2135" s="1">
        <v>4</v>
      </c>
      <c r="J2135" s="1">
        <v>3.5</v>
      </c>
      <c r="K2135" s="1">
        <v>3</v>
      </c>
      <c r="L2135" s="1">
        <v>1</v>
      </c>
      <c r="M2135" s="4">
        <v>2496</v>
      </c>
      <c r="N2135" s="1">
        <v>3254</v>
      </c>
      <c r="O2135" s="1">
        <v>8226</v>
      </c>
      <c r="P2135" s="1">
        <v>4972</v>
      </c>
      <c r="Q2135" s="1" t="s">
        <v>42</v>
      </c>
      <c r="S2135" s="1" t="s">
        <v>42</v>
      </c>
      <c r="T2135" s="1" t="s">
        <v>273</v>
      </c>
      <c r="U2135" s="1">
        <v>137</v>
      </c>
      <c r="V2135" s="5">
        <v>43720</v>
      </c>
      <c r="W2135" s="5">
        <v>42588</v>
      </c>
      <c r="X2135" s="1">
        <v>8150000</v>
      </c>
      <c r="Y2135" s="1">
        <v>8450000</v>
      </c>
      <c r="Z2135" s="5">
        <v>42725</v>
      </c>
      <c r="AA2135" s="1">
        <v>8284412</v>
      </c>
      <c r="AB2135" s="1" t="s">
        <v>1198</v>
      </c>
      <c r="AC2135" s="5">
        <v>43707</v>
      </c>
      <c r="AF2135" s="1">
        <v>10003</v>
      </c>
      <c r="AI2135" s="1" t="s">
        <v>80</v>
      </c>
      <c r="AJ2135" s="1">
        <v>2018</v>
      </c>
      <c r="AK2135" s="1" t="s">
        <v>125</v>
      </c>
      <c r="AL2135" s="1">
        <v>52</v>
      </c>
    </row>
    <row r="2136" spans="1:38" x14ac:dyDescent="0.2">
      <c r="A2136" s="2" t="str">
        <f>HYPERLINK("https://www.compass.com/listing/21-east-12th-street-unit-12c-manhattan-ny-10003/39030672924406593/","21 E 12th St, Unit 12C")</f>
        <v>21 E 12th St, Unit 12C</v>
      </c>
      <c r="B2136" s="2" t="str">
        <f t="shared" si="341"/>
        <v>21 East 12th Street</v>
      </c>
      <c r="C2136" s="1" t="s">
        <v>277</v>
      </c>
      <c r="D2136" s="1" t="s">
        <v>41</v>
      </c>
      <c r="E2136" s="3">
        <v>5273613</v>
      </c>
      <c r="F2136" s="1">
        <v>2600.4009763313602</v>
      </c>
      <c r="G2136" s="1">
        <v>4</v>
      </c>
      <c r="H2136" s="1">
        <v>2</v>
      </c>
      <c r="I2136" s="1">
        <v>3</v>
      </c>
      <c r="J2136" s="1">
        <v>2.5</v>
      </c>
      <c r="K2136" s="1">
        <v>2</v>
      </c>
      <c r="L2136" s="1">
        <v>1</v>
      </c>
      <c r="M2136" s="4">
        <v>2028</v>
      </c>
      <c r="N2136" s="1">
        <v>2648</v>
      </c>
      <c r="O2136" s="1">
        <v>6688</v>
      </c>
      <c r="P2136" s="1">
        <v>4040</v>
      </c>
      <c r="Q2136" s="1" t="s">
        <v>42</v>
      </c>
      <c r="S2136" s="1" t="s">
        <v>42</v>
      </c>
      <c r="T2136" s="1" t="s">
        <v>273</v>
      </c>
      <c r="U2136" s="1">
        <v>244</v>
      </c>
      <c r="V2136" s="5">
        <v>43614</v>
      </c>
      <c r="W2136" s="5">
        <v>43305</v>
      </c>
      <c r="X2136" s="1">
        <v>5500000</v>
      </c>
      <c r="Y2136" s="1">
        <v>5500000</v>
      </c>
      <c r="Z2136" s="5">
        <v>43550</v>
      </c>
      <c r="AA2136" s="1">
        <v>5273613.18</v>
      </c>
      <c r="AB2136" s="1" t="s">
        <v>1199</v>
      </c>
      <c r="AC2136" s="5">
        <v>43613</v>
      </c>
      <c r="AF2136" s="1">
        <v>10003</v>
      </c>
      <c r="AI2136" s="1" t="s">
        <v>80</v>
      </c>
      <c r="AJ2136" s="1">
        <v>2018</v>
      </c>
      <c r="AK2136" s="1" t="s">
        <v>125</v>
      </c>
      <c r="AL2136" s="1">
        <v>52</v>
      </c>
    </row>
    <row r="2137" spans="1:38" x14ac:dyDescent="0.2">
      <c r="A2137" s="2" t="str">
        <f>HYPERLINK("https://www.compass.com/listing/160-leroy-street-unit-north4b-manhattan-ny-10014/4851625577741819537/","160 Leroy St, Unit NORTH4B")</f>
        <v>160 Leroy St, Unit NORTH4B</v>
      </c>
      <c r="B2137" s="2" t="str">
        <f>HYPERLINK("https://www.compass.com/building/160-leroy-st-manhattan-ny-10014/293418469918017093/","160 Leroy St")</f>
        <v>160 Leroy St</v>
      </c>
      <c r="C2137" s="1" t="s">
        <v>67</v>
      </c>
      <c r="D2137" s="1" t="s">
        <v>41</v>
      </c>
      <c r="E2137" s="3">
        <v>5094500</v>
      </c>
      <c r="F2137" s="1">
        <v>2909.48029697315</v>
      </c>
      <c r="G2137" s="1">
        <v>4</v>
      </c>
      <c r="H2137" s="1">
        <v>2</v>
      </c>
      <c r="I2137" s="1">
        <v>2</v>
      </c>
      <c r="J2137" s="1">
        <v>2</v>
      </c>
      <c r="M2137" s="4">
        <v>1751</v>
      </c>
      <c r="N2137" s="1">
        <v>2482</v>
      </c>
      <c r="O2137" s="1">
        <v>4892</v>
      </c>
      <c r="P2137" s="1">
        <v>2410</v>
      </c>
      <c r="Q2137" s="1" t="s">
        <v>42</v>
      </c>
      <c r="S2137" s="1" t="s">
        <v>42</v>
      </c>
      <c r="T2137" s="1" t="s">
        <v>273</v>
      </c>
      <c r="V2137" s="5">
        <v>43654</v>
      </c>
      <c r="W2137" s="5">
        <v>42572</v>
      </c>
      <c r="X2137" s="1">
        <v>5000000</v>
      </c>
      <c r="Y2137" s="1">
        <v>5000000</v>
      </c>
      <c r="Z2137" s="5">
        <v>42572</v>
      </c>
      <c r="AA2137" s="1">
        <v>5094500</v>
      </c>
      <c r="AB2137" s="1" t="s">
        <v>1200</v>
      </c>
      <c r="AC2137" s="5">
        <v>43192</v>
      </c>
      <c r="AF2137" s="1">
        <v>10014</v>
      </c>
      <c r="AI2137" s="1" t="s">
        <v>65</v>
      </c>
      <c r="AJ2137" s="1">
        <v>2017</v>
      </c>
      <c r="AK2137" s="1" t="s">
        <v>49</v>
      </c>
      <c r="AL2137" s="1">
        <v>57</v>
      </c>
    </row>
    <row r="2138" spans="1:38" x14ac:dyDescent="0.2">
      <c r="A2138" s="2" t="str">
        <f>HYPERLINK("https://www.compass.com/listing/100-barrow-street-unit-4c-manhattan-ny-10014/391358766964161361/","100 Barrow St, Unit 4C")</f>
        <v>100 Barrow St, Unit 4C</v>
      </c>
      <c r="B2138" s="2" t="str">
        <f>HYPERLINK("https://www.compass.com/building/100-barrow-manhattan-ny/292834978184618837/","100 Barrow")</f>
        <v>100 Barrow</v>
      </c>
      <c r="C2138" s="1" t="s">
        <v>67</v>
      </c>
      <c r="D2138" s="1" t="s">
        <v>41</v>
      </c>
      <c r="E2138" s="3">
        <v>3598886</v>
      </c>
      <c r="F2138" s="1">
        <v>1840.8624040920699</v>
      </c>
      <c r="H2138" s="1">
        <v>2</v>
      </c>
      <c r="J2138" s="1">
        <v>2.5</v>
      </c>
      <c r="M2138" s="4">
        <v>1955</v>
      </c>
      <c r="S2138" s="1" t="s">
        <v>181</v>
      </c>
      <c r="T2138" s="1" t="s">
        <v>273</v>
      </c>
      <c r="V2138" s="5">
        <v>43792</v>
      </c>
      <c r="AA2138" s="1">
        <v>3598886</v>
      </c>
      <c r="AB2138" s="1" t="s">
        <v>275</v>
      </c>
      <c r="AC2138" s="5">
        <v>43679</v>
      </c>
      <c r="AF2138" s="1">
        <v>10014</v>
      </c>
      <c r="AJ2138" s="1">
        <v>2015</v>
      </c>
      <c r="AK2138" s="1" t="s">
        <v>202</v>
      </c>
      <c r="AL2138" s="1">
        <v>33</v>
      </c>
    </row>
    <row r="2139" spans="1:38" x14ac:dyDescent="0.2">
      <c r="A2139" s="2" t="str">
        <f>HYPERLINK("https://www.compass.com/listing/90-morton-street-unit-ph9a-manhattan-ny-10014/29515686262987377/","90 Morton St, Unit PH9A")</f>
        <v>90 Morton St, Unit PH9A</v>
      </c>
      <c r="B2139" s="2" t="str">
        <f>HYPERLINK("https://www.compass.com/building/90-morton-street-manhattan-ny/292834843018978005/","90 Morton Street")</f>
        <v>90 Morton Street</v>
      </c>
      <c r="C2139" s="1" t="s">
        <v>67</v>
      </c>
      <c r="D2139" s="1" t="s">
        <v>41</v>
      </c>
      <c r="E2139" s="3">
        <v>12000000</v>
      </c>
      <c r="F2139" s="1">
        <v>3187.25099601593</v>
      </c>
      <c r="G2139" s="1">
        <v>6</v>
      </c>
      <c r="H2139" s="1">
        <v>4</v>
      </c>
      <c r="I2139" s="1">
        <v>4</v>
      </c>
      <c r="J2139" s="1">
        <v>3.5</v>
      </c>
      <c r="K2139" s="1">
        <v>3</v>
      </c>
      <c r="L2139" s="1">
        <v>1</v>
      </c>
      <c r="M2139" s="4">
        <v>3765</v>
      </c>
      <c r="N2139" s="1">
        <v>6196</v>
      </c>
      <c r="O2139" s="1">
        <v>11172</v>
      </c>
      <c r="P2139" s="1">
        <v>4976</v>
      </c>
      <c r="Q2139" s="1" t="s">
        <v>42</v>
      </c>
      <c r="S2139" s="1" t="s">
        <v>42</v>
      </c>
      <c r="T2139" s="1" t="s">
        <v>273</v>
      </c>
      <c r="U2139" s="1">
        <v>50</v>
      </c>
      <c r="V2139" s="5">
        <v>44194</v>
      </c>
      <c r="W2139" s="5">
        <v>43206</v>
      </c>
      <c r="X2139" s="1">
        <v>16000000</v>
      </c>
      <c r="Y2139" s="1">
        <v>16000000</v>
      </c>
      <c r="Z2139" s="5">
        <v>43206</v>
      </c>
      <c r="AA2139" s="1">
        <v>12000000</v>
      </c>
      <c r="AB2139" s="1" t="s">
        <v>1201</v>
      </c>
      <c r="AC2139" s="5">
        <v>44160</v>
      </c>
      <c r="AF2139" s="1">
        <v>10014</v>
      </c>
      <c r="AI2139" s="1" t="s">
        <v>192</v>
      </c>
      <c r="AJ2139" s="1">
        <v>2018</v>
      </c>
      <c r="AK2139" s="1" t="s">
        <v>49</v>
      </c>
      <c r="AL2139" s="1">
        <v>35</v>
      </c>
    </row>
    <row r="2140" spans="1:38" x14ac:dyDescent="0.2">
      <c r="A2140" s="2" t="str">
        <f>HYPERLINK("https://www.compass.com/listing/64-east-1st-street-unit-th-manhattan-ny-10003/29361794044661713/","64 E 1st St")</f>
        <v>64 E 1st St</v>
      </c>
      <c r="B2140" s="2" t="str">
        <f t="shared" ref="B2140:B2141" si="342">HYPERLINK("https://www.compass.com/building/64-e-1st-st-manhattan-ny-10003/281894416707231061/","64 E 1st St")</f>
        <v>64 E 1st St</v>
      </c>
      <c r="C2140" s="1" t="s">
        <v>71</v>
      </c>
      <c r="D2140" s="1" t="s">
        <v>41</v>
      </c>
      <c r="E2140" s="3">
        <v>3433525</v>
      </c>
      <c r="F2140" s="1">
        <v>1760.7820512820499</v>
      </c>
      <c r="G2140" s="1">
        <v>5</v>
      </c>
      <c r="H2140" s="1">
        <v>2</v>
      </c>
      <c r="I2140" s="1">
        <v>3</v>
      </c>
      <c r="J2140" s="1">
        <v>2.5</v>
      </c>
      <c r="K2140" s="1">
        <v>2</v>
      </c>
      <c r="L2140" s="1">
        <v>1</v>
      </c>
      <c r="M2140" s="4">
        <v>1950</v>
      </c>
      <c r="N2140" s="1">
        <v>2006</v>
      </c>
      <c r="O2140" s="1">
        <v>4771</v>
      </c>
      <c r="P2140" s="1">
        <v>2765</v>
      </c>
      <c r="Q2140" s="1" t="s">
        <v>42</v>
      </c>
      <c r="S2140" s="1" t="s">
        <v>42</v>
      </c>
      <c r="T2140" s="1" t="s">
        <v>273</v>
      </c>
      <c r="U2140" s="1">
        <v>179</v>
      </c>
      <c r="V2140" s="5">
        <v>44225</v>
      </c>
      <c r="W2140" s="5">
        <v>42434</v>
      </c>
      <c r="X2140" s="1">
        <v>3500000</v>
      </c>
      <c r="Y2140" s="1">
        <v>3500000</v>
      </c>
      <c r="Z2140" s="5">
        <v>42613</v>
      </c>
      <c r="AA2140" s="1">
        <v>3433525</v>
      </c>
      <c r="AB2140" s="1" t="s">
        <v>1202</v>
      </c>
      <c r="AC2140" s="5">
        <v>42930</v>
      </c>
      <c r="AF2140" s="1">
        <v>10003</v>
      </c>
      <c r="AI2140" s="1" t="s">
        <v>103</v>
      </c>
      <c r="AJ2140" s="1">
        <v>2017</v>
      </c>
      <c r="AL2140" s="1">
        <v>6</v>
      </c>
    </row>
    <row r="2141" spans="1:38" x14ac:dyDescent="0.2">
      <c r="A2141" s="2" t="str">
        <f>HYPERLINK("https://www.compass.com/listing/64-east-1st-street-unit-2-manhattan-ny-10003/803357285875119137/","64 E 1st St, Unit 2")</f>
        <v>64 E 1st St, Unit 2</v>
      </c>
      <c r="B2141" s="2" t="str">
        <f t="shared" si="342"/>
        <v>64 E 1st St</v>
      </c>
      <c r="C2141" s="1" t="s">
        <v>71</v>
      </c>
      <c r="D2141" s="1" t="s">
        <v>41</v>
      </c>
      <c r="E2141" s="3">
        <v>3057249</v>
      </c>
      <c r="F2141" s="1">
        <v>1691.8920752628601</v>
      </c>
      <c r="G2141" s="1">
        <v>5</v>
      </c>
      <c r="H2141" s="1">
        <v>2</v>
      </c>
      <c r="I2141" s="1">
        <v>3</v>
      </c>
      <c r="J2141" s="1">
        <v>2.5</v>
      </c>
      <c r="M2141" s="4">
        <v>1807</v>
      </c>
      <c r="N2141" s="1">
        <v>1598</v>
      </c>
      <c r="O2141" s="1">
        <v>3801</v>
      </c>
      <c r="P2141" s="1">
        <v>2203</v>
      </c>
      <c r="Q2141" s="1" t="s">
        <v>42</v>
      </c>
      <c r="S2141" s="1" t="s">
        <v>42</v>
      </c>
      <c r="T2141" s="1" t="s">
        <v>273</v>
      </c>
      <c r="U2141" s="1">
        <v>67</v>
      </c>
      <c r="V2141" s="5">
        <v>43106</v>
      </c>
      <c r="W2141" s="5">
        <v>43038</v>
      </c>
      <c r="X2141" s="1">
        <v>3299500</v>
      </c>
      <c r="Y2141" s="1">
        <v>3299500</v>
      </c>
      <c r="AA2141" s="1">
        <v>3057248.98</v>
      </c>
      <c r="AB2141" s="1" t="s">
        <v>1203</v>
      </c>
      <c r="AC2141" s="5">
        <v>43203</v>
      </c>
      <c r="AF2141" s="1">
        <v>10003</v>
      </c>
      <c r="AI2141" s="1" t="s">
        <v>133</v>
      </c>
      <c r="AJ2141" s="1">
        <v>2017</v>
      </c>
      <c r="AL2141" s="1">
        <v>6</v>
      </c>
    </row>
    <row r="2142" spans="1:38" x14ac:dyDescent="0.2">
      <c r="A2142" s="2" t="str">
        <f>HYPERLINK("https://www.compass.com/listing/559-west-23rd-street-unit-34-manhattan-ny-10011/29369737385457153/","559 W 23rd St, Unit 34")</f>
        <v>559 W 23rd St, Unit 34</v>
      </c>
      <c r="B2142" s="2" t="str">
        <f>HYPERLINK("https://www.compass.com/building/chelsea-waterside-residences-manhattan-ny/281911750683552581/","Chelsea Waterside Residences")</f>
        <v>Chelsea Waterside Residences</v>
      </c>
      <c r="C2142" s="1" t="s">
        <v>62</v>
      </c>
      <c r="D2142" s="1" t="s">
        <v>41</v>
      </c>
      <c r="E2142" s="3">
        <v>4582125</v>
      </c>
      <c r="F2142" s="1">
        <v>1626.0202271114199</v>
      </c>
      <c r="H2142" s="1">
        <v>4</v>
      </c>
      <c r="J2142" s="1">
        <v>4</v>
      </c>
      <c r="K2142" s="1">
        <v>4</v>
      </c>
      <c r="M2142" s="4">
        <v>2818</v>
      </c>
      <c r="N2142" s="1">
        <v>2158</v>
      </c>
      <c r="O2142" s="1">
        <v>6163</v>
      </c>
      <c r="P2142" s="1">
        <v>4005</v>
      </c>
      <c r="Q2142" s="1" t="s">
        <v>42</v>
      </c>
      <c r="S2142" s="1" t="s">
        <v>42</v>
      </c>
      <c r="T2142" s="1" t="s">
        <v>273</v>
      </c>
      <c r="AA2142" s="1">
        <v>4582125</v>
      </c>
      <c r="AB2142" s="1" t="s">
        <v>1204</v>
      </c>
      <c r="AC2142" s="5">
        <v>42832</v>
      </c>
      <c r="AF2142" s="1">
        <v>10011</v>
      </c>
      <c r="AJ2142" s="1">
        <v>2015</v>
      </c>
      <c r="AK2142" s="1" t="s">
        <v>73</v>
      </c>
      <c r="AL2142" s="1">
        <v>8</v>
      </c>
    </row>
    <row r="2143" spans="1:38" x14ac:dyDescent="0.2">
      <c r="A2143" s="2" t="str">
        <f>HYPERLINK("https://www.compass.com/listing/21-east-12th-street-unit-18a-manhattan-ny-10003/156622067352033921/","21 E 12th St, Unit 18A")</f>
        <v>21 E 12th St, Unit 18A</v>
      </c>
      <c r="B2143" s="2" t="str">
        <f>HYPERLINK("https://www.compass.com/building/21-east-12th-street-manhattan-ny/292779727154847925/","21 East 12th Street")</f>
        <v>21 East 12th Street</v>
      </c>
      <c r="C2143" s="1" t="s">
        <v>277</v>
      </c>
      <c r="D2143" s="1" t="s">
        <v>41</v>
      </c>
      <c r="E2143" s="3">
        <v>8589329</v>
      </c>
      <c r="F2143" s="1">
        <v>3206.1697275102601</v>
      </c>
      <c r="G2143" s="1">
        <v>6</v>
      </c>
      <c r="H2143" s="1">
        <v>4</v>
      </c>
      <c r="I2143" s="1">
        <v>5</v>
      </c>
      <c r="J2143" s="1">
        <v>4.5</v>
      </c>
      <c r="K2143" s="1">
        <v>4</v>
      </c>
      <c r="L2143" s="1">
        <v>1</v>
      </c>
      <c r="M2143" s="4">
        <v>2679</v>
      </c>
      <c r="N2143" s="1">
        <v>3493</v>
      </c>
      <c r="O2143" s="1">
        <v>8830</v>
      </c>
      <c r="P2143" s="1">
        <v>5337</v>
      </c>
      <c r="Q2143" s="1" t="s">
        <v>42</v>
      </c>
      <c r="S2143" s="1" t="s">
        <v>42</v>
      </c>
      <c r="T2143" s="1" t="s">
        <v>273</v>
      </c>
      <c r="U2143" s="1">
        <v>191</v>
      </c>
      <c r="V2143" s="5">
        <v>44342</v>
      </c>
      <c r="W2143" s="5">
        <v>43467</v>
      </c>
      <c r="X2143" s="1">
        <v>8750000</v>
      </c>
      <c r="Y2143" s="1">
        <v>8750000</v>
      </c>
      <c r="Z2143" s="5">
        <v>43659</v>
      </c>
      <c r="AA2143" s="1">
        <v>8589328.6999999993</v>
      </c>
      <c r="AB2143" s="1" t="s">
        <v>1205</v>
      </c>
      <c r="AC2143" s="5">
        <v>43670</v>
      </c>
      <c r="AF2143" s="1">
        <v>10003</v>
      </c>
      <c r="AI2143" s="1" t="s">
        <v>80</v>
      </c>
      <c r="AJ2143" s="1">
        <v>2018</v>
      </c>
      <c r="AK2143" s="1" t="s">
        <v>46</v>
      </c>
      <c r="AL2143" s="1">
        <v>52</v>
      </c>
    </row>
    <row r="2144" spans="1:38" x14ac:dyDescent="0.2">
      <c r="A2144" s="2" t="str">
        <f>HYPERLINK("https://www.compass.com/listing/207-west-79th-street-unit-5b-manhattan-ny-10024/783022606498749849/","207 W 79th St, Unit 5B")</f>
        <v>207 W 79th St, Unit 5B</v>
      </c>
      <c r="B2144" s="2" t="str">
        <f>HYPERLINK("https://www.compass.com/building/207-west-79th-street-manhattan-ny/292869088261262661/","207 West 79th Street")</f>
        <v>207 West 79th Street</v>
      </c>
      <c r="C2144" s="1" t="s">
        <v>57</v>
      </c>
      <c r="D2144" s="1" t="s">
        <v>41</v>
      </c>
      <c r="E2144" s="3">
        <v>3350000</v>
      </c>
      <c r="F2144" s="1">
        <v>1943.15545243619</v>
      </c>
      <c r="G2144" s="1">
        <v>4</v>
      </c>
      <c r="H2144" s="1">
        <v>2</v>
      </c>
      <c r="I2144" s="1">
        <v>3</v>
      </c>
      <c r="J2144" s="1">
        <v>2.5</v>
      </c>
      <c r="K2144" s="1">
        <v>2</v>
      </c>
      <c r="L2144" s="1">
        <v>1</v>
      </c>
      <c r="M2144" s="4">
        <v>1724</v>
      </c>
      <c r="N2144" s="1">
        <v>2336</v>
      </c>
      <c r="O2144" s="1">
        <v>4884</v>
      </c>
      <c r="P2144" s="1">
        <v>2548</v>
      </c>
      <c r="Q2144" s="1" t="s">
        <v>42</v>
      </c>
      <c r="S2144" s="1" t="s">
        <v>42</v>
      </c>
      <c r="T2144" s="1" t="s">
        <v>273</v>
      </c>
      <c r="U2144" s="1">
        <v>41</v>
      </c>
      <c r="V2144" s="5">
        <v>43650</v>
      </c>
      <c r="W2144" s="5">
        <v>43579</v>
      </c>
      <c r="X2144" s="1">
        <v>3650000</v>
      </c>
      <c r="Y2144" s="1">
        <v>3650000</v>
      </c>
      <c r="Z2144" s="5">
        <v>43620</v>
      </c>
      <c r="AA2144" s="1">
        <v>3350000</v>
      </c>
      <c r="AB2144" s="1" t="s">
        <v>1206</v>
      </c>
      <c r="AC2144" s="5">
        <v>43643</v>
      </c>
      <c r="AF2144" s="1">
        <v>10024</v>
      </c>
      <c r="AJ2144" s="1">
        <v>2017</v>
      </c>
      <c r="AK2144" s="1" t="s">
        <v>125</v>
      </c>
      <c r="AL2144" s="1">
        <v>19</v>
      </c>
    </row>
    <row r="2145" spans="1:38" x14ac:dyDescent="0.2">
      <c r="A2145" s="2" t="str">
        <f>HYPERLINK("https://www.compass.com/listing/150-wooster-street-unit-loft-2-manhattan-ny-10012/15258279273890401/","150 Wooster St, Unit LOFT 2")</f>
        <v>150 Wooster St, Unit LOFT 2</v>
      </c>
      <c r="B2145" s="2" t="str">
        <f t="shared" ref="B2145:B2149" si="343">HYPERLINK("https://www.compass.com/building/150-wooster-st-manhattan-ny-10012/282065972817334901/","150 Wooster St")</f>
        <v>150 Wooster St</v>
      </c>
      <c r="C2145" s="1" t="s">
        <v>298</v>
      </c>
      <c r="D2145" s="1" t="s">
        <v>41</v>
      </c>
      <c r="E2145" s="3">
        <v>14250409</v>
      </c>
      <c r="F2145" s="1">
        <v>3246.8463773069002</v>
      </c>
      <c r="G2145" s="1">
        <v>13</v>
      </c>
      <c r="H2145" s="1">
        <v>4</v>
      </c>
      <c r="I2145" s="1">
        <v>4</v>
      </c>
      <c r="J2145" s="1">
        <v>4</v>
      </c>
      <c r="K2145" s="1">
        <v>4</v>
      </c>
      <c r="M2145" s="4">
        <v>4389</v>
      </c>
      <c r="N2145" s="1">
        <v>6789</v>
      </c>
      <c r="O2145" s="1">
        <v>13243</v>
      </c>
      <c r="P2145" s="1">
        <v>6454</v>
      </c>
      <c r="Q2145" s="1" t="s">
        <v>42</v>
      </c>
      <c r="S2145" s="1" t="s">
        <v>42</v>
      </c>
      <c r="T2145" s="1" t="s">
        <v>273</v>
      </c>
      <c r="U2145" s="1">
        <v>100</v>
      </c>
      <c r="V2145" s="5">
        <v>44334</v>
      </c>
      <c r="W2145" s="5">
        <v>43103</v>
      </c>
      <c r="X2145" s="1">
        <v>14750000</v>
      </c>
      <c r="Y2145" s="1">
        <v>14750000</v>
      </c>
      <c r="Z2145" s="5">
        <v>43203</v>
      </c>
      <c r="AA2145" s="1">
        <v>14250408.75</v>
      </c>
      <c r="AB2145" s="1" t="s">
        <v>1207</v>
      </c>
      <c r="AC2145" s="5">
        <v>43235</v>
      </c>
      <c r="AF2145" s="1">
        <v>10012</v>
      </c>
      <c r="AI2145" s="1" t="s">
        <v>197</v>
      </c>
      <c r="AJ2145" s="1">
        <v>2017</v>
      </c>
      <c r="AK2145" s="1" t="s">
        <v>108</v>
      </c>
      <c r="AL2145" s="1">
        <v>6</v>
      </c>
    </row>
    <row r="2146" spans="1:38" x14ac:dyDescent="0.2">
      <c r="A2146" s="2" t="str">
        <f>HYPERLINK("https://www.compass.com/listing/150-wooster-street-unit-loft-4-manhattan-ny-10012/15258289810006625/","150 Wooster St, Unit LOFT 4")</f>
        <v>150 Wooster St, Unit LOFT 4</v>
      </c>
      <c r="B2146" s="2" t="str">
        <f t="shared" si="343"/>
        <v>150 Wooster St</v>
      </c>
      <c r="C2146" s="1" t="s">
        <v>298</v>
      </c>
      <c r="D2146" s="1" t="s">
        <v>41</v>
      </c>
      <c r="E2146" s="3">
        <v>13491813</v>
      </c>
      <c r="F2146" s="1">
        <v>3158.9352610629799</v>
      </c>
      <c r="G2146" s="1">
        <v>13</v>
      </c>
      <c r="H2146" s="1">
        <v>4</v>
      </c>
      <c r="I2146" s="1">
        <v>5</v>
      </c>
      <c r="J2146" s="1">
        <v>4.5</v>
      </c>
      <c r="K2146" s="1">
        <v>4</v>
      </c>
      <c r="L2146" s="1">
        <v>1</v>
      </c>
      <c r="M2146" s="4">
        <v>4271</v>
      </c>
      <c r="N2146" s="1">
        <v>4785</v>
      </c>
      <c r="O2146" s="1">
        <v>9334</v>
      </c>
      <c r="P2146" s="1">
        <v>4549</v>
      </c>
      <c r="Q2146" s="1" t="s">
        <v>42</v>
      </c>
      <c r="S2146" s="1" t="s">
        <v>42</v>
      </c>
      <c r="T2146" s="1" t="s">
        <v>273</v>
      </c>
      <c r="U2146" s="1">
        <v>50</v>
      </c>
      <c r="V2146" s="5">
        <v>44334</v>
      </c>
      <c r="W2146" s="5">
        <v>43020</v>
      </c>
      <c r="X2146" s="1">
        <v>13500000</v>
      </c>
      <c r="Y2146" s="1">
        <v>13500000</v>
      </c>
      <c r="Z2146" s="5">
        <v>43070</v>
      </c>
      <c r="AA2146" s="1">
        <v>13491812.5</v>
      </c>
      <c r="AB2146" s="1" t="s">
        <v>1208</v>
      </c>
      <c r="AC2146" s="5">
        <v>43137</v>
      </c>
      <c r="AF2146" s="1">
        <v>10012</v>
      </c>
      <c r="AI2146" s="1" t="s">
        <v>540</v>
      </c>
      <c r="AJ2146" s="1">
        <v>2017</v>
      </c>
      <c r="AK2146" s="1" t="s">
        <v>108</v>
      </c>
      <c r="AL2146" s="1">
        <v>6</v>
      </c>
    </row>
    <row r="2147" spans="1:38" x14ac:dyDescent="0.2">
      <c r="A2147" s="2" t="str">
        <f>HYPERLINK("https://www.compass.com/listing/150-wooster-street-unit-loft-3-manhattan-ny-10012/15258290573349665/","150 Wooster St, Unit LOFT 3")</f>
        <v>150 Wooster St, Unit LOFT 3</v>
      </c>
      <c r="B2147" s="2" t="str">
        <f t="shared" si="343"/>
        <v>150 Wooster St</v>
      </c>
      <c r="C2147" s="1" t="s">
        <v>298</v>
      </c>
      <c r="D2147" s="1" t="s">
        <v>41</v>
      </c>
      <c r="E2147" s="3">
        <v>12224091</v>
      </c>
      <c r="F2147" s="1">
        <v>2785.1654704944099</v>
      </c>
      <c r="G2147" s="1">
        <v>13</v>
      </c>
      <c r="H2147" s="1">
        <v>4</v>
      </c>
      <c r="I2147" s="1">
        <v>5</v>
      </c>
      <c r="J2147" s="1">
        <v>4.5</v>
      </c>
      <c r="K2147" s="1">
        <v>4</v>
      </c>
      <c r="L2147" s="1">
        <v>1</v>
      </c>
      <c r="M2147" s="4">
        <v>4389</v>
      </c>
      <c r="N2147" s="1">
        <v>4775</v>
      </c>
      <c r="O2147" s="1">
        <v>9315</v>
      </c>
      <c r="P2147" s="1">
        <v>4540</v>
      </c>
      <c r="Q2147" s="1" t="s">
        <v>42</v>
      </c>
      <c r="S2147" s="1" t="s">
        <v>42</v>
      </c>
      <c r="T2147" s="1" t="s">
        <v>273</v>
      </c>
      <c r="U2147" s="1">
        <v>183</v>
      </c>
      <c r="V2147" s="5">
        <v>44334</v>
      </c>
      <c r="W2147" s="5">
        <v>43020</v>
      </c>
      <c r="X2147" s="1">
        <v>12950000</v>
      </c>
      <c r="Y2147" s="1">
        <v>12950000</v>
      </c>
      <c r="Z2147" s="5">
        <v>43203</v>
      </c>
      <c r="AA2147" s="1">
        <v>12224091.25</v>
      </c>
      <c r="AB2147" s="1" t="s">
        <v>1209</v>
      </c>
      <c r="AC2147" s="5">
        <v>43235</v>
      </c>
      <c r="AF2147" s="1">
        <v>10012</v>
      </c>
      <c r="AJ2147" s="1">
        <v>2017</v>
      </c>
      <c r="AK2147" s="1" t="s">
        <v>108</v>
      </c>
      <c r="AL2147" s="1">
        <v>6</v>
      </c>
    </row>
    <row r="2148" spans="1:38" x14ac:dyDescent="0.2">
      <c r="A2148" s="2" t="str">
        <f>HYPERLINK("https://www.compass.com/listing/150-wooster-street-unit-loft-5-manhattan-ny-10012/15258329781716257/","150 Wooster St, Unit LOFT 5")</f>
        <v>150 Wooster St, Unit LOFT 5</v>
      </c>
      <c r="B2148" s="2" t="str">
        <f t="shared" si="343"/>
        <v>150 Wooster St</v>
      </c>
      <c r="C2148" s="1" t="s">
        <v>298</v>
      </c>
      <c r="D2148" s="1" t="s">
        <v>41</v>
      </c>
      <c r="E2148" s="3">
        <v>13899113</v>
      </c>
      <c r="F2148" s="1">
        <v>3254.2993444158201</v>
      </c>
      <c r="G2148" s="1">
        <v>7</v>
      </c>
      <c r="H2148" s="1">
        <v>4</v>
      </c>
      <c r="I2148" s="1">
        <v>5</v>
      </c>
      <c r="J2148" s="1">
        <v>4.5</v>
      </c>
      <c r="K2148" s="1">
        <v>4</v>
      </c>
      <c r="L2148" s="1">
        <v>1</v>
      </c>
      <c r="M2148" s="4">
        <v>4271</v>
      </c>
      <c r="N2148" s="1">
        <v>4799</v>
      </c>
      <c r="O2148" s="1">
        <v>9361</v>
      </c>
      <c r="P2148" s="1">
        <v>4562</v>
      </c>
      <c r="Q2148" s="1" t="s">
        <v>42</v>
      </c>
      <c r="S2148" s="1" t="s">
        <v>42</v>
      </c>
      <c r="T2148" s="1" t="s">
        <v>273</v>
      </c>
      <c r="V2148" s="5">
        <v>44334</v>
      </c>
      <c r="W2148" s="5">
        <v>43039</v>
      </c>
      <c r="X2148" s="1">
        <v>13950000</v>
      </c>
      <c r="Y2148" s="1">
        <v>13950000</v>
      </c>
      <c r="Z2148" s="5">
        <v>43039</v>
      </c>
      <c r="AA2148" s="1">
        <v>13899112.5</v>
      </c>
      <c r="AB2148" s="1" t="s">
        <v>1210</v>
      </c>
      <c r="AC2148" s="5">
        <v>43161</v>
      </c>
      <c r="AF2148" s="1">
        <v>10012</v>
      </c>
      <c r="AI2148" s="1" t="s">
        <v>540</v>
      </c>
      <c r="AJ2148" s="1">
        <v>2017</v>
      </c>
      <c r="AK2148" s="1" t="s">
        <v>108</v>
      </c>
      <c r="AL2148" s="1">
        <v>6</v>
      </c>
    </row>
    <row r="2149" spans="1:38" x14ac:dyDescent="0.2">
      <c r="A2149" s="2" t="str">
        <f>HYPERLINK("https://www.compass.com/listing/150-wooster-street-unit-loft-6-manhattan-ny-10012/15258349478172289/","150 Wooster St, Unit LOFT 6")</f>
        <v>150 Wooster St, Unit LOFT 6</v>
      </c>
      <c r="B2149" s="2" t="str">
        <f t="shared" si="343"/>
        <v>150 Wooster St</v>
      </c>
      <c r="C2149" s="1" t="s">
        <v>298</v>
      </c>
      <c r="D2149" s="1" t="s">
        <v>41</v>
      </c>
      <c r="E2149" s="3">
        <v>14357325</v>
      </c>
      <c r="F2149" s="1">
        <v>3361.5839381877699</v>
      </c>
      <c r="G2149" s="1">
        <v>13</v>
      </c>
      <c r="H2149" s="1">
        <v>4</v>
      </c>
      <c r="I2149" s="1">
        <v>5</v>
      </c>
      <c r="J2149" s="1">
        <v>4.5</v>
      </c>
      <c r="K2149" s="1">
        <v>4</v>
      </c>
      <c r="L2149" s="1">
        <v>1</v>
      </c>
      <c r="M2149" s="4">
        <v>4271</v>
      </c>
      <c r="N2149" s="1">
        <v>4799</v>
      </c>
      <c r="O2149" s="1">
        <v>9360</v>
      </c>
      <c r="P2149" s="1">
        <v>4561</v>
      </c>
      <c r="Q2149" s="1" t="s">
        <v>42</v>
      </c>
      <c r="S2149" s="1" t="s">
        <v>42</v>
      </c>
      <c r="T2149" s="1" t="s">
        <v>273</v>
      </c>
      <c r="V2149" s="5">
        <v>44040</v>
      </c>
      <c r="W2149" s="5">
        <v>43050</v>
      </c>
      <c r="X2149" s="1">
        <v>14850000</v>
      </c>
      <c r="Y2149" s="1">
        <v>14850000</v>
      </c>
      <c r="Z2149" s="5">
        <v>43050</v>
      </c>
      <c r="AA2149" s="1">
        <v>14357325</v>
      </c>
      <c r="AB2149" s="1" t="s">
        <v>275</v>
      </c>
      <c r="AC2149" s="5">
        <v>43383</v>
      </c>
      <c r="AF2149" s="1">
        <v>10012</v>
      </c>
      <c r="AI2149" s="1" t="s">
        <v>135</v>
      </c>
      <c r="AJ2149" s="1">
        <v>2017</v>
      </c>
      <c r="AK2149" s="1" t="s">
        <v>108</v>
      </c>
      <c r="AL2149" s="1">
        <v>6</v>
      </c>
    </row>
    <row r="2150" spans="1:38" x14ac:dyDescent="0.2">
      <c r="A2150" s="2" t="str">
        <f>HYPERLINK("https://www.compass.com/listing/100-west-80th-street-unit-9bc-manhattan-ny-10024/803315282067961377/","100 W 80th St, Unit 9BC")</f>
        <v>100 W 80th St, Unit 9BC</v>
      </c>
      <c r="B2150" s="2" t="str">
        <f t="shared" ref="B2150:B2156" si="344">HYPERLINK("https://www.compass.com/building/the-orleans-manhattan-ny/281961359686577973/","The Orleans")</f>
        <v>The Orleans</v>
      </c>
      <c r="C2150" s="1" t="s">
        <v>57</v>
      </c>
      <c r="D2150" s="1" t="s">
        <v>41</v>
      </c>
      <c r="E2150" s="3">
        <v>4950000</v>
      </c>
      <c r="F2150" s="1">
        <v>1875.7104964001501</v>
      </c>
      <c r="G2150" s="1">
        <v>9</v>
      </c>
      <c r="H2150" s="1">
        <v>5</v>
      </c>
      <c r="I2150" s="1">
        <v>4</v>
      </c>
      <c r="J2150" s="1">
        <v>4</v>
      </c>
      <c r="M2150" s="4">
        <v>2639</v>
      </c>
      <c r="N2150" s="1">
        <v>3995</v>
      </c>
      <c r="O2150" s="1">
        <v>8243</v>
      </c>
      <c r="P2150" s="1">
        <v>4248</v>
      </c>
      <c r="Q2150" s="1" t="s">
        <v>42</v>
      </c>
      <c r="S2150" s="1" t="s">
        <v>42</v>
      </c>
      <c r="T2150" s="1" t="s">
        <v>273</v>
      </c>
      <c r="U2150" s="1">
        <v>339</v>
      </c>
      <c r="V2150" s="5">
        <v>43208</v>
      </c>
      <c r="W2150" s="5">
        <v>42809</v>
      </c>
      <c r="X2150" s="1">
        <v>5975000</v>
      </c>
      <c r="Y2150" s="1">
        <v>5245000</v>
      </c>
      <c r="Z2150" s="5">
        <v>43152</v>
      </c>
      <c r="AA2150" s="1">
        <v>4950000</v>
      </c>
      <c r="AB2150" s="1" t="s">
        <v>275</v>
      </c>
      <c r="AC2150" s="5">
        <v>43206</v>
      </c>
      <c r="AF2150" s="1">
        <v>10024</v>
      </c>
      <c r="AJ2150" s="1">
        <v>1900</v>
      </c>
      <c r="AK2150" s="1" t="s">
        <v>108</v>
      </c>
      <c r="AL2150" s="1">
        <v>24</v>
      </c>
    </row>
    <row r="2151" spans="1:38" x14ac:dyDescent="0.2">
      <c r="A2151" s="2" t="str">
        <f>HYPERLINK("https://www.compass.com/listing/100-west-80th-street-unit-3e-manhattan-ny-10024/29399450313111057/","100 W 80th St, Unit 3E")</f>
        <v>100 W 80th St, Unit 3E</v>
      </c>
      <c r="B2151" s="2" t="str">
        <f t="shared" si="344"/>
        <v>The Orleans</v>
      </c>
      <c r="C2151" s="1" t="s">
        <v>57</v>
      </c>
      <c r="D2151" s="1" t="s">
        <v>41</v>
      </c>
      <c r="E2151" s="3">
        <v>5371269</v>
      </c>
      <c r="F2151" s="1">
        <v>2138.2440286624201</v>
      </c>
      <c r="G2151" s="1">
        <v>10</v>
      </c>
      <c r="H2151" s="1">
        <v>5</v>
      </c>
      <c r="I2151" s="1">
        <v>3</v>
      </c>
      <c r="J2151" s="1">
        <v>3</v>
      </c>
      <c r="M2151" s="4">
        <v>2512</v>
      </c>
      <c r="N2151" s="1">
        <v>3790</v>
      </c>
      <c r="O2151" s="1">
        <v>8531</v>
      </c>
      <c r="P2151" s="1">
        <v>4741</v>
      </c>
      <c r="Q2151" s="1" t="s">
        <v>42</v>
      </c>
      <c r="S2151" s="1" t="s">
        <v>42</v>
      </c>
      <c r="T2151" s="1" t="s">
        <v>273</v>
      </c>
      <c r="U2151" s="1">
        <v>182</v>
      </c>
      <c r="V2151" s="5">
        <v>43641</v>
      </c>
      <c r="W2151" s="5">
        <v>42062</v>
      </c>
      <c r="X2151" s="1">
        <v>5275000</v>
      </c>
      <c r="Y2151" s="1">
        <v>5275000</v>
      </c>
      <c r="Z2151" s="5">
        <v>42244</v>
      </c>
      <c r="AA2151" s="1">
        <v>5371269</v>
      </c>
      <c r="AB2151" s="1" t="s">
        <v>1211</v>
      </c>
      <c r="AC2151" s="5">
        <v>42306</v>
      </c>
      <c r="AF2151" s="1">
        <v>10024</v>
      </c>
      <c r="AJ2151" s="1">
        <v>1900</v>
      </c>
      <c r="AK2151" s="1" t="s">
        <v>108</v>
      </c>
      <c r="AL2151" s="1">
        <v>24</v>
      </c>
    </row>
    <row r="2152" spans="1:38" x14ac:dyDescent="0.2">
      <c r="A2152" s="2" t="str">
        <f>HYPERLINK("https://www.compass.com/listing/100-west-80th-street-unit-5e-manhattan-ny-10024/29399451126768225/","100 W 80th St, Unit 5E")</f>
        <v>100 W 80th St, Unit 5E</v>
      </c>
      <c r="B2152" s="2" t="str">
        <f t="shared" si="344"/>
        <v>The Orleans</v>
      </c>
      <c r="C2152" s="1" t="s">
        <v>57</v>
      </c>
      <c r="D2152" s="1" t="s">
        <v>41</v>
      </c>
      <c r="E2152" s="3">
        <v>5499365</v>
      </c>
      <c r="F2152" s="1">
        <v>2189.23765923566</v>
      </c>
      <c r="G2152" s="1">
        <v>10</v>
      </c>
      <c r="H2152" s="1">
        <v>5</v>
      </c>
      <c r="I2152" s="1">
        <v>3</v>
      </c>
      <c r="J2152" s="1">
        <v>3</v>
      </c>
      <c r="M2152" s="4">
        <v>2512</v>
      </c>
      <c r="N2152" s="1">
        <v>3790</v>
      </c>
      <c r="O2152" s="1">
        <v>8531</v>
      </c>
      <c r="P2152" s="1">
        <v>4741</v>
      </c>
      <c r="Q2152" s="1" t="s">
        <v>42</v>
      </c>
      <c r="S2152" s="1" t="s">
        <v>42</v>
      </c>
      <c r="T2152" s="1" t="s">
        <v>273</v>
      </c>
      <c r="U2152" s="1">
        <v>2</v>
      </c>
      <c r="V2152" s="5">
        <v>43682</v>
      </c>
      <c r="W2152" s="5">
        <v>42151</v>
      </c>
      <c r="X2152" s="1">
        <v>5400800</v>
      </c>
      <c r="Y2152" s="1">
        <v>5400800</v>
      </c>
      <c r="Z2152" s="5">
        <v>42153</v>
      </c>
      <c r="AA2152" s="1">
        <v>5499365</v>
      </c>
      <c r="AB2152" s="1" t="s">
        <v>1212</v>
      </c>
      <c r="AC2152" s="5">
        <v>42209</v>
      </c>
      <c r="AF2152" s="1">
        <v>10024</v>
      </c>
      <c r="AJ2152" s="1">
        <v>1900</v>
      </c>
      <c r="AK2152" s="1" t="s">
        <v>55</v>
      </c>
      <c r="AL2152" s="1">
        <v>24</v>
      </c>
    </row>
    <row r="2153" spans="1:38" x14ac:dyDescent="0.2">
      <c r="A2153" s="2" t="str">
        <f>HYPERLINK("https://www.compass.com/listing/100-west-80th-street-unit-6e-manhattan-ny-10024/29399451839854305/","100 W 80th St, Unit 6E")</f>
        <v>100 W 80th St, Unit 6E</v>
      </c>
      <c r="B2153" s="2" t="str">
        <f t="shared" si="344"/>
        <v>The Orleans</v>
      </c>
      <c r="C2153" s="1" t="s">
        <v>57</v>
      </c>
      <c r="D2153" s="1" t="s">
        <v>41</v>
      </c>
      <c r="E2153" s="3">
        <v>5819096</v>
      </c>
      <c r="F2153" s="1">
        <v>2316.5191082802498</v>
      </c>
      <c r="G2153" s="1">
        <v>10</v>
      </c>
      <c r="H2153" s="1">
        <v>5</v>
      </c>
      <c r="I2153" s="1">
        <v>3</v>
      </c>
      <c r="J2153" s="1">
        <v>3</v>
      </c>
      <c r="M2153" s="4">
        <v>2512</v>
      </c>
      <c r="N2153" s="1">
        <v>3790</v>
      </c>
      <c r="O2153" s="1">
        <v>8531</v>
      </c>
      <c r="P2153" s="1">
        <v>4741</v>
      </c>
      <c r="Q2153" s="1" t="s">
        <v>42</v>
      </c>
      <c r="S2153" s="1" t="s">
        <v>42</v>
      </c>
      <c r="T2153" s="1" t="s">
        <v>273</v>
      </c>
      <c r="U2153" s="1">
        <v>64</v>
      </c>
      <c r="V2153" s="5">
        <v>43624</v>
      </c>
      <c r="W2153" s="5">
        <v>42250</v>
      </c>
      <c r="X2153" s="1">
        <v>5714000</v>
      </c>
      <c r="Y2153" s="1">
        <v>5714000</v>
      </c>
      <c r="Z2153" s="5">
        <v>42314</v>
      </c>
      <c r="AA2153" s="1">
        <v>5819096</v>
      </c>
      <c r="AB2153" s="1" t="s">
        <v>1213</v>
      </c>
      <c r="AC2153" s="5">
        <v>42326</v>
      </c>
      <c r="AF2153" s="1">
        <v>10024</v>
      </c>
      <c r="AJ2153" s="1">
        <v>1900</v>
      </c>
      <c r="AK2153" s="1" t="s">
        <v>55</v>
      </c>
      <c r="AL2153" s="1">
        <v>24</v>
      </c>
    </row>
    <row r="2154" spans="1:38" x14ac:dyDescent="0.2">
      <c r="A2154" s="2" t="str">
        <f>HYPERLINK("https://www.compass.com/listing/100-west-80th-street-unit-7e-manhattan-ny-10024/29399452653532849/","100 W 80th St, Unit 7E")</f>
        <v>100 W 80th St, Unit 7E</v>
      </c>
      <c r="B2154" s="2" t="str">
        <f t="shared" si="344"/>
        <v>The Orleans</v>
      </c>
      <c r="C2154" s="1" t="s">
        <v>57</v>
      </c>
      <c r="D2154" s="1" t="s">
        <v>41</v>
      </c>
      <c r="E2154" s="3">
        <v>5652837</v>
      </c>
      <c r="F2154" s="1">
        <v>2250.3332006369401</v>
      </c>
      <c r="G2154" s="1">
        <v>10</v>
      </c>
      <c r="H2154" s="1">
        <v>5</v>
      </c>
      <c r="I2154" s="1">
        <v>3</v>
      </c>
      <c r="J2154" s="1">
        <v>3</v>
      </c>
      <c r="M2154" s="4">
        <v>2512</v>
      </c>
      <c r="N2154" s="1">
        <v>3790</v>
      </c>
      <c r="O2154" s="1">
        <v>8531</v>
      </c>
      <c r="P2154" s="1">
        <v>4741</v>
      </c>
      <c r="Q2154" s="1" t="s">
        <v>42</v>
      </c>
      <c r="S2154" s="1" t="s">
        <v>42</v>
      </c>
      <c r="T2154" s="1" t="s">
        <v>273</v>
      </c>
      <c r="U2154" s="1">
        <v>10</v>
      </c>
      <c r="V2154" s="5">
        <v>43623</v>
      </c>
      <c r="W2154" s="5">
        <v>42045</v>
      </c>
      <c r="X2154" s="1">
        <v>5551520</v>
      </c>
      <c r="Y2154" s="1">
        <v>5551520</v>
      </c>
      <c r="Z2154" s="5">
        <v>42055</v>
      </c>
      <c r="AA2154" s="1">
        <v>5652837</v>
      </c>
      <c r="AB2154" s="1" t="s">
        <v>1214</v>
      </c>
      <c r="AC2154" s="5">
        <v>42228</v>
      </c>
      <c r="AF2154" s="1">
        <v>10024</v>
      </c>
      <c r="AJ2154" s="1">
        <v>1900</v>
      </c>
      <c r="AK2154" s="1" t="s">
        <v>55</v>
      </c>
      <c r="AL2154" s="1">
        <v>24</v>
      </c>
    </row>
    <row r="2155" spans="1:38" x14ac:dyDescent="0.2">
      <c r="A2155" s="2" t="str">
        <f>HYPERLINK("https://www.compass.com/listing/100-west-80th-street-unit-8e-manhattan-ny-10024/29399453450412801/","100 W 80th St, Unit 8E")</f>
        <v>100 W 80th St, Unit 8E</v>
      </c>
      <c r="B2155" s="2" t="str">
        <f t="shared" si="344"/>
        <v>The Orleans</v>
      </c>
      <c r="C2155" s="1" t="s">
        <v>57</v>
      </c>
      <c r="D2155" s="1" t="s">
        <v>41</v>
      </c>
      <c r="E2155" s="3">
        <v>5134036</v>
      </c>
      <c r="F2155" s="1">
        <v>2043.8041401273799</v>
      </c>
      <c r="G2155" s="1">
        <v>10</v>
      </c>
      <c r="H2155" s="1">
        <v>5</v>
      </c>
      <c r="I2155" s="1">
        <v>3</v>
      </c>
      <c r="J2155" s="1">
        <v>3</v>
      </c>
      <c r="M2155" s="4">
        <v>2512</v>
      </c>
      <c r="N2155" s="1">
        <v>3790</v>
      </c>
      <c r="O2155" s="1">
        <v>8531</v>
      </c>
      <c r="P2155" s="1">
        <v>4741</v>
      </c>
      <c r="Q2155" s="1" t="s">
        <v>42</v>
      </c>
      <c r="S2155" s="1" t="s">
        <v>42</v>
      </c>
      <c r="T2155" s="1" t="s">
        <v>273</v>
      </c>
      <c r="U2155" s="1">
        <v>1</v>
      </c>
      <c r="V2155" s="5">
        <v>43623</v>
      </c>
      <c r="W2155" s="5">
        <v>41991</v>
      </c>
      <c r="X2155" s="1">
        <v>5589200</v>
      </c>
      <c r="Y2155" s="1">
        <v>5589200</v>
      </c>
      <c r="Z2155" s="5">
        <v>41992</v>
      </c>
      <c r="AA2155" s="1">
        <v>5134036</v>
      </c>
      <c r="AB2155" s="1" t="s">
        <v>1215</v>
      </c>
      <c r="AC2155" s="5">
        <v>42210</v>
      </c>
      <c r="AF2155" s="1">
        <v>10024</v>
      </c>
      <c r="AJ2155" s="1">
        <v>1900</v>
      </c>
      <c r="AK2155" s="1" t="s">
        <v>55</v>
      </c>
      <c r="AL2155" s="1">
        <v>24</v>
      </c>
    </row>
    <row r="2156" spans="1:38" x14ac:dyDescent="0.2">
      <c r="A2156" s="2" t="str">
        <f>HYPERLINK("https://www.compass.com/listing/100-west-80th-street-unit-9e-manhattan-ny-10024/29399454482211649/","100 W 80th St, Unit 9E")</f>
        <v>100 W 80th St, Unit 9E</v>
      </c>
      <c r="B2156" s="2" t="str">
        <f t="shared" si="344"/>
        <v>The Orleans</v>
      </c>
      <c r="C2156" s="1" t="s">
        <v>57</v>
      </c>
      <c r="D2156" s="1" t="s">
        <v>41</v>
      </c>
      <c r="E2156" s="3">
        <v>5191721</v>
      </c>
      <c r="F2156" s="1">
        <v>2066.7679140127302</v>
      </c>
      <c r="G2156" s="1">
        <v>10</v>
      </c>
      <c r="H2156" s="1">
        <v>5</v>
      </c>
      <c r="I2156" s="1">
        <v>3</v>
      </c>
      <c r="J2156" s="1">
        <v>3</v>
      </c>
      <c r="M2156" s="4">
        <v>2512</v>
      </c>
      <c r="N2156" s="1">
        <v>3790</v>
      </c>
      <c r="O2156" s="1">
        <v>8531</v>
      </c>
      <c r="P2156" s="1">
        <v>4741</v>
      </c>
      <c r="Q2156" s="1" t="s">
        <v>42</v>
      </c>
      <c r="S2156" s="1" t="s">
        <v>42</v>
      </c>
      <c r="T2156" s="1" t="s">
        <v>273</v>
      </c>
      <c r="U2156" s="1">
        <v>1</v>
      </c>
      <c r="V2156" s="5">
        <v>43623</v>
      </c>
      <c r="W2156" s="5">
        <v>41992</v>
      </c>
      <c r="X2156" s="1">
        <v>5652000</v>
      </c>
      <c r="Y2156" s="1">
        <v>5652000</v>
      </c>
      <c r="Z2156" s="5">
        <v>41993</v>
      </c>
      <c r="AA2156" s="1">
        <v>5191721</v>
      </c>
      <c r="AB2156" s="1" t="s">
        <v>1216</v>
      </c>
      <c r="AC2156" s="5">
        <v>42213</v>
      </c>
      <c r="AF2156" s="1">
        <v>10024</v>
      </c>
      <c r="AJ2156" s="1">
        <v>1900</v>
      </c>
      <c r="AK2156" s="1" t="s">
        <v>55</v>
      </c>
      <c r="AL2156" s="1">
        <v>24</v>
      </c>
    </row>
    <row r="2157" spans="1:38" x14ac:dyDescent="0.2">
      <c r="A2157" s="2" t="str">
        <f>HYPERLINK("https://www.compass.com/listing/514-west-24th-street-unit-7w-manhattan-ny-10011/787406972699298609/","514 W 24th St, Unit 7W")</f>
        <v>514 W 24th St, Unit 7W</v>
      </c>
      <c r="B2157" s="2" t="str">
        <f t="shared" ref="B2157:B2158" si="345">HYPERLINK("https://www.compass.com/building/the-fitzroy-manhattan-ny/281911423242627685/","The Fitzroy")</f>
        <v>The Fitzroy</v>
      </c>
      <c r="C2157" s="1" t="s">
        <v>62</v>
      </c>
      <c r="D2157" s="1" t="s">
        <v>41</v>
      </c>
      <c r="E2157" s="3">
        <v>5107000</v>
      </c>
      <c r="F2157" s="1">
        <v>2184.3455945252299</v>
      </c>
      <c r="H2157" s="1">
        <v>3</v>
      </c>
      <c r="J2157" s="1">
        <v>3</v>
      </c>
      <c r="K2157" s="1">
        <v>3</v>
      </c>
      <c r="M2157" s="4">
        <v>2338</v>
      </c>
      <c r="N2157" s="1">
        <v>3134</v>
      </c>
      <c r="O2157" s="1">
        <v>7332</v>
      </c>
      <c r="P2157" s="1">
        <v>4198</v>
      </c>
      <c r="Q2157" s="1" t="s">
        <v>42</v>
      </c>
      <c r="S2157" s="1" t="s">
        <v>42</v>
      </c>
      <c r="T2157" s="1" t="s">
        <v>273</v>
      </c>
      <c r="AA2157" s="1">
        <v>5107000</v>
      </c>
      <c r="AB2157" s="1" t="s">
        <v>1217</v>
      </c>
      <c r="AC2157" s="5">
        <v>44315</v>
      </c>
      <c r="AF2157" s="1">
        <v>10011</v>
      </c>
      <c r="AI2157" s="1" t="s">
        <v>101</v>
      </c>
      <c r="AJ2157" s="1">
        <v>2017</v>
      </c>
      <c r="AK2157" s="1" t="s">
        <v>49</v>
      </c>
      <c r="AL2157" s="1">
        <v>14</v>
      </c>
    </row>
    <row r="2158" spans="1:38" x14ac:dyDescent="0.2">
      <c r="A2158" s="2" t="str">
        <f>HYPERLINK("https://www.compass.com/listing/514-west-24th-street-unit-5w-manhattan-ny-10011/822517374497156713/","514 W 24th St, Unit 5W")</f>
        <v>514 W 24th St, Unit 5W</v>
      </c>
      <c r="B2158" s="2" t="str">
        <f t="shared" si="345"/>
        <v>The Fitzroy</v>
      </c>
      <c r="C2158" s="1" t="s">
        <v>62</v>
      </c>
      <c r="D2158" s="1" t="s">
        <v>41</v>
      </c>
      <c r="E2158" s="3">
        <v>4500000</v>
      </c>
      <c r="F2158" s="1">
        <v>1924.7219846022199</v>
      </c>
      <c r="H2158" s="1">
        <v>3</v>
      </c>
      <c r="J2158" s="1">
        <v>3</v>
      </c>
      <c r="K2158" s="1">
        <v>3</v>
      </c>
      <c r="M2158" s="4">
        <v>2338</v>
      </c>
      <c r="N2158" s="1">
        <v>3104</v>
      </c>
      <c r="O2158" s="1">
        <v>5930</v>
      </c>
      <c r="P2158" s="1">
        <v>2826</v>
      </c>
      <c r="Q2158" s="1" t="s">
        <v>42</v>
      </c>
      <c r="S2158" s="1" t="s">
        <v>42</v>
      </c>
      <c r="T2158" s="1" t="s">
        <v>273</v>
      </c>
      <c r="AA2158" s="1">
        <v>4500000</v>
      </c>
      <c r="AB2158" s="1" t="s">
        <v>1218</v>
      </c>
      <c r="AC2158" s="5">
        <v>44246</v>
      </c>
      <c r="AF2158" s="1">
        <v>10011</v>
      </c>
      <c r="AI2158" s="1" t="s">
        <v>101</v>
      </c>
      <c r="AJ2158" s="1">
        <v>2017</v>
      </c>
      <c r="AK2158" s="1" t="s">
        <v>49</v>
      </c>
      <c r="AL2158" s="1">
        <v>14</v>
      </c>
    </row>
    <row r="2159" spans="1:38" x14ac:dyDescent="0.2">
      <c r="A2159" s="2" t="str">
        <f>HYPERLINK("https://www.compass.com/listing/45-east-22nd-street-unit-11a-manhattan-ny-10010/385922947890775345/","45 E 22nd St, Unit 11A")</f>
        <v>45 E 22nd St, Unit 11A</v>
      </c>
      <c r="B2159" s="2" t="str">
        <f>HYPERLINK("https://www.compass.com/building/madison-square-park-tower-manhattan-ny/281903584482705973/","Madison Square Park Tower")</f>
        <v>Madison Square Park Tower</v>
      </c>
      <c r="C2159" s="1" t="s">
        <v>56</v>
      </c>
      <c r="D2159" s="1" t="s">
        <v>41</v>
      </c>
      <c r="E2159" s="3">
        <v>2647450</v>
      </c>
      <c r="F2159" s="1">
        <v>1870.98939929328</v>
      </c>
      <c r="M2159" s="4">
        <v>1415</v>
      </c>
      <c r="Q2159" s="1" t="s">
        <v>42</v>
      </c>
      <c r="S2159" s="1" t="s">
        <v>42</v>
      </c>
      <c r="T2159" s="1" t="s">
        <v>273</v>
      </c>
      <c r="AA2159" s="1">
        <v>2647450</v>
      </c>
      <c r="AB2159" s="1" t="s">
        <v>1219</v>
      </c>
      <c r="AC2159" s="5">
        <v>43776</v>
      </c>
      <c r="AF2159" s="1">
        <v>10010</v>
      </c>
      <c r="AI2159" s="1" t="s">
        <v>48</v>
      </c>
      <c r="AJ2159" s="1">
        <v>2016</v>
      </c>
      <c r="AK2159" s="1" t="s">
        <v>49</v>
      </c>
      <c r="AL2159" s="1">
        <v>83</v>
      </c>
    </row>
    <row r="2160" spans="1:38" x14ac:dyDescent="0.2">
      <c r="A2160" s="2" t="str">
        <f>HYPERLINK("https://www.compass.com/listing/64-east-1st-street-unit-3-manhattan-ny-10003/50870853637783457/","64 E 1st St, Unit 3")</f>
        <v>64 E 1st St, Unit 3</v>
      </c>
      <c r="B2160" s="2" t="str">
        <f>HYPERLINK("https://www.compass.com/building/64-e-1st-st-manhattan-ny-10003/281894416707231061/","64 E 1st St")</f>
        <v>64 E 1st St</v>
      </c>
      <c r="C2160" s="1" t="s">
        <v>71</v>
      </c>
      <c r="D2160" s="1" t="s">
        <v>41</v>
      </c>
      <c r="E2160" s="3">
        <v>3390773</v>
      </c>
      <c r="F2160" s="1">
        <v>1876.46541228555</v>
      </c>
      <c r="G2160" s="1">
        <v>5</v>
      </c>
      <c r="H2160" s="1">
        <v>2</v>
      </c>
      <c r="I2160" s="1">
        <v>3</v>
      </c>
      <c r="J2160" s="1">
        <v>2.5</v>
      </c>
      <c r="M2160" s="4">
        <v>1807</v>
      </c>
      <c r="N2160" s="1">
        <v>1598</v>
      </c>
      <c r="O2160" s="1">
        <v>3801</v>
      </c>
      <c r="P2160" s="1">
        <v>2203</v>
      </c>
      <c r="Q2160" s="1" t="s">
        <v>42</v>
      </c>
      <c r="S2160" s="1" t="s">
        <v>42</v>
      </c>
      <c r="T2160" s="1" t="s">
        <v>273</v>
      </c>
      <c r="U2160" s="1">
        <v>126</v>
      </c>
      <c r="V2160" s="5">
        <v>43665</v>
      </c>
      <c r="W2160" s="5">
        <v>42627</v>
      </c>
      <c r="X2160" s="1">
        <v>3330000</v>
      </c>
      <c r="Y2160" s="1">
        <v>3330000</v>
      </c>
      <c r="Z2160" s="5">
        <v>42753</v>
      </c>
      <c r="AA2160" s="1">
        <v>3390773</v>
      </c>
      <c r="AB2160" s="1" t="s">
        <v>1220</v>
      </c>
      <c r="AC2160" s="5">
        <v>42917</v>
      </c>
      <c r="AF2160" s="1">
        <v>10003</v>
      </c>
      <c r="AI2160" s="1" t="s">
        <v>133</v>
      </c>
      <c r="AJ2160" s="1">
        <v>2017</v>
      </c>
      <c r="AK2160" s="1" t="s">
        <v>75</v>
      </c>
      <c r="AL2160" s="1">
        <v>6</v>
      </c>
    </row>
    <row r="2161" spans="1:38" x14ac:dyDescent="0.2">
      <c r="A2161" s="2" t="str">
        <f>HYPERLINK("https://www.compass.com/listing/498-west-end-avenue-unit-10b-manhattan-ny-10024/45531179008497873/","498 W End Ave, Unit 10B")</f>
        <v>498 W End Ave, Unit 10B</v>
      </c>
      <c r="B2161" s="2" t="str">
        <f>HYPERLINK("https://www.compass.com/building/498-w-end-ave-manhattan-ny-10024/281925430842268789/","498 W End Ave")</f>
        <v>498 W End Ave</v>
      </c>
      <c r="C2161" s="1" t="s">
        <v>57</v>
      </c>
      <c r="D2161" s="1" t="s">
        <v>41</v>
      </c>
      <c r="E2161" s="3">
        <v>4625000</v>
      </c>
      <c r="F2161" s="1">
        <v>2165.2621722846402</v>
      </c>
      <c r="G2161" s="1">
        <v>5</v>
      </c>
      <c r="H2161" s="1">
        <v>3</v>
      </c>
      <c r="I2161" s="1">
        <v>3</v>
      </c>
      <c r="J2161" s="1">
        <v>3</v>
      </c>
      <c r="K2161" s="1">
        <v>3</v>
      </c>
      <c r="M2161" s="4">
        <v>2136</v>
      </c>
      <c r="N2161" s="1">
        <v>2035</v>
      </c>
      <c r="O2161" s="1">
        <v>3866</v>
      </c>
      <c r="P2161" s="1">
        <v>1831</v>
      </c>
      <c r="Q2161" s="1" t="s">
        <v>42</v>
      </c>
      <c r="S2161" s="1" t="s">
        <v>42</v>
      </c>
      <c r="T2161" s="1" t="s">
        <v>273</v>
      </c>
      <c r="U2161" s="1">
        <v>15</v>
      </c>
      <c r="V2161" s="5">
        <v>43678</v>
      </c>
      <c r="W2161" s="5">
        <v>43315</v>
      </c>
      <c r="X2161" s="1">
        <v>4795000</v>
      </c>
      <c r="Y2161" s="1">
        <v>4795000</v>
      </c>
      <c r="Z2161" s="5">
        <v>43330</v>
      </c>
      <c r="AA2161" s="1">
        <v>4625000</v>
      </c>
      <c r="AB2161" s="1" t="s">
        <v>1221</v>
      </c>
      <c r="AC2161" s="5">
        <v>43383</v>
      </c>
      <c r="AF2161" s="1">
        <v>10024</v>
      </c>
      <c r="AJ2161" s="1">
        <v>1912</v>
      </c>
      <c r="AK2161" s="1" t="s">
        <v>46</v>
      </c>
      <c r="AL2161" s="1">
        <v>19</v>
      </c>
    </row>
    <row r="2162" spans="1:38" x14ac:dyDescent="0.2">
      <c r="A2162" s="2" t="str">
        <f>HYPERLINK("https://www.compass.com/listing/64-east-1st-street-unit-ph-manhattan-ny-10003/70918821443107873/","64 E 1st St, Unit PH")</f>
        <v>64 E 1st St, Unit PH</v>
      </c>
      <c r="B2162" s="2" t="str">
        <f>HYPERLINK("https://www.compass.com/building/64-e-1st-st-manhattan-ny-10003/281894416707231061/","64 E 1st St")</f>
        <v>64 E 1st St</v>
      </c>
      <c r="C2162" s="1" t="s">
        <v>71</v>
      </c>
      <c r="D2162" s="1" t="s">
        <v>41</v>
      </c>
      <c r="E2162" s="3">
        <v>3968584</v>
      </c>
      <c r="F2162" s="1">
        <v>1941.57729941291</v>
      </c>
      <c r="G2162" s="1">
        <v>5</v>
      </c>
      <c r="H2162" s="1">
        <v>3</v>
      </c>
      <c r="I2162" s="1">
        <v>3</v>
      </c>
      <c r="J2162" s="1">
        <v>2.5</v>
      </c>
      <c r="M2162" s="4">
        <v>2044</v>
      </c>
      <c r="N2162" s="1">
        <v>2007</v>
      </c>
      <c r="O2162" s="1">
        <v>4774</v>
      </c>
      <c r="P2162" s="1">
        <v>2767</v>
      </c>
      <c r="Q2162" s="1" t="s">
        <v>42</v>
      </c>
      <c r="S2162" s="1" t="s">
        <v>42</v>
      </c>
      <c r="T2162" s="1" t="s">
        <v>273</v>
      </c>
      <c r="U2162" s="1">
        <v>105</v>
      </c>
      <c r="V2162" s="5">
        <v>43665</v>
      </c>
      <c r="W2162" s="5">
        <v>42329</v>
      </c>
      <c r="X2162" s="1">
        <v>3895000</v>
      </c>
      <c r="Y2162" s="1">
        <v>3895000</v>
      </c>
      <c r="Z2162" s="5">
        <v>42434</v>
      </c>
      <c r="AA2162" s="1">
        <v>3968584</v>
      </c>
      <c r="AB2162" s="1" t="s">
        <v>1222</v>
      </c>
      <c r="AC2162" s="5">
        <v>42929</v>
      </c>
      <c r="AF2162" s="1">
        <v>10003</v>
      </c>
      <c r="AI2162" s="1" t="s">
        <v>1223</v>
      </c>
      <c r="AJ2162" s="1">
        <v>2017</v>
      </c>
      <c r="AL2162" s="1">
        <v>6</v>
      </c>
    </row>
    <row r="2163" spans="1:38" x14ac:dyDescent="0.2">
      <c r="A2163" s="2" t="str">
        <f>HYPERLINK("https://www.compass.com/listing/21-east-12th-street-unit-21a-manhattan-ny-10003/29514923478375057/","21 E 12th St, Unit 21A")</f>
        <v>21 E 12th St, Unit 21A</v>
      </c>
      <c r="B2163" s="2" t="str">
        <f t="shared" ref="B2163:B2166" si="346">HYPERLINK("https://www.compass.com/building/21-east-12th-street-manhattan-ny/292779727154847925/","21 East 12th Street")</f>
        <v>21 East 12th Street</v>
      </c>
      <c r="C2163" s="1" t="s">
        <v>277</v>
      </c>
      <c r="D2163" s="1" t="s">
        <v>41</v>
      </c>
      <c r="E2163" s="3">
        <v>8875000</v>
      </c>
      <c r="F2163" s="1">
        <v>3312.8032848077601</v>
      </c>
      <c r="G2163" s="1">
        <v>6</v>
      </c>
      <c r="H2163" s="1">
        <v>4</v>
      </c>
      <c r="I2163" s="1">
        <v>5</v>
      </c>
      <c r="J2163" s="1">
        <v>4.5</v>
      </c>
      <c r="K2163" s="1">
        <v>4</v>
      </c>
      <c r="L2163" s="1">
        <v>1</v>
      </c>
      <c r="M2163" s="4">
        <v>2679</v>
      </c>
      <c r="N2163" s="1">
        <v>3493</v>
      </c>
      <c r="O2163" s="1">
        <v>8830</v>
      </c>
      <c r="P2163" s="1">
        <v>5337</v>
      </c>
      <c r="Q2163" s="1" t="s">
        <v>42</v>
      </c>
      <c r="S2163" s="1" t="s">
        <v>42</v>
      </c>
      <c r="T2163" s="1" t="s">
        <v>273</v>
      </c>
      <c r="V2163" s="5">
        <v>43752</v>
      </c>
      <c r="W2163" s="5">
        <v>42886</v>
      </c>
      <c r="X2163" s="1">
        <v>9100000</v>
      </c>
      <c r="Y2163" s="1">
        <v>9350000</v>
      </c>
      <c r="Z2163" s="5">
        <v>42886</v>
      </c>
      <c r="AA2163" s="1">
        <v>8875000</v>
      </c>
      <c r="AB2163" s="1" t="s">
        <v>275</v>
      </c>
      <c r="AC2163" s="5">
        <v>43746</v>
      </c>
      <c r="AF2163" s="1">
        <v>10003</v>
      </c>
      <c r="AI2163" s="1" t="s">
        <v>80</v>
      </c>
      <c r="AJ2163" s="1">
        <v>2018</v>
      </c>
      <c r="AK2163" s="1" t="s">
        <v>125</v>
      </c>
      <c r="AL2163" s="1">
        <v>52</v>
      </c>
    </row>
    <row r="2164" spans="1:38" x14ac:dyDescent="0.2">
      <c r="A2164" s="2" t="str">
        <f>HYPERLINK("https://www.compass.com/listing/21-east-12th-street-unit-19a-manhattan-ny-10003/29514923805558113/","21 E 12th St, Unit 19A")</f>
        <v>21 E 12th St, Unit 19A</v>
      </c>
      <c r="B2164" s="2" t="str">
        <f t="shared" si="346"/>
        <v>21 East 12th Street</v>
      </c>
      <c r="C2164" s="1" t="s">
        <v>277</v>
      </c>
      <c r="D2164" s="1" t="s">
        <v>41</v>
      </c>
      <c r="E2164" s="3">
        <v>8691498</v>
      </c>
      <c r="F2164" s="1">
        <v>3244.30683090705</v>
      </c>
      <c r="G2164" s="1">
        <v>6</v>
      </c>
      <c r="H2164" s="1">
        <v>4</v>
      </c>
      <c r="I2164" s="1">
        <v>5</v>
      </c>
      <c r="J2164" s="1">
        <v>4.5</v>
      </c>
      <c r="K2164" s="1">
        <v>4</v>
      </c>
      <c r="L2164" s="1">
        <v>1</v>
      </c>
      <c r="M2164" s="4">
        <v>2679</v>
      </c>
      <c r="N2164" s="1">
        <v>3493</v>
      </c>
      <c r="O2164" s="1">
        <v>8830</v>
      </c>
      <c r="P2164" s="1">
        <v>5337</v>
      </c>
      <c r="Q2164" s="1" t="s">
        <v>42</v>
      </c>
      <c r="S2164" s="1" t="s">
        <v>42</v>
      </c>
      <c r="T2164" s="1" t="s">
        <v>273</v>
      </c>
      <c r="U2164" s="1">
        <v>17</v>
      </c>
      <c r="V2164" s="5">
        <v>43669</v>
      </c>
      <c r="W2164" s="5">
        <v>42873</v>
      </c>
      <c r="X2164" s="1">
        <v>8600000</v>
      </c>
      <c r="Y2164" s="1">
        <v>8850000</v>
      </c>
      <c r="Z2164" s="5">
        <v>42890</v>
      </c>
      <c r="AA2164" s="1">
        <v>8691498</v>
      </c>
      <c r="AB2164" s="1" t="s">
        <v>1224</v>
      </c>
      <c r="AC2164" s="5">
        <v>43656</v>
      </c>
      <c r="AF2164" s="1">
        <v>10003</v>
      </c>
      <c r="AI2164" s="1" t="s">
        <v>80</v>
      </c>
      <c r="AJ2164" s="1">
        <v>2018</v>
      </c>
      <c r="AK2164" s="1" t="s">
        <v>125</v>
      </c>
      <c r="AL2164" s="1">
        <v>52</v>
      </c>
    </row>
    <row r="2165" spans="1:38" x14ac:dyDescent="0.2">
      <c r="A2165" s="2" t="str">
        <f>HYPERLINK("https://www.compass.com/listing/21-east-12th-street-unit-20a-manhattan-ny-10003/29514925642663361/","21 E 12th St, Unit 20A")</f>
        <v>21 E 12th St, Unit 20A</v>
      </c>
      <c r="B2165" s="2" t="str">
        <f t="shared" si="346"/>
        <v>21 East 12th Street</v>
      </c>
      <c r="C2165" s="1" t="s">
        <v>277</v>
      </c>
      <c r="D2165" s="1" t="s">
        <v>41</v>
      </c>
      <c r="E2165" s="3">
        <v>8721027</v>
      </c>
      <c r="F2165" s="1">
        <v>3255.3292273236202</v>
      </c>
      <c r="G2165" s="1">
        <v>6</v>
      </c>
      <c r="H2165" s="1">
        <v>4</v>
      </c>
      <c r="I2165" s="1">
        <v>5</v>
      </c>
      <c r="J2165" s="1">
        <v>4.5</v>
      </c>
      <c r="K2165" s="1">
        <v>4</v>
      </c>
      <c r="L2165" s="1">
        <v>1</v>
      </c>
      <c r="M2165" s="4">
        <v>2679</v>
      </c>
      <c r="N2165" s="1">
        <v>3493</v>
      </c>
      <c r="O2165" s="1">
        <v>8830</v>
      </c>
      <c r="P2165" s="1">
        <v>5337</v>
      </c>
      <c r="Q2165" s="1" t="s">
        <v>42</v>
      </c>
      <c r="S2165" s="1" t="s">
        <v>42</v>
      </c>
      <c r="T2165" s="1" t="s">
        <v>273</v>
      </c>
      <c r="U2165" s="1">
        <v>224</v>
      </c>
      <c r="V2165" s="5">
        <v>43710</v>
      </c>
      <c r="W2165" s="5">
        <v>42591</v>
      </c>
      <c r="X2165" s="1">
        <v>8750000</v>
      </c>
      <c r="Y2165" s="1">
        <v>9100000</v>
      </c>
      <c r="Z2165" s="5">
        <v>42815</v>
      </c>
      <c r="AA2165" s="1">
        <v>8721027</v>
      </c>
      <c r="AB2165" s="1" t="s">
        <v>1225</v>
      </c>
      <c r="AC2165" s="5">
        <v>43699</v>
      </c>
      <c r="AF2165" s="1">
        <v>10003</v>
      </c>
      <c r="AI2165" s="1" t="s">
        <v>80</v>
      </c>
      <c r="AJ2165" s="1">
        <v>2018</v>
      </c>
      <c r="AK2165" s="1" t="s">
        <v>125</v>
      </c>
      <c r="AL2165" s="1">
        <v>52</v>
      </c>
    </row>
    <row r="2166" spans="1:38" x14ac:dyDescent="0.2">
      <c r="A2166" s="2" t="str">
        <f>HYPERLINK("https://www.compass.com/listing/21-east-12th-street-unit-18a-manhattan-ny-10003/803376250991129697/","21 E 12th St, Unit 18A")</f>
        <v>21 E 12th St, Unit 18A</v>
      </c>
      <c r="B2166" s="2" t="str">
        <f t="shared" si="346"/>
        <v>21 East 12th Street</v>
      </c>
      <c r="C2166" s="1" t="s">
        <v>277</v>
      </c>
      <c r="D2166" s="1" t="s">
        <v>41</v>
      </c>
      <c r="E2166" s="3">
        <v>8589329</v>
      </c>
      <c r="F2166" s="1">
        <v>3206.1697275102601</v>
      </c>
      <c r="G2166" s="1">
        <v>6</v>
      </c>
      <c r="H2166" s="1">
        <v>4</v>
      </c>
      <c r="I2166" s="1">
        <v>5</v>
      </c>
      <c r="J2166" s="1">
        <v>4.5</v>
      </c>
      <c r="K2166" s="1">
        <v>4</v>
      </c>
      <c r="L2166" s="1">
        <v>1</v>
      </c>
      <c r="M2166" s="4">
        <v>2679</v>
      </c>
      <c r="N2166" s="1">
        <v>3493</v>
      </c>
      <c r="O2166" s="1">
        <v>8830</v>
      </c>
      <c r="P2166" s="1">
        <v>5337</v>
      </c>
      <c r="Q2166" s="1" t="s">
        <v>42</v>
      </c>
      <c r="S2166" s="1" t="s">
        <v>42</v>
      </c>
      <c r="T2166" s="1" t="s">
        <v>273</v>
      </c>
      <c r="U2166" s="1">
        <v>170</v>
      </c>
      <c r="V2166" s="5">
        <v>43672</v>
      </c>
      <c r="W2166" s="5">
        <v>42814</v>
      </c>
      <c r="X2166" s="1">
        <v>8350000</v>
      </c>
      <c r="Y2166" s="1">
        <v>8600000</v>
      </c>
      <c r="Z2166" s="5">
        <v>42985</v>
      </c>
      <c r="AA2166" s="1">
        <v>8589328.6999999993</v>
      </c>
      <c r="AB2166" s="1" t="s">
        <v>1205</v>
      </c>
      <c r="AC2166" s="5">
        <v>43670</v>
      </c>
      <c r="AF2166" s="1">
        <v>10003</v>
      </c>
      <c r="AI2166" s="1" t="s">
        <v>80</v>
      </c>
      <c r="AJ2166" s="1">
        <v>2018</v>
      </c>
      <c r="AK2166" s="1" t="s">
        <v>125</v>
      </c>
      <c r="AL2166" s="1">
        <v>52</v>
      </c>
    </row>
    <row r="2167" spans="1:38" x14ac:dyDescent="0.2">
      <c r="A2167" s="2" t="str">
        <f>HYPERLINK("https://www.compass.com/listing/100-west-80th-street-unit-5b-manhattan-ny-10024/29399450724169249/","100 W 80th St, Unit 5B")</f>
        <v>100 W 80th St, Unit 5B</v>
      </c>
      <c r="B2167" s="2" t="str">
        <f t="shared" ref="B2167:B2170" si="347">HYPERLINK("https://www.compass.com/building/the-orleans-manhattan-ny/281961359686577973/","The Orleans")</f>
        <v>The Orleans</v>
      </c>
      <c r="C2167" s="1" t="s">
        <v>57</v>
      </c>
      <c r="D2167" s="1" t="s">
        <v>41</v>
      </c>
      <c r="E2167" s="3">
        <v>5777398</v>
      </c>
      <c r="F2167" s="1">
        <v>2189.2375899962099</v>
      </c>
      <c r="G2167" s="1">
        <v>11</v>
      </c>
      <c r="H2167" s="1">
        <v>5</v>
      </c>
      <c r="I2167" s="1">
        <v>4</v>
      </c>
      <c r="J2167" s="1">
        <v>4</v>
      </c>
      <c r="M2167" s="4">
        <v>2639</v>
      </c>
      <c r="N2167" s="1">
        <v>3981</v>
      </c>
      <c r="O2167" s="1">
        <v>8962</v>
      </c>
      <c r="P2167" s="1">
        <v>4981</v>
      </c>
      <c r="Q2167" s="1" t="s">
        <v>42</v>
      </c>
      <c r="S2167" s="1" t="s">
        <v>42</v>
      </c>
      <c r="T2167" s="1" t="s">
        <v>273</v>
      </c>
      <c r="U2167" s="1">
        <v>100</v>
      </c>
      <c r="V2167" s="5">
        <v>43630</v>
      </c>
      <c r="W2167" s="5">
        <v>42019</v>
      </c>
      <c r="X2167" s="1">
        <v>5673850</v>
      </c>
      <c r="Y2167" s="1">
        <v>5673850</v>
      </c>
      <c r="Z2167" s="5">
        <v>42119</v>
      </c>
      <c r="AA2167" s="1">
        <v>5777398</v>
      </c>
      <c r="AB2167" s="1" t="s">
        <v>1226</v>
      </c>
      <c r="AC2167" s="5">
        <v>42206</v>
      </c>
      <c r="AF2167" s="1">
        <v>10024</v>
      </c>
      <c r="AJ2167" s="1">
        <v>1900</v>
      </c>
      <c r="AK2167" s="1" t="s">
        <v>55</v>
      </c>
      <c r="AL2167" s="1">
        <v>24</v>
      </c>
    </row>
    <row r="2168" spans="1:38" x14ac:dyDescent="0.2">
      <c r="A2168" s="2" t="str">
        <f>HYPERLINK("https://www.compass.com/listing/100-west-80th-street-unit-6b-manhattan-ny-10024/29399451504293505/","100 W 80th St, Unit 6B")</f>
        <v>100 W 80th St, Unit 6B</v>
      </c>
      <c r="B2168" s="2" t="str">
        <f t="shared" si="347"/>
        <v>The Orleans</v>
      </c>
      <c r="C2168" s="1" t="s">
        <v>57</v>
      </c>
      <c r="D2168" s="1" t="s">
        <v>41</v>
      </c>
      <c r="E2168" s="3">
        <v>5911757</v>
      </c>
      <c r="F2168" s="1">
        <v>2240.1504357711201</v>
      </c>
      <c r="G2168" s="1">
        <v>11</v>
      </c>
      <c r="H2168" s="1">
        <v>5</v>
      </c>
      <c r="I2168" s="1">
        <v>4</v>
      </c>
      <c r="J2168" s="1">
        <v>4</v>
      </c>
      <c r="M2168" s="4">
        <v>2639</v>
      </c>
      <c r="N2168" s="1">
        <v>3981</v>
      </c>
      <c r="O2168" s="1">
        <v>8962</v>
      </c>
      <c r="P2168" s="1">
        <v>4981</v>
      </c>
      <c r="Q2168" s="1" t="s">
        <v>42</v>
      </c>
      <c r="S2168" s="1" t="s">
        <v>42</v>
      </c>
      <c r="T2168" s="1" t="s">
        <v>273</v>
      </c>
      <c r="U2168" s="1">
        <v>272</v>
      </c>
      <c r="V2168" s="5">
        <v>43624</v>
      </c>
      <c r="W2168" s="5">
        <v>41899</v>
      </c>
      <c r="X2168" s="1">
        <v>5805800</v>
      </c>
      <c r="Y2168" s="1">
        <v>5805800</v>
      </c>
      <c r="Z2168" s="5">
        <v>42171</v>
      </c>
      <c r="AA2168" s="1">
        <v>5911757</v>
      </c>
      <c r="AB2168" s="1" t="s">
        <v>1227</v>
      </c>
      <c r="AC2168" s="5">
        <v>42223</v>
      </c>
      <c r="AF2168" s="1">
        <v>10024</v>
      </c>
      <c r="AJ2168" s="1">
        <v>1900</v>
      </c>
      <c r="AK2168" s="1" t="s">
        <v>55</v>
      </c>
      <c r="AL2168" s="1">
        <v>24</v>
      </c>
    </row>
    <row r="2169" spans="1:38" x14ac:dyDescent="0.2">
      <c r="A2169" s="2" t="str">
        <f>HYPERLINK("https://www.compass.com/listing/100-west-80th-street-unit-7b-manhattan-ny-10024/29399452259230353/","100 W 80th St, Unit 7B")</f>
        <v>100 W 80th St, Unit 7B</v>
      </c>
      <c r="B2169" s="2" t="str">
        <f t="shared" si="347"/>
        <v>The Orleans</v>
      </c>
      <c r="C2169" s="1" t="s">
        <v>57</v>
      </c>
      <c r="D2169" s="1" t="s">
        <v>41</v>
      </c>
      <c r="E2169" s="3">
        <v>5938629</v>
      </c>
      <c r="F2169" s="1">
        <v>2250.3330807123898</v>
      </c>
      <c r="G2169" s="1">
        <v>11</v>
      </c>
      <c r="H2169" s="1">
        <v>5</v>
      </c>
      <c r="I2169" s="1">
        <v>4</v>
      </c>
      <c r="J2169" s="1">
        <v>4</v>
      </c>
      <c r="M2169" s="4">
        <v>2639</v>
      </c>
      <c r="N2169" s="1">
        <v>3981</v>
      </c>
      <c r="O2169" s="1">
        <v>8962</v>
      </c>
      <c r="P2169" s="1">
        <v>4981</v>
      </c>
      <c r="Q2169" s="1" t="s">
        <v>42</v>
      </c>
      <c r="S2169" s="1" t="s">
        <v>42</v>
      </c>
      <c r="T2169" s="1" t="s">
        <v>273</v>
      </c>
      <c r="U2169" s="1">
        <v>1</v>
      </c>
      <c r="V2169" s="5">
        <v>43623</v>
      </c>
      <c r="W2169" s="5">
        <v>41969</v>
      </c>
      <c r="X2169" s="1">
        <v>5832190</v>
      </c>
      <c r="Y2169" s="1">
        <v>5832190</v>
      </c>
      <c r="Z2169" s="5">
        <v>41970</v>
      </c>
      <c r="AA2169" s="1">
        <v>5938629</v>
      </c>
      <c r="AB2169" s="1" t="s">
        <v>1228</v>
      </c>
      <c r="AC2169" s="5">
        <v>42214</v>
      </c>
      <c r="AF2169" s="1">
        <v>10024</v>
      </c>
      <c r="AJ2169" s="1">
        <v>1900</v>
      </c>
      <c r="AK2169" s="1" t="s">
        <v>55</v>
      </c>
      <c r="AL2169" s="1">
        <v>24</v>
      </c>
    </row>
    <row r="2170" spans="1:38" x14ac:dyDescent="0.2">
      <c r="A2170" s="2" t="str">
        <f>HYPERLINK("https://www.compass.com/listing/100-west-80th-street-unit-9bc-manhattan-ny-10024/4845830740505531265/","100 W 80th St, Unit 9BC")</f>
        <v>100 W 80th St, Unit 9BC</v>
      </c>
      <c r="B2170" s="2" t="str">
        <f t="shared" si="347"/>
        <v>The Orleans</v>
      </c>
      <c r="C2170" s="1" t="s">
        <v>57</v>
      </c>
      <c r="D2170" s="1" t="s">
        <v>41</v>
      </c>
      <c r="E2170" s="3">
        <v>5958000</v>
      </c>
      <c r="F2170" s="1">
        <v>2257.67336112163</v>
      </c>
      <c r="G2170" s="1">
        <v>11</v>
      </c>
      <c r="H2170" s="1">
        <v>5</v>
      </c>
      <c r="I2170" s="1">
        <v>4</v>
      </c>
      <c r="J2170" s="1">
        <v>4</v>
      </c>
      <c r="M2170" s="4">
        <v>2639</v>
      </c>
      <c r="N2170" s="1">
        <v>3995</v>
      </c>
      <c r="O2170" s="1">
        <v>8993</v>
      </c>
      <c r="P2170" s="1">
        <v>4998</v>
      </c>
      <c r="Q2170" s="1" t="s">
        <v>42</v>
      </c>
      <c r="S2170" s="1" t="s">
        <v>42</v>
      </c>
      <c r="T2170" s="1" t="s">
        <v>273</v>
      </c>
      <c r="V2170" s="5">
        <v>42277</v>
      </c>
      <c r="W2170" s="5">
        <v>42009</v>
      </c>
      <c r="X2170" s="1">
        <v>5958000</v>
      </c>
      <c r="Y2170" s="1">
        <v>5958000</v>
      </c>
      <c r="Z2170" s="5">
        <v>42010</v>
      </c>
      <c r="AB2170" s="1" t="s">
        <v>275</v>
      </c>
      <c r="AC2170" s="5">
        <v>42277</v>
      </c>
      <c r="AF2170" s="1">
        <v>10024</v>
      </c>
      <c r="AJ2170" s="1">
        <v>1900</v>
      </c>
      <c r="AK2170" s="1" t="s">
        <v>108</v>
      </c>
      <c r="AL2170" s="1">
        <v>24</v>
      </c>
    </row>
    <row r="2171" spans="1:38" x14ac:dyDescent="0.2">
      <c r="A2171" s="2" t="str">
        <f>HYPERLINK("https://www.compass.com/listing/100-barrow-street-unit-ph-manhattan-ny-10014/391344787550124849/","100 Barrow St, Unit PH")</f>
        <v>100 Barrow St, Unit PH</v>
      </c>
      <c r="B2171" s="2" t="str">
        <f>HYPERLINK("https://www.compass.com/building/100-barrow-manhattan-ny/292834978184618837/","100 Barrow")</f>
        <v>100 Barrow</v>
      </c>
      <c r="C2171" s="1" t="s">
        <v>67</v>
      </c>
      <c r="D2171" s="1" t="s">
        <v>41</v>
      </c>
      <c r="E2171" s="3">
        <v>14000000</v>
      </c>
      <c r="F2171" s="1">
        <v>4724.9409382382701</v>
      </c>
      <c r="H2171" s="1">
        <v>3</v>
      </c>
      <c r="I2171" s="1">
        <v>4</v>
      </c>
      <c r="J2171" s="1">
        <v>3.5</v>
      </c>
      <c r="K2171" s="1">
        <v>3</v>
      </c>
      <c r="L2171" s="1">
        <v>1</v>
      </c>
      <c r="M2171" s="4">
        <v>2963</v>
      </c>
      <c r="N2171" s="1">
        <v>8885</v>
      </c>
      <c r="O2171" s="1">
        <v>8885</v>
      </c>
      <c r="S2171" s="1" t="s">
        <v>181</v>
      </c>
      <c r="T2171" s="1" t="s">
        <v>273</v>
      </c>
      <c r="V2171" s="5">
        <v>44247</v>
      </c>
      <c r="AA2171" s="1">
        <v>14000000</v>
      </c>
      <c r="AB2171" s="1" t="s">
        <v>275</v>
      </c>
      <c r="AC2171" s="5">
        <v>43679</v>
      </c>
      <c r="AF2171" s="1">
        <v>10014</v>
      </c>
      <c r="AI2171" s="1" t="s">
        <v>453</v>
      </c>
      <c r="AJ2171" s="1">
        <v>2015</v>
      </c>
      <c r="AK2171" s="1" t="s">
        <v>202</v>
      </c>
      <c r="AL2171" s="1">
        <v>33</v>
      </c>
    </row>
    <row r="2172" spans="1:38" x14ac:dyDescent="0.2">
      <c r="A2172" s="2" t="str">
        <f>HYPERLINK("https://www.compass.com/listing/45-east-22nd-street-unit-61a-manhattan-ny-10010/125052331007010401/","45 E 22nd St, Unit 61A")</f>
        <v>45 E 22nd St, Unit 61A</v>
      </c>
      <c r="B2172" s="2" t="str">
        <f t="shared" ref="B2172:B2174" si="348">HYPERLINK("https://www.compass.com/building/madison-square-park-tower-manhattan-ny/281903584482705973/","Madison Square Park Tower")</f>
        <v>Madison Square Park Tower</v>
      </c>
      <c r="C2172" s="1" t="s">
        <v>56</v>
      </c>
      <c r="D2172" s="1" t="s">
        <v>41</v>
      </c>
      <c r="E2172" s="3">
        <v>19855875</v>
      </c>
      <c r="F2172" s="1">
        <v>4258.1760862105903</v>
      </c>
      <c r="M2172" s="4">
        <v>4663</v>
      </c>
      <c r="Q2172" s="1" t="s">
        <v>42</v>
      </c>
      <c r="S2172" s="1" t="s">
        <v>42</v>
      </c>
      <c r="T2172" s="1" t="s">
        <v>273</v>
      </c>
      <c r="AA2172" s="1">
        <v>19855875.09</v>
      </c>
      <c r="AB2172" s="1" t="s">
        <v>1229</v>
      </c>
      <c r="AC2172" s="5">
        <v>43409</v>
      </c>
      <c r="AF2172" s="1">
        <v>10010</v>
      </c>
      <c r="AI2172" s="1" t="s">
        <v>48</v>
      </c>
      <c r="AJ2172" s="1">
        <v>2016</v>
      </c>
      <c r="AK2172" s="1" t="s">
        <v>49</v>
      </c>
      <c r="AL2172" s="1">
        <v>83</v>
      </c>
    </row>
    <row r="2173" spans="1:38" x14ac:dyDescent="0.2">
      <c r="A2173" s="2" t="str">
        <f>HYPERLINK("https://www.compass.com/listing/45-east-22nd-street-unit-27a-manhattan-ny-10010/29375858233865489/","45 E 22nd St, Unit 27A")</f>
        <v>45 E 22nd St, Unit 27A</v>
      </c>
      <c r="B2173" s="2" t="str">
        <f t="shared" si="348"/>
        <v>Madison Square Park Tower</v>
      </c>
      <c r="C2173" s="1" t="s">
        <v>56</v>
      </c>
      <c r="D2173" s="1" t="s">
        <v>41</v>
      </c>
      <c r="E2173" s="3">
        <v>5758204</v>
      </c>
      <c r="F2173" s="1">
        <v>2965.0894696189398</v>
      </c>
      <c r="M2173" s="4">
        <v>1942</v>
      </c>
      <c r="Q2173" s="1" t="s">
        <v>42</v>
      </c>
      <c r="S2173" s="1" t="s">
        <v>42</v>
      </c>
      <c r="T2173" s="1" t="s">
        <v>273</v>
      </c>
      <c r="AA2173" s="1">
        <v>5758203.75</v>
      </c>
      <c r="AB2173" s="1" t="s">
        <v>1230</v>
      </c>
      <c r="AC2173" s="5">
        <v>42951</v>
      </c>
      <c r="AF2173" s="1">
        <v>10010</v>
      </c>
      <c r="AI2173" s="1" t="s">
        <v>48</v>
      </c>
      <c r="AJ2173" s="1">
        <v>2016</v>
      </c>
      <c r="AK2173" s="1" t="s">
        <v>49</v>
      </c>
      <c r="AL2173" s="1">
        <v>83</v>
      </c>
    </row>
    <row r="2174" spans="1:38" x14ac:dyDescent="0.2">
      <c r="A2174" s="2" t="str">
        <f>HYPERLINK("https://www.compass.com/listing/45-east-22nd-street-unit-59a-manhattan-ny-10010/463489624242110345/","45 E 22nd St, Unit 59A")</f>
        <v>45 E 22nd St, Unit 59A</v>
      </c>
      <c r="B2174" s="2" t="str">
        <f t="shared" si="348"/>
        <v>Madison Square Park Tower</v>
      </c>
      <c r="C2174" s="1" t="s">
        <v>56</v>
      </c>
      <c r="D2174" s="1" t="s">
        <v>41</v>
      </c>
      <c r="E2174" s="3">
        <v>12450000</v>
      </c>
      <c r="F2174" s="1">
        <v>2670.5276705276701</v>
      </c>
      <c r="M2174" s="4">
        <v>4662</v>
      </c>
      <c r="Q2174" s="1" t="s">
        <v>42</v>
      </c>
      <c r="S2174" s="1" t="s">
        <v>42</v>
      </c>
      <c r="T2174" s="1" t="s">
        <v>273</v>
      </c>
      <c r="V2174" s="5">
        <v>44167</v>
      </c>
      <c r="AA2174" s="1">
        <v>12450000</v>
      </c>
      <c r="AB2174" s="1" t="s">
        <v>1231</v>
      </c>
      <c r="AC2174" s="5">
        <v>44358</v>
      </c>
      <c r="AF2174" s="1">
        <v>10010</v>
      </c>
      <c r="AI2174" s="1" t="s">
        <v>48</v>
      </c>
      <c r="AJ2174" s="1">
        <v>2016</v>
      </c>
      <c r="AK2174" s="1" t="s">
        <v>49</v>
      </c>
      <c r="AL2174" s="1">
        <v>83</v>
      </c>
    </row>
    <row r="2175" spans="1:38" x14ac:dyDescent="0.2">
      <c r="A2175" s="2" t="str">
        <f>HYPERLINK("https://www.compass.com/listing/53-greene-street-unit-3-manhattan-ny-10013/191105786603138097/","53 Greene St, Unit 3")</f>
        <v>53 Greene St, Unit 3</v>
      </c>
      <c r="B2175" s="2" t="str">
        <f>HYPERLINK("https://www.compass.com/building/53-greene-st-manhattan-ny-10013/281920591823407893/","53 Greene St")</f>
        <v>53 Greene St</v>
      </c>
      <c r="C2175" s="1" t="s">
        <v>298</v>
      </c>
      <c r="D2175" s="1" t="s">
        <v>41</v>
      </c>
      <c r="E2175" s="3">
        <v>5600000</v>
      </c>
      <c r="F2175" s="1">
        <v>2020.9310718152201</v>
      </c>
      <c r="G2175" s="1">
        <v>5</v>
      </c>
      <c r="H2175" s="1">
        <v>2</v>
      </c>
      <c r="I2175" s="1">
        <v>3</v>
      </c>
      <c r="J2175" s="1">
        <v>3</v>
      </c>
      <c r="K2175" s="1">
        <v>3</v>
      </c>
      <c r="M2175" s="4">
        <v>2771</v>
      </c>
      <c r="N2175" s="1">
        <v>2246</v>
      </c>
      <c r="O2175" s="1">
        <v>5643</v>
      </c>
      <c r="P2175" s="1">
        <v>3397</v>
      </c>
      <c r="Q2175" s="1" t="s">
        <v>42</v>
      </c>
      <c r="S2175" s="1" t="s">
        <v>42</v>
      </c>
      <c r="T2175" s="1" t="s">
        <v>273</v>
      </c>
      <c r="U2175" s="1">
        <v>20</v>
      </c>
      <c r="V2175" s="5">
        <v>43644</v>
      </c>
      <c r="W2175" s="5">
        <v>43516</v>
      </c>
      <c r="X2175" s="1">
        <v>5500000</v>
      </c>
      <c r="Y2175" s="1">
        <v>5500000</v>
      </c>
      <c r="Z2175" s="5">
        <v>43536</v>
      </c>
      <c r="AA2175" s="1">
        <v>5600000</v>
      </c>
      <c r="AB2175" s="1" t="s">
        <v>1232</v>
      </c>
      <c r="AC2175" s="5">
        <v>43580</v>
      </c>
      <c r="AF2175" s="1">
        <v>10013</v>
      </c>
      <c r="AJ2175" s="1">
        <v>2014</v>
      </c>
      <c r="AK2175" s="1" t="s">
        <v>75</v>
      </c>
      <c r="AL2175" s="1">
        <v>5</v>
      </c>
    </row>
    <row r="2176" spans="1:38" x14ac:dyDescent="0.2">
      <c r="A2176" s="2" t="str">
        <f>HYPERLINK("https://www.compass.com/listing/100-west-80th-street-unit-8b-manhattan-ny-10024/29399453039425489/","100 W 80th St, Unit 8B")</f>
        <v>100 W 80th St, Unit 8B</v>
      </c>
      <c r="B2176" s="2" t="str">
        <f>HYPERLINK("https://www.compass.com/building/the-orleans-manhattan-ny/281961359686577973/","The Orleans")</f>
        <v>The Orleans</v>
      </c>
      <c r="C2176" s="1" t="s">
        <v>57</v>
      </c>
      <c r="D2176" s="1" t="s">
        <v>41</v>
      </c>
      <c r="E2176" s="3">
        <v>5978936</v>
      </c>
      <c r="F2176" s="1">
        <v>2265.60666919287</v>
      </c>
      <c r="G2176" s="1">
        <v>11</v>
      </c>
      <c r="H2176" s="1">
        <v>5</v>
      </c>
      <c r="I2176" s="1">
        <v>4</v>
      </c>
      <c r="J2176" s="1">
        <v>4</v>
      </c>
      <c r="M2176" s="4">
        <v>2639</v>
      </c>
      <c r="N2176" s="1">
        <v>3981</v>
      </c>
      <c r="O2176" s="1">
        <v>8962</v>
      </c>
      <c r="P2176" s="1">
        <v>4981</v>
      </c>
      <c r="Q2176" s="1" t="s">
        <v>42</v>
      </c>
      <c r="S2176" s="1" t="s">
        <v>42</v>
      </c>
      <c r="T2176" s="1" t="s">
        <v>273</v>
      </c>
      <c r="U2176" s="1">
        <v>14</v>
      </c>
      <c r="V2176" s="5">
        <v>43630</v>
      </c>
      <c r="W2176" s="5">
        <v>42110</v>
      </c>
      <c r="X2176" s="1">
        <v>5871775</v>
      </c>
      <c r="Y2176" s="1">
        <v>5871775</v>
      </c>
      <c r="Z2176" s="5">
        <v>42124</v>
      </c>
      <c r="AA2176" s="1">
        <v>5978936</v>
      </c>
      <c r="AB2176" s="1" t="s">
        <v>1233</v>
      </c>
      <c r="AC2176" s="5">
        <v>42214</v>
      </c>
      <c r="AF2176" s="1">
        <v>10024</v>
      </c>
      <c r="AJ2176" s="1">
        <v>1900</v>
      </c>
      <c r="AK2176" s="1" t="s">
        <v>55</v>
      </c>
      <c r="AL2176" s="1">
        <v>24</v>
      </c>
    </row>
    <row r="2177" spans="1:38" x14ac:dyDescent="0.2">
      <c r="A2177" s="2" t="str">
        <f>HYPERLINK("https://www.compass.com/listing/64-east-1st-street-unit-5-manhattan-ny-10003/546989329447495817/","64 E 1st St, Unit 5")</f>
        <v>64 E 1st St, Unit 5</v>
      </c>
      <c r="B2177" s="2" t="str">
        <f t="shared" ref="B2177:B2179" si="349">HYPERLINK("https://www.compass.com/building/64-e-1st-st-manhattan-ny-10003/281894416707231061/","64 E 1st St")</f>
        <v>64 E 1st St</v>
      </c>
      <c r="C2177" s="1" t="s">
        <v>71</v>
      </c>
      <c r="D2177" s="1" t="s">
        <v>41</v>
      </c>
      <c r="E2177" s="3">
        <v>2800000</v>
      </c>
      <c r="F2177" s="1">
        <v>1549.52960708356</v>
      </c>
      <c r="G2177" s="1">
        <v>5</v>
      </c>
      <c r="H2177" s="1">
        <v>2</v>
      </c>
      <c r="I2177" s="1">
        <v>3</v>
      </c>
      <c r="J2177" s="1">
        <v>2.5</v>
      </c>
      <c r="K2177" s="1">
        <v>2</v>
      </c>
      <c r="L2177" s="1">
        <v>1</v>
      </c>
      <c r="M2177" s="4">
        <v>1807</v>
      </c>
      <c r="N2177" s="1">
        <v>2013</v>
      </c>
      <c r="O2177" s="1">
        <v>5118</v>
      </c>
      <c r="P2177" s="1">
        <v>3105</v>
      </c>
      <c r="Q2177" s="1" t="s">
        <v>42</v>
      </c>
      <c r="S2177" s="1" t="s">
        <v>42</v>
      </c>
      <c r="T2177" s="1" t="s">
        <v>273</v>
      </c>
      <c r="U2177" s="1">
        <v>321</v>
      </c>
      <c r="V2177" s="5">
        <v>44356</v>
      </c>
      <c r="W2177" s="5">
        <v>43999</v>
      </c>
      <c r="Z2177" s="5">
        <v>44328</v>
      </c>
      <c r="AA2177" s="1">
        <v>2800000</v>
      </c>
      <c r="AB2177" s="1" t="s">
        <v>1234</v>
      </c>
      <c r="AC2177" s="5">
        <v>44350</v>
      </c>
      <c r="AF2177" s="1">
        <v>10003</v>
      </c>
      <c r="AI2177" s="1" t="s">
        <v>450</v>
      </c>
      <c r="AJ2177" s="1">
        <v>2017</v>
      </c>
      <c r="AL2177" s="1">
        <v>6</v>
      </c>
    </row>
    <row r="2178" spans="1:38" x14ac:dyDescent="0.2">
      <c r="A2178" s="2" t="str">
        <f>HYPERLINK("https://www.compass.com/listing/64-east-1st-street-unit-2-manhattan-ny-10003/29361794388592593/","64 E 1st St, Unit 2")</f>
        <v>64 E 1st St, Unit 2</v>
      </c>
      <c r="B2178" s="2" t="str">
        <f t="shared" si="349"/>
        <v>64 E 1st St</v>
      </c>
      <c r="C2178" s="1" t="s">
        <v>71</v>
      </c>
      <c r="D2178" s="1" t="s">
        <v>41</v>
      </c>
      <c r="E2178" s="3">
        <v>3057249</v>
      </c>
      <c r="F2178" s="1">
        <v>1691.8920863309299</v>
      </c>
      <c r="G2178" s="1">
        <v>5</v>
      </c>
      <c r="H2178" s="1">
        <v>2</v>
      </c>
      <c r="I2178" s="1">
        <v>3</v>
      </c>
      <c r="J2178" s="1">
        <v>2.5</v>
      </c>
      <c r="K2178" s="1">
        <v>2</v>
      </c>
      <c r="L2178" s="1">
        <v>1</v>
      </c>
      <c r="M2178" s="4">
        <v>1807</v>
      </c>
      <c r="N2178" s="1">
        <v>1598</v>
      </c>
      <c r="O2178" s="1">
        <v>3801</v>
      </c>
      <c r="P2178" s="1">
        <v>2203</v>
      </c>
      <c r="Q2178" s="1" t="s">
        <v>42</v>
      </c>
      <c r="S2178" s="1" t="s">
        <v>42</v>
      </c>
      <c r="T2178" s="1" t="s">
        <v>273</v>
      </c>
      <c r="U2178" s="1">
        <v>815</v>
      </c>
      <c r="V2178" s="5">
        <v>43698</v>
      </c>
      <c r="W2178" s="5">
        <v>42319</v>
      </c>
      <c r="X2178" s="1">
        <v>3299500</v>
      </c>
      <c r="Y2178" s="1">
        <v>2999999</v>
      </c>
      <c r="Z2178" s="5">
        <v>43134</v>
      </c>
      <c r="AA2178" s="1">
        <v>3057249</v>
      </c>
      <c r="AB2178" s="1" t="s">
        <v>1203</v>
      </c>
      <c r="AC2178" s="5">
        <v>43204</v>
      </c>
      <c r="AF2178" s="1">
        <v>10003</v>
      </c>
      <c r="AI2178" s="1" t="s">
        <v>133</v>
      </c>
      <c r="AJ2178" s="1">
        <v>2017</v>
      </c>
      <c r="AK2178" s="1" t="s">
        <v>75</v>
      </c>
      <c r="AL2178" s="1">
        <v>6</v>
      </c>
    </row>
    <row r="2179" spans="1:38" x14ac:dyDescent="0.2">
      <c r="A2179" s="2" t="str">
        <f>HYPERLINK("https://www.compass.com/listing/64-east-1st-street-unit-4-manhattan-ny-10003/50862485783255713/","64 E 1st St, Unit 4")</f>
        <v>64 E 1st St, Unit 4</v>
      </c>
      <c r="B2179" s="2" t="str">
        <f t="shared" si="349"/>
        <v>64 E 1st St</v>
      </c>
      <c r="C2179" s="1" t="s">
        <v>71</v>
      </c>
      <c r="D2179" s="1" t="s">
        <v>41</v>
      </c>
      <c r="E2179" s="3">
        <v>3408546</v>
      </c>
      <c r="F2179" s="1">
        <v>1886.30105146651</v>
      </c>
      <c r="G2179" s="1">
        <v>5</v>
      </c>
      <c r="H2179" s="1">
        <v>2</v>
      </c>
      <c r="I2179" s="1">
        <v>3</v>
      </c>
      <c r="J2179" s="1">
        <v>2.5</v>
      </c>
      <c r="K2179" s="1">
        <v>2</v>
      </c>
      <c r="L2179" s="1">
        <v>1</v>
      </c>
      <c r="M2179" s="4">
        <v>1807</v>
      </c>
      <c r="N2179" s="1">
        <v>1598</v>
      </c>
      <c r="O2179" s="1">
        <v>3801</v>
      </c>
      <c r="P2179" s="1">
        <v>2203</v>
      </c>
      <c r="Q2179" s="1" t="s">
        <v>42</v>
      </c>
      <c r="S2179" s="1" t="s">
        <v>42</v>
      </c>
      <c r="T2179" s="1" t="s">
        <v>273</v>
      </c>
      <c r="U2179" s="1">
        <v>107</v>
      </c>
      <c r="V2179" s="5">
        <v>44338</v>
      </c>
      <c r="W2179" s="5">
        <v>42320</v>
      </c>
      <c r="X2179" s="1">
        <v>3345000</v>
      </c>
      <c r="Y2179" s="1">
        <v>3345000</v>
      </c>
      <c r="Z2179" s="5">
        <v>42427</v>
      </c>
      <c r="AA2179" s="1">
        <v>3408546</v>
      </c>
      <c r="AB2179" s="1" t="s">
        <v>1235</v>
      </c>
      <c r="AC2179" s="5">
        <v>42916</v>
      </c>
      <c r="AF2179" s="1">
        <v>10003</v>
      </c>
      <c r="AI2179" s="1" t="s">
        <v>103</v>
      </c>
      <c r="AJ2179" s="1">
        <v>2017</v>
      </c>
      <c r="AL2179" s="1">
        <v>6</v>
      </c>
    </row>
    <row r="2180" spans="1:38" x14ac:dyDescent="0.2">
      <c r="A2180" s="2" t="str">
        <f>HYPERLINK("https://www.compass.com/listing/63-greene-street-unit-pha-manhattan-ny-10012/300005299947881777/","63 Greene St, Unit PHA")</f>
        <v>63 Greene St, Unit PHA</v>
      </c>
      <c r="B2180" s="2" t="str">
        <f>HYPERLINK("https://www.compass.com/building/63-greene-street-manhattan-ny/292812252044627637/","63 Greene Street")</f>
        <v>63 Greene Street</v>
      </c>
      <c r="C2180" s="1" t="s">
        <v>298</v>
      </c>
      <c r="D2180" s="1" t="s">
        <v>41</v>
      </c>
      <c r="E2180" s="3">
        <v>9450000</v>
      </c>
      <c r="F2180" s="1">
        <v>2627.1893244370299</v>
      </c>
      <c r="G2180" s="1">
        <v>6</v>
      </c>
      <c r="H2180" s="1">
        <v>4</v>
      </c>
      <c r="I2180" s="1">
        <v>4</v>
      </c>
      <c r="J2180" s="1">
        <v>4</v>
      </c>
      <c r="K2180" s="1">
        <v>4</v>
      </c>
      <c r="M2180" s="4">
        <v>3597</v>
      </c>
      <c r="N2180" s="1">
        <v>2929.75</v>
      </c>
      <c r="O2180" s="1">
        <v>11137.35</v>
      </c>
      <c r="P2180" s="1">
        <v>8207.5833333333303</v>
      </c>
      <c r="Q2180" s="1" t="s">
        <v>42</v>
      </c>
      <c r="S2180" s="1" t="s">
        <v>42</v>
      </c>
      <c r="T2180" s="1" t="s">
        <v>273</v>
      </c>
      <c r="U2180" s="1">
        <v>104</v>
      </c>
      <c r="V2180" s="5">
        <v>43854</v>
      </c>
      <c r="W2180" s="5">
        <v>43665</v>
      </c>
      <c r="X2180" s="1">
        <v>10800000</v>
      </c>
      <c r="Y2180" s="1">
        <v>10200000</v>
      </c>
      <c r="Z2180" s="5">
        <v>43769</v>
      </c>
      <c r="AA2180" s="1">
        <v>9450000</v>
      </c>
      <c r="AB2180" s="1" t="s">
        <v>1236</v>
      </c>
      <c r="AC2180" s="5">
        <v>43818</v>
      </c>
      <c r="AF2180" s="1">
        <v>10012</v>
      </c>
      <c r="AI2180" s="1" t="s">
        <v>1155</v>
      </c>
      <c r="AJ2180" s="1">
        <v>1877</v>
      </c>
      <c r="AK2180" s="1" t="s">
        <v>239</v>
      </c>
      <c r="AL2180" s="1">
        <v>23</v>
      </c>
    </row>
    <row r="2181" spans="1:38" x14ac:dyDescent="0.2">
      <c r="A2181" s="2" t="str">
        <f>HYPERLINK("https://www.compass.com/listing/100-west-80th-street-unit-4e-manhattan-ny-10024/617231262811352921/","100 W 80th St, Unit 4E")</f>
        <v>100 W 80th St, Unit 4E</v>
      </c>
      <c r="B2181" s="2" t="str">
        <f>HYPERLINK("https://www.compass.com/building/the-orleans-manhattan-ny/281961359686577973/","The Orleans")</f>
        <v>The Orleans</v>
      </c>
      <c r="C2181" s="1" t="s">
        <v>57</v>
      </c>
      <c r="D2181" s="1" t="s">
        <v>41</v>
      </c>
      <c r="E2181" s="3">
        <v>5238000</v>
      </c>
      <c r="F2181" s="1">
        <v>2014.61538461538</v>
      </c>
      <c r="G2181" s="1">
        <v>8</v>
      </c>
      <c r="H2181" s="1">
        <v>5</v>
      </c>
      <c r="I2181" s="1">
        <v>4</v>
      </c>
      <c r="J2181" s="1">
        <v>4</v>
      </c>
      <c r="K2181" s="1">
        <v>4</v>
      </c>
      <c r="M2181" s="4">
        <v>2600</v>
      </c>
      <c r="N2181" s="1">
        <v>3790</v>
      </c>
      <c r="O2181" s="1">
        <v>8771</v>
      </c>
      <c r="P2181" s="1">
        <v>4981</v>
      </c>
      <c r="Q2181" s="1" t="s">
        <v>42</v>
      </c>
      <c r="S2181" s="1" t="s">
        <v>42</v>
      </c>
      <c r="T2181" s="1" t="s">
        <v>273</v>
      </c>
      <c r="U2181" s="1">
        <v>54</v>
      </c>
      <c r="V2181" s="5">
        <v>44154</v>
      </c>
      <c r="W2181" s="5">
        <v>44074</v>
      </c>
      <c r="X2181" s="1">
        <v>5652000</v>
      </c>
      <c r="Y2181" s="1">
        <v>5652000</v>
      </c>
      <c r="Z2181" s="5">
        <v>44129</v>
      </c>
      <c r="AA2181" s="1">
        <v>5238000</v>
      </c>
      <c r="AB2181" s="1" t="s">
        <v>1237</v>
      </c>
      <c r="AC2181" s="5">
        <v>44147</v>
      </c>
      <c r="AF2181" s="1">
        <v>10024</v>
      </c>
      <c r="AJ2181" s="1">
        <v>1900</v>
      </c>
      <c r="AK2181" s="1" t="s">
        <v>55</v>
      </c>
      <c r="AL2181" s="1">
        <v>24</v>
      </c>
    </row>
    <row r="2182" spans="1:38" x14ac:dyDescent="0.2">
      <c r="A2182" s="2" t="str">
        <f>HYPERLINK("https://www.compass.com/listing/45-east-22nd-street-unit-14c-manhattan-ny-10010/460571043766458489/","45 E 22nd St, Unit 14C")</f>
        <v>45 E 22nd St, Unit 14C</v>
      </c>
      <c r="B2182" s="2" t="str">
        <f t="shared" ref="B2182:B2183" si="350">HYPERLINK("https://www.compass.com/building/madison-square-park-tower-manhattan-ny/281903584482705973/","Madison Square Park Tower")</f>
        <v>Madison Square Park Tower</v>
      </c>
      <c r="C2182" s="1" t="s">
        <v>56</v>
      </c>
      <c r="D2182" s="1" t="s">
        <v>41</v>
      </c>
      <c r="E2182" s="3">
        <v>700000</v>
      </c>
      <c r="F2182" s="1">
        <v>1252.23613595706</v>
      </c>
      <c r="M2182" s="1">
        <v>559</v>
      </c>
      <c r="Q2182" s="1" t="s">
        <v>42</v>
      </c>
      <c r="S2182" s="1" t="s">
        <v>42</v>
      </c>
      <c r="T2182" s="1" t="s">
        <v>273</v>
      </c>
      <c r="AA2182" s="1">
        <v>700000</v>
      </c>
      <c r="AB2182" s="1" t="s">
        <v>1238</v>
      </c>
      <c r="AC2182" s="5">
        <v>43882</v>
      </c>
      <c r="AF2182" s="1">
        <v>10010</v>
      </c>
      <c r="AI2182" s="1" t="s">
        <v>48</v>
      </c>
      <c r="AJ2182" s="1">
        <v>2016</v>
      </c>
      <c r="AK2182" s="1" t="s">
        <v>49</v>
      </c>
      <c r="AL2182" s="1">
        <v>83</v>
      </c>
    </row>
    <row r="2183" spans="1:38" x14ac:dyDescent="0.2">
      <c r="A2183" s="2" t="str">
        <f>HYPERLINK("https://www.compass.com/listing/45-east-22nd-street-unit-14b-manhattan-ny-10010/461293314139231529/","45 E 22nd St, Unit 14B")</f>
        <v>45 E 22nd St, Unit 14B</v>
      </c>
      <c r="B2183" s="2" t="str">
        <f t="shared" si="350"/>
        <v>Madison Square Park Tower</v>
      </c>
      <c r="C2183" s="1" t="s">
        <v>56</v>
      </c>
      <c r="D2183" s="1" t="s">
        <v>41</v>
      </c>
      <c r="E2183" s="3">
        <v>700000</v>
      </c>
      <c r="F2183" s="1">
        <v>1228.07017543859</v>
      </c>
      <c r="M2183" s="1">
        <v>570</v>
      </c>
      <c r="Q2183" s="1" t="s">
        <v>42</v>
      </c>
      <c r="S2183" s="1" t="s">
        <v>42</v>
      </c>
      <c r="T2183" s="1" t="s">
        <v>273</v>
      </c>
      <c r="AA2183" s="1">
        <v>700000</v>
      </c>
      <c r="AB2183" s="1" t="s">
        <v>1239</v>
      </c>
      <c r="AC2183" s="5">
        <v>43882</v>
      </c>
      <c r="AF2183" s="1">
        <v>10010</v>
      </c>
      <c r="AI2183" s="1" t="s">
        <v>48</v>
      </c>
      <c r="AJ2183" s="1">
        <v>2016</v>
      </c>
      <c r="AK2183" s="1" t="s">
        <v>49</v>
      </c>
      <c r="AL2183" s="1">
        <v>83</v>
      </c>
    </row>
    <row r="2184" spans="1:38" x14ac:dyDescent="0.2">
      <c r="A2184" s="2" t="str">
        <f>HYPERLINK("https://www.compass.com/listing/121-east-22nd-street-unit-n303-manhattan-ny-10010/200630834108060513/","121 E 22nd St, Unit N303")</f>
        <v>121 E 22nd St, Unit N303</v>
      </c>
      <c r="B2184" s="2" t="str">
        <f t="shared" ref="B2184:B2185" si="351">HYPERLINK("https://www.compass.com/building/121-e-22nd-manhattan-ny/292795784653461493/","121 E 22nd")</f>
        <v>121 E 22nd</v>
      </c>
      <c r="C2184" s="1" t="s">
        <v>64</v>
      </c>
      <c r="D2184" s="1" t="s">
        <v>41</v>
      </c>
      <c r="E2184" s="3">
        <v>1170988</v>
      </c>
      <c r="F2184" s="1">
        <v>1900.95373376623</v>
      </c>
      <c r="G2184" s="1">
        <v>2</v>
      </c>
      <c r="H2184" s="1" t="s">
        <v>99</v>
      </c>
      <c r="I2184" s="1">
        <v>1</v>
      </c>
      <c r="J2184" s="1">
        <v>1</v>
      </c>
      <c r="K2184" s="1">
        <v>1</v>
      </c>
      <c r="M2184" s="1">
        <v>616</v>
      </c>
      <c r="N2184" s="1">
        <v>638</v>
      </c>
      <c r="O2184" s="1">
        <v>1767</v>
      </c>
      <c r="P2184" s="1">
        <v>1129</v>
      </c>
      <c r="Q2184" s="1" t="s">
        <v>42</v>
      </c>
      <c r="S2184" s="1" t="s">
        <v>42</v>
      </c>
      <c r="T2184" s="1" t="s">
        <v>273</v>
      </c>
      <c r="V2184" s="5">
        <v>44373</v>
      </c>
      <c r="AA2184" s="1">
        <v>1170987.5</v>
      </c>
      <c r="AB2184" s="1" t="s">
        <v>1240</v>
      </c>
      <c r="AC2184" s="5">
        <v>43523</v>
      </c>
      <c r="AF2184" s="1">
        <v>10010</v>
      </c>
      <c r="AI2184" s="1" t="s">
        <v>234</v>
      </c>
      <c r="AJ2184" s="1">
        <v>2016</v>
      </c>
      <c r="AK2184" s="1" t="s">
        <v>108</v>
      </c>
      <c r="AL2184" s="1">
        <v>140</v>
      </c>
    </row>
    <row r="2185" spans="1:38" x14ac:dyDescent="0.2">
      <c r="A2185" s="2" t="str">
        <f>HYPERLINK("https://www.compass.com/listing/121-east-22nd-street-unit-n1003-manhattan-ny-10010/729546862510038921/","121 E 22nd St, Unit N1003")</f>
        <v>121 E 22nd St, Unit N1003</v>
      </c>
      <c r="B2185" s="2" t="str">
        <f t="shared" si="351"/>
        <v>121 E 22nd</v>
      </c>
      <c r="C2185" s="1" t="s">
        <v>64</v>
      </c>
      <c r="D2185" s="1" t="s">
        <v>41</v>
      </c>
      <c r="E2185" s="3">
        <v>1325000</v>
      </c>
      <c r="F2185" s="1">
        <v>2150.9740259740202</v>
      </c>
      <c r="H2185" s="1" t="s">
        <v>99</v>
      </c>
      <c r="J2185" s="1">
        <v>1</v>
      </c>
      <c r="K2185" s="1">
        <v>1</v>
      </c>
      <c r="M2185" s="1">
        <v>616</v>
      </c>
      <c r="N2185" s="1">
        <v>704</v>
      </c>
      <c r="O2185" s="1">
        <v>1956</v>
      </c>
      <c r="P2185" s="1">
        <v>1252</v>
      </c>
      <c r="Q2185" s="1" t="s">
        <v>42</v>
      </c>
      <c r="S2185" s="1" t="s">
        <v>42</v>
      </c>
      <c r="T2185" s="1" t="s">
        <v>273</v>
      </c>
      <c r="AA2185" s="1">
        <v>1325000</v>
      </c>
      <c r="AB2185" s="1" t="s">
        <v>1241</v>
      </c>
      <c r="AC2185" s="5">
        <v>44203</v>
      </c>
      <c r="AF2185" s="1">
        <v>10010</v>
      </c>
      <c r="AI2185" s="1" t="s">
        <v>66</v>
      </c>
      <c r="AJ2185" s="1">
        <v>2016</v>
      </c>
      <c r="AK2185" s="1" t="s">
        <v>55</v>
      </c>
      <c r="AL2185" s="1">
        <v>140</v>
      </c>
    </row>
    <row r="2186" spans="1:38" x14ac:dyDescent="0.2">
      <c r="A2186" s="2" t="str">
        <f>HYPERLINK("https://www.compass.com/listing/175-west-10th-street-unit-2-manhattan-ny-10014/380674565886941777/","175 W 10th St, Unit 2")</f>
        <v>175 W 10th St, Unit 2</v>
      </c>
      <c r="B2186" s="2" t="str">
        <f t="shared" ref="B2186:B2187" si="352">HYPERLINK("https://www.compass.com/building/175-w-10th-st-manhattan-ny-10014/281930509993423093/","175 W 10th St")</f>
        <v>175 W 10th St</v>
      </c>
      <c r="C2186" s="1" t="s">
        <v>67</v>
      </c>
      <c r="D2186" s="1" t="s">
        <v>41</v>
      </c>
      <c r="E2186" s="3">
        <v>5447638</v>
      </c>
      <c r="F2186" s="1">
        <v>2188.68521494576</v>
      </c>
      <c r="H2186" s="1">
        <v>3</v>
      </c>
      <c r="J2186" s="1">
        <v>3.5</v>
      </c>
      <c r="K2186" s="1">
        <v>3</v>
      </c>
      <c r="L2186" s="1">
        <v>1</v>
      </c>
      <c r="M2186" s="4">
        <v>2489</v>
      </c>
      <c r="N2186" s="1">
        <v>3428</v>
      </c>
      <c r="O2186" s="1">
        <v>6268</v>
      </c>
      <c r="P2186" s="1">
        <v>2840</v>
      </c>
      <c r="Q2186" s="1" t="s">
        <v>42</v>
      </c>
      <c r="S2186" s="1" t="s">
        <v>42</v>
      </c>
      <c r="T2186" s="1" t="s">
        <v>273</v>
      </c>
      <c r="AA2186" s="1">
        <v>5447637.5</v>
      </c>
      <c r="AB2186" s="1" t="s">
        <v>1242</v>
      </c>
      <c r="AC2186" s="5">
        <v>43208</v>
      </c>
      <c r="AF2186" s="1">
        <v>10014</v>
      </c>
      <c r="AI2186" s="1" t="s">
        <v>177</v>
      </c>
      <c r="AJ2186" s="1">
        <v>2016</v>
      </c>
      <c r="AK2186" s="1" t="s">
        <v>70</v>
      </c>
      <c r="AL2186" s="1">
        <v>5</v>
      </c>
    </row>
    <row r="2187" spans="1:38" x14ac:dyDescent="0.2">
      <c r="A2187" s="2" t="str">
        <f>HYPERLINK("https://www.compass.com/listing/175-west-10th-street-unit-5-manhattan-ny-10014/483772786771774641/","175 W 10th St, Unit 5")</f>
        <v>175 W 10th St, Unit 5</v>
      </c>
      <c r="B2187" s="2" t="str">
        <f t="shared" si="352"/>
        <v>175 W 10th St</v>
      </c>
      <c r="C2187" s="1" t="s">
        <v>67</v>
      </c>
      <c r="D2187" s="1" t="s">
        <v>41</v>
      </c>
      <c r="E2187" s="3">
        <v>6364063</v>
      </c>
      <c r="F2187" s="1">
        <v>2556.8752511048601</v>
      </c>
      <c r="H2187" s="1">
        <v>3</v>
      </c>
      <c r="J2187" s="1">
        <v>3.5</v>
      </c>
      <c r="K2187" s="1">
        <v>3</v>
      </c>
      <c r="L2187" s="1">
        <v>1</v>
      </c>
      <c r="M2187" s="4">
        <v>2489</v>
      </c>
      <c r="N2187" s="1">
        <v>3390</v>
      </c>
      <c r="O2187" s="1">
        <v>6198</v>
      </c>
      <c r="P2187" s="1">
        <v>2808</v>
      </c>
      <c r="Q2187" s="1" t="s">
        <v>42</v>
      </c>
      <c r="S2187" s="1" t="s">
        <v>42</v>
      </c>
      <c r="T2187" s="1" t="s">
        <v>273</v>
      </c>
      <c r="AA2187" s="1">
        <v>6364062.5</v>
      </c>
      <c r="AB2187" s="1" t="s">
        <v>1243</v>
      </c>
      <c r="AC2187" s="5">
        <v>43076</v>
      </c>
      <c r="AF2187" s="1">
        <v>10014</v>
      </c>
      <c r="AI2187" s="1" t="s">
        <v>177</v>
      </c>
      <c r="AJ2187" s="1">
        <v>2016</v>
      </c>
      <c r="AK2187" s="1" t="s">
        <v>70</v>
      </c>
      <c r="AL2187" s="1">
        <v>5</v>
      </c>
    </row>
    <row r="2188" spans="1:38" x14ac:dyDescent="0.2">
      <c r="A2188" s="2" t="str">
        <f>HYPERLINK("https://www.compass.com/listing/207-west-79th-street-unit-10b-manhattan-ny-10024/29400361257268065/","207 W 79th St, Unit 10B")</f>
        <v>207 W 79th St, Unit 10B</v>
      </c>
      <c r="B2188" s="2" t="str">
        <f>HYPERLINK("https://www.compass.com/building/207-west-79th-street-manhattan-ny/292869088261262661/","207 West 79th Street")</f>
        <v>207 West 79th Street</v>
      </c>
      <c r="C2188" s="1" t="s">
        <v>57</v>
      </c>
      <c r="D2188" s="1" t="s">
        <v>41</v>
      </c>
      <c r="E2188" s="3">
        <v>4126663</v>
      </c>
      <c r="F2188" s="1">
        <v>2482.9500601684699</v>
      </c>
      <c r="G2188" s="1">
        <v>4</v>
      </c>
      <c r="H2188" s="1">
        <v>2</v>
      </c>
      <c r="I2188" s="1">
        <v>2</v>
      </c>
      <c r="J2188" s="1">
        <v>2.5</v>
      </c>
      <c r="K2188" s="1">
        <v>2</v>
      </c>
      <c r="L2188" s="1">
        <v>1</v>
      </c>
      <c r="M2188" s="4">
        <v>1662</v>
      </c>
      <c r="N2188" s="1">
        <v>2308</v>
      </c>
      <c r="O2188" s="1">
        <v>3709</v>
      </c>
      <c r="P2188" s="1">
        <v>1401</v>
      </c>
      <c r="Q2188" s="1" t="s">
        <v>42</v>
      </c>
      <c r="S2188" s="1" t="s">
        <v>42</v>
      </c>
      <c r="T2188" s="1" t="s">
        <v>273</v>
      </c>
      <c r="U2188" s="1">
        <v>200</v>
      </c>
      <c r="V2188" s="5">
        <v>43648</v>
      </c>
      <c r="W2188" s="5">
        <v>42860</v>
      </c>
      <c r="X2188" s="1">
        <v>4250000</v>
      </c>
      <c r="Y2188" s="1">
        <v>4250000</v>
      </c>
      <c r="Z2188" s="5">
        <v>43060</v>
      </c>
      <c r="AA2188" s="1">
        <v>4126663</v>
      </c>
      <c r="AB2188" s="1" t="s">
        <v>1244</v>
      </c>
      <c r="AC2188" s="5">
        <v>43210</v>
      </c>
      <c r="AF2188" s="1">
        <v>10024</v>
      </c>
      <c r="AJ2188" s="1">
        <v>2017</v>
      </c>
      <c r="AK2188" s="1" t="s">
        <v>49</v>
      </c>
      <c r="AL2188" s="1">
        <v>19</v>
      </c>
    </row>
    <row r="2189" spans="1:38" x14ac:dyDescent="0.2">
      <c r="A2189" s="2" t="str">
        <f>HYPERLINK("https://www.compass.com/listing/121-east-22nd-street-unit-n203-manhattan-ny-10010/200630834460464529/","121 E 22nd St, Unit N203")</f>
        <v>121 E 22nd St, Unit N203</v>
      </c>
      <c r="B2189" s="2" t="str">
        <f>HYPERLINK("https://www.compass.com/building/121-e-22nd-manhattan-ny/292795784653461493/","121 E 22nd")</f>
        <v>121 E 22nd</v>
      </c>
      <c r="C2189" s="1" t="s">
        <v>64</v>
      </c>
      <c r="D2189" s="1" t="s">
        <v>41</v>
      </c>
      <c r="E2189" s="3">
        <v>1094169</v>
      </c>
      <c r="F2189" s="1">
        <v>1784.9412724306601</v>
      </c>
      <c r="G2189" s="1">
        <v>2</v>
      </c>
      <c r="H2189" s="1" t="s">
        <v>99</v>
      </c>
      <c r="I2189" s="1">
        <v>1</v>
      </c>
      <c r="J2189" s="1">
        <v>0.5</v>
      </c>
      <c r="L2189" s="1">
        <v>1</v>
      </c>
      <c r="M2189" s="1">
        <v>613</v>
      </c>
      <c r="N2189" s="1">
        <v>626</v>
      </c>
      <c r="O2189" s="1">
        <v>1733</v>
      </c>
      <c r="P2189" s="1">
        <v>1107</v>
      </c>
      <c r="Q2189" s="1" t="s">
        <v>42</v>
      </c>
      <c r="S2189" s="1" t="s">
        <v>42</v>
      </c>
      <c r="T2189" s="1" t="s">
        <v>273</v>
      </c>
      <c r="V2189" s="5">
        <v>44373</v>
      </c>
      <c r="W2189" s="5">
        <v>43529</v>
      </c>
      <c r="X2189" s="1">
        <v>1075000</v>
      </c>
      <c r="Y2189" s="1">
        <v>1075000</v>
      </c>
      <c r="Z2189" s="5">
        <v>43529</v>
      </c>
      <c r="AA2189" s="1">
        <v>1094618.75</v>
      </c>
      <c r="AB2189" s="1" t="s">
        <v>1245</v>
      </c>
      <c r="AC2189" s="5">
        <v>43530</v>
      </c>
      <c r="AF2189" s="1">
        <v>10010</v>
      </c>
      <c r="AI2189" s="1" t="s">
        <v>234</v>
      </c>
      <c r="AJ2189" s="1">
        <v>2016</v>
      </c>
      <c r="AK2189" s="1" t="s">
        <v>108</v>
      </c>
      <c r="AL2189" s="1">
        <v>140</v>
      </c>
    </row>
    <row r="2190" spans="1:38" x14ac:dyDescent="0.2">
      <c r="A2190" s="2" t="str">
        <f>HYPERLINK("https://www.compass.com/listing/221-west-77th-street-unit-7e-manhattan-ny-10024/8743040772536673/","221 W 77th St, Unit 7E")</f>
        <v>221 W 77th St, Unit 7E</v>
      </c>
      <c r="B2190" s="2" t="str">
        <f>HYPERLINK("https://www.compass.com/building/221-west-77th-street-manhattan-ny/292869344491294229/","221 West 77th Street")</f>
        <v>221 West 77th Street</v>
      </c>
      <c r="C2190" s="1" t="s">
        <v>57</v>
      </c>
      <c r="D2190" s="1" t="s">
        <v>41</v>
      </c>
      <c r="E2190" s="3">
        <v>4036500</v>
      </c>
      <c r="F2190" s="1">
        <v>2326.5129682997099</v>
      </c>
      <c r="G2190" s="1">
        <v>4</v>
      </c>
      <c r="H2190" s="1">
        <v>2</v>
      </c>
      <c r="I2190" s="1">
        <v>3</v>
      </c>
      <c r="J2190" s="1">
        <v>0.5</v>
      </c>
      <c r="L2190" s="1">
        <v>1</v>
      </c>
      <c r="M2190" s="4">
        <v>1735</v>
      </c>
      <c r="N2190" s="1">
        <v>1734</v>
      </c>
      <c r="O2190" s="1">
        <v>3971</v>
      </c>
      <c r="P2190" s="1">
        <v>2237</v>
      </c>
      <c r="Q2190" s="1" t="s">
        <v>42</v>
      </c>
      <c r="S2190" s="1" t="s">
        <v>42</v>
      </c>
      <c r="T2190" s="1" t="s">
        <v>273</v>
      </c>
      <c r="U2190" s="1">
        <v>51</v>
      </c>
      <c r="V2190" s="5">
        <v>43637</v>
      </c>
      <c r="W2190" s="5">
        <v>42704</v>
      </c>
      <c r="X2190" s="1">
        <v>4000000</v>
      </c>
      <c r="Y2190" s="1">
        <v>4000000</v>
      </c>
      <c r="Z2190" s="5">
        <v>42755</v>
      </c>
      <c r="AA2190" s="1">
        <v>4036500</v>
      </c>
      <c r="AB2190" s="1" t="s">
        <v>1246</v>
      </c>
      <c r="AC2190" s="5">
        <v>42902</v>
      </c>
      <c r="AF2190" s="1">
        <v>10024</v>
      </c>
      <c r="AI2190" s="1" t="s">
        <v>225</v>
      </c>
      <c r="AJ2190" s="1">
        <v>2017</v>
      </c>
      <c r="AK2190" s="1" t="s">
        <v>108</v>
      </c>
      <c r="AL2190" s="1">
        <v>26</v>
      </c>
    </row>
    <row r="2191" spans="1:38" x14ac:dyDescent="0.2">
      <c r="A2191" s="2" t="str">
        <f>HYPERLINK("https://www.compass.com/listing/64-east-1st-street-unit-5-manhattan-ny-10003/70919523376599169/","64 E 1st St, Unit 5")</f>
        <v>64 E 1st St, Unit 5</v>
      </c>
      <c r="B2191" s="2" t="str">
        <f>HYPERLINK("https://www.compass.com/building/64-e-1st-st-manhattan-ny-10003/281894416707231061/","64 E 1st St")</f>
        <v>64 E 1st St</v>
      </c>
      <c r="C2191" s="1" t="s">
        <v>71</v>
      </c>
      <c r="D2191" s="1" t="s">
        <v>41</v>
      </c>
      <c r="E2191" s="3">
        <v>3360000</v>
      </c>
      <c r="F2191" s="1">
        <v>1859.43552850027</v>
      </c>
      <c r="G2191" s="1">
        <v>5</v>
      </c>
      <c r="H2191" s="1">
        <v>2</v>
      </c>
      <c r="I2191" s="1">
        <v>3</v>
      </c>
      <c r="J2191" s="1">
        <v>2.5</v>
      </c>
      <c r="K2191" s="1">
        <v>2</v>
      </c>
      <c r="L2191" s="1">
        <v>1</v>
      </c>
      <c r="M2191" s="4">
        <v>1807</v>
      </c>
      <c r="N2191" s="1">
        <v>1598</v>
      </c>
      <c r="O2191" s="1">
        <v>3800</v>
      </c>
      <c r="P2191" s="1">
        <v>2202</v>
      </c>
      <c r="Q2191" s="1" t="s">
        <v>42</v>
      </c>
      <c r="S2191" s="1" t="s">
        <v>42</v>
      </c>
      <c r="T2191" s="1" t="s">
        <v>273</v>
      </c>
      <c r="U2191" s="1">
        <v>1</v>
      </c>
      <c r="V2191" s="5">
        <v>44356</v>
      </c>
      <c r="W2191" s="5">
        <v>42377</v>
      </c>
      <c r="X2191" s="1">
        <v>3360000</v>
      </c>
      <c r="Y2191" s="1">
        <v>3360000</v>
      </c>
      <c r="Z2191" s="5">
        <v>42396</v>
      </c>
      <c r="AA2191" s="1">
        <v>3360000</v>
      </c>
      <c r="AB2191" s="1" t="s">
        <v>1247</v>
      </c>
      <c r="AC2191" s="5">
        <v>42941</v>
      </c>
      <c r="AF2191" s="1">
        <v>10003</v>
      </c>
      <c r="AI2191" s="1" t="s">
        <v>450</v>
      </c>
      <c r="AJ2191" s="1">
        <v>2017</v>
      </c>
      <c r="AL2191" s="1">
        <v>6</v>
      </c>
    </row>
    <row r="2192" spans="1:38" x14ac:dyDescent="0.2">
      <c r="A2192" s="2" t="str">
        <f>HYPERLINK("https://www.compass.com/listing/53-greene-street-unit-3-manhattan-ny-10013/78974600666544177/","53 Greene St, Unit 3")</f>
        <v>53 Greene St, Unit 3</v>
      </c>
      <c r="B2192" s="2" t="str">
        <f>HYPERLINK("https://www.compass.com/building/53-greene-st-manhattan-ny-10013/281920591823407893/","53 Greene St")</f>
        <v>53 Greene St</v>
      </c>
      <c r="C2192" s="1" t="s">
        <v>298</v>
      </c>
      <c r="D2192" s="1" t="s">
        <v>41</v>
      </c>
      <c r="E2192" s="3">
        <v>6750000</v>
      </c>
      <c r="F2192" s="1">
        <v>2435.9437026344199</v>
      </c>
      <c r="G2192" s="1">
        <v>5</v>
      </c>
      <c r="H2192" s="1">
        <v>2</v>
      </c>
      <c r="I2192" s="1">
        <v>3</v>
      </c>
      <c r="J2192" s="1">
        <v>3</v>
      </c>
      <c r="M2192" s="4">
        <v>2771</v>
      </c>
      <c r="N2192" s="1">
        <v>2293</v>
      </c>
      <c r="O2192" s="1">
        <v>3838</v>
      </c>
      <c r="P2192" s="1">
        <v>1545</v>
      </c>
      <c r="Q2192" s="1" t="s">
        <v>42</v>
      </c>
      <c r="S2192" s="1" t="s">
        <v>42</v>
      </c>
      <c r="T2192" s="1" t="s">
        <v>273</v>
      </c>
      <c r="U2192" s="1">
        <v>172</v>
      </c>
      <c r="V2192" s="5">
        <v>42879</v>
      </c>
      <c r="W2192" s="5">
        <v>41550</v>
      </c>
      <c r="X2192" s="1">
        <v>6340000</v>
      </c>
      <c r="Y2192" s="1">
        <v>6340000</v>
      </c>
      <c r="Z2192" s="5">
        <v>41723</v>
      </c>
      <c r="AA2192" s="1">
        <v>6750000</v>
      </c>
      <c r="AB2192" s="1" t="s">
        <v>1248</v>
      </c>
      <c r="AC2192" s="5">
        <v>42909</v>
      </c>
      <c r="AF2192" s="1">
        <v>10013</v>
      </c>
      <c r="AJ2192" s="1">
        <v>2014</v>
      </c>
      <c r="AL2192" s="1">
        <v>5</v>
      </c>
    </row>
    <row r="2193" spans="1:38" x14ac:dyDescent="0.2">
      <c r="A2193" s="2" t="str">
        <f>HYPERLINK("https://www.compass.com/listing/207-west-79th-street-unit-8b-manhattan-ny-10024/29400359671778689/","207 W 79th St, Unit 8B")</f>
        <v>207 W 79th St, Unit 8B</v>
      </c>
      <c r="B2193" s="2" t="str">
        <f t="shared" ref="B2193:B2194" si="353">HYPERLINK("https://www.compass.com/building/207-west-79th-street-manhattan-ny/292869088261262661/","207 West 79th Street")</f>
        <v>207 West 79th Street</v>
      </c>
      <c r="C2193" s="1" t="s">
        <v>57</v>
      </c>
      <c r="D2193" s="1" t="s">
        <v>41</v>
      </c>
      <c r="E2193" s="3">
        <v>4024838</v>
      </c>
      <c r="F2193" s="1">
        <v>2421.6835138387401</v>
      </c>
      <c r="G2193" s="1">
        <v>4.5</v>
      </c>
      <c r="H2193" s="1">
        <v>2</v>
      </c>
      <c r="I2193" s="1">
        <v>2</v>
      </c>
      <c r="J2193" s="1">
        <v>2.5</v>
      </c>
      <c r="K2193" s="1">
        <v>2</v>
      </c>
      <c r="L2193" s="1">
        <v>1</v>
      </c>
      <c r="M2193" s="4">
        <v>1662</v>
      </c>
      <c r="N2193" s="1">
        <v>2286</v>
      </c>
      <c r="O2193" s="1">
        <v>3674</v>
      </c>
      <c r="P2193" s="1">
        <v>1388</v>
      </c>
      <c r="Q2193" s="1" t="s">
        <v>42</v>
      </c>
      <c r="S2193" s="1" t="s">
        <v>42</v>
      </c>
      <c r="T2193" s="1" t="s">
        <v>273</v>
      </c>
      <c r="U2193" s="1">
        <v>15</v>
      </c>
      <c r="V2193" s="5">
        <v>43650</v>
      </c>
      <c r="W2193" s="5">
        <v>42767</v>
      </c>
      <c r="X2193" s="1">
        <v>3950000</v>
      </c>
      <c r="Y2193" s="1">
        <v>3950000</v>
      </c>
      <c r="Z2193" s="5">
        <v>42782</v>
      </c>
      <c r="AA2193" s="1">
        <v>4024838</v>
      </c>
      <c r="AB2193" s="1" t="s">
        <v>1249</v>
      </c>
      <c r="AC2193" s="5">
        <v>43187</v>
      </c>
      <c r="AF2193" s="1">
        <v>10024</v>
      </c>
      <c r="AJ2193" s="1">
        <v>2017</v>
      </c>
      <c r="AK2193" s="1" t="s">
        <v>49</v>
      </c>
      <c r="AL2193" s="1">
        <v>19</v>
      </c>
    </row>
    <row r="2194" spans="1:38" x14ac:dyDescent="0.2">
      <c r="A2194" s="2" t="str">
        <f>HYPERLINK("https://www.compass.com/listing/207-west-79th-street-unit-9b-manhattan-ny-10024/29400360426674785/","207 W 79th St, Unit 9B")</f>
        <v>207 W 79th St, Unit 9B</v>
      </c>
      <c r="B2194" s="2" t="str">
        <f t="shared" si="353"/>
        <v>207 West 79th Street</v>
      </c>
      <c r="C2194" s="1" t="s">
        <v>57</v>
      </c>
      <c r="D2194" s="1" t="s">
        <v>41</v>
      </c>
      <c r="E2194" s="3">
        <v>4075750</v>
      </c>
      <c r="F2194" s="1">
        <v>2452.3164861612499</v>
      </c>
      <c r="G2194" s="1">
        <v>4</v>
      </c>
      <c r="H2194" s="1">
        <v>2</v>
      </c>
      <c r="I2194" s="1">
        <v>2</v>
      </c>
      <c r="J2194" s="1">
        <v>2.5</v>
      </c>
      <c r="K2194" s="1">
        <v>2</v>
      </c>
      <c r="L2194" s="1">
        <v>1</v>
      </c>
      <c r="M2194" s="4">
        <v>1662</v>
      </c>
      <c r="N2194" s="1">
        <v>2297</v>
      </c>
      <c r="O2194" s="1">
        <v>3692</v>
      </c>
      <c r="P2194" s="1">
        <v>1395</v>
      </c>
      <c r="Q2194" s="1" t="s">
        <v>42</v>
      </c>
      <c r="S2194" s="1" t="s">
        <v>42</v>
      </c>
      <c r="T2194" s="1" t="s">
        <v>273</v>
      </c>
      <c r="U2194" s="1">
        <v>12</v>
      </c>
      <c r="V2194" s="5">
        <v>43668</v>
      </c>
      <c r="W2194" s="5">
        <v>42782</v>
      </c>
      <c r="X2194" s="1">
        <v>4000000</v>
      </c>
      <c r="Y2194" s="1">
        <v>4000000</v>
      </c>
      <c r="Z2194" s="5">
        <v>42794</v>
      </c>
      <c r="AA2194" s="1">
        <v>4075750</v>
      </c>
      <c r="AB2194" s="1" t="s">
        <v>1250</v>
      </c>
      <c r="AC2194" s="5">
        <v>43192</v>
      </c>
      <c r="AF2194" s="1">
        <v>10024</v>
      </c>
      <c r="AJ2194" s="1">
        <v>2017</v>
      </c>
      <c r="AK2194" s="1" t="s">
        <v>49</v>
      </c>
      <c r="AL2194" s="1">
        <v>19</v>
      </c>
    </row>
    <row r="2195" spans="1:38" x14ac:dyDescent="0.2">
      <c r="A2195" s="2" t="str">
        <f>HYPERLINK("https://www.compass.com/listing/498-west-end-avenue-unit-9b-manhattan-ny-10024/29400626723040129/","498 W End Ave, Unit 9B")</f>
        <v>498 W End Ave, Unit 9B</v>
      </c>
      <c r="B2195" s="2" t="str">
        <f>HYPERLINK("https://www.compass.com/building/498-w-end-ave-manhattan-ny-10024/281925430842268789/","498 W End Ave")</f>
        <v>498 W End Ave</v>
      </c>
      <c r="C2195" s="1" t="s">
        <v>57</v>
      </c>
      <c r="D2195" s="1" t="s">
        <v>41</v>
      </c>
      <c r="E2195" s="3">
        <v>5746784</v>
      </c>
      <c r="F2195" s="1">
        <v>1920.7165775400999</v>
      </c>
      <c r="G2195" s="1">
        <v>7</v>
      </c>
      <c r="H2195" s="1">
        <v>4</v>
      </c>
      <c r="I2195" s="1">
        <v>4</v>
      </c>
      <c r="J2195" s="1">
        <v>4</v>
      </c>
      <c r="K2195" s="1">
        <v>4</v>
      </c>
      <c r="M2195" s="4">
        <v>2992</v>
      </c>
      <c r="N2195" s="1">
        <v>2326</v>
      </c>
      <c r="O2195" s="1">
        <v>4701</v>
      </c>
      <c r="P2195" s="1">
        <v>2375</v>
      </c>
      <c r="Q2195" s="1" t="s">
        <v>42</v>
      </c>
      <c r="S2195" s="1" t="s">
        <v>42</v>
      </c>
      <c r="T2195" s="1" t="s">
        <v>273</v>
      </c>
      <c r="U2195" s="1">
        <v>97</v>
      </c>
      <c r="V2195" s="5">
        <v>44124</v>
      </c>
      <c r="W2195" s="5">
        <v>42797</v>
      </c>
      <c r="X2195" s="1">
        <v>6250000</v>
      </c>
      <c r="Y2195" s="1">
        <v>5675000</v>
      </c>
      <c r="Z2195" s="5">
        <v>42894</v>
      </c>
      <c r="AA2195" s="1">
        <v>5746784</v>
      </c>
      <c r="AB2195" s="1" t="s">
        <v>1251</v>
      </c>
      <c r="AC2195" s="5">
        <v>42948</v>
      </c>
      <c r="AF2195" s="1">
        <v>10024</v>
      </c>
      <c r="AJ2195" s="1">
        <v>1912</v>
      </c>
      <c r="AK2195" s="1" t="s">
        <v>46</v>
      </c>
      <c r="AL2195" s="1">
        <v>19</v>
      </c>
    </row>
    <row r="2196" spans="1:38" x14ac:dyDescent="0.2">
      <c r="A2196" s="2" t="str">
        <f>HYPERLINK("https://www.compass.com/listing/108-leonard-street-unit-6d-manhattan-ny-10013/810150638349478465/","108 Leonard St, Unit 6D")</f>
        <v>108 Leonard St, Unit 6D</v>
      </c>
      <c r="B2196" s="2" t="str">
        <f t="shared" ref="B2196:B2197" si="354">HYPERLINK("https://www.compass.com/building/108-leonard-st-manhattan-ny-10013/307456049610778277/","108 Leonard St")</f>
        <v>108 Leonard St</v>
      </c>
      <c r="C2196" s="1" t="s">
        <v>113</v>
      </c>
      <c r="D2196" s="1" t="s">
        <v>41</v>
      </c>
      <c r="E2196" s="3">
        <v>1754683</v>
      </c>
      <c r="F2196" s="1">
        <v>1987.1835447338599</v>
      </c>
      <c r="G2196" s="1">
        <v>3.5</v>
      </c>
      <c r="H2196" s="1">
        <v>1</v>
      </c>
      <c r="I2196" s="1">
        <v>2</v>
      </c>
      <c r="J2196" s="1">
        <v>1.5</v>
      </c>
      <c r="K2196" s="1">
        <v>1</v>
      </c>
      <c r="L2196" s="1">
        <v>1</v>
      </c>
      <c r="M2196" s="1">
        <v>883</v>
      </c>
      <c r="N2196" s="1">
        <v>1047</v>
      </c>
      <c r="O2196" s="1">
        <v>2464</v>
      </c>
      <c r="P2196" s="1">
        <v>1417</v>
      </c>
      <c r="Q2196" s="1" t="s">
        <v>42</v>
      </c>
      <c r="S2196" s="1" t="s">
        <v>42</v>
      </c>
      <c r="T2196" s="1" t="s">
        <v>273</v>
      </c>
      <c r="V2196" s="5">
        <v>44422</v>
      </c>
      <c r="W2196" s="5">
        <v>44369</v>
      </c>
      <c r="X2196" s="1">
        <v>1930000</v>
      </c>
      <c r="Y2196" s="1">
        <v>1930000</v>
      </c>
      <c r="Z2196" s="5">
        <v>44370</v>
      </c>
      <c r="AA2196" s="1">
        <v>1754683.07</v>
      </c>
      <c r="AB2196" s="1" t="s">
        <v>295</v>
      </c>
      <c r="AC2196" s="5">
        <v>44412</v>
      </c>
      <c r="AF2196" s="1">
        <v>10013</v>
      </c>
      <c r="AI2196" s="1" t="s">
        <v>78</v>
      </c>
      <c r="AJ2196" s="1">
        <v>1899</v>
      </c>
      <c r="AK2196" s="1" t="s">
        <v>115</v>
      </c>
      <c r="AL2196" s="1">
        <v>167</v>
      </c>
    </row>
    <row r="2197" spans="1:38" x14ac:dyDescent="0.2">
      <c r="A2197" s="2" t="str">
        <f>HYPERLINK("https://www.compass.com/listing/108-leonard-street-unit-9d-manhattan-ny-10013/810316917153239385/","108 Leonard St, Unit 9D")</f>
        <v>108 Leonard St, Unit 9D</v>
      </c>
      <c r="B2197" s="2" t="str">
        <f t="shared" si="354"/>
        <v>108 Leonard St</v>
      </c>
      <c r="C2197" s="1" t="s">
        <v>113</v>
      </c>
      <c r="D2197" s="1" t="s">
        <v>41</v>
      </c>
      <c r="E2197" s="3">
        <v>1674767</v>
      </c>
      <c r="F2197" s="1">
        <v>1777.88394904458</v>
      </c>
      <c r="G2197" s="1">
        <v>3</v>
      </c>
      <c r="H2197" s="1">
        <v>1</v>
      </c>
      <c r="I2197" s="1">
        <v>2</v>
      </c>
      <c r="J2197" s="1">
        <v>1.5</v>
      </c>
      <c r="K2197" s="1">
        <v>1</v>
      </c>
      <c r="L2197" s="1">
        <v>1</v>
      </c>
      <c r="M2197" s="1">
        <v>942</v>
      </c>
      <c r="N2197" s="1">
        <v>1117</v>
      </c>
      <c r="O2197" s="1">
        <v>2628</v>
      </c>
      <c r="P2197" s="1">
        <v>1511</v>
      </c>
      <c r="Q2197" s="1" t="s">
        <v>42</v>
      </c>
      <c r="S2197" s="1" t="s">
        <v>42</v>
      </c>
      <c r="T2197" s="1" t="s">
        <v>273</v>
      </c>
      <c r="V2197" s="5">
        <v>44412</v>
      </c>
      <c r="W2197" s="5">
        <v>44369</v>
      </c>
      <c r="X2197" s="1">
        <v>1855000</v>
      </c>
      <c r="Y2197" s="1">
        <v>1855000</v>
      </c>
      <c r="Z2197" s="5">
        <v>44370</v>
      </c>
      <c r="AA2197" s="1">
        <v>1674766.68</v>
      </c>
      <c r="AB2197" s="1" t="s">
        <v>1252</v>
      </c>
      <c r="AC2197" s="5">
        <v>44410</v>
      </c>
      <c r="AF2197" s="1">
        <v>10013</v>
      </c>
      <c r="AI2197" s="1" t="s">
        <v>78</v>
      </c>
      <c r="AJ2197" s="1">
        <v>1899</v>
      </c>
      <c r="AK2197" s="1" t="s">
        <v>115</v>
      </c>
      <c r="AL2197" s="1">
        <v>167</v>
      </c>
    </row>
    <row r="2198" spans="1:38" x14ac:dyDescent="0.2">
      <c r="A2198" s="2" t="str">
        <f>HYPERLINK("https://www.compass.com/listing/221-west-77th-street-unit-8e-manhattan-ny-10024/8743037383538465/","221 W 77th St, Unit 8E")</f>
        <v>221 W 77th St, Unit 8E</v>
      </c>
      <c r="B2198" s="2" t="str">
        <f>HYPERLINK("https://www.compass.com/building/221-west-77th-street-manhattan-ny/292869344491294229/","221 West 77th Street")</f>
        <v>221 West 77th Street</v>
      </c>
      <c r="C2198" s="1" t="s">
        <v>57</v>
      </c>
      <c r="D2198" s="1" t="s">
        <v>41</v>
      </c>
      <c r="E2198" s="3">
        <v>4050000</v>
      </c>
      <c r="F2198" s="1">
        <v>2334.2939481267999</v>
      </c>
      <c r="G2198" s="1">
        <v>4</v>
      </c>
      <c r="H2198" s="1">
        <v>2</v>
      </c>
      <c r="I2198" s="1">
        <v>3</v>
      </c>
      <c r="J2198" s="1">
        <v>0.5</v>
      </c>
      <c r="L2198" s="1">
        <v>1</v>
      </c>
      <c r="M2198" s="4">
        <v>1735</v>
      </c>
      <c r="N2198" s="1">
        <v>1734</v>
      </c>
      <c r="O2198" s="1">
        <v>3971</v>
      </c>
      <c r="P2198" s="1">
        <v>2237</v>
      </c>
      <c r="Q2198" s="1" t="s">
        <v>42</v>
      </c>
      <c r="S2198" s="1" t="s">
        <v>42</v>
      </c>
      <c r="T2198" s="1" t="s">
        <v>273</v>
      </c>
      <c r="U2198" s="1">
        <v>327</v>
      </c>
      <c r="V2198" s="5">
        <v>43662</v>
      </c>
      <c r="W2198" s="5">
        <v>42265</v>
      </c>
      <c r="X2198" s="1">
        <v>4050000</v>
      </c>
      <c r="Y2198" s="1">
        <v>4050000</v>
      </c>
      <c r="Z2198" s="5">
        <v>42592</v>
      </c>
      <c r="AA2198" s="1">
        <v>4050000</v>
      </c>
      <c r="AB2198" s="1" t="s">
        <v>1253</v>
      </c>
      <c r="AC2198" s="5">
        <v>42905</v>
      </c>
      <c r="AF2198" s="1">
        <v>10024</v>
      </c>
      <c r="AI2198" s="1" t="s">
        <v>225</v>
      </c>
      <c r="AJ2198" s="1">
        <v>2017</v>
      </c>
      <c r="AK2198" s="1" t="s">
        <v>108</v>
      </c>
      <c r="AL2198" s="1">
        <v>26</v>
      </c>
    </row>
    <row r="2199" spans="1:38" x14ac:dyDescent="0.2">
      <c r="A2199" s="2" t="str">
        <f>HYPERLINK("https://www.compass.com/listing/498-west-end-avenue-unit-5c-manhattan-ny-10024/29400624374229681/","498 W End Ave, Unit 5C")</f>
        <v>498 W End Ave, Unit 5C</v>
      </c>
      <c r="B2199" s="2" t="str">
        <f t="shared" ref="B2199:B2200" si="355">HYPERLINK("https://www.compass.com/building/498-w-end-ave-manhattan-ny-10024/281925430842268789/","498 W End Ave")</f>
        <v>498 W End Ave</v>
      </c>
      <c r="C2199" s="1" t="s">
        <v>57</v>
      </c>
      <c r="D2199" s="1" t="s">
        <v>41</v>
      </c>
      <c r="E2199" s="3">
        <v>3204433</v>
      </c>
      <c r="F2199" s="1">
        <v>1905.13258026159</v>
      </c>
      <c r="G2199" s="1">
        <v>5</v>
      </c>
      <c r="H2199" s="1">
        <v>3</v>
      </c>
      <c r="I2199" s="1">
        <v>2</v>
      </c>
      <c r="J2199" s="1">
        <v>2</v>
      </c>
      <c r="M2199" s="4">
        <v>1682</v>
      </c>
      <c r="N2199" s="1">
        <v>1399</v>
      </c>
      <c r="O2199" s="1">
        <v>2404</v>
      </c>
      <c r="P2199" s="1">
        <v>1005</v>
      </c>
      <c r="Q2199" s="1" t="s">
        <v>42</v>
      </c>
      <c r="S2199" s="1" t="s">
        <v>42</v>
      </c>
      <c r="T2199" s="1" t="s">
        <v>273</v>
      </c>
      <c r="U2199" s="1">
        <v>13</v>
      </c>
      <c r="V2199" s="5">
        <v>43675</v>
      </c>
      <c r="W2199" s="5">
        <v>41976</v>
      </c>
      <c r="X2199" s="1">
        <v>3130000</v>
      </c>
      <c r="Y2199" s="1">
        <v>3130000</v>
      </c>
      <c r="Z2199" s="5">
        <v>41989</v>
      </c>
      <c r="AA2199" s="1">
        <v>3204433</v>
      </c>
      <c r="AB2199" s="1" t="s">
        <v>1254</v>
      </c>
      <c r="AC2199" s="5">
        <v>42570</v>
      </c>
      <c r="AF2199" s="1">
        <v>10024</v>
      </c>
      <c r="AJ2199" s="1">
        <v>1912</v>
      </c>
      <c r="AK2199" s="1" t="s">
        <v>46</v>
      </c>
      <c r="AL2199" s="1">
        <v>19</v>
      </c>
    </row>
    <row r="2200" spans="1:38" x14ac:dyDescent="0.2">
      <c r="A2200" s="2" t="str">
        <f>HYPERLINK("https://www.compass.com/listing/498-west-end-avenue-unit-10c-manhattan-ny-10024/29400627578763937/","498 W End Ave, Unit 10C")</f>
        <v>498 W End Ave, Unit 10C</v>
      </c>
      <c r="B2200" s="2" t="str">
        <f t="shared" si="355"/>
        <v>498 W End Ave</v>
      </c>
      <c r="C2200" s="1" t="s">
        <v>57</v>
      </c>
      <c r="D2200" s="1" t="s">
        <v>41</v>
      </c>
      <c r="E2200" s="3">
        <v>3479360</v>
      </c>
      <c r="F2200" s="1">
        <v>2068.5851664684901</v>
      </c>
      <c r="G2200" s="1">
        <v>5</v>
      </c>
      <c r="H2200" s="1">
        <v>3</v>
      </c>
      <c r="I2200" s="1">
        <v>2</v>
      </c>
      <c r="J2200" s="1">
        <v>2</v>
      </c>
      <c r="M2200" s="4">
        <v>1682</v>
      </c>
      <c r="N2200" s="1">
        <v>1486</v>
      </c>
      <c r="O2200" s="1">
        <v>2554</v>
      </c>
      <c r="P2200" s="1">
        <v>1068</v>
      </c>
      <c r="Q2200" s="1" t="s">
        <v>42</v>
      </c>
      <c r="S2200" s="1" t="s">
        <v>42</v>
      </c>
      <c r="T2200" s="1" t="s">
        <v>273</v>
      </c>
      <c r="U2200" s="1">
        <v>14</v>
      </c>
      <c r="V2200" s="5">
        <v>42879</v>
      </c>
      <c r="W2200" s="5">
        <v>41975</v>
      </c>
      <c r="X2200" s="1">
        <v>3400000</v>
      </c>
      <c r="Y2200" s="1">
        <v>3400000</v>
      </c>
      <c r="Z2200" s="5">
        <v>41990</v>
      </c>
      <c r="AA2200" s="1">
        <v>3479360.25</v>
      </c>
      <c r="AB2200" s="1" t="s">
        <v>1255</v>
      </c>
      <c r="AC2200" s="5">
        <v>42545</v>
      </c>
      <c r="AF2200" s="1">
        <v>10024</v>
      </c>
      <c r="AJ2200" s="1">
        <v>1912</v>
      </c>
      <c r="AK2200" s="1" t="s">
        <v>46</v>
      </c>
      <c r="AL2200" s="1">
        <v>19</v>
      </c>
    </row>
    <row r="2201" spans="1:38" x14ac:dyDescent="0.2">
      <c r="A2201" s="2" t="str">
        <f>HYPERLINK("https://www.compass.com/listing/221-west-77th-street-unit-8e-manhattan-ny-10024/8743037383538481/","221 W 77th St, Unit 8E")</f>
        <v>221 W 77th St, Unit 8E</v>
      </c>
      <c r="B2201" s="2" t="str">
        <f t="shared" ref="B2201:B2202" si="356">HYPERLINK("https://www.compass.com/building/221-west-77th-street-manhattan-ny/292869344491294229/","221 West 77th Street")</f>
        <v>221 West 77th Street</v>
      </c>
      <c r="C2201" s="1" t="s">
        <v>57</v>
      </c>
      <c r="D2201" s="1" t="s">
        <v>41</v>
      </c>
      <c r="E2201" s="3">
        <v>4050000</v>
      </c>
      <c r="F2201" s="1">
        <v>2334.2939481267999</v>
      </c>
      <c r="G2201" s="1">
        <v>4</v>
      </c>
      <c r="H2201" s="1">
        <v>2</v>
      </c>
      <c r="I2201" s="1">
        <v>3</v>
      </c>
      <c r="J2201" s="1">
        <v>2.5</v>
      </c>
      <c r="M2201" s="4">
        <v>1735</v>
      </c>
      <c r="N2201" s="1">
        <v>1734</v>
      </c>
      <c r="O2201" s="1">
        <v>3971</v>
      </c>
      <c r="P2201" s="1">
        <v>2237</v>
      </c>
      <c r="Q2201" s="1" t="s">
        <v>42</v>
      </c>
      <c r="S2201" s="1" t="s">
        <v>42</v>
      </c>
      <c r="T2201" s="1" t="s">
        <v>273</v>
      </c>
      <c r="U2201" s="1">
        <v>327</v>
      </c>
      <c r="V2201" s="5">
        <v>43662</v>
      </c>
      <c r="W2201" s="5">
        <v>42265</v>
      </c>
      <c r="X2201" s="1">
        <v>4050000</v>
      </c>
      <c r="Y2201" s="1">
        <v>4050000</v>
      </c>
      <c r="Z2201" s="5">
        <v>42592</v>
      </c>
      <c r="AA2201" s="1">
        <v>4050000</v>
      </c>
      <c r="AB2201" s="1" t="s">
        <v>1253</v>
      </c>
      <c r="AC2201" s="5">
        <v>42905</v>
      </c>
      <c r="AF2201" s="1">
        <v>10024</v>
      </c>
      <c r="AI2201" s="1" t="s">
        <v>111</v>
      </c>
      <c r="AJ2201" s="1">
        <v>2017</v>
      </c>
      <c r="AK2201" s="1" t="s">
        <v>55</v>
      </c>
      <c r="AL2201" s="1">
        <v>26</v>
      </c>
    </row>
    <row r="2202" spans="1:38" x14ac:dyDescent="0.2">
      <c r="A2202" s="2" t="str">
        <f>HYPERLINK("https://www.compass.com/listing/221-west-77th-street-unit-7e-manhattan-ny-10024/8743040772536689/","221 W 77th St, Unit 7E")</f>
        <v>221 W 77th St, Unit 7E</v>
      </c>
      <c r="B2202" s="2" t="str">
        <f t="shared" si="356"/>
        <v>221 West 77th Street</v>
      </c>
      <c r="C2202" s="1" t="s">
        <v>57</v>
      </c>
      <c r="D2202" s="1" t="s">
        <v>41</v>
      </c>
      <c r="E2202" s="3">
        <v>4036500</v>
      </c>
      <c r="F2202" s="1">
        <v>2326.5129682997099</v>
      </c>
      <c r="G2202" s="1">
        <v>4</v>
      </c>
      <c r="H2202" s="1">
        <v>2</v>
      </c>
      <c r="I2202" s="1">
        <v>3</v>
      </c>
      <c r="J2202" s="1">
        <v>2.5</v>
      </c>
      <c r="M2202" s="4">
        <v>1735</v>
      </c>
      <c r="N2202" s="1">
        <v>1734</v>
      </c>
      <c r="O2202" s="1">
        <v>3971</v>
      </c>
      <c r="P2202" s="1">
        <v>2237</v>
      </c>
      <c r="Q2202" s="1" t="s">
        <v>42</v>
      </c>
      <c r="S2202" s="1" t="s">
        <v>42</v>
      </c>
      <c r="T2202" s="1" t="s">
        <v>273</v>
      </c>
      <c r="U2202" s="1">
        <v>51</v>
      </c>
      <c r="V2202" s="5">
        <v>43650</v>
      </c>
      <c r="W2202" s="5">
        <v>42704</v>
      </c>
      <c r="X2202" s="1">
        <v>4000000</v>
      </c>
      <c r="Y2202" s="1">
        <v>4000000</v>
      </c>
      <c r="Z2202" s="5">
        <v>42755</v>
      </c>
      <c r="AA2202" s="1">
        <v>4036500</v>
      </c>
      <c r="AB2202" s="1" t="s">
        <v>1246</v>
      </c>
      <c r="AC2202" s="5">
        <v>42902</v>
      </c>
      <c r="AF2202" s="1">
        <v>10024</v>
      </c>
      <c r="AI2202" s="1" t="s">
        <v>111</v>
      </c>
      <c r="AJ2202" s="1">
        <v>2017</v>
      </c>
      <c r="AK2202" s="1" t="s">
        <v>55</v>
      </c>
      <c r="AL2202" s="1">
        <v>26</v>
      </c>
    </row>
    <row r="2203" spans="1:38" x14ac:dyDescent="0.2">
      <c r="A2203" s="2" t="str">
        <f>HYPERLINK("https://www.compass.com/listing/52-wooster-street-unit-2-manhattan-ny-10013/803345863291983185/","52 Wooster St, Unit 2")</f>
        <v>52 Wooster St, Unit 2</v>
      </c>
      <c r="B2203" s="2" t="str">
        <f t="shared" ref="B2203:B2204" si="357">HYPERLINK("https://www.compass.com/building/52-wooster-st-manhattan-ny-10013/281920538379585733/","52 Wooster St")</f>
        <v>52 Wooster St</v>
      </c>
      <c r="C2203" s="1" t="s">
        <v>298</v>
      </c>
      <c r="D2203" s="1" t="s">
        <v>41</v>
      </c>
      <c r="E2203" s="3">
        <v>4875000</v>
      </c>
      <c r="F2203" s="1">
        <v>2348.2658959537498</v>
      </c>
      <c r="G2203" s="1">
        <v>4</v>
      </c>
      <c r="H2203" s="1">
        <v>3</v>
      </c>
      <c r="I2203" s="1">
        <v>3</v>
      </c>
      <c r="J2203" s="1">
        <v>3.5</v>
      </c>
      <c r="K2203" s="1">
        <v>3</v>
      </c>
      <c r="L2203" s="1">
        <v>1</v>
      </c>
      <c r="M2203" s="4">
        <v>2076</v>
      </c>
      <c r="N2203" s="1">
        <v>1794</v>
      </c>
      <c r="O2203" s="1">
        <v>5292</v>
      </c>
      <c r="P2203" s="1">
        <v>3498</v>
      </c>
      <c r="Q2203" s="1" t="s">
        <v>42</v>
      </c>
      <c r="S2203" s="1" t="s">
        <v>42</v>
      </c>
      <c r="T2203" s="1" t="s">
        <v>273</v>
      </c>
      <c r="U2203" s="1">
        <v>385</v>
      </c>
      <c r="V2203" s="5">
        <v>43081</v>
      </c>
      <c r="W2203" s="5">
        <v>42670</v>
      </c>
      <c r="X2203" s="1">
        <v>5195000</v>
      </c>
      <c r="Y2203" s="1">
        <v>5195000</v>
      </c>
      <c r="Z2203" s="5">
        <v>43067</v>
      </c>
      <c r="AA2203" s="1">
        <v>4875000</v>
      </c>
      <c r="AB2203" s="1" t="s">
        <v>1256</v>
      </c>
      <c r="AC2203" s="5">
        <v>43080</v>
      </c>
      <c r="AF2203" s="1">
        <v>10013</v>
      </c>
      <c r="AI2203" s="1" t="s">
        <v>216</v>
      </c>
      <c r="AJ2203" s="1">
        <v>2015</v>
      </c>
      <c r="AK2203" s="1" t="s">
        <v>75</v>
      </c>
      <c r="AL2203" s="1">
        <v>4</v>
      </c>
    </row>
    <row r="2204" spans="1:38" x14ac:dyDescent="0.2">
      <c r="A2204" s="2" t="str">
        <f>HYPERLINK("https://www.compass.com/listing/52-wooster-street-unit-2-manhattan-ny-10013/70928262930457473/","52 Wooster St, Unit 2")</f>
        <v>52 Wooster St, Unit 2</v>
      </c>
      <c r="B2204" s="2" t="str">
        <f t="shared" si="357"/>
        <v>52 Wooster St</v>
      </c>
      <c r="C2204" s="1" t="s">
        <v>298</v>
      </c>
      <c r="D2204" s="1" t="s">
        <v>41</v>
      </c>
      <c r="E2204" s="3">
        <v>4875000</v>
      </c>
      <c r="F2204" s="1">
        <v>2348.2658959537498</v>
      </c>
      <c r="G2204" s="1">
        <v>4</v>
      </c>
      <c r="H2204" s="1">
        <v>3</v>
      </c>
      <c r="I2204" s="1">
        <v>3</v>
      </c>
      <c r="J2204" s="1">
        <v>3.5</v>
      </c>
      <c r="K2204" s="1">
        <v>3</v>
      </c>
      <c r="L2204" s="1">
        <v>1</v>
      </c>
      <c r="M2204" s="4">
        <v>2076</v>
      </c>
      <c r="N2204" s="1">
        <v>1794</v>
      </c>
      <c r="O2204" s="1">
        <v>5292</v>
      </c>
      <c r="P2204" s="1">
        <v>3498</v>
      </c>
      <c r="Q2204" s="1" t="s">
        <v>42</v>
      </c>
      <c r="S2204" s="1" t="s">
        <v>42</v>
      </c>
      <c r="T2204" s="1" t="s">
        <v>273</v>
      </c>
      <c r="U2204" s="1">
        <v>359</v>
      </c>
      <c r="V2204" s="5">
        <v>43089</v>
      </c>
      <c r="W2204" s="5">
        <v>42669</v>
      </c>
      <c r="X2204" s="1">
        <v>5350000</v>
      </c>
      <c r="Y2204" s="1">
        <v>5450000</v>
      </c>
      <c r="AA2204" s="1">
        <v>4875000</v>
      </c>
      <c r="AB2204" s="1" t="s">
        <v>1256</v>
      </c>
      <c r="AC2204" s="5">
        <v>43080</v>
      </c>
      <c r="AF2204" s="1">
        <v>10013</v>
      </c>
      <c r="AI2204" s="1" t="s">
        <v>216</v>
      </c>
      <c r="AJ2204" s="1">
        <v>2015</v>
      </c>
      <c r="AK2204" s="1" t="s">
        <v>75</v>
      </c>
      <c r="AL2204" s="1">
        <v>4</v>
      </c>
    </row>
    <row r="2205" spans="1:38" x14ac:dyDescent="0.2">
      <c r="A2205" s="2" t="str">
        <f>HYPERLINK("https://www.compass.com/listing/53-greene-street-unit-3-manhattan-ny-10013/29513644383451409/","53 Greene St, Unit 3")</f>
        <v>53 Greene St, Unit 3</v>
      </c>
      <c r="B2205" s="2" t="str">
        <f>HYPERLINK("https://www.compass.com/building/53-greene-st-manhattan-ny-10013/281920591823407893/","53 Greene St")</f>
        <v>53 Greene St</v>
      </c>
      <c r="C2205" s="1" t="s">
        <v>298</v>
      </c>
      <c r="D2205" s="1" t="s">
        <v>41</v>
      </c>
      <c r="E2205" s="3">
        <v>5600000</v>
      </c>
      <c r="F2205" s="1">
        <v>2020.9310718152201</v>
      </c>
      <c r="G2205" s="1">
        <v>5</v>
      </c>
      <c r="H2205" s="1">
        <v>2</v>
      </c>
      <c r="I2205" s="1">
        <v>3</v>
      </c>
      <c r="J2205" s="1">
        <v>3</v>
      </c>
      <c r="K2205" s="1">
        <v>3</v>
      </c>
      <c r="M2205" s="4">
        <v>2771</v>
      </c>
      <c r="N2205" s="1">
        <v>2246</v>
      </c>
      <c r="O2205" s="1">
        <v>5643</v>
      </c>
      <c r="P2205" s="1">
        <v>3397</v>
      </c>
      <c r="Q2205" s="1" t="s">
        <v>42</v>
      </c>
      <c r="S2205" s="1" t="s">
        <v>42</v>
      </c>
      <c r="T2205" s="1" t="s">
        <v>273</v>
      </c>
      <c r="U2205" s="1">
        <v>379</v>
      </c>
      <c r="V2205" s="5">
        <v>43489</v>
      </c>
      <c r="W2205" s="5">
        <v>43050</v>
      </c>
      <c r="X2205" s="1">
        <v>6850000</v>
      </c>
      <c r="Y2205" s="1">
        <v>6000000</v>
      </c>
      <c r="AA2205" s="1">
        <v>5600000</v>
      </c>
      <c r="AB2205" s="1" t="s">
        <v>1232</v>
      </c>
      <c r="AC2205" s="5">
        <v>43580</v>
      </c>
      <c r="AF2205" s="1">
        <v>10013</v>
      </c>
      <c r="AJ2205" s="1">
        <v>2014</v>
      </c>
      <c r="AL2205" s="1">
        <v>5</v>
      </c>
    </row>
    <row r="2206" spans="1:38" x14ac:dyDescent="0.2">
      <c r="A2206" s="2" t="str">
        <f>HYPERLINK("https://www.compass.com/listing/78-irving-place-unit-carriage-manhattan-ny-10003/4852282030953603985/","78 Irving Pl, Unit CARRIAGE")</f>
        <v>78 Irving Pl, Unit CARRIAGE</v>
      </c>
      <c r="B2206" s="2" t="str">
        <f>HYPERLINK("https://www.compass.com/building/78-irving-pl-manhattan-ny-10003/281894845214107557/","78 Irving Pl")</f>
        <v>78 Irving Pl</v>
      </c>
      <c r="C2206" s="1" t="s">
        <v>64</v>
      </c>
      <c r="D2206" s="1" t="s">
        <v>41</v>
      </c>
      <c r="E2206" s="3">
        <v>5995000</v>
      </c>
      <c r="F2206" s="1">
        <v>2474.20553033429</v>
      </c>
      <c r="G2206" s="1">
        <v>6</v>
      </c>
      <c r="H2206" s="1">
        <v>2</v>
      </c>
      <c r="I2206" s="1">
        <v>3</v>
      </c>
      <c r="J2206" s="1">
        <v>2.5</v>
      </c>
      <c r="M2206" s="4">
        <v>2423</v>
      </c>
      <c r="N2206" s="1">
        <v>3770</v>
      </c>
      <c r="O2206" s="1">
        <v>6166</v>
      </c>
      <c r="P2206" s="1">
        <v>2396</v>
      </c>
      <c r="Q2206" s="1" t="s">
        <v>42</v>
      </c>
      <c r="S2206" s="1" t="s">
        <v>42</v>
      </c>
      <c r="T2206" s="1" t="s">
        <v>273</v>
      </c>
      <c r="U2206" s="1">
        <v>113</v>
      </c>
      <c r="V2206" s="5">
        <v>43649</v>
      </c>
      <c r="W2206" s="5">
        <v>42874</v>
      </c>
      <c r="X2206" s="1">
        <v>6950000</v>
      </c>
      <c r="Y2206" s="1">
        <v>5995000</v>
      </c>
      <c r="Z2206" s="5">
        <v>42987</v>
      </c>
      <c r="AA2206" s="1">
        <v>5995000</v>
      </c>
      <c r="AB2206" s="1" t="s">
        <v>275</v>
      </c>
      <c r="AC2206" s="5">
        <v>43020</v>
      </c>
      <c r="AF2206" s="1">
        <v>10003</v>
      </c>
      <c r="AJ2206" s="1">
        <v>1920</v>
      </c>
      <c r="AK2206" s="1" t="s">
        <v>55</v>
      </c>
      <c r="AL2206" s="1">
        <v>7</v>
      </c>
    </row>
    <row r="2207" spans="1:38" x14ac:dyDescent="0.2">
      <c r="A2207" s="2" t="str">
        <f>HYPERLINK("https://www.compass.com/listing/90-morton-street-unit-8a-manhattan-ny-10014/29515685415737921/","90 Morton St, Unit 8A")</f>
        <v>90 Morton St, Unit 8A</v>
      </c>
      <c r="B2207" s="2" t="str">
        <f t="shared" ref="B2207:B2209" si="358">HYPERLINK("https://www.compass.com/building/90-morton-street-manhattan-ny/292834843018978005/","90 Morton Street")</f>
        <v>90 Morton Street</v>
      </c>
      <c r="C2207" s="1" t="s">
        <v>67</v>
      </c>
      <c r="D2207" s="1" t="s">
        <v>41</v>
      </c>
      <c r="E2207" s="3">
        <v>7636875</v>
      </c>
      <c r="F2207" s="1">
        <v>2841.0993303571399</v>
      </c>
      <c r="G2207" s="1">
        <v>4</v>
      </c>
      <c r="H2207" s="1">
        <v>2</v>
      </c>
      <c r="I2207" s="1">
        <v>3</v>
      </c>
      <c r="J2207" s="1">
        <v>2.5</v>
      </c>
      <c r="K2207" s="1">
        <v>2</v>
      </c>
      <c r="L2207" s="1">
        <v>1</v>
      </c>
      <c r="M2207" s="4">
        <v>2688</v>
      </c>
      <c r="N2207" s="1">
        <v>3966.95</v>
      </c>
      <c r="O2207" s="1">
        <v>7152.9</v>
      </c>
      <c r="P2207" s="1">
        <v>3185.9166666666601</v>
      </c>
      <c r="Q2207" s="1" t="s">
        <v>42</v>
      </c>
      <c r="S2207" s="1" t="s">
        <v>42</v>
      </c>
      <c r="T2207" s="1" t="s">
        <v>273</v>
      </c>
      <c r="V2207" s="5">
        <v>43697</v>
      </c>
      <c r="W2207" s="5">
        <v>43207</v>
      </c>
      <c r="X2207" s="1">
        <v>9930000</v>
      </c>
      <c r="Y2207" s="1">
        <v>9930000</v>
      </c>
      <c r="Z2207" s="5">
        <v>43207</v>
      </c>
      <c r="AA2207" s="1">
        <v>7636875</v>
      </c>
      <c r="AB2207" s="1" t="s">
        <v>1257</v>
      </c>
      <c r="AC2207" s="5">
        <v>43644</v>
      </c>
      <c r="AF2207" s="1">
        <v>10014</v>
      </c>
      <c r="AI2207" s="1" t="s">
        <v>140</v>
      </c>
      <c r="AJ2207" s="1">
        <v>2018</v>
      </c>
      <c r="AK2207" s="1" t="s">
        <v>49</v>
      </c>
      <c r="AL2207" s="1">
        <v>35</v>
      </c>
    </row>
    <row r="2208" spans="1:38" x14ac:dyDescent="0.2">
      <c r="A2208" s="2" t="str">
        <f>HYPERLINK("https://www.compass.com/listing/90-morton-street-unit-8d-manhattan-ny-10014/29515686002893041/","90 Morton St, Unit 8D")</f>
        <v>90 Morton St, Unit 8D</v>
      </c>
      <c r="B2208" s="2" t="str">
        <f t="shared" si="358"/>
        <v>90 Morton Street</v>
      </c>
      <c r="C2208" s="1" t="s">
        <v>67</v>
      </c>
      <c r="D2208" s="1" t="s">
        <v>41</v>
      </c>
      <c r="E2208" s="3">
        <v>5566940</v>
      </c>
      <c r="F2208" s="1">
        <v>2342.9882449494899</v>
      </c>
      <c r="G2208" s="1">
        <v>5</v>
      </c>
      <c r="H2208" s="1">
        <v>3</v>
      </c>
      <c r="I2208" s="1">
        <v>3</v>
      </c>
      <c r="J2208" s="1">
        <v>2.5</v>
      </c>
      <c r="K2208" s="1">
        <v>2</v>
      </c>
      <c r="L2208" s="1">
        <v>1</v>
      </c>
      <c r="M2208" s="4">
        <v>2376</v>
      </c>
      <c r="N2208" s="1">
        <v>3253.85</v>
      </c>
      <c r="O2208" s="1">
        <v>5867.09</v>
      </c>
      <c r="P2208" s="1">
        <v>2613.25</v>
      </c>
      <c r="Q2208" s="1" t="s">
        <v>42</v>
      </c>
      <c r="S2208" s="1" t="s">
        <v>42</v>
      </c>
      <c r="T2208" s="1" t="s">
        <v>273</v>
      </c>
      <c r="V2208" s="5">
        <v>43740</v>
      </c>
      <c r="W2208" s="5">
        <v>43207</v>
      </c>
      <c r="X2208" s="1">
        <v>7515000</v>
      </c>
      <c r="Y2208" s="1">
        <v>7515000</v>
      </c>
      <c r="Z2208" s="5">
        <v>43207</v>
      </c>
      <c r="AA2208" s="1">
        <v>7515000</v>
      </c>
      <c r="AB2208" s="1" t="s">
        <v>275</v>
      </c>
      <c r="AC2208" s="5">
        <v>43712</v>
      </c>
      <c r="AF2208" s="1">
        <v>10014</v>
      </c>
      <c r="AI2208" s="1" t="s">
        <v>48</v>
      </c>
      <c r="AJ2208" s="1">
        <v>2018</v>
      </c>
      <c r="AK2208" s="1" t="s">
        <v>49</v>
      </c>
      <c r="AL2208" s="1">
        <v>35</v>
      </c>
    </row>
    <row r="2209" spans="1:38" x14ac:dyDescent="0.2">
      <c r="A2209" s="2" t="str">
        <f>HYPERLINK("https://www.compass.com/listing/90-morton-street-unit-8d-manhattan-ny-10014/480868872384456441/","90 Morton St, Unit 8D")</f>
        <v>90 Morton St, Unit 8D</v>
      </c>
      <c r="B2209" s="2" t="str">
        <f t="shared" si="358"/>
        <v>90 Morton Street</v>
      </c>
      <c r="C2209" s="1" t="s">
        <v>67</v>
      </c>
      <c r="D2209" s="1" t="s">
        <v>41</v>
      </c>
      <c r="E2209" s="3">
        <v>5566940</v>
      </c>
      <c r="F2209" s="1">
        <v>2342.9882449494899</v>
      </c>
      <c r="H2209" s="1">
        <v>3</v>
      </c>
      <c r="J2209" s="1">
        <v>2.5</v>
      </c>
      <c r="K2209" s="1">
        <v>2</v>
      </c>
      <c r="L2209" s="1">
        <v>1</v>
      </c>
      <c r="M2209" s="4">
        <v>2376</v>
      </c>
      <c r="N2209" s="1">
        <v>3253.85</v>
      </c>
      <c r="O2209" s="1">
        <v>5867.09</v>
      </c>
      <c r="P2209" s="1">
        <v>2613.25</v>
      </c>
      <c r="Q2209" s="1" t="s">
        <v>42</v>
      </c>
      <c r="S2209" s="1" t="s">
        <v>42</v>
      </c>
      <c r="T2209" s="1" t="s">
        <v>273</v>
      </c>
      <c r="AA2209" s="1">
        <v>5566940.0700000003</v>
      </c>
      <c r="AB2209" s="1" t="s">
        <v>1258</v>
      </c>
      <c r="AC2209" s="5">
        <v>43712</v>
      </c>
      <c r="AF2209" s="1">
        <v>10014</v>
      </c>
      <c r="AI2209" s="1" t="s">
        <v>140</v>
      </c>
      <c r="AJ2209" s="1">
        <v>2018</v>
      </c>
      <c r="AK2209" s="1" t="s">
        <v>49</v>
      </c>
      <c r="AL2209" s="1">
        <v>35</v>
      </c>
    </row>
    <row r="2210" spans="1:38" x14ac:dyDescent="0.2">
      <c r="A2210" s="2" t="str">
        <f>HYPERLINK("https://www.compass.com/listing/160-leroy-street-unit-6a-s-manhattan-ny-10014/293392779093068897/","160 Leroy St, Unit 6A S")</f>
        <v>160 Leroy St, Unit 6A S</v>
      </c>
      <c r="B2210" s="2" t="str">
        <f>HYPERLINK("https://www.compass.com/building/160-leroy-st-manhattan-ny-10014/293418469918017093/","160 Leroy St")</f>
        <v>160 Leroy St</v>
      </c>
      <c r="C2210" s="1" t="s">
        <v>67</v>
      </c>
      <c r="D2210" s="1" t="s">
        <v>41</v>
      </c>
      <c r="E2210" s="3">
        <v>2600000</v>
      </c>
      <c r="F2210" s="1">
        <v>2372.2627737226198</v>
      </c>
      <c r="H2210" s="1">
        <v>1</v>
      </c>
      <c r="J2210" s="1">
        <v>1.5</v>
      </c>
      <c r="K2210" s="1">
        <v>1</v>
      </c>
      <c r="L2210" s="1">
        <v>1</v>
      </c>
      <c r="M2210" s="4">
        <v>1096</v>
      </c>
      <c r="N2210" s="1">
        <v>1687</v>
      </c>
      <c r="O2210" s="1">
        <v>3841</v>
      </c>
      <c r="P2210" s="1">
        <v>2154</v>
      </c>
      <c r="Q2210" s="1" t="s">
        <v>42</v>
      </c>
      <c r="S2210" s="1" t="s">
        <v>42</v>
      </c>
      <c r="T2210" s="1" t="s">
        <v>273</v>
      </c>
      <c r="AA2210" s="1">
        <v>2600000</v>
      </c>
      <c r="AB2210" s="1" t="s">
        <v>1259</v>
      </c>
      <c r="AC2210" s="5">
        <v>43214</v>
      </c>
      <c r="AF2210" s="1">
        <v>10014</v>
      </c>
      <c r="AI2210" s="1" t="s">
        <v>65</v>
      </c>
      <c r="AJ2210" s="1">
        <v>2017</v>
      </c>
      <c r="AK2210" s="1" t="s">
        <v>202</v>
      </c>
      <c r="AL2210" s="1">
        <v>57</v>
      </c>
    </row>
    <row r="2211" spans="1:38" x14ac:dyDescent="0.2">
      <c r="A2211" s="2" t="str">
        <f>HYPERLINK("https://www.compass.com/listing/53-greene-street-unit-4-manhattan-ny-10013/29362528366699617/","53 Greene St, Unit 4")</f>
        <v>53 Greene St, Unit 4</v>
      </c>
      <c r="B2211" s="2" t="str">
        <f t="shared" ref="B2211:B2212" si="359">HYPERLINK("https://www.compass.com/building/53-greene-st-manhattan-ny-10013/281920591823407893/","53 Greene St")</f>
        <v>53 Greene St</v>
      </c>
      <c r="C2211" s="1" t="s">
        <v>298</v>
      </c>
      <c r="D2211" s="1" t="s">
        <v>41</v>
      </c>
      <c r="E2211" s="3">
        <v>6109500</v>
      </c>
      <c r="F2211" s="1">
        <v>2204.79971129556</v>
      </c>
      <c r="G2211" s="1">
        <v>5</v>
      </c>
      <c r="H2211" s="1">
        <v>2</v>
      </c>
      <c r="I2211" s="1">
        <v>3</v>
      </c>
      <c r="J2211" s="1">
        <v>3</v>
      </c>
      <c r="M2211" s="4">
        <v>2771</v>
      </c>
      <c r="N2211" s="1">
        <v>2402</v>
      </c>
      <c r="O2211" s="1">
        <v>4020</v>
      </c>
      <c r="P2211" s="1">
        <v>1618</v>
      </c>
      <c r="Q2211" s="1" t="s">
        <v>42</v>
      </c>
      <c r="S2211" s="1" t="s">
        <v>42</v>
      </c>
      <c r="T2211" s="1" t="s">
        <v>273</v>
      </c>
      <c r="V2211" s="5">
        <v>43687</v>
      </c>
      <c r="W2211" s="5">
        <v>41640</v>
      </c>
      <c r="X2211" s="1">
        <v>6450000</v>
      </c>
      <c r="Y2211" s="1">
        <v>6450000</v>
      </c>
      <c r="Z2211" s="5">
        <v>41640</v>
      </c>
      <c r="AA2211" s="1">
        <v>6109500</v>
      </c>
      <c r="AB2211" s="1" t="s">
        <v>1260</v>
      </c>
      <c r="AC2211" s="5">
        <v>41814</v>
      </c>
      <c r="AF2211" s="1">
        <v>10013</v>
      </c>
      <c r="AJ2211" s="1">
        <v>2014</v>
      </c>
      <c r="AL2211" s="1">
        <v>5</v>
      </c>
    </row>
    <row r="2212" spans="1:38" x14ac:dyDescent="0.2">
      <c r="A2212" s="2" t="str">
        <f>HYPERLINK("https://www.compass.com/listing/53-greene-street-unit-5-manhattan-ny-10013/29362528710586129/","53 Greene St, Unit 5")</f>
        <v>53 Greene St, Unit 5</v>
      </c>
      <c r="B2212" s="2" t="str">
        <f t="shared" si="359"/>
        <v>53 Greene St</v>
      </c>
      <c r="C2212" s="1" t="s">
        <v>298</v>
      </c>
      <c r="D2212" s="1" t="s">
        <v>41</v>
      </c>
      <c r="E2212" s="3">
        <v>6211325</v>
      </c>
      <c r="F2212" s="1">
        <v>2241.5463731504801</v>
      </c>
      <c r="G2212" s="1">
        <v>5</v>
      </c>
      <c r="H2212" s="1">
        <v>2</v>
      </c>
      <c r="I2212" s="1">
        <v>3</v>
      </c>
      <c r="J2212" s="1">
        <v>3</v>
      </c>
      <c r="M2212" s="4">
        <v>2771</v>
      </c>
      <c r="N2212" s="1">
        <v>2513</v>
      </c>
      <c r="O2212" s="1">
        <v>4206</v>
      </c>
      <c r="P2212" s="1">
        <v>1693</v>
      </c>
      <c r="Q2212" s="1" t="s">
        <v>42</v>
      </c>
      <c r="S2212" s="1" t="s">
        <v>42</v>
      </c>
      <c r="T2212" s="1" t="s">
        <v>273</v>
      </c>
      <c r="V2212" s="5">
        <v>43689</v>
      </c>
      <c r="W2212" s="5">
        <v>41611</v>
      </c>
      <c r="X2212" s="1">
        <v>6570000</v>
      </c>
      <c r="Y2212" s="1">
        <v>6570000</v>
      </c>
      <c r="Z2212" s="5">
        <v>41620</v>
      </c>
      <c r="AA2212" s="1">
        <v>6211325</v>
      </c>
      <c r="AB2212" s="1" t="s">
        <v>1261</v>
      </c>
      <c r="AC2212" s="5">
        <v>41814</v>
      </c>
      <c r="AF2212" s="1">
        <v>10013</v>
      </c>
      <c r="AJ2212" s="1">
        <v>2014</v>
      </c>
      <c r="AL2212" s="1">
        <v>5</v>
      </c>
    </row>
    <row r="2213" spans="1:38" x14ac:dyDescent="0.2">
      <c r="A2213" s="2" t="str">
        <f>HYPERLINK("https://www.compass.com/listing/565-broome-street-unit-s9c-manhattan-ny-10013/323080842225943409/","565 Broome St, Unit S9C")</f>
        <v>565 Broome St, Unit S9C</v>
      </c>
      <c r="B2213" s="2" t="str">
        <f>HYPERLINK("https://www.compass.com/building/565-broome-soho-manhattan-ny/292813251698267109/","565 Broome Soho")</f>
        <v>565 Broome Soho</v>
      </c>
      <c r="C2213" s="1" t="s">
        <v>298</v>
      </c>
      <c r="D2213" s="1" t="s">
        <v>41</v>
      </c>
      <c r="E2213" s="3">
        <v>3400000</v>
      </c>
      <c r="F2213" s="1">
        <v>2022.60559190957</v>
      </c>
      <c r="G2213" s="1">
        <v>4.5</v>
      </c>
      <c r="H2213" s="1">
        <v>2</v>
      </c>
      <c r="I2213" s="1">
        <v>3</v>
      </c>
      <c r="J2213" s="1">
        <v>2.5</v>
      </c>
      <c r="K2213" s="1">
        <v>2</v>
      </c>
      <c r="L2213" s="1">
        <v>1</v>
      </c>
      <c r="M2213" s="4">
        <v>1681</v>
      </c>
      <c r="N2213" s="1">
        <v>2479</v>
      </c>
      <c r="O2213" s="1">
        <v>5213</v>
      </c>
      <c r="P2213" s="1">
        <v>2734</v>
      </c>
      <c r="Q2213" s="1" t="s">
        <v>42</v>
      </c>
      <c r="S2213" s="1" t="s">
        <v>42</v>
      </c>
      <c r="T2213" s="1" t="s">
        <v>273</v>
      </c>
      <c r="U2213" s="1">
        <v>16</v>
      </c>
      <c r="V2213" s="5">
        <v>44337</v>
      </c>
      <c r="W2213" s="5">
        <v>43698</v>
      </c>
      <c r="X2213" s="1">
        <v>4075000</v>
      </c>
      <c r="Y2213" s="1">
        <v>4075000</v>
      </c>
      <c r="Z2213" s="5">
        <v>43718</v>
      </c>
      <c r="AA2213" s="1">
        <v>3400000</v>
      </c>
      <c r="AB2213" s="1" t="s">
        <v>1262</v>
      </c>
      <c r="AC2213" s="5">
        <v>43714</v>
      </c>
      <c r="AF2213" s="1">
        <v>10013</v>
      </c>
      <c r="AI2213" s="1" t="s">
        <v>48</v>
      </c>
      <c r="AJ2213" s="1">
        <v>2019</v>
      </c>
      <c r="AK2213" s="1" t="s">
        <v>46</v>
      </c>
      <c r="AL2213" s="1">
        <v>115</v>
      </c>
    </row>
    <row r="2214" spans="1:38" x14ac:dyDescent="0.2">
      <c r="A2214" s="2" t="str">
        <f>HYPERLINK("https://www.compass.com/listing/52-wooster-street-unit-ph-manhattan-ny-10013/29514351576742497/","52 Wooster St, Unit PH")</f>
        <v>52 Wooster St, Unit PH</v>
      </c>
      <c r="B2214" s="2" t="str">
        <f>HYPERLINK("https://www.compass.com/building/52-wooster-st-manhattan-ny-10013/281920538379585733/","52 Wooster St")</f>
        <v>52 Wooster St</v>
      </c>
      <c r="C2214" s="1" t="s">
        <v>298</v>
      </c>
      <c r="D2214" s="1" t="s">
        <v>41</v>
      </c>
      <c r="E2214" s="3">
        <v>13825013</v>
      </c>
      <c r="F2214" s="1">
        <v>3237.7079625292699</v>
      </c>
      <c r="G2214" s="1">
        <v>7</v>
      </c>
      <c r="H2214" s="1">
        <v>4</v>
      </c>
      <c r="I2214" s="1">
        <v>4</v>
      </c>
      <c r="J2214" s="1">
        <v>5</v>
      </c>
      <c r="K2214" s="1">
        <v>4</v>
      </c>
      <c r="L2214" s="1">
        <v>2</v>
      </c>
      <c r="M2214" s="4">
        <v>4270</v>
      </c>
      <c r="N2214" s="1">
        <v>3777</v>
      </c>
      <c r="O2214" s="1">
        <v>10254</v>
      </c>
      <c r="P2214" s="1">
        <v>6477</v>
      </c>
      <c r="Q2214" s="1" t="s">
        <v>42</v>
      </c>
      <c r="S2214" s="1" t="s">
        <v>42</v>
      </c>
      <c r="T2214" s="1" t="s">
        <v>273</v>
      </c>
      <c r="U2214" s="1">
        <v>127</v>
      </c>
      <c r="V2214" s="5">
        <v>43647</v>
      </c>
      <c r="W2214" s="5">
        <v>43123</v>
      </c>
      <c r="X2214" s="1">
        <v>14800000</v>
      </c>
      <c r="Y2214" s="1">
        <v>13900000</v>
      </c>
      <c r="Z2214" s="5">
        <v>43250</v>
      </c>
      <c r="AA2214" s="1">
        <v>13825013</v>
      </c>
      <c r="AB2214" s="1" t="s">
        <v>1263</v>
      </c>
      <c r="AC2214" s="5">
        <v>43330</v>
      </c>
      <c r="AF2214" s="1">
        <v>10013</v>
      </c>
      <c r="AI2214" s="1" t="s">
        <v>780</v>
      </c>
      <c r="AJ2214" s="1">
        <v>2015</v>
      </c>
      <c r="AK2214" s="1" t="s">
        <v>447</v>
      </c>
      <c r="AL2214" s="1">
        <v>4</v>
      </c>
    </row>
    <row r="2215" spans="1:38" x14ac:dyDescent="0.2">
      <c r="A2215" s="2" t="str">
        <f>HYPERLINK("https://www.compass.com/listing/207-west-79th-street-unit-6b-manhattan-ny-10024/268653998230223025/","207 W 79th St, Unit 6B")</f>
        <v>207 W 79th St, Unit 6B</v>
      </c>
      <c r="B2215" s="2" t="str">
        <f t="shared" ref="B2215:B2216" si="360">HYPERLINK("https://www.compass.com/building/207-west-79th-street-manhattan-ny/292869088261262661/","207 West 79th Street")</f>
        <v>207 West 79th Street</v>
      </c>
      <c r="C2215" s="1" t="s">
        <v>57</v>
      </c>
      <c r="D2215" s="1" t="s">
        <v>41</v>
      </c>
      <c r="E2215" s="3">
        <v>4350000</v>
      </c>
      <c r="F2215" s="1">
        <v>2147.0878578479701</v>
      </c>
      <c r="G2215" s="1">
        <v>5.5</v>
      </c>
      <c r="H2215" s="1">
        <v>3</v>
      </c>
      <c r="I2215" s="1">
        <v>4</v>
      </c>
      <c r="J2215" s="1">
        <v>3.5</v>
      </c>
      <c r="K2215" s="1">
        <v>3</v>
      </c>
      <c r="L2215" s="1">
        <v>1</v>
      </c>
      <c r="M2215" s="4">
        <v>2026</v>
      </c>
      <c r="N2215" s="1">
        <v>2759</v>
      </c>
      <c r="O2215" s="1">
        <v>5778</v>
      </c>
      <c r="P2215" s="1">
        <v>3019</v>
      </c>
      <c r="Q2215" s="1" t="s">
        <v>42</v>
      </c>
      <c r="S2215" s="1" t="s">
        <v>42</v>
      </c>
      <c r="T2215" s="1" t="s">
        <v>273</v>
      </c>
      <c r="U2215" s="1">
        <v>8</v>
      </c>
      <c r="V2215" s="5">
        <v>43694</v>
      </c>
      <c r="W2215" s="5">
        <v>43623</v>
      </c>
      <c r="X2215" s="1">
        <v>4425000</v>
      </c>
      <c r="Y2215" s="1">
        <v>4425000</v>
      </c>
      <c r="Z2215" s="5">
        <v>43631</v>
      </c>
      <c r="AA2215" s="1">
        <v>4350000</v>
      </c>
      <c r="AB2215" s="1" t="s">
        <v>1264</v>
      </c>
      <c r="AC2215" s="5">
        <v>43636</v>
      </c>
      <c r="AF2215" s="1">
        <v>10024</v>
      </c>
      <c r="AJ2215" s="1">
        <v>2017</v>
      </c>
      <c r="AK2215" s="1" t="s">
        <v>125</v>
      </c>
      <c r="AL2215" s="1">
        <v>19</v>
      </c>
    </row>
    <row r="2216" spans="1:38" x14ac:dyDescent="0.2">
      <c r="A2216" s="2" t="str">
        <f>HYPERLINK("https://www.compass.com/listing/207-west-79th-street-unit-6a-manhattan-ny-10024/29608550653269969/","207 W 79th St, Unit 6A")</f>
        <v>207 W 79th St, Unit 6A</v>
      </c>
      <c r="B2216" s="2" t="str">
        <f t="shared" si="360"/>
        <v>207 West 79th Street</v>
      </c>
      <c r="C2216" s="1" t="s">
        <v>57</v>
      </c>
      <c r="D2216" s="1" t="s">
        <v>41</v>
      </c>
      <c r="E2216" s="3">
        <v>4350000</v>
      </c>
      <c r="F2216" s="1">
        <v>2180.45112781954</v>
      </c>
      <c r="G2216" s="1">
        <v>5</v>
      </c>
      <c r="H2216" s="1">
        <v>3</v>
      </c>
      <c r="I2216" s="1">
        <v>4</v>
      </c>
      <c r="J2216" s="1">
        <v>3.5</v>
      </c>
      <c r="K2216" s="1">
        <v>3</v>
      </c>
      <c r="L2216" s="1">
        <v>1</v>
      </c>
      <c r="M2216" s="4">
        <v>1995</v>
      </c>
      <c r="N2216" s="1">
        <v>2717</v>
      </c>
      <c r="O2216" s="1">
        <v>5680</v>
      </c>
      <c r="P2216" s="1">
        <v>2963</v>
      </c>
      <c r="Q2216" s="1" t="s">
        <v>42</v>
      </c>
      <c r="S2216" s="1" t="s">
        <v>42</v>
      </c>
      <c r="T2216" s="1" t="s">
        <v>273</v>
      </c>
      <c r="U2216" s="1">
        <v>557</v>
      </c>
      <c r="V2216" s="5">
        <v>43872</v>
      </c>
      <c r="W2216" s="5">
        <v>43220</v>
      </c>
      <c r="X2216" s="1">
        <v>5050000</v>
      </c>
      <c r="Y2216" s="1">
        <v>4495000</v>
      </c>
      <c r="Z2216" s="5">
        <v>43777</v>
      </c>
      <c r="AA2216" s="1">
        <v>4350000</v>
      </c>
      <c r="AB2216" s="1" t="s">
        <v>1265</v>
      </c>
      <c r="AC2216" s="5">
        <v>43845</v>
      </c>
      <c r="AF2216" s="1">
        <v>10024</v>
      </c>
      <c r="AJ2216" s="1">
        <v>2017</v>
      </c>
      <c r="AK2216" s="1" t="s">
        <v>125</v>
      </c>
      <c r="AL2216" s="1">
        <v>19</v>
      </c>
    </row>
    <row r="2217" spans="1:38" x14ac:dyDescent="0.2">
      <c r="A2217" s="2" t="str">
        <f>HYPERLINK("https://www.compass.com/listing/565-broome-street-unit-s19a-manhattan-ny-10013/29515001878335905/","565 Broome St, Unit S19A")</f>
        <v>565 Broome St, Unit S19A</v>
      </c>
      <c r="B2217" s="2" t="str">
        <f t="shared" ref="B2217:B2218" si="361">HYPERLINK("https://www.compass.com/building/565-broome-soho-manhattan-ny/292813251698267109/","565 Broome Soho")</f>
        <v>565 Broome Soho</v>
      </c>
      <c r="C2217" s="1" t="s">
        <v>298</v>
      </c>
      <c r="D2217" s="1" t="s">
        <v>41</v>
      </c>
      <c r="E2217" s="3">
        <v>11064869</v>
      </c>
      <c r="F2217" s="1">
        <v>2494.8971815107102</v>
      </c>
      <c r="G2217" s="1">
        <v>4</v>
      </c>
      <c r="H2217" s="1">
        <v>3</v>
      </c>
      <c r="I2217" s="1">
        <v>4</v>
      </c>
      <c r="J2217" s="1">
        <v>3.5</v>
      </c>
      <c r="K2217" s="1">
        <v>3</v>
      </c>
      <c r="L2217" s="1">
        <v>1</v>
      </c>
      <c r="M2217" s="4">
        <v>4435</v>
      </c>
      <c r="N2217" s="1">
        <v>6797</v>
      </c>
      <c r="O2217" s="1">
        <v>14294</v>
      </c>
      <c r="P2217" s="1">
        <v>7497</v>
      </c>
      <c r="Q2217" s="1" t="s">
        <v>42</v>
      </c>
      <c r="S2217" s="1" t="s">
        <v>42</v>
      </c>
      <c r="T2217" s="1" t="s">
        <v>273</v>
      </c>
      <c r="V2217" s="5">
        <v>44225</v>
      </c>
      <c r="W2217" s="5">
        <v>42900</v>
      </c>
      <c r="X2217" s="1">
        <v>5560000</v>
      </c>
      <c r="Y2217" s="1">
        <v>5560000</v>
      </c>
      <c r="Z2217" s="5">
        <v>42900</v>
      </c>
      <c r="AA2217" s="1">
        <v>11064869</v>
      </c>
      <c r="AB2217" s="1" t="s">
        <v>1266</v>
      </c>
      <c r="AC2217" s="5">
        <v>43644</v>
      </c>
      <c r="AF2217" s="1">
        <v>10013</v>
      </c>
      <c r="AI2217" s="1" t="s">
        <v>242</v>
      </c>
      <c r="AJ2217" s="1">
        <v>2019</v>
      </c>
      <c r="AK2217" s="1" t="s">
        <v>46</v>
      </c>
      <c r="AL2217" s="1">
        <v>115</v>
      </c>
    </row>
    <row r="2218" spans="1:38" x14ac:dyDescent="0.2">
      <c r="A2218" s="2" t="str">
        <f>HYPERLINK("https://www.compass.com/listing/565-broome-street-unit-n6g-manhattan-ny-10013/29514993061949457/","565 Broome St, Unit N6G")</f>
        <v>565 Broome St, Unit N6G</v>
      </c>
      <c r="B2218" s="2" t="str">
        <f t="shared" si="361"/>
        <v>565 Broome Soho</v>
      </c>
      <c r="C2218" s="1" t="s">
        <v>298</v>
      </c>
      <c r="D2218" s="1" t="s">
        <v>41</v>
      </c>
      <c r="E2218" s="3">
        <v>997885</v>
      </c>
      <c r="F2218" s="1">
        <v>2174.0413943355102</v>
      </c>
      <c r="G2218" s="1">
        <v>2</v>
      </c>
      <c r="H2218" s="1" t="s">
        <v>99</v>
      </c>
      <c r="I2218" s="1">
        <v>1</v>
      </c>
      <c r="J2218" s="1">
        <v>1</v>
      </c>
      <c r="K2218" s="1">
        <v>1</v>
      </c>
      <c r="M2218" s="1">
        <v>459</v>
      </c>
      <c r="N2218" s="1">
        <v>667</v>
      </c>
      <c r="O2218" s="1">
        <v>1403</v>
      </c>
      <c r="P2218" s="1">
        <v>736</v>
      </c>
      <c r="Q2218" s="1" t="s">
        <v>42</v>
      </c>
      <c r="S2218" s="1" t="s">
        <v>42</v>
      </c>
      <c r="T2218" s="1" t="s">
        <v>273</v>
      </c>
      <c r="V2218" s="5">
        <v>44338</v>
      </c>
      <c r="W2218" s="5">
        <v>42652</v>
      </c>
      <c r="X2218" s="1">
        <v>980000</v>
      </c>
      <c r="Y2218" s="1">
        <v>980000</v>
      </c>
      <c r="Z2218" s="5">
        <v>42652</v>
      </c>
      <c r="AA2218" s="1">
        <v>997885</v>
      </c>
      <c r="AB2218" s="1" t="s">
        <v>1267</v>
      </c>
      <c r="AC2218" s="5">
        <v>43619</v>
      </c>
      <c r="AF2218" s="1">
        <v>10013</v>
      </c>
      <c r="AI2218" s="1" t="s">
        <v>242</v>
      </c>
      <c r="AJ2218" s="1">
        <v>2019</v>
      </c>
      <c r="AK2218" s="1" t="s">
        <v>46</v>
      </c>
      <c r="AL2218" s="1">
        <v>115</v>
      </c>
    </row>
    <row r="2219" spans="1:38" x14ac:dyDescent="0.2">
      <c r="A2219" s="2" t="str">
        <f>HYPERLINK("https://www.compass.com/listing/78-irving-place-unit-2-manhattan-ny-10003/181063462145816705/","78 Irving Pl, Unit 2")</f>
        <v>78 Irving Pl, Unit 2</v>
      </c>
      <c r="B2219" s="2" t="str">
        <f t="shared" ref="B2219:B2220" si="362">HYPERLINK("https://www.compass.com/building/78-irving-pl-manhattan-ny-10003/281894845214107557/","78 Irving Pl")</f>
        <v>78 Irving Pl</v>
      </c>
      <c r="C2219" s="1" t="s">
        <v>64</v>
      </c>
      <c r="D2219" s="1" t="s">
        <v>41</v>
      </c>
      <c r="E2219" s="3">
        <v>6593169</v>
      </c>
      <c r="F2219" s="1">
        <v>2983.3343891402701</v>
      </c>
      <c r="G2219" s="1">
        <v>6</v>
      </c>
      <c r="H2219" s="1">
        <v>3</v>
      </c>
      <c r="I2219" s="1">
        <v>3</v>
      </c>
      <c r="J2219" s="1">
        <v>3</v>
      </c>
      <c r="M2219" s="4">
        <v>2210</v>
      </c>
      <c r="N2219" s="1">
        <v>3586</v>
      </c>
      <c r="O2219" s="1">
        <v>5865</v>
      </c>
      <c r="P2219" s="1">
        <v>2279</v>
      </c>
      <c r="Q2219" s="1" t="s">
        <v>1268</v>
      </c>
      <c r="S2219" s="1" t="s">
        <v>100</v>
      </c>
      <c r="T2219" s="1" t="s">
        <v>273</v>
      </c>
      <c r="U2219" s="1">
        <v>103</v>
      </c>
      <c r="V2219" s="5">
        <v>43668</v>
      </c>
      <c r="W2219" s="5">
        <v>42645</v>
      </c>
      <c r="X2219" s="1">
        <v>6475000</v>
      </c>
      <c r="Y2219" s="1">
        <v>6475000</v>
      </c>
      <c r="Z2219" s="5">
        <v>42748</v>
      </c>
      <c r="AA2219" s="1">
        <v>6593169</v>
      </c>
      <c r="AB2219" s="1" t="s">
        <v>1269</v>
      </c>
      <c r="AC2219" s="5">
        <v>42774</v>
      </c>
      <c r="AF2219" s="1">
        <v>10003</v>
      </c>
      <c r="AJ2219" s="1">
        <v>1920</v>
      </c>
      <c r="AK2219" s="1" t="s">
        <v>55</v>
      </c>
      <c r="AL2219" s="1">
        <v>7</v>
      </c>
    </row>
    <row r="2220" spans="1:38" x14ac:dyDescent="0.2">
      <c r="A2220" s="2" t="str">
        <f>HYPERLINK("https://www.compass.com/listing/78-irving-place-unit-4-manhattan-ny-10003/29377810875309249/","78 Irving Pl, Unit 4")</f>
        <v>78 Irving Pl, Unit 4</v>
      </c>
      <c r="B2220" s="2" t="str">
        <f t="shared" si="362"/>
        <v>78 Irving Pl</v>
      </c>
      <c r="C2220" s="1" t="s">
        <v>64</v>
      </c>
      <c r="D2220" s="1" t="s">
        <v>41</v>
      </c>
      <c r="E2220" s="3">
        <v>7076838</v>
      </c>
      <c r="F2220" s="1">
        <v>3202.1889140271401</v>
      </c>
      <c r="G2220" s="1">
        <v>6</v>
      </c>
      <c r="H2220" s="1">
        <v>3</v>
      </c>
      <c r="I2220" s="1">
        <v>3</v>
      </c>
      <c r="J2220" s="1">
        <v>3</v>
      </c>
      <c r="M2220" s="4">
        <v>2210</v>
      </c>
      <c r="N2220" s="1">
        <v>3984</v>
      </c>
      <c r="O2220" s="1">
        <v>6516</v>
      </c>
      <c r="P2220" s="1">
        <v>2532</v>
      </c>
      <c r="Q2220" s="1" t="s">
        <v>1268</v>
      </c>
      <c r="S2220" s="1" t="s">
        <v>100</v>
      </c>
      <c r="T2220" s="1" t="s">
        <v>273</v>
      </c>
      <c r="V2220" s="5">
        <v>42712</v>
      </c>
      <c r="AA2220" s="1">
        <v>7076837.5</v>
      </c>
      <c r="AB2220" s="1" t="s">
        <v>1270</v>
      </c>
      <c r="AC2220" s="5">
        <v>42660</v>
      </c>
      <c r="AF2220" s="1">
        <v>10003</v>
      </c>
      <c r="AJ2220" s="1">
        <v>1920</v>
      </c>
      <c r="AK2220" s="1" t="s">
        <v>55</v>
      </c>
      <c r="AL2220" s="1">
        <v>7</v>
      </c>
    </row>
    <row r="2221" spans="1:38" x14ac:dyDescent="0.2">
      <c r="A2221" s="2" t="str">
        <f>HYPERLINK("https://www.compass.com/listing/565-broome-street-unit-n11d-manhattan-ny-10013/314355165720955857/","565 Broome St, Unit N11D")</f>
        <v>565 Broome St, Unit N11D</v>
      </c>
      <c r="B2221" s="2" t="str">
        <f>HYPERLINK("https://www.compass.com/building/565-broome-soho-manhattan-ny/292813251698267109/","565 Broome Soho")</f>
        <v>565 Broome Soho</v>
      </c>
      <c r="C2221" s="1" t="s">
        <v>298</v>
      </c>
      <c r="D2221" s="1" t="s">
        <v>41</v>
      </c>
      <c r="E2221" s="3">
        <v>2360000</v>
      </c>
      <c r="F2221" s="1">
        <v>2579.2349726775901</v>
      </c>
      <c r="G2221" s="1">
        <v>3.5</v>
      </c>
      <c r="H2221" s="1">
        <v>1</v>
      </c>
      <c r="I2221" s="1">
        <v>2</v>
      </c>
      <c r="J2221" s="1">
        <v>1.5</v>
      </c>
      <c r="K2221" s="1">
        <v>1</v>
      </c>
      <c r="L2221" s="1">
        <v>1</v>
      </c>
      <c r="M2221" s="1">
        <v>915</v>
      </c>
      <c r="N2221" s="1">
        <v>1369</v>
      </c>
      <c r="O2221" s="1">
        <v>2879</v>
      </c>
      <c r="P2221" s="1">
        <v>1510</v>
      </c>
      <c r="Q2221" s="1" t="s">
        <v>42</v>
      </c>
      <c r="S2221" s="1" t="s">
        <v>42</v>
      </c>
      <c r="T2221" s="1" t="s">
        <v>273</v>
      </c>
      <c r="U2221" s="1">
        <v>28</v>
      </c>
      <c r="V2221" s="5">
        <v>44338</v>
      </c>
      <c r="W2221" s="5">
        <v>43686</v>
      </c>
      <c r="X2221" s="1">
        <v>2435000</v>
      </c>
      <c r="Y2221" s="1">
        <v>2435000</v>
      </c>
      <c r="Z2221" s="5">
        <v>43714</v>
      </c>
      <c r="AA2221" s="1">
        <v>2395064</v>
      </c>
      <c r="AB2221" s="1" t="s">
        <v>1271</v>
      </c>
      <c r="AC2221" s="5">
        <v>43735</v>
      </c>
      <c r="AF2221" s="1">
        <v>10013</v>
      </c>
      <c r="AI2221" s="1" t="s">
        <v>48</v>
      </c>
      <c r="AJ2221" s="1">
        <v>2019</v>
      </c>
      <c r="AK2221" s="1" t="s">
        <v>46</v>
      </c>
      <c r="AL2221" s="1">
        <v>115</v>
      </c>
    </row>
    <row r="2222" spans="1:38" x14ac:dyDescent="0.2">
      <c r="A2222" s="2" t="str">
        <f>HYPERLINK("https://www.compass.com/listing/78-irving-place-unit-ph-manhattan-ny-10003/29377811907108049/","78 Irving Pl, Unit PH")</f>
        <v>78 Irving Pl, Unit PH</v>
      </c>
      <c r="B2222" s="2" t="str">
        <f>HYPERLINK("https://www.compass.com/building/78-irving-pl-manhattan-ny-10003/281894845214107557/","78 Irving Pl")</f>
        <v>78 Irving Pl</v>
      </c>
      <c r="C2222" s="1" t="s">
        <v>64</v>
      </c>
      <c r="D2222" s="1" t="s">
        <v>41</v>
      </c>
      <c r="E2222" s="3">
        <v>18029375</v>
      </c>
      <c r="F2222" s="1">
        <v>2287.9917512690299</v>
      </c>
      <c r="G2222" s="1">
        <v>7</v>
      </c>
      <c r="H2222" s="1">
        <v>6</v>
      </c>
      <c r="I2222" s="1">
        <v>7</v>
      </c>
      <c r="J2222" s="1">
        <v>6.5</v>
      </c>
      <c r="K2222" s="1">
        <v>6</v>
      </c>
      <c r="L2222" s="1">
        <v>1</v>
      </c>
      <c r="M2222" s="4">
        <v>7880</v>
      </c>
      <c r="N2222" s="1">
        <v>9658</v>
      </c>
      <c r="O2222" s="1">
        <v>15797</v>
      </c>
      <c r="P2222" s="1">
        <v>6139</v>
      </c>
      <c r="Q2222" s="1" t="s">
        <v>100</v>
      </c>
      <c r="S2222" s="1" t="s">
        <v>100</v>
      </c>
      <c r="T2222" s="1" t="s">
        <v>273</v>
      </c>
      <c r="U2222" s="1">
        <v>122</v>
      </c>
      <c r="V2222" s="5">
        <v>44338</v>
      </c>
      <c r="W2222" s="5">
        <v>42865</v>
      </c>
      <c r="X2222" s="1">
        <v>20900000</v>
      </c>
      <c r="Y2222" s="1">
        <v>20900000</v>
      </c>
      <c r="Z2222" s="5">
        <v>42987</v>
      </c>
      <c r="AA2222" s="1">
        <v>18029375</v>
      </c>
      <c r="AB2222" s="1" t="s">
        <v>1272</v>
      </c>
      <c r="AC2222" s="5">
        <v>42998</v>
      </c>
      <c r="AF2222" s="1">
        <v>10003</v>
      </c>
      <c r="AI2222" s="1" t="s">
        <v>576</v>
      </c>
      <c r="AJ2222" s="1">
        <v>1920</v>
      </c>
      <c r="AK2222" s="1" t="s">
        <v>55</v>
      </c>
      <c r="AL2222" s="1">
        <v>7</v>
      </c>
    </row>
    <row r="2223" spans="1:38" x14ac:dyDescent="0.2">
      <c r="A2223" s="2" t="str">
        <f>HYPERLINK("https://www.compass.com/listing/70-charlton-street-unit-7c-manhattan-ny-10014/597101802154175289/","70 Charlton St, Unit 7C")</f>
        <v>70 Charlton St, Unit 7C</v>
      </c>
      <c r="B2223" s="2" t="str">
        <f>HYPERLINK("https://www.compass.com/building/70-charlton-street-manhattan-ny/292835639240484293/","70 Charlton Street")</f>
        <v>70 Charlton Street</v>
      </c>
      <c r="C2223" s="1" t="s">
        <v>53</v>
      </c>
      <c r="D2223" s="1" t="s">
        <v>41</v>
      </c>
      <c r="E2223" s="3">
        <v>2159432</v>
      </c>
      <c r="F2223" s="1">
        <v>1632.2237339380099</v>
      </c>
      <c r="G2223" s="1">
        <v>3</v>
      </c>
      <c r="H2223" s="1">
        <v>2</v>
      </c>
      <c r="I2223" s="1">
        <v>3</v>
      </c>
      <c r="J2223" s="1">
        <v>2.5</v>
      </c>
      <c r="K2223" s="1">
        <v>2</v>
      </c>
      <c r="L2223" s="1">
        <v>1</v>
      </c>
      <c r="M2223" s="4">
        <v>1323</v>
      </c>
      <c r="N2223" s="1">
        <v>2899</v>
      </c>
      <c r="O2223" s="1">
        <v>2899</v>
      </c>
      <c r="Q2223" s="1" t="s">
        <v>271</v>
      </c>
      <c r="S2223" s="1" t="s">
        <v>272</v>
      </c>
      <c r="T2223" s="1" t="s">
        <v>273</v>
      </c>
      <c r="U2223" s="1">
        <v>163</v>
      </c>
      <c r="V2223" s="5">
        <v>44306</v>
      </c>
      <c r="W2223" s="5">
        <v>44074</v>
      </c>
      <c r="X2223" s="1">
        <v>2495000</v>
      </c>
      <c r="Y2223" s="1">
        <v>2395000</v>
      </c>
      <c r="Z2223" s="5">
        <v>44237</v>
      </c>
      <c r="AA2223" s="1">
        <v>2159432</v>
      </c>
      <c r="AB2223" s="1" t="s">
        <v>1273</v>
      </c>
      <c r="AC2223" s="5">
        <v>44294</v>
      </c>
      <c r="AF2223" s="1">
        <v>10014</v>
      </c>
      <c r="AI2223" s="1" t="s">
        <v>80</v>
      </c>
      <c r="AJ2223" s="1">
        <v>2016</v>
      </c>
      <c r="AK2223" s="1" t="s">
        <v>46</v>
      </c>
      <c r="AL2223" s="1">
        <v>92</v>
      </c>
    </row>
    <row r="2224" spans="1:38" x14ac:dyDescent="0.2">
      <c r="A2224" s="2" t="str">
        <f>HYPERLINK("https://www.compass.com/listing/207-west-79th-street-unit-4b-manhattan-ny-10024/29600784328996337/","207 W 79th St, Unit 4B")</f>
        <v>207 W 79th St, Unit 4B</v>
      </c>
      <c r="B2224" s="2" t="str">
        <f>HYPERLINK("https://www.compass.com/building/207-west-79th-street-manhattan-ny/292869088261262661/","207 West 79th Street")</f>
        <v>207 West 79th Street</v>
      </c>
      <c r="C2224" s="1" t="s">
        <v>57</v>
      </c>
      <c r="D2224" s="1" t="s">
        <v>41</v>
      </c>
      <c r="E2224" s="3">
        <v>4125000</v>
      </c>
      <c r="F2224" s="1">
        <v>2036.03158933859</v>
      </c>
      <c r="G2224" s="1">
        <v>5</v>
      </c>
      <c r="H2224" s="1">
        <v>3</v>
      </c>
      <c r="I2224" s="1">
        <v>4</v>
      </c>
      <c r="J2224" s="1">
        <v>3.5</v>
      </c>
      <c r="K2224" s="1">
        <v>3</v>
      </c>
      <c r="L2224" s="1">
        <v>1</v>
      </c>
      <c r="M2224" s="4">
        <v>2026</v>
      </c>
      <c r="N2224" s="1">
        <v>2733</v>
      </c>
      <c r="O2224" s="1">
        <v>5713</v>
      </c>
      <c r="P2224" s="1">
        <v>2980</v>
      </c>
      <c r="Q2224" s="1" t="s">
        <v>42</v>
      </c>
      <c r="S2224" s="1" t="s">
        <v>42</v>
      </c>
      <c r="T2224" s="1" t="s">
        <v>273</v>
      </c>
      <c r="U2224" s="1">
        <v>233</v>
      </c>
      <c r="V2224" s="5">
        <v>43785</v>
      </c>
      <c r="W2224" s="5">
        <v>43441</v>
      </c>
      <c r="X2224" s="1">
        <v>4495000</v>
      </c>
      <c r="Y2224" s="1">
        <v>4275000</v>
      </c>
      <c r="Z2224" s="5">
        <v>43674</v>
      </c>
      <c r="AA2224" s="1">
        <v>4125000</v>
      </c>
      <c r="AB2224" s="1" t="s">
        <v>1274</v>
      </c>
      <c r="AC2224" s="5">
        <v>43713</v>
      </c>
      <c r="AF2224" s="1">
        <v>10024</v>
      </c>
      <c r="AJ2224" s="1">
        <v>2017</v>
      </c>
      <c r="AK2224" s="1" t="s">
        <v>125</v>
      </c>
      <c r="AL2224" s="1">
        <v>19</v>
      </c>
    </row>
    <row r="2225" spans="1:38" x14ac:dyDescent="0.2">
      <c r="A2225" s="2" t="str">
        <f>HYPERLINK("https://www.compass.com/listing/90-morton-street-unit-ph10a-manhattan-ny-10014/29515684602042897/","90 Morton St, Unit PH10A")</f>
        <v>90 Morton St, Unit PH10A</v>
      </c>
      <c r="B2225" s="2" t="str">
        <f t="shared" ref="B2225:B2228" si="363">HYPERLINK("https://www.compass.com/building/90-morton-street-manhattan-ny/292834843018978005/","90 Morton Street")</f>
        <v>90 Morton Street</v>
      </c>
      <c r="C2225" s="1" t="s">
        <v>67</v>
      </c>
      <c r="D2225" s="1" t="s">
        <v>41</v>
      </c>
      <c r="E2225" s="3">
        <v>12600843</v>
      </c>
      <c r="F2225" s="1">
        <v>3426.0040783034201</v>
      </c>
      <c r="G2225" s="1">
        <v>5</v>
      </c>
      <c r="H2225" s="1">
        <v>3</v>
      </c>
      <c r="I2225" s="1">
        <v>4</v>
      </c>
      <c r="J2225" s="1">
        <v>3.5</v>
      </c>
      <c r="K2225" s="1">
        <v>3</v>
      </c>
      <c r="L2225" s="1">
        <v>1</v>
      </c>
      <c r="M2225" s="4">
        <v>3678</v>
      </c>
      <c r="N2225" s="1">
        <v>6083.42</v>
      </c>
      <c r="O2225" s="1">
        <v>10969.16</v>
      </c>
      <c r="P2225" s="1">
        <v>4885.75</v>
      </c>
      <c r="Q2225" s="1" t="s">
        <v>42</v>
      </c>
      <c r="S2225" s="1" t="s">
        <v>42</v>
      </c>
      <c r="T2225" s="1" t="s">
        <v>273</v>
      </c>
      <c r="V2225" s="5">
        <v>43697</v>
      </c>
      <c r="W2225" s="5">
        <v>43207</v>
      </c>
      <c r="X2225" s="1">
        <v>16500000</v>
      </c>
      <c r="Y2225" s="1">
        <v>16500000</v>
      </c>
      <c r="Z2225" s="5">
        <v>43207</v>
      </c>
      <c r="AA2225" s="1">
        <v>12600843</v>
      </c>
      <c r="AB2225" s="1" t="s">
        <v>1275</v>
      </c>
      <c r="AC2225" s="5">
        <v>43645</v>
      </c>
      <c r="AF2225" s="1">
        <v>10014</v>
      </c>
      <c r="AI2225" s="1" t="s">
        <v>140</v>
      </c>
      <c r="AJ2225" s="1">
        <v>2018</v>
      </c>
      <c r="AK2225" s="1" t="s">
        <v>49</v>
      </c>
      <c r="AL2225" s="1">
        <v>35</v>
      </c>
    </row>
    <row r="2226" spans="1:38" x14ac:dyDescent="0.2">
      <c r="A2226" s="2" t="str">
        <f>HYPERLINK("https://www.compass.com/listing/90-morton-street-unit-4d-manhattan-ny-10014/29515684903958961/","90 Morton St, Unit 4D")</f>
        <v>90 Morton St, Unit 4D</v>
      </c>
      <c r="B2226" s="2" t="str">
        <f t="shared" si="363"/>
        <v>90 Morton Street</v>
      </c>
      <c r="C2226" s="1" t="s">
        <v>67</v>
      </c>
      <c r="D2226" s="1" t="s">
        <v>41</v>
      </c>
      <c r="E2226" s="3">
        <v>6730000</v>
      </c>
      <c r="F2226" s="1">
        <v>2999.1087344028501</v>
      </c>
      <c r="G2226" s="1">
        <v>5</v>
      </c>
      <c r="H2226" s="1">
        <v>3</v>
      </c>
      <c r="I2226" s="1">
        <v>4</v>
      </c>
      <c r="J2226" s="1">
        <v>3.5</v>
      </c>
      <c r="K2226" s="1">
        <v>3</v>
      </c>
      <c r="L2226" s="1">
        <v>1</v>
      </c>
      <c r="M2226" s="4">
        <v>2244</v>
      </c>
      <c r="N2226" s="1">
        <v>2969.06</v>
      </c>
      <c r="O2226" s="1">
        <v>5353.58</v>
      </c>
      <c r="P2226" s="1">
        <v>2384.5</v>
      </c>
      <c r="Q2226" s="1" t="s">
        <v>42</v>
      </c>
      <c r="S2226" s="1" t="s">
        <v>42</v>
      </c>
      <c r="T2226" s="1" t="s">
        <v>273</v>
      </c>
      <c r="V2226" s="5">
        <v>43880</v>
      </c>
      <c r="W2226" s="5">
        <v>43206</v>
      </c>
      <c r="X2226" s="1">
        <v>6730000</v>
      </c>
      <c r="Y2226" s="1">
        <v>6730000</v>
      </c>
      <c r="Z2226" s="5">
        <v>43206</v>
      </c>
      <c r="AA2226" s="1">
        <v>6730000</v>
      </c>
      <c r="AB2226" s="1" t="s">
        <v>275</v>
      </c>
      <c r="AC2226" s="5">
        <v>43853</v>
      </c>
      <c r="AF2226" s="1">
        <v>10014</v>
      </c>
      <c r="AI2226" s="1" t="s">
        <v>140</v>
      </c>
      <c r="AJ2226" s="1">
        <v>2018</v>
      </c>
      <c r="AK2226" s="1" t="s">
        <v>49</v>
      </c>
      <c r="AL2226" s="1">
        <v>35</v>
      </c>
    </row>
    <row r="2227" spans="1:38" x14ac:dyDescent="0.2">
      <c r="A2227" s="2" t="str">
        <f>HYPERLINK("https://www.compass.com/listing/90-morton-street-unit-ph9b-manhattan-ny-10014/29515686564903441/","90 Morton St, Unit PH9B")</f>
        <v>90 Morton St, Unit PH9B</v>
      </c>
      <c r="B2227" s="2" t="str">
        <f t="shared" si="363"/>
        <v>90 Morton Street</v>
      </c>
      <c r="C2227" s="1" t="s">
        <v>67</v>
      </c>
      <c r="D2227" s="1" t="s">
        <v>41</v>
      </c>
      <c r="E2227" s="3">
        <v>11608050</v>
      </c>
      <c r="F2227" s="1">
        <v>3197.8099173553701</v>
      </c>
      <c r="G2227" s="1">
        <v>5</v>
      </c>
      <c r="H2227" s="1">
        <v>3</v>
      </c>
      <c r="I2227" s="1">
        <v>4</v>
      </c>
      <c r="J2227" s="1">
        <v>3.5</v>
      </c>
      <c r="K2227" s="1">
        <v>3</v>
      </c>
      <c r="L2227" s="1">
        <v>1</v>
      </c>
      <c r="M2227" s="4">
        <v>3630</v>
      </c>
      <c r="N2227" s="1">
        <v>5789.37</v>
      </c>
      <c r="O2227" s="1">
        <v>10438.950000000001</v>
      </c>
      <c r="P2227" s="1">
        <v>4649.5833333333303</v>
      </c>
      <c r="Q2227" s="1" t="s">
        <v>42</v>
      </c>
      <c r="S2227" s="1" t="s">
        <v>42</v>
      </c>
      <c r="T2227" s="1" t="s">
        <v>273</v>
      </c>
      <c r="V2227" s="5">
        <v>43697</v>
      </c>
      <c r="W2227" s="5">
        <v>43207</v>
      </c>
      <c r="X2227" s="1">
        <v>15200000</v>
      </c>
      <c r="Y2227" s="1">
        <v>15200000</v>
      </c>
      <c r="Z2227" s="5">
        <v>43207</v>
      </c>
      <c r="AA2227" s="1">
        <v>11608050</v>
      </c>
      <c r="AB2227" s="1" t="s">
        <v>1276</v>
      </c>
      <c r="AC2227" s="5">
        <v>43644</v>
      </c>
      <c r="AF2227" s="1">
        <v>10014</v>
      </c>
      <c r="AI2227" s="1" t="s">
        <v>140</v>
      </c>
      <c r="AJ2227" s="1">
        <v>2018</v>
      </c>
      <c r="AK2227" s="1" t="s">
        <v>49</v>
      </c>
      <c r="AL2227" s="1">
        <v>35</v>
      </c>
    </row>
    <row r="2228" spans="1:38" x14ac:dyDescent="0.2">
      <c r="A2228" s="2" t="str">
        <f>HYPERLINK("https://www.compass.com/listing/90-morton-street-unit-4d-manhattan-ny-10014/480868861196000641/","90 Morton St, Unit 4D")</f>
        <v>90 Morton St, Unit 4D</v>
      </c>
      <c r="B2228" s="2" t="str">
        <f t="shared" si="363"/>
        <v>90 Morton Street</v>
      </c>
      <c r="C2228" s="1" t="s">
        <v>67</v>
      </c>
      <c r="D2228" s="1" t="s">
        <v>41</v>
      </c>
      <c r="E2228" s="3">
        <v>5044183</v>
      </c>
      <c r="F2228" s="1">
        <v>2247.8533734402799</v>
      </c>
      <c r="H2228" s="1">
        <v>3</v>
      </c>
      <c r="J2228" s="1">
        <v>3.5</v>
      </c>
      <c r="K2228" s="1">
        <v>3</v>
      </c>
      <c r="L2228" s="1">
        <v>1</v>
      </c>
      <c r="M2228" s="4">
        <v>2244</v>
      </c>
      <c r="N2228" s="1">
        <v>2969.06</v>
      </c>
      <c r="O2228" s="1">
        <v>5353.58</v>
      </c>
      <c r="P2228" s="1">
        <v>2384.5</v>
      </c>
      <c r="Q2228" s="1" t="s">
        <v>42</v>
      </c>
      <c r="S2228" s="1" t="s">
        <v>42</v>
      </c>
      <c r="T2228" s="1" t="s">
        <v>273</v>
      </c>
      <c r="AA2228" s="1">
        <v>5044182.97</v>
      </c>
      <c r="AB2228" s="1" t="s">
        <v>1277</v>
      </c>
      <c r="AC2228" s="5">
        <v>43853</v>
      </c>
      <c r="AF2228" s="1">
        <v>10014</v>
      </c>
      <c r="AI2228" s="1" t="s">
        <v>140</v>
      </c>
      <c r="AJ2228" s="1">
        <v>2018</v>
      </c>
      <c r="AK2228" s="1" t="s">
        <v>49</v>
      </c>
      <c r="AL2228" s="1">
        <v>35</v>
      </c>
    </row>
    <row r="2229" spans="1:38" x14ac:dyDescent="0.2">
      <c r="A2229" s="2" t="str">
        <f>HYPERLINK("https://www.compass.com/listing/565-broome-street-unit-s22b-manhattan-ny-10013/29515000527742817/","565 Broome St, Unit S22B")</f>
        <v>565 Broome St, Unit S22B</v>
      </c>
      <c r="B2229" s="2" t="str">
        <f>HYPERLINK("https://www.compass.com/building/565-broome-soho-manhattan-ny/292813251698267109/","565 Broome Soho")</f>
        <v>565 Broome Soho</v>
      </c>
      <c r="C2229" s="1" t="s">
        <v>298</v>
      </c>
      <c r="D2229" s="1" t="s">
        <v>41</v>
      </c>
      <c r="E2229" s="3">
        <v>4450000</v>
      </c>
      <c r="F2229" s="1">
        <v>2322.5469728601201</v>
      </c>
      <c r="G2229" s="1">
        <v>5</v>
      </c>
      <c r="H2229" s="1">
        <v>3</v>
      </c>
      <c r="I2229" s="1">
        <v>3</v>
      </c>
      <c r="J2229" s="1">
        <v>3</v>
      </c>
      <c r="K2229" s="1">
        <v>3</v>
      </c>
      <c r="M2229" s="4">
        <v>1916</v>
      </c>
      <c r="N2229" s="1">
        <v>2989</v>
      </c>
      <c r="O2229" s="1">
        <v>5638</v>
      </c>
      <c r="P2229" s="1">
        <v>2649</v>
      </c>
      <c r="Q2229" s="1" t="s">
        <v>42</v>
      </c>
      <c r="S2229" s="1" t="s">
        <v>42</v>
      </c>
      <c r="T2229" s="1" t="s">
        <v>273</v>
      </c>
      <c r="U2229" s="1">
        <v>802</v>
      </c>
      <c r="V2229" s="5">
        <v>44395</v>
      </c>
      <c r="W2229" s="5">
        <v>43474</v>
      </c>
      <c r="Y2229" s="1">
        <v>4500000</v>
      </c>
      <c r="Z2229" s="5">
        <v>44363</v>
      </c>
      <c r="AA2229" s="1">
        <v>4450000</v>
      </c>
      <c r="AB2229" s="1" t="s">
        <v>1278</v>
      </c>
      <c r="AC2229" s="5">
        <v>44370</v>
      </c>
      <c r="AF2229" s="1">
        <v>10013</v>
      </c>
      <c r="AI2229" s="1" t="s">
        <v>48</v>
      </c>
      <c r="AJ2229" s="1">
        <v>2019</v>
      </c>
      <c r="AK2229" s="1" t="s">
        <v>46</v>
      </c>
      <c r="AL2229" s="1">
        <v>115</v>
      </c>
    </row>
    <row r="2230" spans="1:38" x14ac:dyDescent="0.2">
      <c r="A2230" s="2" t="str">
        <f>HYPERLINK("https://www.compass.com/listing/221-west-77th-street-unit-5e-manhattan-ny-10024/8743036167190081/","221 W 77th St, Unit 5E")</f>
        <v>221 W 77th St, Unit 5E</v>
      </c>
      <c r="B2230" s="2" t="str">
        <f t="shared" ref="B2230:B2231" si="364">HYPERLINK("https://www.compass.com/building/221-west-77th-street-manhattan-ny/292869344491294229/","221 West 77th Street")</f>
        <v>221 West 77th Street</v>
      </c>
      <c r="C2230" s="1" t="s">
        <v>57</v>
      </c>
      <c r="D2230" s="1" t="s">
        <v>41</v>
      </c>
      <c r="E2230" s="3">
        <v>4825000</v>
      </c>
      <c r="F2230" s="1">
        <v>2355.95703125</v>
      </c>
      <c r="G2230" s="1">
        <v>5</v>
      </c>
      <c r="H2230" s="1">
        <v>3</v>
      </c>
      <c r="I2230" s="1">
        <v>4</v>
      </c>
      <c r="J2230" s="1">
        <v>0.5</v>
      </c>
      <c r="L2230" s="1">
        <v>1</v>
      </c>
      <c r="M2230" s="4">
        <v>2048</v>
      </c>
      <c r="N2230" s="1">
        <v>2047</v>
      </c>
      <c r="O2230" s="1">
        <v>4688</v>
      </c>
      <c r="P2230" s="1">
        <v>2641</v>
      </c>
      <c r="Q2230" s="1" t="s">
        <v>42</v>
      </c>
      <c r="S2230" s="1" t="s">
        <v>42</v>
      </c>
      <c r="T2230" s="1" t="s">
        <v>273</v>
      </c>
      <c r="U2230" s="1">
        <v>75</v>
      </c>
      <c r="V2230" s="5">
        <v>43672</v>
      </c>
      <c r="W2230" s="5">
        <v>42692</v>
      </c>
      <c r="X2230" s="1">
        <v>4850000</v>
      </c>
      <c r="Y2230" s="1">
        <v>4850000</v>
      </c>
      <c r="Z2230" s="5">
        <v>42767</v>
      </c>
      <c r="AA2230" s="1">
        <v>4825000</v>
      </c>
      <c r="AB2230" s="1" t="s">
        <v>1279</v>
      </c>
      <c r="AC2230" s="5">
        <v>42912</v>
      </c>
      <c r="AF2230" s="1">
        <v>10024</v>
      </c>
      <c r="AI2230" s="1" t="s">
        <v>225</v>
      </c>
      <c r="AJ2230" s="1">
        <v>2017</v>
      </c>
      <c r="AK2230" s="1" t="s">
        <v>108</v>
      </c>
      <c r="AL2230" s="1">
        <v>26</v>
      </c>
    </row>
    <row r="2231" spans="1:38" x14ac:dyDescent="0.2">
      <c r="A2231" s="2" t="str">
        <f>HYPERLINK("https://www.compass.com/listing/221-west-77th-street-unit-6e-manhattan-ny-10024/8743038524389313/","221 W 77th St, Unit 6E")</f>
        <v>221 W 77th St, Unit 6E</v>
      </c>
      <c r="B2231" s="2" t="str">
        <f t="shared" si="364"/>
        <v>221 West 77th Street</v>
      </c>
      <c r="C2231" s="1" t="s">
        <v>57</v>
      </c>
      <c r="D2231" s="1" t="s">
        <v>41</v>
      </c>
      <c r="E2231" s="3">
        <v>4875000</v>
      </c>
      <c r="F2231" s="1">
        <v>2380.37109375</v>
      </c>
      <c r="G2231" s="1">
        <v>5</v>
      </c>
      <c r="H2231" s="1">
        <v>3</v>
      </c>
      <c r="I2231" s="1">
        <v>4</v>
      </c>
      <c r="J2231" s="1">
        <v>0.5</v>
      </c>
      <c r="L2231" s="1">
        <v>1</v>
      </c>
      <c r="M2231" s="4">
        <v>2048</v>
      </c>
      <c r="N2231" s="1">
        <v>2047</v>
      </c>
      <c r="O2231" s="1">
        <v>4688</v>
      </c>
      <c r="P2231" s="1">
        <v>2641</v>
      </c>
      <c r="Q2231" s="1" t="s">
        <v>42</v>
      </c>
      <c r="S2231" s="1" t="s">
        <v>42</v>
      </c>
      <c r="T2231" s="1" t="s">
        <v>273</v>
      </c>
      <c r="U2231" s="1">
        <v>178</v>
      </c>
      <c r="V2231" s="5">
        <v>43671</v>
      </c>
      <c r="W2231" s="5">
        <v>42528</v>
      </c>
      <c r="X2231" s="1">
        <v>4925000</v>
      </c>
      <c r="Y2231" s="1">
        <v>4925000</v>
      </c>
      <c r="Z2231" s="5">
        <v>42706</v>
      </c>
      <c r="AA2231" s="1">
        <v>4875000</v>
      </c>
      <c r="AB2231" s="1" t="s">
        <v>1280</v>
      </c>
      <c r="AC2231" s="5">
        <v>42898</v>
      </c>
      <c r="AF2231" s="1">
        <v>10024</v>
      </c>
      <c r="AI2231" s="1" t="s">
        <v>225</v>
      </c>
      <c r="AJ2231" s="1">
        <v>2017</v>
      </c>
      <c r="AK2231" s="1" t="s">
        <v>108</v>
      </c>
      <c r="AL2231" s="1">
        <v>26</v>
      </c>
    </row>
    <row r="2232" spans="1:38" x14ac:dyDescent="0.2">
      <c r="A2232" s="2" t="str">
        <f>HYPERLINK("https://www.compass.com/listing/78-irving-place-unit-4-manhattan-ny-10003/192574811925381793/","78 Irving Pl, Unit 4")</f>
        <v>78 Irving Pl, Unit 4</v>
      </c>
      <c r="B2232" s="2" t="str">
        <f>HYPERLINK("https://www.compass.com/building/78-irving-pl-manhattan-ny-10003/281894845214107557/","78 Irving Pl")</f>
        <v>78 Irving Pl</v>
      </c>
      <c r="C2232" s="1" t="s">
        <v>64</v>
      </c>
      <c r="D2232" s="1" t="s">
        <v>41</v>
      </c>
      <c r="E2232" s="3">
        <v>7076838</v>
      </c>
      <c r="F2232" s="1">
        <v>3202.18914027149</v>
      </c>
      <c r="G2232" s="1">
        <v>6</v>
      </c>
      <c r="H2232" s="1">
        <v>3</v>
      </c>
      <c r="I2232" s="1">
        <v>3</v>
      </c>
      <c r="J2232" s="1">
        <v>3</v>
      </c>
      <c r="M2232" s="4">
        <v>2210</v>
      </c>
      <c r="N2232" s="1">
        <v>3984</v>
      </c>
      <c r="O2232" s="1">
        <v>6516</v>
      </c>
      <c r="P2232" s="1">
        <v>2532</v>
      </c>
      <c r="Q2232" s="1" t="s">
        <v>42</v>
      </c>
      <c r="S2232" s="1" t="s">
        <v>42</v>
      </c>
      <c r="T2232" s="1" t="s">
        <v>273</v>
      </c>
      <c r="U2232" s="1">
        <v>486</v>
      </c>
      <c r="V2232" s="5">
        <v>43675</v>
      </c>
      <c r="W2232" s="5">
        <v>42174</v>
      </c>
      <c r="X2232" s="1">
        <v>6950000</v>
      </c>
      <c r="Y2232" s="1">
        <v>6950000</v>
      </c>
      <c r="AA2232" s="1">
        <v>7076838</v>
      </c>
      <c r="AB2232" s="1" t="s">
        <v>1270</v>
      </c>
      <c r="AC2232" s="5">
        <v>42661</v>
      </c>
      <c r="AF2232" s="1">
        <v>10003</v>
      </c>
      <c r="AJ2232" s="1">
        <v>1920</v>
      </c>
      <c r="AK2232" s="1" t="s">
        <v>55</v>
      </c>
      <c r="AL2232" s="1">
        <v>7</v>
      </c>
    </row>
    <row r="2233" spans="1:38" x14ac:dyDescent="0.2">
      <c r="A2233" s="2" t="str">
        <f>HYPERLINK("https://www.compass.com/listing/70-charlton-street-unit-2e-manhattan-ny-10014/29366256968752737/","70 Charlton St, Unit 2E")</f>
        <v>70 Charlton St, Unit 2E</v>
      </c>
      <c r="B2233" s="2" t="str">
        <f t="shared" ref="B2233:B2234" si="365">HYPERLINK("https://www.compass.com/building/70-charlton-street-manhattan-ny/292835639240484293/","70 Charlton Street")</f>
        <v>70 Charlton Street</v>
      </c>
      <c r="C2233" s="1" t="s">
        <v>53</v>
      </c>
      <c r="D2233" s="1" t="s">
        <v>41</v>
      </c>
      <c r="E2233" s="3">
        <v>2081230</v>
      </c>
      <c r="F2233" s="1">
        <v>1943.2586367880399</v>
      </c>
      <c r="G2233" s="1">
        <v>4</v>
      </c>
      <c r="H2233" s="1">
        <v>2</v>
      </c>
      <c r="I2233" s="1">
        <v>2</v>
      </c>
      <c r="J2233" s="1">
        <v>2</v>
      </c>
      <c r="M2233" s="4">
        <v>1071</v>
      </c>
      <c r="N2233" s="1">
        <v>2226</v>
      </c>
      <c r="O2233" s="1">
        <v>2226</v>
      </c>
      <c r="Q2233" s="1" t="s">
        <v>505</v>
      </c>
      <c r="S2233" s="1" t="s">
        <v>505</v>
      </c>
      <c r="T2233" s="1" t="s">
        <v>273</v>
      </c>
      <c r="V2233" s="5">
        <v>43668</v>
      </c>
      <c r="W2233" s="5">
        <v>42768</v>
      </c>
      <c r="X2233" s="1">
        <v>2080000</v>
      </c>
      <c r="Y2233" s="1">
        <v>2080000</v>
      </c>
      <c r="Z2233" s="5">
        <v>42768</v>
      </c>
      <c r="AA2233" s="1">
        <v>2081230</v>
      </c>
      <c r="AB2233" s="1" t="s">
        <v>1281</v>
      </c>
      <c r="AC2233" s="5">
        <v>42816</v>
      </c>
      <c r="AF2233" s="1">
        <v>10014</v>
      </c>
      <c r="AI2233" s="1" t="s">
        <v>80</v>
      </c>
      <c r="AJ2233" s="1">
        <v>2016</v>
      </c>
      <c r="AK2233" s="1" t="s">
        <v>46</v>
      </c>
      <c r="AL2233" s="1">
        <v>92</v>
      </c>
    </row>
    <row r="2234" spans="1:38" x14ac:dyDescent="0.2">
      <c r="A2234" s="2" t="str">
        <f>HYPERLINK("https://www.compass.com/listing/70-charlton-street-unit-10e-manhattan-ny-10014/63673147181789665/","70 Charlton St, Unit 10E")</f>
        <v>70 Charlton St, Unit 10E</v>
      </c>
      <c r="B2234" s="2" t="str">
        <f t="shared" si="365"/>
        <v>70 Charlton Street</v>
      </c>
      <c r="C2234" s="1" t="s">
        <v>53</v>
      </c>
      <c r="D2234" s="1" t="s">
        <v>41</v>
      </c>
      <c r="E2234" s="3">
        <v>2040500</v>
      </c>
      <c r="F2234" s="1">
        <v>1905.22875816993</v>
      </c>
      <c r="G2234" s="1">
        <v>4</v>
      </c>
      <c r="H2234" s="1">
        <v>2</v>
      </c>
      <c r="I2234" s="1">
        <v>2</v>
      </c>
      <c r="J2234" s="1">
        <v>2</v>
      </c>
      <c r="M2234" s="4">
        <v>1071</v>
      </c>
      <c r="N2234" s="1">
        <v>2409</v>
      </c>
      <c r="O2234" s="1">
        <v>2409</v>
      </c>
      <c r="Q2234" s="1" t="s">
        <v>505</v>
      </c>
      <c r="S2234" s="1" t="s">
        <v>505</v>
      </c>
      <c r="T2234" s="1" t="s">
        <v>273</v>
      </c>
      <c r="U2234" s="1">
        <v>8</v>
      </c>
      <c r="V2234" s="5">
        <v>43638</v>
      </c>
      <c r="W2234" s="5">
        <v>43340</v>
      </c>
      <c r="X2234" s="1">
        <v>2410000</v>
      </c>
      <c r="Y2234" s="1">
        <v>2410000</v>
      </c>
      <c r="Z2234" s="5">
        <v>43348</v>
      </c>
      <c r="AA2234" s="1">
        <v>2040500</v>
      </c>
      <c r="AB2234" s="1" t="s">
        <v>1282</v>
      </c>
      <c r="AC2234" s="5">
        <v>43403</v>
      </c>
      <c r="AF2234" s="1">
        <v>10014</v>
      </c>
      <c r="AI2234" s="1" t="s">
        <v>80</v>
      </c>
      <c r="AJ2234" s="1">
        <v>2016</v>
      </c>
      <c r="AK2234" s="1" t="s">
        <v>46</v>
      </c>
      <c r="AL2234" s="1">
        <v>92</v>
      </c>
    </row>
    <row r="2235" spans="1:38" x14ac:dyDescent="0.2">
      <c r="A2235" s="2" t="str">
        <f>HYPERLINK("https://www.compass.com/listing/221-west-77th-street-unit-9e-manhattan-ny-10024/8743031830235889/","221 W 77th St, Unit 9E")</f>
        <v>221 W 77th St, Unit 9E</v>
      </c>
      <c r="B2235" s="2" t="str">
        <f>HYPERLINK("https://www.compass.com/building/221-west-77th-street-manhattan-ny/292869344491294229/","221 West 77th Street")</f>
        <v>221 West 77th Street</v>
      </c>
      <c r="C2235" s="1" t="s">
        <v>57</v>
      </c>
      <c r="D2235" s="1" t="s">
        <v>41</v>
      </c>
      <c r="E2235" s="3">
        <v>5269443</v>
      </c>
      <c r="F2235" s="1">
        <v>3037.1429394812599</v>
      </c>
      <c r="G2235" s="1">
        <v>4</v>
      </c>
      <c r="H2235" s="1">
        <v>2</v>
      </c>
      <c r="I2235" s="1">
        <v>3</v>
      </c>
      <c r="J2235" s="1">
        <v>0.5</v>
      </c>
      <c r="L2235" s="1">
        <v>1</v>
      </c>
      <c r="M2235" s="4">
        <v>1735</v>
      </c>
      <c r="N2235" s="1">
        <v>1734</v>
      </c>
      <c r="O2235" s="1">
        <v>3971</v>
      </c>
      <c r="P2235" s="1">
        <v>2237</v>
      </c>
      <c r="Q2235" s="1" t="s">
        <v>42</v>
      </c>
      <c r="S2235" s="1" t="s">
        <v>42</v>
      </c>
      <c r="T2235" s="1" t="s">
        <v>273</v>
      </c>
      <c r="V2235" s="5">
        <v>43658</v>
      </c>
      <c r="W2235" s="5">
        <v>42287</v>
      </c>
      <c r="X2235" s="1">
        <v>4100000</v>
      </c>
      <c r="Y2235" s="1">
        <v>4100000</v>
      </c>
      <c r="Z2235" s="5">
        <v>42287</v>
      </c>
      <c r="AA2235" s="1">
        <v>5269443</v>
      </c>
      <c r="AB2235" s="1" t="s">
        <v>1283</v>
      </c>
      <c r="AC2235" s="5">
        <v>42902</v>
      </c>
      <c r="AF2235" s="1">
        <v>10024</v>
      </c>
      <c r="AI2235" s="1" t="s">
        <v>225</v>
      </c>
      <c r="AJ2235" s="1">
        <v>2017</v>
      </c>
      <c r="AK2235" s="1" t="s">
        <v>108</v>
      </c>
      <c r="AL2235" s="1">
        <v>26</v>
      </c>
    </row>
    <row r="2236" spans="1:38" x14ac:dyDescent="0.2">
      <c r="A2236" s="2" t="str">
        <f>HYPERLINK("https://www.compass.com/listing/78-irving-place-unit-1a-manhattan-ny-10003/29377809130549377/","78 Irving Pl, Unit 1A")</f>
        <v>78 Irving Pl, Unit 1A</v>
      </c>
      <c r="B2236" s="2" t="str">
        <f>HYPERLINK("https://www.compass.com/building/78-irving-pl-manhattan-ny-10003/281894845214107557/","78 Irving Pl")</f>
        <v>78 Irving Pl</v>
      </c>
      <c r="C2236" s="1" t="s">
        <v>64</v>
      </c>
      <c r="D2236" s="1" t="s">
        <v>41</v>
      </c>
      <c r="E2236" s="3">
        <v>2060500</v>
      </c>
      <c r="F2236" s="1">
        <v>1655.0200803212799</v>
      </c>
      <c r="G2236" s="1">
        <v>2</v>
      </c>
      <c r="H2236" s="1" t="s">
        <v>99</v>
      </c>
      <c r="I2236" s="1">
        <v>2</v>
      </c>
      <c r="J2236" s="1">
        <v>1.5</v>
      </c>
      <c r="M2236" s="4">
        <v>1245</v>
      </c>
      <c r="N2236" s="1">
        <v>1908</v>
      </c>
      <c r="O2236" s="1">
        <v>3121</v>
      </c>
      <c r="P2236" s="1">
        <v>1213</v>
      </c>
      <c r="Q2236" s="1" t="s">
        <v>42</v>
      </c>
      <c r="S2236" s="1" t="s">
        <v>42</v>
      </c>
      <c r="T2236" s="1" t="s">
        <v>273</v>
      </c>
      <c r="U2236" s="1">
        <v>114</v>
      </c>
      <c r="V2236" s="5">
        <v>43649</v>
      </c>
      <c r="W2236" s="5">
        <v>42873</v>
      </c>
      <c r="X2236" s="1">
        <v>2950000</v>
      </c>
      <c r="Y2236" s="1">
        <v>2950000</v>
      </c>
      <c r="Z2236" s="5">
        <v>42987</v>
      </c>
      <c r="AA2236" s="1">
        <v>2060500</v>
      </c>
      <c r="AB2236" s="1" t="s">
        <v>275</v>
      </c>
      <c r="AC2236" s="5">
        <v>42999</v>
      </c>
      <c r="AF2236" s="1">
        <v>10003</v>
      </c>
      <c r="AJ2236" s="1">
        <v>1920</v>
      </c>
      <c r="AK2236" s="1" t="s">
        <v>55</v>
      </c>
      <c r="AL2236" s="1">
        <v>7</v>
      </c>
    </row>
    <row r="2237" spans="1:38" x14ac:dyDescent="0.2">
      <c r="A2237" s="2" t="str">
        <f>HYPERLINK("https://www.compass.com/listing/270-riverside-drive-unit-4d-manhattan-ny-10025/29431400415423665/","270 Riverside Dr, Unit 4D")</f>
        <v>270 Riverside Dr, Unit 4D</v>
      </c>
      <c r="B2237" s="2" t="str">
        <f>HYPERLINK("https://www.compass.com/building/270-riverside-dr-manhattan-ny-10025/281970283991095285/","270 Riverside Dr")</f>
        <v>270 Riverside Dr</v>
      </c>
      <c r="C2237" s="1" t="s">
        <v>57</v>
      </c>
      <c r="D2237" s="1" t="s">
        <v>41</v>
      </c>
      <c r="E2237" s="3">
        <v>1000000</v>
      </c>
      <c r="F2237" s="1">
        <v>497.51243781094502</v>
      </c>
      <c r="H2237" s="1">
        <v>2</v>
      </c>
      <c r="J2237" s="1">
        <v>3</v>
      </c>
      <c r="K2237" s="1">
        <v>3</v>
      </c>
      <c r="M2237" s="4">
        <v>2010</v>
      </c>
      <c r="N2237" s="1">
        <v>1996</v>
      </c>
      <c r="O2237" s="1">
        <v>3011</v>
      </c>
      <c r="P2237" s="1">
        <v>1015</v>
      </c>
      <c r="Q2237" s="1" t="s">
        <v>42</v>
      </c>
      <c r="S2237" s="1" t="s">
        <v>42</v>
      </c>
      <c r="T2237" s="1" t="s">
        <v>273</v>
      </c>
      <c r="AA2237" s="1">
        <v>1000000</v>
      </c>
      <c r="AB2237" s="1" t="s">
        <v>1284</v>
      </c>
      <c r="AC2237" s="5">
        <v>43004</v>
      </c>
      <c r="AF2237" s="1">
        <v>10025</v>
      </c>
      <c r="AJ2237" s="1">
        <v>1920</v>
      </c>
      <c r="AK2237" s="1" t="s">
        <v>70</v>
      </c>
      <c r="AL2237" s="1">
        <v>57</v>
      </c>
    </row>
    <row r="2238" spans="1:38" x14ac:dyDescent="0.2">
      <c r="A2238" s="2" t="str">
        <f>HYPERLINK("https://www.compass.com/listing/207-west-79th-street-unit-4a-manhattan-ny-10024/29400357960424001/","207 W 79th St, Unit 4A")</f>
        <v>207 W 79th St, Unit 4A</v>
      </c>
      <c r="B2238" s="2" t="str">
        <f>HYPERLINK("https://www.compass.com/building/207-west-79th-street-manhattan-ny/292869088261262661/","207 West 79th Street")</f>
        <v>207 West 79th Street</v>
      </c>
      <c r="C2238" s="1" t="s">
        <v>57</v>
      </c>
      <c r="D2238" s="1" t="s">
        <v>41</v>
      </c>
      <c r="E2238" s="3">
        <v>4715364</v>
      </c>
      <c r="F2238" s="1">
        <v>2356.5037481259301</v>
      </c>
      <c r="G2238" s="1">
        <v>5</v>
      </c>
      <c r="H2238" s="1">
        <v>3</v>
      </c>
      <c r="I2238" s="1">
        <v>4</v>
      </c>
      <c r="J2238" s="1">
        <v>3.5</v>
      </c>
      <c r="K2238" s="1">
        <v>3</v>
      </c>
      <c r="L2238" s="1">
        <v>1</v>
      </c>
      <c r="M2238" s="4">
        <v>2001</v>
      </c>
      <c r="N2238" s="1">
        <v>2699</v>
      </c>
      <c r="O2238" s="1">
        <v>4338</v>
      </c>
      <c r="P2238" s="1">
        <v>1639</v>
      </c>
      <c r="Q2238" s="1" t="s">
        <v>42</v>
      </c>
      <c r="S2238" s="1" t="s">
        <v>42</v>
      </c>
      <c r="T2238" s="1" t="s">
        <v>273</v>
      </c>
      <c r="U2238" s="1">
        <v>104</v>
      </c>
      <c r="V2238" s="5">
        <v>43654</v>
      </c>
      <c r="W2238" s="5">
        <v>42782</v>
      </c>
      <c r="X2238" s="1">
        <v>4750000</v>
      </c>
      <c r="Y2238" s="1">
        <v>4750000</v>
      </c>
      <c r="Z2238" s="5">
        <v>42886</v>
      </c>
      <c r="AA2238" s="1">
        <v>4715364</v>
      </c>
      <c r="AB2238" s="1" t="s">
        <v>1285</v>
      </c>
      <c r="AC2238" s="5">
        <v>43189</v>
      </c>
      <c r="AF2238" s="1">
        <v>10024</v>
      </c>
      <c r="AJ2238" s="1">
        <v>2017</v>
      </c>
      <c r="AK2238" s="1" t="s">
        <v>49</v>
      </c>
      <c r="AL2238" s="1">
        <v>19</v>
      </c>
    </row>
    <row r="2239" spans="1:38" x14ac:dyDescent="0.2">
      <c r="A2239" s="2" t="str">
        <f>HYPERLINK("https://www.compass.com/listing/70-charlton-street-unit-11g-manhattan-ny-10014/29366246315220369/","70 Charlton St, Unit 11G")</f>
        <v>70 Charlton St, Unit 11G</v>
      </c>
      <c r="B2239" s="2" t="str">
        <f t="shared" ref="B2239:B2240" si="366">HYPERLINK("https://www.compass.com/building/70-charlton-street-manhattan-ny/292835639240484293/","70 Charlton Street")</f>
        <v>70 Charlton Street</v>
      </c>
      <c r="C2239" s="1" t="s">
        <v>53</v>
      </c>
      <c r="D2239" s="1" t="s">
        <v>41</v>
      </c>
      <c r="E2239" s="3">
        <v>1760481</v>
      </c>
      <c r="F2239" s="1">
        <v>2136.5060679611602</v>
      </c>
      <c r="G2239" s="1">
        <v>3</v>
      </c>
      <c r="H2239" s="1">
        <v>1</v>
      </c>
      <c r="I2239" s="1">
        <v>1</v>
      </c>
      <c r="J2239" s="1">
        <v>1</v>
      </c>
      <c r="M2239" s="1">
        <v>824</v>
      </c>
      <c r="N2239" s="1">
        <v>1860</v>
      </c>
      <c r="O2239" s="1">
        <v>1860</v>
      </c>
      <c r="Q2239" s="1" t="s">
        <v>505</v>
      </c>
      <c r="S2239" s="1" t="s">
        <v>505</v>
      </c>
      <c r="T2239" s="1" t="s">
        <v>273</v>
      </c>
      <c r="V2239" s="5">
        <v>43676</v>
      </c>
      <c r="W2239" s="5">
        <v>42768</v>
      </c>
      <c r="X2239" s="1">
        <v>1725000</v>
      </c>
      <c r="Y2239" s="1">
        <v>1725000</v>
      </c>
      <c r="Z2239" s="5">
        <v>42768</v>
      </c>
      <c r="AA2239" s="1">
        <v>1760481</v>
      </c>
      <c r="AB2239" s="1" t="s">
        <v>1286</v>
      </c>
      <c r="AC2239" s="5">
        <v>42797</v>
      </c>
      <c r="AF2239" s="1">
        <v>10014</v>
      </c>
      <c r="AI2239" s="1" t="s">
        <v>80</v>
      </c>
      <c r="AJ2239" s="1">
        <v>2016</v>
      </c>
      <c r="AK2239" s="1" t="s">
        <v>46</v>
      </c>
      <c r="AL2239" s="1">
        <v>92</v>
      </c>
    </row>
    <row r="2240" spans="1:38" x14ac:dyDescent="0.2">
      <c r="A2240" s="2" t="str">
        <f>HYPERLINK("https://www.compass.com/listing/70-charlton-street-unit-10g-manhattan-ny-10014/644210448593204001/","70 Charlton St, Unit 10G")</f>
        <v>70 Charlton St, Unit 10G</v>
      </c>
      <c r="B2240" s="2" t="str">
        <f t="shared" si="366"/>
        <v>70 Charlton Street</v>
      </c>
      <c r="C2240" s="1" t="s">
        <v>53</v>
      </c>
      <c r="D2240" s="1" t="s">
        <v>41</v>
      </c>
      <c r="E2240" s="3">
        <v>1327725</v>
      </c>
      <c r="F2240" s="1">
        <v>1611.3167475728101</v>
      </c>
      <c r="G2240" s="1">
        <v>3</v>
      </c>
      <c r="H2240" s="1">
        <v>1</v>
      </c>
      <c r="I2240" s="1">
        <v>1</v>
      </c>
      <c r="J2240" s="1">
        <v>1</v>
      </c>
      <c r="K2240" s="1">
        <v>1</v>
      </c>
      <c r="M2240" s="1">
        <v>824</v>
      </c>
      <c r="N2240" s="1">
        <v>1861</v>
      </c>
      <c r="O2240" s="1">
        <v>1861</v>
      </c>
      <c r="Q2240" s="1" t="s">
        <v>505</v>
      </c>
      <c r="S2240" s="1" t="s">
        <v>505</v>
      </c>
      <c r="T2240" s="1" t="s">
        <v>273</v>
      </c>
      <c r="U2240" s="1">
        <v>95</v>
      </c>
      <c r="V2240" s="5">
        <v>44303</v>
      </c>
      <c r="W2240" s="5">
        <v>44141</v>
      </c>
      <c r="Z2240" s="5">
        <v>44236</v>
      </c>
      <c r="AA2240" s="1">
        <v>1327725</v>
      </c>
      <c r="AB2240" s="1" t="s">
        <v>1287</v>
      </c>
      <c r="AC2240" s="5">
        <v>44292</v>
      </c>
      <c r="AF2240" s="1">
        <v>10014</v>
      </c>
      <c r="AI2240" s="1" t="s">
        <v>80</v>
      </c>
      <c r="AJ2240" s="1">
        <v>2016</v>
      </c>
      <c r="AK2240" s="1" t="s">
        <v>46</v>
      </c>
      <c r="AL2240" s="1">
        <v>92</v>
      </c>
    </row>
    <row r="2241" spans="1:38" x14ac:dyDescent="0.2">
      <c r="A2241" s="2" t="str">
        <f>HYPERLINK("https://www.compass.com/listing/64-east-1st-street-manhattan-ny-10003/831819118137250801/","64 E 1st St")</f>
        <v>64 E 1st St</v>
      </c>
      <c r="B2241" s="2" t="str">
        <f>HYPERLINK("https://www.compass.com/building/64-e-1st-st-manhattan-ny-10003/281894416707231061/","64 E 1st St")</f>
        <v>64 E 1st St</v>
      </c>
      <c r="C2241" s="1" t="s">
        <v>71</v>
      </c>
      <c r="D2241" s="1" t="s">
        <v>41</v>
      </c>
      <c r="E2241" s="3">
        <v>3650000</v>
      </c>
      <c r="F2241" s="1">
        <v>1871.79487179487</v>
      </c>
      <c r="H2241" s="1">
        <v>2</v>
      </c>
      <c r="J2241" s="1">
        <v>2.5</v>
      </c>
      <c r="K2241" s="1">
        <v>2</v>
      </c>
      <c r="L2241" s="1">
        <v>1</v>
      </c>
      <c r="M2241" s="4">
        <v>1950</v>
      </c>
      <c r="N2241" s="1">
        <v>2453</v>
      </c>
      <c r="O2241" s="1">
        <v>6203</v>
      </c>
      <c r="P2241" s="1">
        <v>3750</v>
      </c>
      <c r="Q2241" s="1" t="s">
        <v>42</v>
      </c>
      <c r="S2241" s="1" t="s">
        <v>42</v>
      </c>
      <c r="T2241" s="1" t="s">
        <v>273</v>
      </c>
      <c r="AA2241" s="1">
        <v>3650000</v>
      </c>
      <c r="AB2241" s="1" t="s">
        <v>1288</v>
      </c>
      <c r="AC2241" s="5">
        <v>44378</v>
      </c>
      <c r="AF2241" s="1">
        <v>10003</v>
      </c>
      <c r="AI2241" s="1" t="s">
        <v>52</v>
      </c>
      <c r="AJ2241" s="1">
        <v>2017</v>
      </c>
      <c r="AL2241" s="1">
        <v>6</v>
      </c>
    </row>
    <row r="2242" spans="1:38" x14ac:dyDescent="0.2">
      <c r="A2242" s="2" t="str">
        <f>HYPERLINK("https://www.compass.com/listing/565-broome-street-unit-s10c-manhattan-ny-10013/269557005985811073/","565 Broome St, Unit S10C")</f>
        <v>565 Broome St, Unit S10C</v>
      </c>
      <c r="B2242" s="2" t="str">
        <f>HYPERLINK("https://www.compass.com/building/565-broome-soho-manhattan-ny/292813251698267109/","565 Broome Soho")</f>
        <v>565 Broome Soho</v>
      </c>
      <c r="C2242" s="1" t="s">
        <v>298</v>
      </c>
      <c r="D2242" s="1" t="s">
        <v>41</v>
      </c>
      <c r="E2242" s="3">
        <v>4000000</v>
      </c>
      <c r="F2242" s="1">
        <v>2379.5359904818501</v>
      </c>
      <c r="G2242" s="1">
        <v>4</v>
      </c>
      <c r="H2242" s="1">
        <v>2</v>
      </c>
      <c r="I2242" s="1">
        <v>3</v>
      </c>
      <c r="J2242" s="1">
        <v>2.5</v>
      </c>
      <c r="K2242" s="1">
        <v>2</v>
      </c>
      <c r="L2242" s="1">
        <v>1</v>
      </c>
      <c r="M2242" s="4">
        <v>1681</v>
      </c>
      <c r="N2242" s="1">
        <v>2491</v>
      </c>
      <c r="O2242" s="1">
        <v>5239</v>
      </c>
      <c r="P2242" s="1">
        <v>2748</v>
      </c>
      <c r="Q2242" s="1" t="s">
        <v>42</v>
      </c>
      <c r="S2242" s="1" t="s">
        <v>42</v>
      </c>
      <c r="T2242" s="1" t="s">
        <v>273</v>
      </c>
      <c r="V2242" s="5">
        <v>44344</v>
      </c>
      <c r="W2242" s="5">
        <v>43624</v>
      </c>
      <c r="X2242" s="1">
        <v>4125000</v>
      </c>
      <c r="Y2242" s="1">
        <v>4125000</v>
      </c>
      <c r="Z2242" s="5">
        <v>43624</v>
      </c>
      <c r="AA2242" s="1">
        <v>4000000</v>
      </c>
      <c r="AB2242" s="1" t="s">
        <v>1289</v>
      </c>
      <c r="AC2242" s="5">
        <v>43641</v>
      </c>
      <c r="AF2242" s="1">
        <v>10013</v>
      </c>
      <c r="AI2242" s="1" t="s">
        <v>48</v>
      </c>
      <c r="AJ2242" s="1">
        <v>2019</v>
      </c>
      <c r="AK2242" s="1" t="s">
        <v>46</v>
      </c>
      <c r="AL2242" s="1">
        <v>115</v>
      </c>
    </row>
    <row r="2243" spans="1:38" x14ac:dyDescent="0.2">
      <c r="A2243" s="2" t="str">
        <f>HYPERLINK("https://www.compass.com/listing/221-west-77th-street-unit-9e-manhattan-ny-10024/8743031830235905/","221 W 77th St, Unit 9E")</f>
        <v>221 W 77th St, Unit 9E</v>
      </c>
      <c r="B2243" s="2" t="str">
        <f t="shared" ref="B2243:B2246" si="367">HYPERLINK("https://www.compass.com/building/221-west-77th-street-manhattan-ny/292869344491294229/","221 West 77th Street")</f>
        <v>221 West 77th Street</v>
      </c>
      <c r="C2243" s="1" t="s">
        <v>57</v>
      </c>
      <c r="D2243" s="1" t="s">
        <v>41</v>
      </c>
      <c r="E2243" s="3">
        <v>5269444</v>
      </c>
      <c r="F2243" s="1">
        <v>3037.1435158501399</v>
      </c>
      <c r="G2243" s="1">
        <v>4</v>
      </c>
      <c r="H2243" s="1">
        <v>2</v>
      </c>
      <c r="I2243" s="1">
        <v>3</v>
      </c>
      <c r="J2243" s="1">
        <v>2.5</v>
      </c>
      <c r="M2243" s="4">
        <v>1735</v>
      </c>
      <c r="N2243" s="1">
        <v>1734</v>
      </c>
      <c r="O2243" s="1">
        <v>3971</v>
      </c>
      <c r="P2243" s="1">
        <v>2237</v>
      </c>
      <c r="Q2243" s="1" t="s">
        <v>42</v>
      </c>
      <c r="S2243" s="1" t="s">
        <v>42</v>
      </c>
      <c r="T2243" s="1" t="s">
        <v>273</v>
      </c>
      <c r="V2243" s="5">
        <v>43662</v>
      </c>
      <c r="W2243" s="5">
        <v>42287</v>
      </c>
      <c r="X2243" s="1">
        <v>4100000</v>
      </c>
      <c r="Y2243" s="1">
        <v>4100000</v>
      </c>
      <c r="Z2243" s="5">
        <v>42287</v>
      </c>
      <c r="AA2243" s="1">
        <v>5269444</v>
      </c>
      <c r="AB2243" s="1" t="s">
        <v>1283</v>
      </c>
      <c r="AC2243" s="5">
        <v>42902</v>
      </c>
      <c r="AF2243" s="1">
        <v>10024</v>
      </c>
      <c r="AI2243" s="1" t="s">
        <v>111</v>
      </c>
      <c r="AJ2243" s="1">
        <v>2017</v>
      </c>
      <c r="AK2243" s="1" t="s">
        <v>55</v>
      </c>
      <c r="AL2243" s="1">
        <v>26</v>
      </c>
    </row>
    <row r="2244" spans="1:38" x14ac:dyDescent="0.2">
      <c r="A2244" s="2" t="str">
        <f>HYPERLINK("https://www.compass.com/listing/221-west-77th-street-unit-6w-manhattan-ny-10024/8743038230745057/","221 W 77th St, Unit 6W")</f>
        <v>221 W 77th St, Unit 6W</v>
      </c>
      <c r="B2244" s="2" t="str">
        <f t="shared" si="367"/>
        <v>221 West 77th Street</v>
      </c>
      <c r="C2244" s="1" t="s">
        <v>57</v>
      </c>
      <c r="D2244" s="1" t="s">
        <v>41</v>
      </c>
      <c r="E2244" s="3">
        <v>6200000</v>
      </c>
      <c r="F2244" s="1">
        <v>2273.5606894022699</v>
      </c>
      <c r="G2244" s="1">
        <v>6</v>
      </c>
      <c r="H2244" s="1">
        <v>4</v>
      </c>
      <c r="I2244" s="1">
        <v>5</v>
      </c>
      <c r="J2244" s="1">
        <v>0.5</v>
      </c>
      <c r="L2244" s="1">
        <v>1</v>
      </c>
      <c r="M2244" s="4">
        <v>2727</v>
      </c>
      <c r="N2244" s="1">
        <v>2725</v>
      </c>
      <c r="O2244" s="1">
        <v>6241</v>
      </c>
      <c r="P2244" s="1">
        <v>3516</v>
      </c>
      <c r="Q2244" s="1" t="s">
        <v>42</v>
      </c>
      <c r="S2244" s="1" t="s">
        <v>42</v>
      </c>
      <c r="T2244" s="1" t="s">
        <v>273</v>
      </c>
      <c r="U2244" s="1">
        <v>1</v>
      </c>
      <c r="V2244" s="5">
        <v>43671</v>
      </c>
      <c r="W2244" s="5">
        <v>42712</v>
      </c>
      <c r="X2244" s="1">
        <v>6550000</v>
      </c>
      <c r="Y2244" s="1">
        <v>6550000</v>
      </c>
      <c r="Z2244" s="5">
        <v>42713</v>
      </c>
      <c r="AA2244" s="1">
        <v>6200000</v>
      </c>
      <c r="AB2244" s="1" t="s">
        <v>1290</v>
      </c>
      <c r="AC2244" s="5">
        <v>42906</v>
      </c>
      <c r="AF2244" s="1">
        <v>10024</v>
      </c>
      <c r="AI2244" s="1" t="s">
        <v>225</v>
      </c>
      <c r="AJ2244" s="1">
        <v>2017</v>
      </c>
      <c r="AK2244" s="1" t="s">
        <v>108</v>
      </c>
      <c r="AL2244" s="1">
        <v>26</v>
      </c>
    </row>
    <row r="2245" spans="1:38" x14ac:dyDescent="0.2">
      <c r="A2245" s="2" t="str">
        <f>HYPERLINK("https://www.compass.com/listing/221-west-77th-street-unit-10e-manhattan-ny-10024/8743032669140033/","221 W 77th St, Unit 10E")</f>
        <v>221 W 77th St, Unit 10E</v>
      </c>
      <c r="B2245" s="2" t="str">
        <f t="shared" si="367"/>
        <v>221 West 77th Street</v>
      </c>
      <c r="C2245" s="1" t="s">
        <v>57</v>
      </c>
      <c r="D2245" s="1" t="s">
        <v>41</v>
      </c>
      <c r="E2245" s="3">
        <v>5150000</v>
      </c>
      <c r="F2245" s="1">
        <v>2491.5336236090898</v>
      </c>
      <c r="G2245" s="1">
        <v>6</v>
      </c>
      <c r="H2245" s="1">
        <v>3</v>
      </c>
      <c r="I2245" s="1">
        <v>4</v>
      </c>
      <c r="J2245" s="1">
        <v>0.5</v>
      </c>
      <c r="L2245" s="1">
        <v>1</v>
      </c>
      <c r="M2245" s="4">
        <v>2067</v>
      </c>
      <c r="N2245" s="1">
        <v>2066</v>
      </c>
      <c r="O2245" s="1">
        <v>4731</v>
      </c>
      <c r="P2245" s="1">
        <v>2665</v>
      </c>
      <c r="Q2245" s="1" t="s">
        <v>42</v>
      </c>
      <c r="S2245" s="1" t="s">
        <v>42</v>
      </c>
      <c r="T2245" s="1" t="s">
        <v>273</v>
      </c>
      <c r="U2245" s="1">
        <v>36</v>
      </c>
      <c r="V2245" s="5">
        <v>43649</v>
      </c>
      <c r="W2245" s="5">
        <v>42475</v>
      </c>
      <c r="X2245" s="1">
        <v>5150000</v>
      </c>
      <c r="Y2245" s="1">
        <v>5150000</v>
      </c>
      <c r="Z2245" s="5">
        <v>42511</v>
      </c>
      <c r="AA2245" s="1">
        <v>5150000</v>
      </c>
      <c r="AB2245" s="1" t="s">
        <v>1291</v>
      </c>
      <c r="AC2245" s="5">
        <v>42902</v>
      </c>
      <c r="AF2245" s="1">
        <v>10024</v>
      </c>
      <c r="AI2245" s="1" t="s">
        <v>225</v>
      </c>
      <c r="AJ2245" s="1">
        <v>2017</v>
      </c>
      <c r="AK2245" s="1" t="s">
        <v>108</v>
      </c>
      <c r="AL2245" s="1">
        <v>26</v>
      </c>
    </row>
    <row r="2246" spans="1:38" x14ac:dyDescent="0.2">
      <c r="A2246" s="2" t="str">
        <f>HYPERLINK("https://www.compass.com/listing/221-west-77th-street-unit-11e-manhattan-ny-10024/8743035907100241/","221 W 77th St, Unit 11E")</f>
        <v>221 W 77th St, Unit 11E</v>
      </c>
      <c r="B2246" s="2" t="str">
        <f t="shared" si="367"/>
        <v>221 West 77th Street</v>
      </c>
      <c r="C2246" s="1" t="s">
        <v>57</v>
      </c>
      <c r="D2246" s="1" t="s">
        <v>41</v>
      </c>
      <c r="E2246" s="3">
        <v>5250000</v>
      </c>
      <c r="F2246" s="1">
        <v>2539.9129172714001</v>
      </c>
      <c r="G2246" s="1">
        <v>6</v>
      </c>
      <c r="H2246" s="1">
        <v>3</v>
      </c>
      <c r="I2246" s="1">
        <v>4</v>
      </c>
      <c r="J2246" s="1">
        <v>0.5</v>
      </c>
      <c r="L2246" s="1">
        <v>1</v>
      </c>
      <c r="M2246" s="4">
        <v>2067</v>
      </c>
      <c r="N2246" s="1">
        <v>2066</v>
      </c>
      <c r="O2246" s="1">
        <v>4731</v>
      </c>
      <c r="P2246" s="1">
        <v>2665</v>
      </c>
      <c r="Q2246" s="1" t="s">
        <v>42</v>
      </c>
      <c r="S2246" s="1" t="s">
        <v>42</v>
      </c>
      <c r="T2246" s="1" t="s">
        <v>273</v>
      </c>
      <c r="U2246" s="1">
        <v>297</v>
      </c>
      <c r="V2246" s="5">
        <v>43664</v>
      </c>
      <c r="W2246" s="5">
        <v>42629</v>
      </c>
      <c r="X2246" s="1">
        <v>5350000</v>
      </c>
      <c r="Y2246" s="1">
        <v>5350000</v>
      </c>
      <c r="Z2246" s="5">
        <v>42528</v>
      </c>
      <c r="AA2246" s="1">
        <v>5250000</v>
      </c>
      <c r="AB2246" s="1" t="s">
        <v>1292</v>
      </c>
      <c r="AC2246" s="5">
        <v>42926</v>
      </c>
      <c r="AF2246" s="1">
        <v>10024</v>
      </c>
      <c r="AI2246" s="1" t="s">
        <v>225</v>
      </c>
      <c r="AJ2246" s="1">
        <v>2017</v>
      </c>
      <c r="AK2246" s="1" t="s">
        <v>108</v>
      </c>
      <c r="AL2246" s="1">
        <v>26</v>
      </c>
    </row>
    <row r="2247" spans="1:38" x14ac:dyDescent="0.2">
      <c r="A2247" s="2" t="str">
        <f>HYPERLINK("https://www.compass.com/listing/70-charlton-street-unit-12d-manhattan-ny-10014/384019694788500225/","70 Charlton St, Unit 12D")</f>
        <v>70 Charlton St, Unit 12D</v>
      </c>
      <c r="B2247" s="2" t="str">
        <f>HYPERLINK("https://www.compass.com/building/70-charlton-street-manhattan-ny/292835639240484293/","70 Charlton Street")</f>
        <v>70 Charlton Street</v>
      </c>
      <c r="C2247" s="1" t="s">
        <v>53</v>
      </c>
      <c r="D2247" s="1" t="s">
        <v>41</v>
      </c>
      <c r="E2247" s="3">
        <v>3168325</v>
      </c>
      <c r="F2247" s="1">
        <v>1942.5659104843601</v>
      </c>
      <c r="G2247" s="1">
        <v>6</v>
      </c>
      <c r="H2247" s="1">
        <v>3</v>
      </c>
      <c r="I2247" s="1">
        <v>3</v>
      </c>
      <c r="J2247" s="1">
        <v>3</v>
      </c>
      <c r="K2247" s="1">
        <v>3</v>
      </c>
      <c r="M2247" s="4">
        <v>1631</v>
      </c>
      <c r="Q2247" s="1" t="s">
        <v>271</v>
      </c>
      <c r="S2247" s="1" t="s">
        <v>272</v>
      </c>
      <c r="T2247" s="1" t="s">
        <v>273</v>
      </c>
      <c r="V2247" s="5">
        <v>44248</v>
      </c>
      <c r="W2247" s="5">
        <v>43780</v>
      </c>
      <c r="X2247" s="1">
        <v>3625000</v>
      </c>
      <c r="Y2247" s="1">
        <v>3625000</v>
      </c>
      <c r="Z2247" s="5">
        <v>43782</v>
      </c>
      <c r="AA2247" s="1">
        <v>3168325</v>
      </c>
      <c r="AB2247" s="1" t="s">
        <v>1293</v>
      </c>
      <c r="AC2247" s="5">
        <v>43892</v>
      </c>
      <c r="AF2247" s="1">
        <v>10014</v>
      </c>
      <c r="AI2247" s="1" t="s">
        <v>1294</v>
      </c>
      <c r="AJ2247" s="1">
        <v>2016</v>
      </c>
      <c r="AK2247" s="1" t="s">
        <v>49</v>
      </c>
      <c r="AL2247" s="1">
        <v>92</v>
      </c>
    </row>
    <row r="2248" spans="1:38" x14ac:dyDescent="0.2">
      <c r="A2248" s="2" t="str">
        <f>HYPERLINK("https://www.compass.com/listing/90-morton-street-unit-7d-manhattan-ny-10014/29515685180809409/","90 Morton St, Unit 7D")</f>
        <v>90 Morton St, Unit 7D</v>
      </c>
      <c r="B2248" s="2" t="str">
        <f t="shared" ref="B2248:B2252" si="368">HYPERLINK("https://www.compass.com/building/90-morton-street-manhattan-ny/292834843018978005/","90 Morton Street")</f>
        <v>90 Morton Street</v>
      </c>
      <c r="C2248" s="1" t="s">
        <v>67</v>
      </c>
      <c r="D2248" s="1" t="s">
        <v>41</v>
      </c>
      <c r="E2248" s="3">
        <v>5422181</v>
      </c>
      <c r="F2248" s="1">
        <v>2006.72881199111</v>
      </c>
      <c r="G2248" s="1">
        <v>6</v>
      </c>
      <c r="H2248" s="1">
        <v>4</v>
      </c>
      <c r="I2248" s="1">
        <v>4</v>
      </c>
      <c r="J2248" s="1">
        <v>4.5</v>
      </c>
      <c r="K2248" s="1">
        <v>4</v>
      </c>
      <c r="L2248" s="1">
        <v>1</v>
      </c>
      <c r="M2248" s="4">
        <v>2702</v>
      </c>
      <c r="N2248" s="1">
        <v>3624.8</v>
      </c>
      <c r="O2248" s="1">
        <v>6535.97</v>
      </c>
      <c r="P2248" s="1">
        <v>2911.1666666666601</v>
      </c>
      <c r="Q2248" s="1" t="s">
        <v>42</v>
      </c>
      <c r="S2248" s="1" t="s">
        <v>42</v>
      </c>
      <c r="T2248" s="1" t="s">
        <v>273</v>
      </c>
      <c r="V2248" s="5">
        <v>43665</v>
      </c>
      <c r="W2248" s="5">
        <v>43206</v>
      </c>
      <c r="X2248" s="1">
        <v>7100000</v>
      </c>
      <c r="Y2248" s="1">
        <v>8350000</v>
      </c>
      <c r="Z2248" s="5">
        <v>43206</v>
      </c>
      <c r="AA2248" s="1">
        <v>5422181.25</v>
      </c>
      <c r="AB2248" s="1" t="s">
        <v>1295</v>
      </c>
      <c r="AC2248" s="5">
        <v>43658</v>
      </c>
      <c r="AF2248" s="1">
        <v>10014</v>
      </c>
      <c r="AI2248" s="1" t="s">
        <v>140</v>
      </c>
      <c r="AJ2248" s="1">
        <v>2018</v>
      </c>
      <c r="AK2248" s="1" t="s">
        <v>49</v>
      </c>
      <c r="AL2248" s="1">
        <v>35</v>
      </c>
    </row>
    <row r="2249" spans="1:38" x14ac:dyDescent="0.2">
      <c r="A2249" s="2" t="str">
        <f>HYPERLINK("https://www.compass.com/listing/90-morton-street-unit-8b-manhattan-ny-10014/29515685734431201/","90 Morton St, Unit 8B")</f>
        <v>90 Morton St, Unit 8B</v>
      </c>
      <c r="B2249" s="2" t="str">
        <f t="shared" si="368"/>
        <v>90 Morton Street</v>
      </c>
      <c r="C2249" s="1" t="s">
        <v>67</v>
      </c>
      <c r="D2249" s="1" t="s">
        <v>41</v>
      </c>
      <c r="E2249" s="3">
        <v>8395226</v>
      </c>
      <c r="F2249" s="1">
        <v>2382.97644053363</v>
      </c>
      <c r="G2249" s="1">
        <v>6</v>
      </c>
      <c r="H2249" s="1">
        <v>4</v>
      </c>
      <c r="I2249" s="1">
        <v>5</v>
      </c>
      <c r="J2249" s="1">
        <v>4.5</v>
      </c>
      <c r="K2249" s="1">
        <v>4</v>
      </c>
      <c r="L2249" s="1">
        <v>1</v>
      </c>
      <c r="M2249" s="4">
        <v>3523</v>
      </c>
      <c r="N2249" s="1">
        <v>4991.59</v>
      </c>
      <c r="O2249" s="1">
        <v>9000.4599999999991</v>
      </c>
      <c r="P2249" s="1">
        <v>4008.8333333333298</v>
      </c>
      <c r="Q2249" s="1" t="s">
        <v>42</v>
      </c>
      <c r="S2249" s="1" t="s">
        <v>42</v>
      </c>
      <c r="T2249" s="1" t="s">
        <v>273</v>
      </c>
      <c r="V2249" s="5">
        <v>43753</v>
      </c>
      <c r="W2249" s="5">
        <v>43207</v>
      </c>
      <c r="X2249" s="1">
        <v>12025000</v>
      </c>
      <c r="Y2249" s="1">
        <v>12025000</v>
      </c>
      <c r="Z2249" s="5">
        <v>43207</v>
      </c>
      <c r="AA2249" s="1">
        <v>8395226</v>
      </c>
      <c r="AB2249" s="1" t="s">
        <v>275</v>
      </c>
      <c r="AC2249" s="5">
        <v>43707</v>
      </c>
      <c r="AF2249" s="1">
        <v>10014</v>
      </c>
      <c r="AI2249" s="1" t="s">
        <v>48</v>
      </c>
      <c r="AJ2249" s="1">
        <v>2018</v>
      </c>
      <c r="AK2249" s="1" t="s">
        <v>49</v>
      </c>
      <c r="AL2249" s="1">
        <v>35</v>
      </c>
    </row>
    <row r="2250" spans="1:38" x14ac:dyDescent="0.2">
      <c r="A2250" s="2" t="str">
        <f>HYPERLINK("https://www.compass.com/listing/90-morton-street-unit-7a-manhattan-ny-10014/29515688578169441/","90 Morton St, Unit 7A")</f>
        <v>90 Morton St, Unit 7A</v>
      </c>
      <c r="B2250" s="2" t="str">
        <f t="shared" si="368"/>
        <v>90 Morton Street</v>
      </c>
      <c r="C2250" s="1" t="s">
        <v>67</v>
      </c>
      <c r="D2250" s="1" t="s">
        <v>41</v>
      </c>
      <c r="E2250" s="3">
        <v>9586687</v>
      </c>
      <c r="F2250" s="1">
        <v>2950.65774084333</v>
      </c>
      <c r="G2250" s="1">
        <v>6</v>
      </c>
      <c r="H2250" s="1">
        <v>4</v>
      </c>
      <c r="I2250" s="1">
        <v>5</v>
      </c>
      <c r="J2250" s="1">
        <v>4.5</v>
      </c>
      <c r="K2250" s="1">
        <v>4</v>
      </c>
      <c r="L2250" s="1">
        <v>1</v>
      </c>
      <c r="M2250" s="4">
        <v>3249</v>
      </c>
      <c r="N2250" s="1">
        <v>4348.92</v>
      </c>
      <c r="O2250" s="1">
        <v>7841.6399999999903</v>
      </c>
      <c r="P2250" s="1">
        <v>3492.75</v>
      </c>
      <c r="Q2250" s="1" t="s">
        <v>42</v>
      </c>
      <c r="S2250" s="1" t="s">
        <v>42</v>
      </c>
      <c r="T2250" s="1" t="s">
        <v>273</v>
      </c>
      <c r="V2250" s="5">
        <v>43669</v>
      </c>
      <c r="W2250" s="5">
        <v>43215</v>
      </c>
      <c r="X2250" s="1">
        <v>10000000</v>
      </c>
      <c r="Y2250" s="1">
        <v>10000000</v>
      </c>
      <c r="Z2250" s="5">
        <v>43215</v>
      </c>
      <c r="AA2250" s="1">
        <v>9586687</v>
      </c>
      <c r="AB2250" s="1" t="s">
        <v>1296</v>
      </c>
      <c r="AC2250" s="5">
        <v>43645</v>
      </c>
      <c r="AF2250" s="1">
        <v>10014</v>
      </c>
      <c r="AI2250" s="1" t="s">
        <v>140</v>
      </c>
      <c r="AJ2250" s="1">
        <v>2018</v>
      </c>
      <c r="AK2250" s="1" t="s">
        <v>49</v>
      </c>
      <c r="AL2250" s="1">
        <v>35</v>
      </c>
    </row>
    <row r="2251" spans="1:38" x14ac:dyDescent="0.2">
      <c r="A2251" s="2" t="str">
        <f>HYPERLINK("https://www.compass.com/listing/90-morton-street-unit-8b-manhattan-ny-10014/480868870757394441/","90 Morton St, Unit 8B")</f>
        <v>90 Morton St, Unit 8B</v>
      </c>
      <c r="B2251" s="2" t="str">
        <f t="shared" si="368"/>
        <v>90 Morton Street</v>
      </c>
      <c r="C2251" s="1" t="s">
        <v>67</v>
      </c>
      <c r="D2251" s="1" t="s">
        <v>41</v>
      </c>
      <c r="E2251" s="3">
        <v>8395226</v>
      </c>
      <c r="F2251" s="1">
        <v>2382.9763837638302</v>
      </c>
      <c r="H2251" s="1">
        <v>4</v>
      </c>
      <c r="J2251" s="1">
        <v>4.5</v>
      </c>
      <c r="K2251" s="1">
        <v>4</v>
      </c>
      <c r="L2251" s="1">
        <v>1</v>
      </c>
      <c r="M2251" s="4">
        <v>3523</v>
      </c>
      <c r="N2251" s="1">
        <v>4991.59</v>
      </c>
      <c r="O2251" s="1">
        <v>9000.4599999999991</v>
      </c>
      <c r="P2251" s="1">
        <v>4008.8333333333298</v>
      </c>
      <c r="Q2251" s="1" t="s">
        <v>42</v>
      </c>
      <c r="S2251" s="1" t="s">
        <v>42</v>
      </c>
      <c r="T2251" s="1" t="s">
        <v>273</v>
      </c>
      <c r="AA2251" s="1">
        <v>8395225.8000000007</v>
      </c>
      <c r="AB2251" s="1" t="s">
        <v>1297</v>
      </c>
      <c r="AC2251" s="5">
        <v>43706</v>
      </c>
      <c r="AF2251" s="1">
        <v>10014</v>
      </c>
      <c r="AI2251" s="1" t="s">
        <v>140</v>
      </c>
      <c r="AJ2251" s="1">
        <v>2018</v>
      </c>
      <c r="AK2251" s="1" t="s">
        <v>49</v>
      </c>
      <c r="AL2251" s="1">
        <v>35</v>
      </c>
    </row>
    <row r="2252" spans="1:38" x14ac:dyDescent="0.2">
      <c r="A2252" s="2" t="str">
        <f>HYPERLINK("https://www.compass.com/listing/90-morton-street-unit-1a-manhattan-ny-10014/694694860625053601/","90 Morton St, Unit 1A")</f>
        <v>90 Morton St, Unit 1A</v>
      </c>
      <c r="B2252" s="2" t="str">
        <f t="shared" si="368"/>
        <v>90 Morton Street</v>
      </c>
      <c r="C2252" s="1" t="s">
        <v>67</v>
      </c>
      <c r="D2252" s="1" t="s">
        <v>41</v>
      </c>
      <c r="E2252" s="3">
        <v>7700000</v>
      </c>
      <c r="F2252" s="1">
        <v>2176.9861464517899</v>
      </c>
      <c r="H2252" s="1">
        <v>4</v>
      </c>
      <c r="J2252" s="1">
        <v>3.5</v>
      </c>
      <c r="K2252" s="1">
        <v>3</v>
      </c>
      <c r="L2252" s="1">
        <v>1</v>
      </c>
      <c r="M2252" s="4">
        <v>3537</v>
      </c>
      <c r="N2252" s="1">
        <v>4555.43</v>
      </c>
      <c r="O2252" s="1">
        <v>9273.51</v>
      </c>
      <c r="P2252" s="1">
        <v>4718.0833333333303</v>
      </c>
      <c r="Q2252" s="1" t="s">
        <v>42</v>
      </c>
      <c r="S2252" s="1" t="s">
        <v>42</v>
      </c>
      <c r="T2252" s="1" t="s">
        <v>273</v>
      </c>
      <c r="AA2252" s="1">
        <v>7700000</v>
      </c>
      <c r="AB2252" s="1" t="s">
        <v>1298</v>
      </c>
      <c r="AC2252" s="5">
        <v>44194</v>
      </c>
      <c r="AF2252" s="1">
        <v>10014</v>
      </c>
      <c r="AI2252" s="1" t="s">
        <v>140</v>
      </c>
      <c r="AJ2252" s="1">
        <v>2018</v>
      </c>
      <c r="AK2252" s="1" t="s">
        <v>49</v>
      </c>
      <c r="AL2252" s="1">
        <v>35</v>
      </c>
    </row>
    <row r="2253" spans="1:38" x14ac:dyDescent="0.2">
      <c r="A2253" s="2" t="str">
        <f>HYPERLINK("https://www.compass.com/listing/70-charlton-street-unit-10c-manhattan-ny-10014/267989668543369905/","70 Charlton St, Unit 10C")</f>
        <v>70 Charlton St, Unit 10C</v>
      </c>
      <c r="B2253" s="2" t="str">
        <f>HYPERLINK("https://www.compass.com/building/70-charlton-street-manhattan-ny/292835639240484293/","70 Charlton Street")</f>
        <v>70 Charlton Street</v>
      </c>
      <c r="C2253" s="1" t="s">
        <v>298</v>
      </c>
      <c r="D2253" s="1" t="s">
        <v>41</v>
      </c>
      <c r="E2253" s="3">
        <v>2549625</v>
      </c>
      <c r="F2253" s="1">
        <v>1927.1541950113301</v>
      </c>
      <c r="G2253" s="1">
        <v>4</v>
      </c>
      <c r="H2253" s="1">
        <v>2</v>
      </c>
      <c r="I2253" s="1">
        <v>3</v>
      </c>
      <c r="J2253" s="1">
        <v>2.5</v>
      </c>
      <c r="K2253" s="1">
        <v>2</v>
      </c>
      <c r="L2253" s="1">
        <v>1</v>
      </c>
      <c r="M2253" s="4">
        <v>1323</v>
      </c>
      <c r="N2253" s="1">
        <v>2839</v>
      </c>
      <c r="O2253" s="1">
        <v>2839</v>
      </c>
      <c r="Q2253" s="1" t="s">
        <v>505</v>
      </c>
      <c r="S2253" s="1" t="s">
        <v>505</v>
      </c>
      <c r="T2253" s="1" t="s">
        <v>273</v>
      </c>
      <c r="V2253" s="5">
        <v>43697</v>
      </c>
      <c r="W2253" s="5">
        <v>43622</v>
      </c>
      <c r="X2253" s="1">
        <v>2780000</v>
      </c>
      <c r="Y2253" s="1">
        <v>2780000</v>
      </c>
      <c r="Z2253" s="5">
        <v>43622</v>
      </c>
      <c r="AA2253" s="1">
        <v>2549625</v>
      </c>
      <c r="AB2253" s="1" t="s">
        <v>1299</v>
      </c>
      <c r="AC2253" s="5">
        <v>43644</v>
      </c>
      <c r="AF2253" s="1">
        <v>10014</v>
      </c>
      <c r="AI2253" s="1" t="s">
        <v>80</v>
      </c>
      <c r="AJ2253" s="1">
        <v>2016</v>
      </c>
      <c r="AK2253" s="1" t="s">
        <v>46</v>
      </c>
      <c r="AL2253" s="1">
        <v>92</v>
      </c>
    </row>
    <row r="2254" spans="1:38" x14ac:dyDescent="0.2">
      <c r="A2254" s="2" t="str">
        <f>HYPERLINK("https://www.compass.com/listing/53-greene-street-unit-3-manhattan-ny-10013/70922018106674641/","53 Greene St, Unit 3")</f>
        <v>53 Greene St, Unit 3</v>
      </c>
      <c r="B2254" s="2" t="str">
        <f>HYPERLINK("https://www.compass.com/building/53-greene-st-manhattan-ny-10013/281920591823407893/","53 Greene St")</f>
        <v>53 Greene St</v>
      </c>
      <c r="C2254" s="1" t="s">
        <v>298</v>
      </c>
      <c r="D2254" s="1" t="s">
        <v>41</v>
      </c>
      <c r="E2254" s="3">
        <v>6750000</v>
      </c>
      <c r="F2254" s="1">
        <v>2435.9437026344199</v>
      </c>
      <c r="G2254" s="1">
        <v>5</v>
      </c>
      <c r="H2254" s="1">
        <v>2</v>
      </c>
      <c r="I2254" s="1">
        <v>3</v>
      </c>
      <c r="J2254" s="1">
        <v>3</v>
      </c>
      <c r="K2254" s="1">
        <v>3</v>
      </c>
      <c r="M2254" s="4">
        <v>2771</v>
      </c>
      <c r="N2254" s="1">
        <v>2246</v>
      </c>
      <c r="O2254" s="1">
        <v>5611.75</v>
      </c>
      <c r="P2254" s="1">
        <v>3365.75</v>
      </c>
      <c r="Q2254" s="1" t="s">
        <v>42</v>
      </c>
      <c r="S2254" s="1" t="s">
        <v>42</v>
      </c>
      <c r="T2254" s="1" t="s">
        <v>273</v>
      </c>
      <c r="U2254" s="1">
        <v>117</v>
      </c>
      <c r="V2254" s="5">
        <v>43665</v>
      </c>
      <c r="W2254" s="5">
        <v>42782</v>
      </c>
      <c r="X2254" s="1">
        <v>6950000</v>
      </c>
      <c r="Y2254" s="1">
        <v>6850000</v>
      </c>
      <c r="Z2254" s="5">
        <v>42899</v>
      </c>
      <c r="AA2254" s="1">
        <v>6750000</v>
      </c>
      <c r="AB2254" s="1" t="s">
        <v>1248</v>
      </c>
      <c r="AC2254" s="5">
        <v>42909</v>
      </c>
      <c r="AF2254" s="1">
        <v>10013</v>
      </c>
      <c r="AJ2254" s="1">
        <v>2014</v>
      </c>
      <c r="AK2254" s="1" t="s">
        <v>136</v>
      </c>
      <c r="AL2254" s="1">
        <v>5</v>
      </c>
    </row>
    <row r="2255" spans="1:38" x14ac:dyDescent="0.2">
      <c r="A2255" s="2" t="str">
        <f>HYPERLINK("https://www.compass.com/listing/70-charlton-street-unit-4g-manhattan-ny-10014/29514145124605089/","70 Charlton St, Unit 4G")</f>
        <v>70 Charlton St, Unit 4G</v>
      </c>
      <c r="B2255" s="2" t="str">
        <f t="shared" ref="B2255:B2261" si="369">HYPERLINK("https://www.compass.com/building/70-charlton-street-manhattan-ny/292835639240484293/","70 Charlton Street")</f>
        <v>70 Charlton Street</v>
      </c>
      <c r="C2255" s="1" t="s">
        <v>53</v>
      </c>
      <c r="D2255" s="1" t="s">
        <v>41</v>
      </c>
      <c r="E2255" s="3">
        <v>1526284</v>
      </c>
      <c r="F2255" s="1">
        <v>1852.2864077669899</v>
      </c>
      <c r="G2255" s="1">
        <v>3</v>
      </c>
      <c r="H2255" s="1">
        <v>1</v>
      </c>
      <c r="I2255" s="1">
        <v>1</v>
      </c>
      <c r="J2255" s="1">
        <v>1</v>
      </c>
      <c r="M2255" s="1">
        <v>824</v>
      </c>
      <c r="N2255" s="1">
        <v>1738</v>
      </c>
      <c r="O2255" s="1">
        <v>1738</v>
      </c>
      <c r="Q2255" s="1" t="s">
        <v>272</v>
      </c>
      <c r="S2255" s="1" t="s">
        <v>272</v>
      </c>
      <c r="T2255" s="1" t="s">
        <v>273</v>
      </c>
      <c r="U2255" s="1">
        <v>35</v>
      </c>
      <c r="V2255" s="5">
        <v>43648</v>
      </c>
      <c r="W2255" s="5">
        <v>43236</v>
      </c>
      <c r="X2255" s="1">
        <v>1515000</v>
      </c>
      <c r="Y2255" s="1">
        <v>1515000</v>
      </c>
      <c r="Z2255" s="5">
        <v>43271</v>
      </c>
      <c r="AA2255" s="1">
        <v>1526284</v>
      </c>
      <c r="AB2255" s="1" t="s">
        <v>1300</v>
      </c>
      <c r="AC2255" s="5">
        <v>43320</v>
      </c>
      <c r="AF2255" s="1">
        <v>10014</v>
      </c>
      <c r="AI2255" s="1" t="s">
        <v>80</v>
      </c>
      <c r="AJ2255" s="1">
        <v>2016</v>
      </c>
      <c r="AK2255" s="1" t="s">
        <v>49</v>
      </c>
      <c r="AL2255" s="1">
        <v>92</v>
      </c>
    </row>
    <row r="2256" spans="1:38" x14ac:dyDescent="0.2">
      <c r="A2256" s="2" t="str">
        <f>HYPERLINK("https://www.compass.com/listing/70-charlton-street-unit-18d-manhattan-ny-10014/309399429651708145/","70 Charlton St, Unit 18D")</f>
        <v>70 Charlton St, Unit 18D</v>
      </c>
      <c r="B2256" s="2" t="str">
        <f t="shared" si="369"/>
        <v>70 Charlton Street</v>
      </c>
      <c r="C2256" s="1" t="s">
        <v>53</v>
      </c>
      <c r="D2256" s="1" t="s">
        <v>41</v>
      </c>
      <c r="E2256" s="3">
        <v>1427800</v>
      </c>
      <c r="F2256" s="1">
        <v>1718.1708784596799</v>
      </c>
      <c r="G2256" s="1">
        <v>3</v>
      </c>
      <c r="H2256" s="1">
        <v>1</v>
      </c>
      <c r="I2256" s="1">
        <v>1</v>
      </c>
      <c r="J2256" s="1">
        <v>1</v>
      </c>
      <c r="K2256" s="1">
        <v>1</v>
      </c>
      <c r="M2256" s="1">
        <v>831</v>
      </c>
      <c r="N2256" s="1">
        <v>1932</v>
      </c>
      <c r="O2256" s="1">
        <v>1932</v>
      </c>
      <c r="Q2256" s="1" t="s">
        <v>505</v>
      </c>
      <c r="S2256" s="1" t="s">
        <v>505</v>
      </c>
      <c r="T2256" s="1" t="s">
        <v>273</v>
      </c>
      <c r="U2256" s="1">
        <v>231</v>
      </c>
      <c r="V2256" s="5">
        <v>44005</v>
      </c>
      <c r="W2256" s="5">
        <v>43679</v>
      </c>
      <c r="X2256" s="1">
        <v>1695000</v>
      </c>
      <c r="Y2256" s="1">
        <v>1695000</v>
      </c>
      <c r="Z2256" s="5">
        <v>43939</v>
      </c>
      <c r="AA2256" s="1">
        <v>1427800</v>
      </c>
      <c r="AB2256" s="1" t="s">
        <v>1301</v>
      </c>
      <c r="AC2256" s="5">
        <v>43998</v>
      </c>
      <c r="AF2256" s="1">
        <v>10014</v>
      </c>
      <c r="AI2256" s="1" t="s">
        <v>80</v>
      </c>
      <c r="AJ2256" s="1">
        <v>2016</v>
      </c>
      <c r="AK2256" s="1" t="s">
        <v>46</v>
      </c>
      <c r="AL2256" s="1">
        <v>92</v>
      </c>
    </row>
    <row r="2257" spans="1:38" x14ac:dyDescent="0.2">
      <c r="A2257" s="2" t="str">
        <f>HYPERLINK("https://www.compass.com/listing/70-charlton-street-unit-12g-manhattan-ny-10014/531160275234668281/","70 Charlton St, Unit 12G")</f>
        <v>70 Charlton St, Unit 12G</v>
      </c>
      <c r="B2257" s="2" t="str">
        <f t="shared" si="369"/>
        <v>70 Charlton Street</v>
      </c>
      <c r="C2257" s="1" t="s">
        <v>53</v>
      </c>
      <c r="D2257" s="1" t="s">
        <v>41</v>
      </c>
      <c r="E2257" s="3">
        <v>1388820</v>
      </c>
      <c r="F2257" s="1">
        <v>1685.4611650485399</v>
      </c>
      <c r="G2257" s="1">
        <v>3</v>
      </c>
      <c r="H2257" s="1">
        <v>1</v>
      </c>
      <c r="I2257" s="1">
        <v>1</v>
      </c>
      <c r="J2257" s="1">
        <v>1</v>
      </c>
      <c r="K2257" s="1">
        <v>1</v>
      </c>
      <c r="M2257" s="1">
        <v>824</v>
      </c>
      <c r="N2257" s="1">
        <v>1892</v>
      </c>
      <c r="O2257" s="1">
        <v>1892</v>
      </c>
      <c r="Q2257" s="1" t="s">
        <v>505</v>
      </c>
      <c r="S2257" s="1" t="s">
        <v>505</v>
      </c>
      <c r="T2257" s="1" t="s">
        <v>273</v>
      </c>
      <c r="U2257" s="1">
        <v>204</v>
      </c>
      <c r="V2257" s="5">
        <v>44210</v>
      </c>
      <c r="W2257" s="5">
        <v>43985</v>
      </c>
      <c r="AA2257" s="1">
        <v>1388820</v>
      </c>
      <c r="AB2257" s="1" t="s">
        <v>1302</v>
      </c>
      <c r="AC2257" s="5">
        <v>44208</v>
      </c>
      <c r="AF2257" s="1">
        <v>10014</v>
      </c>
      <c r="AI2257" s="1" t="s">
        <v>80</v>
      </c>
      <c r="AJ2257" s="1">
        <v>2016</v>
      </c>
      <c r="AK2257" s="1" t="s">
        <v>46</v>
      </c>
      <c r="AL2257" s="1">
        <v>92</v>
      </c>
    </row>
    <row r="2258" spans="1:38" x14ac:dyDescent="0.2">
      <c r="A2258" s="2" t="str">
        <f>HYPERLINK("https://www.compass.com/listing/70-charlton-street-unit-9g-manhattan-ny-10014/29366249679052273/","70 Charlton St, Unit 9G")</f>
        <v>70 Charlton St, Unit 9G</v>
      </c>
      <c r="B2258" s="2" t="str">
        <f t="shared" si="369"/>
        <v>70 Charlton Street</v>
      </c>
      <c r="C2258" s="1" t="s">
        <v>53</v>
      </c>
      <c r="D2258" s="1" t="s">
        <v>41</v>
      </c>
      <c r="E2258" s="3">
        <v>1684113</v>
      </c>
      <c r="F2258" s="1">
        <v>2043.82645631067</v>
      </c>
      <c r="G2258" s="1">
        <v>3</v>
      </c>
      <c r="H2258" s="1">
        <v>1</v>
      </c>
      <c r="I2258" s="1">
        <v>1</v>
      </c>
      <c r="J2258" s="1">
        <v>1</v>
      </c>
      <c r="M2258" s="1">
        <v>824</v>
      </c>
      <c r="N2258" s="1">
        <v>1829</v>
      </c>
      <c r="O2258" s="1">
        <v>1829</v>
      </c>
      <c r="Q2258" s="1" t="s">
        <v>505</v>
      </c>
      <c r="S2258" s="1" t="s">
        <v>505</v>
      </c>
      <c r="T2258" s="1" t="s">
        <v>273</v>
      </c>
      <c r="V2258" s="5">
        <v>43663</v>
      </c>
      <c r="W2258" s="5">
        <v>42767</v>
      </c>
      <c r="X2258" s="1">
        <v>1665000</v>
      </c>
      <c r="Y2258" s="1">
        <v>1665000</v>
      </c>
      <c r="Z2258" s="5">
        <v>42767</v>
      </c>
      <c r="AA2258" s="1">
        <v>1684113</v>
      </c>
      <c r="AB2258" s="1" t="s">
        <v>1303</v>
      </c>
      <c r="AC2258" s="5">
        <v>42871</v>
      </c>
      <c r="AF2258" s="1">
        <v>10014</v>
      </c>
      <c r="AI2258" s="1" t="s">
        <v>80</v>
      </c>
      <c r="AJ2258" s="1">
        <v>2016</v>
      </c>
      <c r="AK2258" s="1" t="s">
        <v>46</v>
      </c>
      <c r="AL2258" s="1">
        <v>92</v>
      </c>
    </row>
    <row r="2259" spans="1:38" x14ac:dyDescent="0.2">
      <c r="A2259" s="2" t="str">
        <f>HYPERLINK("https://www.compass.com/listing/70-charlton-street-unit-7g-manhattan-ny-10014/29366254762548801/","70 Charlton St, Unit 7G")</f>
        <v>70 Charlton St, Unit 7G</v>
      </c>
      <c r="B2259" s="2" t="str">
        <f t="shared" si="369"/>
        <v>70 Charlton Street</v>
      </c>
      <c r="C2259" s="1" t="s">
        <v>53</v>
      </c>
      <c r="D2259" s="1" t="s">
        <v>41</v>
      </c>
      <c r="E2259" s="3">
        <v>1457116</v>
      </c>
      <c r="F2259" s="1">
        <v>1768.34466019417</v>
      </c>
      <c r="G2259" s="1">
        <v>3</v>
      </c>
      <c r="H2259" s="1">
        <v>1</v>
      </c>
      <c r="I2259" s="1">
        <v>1</v>
      </c>
      <c r="J2259" s="1">
        <v>1</v>
      </c>
      <c r="M2259" s="1">
        <v>824</v>
      </c>
      <c r="N2259" s="1">
        <v>1799</v>
      </c>
      <c r="O2259" s="1">
        <v>1799</v>
      </c>
      <c r="Q2259" s="1" t="s">
        <v>505</v>
      </c>
      <c r="S2259" s="1" t="s">
        <v>505</v>
      </c>
      <c r="T2259" s="1" t="s">
        <v>273</v>
      </c>
      <c r="V2259" s="5">
        <v>43663</v>
      </c>
      <c r="W2259" s="5">
        <v>42768</v>
      </c>
      <c r="X2259" s="1">
        <v>1605000</v>
      </c>
      <c r="Y2259" s="1">
        <v>1605000</v>
      </c>
      <c r="Z2259" s="5">
        <v>42768</v>
      </c>
      <c r="AA2259" s="1">
        <v>1457116</v>
      </c>
      <c r="AB2259" s="1" t="s">
        <v>1304</v>
      </c>
      <c r="AC2259" s="5">
        <v>42805</v>
      </c>
      <c r="AF2259" s="1">
        <v>10014</v>
      </c>
      <c r="AI2259" s="1" t="s">
        <v>80</v>
      </c>
      <c r="AJ2259" s="1">
        <v>2016</v>
      </c>
      <c r="AK2259" s="1" t="s">
        <v>46</v>
      </c>
      <c r="AL2259" s="1">
        <v>92</v>
      </c>
    </row>
    <row r="2260" spans="1:38" x14ac:dyDescent="0.2">
      <c r="A2260" s="2" t="str">
        <f>HYPERLINK("https://www.compass.com/listing/70-charlton-street-unit-3g-manhattan-ny-10014/29366257815961425/","70 Charlton St, Unit 3G")</f>
        <v>70 Charlton St, Unit 3G</v>
      </c>
      <c r="B2260" s="2" t="str">
        <f t="shared" si="369"/>
        <v>70 Charlton Street</v>
      </c>
      <c r="C2260" s="1" t="s">
        <v>53</v>
      </c>
      <c r="D2260" s="1" t="s">
        <v>41</v>
      </c>
      <c r="E2260" s="3">
        <v>1496828</v>
      </c>
      <c r="F2260" s="1">
        <v>1816.5388349514501</v>
      </c>
      <c r="G2260" s="1">
        <v>3</v>
      </c>
      <c r="H2260" s="1">
        <v>1</v>
      </c>
      <c r="I2260" s="1">
        <v>1</v>
      </c>
      <c r="J2260" s="1">
        <v>1</v>
      </c>
      <c r="M2260" s="1">
        <v>824</v>
      </c>
      <c r="N2260" s="1">
        <v>1738</v>
      </c>
      <c r="O2260" s="1">
        <v>1738</v>
      </c>
      <c r="Q2260" s="1" t="s">
        <v>505</v>
      </c>
      <c r="S2260" s="1" t="s">
        <v>505</v>
      </c>
      <c r="T2260" s="1" t="s">
        <v>273</v>
      </c>
      <c r="V2260" s="5">
        <v>43663</v>
      </c>
      <c r="W2260" s="5">
        <v>42768</v>
      </c>
      <c r="X2260" s="1">
        <v>1470000</v>
      </c>
      <c r="Y2260" s="1">
        <v>1470000</v>
      </c>
      <c r="Z2260" s="5">
        <v>42768</v>
      </c>
      <c r="AA2260" s="1">
        <v>1496828</v>
      </c>
      <c r="AB2260" s="1" t="s">
        <v>1305</v>
      </c>
      <c r="AC2260" s="5">
        <v>42804</v>
      </c>
      <c r="AF2260" s="1">
        <v>10014</v>
      </c>
      <c r="AI2260" s="1" t="s">
        <v>80</v>
      </c>
      <c r="AJ2260" s="1">
        <v>2016</v>
      </c>
      <c r="AK2260" s="1" t="s">
        <v>46</v>
      </c>
      <c r="AL2260" s="1">
        <v>92</v>
      </c>
    </row>
    <row r="2261" spans="1:38" x14ac:dyDescent="0.2">
      <c r="A2261" s="2" t="str">
        <f>HYPERLINK("https://www.compass.com/listing/70-charlton-street-unit-8g-manhattan-ny-10014/29366261859318049/","70 Charlton St, Unit 8G")</f>
        <v>70 Charlton St, Unit 8G</v>
      </c>
      <c r="B2261" s="2" t="str">
        <f t="shared" si="369"/>
        <v>70 Charlton Street</v>
      </c>
      <c r="C2261" s="1" t="s">
        <v>53</v>
      </c>
      <c r="D2261" s="1" t="s">
        <v>41</v>
      </c>
      <c r="E2261" s="3">
        <v>1578288</v>
      </c>
      <c r="F2261" s="1">
        <v>1915.39805825242</v>
      </c>
      <c r="G2261" s="1">
        <v>3</v>
      </c>
      <c r="H2261" s="1">
        <v>1</v>
      </c>
      <c r="I2261" s="1">
        <v>1</v>
      </c>
      <c r="J2261" s="1">
        <v>1</v>
      </c>
      <c r="M2261" s="1">
        <v>824</v>
      </c>
      <c r="N2261" s="1">
        <v>1829</v>
      </c>
      <c r="O2261" s="1">
        <v>1829</v>
      </c>
      <c r="Q2261" s="1" t="s">
        <v>505</v>
      </c>
      <c r="S2261" s="1" t="s">
        <v>505</v>
      </c>
      <c r="T2261" s="1" t="s">
        <v>273</v>
      </c>
      <c r="V2261" s="5">
        <v>43663</v>
      </c>
      <c r="W2261" s="5">
        <v>42768</v>
      </c>
      <c r="X2261" s="1">
        <v>1635000</v>
      </c>
      <c r="Y2261" s="1">
        <v>1635000</v>
      </c>
      <c r="Z2261" s="5">
        <v>42768</v>
      </c>
      <c r="AA2261" s="1">
        <v>1578288</v>
      </c>
      <c r="AB2261" s="1" t="s">
        <v>1306</v>
      </c>
      <c r="AC2261" s="5">
        <v>42825</v>
      </c>
      <c r="AF2261" s="1">
        <v>10014</v>
      </c>
      <c r="AI2261" s="1" t="s">
        <v>80</v>
      </c>
      <c r="AJ2261" s="1">
        <v>2016</v>
      </c>
      <c r="AK2261" s="1" t="s">
        <v>46</v>
      </c>
      <c r="AL2261" s="1">
        <v>92</v>
      </c>
    </row>
    <row r="2262" spans="1:38" x14ac:dyDescent="0.2">
      <c r="A2262" s="2" t="str">
        <f>HYPERLINK("https://www.compass.com/listing/53-greene-street-unit-ph-manhattan-ny-10013/803339456064873289/","53 Greene St, Unit PH")</f>
        <v>53 Greene St, Unit PH</v>
      </c>
      <c r="B2262" s="2" t="str">
        <f>HYPERLINK("https://www.compass.com/building/53-greene-st-manhattan-ny-10013/281920591823407893/","53 Greene St")</f>
        <v>53 Greene St</v>
      </c>
      <c r="C2262" s="1" t="s">
        <v>298</v>
      </c>
      <c r="D2262" s="1" t="s">
        <v>41</v>
      </c>
      <c r="E2262" s="3">
        <v>10350000</v>
      </c>
      <c r="F2262" s="1">
        <v>2948.7179487179401</v>
      </c>
      <c r="G2262" s="1">
        <v>7</v>
      </c>
      <c r="H2262" s="1">
        <v>3</v>
      </c>
      <c r="I2262" s="1">
        <v>4</v>
      </c>
      <c r="J2262" s="1">
        <v>4</v>
      </c>
      <c r="M2262" s="4">
        <v>3510</v>
      </c>
      <c r="N2262" s="1">
        <v>3730</v>
      </c>
      <c r="O2262" s="1">
        <v>5895</v>
      </c>
      <c r="P2262" s="1">
        <v>2165</v>
      </c>
      <c r="Q2262" s="1" t="s">
        <v>42</v>
      </c>
      <c r="S2262" s="1" t="s">
        <v>42</v>
      </c>
      <c r="T2262" s="1" t="s">
        <v>273</v>
      </c>
      <c r="U2262" s="1">
        <v>457</v>
      </c>
      <c r="V2262" s="5">
        <v>42868</v>
      </c>
      <c r="W2262" s="5">
        <v>41951</v>
      </c>
      <c r="Y2262" s="1">
        <v>14050000</v>
      </c>
      <c r="AA2262" s="1">
        <v>10350000</v>
      </c>
      <c r="AB2262" s="1" t="s">
        <v>275</v>
      </c>
      <c r="AC2262" s="5">
        <v>42408</v>
      </c>
      <c r="AF2262" s="1">
        <v>10013</v>
      </c>
      <c r="AI2262" s="1" t="s">
        <v>63</v>
      </c>
      <c r="AJ2262" s="1">
        <v>2014</v>
      </c>
      <c r="AL2262" s="1">
        <v>5</v>
      </c>
    </row>
    <row r="2263" spans="1:38" x14ac:dyDescent="0.2">
      <c r="A2263" s="2" t="str">
        <f>HYPERLINK("https://www.compass.com/listing/565-broome-street-unit-phnorth-manhattan-ny-10013/29514986569125617/","565 Broome St, Unit PHNORTH")</f>
        <v>565 Broome St, Unit PHNORTH</v>
      </c>
      <c r="B2263" s="2" t="str">
        <f t="shared" ref="B2263:B2265" si="370">HYPERLINK("https://www.compass.com/building/565-broome-soho-manhattan-ny/292813251698267109/","565 Broome Soho")</f>
        <v>565 Broome Soho</v>
      </c>
      <c r="C2263" s="1" t="s">
        <v>298</v>
      </c>
      <c r="D2263" s="1" t="s">
        <v>41</v>
      </c>
      <c r="E2263" s="3">
        <v>36533612</v>
      </c>
      <c r="F2263" s="1">
        <v>5425.2468072468</v>
      </c>
      <c r="G2263" s="1">
        <v>8</v>
      </c>
      <c r="H2263" s="1">
        <v>4</v>
      </c>
      <c r="I2263" s="1">
        <v>5</v>
      </c>
      <c r="J2263" s="1">
        <v>4.5</v>
      </c>
      <c r="K2263" s="1">
        <v>4</v>
      </c>
      <c r="L2263" s="1">
        <v>1</v>
      </c>
      <c r="M2263" s="4">
        <v>6734</v>
      </c>
      <c r="N2263" s="1">
        <v>12113</v>
      </c>
      <c r="O2263" s="1">
        <v>25474</v>
      </c>
      <c r="P2263" s="1">
        <v>13361</v>
      </c>
      <c r="Q2263" s="1" t="s">
        <v>42</v>
      </c>
      <c r="S2263" s="1" t="s">
        <v>42</v>
      </c>
      <c r="T2263" s="1" t="s">
        <v>273</v>
      </c>
      <c r="U2263" s="1">
        <v>97</v>
      </c>
      <c r="V2263" s="5">
        <v>43704</v>
      </c>
      <c r="W2263" s="5">
        <v>43216</v>
      </c>
      <c r="X2263" s="1">
        <v>40500000</v>
      </c>
      <c r="Y2263" s="1">
        <v>40500000</v>
      </c>
      <c r="Z2263" s="5">
        <v>43313</v>
      </c>
      <c r="AA2263" s="1">
        <v>36533612</v>
      </c>
      <c r="AB2263" s="1" t="s">
        <v>1307</v>
      </c>
      <c r="AC2263" s="5">
        <v>43692</v>
      </c>
      <c r="AF2263" s="1">
        <v>10013</v>
      </c>
      <c r="AI2263" s="1" t="s">
        <v>240</v>
      </c>
      <c r="AJ2263" s="1">
        <v>2019</v>
      </c>
      <c r="AK2263" s="1" t="s">
        <v>49</v>
      </c>
      <c r="AL2263" s="1">
        <v>115</v>
      </c>
    </row>
    <row r="2264" spans="1:38" x14ac:dyDescent="0.2">
      <c r="A2264" s="2" t="str">
        <f>HYPERLINK("https://www.compass.com/listing/565-broome-street-unit-n22a-manhattan-ny-10013/273798651539623921/","565 Broome St, Unit N22A")</f>
        <v>565 Broome St, Unit N22A</v>
      </c>
      <c r="B2264" s="2" t="str">
        <f t="shared" si="370"/>
        <v>565 Broome Soho</v>
      </c>
      <c r="C2264" s="1" t="s">
        <v>298</v>
      </c>
      <c r="D2264" s="1" t="s">
        <v>41</v>
      </c>
      <c r="E2264" s="3">
        <v>7300000</v>
      </c>
      <c r="F2264" s="1">
        <v>2906.0509554140099</v>
      </c>
      <c r="G2264" s="1">
        <v>6</v>
      </c>
      <c r="H2264" s="1">
        <v>3</v>
      </c>
      <c r="I2264" s="1">
        <v>4</v>
      </c>
      <c r="J2264" s="1">
        <v>3.5</v>
      </c>
      <c r="K2264" s="1">
        <v>3</v>
      </c>
      <c r="L2264" s="1">
        <v>1</v>
      </c>
      <c r="M2264" s="4">
        <v>2512</v>
      </c>
      <c r="N2264" s="1">
        <v>3904</v>
      </c>
      <c r="O2264" s="1">
        <v>8210</v>
      </c>
      <c r="P2264" s="1">
        <v>4306</v>
      </c>
      <c r="Q2264" s="1" t="s">
        <v>42</v>
      </c>
      <c r="S2264" s="1" t="s">
        <v>42</v>
      </c>
      <c r="T2264" s="1" t="s">
        <v>273</v>
      </c>
      <c r="V2264" s="5">
        <v>44344</v>
      </c>
      <c r="W2264" s="5">
        <v>43628</v>
      </c>
      <c r="X2264" s="1">
        <v>8150000</v>
      </c>
      <c r="Y2264" s="1">
        <v>8150000</v>
      </c>
      <c r="Z2264" s="5">
        <v>43628</v>
      </c>
      <c r="AA2264" s="1">
        <v>7300000</v>
      </c>
      <c r="AB2264" s="1" t="s">
        <v>1308</v>
      </c>
      <c r="AC2264" s="5">
        <v>43641</v>
      </c>
      <c r="AF2264" s="1">
        <v>10013</v>
      </c>
      <c r="AI2264" s="1" t="s">
        <v>48</v>
      </c>
      <c r="AJ2264" s="1">
        <v>2019</v>
      </c>
      <c r="AK2264" s="1" t="s">
        <v>46</v>
      </c>
      <c r="AL2264" s="1">
        <v>115</v>
      </c>
    </row>
    <row r="2265" spans="1:38" x14ac:dyDescent="0.2">
      <c r="A2265" s="2" t="str">
        <f>HYPERLINK("https://www.compass.com/listing/565-broome-street-unit-s25a-manhattan-ny-10013/29514999596607265/","565 Broome St, Unit S25A")</f>
        <v>565 Broome St, Unit S25A</v>
      </c>
      <c r="B2265" s="2" t="str">
        <f t="shared" si="370"/>
        <v>565 Broome Soho</v>
      </c>
      <c r="C2265" s="1" t="s">
        <v>298</v>
      </c>
      <c r="D2265" s="1" t="s">
        <v>41</v>
      </c>
      <c r="E2265" s="3">
        <v>6750000</v>
      </c>
      <c r="F2265" s="1">
        <v>3008.0213903743302</v>
      </c>
      <c r="G2265" s="1">
        <v>6</v>
      </c>
      <c r="H2265" s="1">
        <v>3</v>
      </c>
      <c r="I2265" s="1">
        <v>4</v>
      </c>
      <c r="J2265" s="1">
        <v>3.5</v>
      </c>
      <c r="K2265" s="1">
        <v>3</v>
      </c>
      <c r="L2265" s="1">
        <v>1</v>
      </c>
      <c r="M2265" s="4">
        <v>2244</v>
      </c>
      <c r="N2265" s="1">
        <v>3536</v>
      </c>
      <c r="O2265" s="1">
        <v>7437</v>
      </c>
      <c r="P2265" s="1">
        <v>3901</v>
      </c>
      <c r="Q2265" s="1" t="s">
        <v>42</v>
      </c>
      <c r="S2265" s="1" t="s">
        <v>42</v>
      </c>
      <c r="T2265" s="1" t="s">
        <v>273</v>
      </c>
      <c r="U2265" s="1">
        <v>203</v>
      </c>
      <c r="V2265" s="5">
        <v>44337</v>
      </c>
      <c r="W2265" s="5">
        <v>43067</v>
      </c>
      <c r="X2265" s="1">
        <v>6750000</v>
      </c>
      <c r="Y2265" s="1">
        <v>6750000</v>
      </c>
      <c r="Z2265" s="5">
        <v>43270</v>
      </c>
      <c r="AA2265" s="1">
        <v>6750000</v>
      </c>
      <c r="AB2265" s="1" t="s">
        <v>1309</v>
      </c>
      <c r="AC2265" s="5">
        <v>43641</v>
      </c>
      <c r="AF2265" s="1">
        <v>10013</v>
      </c>
      <c r="AI2265" s="1" t="s">
        <v>48</v>
      </c>
      <c r="AJ2265" s="1">
        <v>2019</v>
      </c>
      <c r="AK2265" s="1" t="s">
        <v>46</v>
      </c>
      <c r="AL2265" s="1">
        <v>115</v>
      </c>
    </row>
    <row r="2266" spans="1:38" x14ac:dyDescent="0.2">
      <c r="A2266" s="2" t="str">
        <f>HYPERLINK("https://www.compass.com/listing/70-charlton-street-unit-6g-manhattan-ny-10014/29366255869845073/","70 Charlton St, Unit 6G")</f>
        <v>70 Charlton St, Unit 6G</v>
      </c>
      <c r="B2266" s="2" t="str">
        <f>HYPERLINK("https://www.compass.com/building/70-charlton-street-manhattan-ny/292835639240484293/","70 Charlton Street")</f>
        <v>70 Charlton Street</v>
      </c>
      <c r="C2266" s="1" t="s">
        <v>53</v>
      </c>
      <c r="D2266" s="1" t="s">
        <v>41</v>
      </c>
      <c r="E2266" s="3">
        <v>1592470</v>
      </c>
      <c r="F2266" s="1">
        <v>1932.6092233009699</v>
      </c>
      <c r="G2266" s="1">
        <v>3</v>
      </c>
      <c r="H2266" s="1">
        <v>1</v>
      </c>
      <c r="I2266" s="1">
        <v>1</v>
      </c>
      <c r="J2266" s="1">
        <v>1</v>
      </c>
      <c r="M2266" s="1">
        <v>824</v>
      </c>
      <c r="N2266" s="1">
        <v>1768</v>
      </c>
      <c r="O2266" s="1">
        <v>1768</v>
      </c>
      <c r="Q2266" s="1" t="s">
        <v>505</v>
      </c>
      <c r="S2266" s="1" t="s">
        <v>505</v>
      </c>
      <c r="T2266" s="1" t="s">
        <v>273</v>
      </c>
      <c r="V2266" s="5">
        <v>43668</v>
      </c>
      <c r="W2266" s="5">
        <v>42768</v>
      </c>
      <c r="X2266" s="1">
        <v>1560000</v>
      </c>
      <c r="Y2266" s="1">
        <v>1560000</v>
      </c>
      <c r="Z2266" s="5">
        <v>42768</v>
      </c>
      <c r="AA2266" s="1">
        <v>1592470</v>
      </c>
      <c r="AB2266" s="1" t="s">
        <v>1310</v>
      </c>
      <c r="AC2266" s="5">
        <v>42947</v>
      </c>
      <c r="AF2266" s="1">
        <v>10014</v>
      </c>
      <c r="AI2266" s="1" t="s">
        <v>80</v>
      </c>
      <c r="AJ2266" s="1">
        <v>2016</v>
      </c>
      <c r="AK2266" s="1" t="s">
        <v>46</v>
      </c>
      <c r="AL2266" s="1">
        <v>92</v>
      </c>
    </row>
    <row r="2267" spans="1:38" x14ac:dyDescent="0.2">
      <c r="A2267" s="2" t="str">
        <f>HYPERLINK("https://www.compass.com/listing/221-west-77th-street-unit-5w-manhattan-ny-10024/8743033516346609/","221 W 77th St, Unit 5W")</f>
        <v>221 W 77th St, Unit 5W</v>
      </c>
      <c r="B2267" s="2" t="str">
        <f t="shared" ref="B2267:B2269" si="371">HYPERLINK("https://www.compass.com/building/221-west-77th-street-manhattan-ny/292869344491294229/","221 West 77th Street")</f>
        <v>221 West 77th Street</v>
      </c>
      <c r="C2267" s="1" t="s">
        <v>57</v>
      </c>
      <c r="D2267" s="1" t="s">
        <v>41</v>
      </c>
      <c r="E2267" s="3">
        <v>6150000</v>
      </c>
      <c r="F2267" s="1">
        <v>2255.2255225522499</v>
      </c>
      <c r="G2267" s="1">
        <v>6</v>
      </c>
      <c r="H2267" s="1">
        <v>4</v>
      </c>
      <c r="I2267" s="1">
        <v>5</v>
      </c>
      <c r="J2267" s="1">
        <v>0.5</v>
      </c>
      <c r="L2267" s="1">
        <v>1</v>
      </c>
      <c r="M2267" s="4">
        <v>2727</v>
      </c>
      <c r="N2267" s="1">
        <v>2725</v>
      </c>
      <c r="O2267" s="1">
        <v>6241</v>
      </c>
      <c r="P2267" s="1">
        <v>3516</v>
      </c>
      <c r="Q2267" s="1" t="s">
        <v>42</v>
      </c>
      <c r="S2267" s="1" t="s">
        <v>42</v>
      </c>
      <c r="T2267" s="1" t="s">
        <v>273</v>
      </c>
      <c r="V2267" s="5">
        <v>43637</v>
      </c>
      <c r="W2267" s="5">
        <v>42587</v>
      </c>
      <c r="X2267" s="1">
        <v>6450000</v>
      </c>
      <c r="Y2267" s="1">
        <v>6450000</v>
      </c>
      <c r="Z2267" s="5">
        <v>42587</v>
      </c>
      <c r="AA2267" s="1">
        <v>6150000</v>
      </c>
      <c r="AB2267" s="1" t="s">
        <v>1311</v>
      </c>
      <c r="AC2267" s="5">
        <v>42913</v>
      </c>
      <c r="AF2267" s="1">
        <v>10024</v>
      </c>
      <c r="AI2267" s="1" t="s">
        <v>225</v>
      </c>
      <c r="AJ2267" s="1">
        <v>2017</v>
      </c>
      <c r="AK2267" s="1" t="s">
        <v>108</v>
      </c>
      <c r="AL2267" s="1">
        <v>26</v>
      </c>
    </row>
    <row r="2268" spans="1:38" x14ac:dyDescent="0.2">
      <c r="A2268" s="2" t="str">
        <f>HYPERLINK("https://www.compass.com/listing/221-west-77th-street-unit-8w-manhattan-ny-10024/8743033919042753/","221 W 77th St, Unit 8W")</f>
        <v>221 W 77th St, Unit 8W</v>
      </c>
      <c r="B2268" s="2" t="str">
        <f t="shared" si="371"/>
        <v>221 West 77th Street</v>
      </c>
      <c r="C2268" s="1" t="s">
        <v>57</v>
      </c>
      <c r="D2268" s="1" t="s">
        <v>41</v>
      </c>
      <c r="E2268" s="3">
        <v>7467525</v>
      </c>
      <c r="F2268" s="1">
        <v>2440.3676470588198</v>
      </c>
      <c r="G2268" s="1">
        <v>7</v>
      </c>
      <c r="H2268" s="1">
        <v>5</v>
      </c>
      <c r="I2268" s="1">
        <v>6</v>
      </c>
      <c r="J2268" s="1">
        <v>0.5</v>
      </c>
      <c r="L2268" s="1">
        <v>1</v>
      </c>
      <c r="M2268" s="4">
        <v>3060</v>
      </c>
      <c r="N2268" s="1">
        <v>3058</v>
      </c>
      <c r="O2268" s="1">
        <v>7004</v>
      </c>
      <c r="P2268" s="1">
        <v>3946</v>
      </c>
      <c r="Q2268" s="1" t="s">
        <v>42</v>
      </c>
      <c r="S2268" s="1" t="s">
        <v>42</v>
      </c>
      <c r="T2268" s="1" t="s">
        <v>273</v>
      </c>
      <c r="U2268" s="1">
        <v>161</v>
      </c>
      <c r="V2268" s="5">
        <v>43661</v>
      </c>
      <c r="W2268" s="5">
        <v>42608</v>
      </c>
      <c r="X2268" s="1">
        <v>8075000</v>
      </c>
      <c r="Y2268" s="1">
        <v>8075000</v>
      </c>
      <c r="Z2268" s="5">
        <v>43011</v>
      </c>
      <c r="AA2268" s="1">
        <v>7467525</v>
      </c>
      <c r="AB2268" s="1" t="s">
        <v>1312</v>
      </c>
      <c r="AC2268" s="5">
        <v>43045</v>
      </c>
      <c r="AF2268" s="1">
        <v>10024</v>
      </c>
      <c r="AI2268" s="1" t="s">
        <v>225</v>
      </c>
      <c r="AJ2268" s="1">
        <v>2017</v>
      </c>
      <c r="AK2268" s="1" t="s">
        <v>108</v>
      </c>
      <c r="AL2268" s="1">
        <v>26</v>
      </c>
    </row>
    <row r="2269" spans="1:38" x14ac:dyDescent="0.2">
      <c r="A2269" s="2" t="str">
        <f>HYPERLINK("https://www.compass.com/listing/221-west-77th-street-unit-15-manhattan-ny-10024/8743037056339665/","221 W 77th St, Unit 15")</f>
        <v>221 W 77th St, Unit 15</v>
      </c>
      <c r="B2269" s="2" t="str">
        <f t="shared" si="371"/>
        <v>221 West 77th Street</v>
      </c>
      <c r="C2269" s="1" t="s">
        <v>57</v>
      </c>
      <c r="D2269" s="1" t="s">
        <v>41</v>
      </c>
      <c r="E2269" s="3">
        <v>10450000</v>
      </c>
      <c r="F2269" s="1">
        <v>3077.1495877502898</v>
      </c>
      <c r="G2269" s="1">
        <v>7</v>
      </c>
      <c r="H2269" s="1">
        <v>5</v>
      </c>
      <c r="I2269" s="1">
        <v>5</v>
      </c>
      <c r="J2269" s="1">
        <v>0.5</v>
      </c>
      <c r="L2269" s="1">
        <v>1</v>
      </c>
      <c r="M2269" s="4">
        <v>3396</v>
      </c>
      <c r="N2269" s="1">
        <v>3422</v>
      </c>
      <c r="O2269" s="1">
        <v>7836</v>
      </c>
      <c r="P2269" s="1">
        <v>4414</v>
      </c>
      <c r="Q2269" s="1" t="s">
        <v>42</v>
      </c>
      <c r="S2269" s="1" t="s">
        <v>42</v>
      </c>
      <c r="T2269" s="1" t="s">
        <v>273</v>
      </c>
      <c r="U2269" s="1">
        <v>247</v>
      </c>
      <c r="V2269" s="5">
        <v>43637</v>
      </c>
      <c r="W2269" s="5">
        <v>42277</v>
      </c>
      <c r="X2269" s="1">
        <v>10450000</v>
      </c>
      <c r="Y2269" s="1">
        <v>10450000</v>
      </c>
      <c r="Z2269" s="5">
        <v>42524</v>
      </c>
      <c r="AA2269" s="1">
        <v>10450000</v>
      </c>
      <c r="AB2269" s="1" t="s">
        <v>275</v>
      </c>
      <c r="AC2269" s="5">
        <v>42980</v>
      </c>
      <c r="AF2269" s="1">
        <v>10024</v>
      </c>
      <c r="AI2269" s="1" t="s">
        <v>225</v>
      </c>
      <c r="AJ2269" s="1">
        <v>2017</v>
      </c>
      <c r="AK2269" s="1" t="s">
        <v>108</v>
      </c>
      <c r="AL2269" s="1">
        <v>26</v>
      </c>
    </row>
    <row r="2270" spans="1:38" x14ac:dyDescent="0.2">
      <c r="A2270" s="2" t="str">
        <f>HYPERLINK("https://www.compass.com/listing/498-west-end-avenue-unit-2a-manhattan-ny-10024/29400623048829409/","498 W End Ave, Unit 2A")</f>
        <v>498 W End Ave, Unit 2A</v>
      </c>
      <c r="B2270" s="2" t="str">
        <f t="shared" ref="B2270:B2272" si="372">HYPERLINK("https://www.compass.com/building/498-w-end-ave-manhattan-ny-10024/281925430842268789/","498 W End Ave")</f>
        <v>498 W End Ave</v>
      </c>
      <c r="C2270" s="1" t="s">
        <v>57</v>
      </c>
      <c r="D2270" s="1" t="s">
        <v>41</v>
      </c>
      <c r="E2270" s="3">
        <v>8502388</v>
      </c>
      <c r="F2270" s="1">
        <v>2246.93128964059</v>
      </c>
      <c r="G2270" s="1">
        <v>8</v>
      </c>
      <c r="H2270" s="1">
        <v>5</v>
      </c>
      <c r="I2270" s="1">
        <v>5</v>
      </c>
      <c r="J2270" s="1">
        <v>4.5</v>
      </c>
      <c r="M2270" s="4">
        <v>3784</v>
      </c>
      <c r="N2270" s="1">
        <v>3008</v>
      </c>
      <c r="O2270" s="1">
        <v>5169</v>
      </c>
      <c r="P2270" s="1">
        <v>2161</v>
      </c>
      <c r="Q2270" s="1" t="s">
        <v>42</v>
      </c>
      <c r="S2270" s="1" t="s">
        <v>42</v>
      </c>
      <c r="T2270" s="1" t="s">
        <v>273</v>
      </c>
      <c r="U2270" s="1">
        <v>14</v>
      </c>
      <c r="V2270" s="5">
        <v>43673</v>
      </c>
      <c r="W2270" s="5">
        <v>42425</v>
      </c>
      <c r="X2270" s="1">
        <v>8325000</v>
      </c>
      <c r="Y2270" s="1">
        <v>8325000</v>
      </c>
      <c r="Z2270" s="5">
        <v>42439</v>
      </c>
      <c r="AA2270" s="1">
        <v>8502388</v>
      </c>
      <c r="AB2270" s="1" t="s">
        <v>1313</v>
      </c>
      <c r="AC2270" s="5">
        <v>42573</v>
      </c>
      <c r="AF2270" s="1">
        <v>10024</v>
      </c>
      <c r="AJ2270" s="1">
        <v>1912</v>
      </c>
      <c r="AK2270" s="1" t="s">
        <v>46</v>
      </c>
      <c r="AL2270" s="1">
        <v>19</v>
      </c>
    </row>
    <row r="2271" spans="1:38" x14ac:dyDescent="0.2">
      <c r="A2271" s="2" t="str">
        <f>HYPERLINK("https://www.compass.com/listing/498-west-end-avenue-unit-7a-manhattan-ny-10024/29400625598966561/","498 W End Ave, Unit 7A")</f>
        <v>498 W End Ave, Unit 7A</v>
      </c>
      <c r="B2271" s="2" t="str">
        <f t="shared" si="372"/>
        <v>498 W End Ave</v>
      </c>
      <c r="C2271" s="1" t="s">
        <v>57</v>
      </c>
      <c r="D2271" s="1" t="s">
        <v>41</v>
      </c>
      <c r="E2271" s="3">
        <v>7865981</v>
      </c>
      <c r="F2271" s="1">
        <v>2350.1586495368902</v>
      </c>
      <c r="G2271" s="1">
        <v>7</v>
      </c>
      <c r="H2271" s="1">
        <v>4</v>
      </c>
      <c r="I2271" s="1">
        <v>5</v>
      </c>
      <c r="J2271" s="1">
        <v>4.5</v>
      </c>
      <c r="M2271" s="4">
        <v>3347</v>
      </c>
      <c r="N2271" s="1">
        <v>2519</v>
      </c>
      <c r="O2271" s="1">
        <v>4585</v>
      </c>
      <c r="P2271" s="1">
        <v>2066</v>
      </c>
      <c r="Q2271" s="1" t="s">
        <v>42</v>
      </c>
      <c r="S2271" s="1" t="s">
        <v>42</v>
      </c>
      <c r="T2271" s="1" t="s">
        <v>273</v>
      </c>
      <c r="U2271" s="1">
        <v>434</v>
      </c>
      <c r="V2271" s="5">
        <v>43675</v>
      </c>
      <c r="W2271" s="5">
        <v>41976</v>
      </c>
      <c r="X2271" s="1">
        <v>7700000</v>
      </c>
      <c r="Y2271" s="1">
        <v>7700000</v>
      </c>
      <c r="Z2271" s="5">
        <v>42410</v>
      </c>
      <c r="AA2271" s="1">
        <v>7865981</v>
      </c>
      <c r="AB2271" s="1" t="s">
        <v>1314</v>
      </c>
      <c r="AC2271" s="5">
        <v>42564</v>
      </c>
      <c r="AF2271" s="1">
        <v>10024</v>
      </c>
      <c r="AJ2271" s="1">
        <v>1912</v>
      </c>
      <c r="AK2271" s="1" t="s">
        <v>46</v>
      </c>
      <c r="AL2271" s="1">
        <v>19</v>
      </c>
    </row>
    <row r="2272" spans="1:38" x14ac:dyDescent="0.2">
      <c r="A2272" s="2" t="str">
        <f>HYPERLINK("https://www.compass.com/listing/498-west-end-avenue-unit-11a-manhattan-ny-10024/29400627922611201/","498 W End Ave, Unit 11A")</f>
        <v>498 W End Ave, Unit 11A</v>
      </c>
      <c r="B2272" s="2" t="str">
        <f t="shared" si="372"/>
        <v>498 W End Ave</v>
      </c>
      <c r="C2272" s="1" t="s">
        <v>57</v>
      </c>
      <c r="D2272" s="1" t="s">
        <v>41</v>
      </c>
      <c r="E2272" s="3">
        <v>9673375</v>
      </c>
      <c r="F2272" s="1">
        <v>2560.4486500794001</v>
      </c>
      <c r="G2272" s="1">
        <v>8</v>
      </c>
      <c r="H2272" s="1">
        <v>5</v>
      </c>
      <c r="I2272" s="1">
        <v>5</v>
      </c>
      <c r="J2272" s="1">
        <v>4.5</v>
      </c>
      <c r="M2272" s="4">
        <v>3778</v>
      </c>
      <c r="N2272" s="1">
        <v>3318</v>
      </c>
      <c r="O2272" s="1">
        <v>5702</v>
      </c>
      <c r="P2272" s="1">
        <v>2384</v>
      </c>
      <c r="Q2272" s="1" t="s">
        <v>42</v>
      </c>
      <c r="S2272" s="1" t="s">
        <v>42</v>
      </c>
      <c r="T2272" s="1" t="s">
        <v>273</v>
      </c>
      <c r="V2272" s="5">
        <v>43673</v>
      </c>
      <c r="W2272" s="5">
        <v>41976</v>
      </c>
      <c r="X2272" s="1">
        <v>9475000</v>
      </c>
      <c r="Y2272" s="1">
        <v>9475000</v>
      </c>
      <c r="Z2272" s="5">
        <v>41976</v>
      </c>
      <c r="AA2272" s="1">
        <v>9673375</v>
      </c>
      <c r="AB2272" s="1" t="s">
        <v>1315</v>
      </c>
      <c r="AC2272" s="5">
        <v>42579</v>
      </c>
      <c r="AF2272" s="1">
        <v>10024</v>
      </c>
      <c r="AJ2272" s="1">
        <v>1912</v>
      </c>
      <c r="AK2272" s="1" t="s">
        <v>46</v>
      </c>
      <c r="AL2272" s="1">
        <v>19</v>
      </c>
    </row>
    <row r="2273" spans="1:38" x14ac:dyDescent="0.2">
      <c r="A2273" s="2" t="str">
        <f>HYPERLINK("https://www.compass.com/listing/70-charlton-street-unit-5e-manhattan-ny-10014/29366245954469489/","70 Charlton St, Unit 5E")</f>
        <v>70 Charlton St, Unit 5E</v>
      </c>
      <c r="B2273" s="2" t="str">
        <f t="shared" ref="B2273:B2275" si="373">HYPERLINK("https://www.compass.com/building/70-charlton-street-manhattan-ny/292835639240484293/","70 Charlton Street")</f>
        <v>70 Charlton Street</v>
      </c>
      <c r="C2273" s="1" t="s">
        <v>53</v>
      </c>
      <c r="D2273" s="1" t="s">
        <v>41</v>
      </c>
      <c r="E2273" s="3">
        <v>2203420</v>
      </c>
      <c r="F2273" s="1">
        <v>2057.3482726423899</v>
      </c>
      <c r="G2273" s="1">
        <v>4</v>
      </c>
      <c r="H2273" s="1">
        <v>2</v>
      </c>
      <c r="I2273" s="1">
        <v>2</v>
      </c>
      <c r="J2273" s="1">
        <v>2</v>
      </c>
      <c r="M2273" s="4">
        <v>1071</v>
      </c>
      <c r="N2273" s="1">
        <v>2287</v>
      </c>
      <c r="O2273" s="1">
        <v>2287</v>
      </c>
      <c r="Q2273" s="1" t="s">
        <v>505</v>
      </c>
      <c r="S2273" s="1" t="s">
        <v>505</v>
      </c>
      <c r="T2273" s="1" t="s">
        <v>273</v>
      </c>
      <c r="V2273" s="5">
        <v>43662</v>
      </c>
      <c r="W2273" s="5">
        <v>42768</v>
      </c>
      <c r="X2273" s="1">
        <v>2160000</v>
      </c>
      <c r="Y2273" s="1">
        <v>2160000</v>
      </c>
      <c r="Z2273" s="5">
        <v>42768</v>
      </c>
      <c r="AA2273" s="1">
        <v>2203420</v>
      </c>
      <c r="AB2273" s="1" t="s">
        <v>1316</v>
      </c>
      <c r="AC2273" s="5">
        <v>42852</v>
      </c>
      <c r="AF2273" s="1">
        <v>10014</v>
      </c>
      <c r="AI2273" s="1" t="s">
        <v>80</v>
      </c>
      <c r="AJ2273" s="1">
        <v>2016</v>
      </c>
      <c r="AK2273" s="1" t="s">
        <v>46</v>
      </c>
      <c r="AL2273" s="1">
        <v>92</v>
      </c>
    </row>
    <row r="2274" spans="1:38" x14ac:dyDescent="0.2">
      <c r="A2274" s="2" t="str">
        <f>HYPERLINK("https://www.compass.com/listing/70-charlton-street-unit-9e-manhattan-ny-10014/29366251449055329/","70 Charlton St, Unit 9E")</f>
        <v>70 Charlton St, Unit 9E</v>
      </c>
      <c r="B2274" s="2" t="str">
        <f t="shared" si="373"/>
        <v>70 Charlton Street</v>
      </c>
      <c r="C2274" s="1" t="s">
        <v>53</v>
      </c>
      <c r="D2274" s="1" t="s">
        <v>41</v>
      </c>
      <c r="E2274" s="3">
        <v>2304000</v>
      </c>
      <c r="F2274" s="1">
        <v>2151.2605042016799</v>
      </c>
      <c r="G2274" s="1">
        <v>4</v>
      </c>
      <c r="H2274" s="1">
        <v>2</v>
      </c>
      <c r="I2274" s="1">
        <v>2</v>
      </c>
      <c r="J2274" s="1">
        <v>2</v>
      </c>
      <c r="M2274" s="4">
        <v>1071</v>
      </c>
      <c r="N2274" s="1">
        <v>2378</v>
      </c>
      <c r="O2274" s="1">
        <v>2378</v>
      </c>
      <c r="Q2274" s="1" t="s">
        <v>505</v>
      </c>
      <c r="S2274" s="1" t="s">
        <v>505</v>
      </c>
      <c r="T2274" s="1" t="s">
        <v>273</v>
      </c>
      <c r="U2274" s="1">
        <v>186</v>
      </c>
      <c r="V2274" s="5">
        <v>43643</v>
      </c>
      <c r="W2274" s="5">
        <v>42851</v>
      </c>
      <c r="X2274" s="1">
        <v>2365000</v>
      </c>
      <c r="Y2274" s="1">
        <v>2365000</v>
      </c>
      <c r="Z2274" s="5">
        <v>43056</v>
      </c>
      <c r="AA2274" s="1">
        <v>2304000</v>
      </c>
      <c r="AB2274" s="1" t="s">
        <v>1317</v>
      </c>
      <c r="AC2274" s="5">
        <v>43111</v>
      </c>
      <c r="AF2274" s="1">
        <v>10014</v>
      </c>
      <c r="AI2274" s="1" t="s">
        <v>80</v>
      </c>
      <c r="AJ2274" s="1">
        <v>2016</v>
      </c>
      <c r="AK2274" s="1" t="s">
        <v>46</v>
      </c>
      <c r="AL2274" s="1">
        <v>92</v>
      </c>
    </row>
    <row r="2275" spans="1:38" x14ac:dyDescent="0.2">
      <c r="A2275" s="2" t="str">
        <f>HYPERLINK("https://www.compass.com/listing/70-charlton-street-unit-6e-manhattan-ny-10014/29366261062352769/","70 Charlton St, Unit 6E")</f>
        <v>70 Charlton St, Unit 6E</v>
      </c>
      <c r="B2275" s="2" t="str">
        <f t="shared" si="373"/>
        <v>70 Charlton Street</v>
      </c>
      <c r="C2275" s="1" t="s">
        <v>53</v>
      </c>
      <c r="D2275" s="1" t="s">
        <v>41</v>
      </c>
      <c r="E2275" s="3">
        <v>2223785</v>
      </c>
      <c r="F2275" s="1">
        <v>2076.36321195144</v>
      </c>
      <c r="G2275" s="1">
        <v>4</v>
      </c>
      <c r="H2275" s="1">
        <v>2</v>
      </c>
      <c r="I2275" s="1">
        <v>2</v>
      </c>
      <c r="J2275" s="1">
        <v>2</v>
      </c>
      <c r="M2275" s="4">
        <v>1071</v>
      </c>
      <c r="N2275" s="1">
        <v>2317</v>
      </c>
      <c r="O2275" s="1">
        <v>2317</v>
      </c>
      <c r="Q2275" s="1" t="s">
        <v>505</v>
      </c>
      <c r="S2275" s="1" t="s">
        <v>505</v>
      </c>
      <c r="T2275" s="1" t="s">
        <v>273</v>
      </c>
      <c r="V2275" s="5">
        <v>43663</v>
      </c>
      <c r="W2275" s="5">
        <v>42768</v>
      </c>
      <c r="X2275" s="1">
        <v>2180000</v>
      </c>
      <c r="Y2275" s="1">
        <v>2180000</v>
      </c>
      <c r="Z2275" s="5">
        <v>42768</v>
      </c>
      <c r="AA2275" s="1">
        <v>2223785</v>
      </c>
      <c r="AB2275" s="1" t="s">
        <v>1318</v>
      </c>
      <c r="AC2275" s="5">
        <v>42818</v>
      </c>
      <c r="AF2275" s="1">
        <v>10014</v>
      </c>
      <c r="AI2275" s="1" t="s">
        <v>80</v>
      </c>
      <c r="AJ2275" s="1">
        <v>2016</v>
      </c>
      <c r="AK2275" s="1" t="s">
        <v>46</v>
      </c>
      <c r="AL2275" s="1">
        <v>92</v>
      </c>
    </row>
    <row r="2276" spans="1:38" x14ac:dyDescent="0.2">
      <c r="A2276" s="2" t="str">
        <f>HYPERLINK("https://www.compass.com/listing/230-east-20th-street-unit-63-manhattan-ny-10003/29514969917779121/","230 E 20th St, Unit 63")</f>
        <v>230 E 20th St, Unit 63</v>
      </c>
      <c r="B2276" s="2" t="str">
        <f t="shared" ref="B2276:B2278" si="374">HYPERLINK("https://www.compass.com/building/the-modern-at-gramercy-square-manhattan-ny/282059330264532517/","The Modern at Gramercy Square")</f>
        <v>The Modern at Gramercy Square</v>
      </c>
      <c r="C2276" s="1" t="s">
        <v>64</v>
      </c>
      <c r="D2276" s="1" t="s">
        <v>41</v>
      </c>
      <c r="E2276" s="3">
        <v>2380000</v>
      </c>
      <c r="F2276" s="1">
        <v>2111.8012422360198</v>
      </c>
      <c r="G2276" s="1">
        <v>4</v>
      </c>
      <c r="H2276" s="1">
        <v>2</v>
      </c>
      <c r="I2276" s="1">
        <v>2</v>
      </c>
      <c r="J2276" s="1">
        <v>2</v>
      </c>
      <c r="K2276" s="1">
        <v>2</v>
      </c>
      <c r="M2276" s="4">
        <v>1127</v>
      </c>
      <c r="N2276" s="1">
        <v>1279</v>
      </c>
      <c r="O2276" s="1">
        <v>2899</v>
      </c>
      <c r="P2276" s="1">
        <v>1620</v>
      </c>
      <c r="Q2276" s="1" t="s">
        <v>42</v>
      </c>
      <c r="S2276" s="1" t="s">
        <v>42</v>
      </c>
      <c r="T2276" s="1" t="s">
        <v>273</v>
      </c>
      <c r="U2276" s="1">
        <v>1</v>
      </c>
      <c r="V2276" s="5">
        <v>43757</v>
      </c>
      <c r="W2276" s="5">
        <v>43004</v>
      </c>
      <c r="X2276" s="1">
        <v>2380000</v>
      </c>
      <c r="Y2276" s="1">
        <v>2405000</v>
      </c>
      <c r="Z2276" s="5">
        <v>43005</v>
      </c>
      <c r="AA2276" s="1">
        <v>2380000</v>
      </c>
      <c r="AB2276" s="1" t="s">
        <v>275</v>
      </c>
      <c r="AC2276" s="5">
        <v>43364</v>
      </c>
      <c r="AF2276" s="1">
        <v>10003</v>
      </c>
      <c r="AI2276" s="1" t="s">
        <v>65</v>
      </c>
      <c r="AJ2276" s="1">
        <v>2016</v>
      </c>
      <c r="AK2276" s="1" t="s">
        <v>49</v>
      </c>
      <c r="AL2276" s="1">
        <v>37</v>
      </c>
    </row>
    <row r="2277" spans="1:38" x14ac:dyDescent="0.2">
      <c r="A2277" s="2" t="str">
        <f>HYPERLINK("https://www.compass.com/listing/230-east-20th-street-unit-53-manhattan-ny-10003/29514970949577937/","230 E 20th St, Unit 53")</f>
        <v>230 E 20th St, Unit 53</v>
      </c>
      <c r="B2277" s="2" t="str">
        <f t="shared" si="374"/>
        <v>The Modern at Gramercy Square</v>
      </c>
      <c r="C2277" s="1" t="s">
        <v>64</v>
      </c>
      <c r="D2277" s="1" t="s">
        <v>41</v>
      </c>
      <c r="E2277" s="3">
        <v>2375000</v>
      </c>
      <c r="F2277" s="1">
        <v>2107.3646850044302</v>
      </c>
      <c r="G2277" s="1">
        <v>4</v>
      </c>
      <c r="H2277" s="1">
        <v>2</v>
      </c>
      <c r="I2277" s="1">
        <v>2</v>
      </c>
      <c r="J2277" s="1">
        <v>2</v>
      </c>
      <c r="K2277" s="1">
        <v>2</v>
      </c>
      <c r="M2277" s="4">
        <v>1127</v>
      </c>
      <c r="N2277" s="1">
        <v>1279</v>
      </c>
      <c r="O2277" s="1">
        <v>2899</v>
      </c>
      <c r="P2277" s="1">
        <v>1620</v>
      </c>
      <c r="Q2277" s="1" t="s">
        <v>42</v>
      </c>
      <c r="S2277" s="1" t="s">
        <v>42</v>
      </c>
      <c r="T2277" s="1" t="s">
        <v>273</v>
      </c>
      <c r="U2277" s="1">
        <v>123</v>
      </c>
      <c r="V2277" s="5">
        <v>43647</v>
      </c>
      <c r="W2277" s="5">
        <v>43008</v>
      </c>
      <c r="X2277" s="1">
        <v>2375000</v>
      </c>
      <c r="Y2277" s="1">
        <v>2375000</v>
      </c>
      <c r="Z2277" s="5">
        <v>43131</v>
      </c>
      <c r="AA2277" s="1">
        <v>2375000</v>
      </c>
      <c r="AB2277" s="1" t="s">
        <v>275</v>
      </c>
      <c r="AC2277" s="5">
        <v>43490</v>
      </c>
      <c r="AF2277" s="1">
        <v>10003</v>
      </c>
      <c r="AI2277" s="1" t="s">
        <v>65</v>
      </c>
      <c r="AJ2277" s="1">
        <v>2016</v>
      </c>
      <c r="AK2277" s="1" t="s">
        <v>49</v>
      </c>
      <c r="AL2277" s="1">
        <v>37</v>
      </c>
    </row>
    <row r="2278" spans="1:38" x14ac:dyDescent="0.2">
      <c r="A2278" s="2" t="str">
        <f>HYPERLINK("https://www.compass.com/listing/230-east-20th-street-unit-14-manhattan-ny-10003/29514971561905313/","230 E 20th St, Unit 14")</f>
        <v>230 E 20th St, Unit 14</v>
      </c>
      <c r="B2278" s="2" t="str">
        <f t="shared" si="374"/>
        <v>The Modern at Gramercy Square</v>
      </c>
      <c r="C2278" s="1" t="s">
        <v>64</v>
      </c>
      <c r="D2278" s="1" t="s">
        <v>41</v>
      </c>
      <c r="E2278" s="3">
        <v>2225000</v>
      </c>
      <c r="F2278" s="1">
        <v>2225</v>
      </c>
      <c r="G2278" s="1">
        <v>4</v>
      </c>
      <c r="H2278" s="1">
        <v>2</v>
      </c>
      <c r="I2278" s="1">
        <v>2</v>
      </c>
      <c r="J2278" s="1">
        <v>2</v>
      </c>
      <c r="K2278" s="1">
        <v>2</v>
      </c>
      <c r="M2278" s="4">
        <v>1000</v>
      </c>
      <c r="N2278" s="1">
        <v>1262</v>
      </c>
      <c r="O2278" s="1">
        <v>2859</v>
      </c>
      <c r="P2278" s="1">
        <v>1597</v>
      </c>
      <c r="Q2278" s="1" t="s">
        <v>42</v>
      </c>
      <c r="S2278" s="1" t="s">
        <v>42</v>
      </c>
      <c r="T2278" s="1" t="s">
        <v>273</v>
      </c>
      <c r="V2278" s="5">
        <v>43804</v>
      </c>
      <c r="W2278" s="5">
        <v>43083</v>
      </c>
      <c r="X2278" s="1">
        <v>2300000</v>
      </c>
      <c r="Y2278" s="1">
        <v>2300000</v>
      </c>
      <c r="Z2278" s="5">
        <v>43084</v>
      </c>
      <c r="AA2278" s="1">
        <v>2225000</v>
      </c>
      <c r="AB2278" s="1" t="s">
        <v>275</v>
      </c>
      <c r="AC2278" s="5">
        <v>43794</v>
      </c>
      <c r="AF2278" s="1">
        <v>10003</v>
      </c>
      <c r="AI2278" s="1" t="s">
        <v>159</v>
      </c>
      <c r="AJ2278" s="1">
        <v>2016</v>
      </c>
      <c r="AK2278" s="1" t="s">
        <v>49</v>
      </c>
      <c r="AL2278" s="1">
        <v>37</v>
      </c>
    </row>
    <row r="2279" spans="1:38" x14ac:dyDescent="0.2">
      <c r="A2279" s="2" t="str">
        <f>HYPERLINK("https://www.compass.com/listing/70-charlton-street-unit-19c-manhattan-ny-10014/582401636197326649/","70 Charlton St, Unit 19C")</f>
        <v>70 Charlton St, Unit 19C</v>
      </c>
      <c r="B2279" s="2" t="str">
        <f>HYPERLINK("https://www.compass.com/building/70-charlton-street-manhattan-ny/292835639240484293/","70 Charlton Street")</f>
        <v>70 Charlton Street</v>
      </c>
      <c r="C2279" s="1" t="s">
        <v>53</v>
      </c>
      <c r="D2279" s="1" t="s">
        <v>41</v>
      </c>
      <c r="E2279" s="3">
        <v>3168325</v>
      </c>
      <c r="F2279" s="1">
        <v>1781.96006749156</v>
      </c>
      <c r="G2279" s="1">
        <v>6</v>
      </c>
      <c r="H2279" s="1">
        <v>3</v>
      </c>
      <c r="I2279" s="1">
        <v>3</v>
      </c>
      <c r="J2279" s="1">
        <v>3</v>
      </c>
      <c r="K2279" s="1">
        <v>3</v>
      </c>
      <c r="M2279" s="4">
        <v>1778</v>
      </c>
      <c r="N2279" s="1">
        <v>4127</v>
      </c>
      <c r="O2279" s="1">
        <v>4127</v>
      </c>
      <c r="Q2279" s="1" t="s">
        <v>272</v>
      </c>
      <c r="S2279" s="1" t="s">
        <v>272</v>
      </c>
      <c r="T2279" s="1" t="s">
        <v>273</v>
      </c>
      <c r="U2279" s="1">
        <v>150</v>
      </c>
      <c r="V2279" s="5">
        <v>44308</v>
      </c>
      <c r="W2279" s="5">
        <v>44060</v>
      </c>
      <c r="X2279" s="1">
        <v>3870000</v>
      </c>
      <c r="Y2279" s="1">
        <v>3870000</v>
      </c>
      <c r="Z2279" s="5">
        <v>44211</v>
      </c>
      <c r="AA2279" s="1">
        <v>3168325</v>
      </c>
      <c r="AB2279" s="1" t="s">
        <v>1319</v>
      </c>
      <c r="AC2279" s="5">
        <v>44293</v>
      </c>
      <c r="AF2279" s="1">
        <v>10014</v>
      </c>
      <c r="AI2279" s="1" t="s">
        <v>80</v>
      </c>
      <c r="AJ2279" s="1">
        <v>2016</v>
      </c>
      <c r="AK2279" s="1" t="s">
        <v>46</v>
      </c>
      <c r="AL2279" s="1">
        <v>92</v>
      </c>
    </row>
    <row r="2280" spans="1:38" x14ac:dyDescent="0.2">
      <c r="A2280" s="2" t="str">
        <f>HYPERLINK("https://www.compass.com/listing/52-wooster-street-unit-4-manhattan-ny-10013/70921457730874929/","52 Wooster St, Unit 4")</f>
        <v>52 Wooster St, Unit 4</v>
      </c>
      <c r="B2280" s="2" t="str">
        <f>HYPERLINK("https://www.compass.com/building/52-wooster-st-manhattan-ny-10013/281920538379585733/","52 Wooster St")</f>
        <v>52 Wooster St</v>
      </c>
      <c r="C2280" s="1" t="s">
        <v>298</v>
      </c>
      <c r="D2280" s="1" t="s">
        <v>41</v>
      </c>
      <c r="E2280" s="3">
        <v>5434138</v>
      </c>
      <c r="F2280" s="1">
        <v>2649.5065821550402</v>
      </c>
      <c r="G2280" s="1">
        <v>5</v>
      </c>
      <c r="H2280" s="1">
        <v>3</v>
      </c>
      <c r="I2280" s="1">
        <v>4</v>
      </c>
      <c r="J2280" s="1">
        <v>3.5</v>
      </c>
      <c r="K2280" s="1">
        <v>3</v>
      </c>
      <c r="L2280" s="1">
        <v>1</v>
      </c>
      <c r="M2280" s="4">
        <v>2051</v>
      </c>
      <c r="N2280" s="1">
        <v>1983</v>
      </c>
      <c r="O2280" s="1">
        <v>7387</v>
      </c>
      <c r="P2280" s="1">
        <v>5404</v>
      </c>
      <c r="Q2280" s="1" t="s">
        <v>42</v>
      </c>
      <c r="S2280" s="1" t="s">
        <v>42</v>
      </c>
      <c r="T2280" s="1" t="s">
        <v>273</v>
      </c>
      <c r="V2280" s="5">
        <v>43665</v>
      </c>
      <c r="W2280" s="5">
        <v>42649</v>
      </c>
      <c r="X2280" s="1">
        <v>5600000</v>
      </c>
      <c r="Y2280" s="1">
        <v>5600000</v>
      </c>
      <c r="Z2280" s="5">
        <v>42649</v>
      </c>
      <c r="AA2280" s="1">
        <v>5434138</v>
      </c>
      <c r="AB2280" s="1" t="s">
        <v>1320</v>
      </c>
      <c r="AC2280" s="5">
        <v>42917</v>
      </c>
      <c r="AF2280" s="1">
        <v>10013</v>
      </c>
      <c r="AI2280" s="1" t="s">
        <v>216</v>
      </c>
      <c r="AJ2280" s="1">
        <v>2015</v>
      </c>
      <c r="AK2280" s="1" t="s">
        <v>75</v>
      </c>
      <c r="AL2280" s="1">
        <v>4</v>
      </c>
    </row>
    <row r="2281" spans="1:38" x14ac:dyDescent="0.2">
      <c r="A2281" s="2" t="str">
        <f>HYPERLINK("https://www.compass.com/listing/565-broome-street-unit-n8a-manhattan-ny-10013/29514997516232417/","565 Broome St, Unit N8A")</f>
        <v>565 Broome St, Unit N8A</v>
      </c>
      <c r="B2281" s="2" t="str">
        <f>HYPERLINK("https://www.compass.com/building/565-broome-soho-manhattan-ny/292813251698267109/","565 Broome Soho")</f>
        <v>565 Broome Soho</v>
      </c>
      <c r="C2281" s="1" t="s">
        <v>298</v>
      </c>
      <c r="D2281" s="1" t="s">
        <v>41</v>
      </c>
      <c r="E2281" s="3">
        <v>2089296</v>
      </c>
      <c r="F2281" s="1">
        <v>2110.4</v>
      </c>
      <c r="G2281" s="1">
        <v>3</v>
      </c>
      <c r="H2281" s="1">
        <v>1</v>
      </c>
      <c r="I2281" s="1">
        <v>2</v>
      </c>
      <c r="J2281" s="1">
        <v>1.5</v>
      </c>
      <c r="K2281" s="1">
        <v>1</v>
      </c>
      <c r="L2281" s="1">
        <v>1</v>
      </c>
      <c r="M2281" s="1">
        <v>990</v>
      </c>
      <c r="N2281" s="1">
        <v>1460</v>
      </c>
      <c r="O2281" s="1">
        <v>3070</v>
      </c>
      <c r="P2281" s="1">
        <v>1610</v>
      </c>
      <c r="Q2281" s="1" t="s">
        <v>42</v>
      </c>
      <c r="S2281" s="1" t="s">
        <v>42</v>
      </c>
      <c r="T2281" s="1" t="s">
        <v>273</v>
      </c>
      <c r="U2281" s="1">
        <v>184</v>
      </c>
      <c r="V2281" s="5">
        <v>44334</v>
      </c>
      <c r="W2281" s="5">
        <v>43067</v>
      </c>
      <c r="X2281" s="1">
        <v>2075000</v>
      </c>
      <c r="Y2281" s="1">
        <v>2075000</v>
      </c>
      <c r="Z2281" s="5">
        <v>43251</v>
      </c>
      <c r="AA2281" s="1">
        <v>2089296</v>
      </c>
      <c r="AB2281" s="1" t="s">
        <v>1321</v>
      </c>
      <c r="AC2281" s="5">
        <v>43637</v>
      </c>
      <c r="AF2281" s="1">
        <v>10013</v>
      </c>
      <c r="AI2281" s="1" t="s">
        <v>48</v>
      </c>
      <c r="AJ2281" s="1">
        <v>2019</v>
      </c>
      <c r="AK2281" s="1" t="s">
        <v>46</v>
      </c>
      <c r="AL2281" s="1">
        <v>115</v>
      </c>
    </row>
    <row r="2282" spans="1:38" x14ac:dyDescent="0.2">
      <c r="A2282" s="2" t="str">
        <f>HYPERLINK("https://www.compass.com/listing/70-charlton-street-unit-4f-manhattan-ny-10014/596496028667122409/","70 Charlton St, Unit 4F")</f>
        <v>70 Charlton St, Unit 4F</v>
      </c>
      <c r="B2282" s="2" t="str">
        <f t="shared" ref="B2282:B2297" si="375">HYPERLINK("https://www.compass.com/building/70-charlton-street-manhattan-ny/292835639240484293/","70 Charlton Street")</f>
        <v>70 Charlton Street</v>
      </c>
      <c r="C2282" s="1" t="s">
        <v>53</v>
      </c>
      <c r="D2282" s="1" t="s">
        <v>41</v>
      </c>
      <c r="E2282" s="3">
        <v>2333756</v>
      </c>
      <c r="F2282" s="1">
        <v>1583.28086838534</v>
      </c>
      <c r="G2282" s="1">
        <v>5</v>
      </c>
      <c r="H2282" s="1">
        <v>2</v>
      </c>
      <c r="I2282" s="1">
        <v>2</v>
      </c>
      <c r="J2282" s="1">
        <v>2</v>
      </c>
      <c r="K2282" s="1">
        <v>2</v>
      </c>
      <c r="M2282" s="4">
        <v>1474</v>
      </c>
      <c r="N2282" s="1">
        <v>3143</v>
      </c>
      <c r="O2282" s="1">
        <v>3143</v>
      </c>
      <c r="Q2282" s="1" t="s">
        <v>505</v>
      </c>
      <c r="S2282" s="1" t="s">
        <v>505</v>
      </c>
      <c r="T2282" s="1" t="s">
        <v>273</v>
      </c>
      <c r="U2282" s="1">
        <v>202</v>
      </c>
      <c r="V2282" s="5">
        <v>44329</v>
      </c>
      <c r="W2282" s="5">
        <v>44075</v>
      </c>
      <c r="X2282" s="1">
        <v>2675000</v>
      </c>
      <c r="Y2282" s="1">
        <v>2675000</v>
      </c>
      <c r="Z2282" s="5">
        <v>44277</v>
      </c>
      <c r="AA2282" s="1">
        <v>2333756</v>
      </c>
      <c r="AB2282" s="1" t="s">
        <v>1322</v>
      </c>
      <c r="AC2282" s="5">
        <v>44327</v>
      </c>
      <c r="AF2282" s="1">
        <v>10014</v>
      </c>
      <c r="AI2282" s="1" t="s">
        <v>80</v>
      </c>
      <c r="AJ2282" s="1">
        <v>2016</v>
      </c>
      <c r="AK2282" s="1" t="s">
        <v>46</v>
      </c>
      <c r="AL2282" s="1">
        <v>92</v>
      </c>
    </row>
    <row r="2283" spans="1:38" x14ac:dyDescent="0.2">
      <c r="A2283" s="2" t="str">
        <f>HYPERLINK("https://www.compass.com/listing/70-charlton-street-unit-7e-manhattan-ny-10014/29366247523179937/","70 Charlton St, Unit 7E")</f>
        <v>70 Charlton St, Unit 7E</v>
      </c>
      <c r="B2283" s="2" t="str">
        <f t="shared" si="375"/>
        <v>70 Charlton Street</v>
      </c>
      <c r="C2283" s="1" t="s">
        <v>53</v>
      </c>
      <c r="D2283" s="1" t="s">
        <v>41</v>
      </c>
      <c r="E2283" s="3">
        <v>2269606</v>
      </c>
      <c r="F2283" s="1">
        <v>2119.1468253968201</v>
      </c>
      <c r="G2283" s="1">
        <v>4</v>
      </c>
      <c r="H2283" s="1">
        <v>2</v>
      </c>
      <c r="I2283" s="1">
        <v>2</v>
      </c>
      <c r="J2283" s="1">
        <v>2</v>
      </c>
      <c r="M2283" s="4">
        <v>1071</v>
      </c>
      <c r="N2283" s="1">
        <v>2348</v>
      </c>
      <c r="O2283" s="1">
        <v>2348</v>
      </c>
      <c r="Q2283" s="1" t="s">
        <v>505</v>
      </c>
      <c r="S2283" s="1" t="s">
        <v>505</v>
      </c>
      <c r="T2283" s="1" t="s">
        <v>273</v>
      </c>
      <c r="U2283" s="1">
        <v>153</v>
      </c>
      <c r="V2283" s="5">
        <v>42851</v>
      </c>
      <c r="W2283" s="5">
        <v>42698</v>
      </c>
      <c r="X2283" s="1">
        <v>2285000</v>
      </c>
      <c r="Y2283" s="1">
        <v>2285000</v>
      </c>
      <c r="AA2283" s="1">
        <v>2269606.25</v>
      </c>
      <c r="AB2283" s="1" t="s">
        <v>1323</v>
      </c>
      <c r="AC2283" s="5">
        <v>42949</v>
      </c>
      <c r="AF2283" s="1">
        <v>10014</v>
      </c>
      <c r="AI2283" s="1" t="s">
        <v>80</v>
      </c>
      <c r="AJ2283" s="1">
        <v>2016</v>
      </c>
      <c r="AK2283" s="1" t="s">
        <v>46</v>
      </c>
      <c r="AL2283" s="1">
        <v>92</v>
      </c>
    </row>
    <row r="2284" spans="1:38" x14ac:dyDescent="0.2">
      <c r="A2284" s="2" t="str">
        <f>HYPERLINK("https://www.compass.com/listing/70-charlton-street-unit-9e-manhattan-ny-10014/29366251449055313/","70 Charlton St, Unit 9E")</f>
        <v>70 Charlton St, Unit 9E</v>
      </c>
      <c r="B2284" s="2" t="str">
        <f t="shared" si="375"/>
        <v>70 Charlton Street</v>
      </c>
      <c r="C2284" s="1" t="s">
        <v>53</v>
      </c>
      <c r="D2284" s="1" t="s">
        <v>41</v>
      </c>
      <c r="E2284" s="3">
        <v>2304000</v>
      </c>
      <c r="F2284" s="1">
        <v>2151.2605042016799</v>
      </c>
      <c r="G2284" s="1">
        <v>4</v>
      </c>
      <c r="H2284" s="1">
        <v>2</v>
      </c>
      <c r="I2284" s="1">
        <v>2</v>
      </c>
      <c r="J2284" s="1">
        <v>2</v>
      </c>
      <c r="M2284" s="4">
        <v>1071</v>
      </c>
      <c r="N2284" s="1">
        <v>2378</v>
      </c>
      <c r="O2284" s="1">
        <v>2378</v>
      </c>
      <c r="Q2284" s="1" t="s">
        <v>158</v>
      </c>
      <c r="S2284" s="1" t="s">
        <v>158</v>
      </c>
      <c r="T2284" s="1" t="s">
        <v>273</v>
      </c>
      <c r="U2284" s="1">
        <v>185</v>
      </c>
      <c r="V2284" s="5">
        <v>43036</v>
      </c>
      <c r="W2284" s="5">
        <v>42851</v>
      </c>
      <c r="X2284" s="1">
        <v>2365000</v>
      </c>
      <c r="Y2284" s="1">
        <v>2365000</v>
      </c>
      <c r="AA2284" s="1">
        <v>2304000</v>
      </c>
      <c r="AB2284" s="1" t="s">
        <v>1317</v>
      </c>
      <c r="AC2284" s="5">
        <v>43111</v>
      </c>
      <c r="AF2284" s="1">
        <v>10014</v>
      </c>
      <c r="AI2284" s="1" t="s">
        <v>80</v>
      </c>
      <c r="AJ2284" s="1">
        <v>2016</v>
      </c>
      <c r="AK2284" s="1" t="s">
        <v>46</v>
      </c>
      <c r="AL2284" s="1">
        <v>92</v>
      </c>
    </row>
    <row r="2285" spans="1:38" x14ac:dyDescent="0.2">
      <c r="A2285" s="2" t="str">
        <f>HYPERLINK("https://www.compass.com/listing/70-charlton-street-unit-11e-manhattan-ny-10014/29366247053377153/","70 Charlton St, Unit 11E")</f>
        <v>70 Charlton St, Unit 11E</v>
      </c>
      <c r="B2285" s="2" t="str">
        <f t="shared" si="375"/>
        <v>70 Charlton Street</v>
      </c>
      <c r="C2285" s="1" t="s">
        <v>53</v>
      </c>
      <c r="D2285" s="1" t="s">
        <v>41</v>
      </c>
      <c r="E2285" s="3">
        <v>2447800</v>
      </c>
      <c r="F2285" s="1">
        <v>2285.52754435107</v>
      </c>
      <c r="G2285" s="1">
        <v>4</v>
      </c>
      <c r="H2285" s="1">
        <v>2</v>
      </c>
      <c r="I2285" s="1">
        <v>2</v>
      </c>
      <c r="J2285" s="1">
        <v>2</v>
      </c>
      <c r="M2285" s="4">
        <v>1071</v>
      </c>
      <c r="N2285" s="1">
        <v>2409</v>
      </c>
      <c r="O2285" s="1">
        <v>2409</v>
      </c>
      <c r="Q2285" s="1" t="s">
        <v>505</v>
      </c>
      <c r="S2285" s="1" t="s">
        <v>505</v>
      </c>
      <c r="T2285" s="1" t="s">
        <v>273</v>
      </c>
      <c r="V2285" s="5">
        <v>43663</v>
      </c>
      <c r="W2285" s="5">
        <v>42768</v>
      </c>
      <c r="X2285" s="1">
        <v>2450000</v>
      </c>
      <c r="Y2285" s="1">
        <v>2450000</v>
      </c>
      <c r="Z2285" s="5">
        <v>42768</v>
      </c>
      <c r="AA2285" s="1">
        <v>2447800</v>
      </c>
      <c r="AB2285" s="1" t="s">
        <v>1324</v>
      </c>
      <c r="AC2285" s="5">
        <v>42858</v>
      </c>
      <c r="AF2285" s="1">
        <v>10014</v>
      </c>
      <c r="AI2285" s="1" t="s">
        <v>80</v>
      </c>
      <c r="AJ2285" s="1">
        <v>2016</v>
      </c>
      <c r="AK2285" s="1" t="s">
        <v>46</v>
      </c>
      <c r="AL2285" s="1">
        <v>92</v>
      </c>
    </row>
    <row r="2286" spans="1:38" x14ac:dyDescent="0.2">
      <c r="A2286" s="2" t="str">
        <f>HYPERLINK("https://www.compass.com/listing/70-charlton-street-unit-8e-manhattan-ny-10014/29366264132630849/","70 Charlton St, Unit 8E")</f>
        <v>70 Charlton St, Unit 8E</v>
      </c>
      <c r="B2286" s="2" t="str">
        <f t="shared" si="375"/>
        <v>70 Charlton Street</v>
      </c>
      <c r="C2286" s="1" t="s">
        <v>53</v>
      </c>
      <c r="D2286" s="1" t="s">
        <v>41</v>
      </c>
      <c r="E2286" s="3">
        <v>2305245</v>
      </c>
      <c r="F2286" s="1">
        <v>2152.4229691876699</v>
      </c>
      <c r="G2286" s="1">
        <v>4</v>
      </c>
      <c r="H2286" s="1">
        <v>2</v>
      </c>
      <c r="I2286" s="1">
        <v>2</v>
      </c>
      <c r="J2286" s="1">
        <v>2</v>
      </c>
      <c r="M2286" s="4">
        <v>1071</v>
      </c>
      <c r="N2286" s="1">
        <v>2348</v>
      </c>
      <c r="O2286" s="1">
        <v>2348</v>
      </c>
      <c r="Q2286" s="1" t="s">
        <v>505</v>
      </c>
      <c r="S2286" s="1" t="s">
        <v>505</v>
      </c>
      <c r="T2286" s="1" t="s">
        <v>273</v>
      </c>
      <c r="V2286" s="5">
        <v>43662</v>
      </c>
      <c r="W2286" s="5">
        <v>42768</v>
      </c>
      <c r="X2286" s="1">
        <v>2280000</v>
      </c>
      <c r="Y2286" s="1">
        <v>2280000</v>
      </c>
      <c r="Z2286" s="5">
        <v>42768</v>
      </c>
      <c r="AA2286" s="1">
        <v>2305245</v>
      </c>
      <c r="AB2286" s="1" t="s">
        <v>1325</v>
      </c>
      <c r="AC2286" s="5">
        <v>42888</v>
      </c>
      <c r="AF2286" s="1">
        <v>10014</v>
      </c>
      <c r="AI2286" s="1" t="s">
        <v>80</v>
      </c>
      <c r="AJ2286" s="1">
        <v>2016</v>
      </c>
      <c r="AK2286" s="1" t="s">
        <v>46</v>
      </c>
      <c r="AL2286" s="1">
        <v>92</v>
      </c>
    </row>
    <row r="2287" spans="1:38" x14ac:dyDescent="0.2">
      <c r="A2287" s="2" t="str">
        <f>HYPERLINK("https://www.compass.com/listing/70-charlton-street-unit-12e-manhattan-ny-10014/69403156139760577/","70 Charlton St, Unit 12E")</f>
        <v>70 Charlton St, Unit 12E</v>
      </c>
      <c r="B2287" s="2" t="str">
        <f t="shared" si="375"/>
        <v>70 Charlton Street</v>
      </c>
      <c r="C2287" s="1" t="s">
        <v>53</v>
      </c>
      <c r="D2287" s="1" t="s">
        <v>41</v>
      </c>
      <c r="E2287" s="3">
        <v>2233968</v>
      </c>
      <c r="F2287" s="1">
        <v>2085.87114845938</v>
      </c>
      <c r="G2287" s="1">
        <v>4</v>
      </c>
      <c r="H2287" s="1">
        <v>2</v>
      </c>
      <c r="I2287" s="1">
        <v>2</v>
      </c>
      <c r="J2287" s="1">
        <v>2</v>
      </c>
      <c r="K2287" s="1">
        <v>2</v>
      </c>
      <c r="M2287" s="4">
        <v>1071</v>
      </c>
      <c r="N2287" s="1">
        <v>2439</v>
      </c>
      <c r="O2287" s="1">
        <v>2439</v>
      </c>
      <c r="Q2287" s="1" t="s">
        <v>505</v>
      </c>
      <c r="S2287" s="1" t="s">
        <v>505</v>
      </c>
      <c r="T2287" s="1" t="s">
        <v>273</v>
      </c>
      <c r="U2287" s="1">
        <v>78</v>
      </c>
      <c r="V2287" s="5">
        <v>43645</v>
      </c>
      <c r="W2287" s="5">
        <v>43348</v>
      </c>
      <c r="X2287" s="1">
        <v>2530000</v>
      </c>
      <c r="Y2287" s="1">
        <v>2530000</v>
      </c>
      <c r="Z2287" s="5">
        <v>43426</v>
      </c>
      <c r="AA2287" s="1">
        <v>2233968</v>
      </c>
      <c r="AB2287" s="1" t="s">
        <v>1326</v>
      </c>
      <c r="AC2287" s="5">
        <v>43491</v>
      </c>
      <c r="AF2287" s="1">
        <v>10014</v>
      </c>
      <c r="AI2287" s="1" t="s">
        <v>80</v>
      </c>
      <c r="AJ2287" s="1">
        <v>2016</v>
      </c>
      <c r="AK2287" s="1" t="s">
        <v>46</v>
      </c>
      <c r="AL2287" s="1">
        <v>92</v>
      </c>
    </row>
    <row r="2288" spans="1:38" x14ac:dyDescent="0.2">
      <c r="A2288" s="2" t="str">
        <f>HYPERLINK("https://www.compass.com/listing/70-charlton-street-unit-8d-manhattan-ny-10014/129672819150701665/","70 Charlton St, Unit 8D")</f>
        <v>70 Charlton St, Unit 8D</v>
      </c>
      <c r="B2288" s="2" t="str">
        <f t="shared" si="375"/>
        <v>70 Charlton Street</v>
      </c>
      <c r="C2288" s="1" t="s">
        <v>53</v>
      </c>
      <c r="D2288" s="1" t="s">
        <v>41</v>
      </c>
      <c r="E2288" s="3">
        <v>3033294</v>
      </c>
      <c r="F2288" s="1">
        <v>1859.7754445125599</v>
      </c>
      <c r="G2288" s="1">
        <v>6</v>
      </c>
      <c r="H2288" s="1">
        <v>3</v>
      </c>
      <c r="I2288" s="1">
        <v>3</v>
      </c>
      <c r="J2288" s="1">
        <v>3</v>
      </c>
      <c r="K2288" s="1">
        <v>3</v>
      </c>
      <c r="M2288" s="4">
        <v>1631</v>
      </c>
      <c r="N2288" s="1">
        <v>3454</v>
      </c>
      <c r="O2288" s="1">
        <v>3454</v>
      </c>
      <c r="Q2288" s="1" t="s">
        <v>272</v>
      </c>
      <c r="S2288" s="1" t="s">
        <v>272</v>
      </c>
      <c r="T2288" s="1" t="s">
        <v>273</v>
      </c>
      <c r="U2288" s="1">
        <v>155</v>
      </c>
      <c r="V2288" s="5">
        <v>43629</v>
      </c>
      <c r="W2288" s="5">
        <v>43430</v>
      </c>
      <c r="X2288" s="1">
        <v>3200000</v>
      </c>
      <c r="Y2288" s="1">
        <v>3200000</v>
      </c>
      <c r="Z2288" s="5">
        <v>43613</v>
      </c>
      <c r="AA2288" s="1">
        <v>3033293.75</v>
      </c>
      <c r="AB2288" s="1" t="s">
        <v>1327</v>
      </c>
      <c r="AC2288" s="5">
        <v>43614</v>
      </c>
      <c r="AF2288" s="1">
        <v>10014</v>
      </c>
      <c r="AI2288" s="1" t="s">
        <v>80</v>
      </c>
      <c r="AJ2288" s="1">
        <v>2016</v>
      </c>
      <c r="AK2288" s="1" t="s">
        <v>49</v>
      </c>
      <c r="AL2288" s="1">
        <v>92</v>
      </c>
    </row>
    <row r="2289" spans="1:38" x14ac:dyDescent="0.2">
      <c r="A2289" s="2" t="str">
        <f>HYPERLINK("https://www.compass.com/listing/70-charlton-street-unit-17d-manhattan-ny-10014/684560455674663961/","70 Charlton St, Unit 17D")</f>
        <v>70 Charlton St, Unit 17D</v>
      </c>
      <c r="B2289" s="2" t="str">
        <f t="shared" si="375"/>
        <v>70 Charlton Street</v>
      </c>
      <c r="C2289" s="1" t="s">
        <v>53</v>
      </c>
      <c r="D2289" s="1" t="s">
        <v>41</v>
      </c>
      <c r="E2289" s="3">
        <v>1404094</v>
      </c>
      <c r="F2289" s="1">
        <v>1689.6435018050499</v>
      </c>
      <c r="G2289" s="1">
        <v>3</v>
      </c>
      <c r="H2289" s="1">
        <v>1</v>
      </c>
      <c r="J2289" s="1">
        <v>1</v>
      </c>
      <c r="M2289" s="1">
        <v>831</v>
      </c>
      <c r="N2289" s="1">
        <v>1983</v>
      </c>
      <c r="O2289" s="1">
        <v>1983</v>
      </c>
      <c r="Q2289" s="1" t="s">
        <v>271</v>
      </c>
      <c r="S2289" s="1" t="s">
        <v>272</v>
      </c>
      <c r="T2289" s="1" t="s">
        <v>273</v>
      </c>
      <c r="U2289" s="1">
        <v>6</v>
      </c>
      <c r="V2289" s="5">
        <v>44304</v>
      </c>
      <c r="W2289" s="5">
        <v>44192</v>
      </c>
      <c r="X2289" s="1">
        <v>1685000</v>
      </c>
      <c r="Y2289" s="1">
        <v>1685000</v>
      </c>
      <c r="Z2289" s="5">
        <v>44198</v>
      </c>
      <c r="AA2289" s="1">
        <v>1404093.75</v>
      </c>
      <c r="AB2289" s="1" t="s">
        <v>1328</v>
      </c>
      <c r="AC2289" s="5">
        <v>44292</v>
      </c>
      <c r="AF2289" s="1">
        <v>10014</v>
      </c>
      <c r="AI2289" s="1" t="s">
        <v>80</v>
      </c>
      <c r="AJ2289" s="1">
        <v>2016</v>
      </c>
      <c r="AK2289" s="1" t="s">
        <v>49</v>
      </c>
      <c r="AL2289" s="1">
        <v>92</v>
      </c>
    </row>
    <row r="2290" spans="1:38" x14ac:dyDescent="0.2">
      <c r="A2290" s="2" t="str">
        <f>HYPERLINK("https://www.compass.com/listing/70-charlton-street-unit-3d-manhattan-ny-10014/29366245551863745/","70 Charlton St, Unit 3D")</f>
        <v>70 Charlton St, Unit 3D</v>
      </c>
      <c r="B2290" s="2" t="str">
        <f t="shared" si="375"/>
        <v>70 Charlton Street</v>
      </c>
      <c r="C2290" s="1" t="s">
        <v>53</v>
      </c>
      <c r="D2290" s="1" t="s">
        <v>41</v>
      </c>
      <c r="E2290" s="3">
        <v>3209000</v>
      </c>
      <c r="F2290" s="1">
        <v>1967.50459840588</v>
      </c>
      <c r="G2290" s="1">
        <v>5</v>
      </c>
      <c r="H2290" s="1">
        <v>3</v>
      </c>
      <c r="I2290" s="1">
        <v>3</v>
      </c>
      <c r="J2290" s="1">
        <v>3</v>
      </c>
      <c r="M2290" s="4">
        <v>1631</v>
      </c>
      <c r="N2290" s="1">
        <v>3415</v>
      </c>
      <c r="O2290" s="1">
        <v>3415</v>
      </c>
      <c r="Q2290" s="1" t="s">
        <v>505</v>
      </c>
      <c r="S2290" s="1" t="s">
        <v>505</v>
      </c>
      <c r="T2290" s="1" t="s">
        <v>273</v>
      </c>
      <c r="U2290" s="1">
        <v>118</v>
      </c>
      <c r="V2290" s="5">
        <v>42817</v>
      </c>
      <c r="W2290" s="5">
        <v>42698</v>
      </c>
      <c r="AA2290" s="1">
        <v>3209000</v>
      </c>
      <c r="AB2290" s="1" t="s">
        <v>1329</v>
      </c>
      <c r="AC2290" s="5">
        <v>42816</v>
      </c>
      <c r="AF2290" s="1">
        <v>10014</v>
      </c>
      <c r="AI2290" s="1" t="s">
        <v>80</v>
      </c>
      <c r="AJ2290" s="1">
        <v>2016</v>
      </c>
      <c r="AK2290" s="1" t="s">
        <v>46</v>
      </c>
      <c r="AL2290" s="1">
        <v>92</v>
      </c>
    </row>
    <row r="2291" spans="1:38" x14ac:dyDescent="0.2">
      <c r="A2291" s="2" t="str">
        <f>HYPERLINK("https://www.compass.com/listing/70-charlton-street-unit-21a-manhattan-ny-10014/29366251952324337/","70 Charlton St, Unit 21A")</f>
        <v>70 Charlton St, Unit 21A</v>
      </c>
      <c r="B2291" s="2" t="str">
        <f t="shared" si="375"/>
        <v>70 Charlton Street</v>
      </c>
      <c r="C2291" s="1" t="s">
        <v>53</v>
      </c>
      <c r="D2291" s="1" t="s">
        <v>41</v>
      </c>
      <c r="E2291" s="3">
        <v>3466050</v>
      </c>
      <c r="F2291" s="1">
        <v>2136.8988902589299</v>
      </c>
      <c r="G2291" s="1">
        <v>4</v>
      </c>
      <c r="H2291" s="1">
        <v>2</v>
      </c>
      <c r="I2291" s="1">
        <v>3</v>
      </c>
      <c r="J2291" s="1">
        <v>2.5</v>
      </c>
      <c r="M2291" s="4">
        <v>1622</v>
      </c>
      <c r="N2291" s="1">
        <v>3994</v>
      </c>
      <c r="O2291" s="1">
        <v>3994</v>
      </c>
      <c r="Q2291" s="1" t="s">
        <v>505</v>
      </c>
      <c r="S2291" s="1" t="s">
        <v>505</v>
      </c>
      <c r="T2291" s="1" t="s">
        <v>273</v>
      </c>
      <c r="V2291" s="5">
        <v>43662</v>
      </c>
      <c r="W2291" s="5">
        <v>42768</v>
      </c>
      <c r="X2291" s="1">
        <v>3400000</v>
      </c>
      <c r="Y2291" s="1">
        <v>3400000</v>
      </c>
      <c r="Z2291" s="5">
        <v>42768</v>
      </c>
      <c r="AA2291" s="1">
        <v>3466050</v>
      </c>
      <c r="AB2291" s="1" t="s">
        <v>1330</v>
      </c>
      <c r="AC2291" s="5">
        <v>42942</v>
      </c>
      <c r="AF2291" s="1">
        <v>10014</v>
      </c>
      <c r="AI2291" s="1" t="s">
        <v>80</v>
      </c>
      <c r="AJ2291" s="1">
        <v>2016</v>
      </c>
      <c r="AK2291" s="1" t="s">
        <v>46</v>
      </c>
      <c r="AL2291" s="1">
        <v>92</v>
      </c>
    </row>
    <row r="2292" spans="1:38" x14ac:dyDescent="0.2">
      <c r="A2292" s="2" t="str">
        <f>HYPERLINK("https://www.compass.com/listing/70-charlton-street-unit-18a-manhattan-ny-10014/29366252371795489/","70 Charlton St, Unit 18A")</f>
        <v>70 Charlton St, Unit 18A</v>
      </c>
      <c r="B2292" s="2" t="str">
        <f t="shared" si="375"/>
        <v>70 Charlton Street</v>
      </c>
      <c r="C2292" s="1" t="s">
        <v>53</v>
      </c>
      <c r="D2292" s="1" t="s">
        <v>41</v>
      </c>
      <c r="E2292" s="3">
        <v>3277674</v>
      </c>
      <c r="F2292" s="1">
        <v>2020.76078914919</v>
      </c>
      <c r="G2292" s="1">
        <v>4</v>
      </c>
      <c r="H2292" s="1">
        <v>2</v>
      </c>
      <c r="I2292" s="1">
        <v>3</v>
      </c>
      <c r="J2292" s="1">
        <v>2.5</v>
      </c>
      <c r="M2292" s="4">
        <v>1622</v>
      </c>
      <c r="N2292" s="1">
        <v>3930</v>
      </c>
      <c r="O2292" s="1">
        <v>3930</v>
      </c>
      <c r="Q2292" s="1" t="s">
        <v>505</v>
      </c>
      <c r="S2292" s="1" t="s">
        <v>505</v>
      </c>
      <c r="T2292" s="1" t="s">
        <v>273</v>
      </c>
      <c r="U2292" s="1">
        <v>20</v>
      </c>
      <c r="V2292" s="5">
        <v>43662</v>
      </c>
      <c r="W2292" s="5">
        <v>42797</v>
      </c>
      <c r="X2292" s="1">
        <v>3215000</v>
      </c>
      <c r="Y2292" s="1">
        <v>3215000</v>
      </c>
      <c r="Z2292" s="5">
        <v>42817</v>
      </c>
      <c r="AA2292" s="1">
        <v>3277674</v>
      </c>
      <c r="AB2292" s="1" t="s">
        <v>1331</v>
      </c>
      <c r="AC2292" s="5">
        <v>42900</v>
      </c>
      <c r="AF2292" s="1">
        <v>10014</v>
      </c>
      <c r="AI2292" s="1" t="s">
        <v>80</v>
      </c>
      <c r="AJ2292" s="1">
        <v>2016</v>
      </c>
      <c r="AK2292" s="1" t="s">
        <v>46</v>
      </c>
      <c r="AL2292" s="1">
        <v>92</v>
      </c>
    </row>
    <row r="2293" spans="1:38" x14ac:dyDescent="0.2">
      <c r="A2293" s="2" t="str">
        <f>HYPERLINK("https://www.compass.com/listing/70-charlton-street-unit-19a-manhattan-ny-10014/29366253210615553/","70 Charlton St, Unit 19A")</f>
        <v>70 Charlton St, Unit 19A</v>
      </c>
      <c r="B2293" s="2" t="str">
        <f t="shared" si="375"/>
        <v>70 Charlton Street</v>
      </c>
      <c r="C2293" s="1" t="s">
        <v>53</v>
      </c>
      <c r="D2293" s="1" t="s">
        <v>41</v>
      </c>
      <c r="E2293" s="3">
        <v>3124936</v>
      </c>
      <c r="F2293" s="1">
        <v>1926.5943279901301</v>
      </c>
      <c r="G2293" s="1">
        <v>4</v>
      </c>
      <c r="H2293" s="1">
        <v>2</v>
      </c>
      <c r="I2293" s="1">
        <v>3</v>
      </c>
      <c r="J2293" s="1">
        <v>2.5</v>
      </c>
      <c r="M2293" s="4">
        <v>1622</v>
      </c>
      <c r="N2293" s="1">
        <v>3933</v>
      </c>
      <c r="O2293" s="1">
        <v>3933</v>
      </c>
      <c r="Q2293" s="1" t="s">
        <v>505</v>
      </c>
      <c r="S2293" s="1" t="s">
        <v>505</v>
      </c>
      <c r="T2293" s="1" t="s">
        <v>273</v>
      </c>
      <c r="V2293" s="5">
        <v>43668</v>
      </c>
      <c r="W2293" s="5">
        <v>42768</v>
      </c>
      <c r="X2293" s="1">
        <v>3265000</v>
      </c>
      <c r="Y2293" s="1">
        <v>3265000</v>
      </c>
      <c r="Z2293" s="5">
        <v>42768</v>
      </c>
      <c r="AA2293" s="1">
        <v>3124936</v>
      </c>
      <c r="AB2293" s="1" t="s">
        <v>1332</v>
      </c>
      <c r="AC2293" s="5">
        <v>42936</v>
      </c>
      <c r="AF2293" s="1">
        <v>10014</v>
      </c>
      <c r="AI2293" s="1" t="s">
        <v>80</v>
      </c>
      <c r="AJ2293" s="1">
        <v>2016</v>
      </c>
      <c r="AK2293" s="1" t="s">
        <v>46</v>
      </c>
      <c r="AL2293" s="1">
        <v>92</v>
      </c>
    </row>
    <row r="2294" spans="1:38" x14ac:dyDescent="0.2">
      <c r="A2294" s="2" t="str">
        <f>HYPERLINK("https://www.compass.com/listing/70-charlton-street-unit-17a-manhattan-ny-10014/29366255173597329/","70 Charlton St, Unit 17A")</f>
        <v>70 Charlton St, Unit 17A</v>
      </c>
      <c r="B2294" s="2" t="str">
        <f t="shared" si="375"/>
        <v>70 Charlton Street</v>
      </c>
      <c r="C2294" s="1" t="s">
        <v>53</v>
      </c>
      <c r="D2294" s="1" t="s">
        <v>41</v>
      </c>
      <c r="E2294" s="3">
        <v>3226761</v>
      </c>
      <c r="F2294" s="1">
        <v>1989.37176325524</v>
      </c>
      <c r="G2294" s="1">
        <v>4</v>
      </c>
      <c r="H2294" s="1">
        <v>2</v>
      </c>
      <c r="I2294" s="1">
        <v>3</v>
      </c>
      <c r="J2294" s="1">
        <v>2.5</v>
      </c>
      <c r="M2294" s="4">
        <v>1622</v>
      </c>
      <c r="N2294" s="1">
        <v>3872</v>
      </c>
      <c r="O2294" s="1">
        <v>3872</v>
      </c>
      <c r="Q2294" s="1" t="s">
        <v>505</v>
      </c>
      <c r="S2294" s="1" t="s">
        <v>505</v>
      </c>
      <c r="T2294" s="1" t="s">
        <v>273</v>
      </c>
      <c r="V2294" s="5">
        <v>43662</v>
      </c>
      <c r="W2294" s="5">
        <v>42768</v>
      </c>
      <c r="X2294" s="1">
        <v>3165000</v>
      </c>
      <c r="Y2294" s="1">
        <v>3165000</v>
      </c>
      <c r="Z2294" s="5">
        <v>42768</v>
      </c>
      <c r="AA2294" s="1">
        <v>3226761</v>
      </c>
      <c r="AB2294" s="1" t="s">
        <v>1333</v>
      </c>
      <c r="AC2294" s="5">
        <v>42916</v>
      </c>
      <c r="AF2294" s="1">
        <v>10014</v>
      </c>
      <c r="AI2294" s="1" t="s">
        <v>80</v>
      </c>
      <c r="AJ2294" s="1">
        <v>2016</v>
      </c>
      <c r="AK2294" s="1" t="s">
        <v>46</v>
      </c>
      <c r="AL2294" s="1">
        <v>92</v>
      </c>
    </row>
    <row r="2295" spans="1:38" x14ac:dyDescent="0.2">
      <c r="A2295" s="2" t="str">
        <f>HYPERLINK("https://www.compass.com/listing/70-charlton-street-unit-12f-manhattan-ny-10014/29366260315807377/","70 Charlton St, Unit 12F")</f>
        <v>70 Charlton St, Unit 12F</v>
      </c>
      <c r="B2295" s="2" t="str">
        <f t="shared" si="375"/>
        <v>70 Charlton Street</v>
      </c>
      <c r="C2295" s="1" t="s">
        <v>53</v>
      </c>
      <c r="D2295" s="1" t="s">
        <v>41</v>
      </c>
      <c r="E2295" s="3">
        <v>3007838</v>
      </c>
      <c r="F2295" s="1">
        <v>2040.59565807327</v>
      </c>
      <c r="G2295" s="1">
        <v>3</v>
      </c>
      <c r="H2295" s="1">
        <v>2</v>
      </c>
      <c r="I2295" s="1">
        <v>2</v>
      </c>
      <c r="J2295" s="1">
        <v>2</v>
      </c>
      <c r="M2295" s="4">
        <v>1474</v>
      </c>
      <c r="N2295" s="1">
        <v>3354</v>
      </c>
      <c r="O2295" s="1">
        <v>3354</v>
      </c>
      <c r="Q2295" s="1" t="s">
        <v>158</v>
      </c>
      <c r="S2295" s="1" t="s">
        <v>158</v>
      </c>
      <c r="T2295" s="1" t="s">
        <v>273</v>
      </c>
      <c r="V2295" s="5">
        <v>43638</v>
      </c>
      <c r="W2295" s="5">
        <v>43172</v>
      </c>
      <c r="X2295" s="1">
        <v>3200000</v>
      </c>
      <c r="Y2295" s="1">
        <v>3200000</v>
      </c>
      <c r="Z2295" s="5">
        <v>43172</v>
      </c>
      <c r="AA2295" s="1">
        <v>3007838</v>
      </c>
      <c r="AB2295" s="1" t="s">
        <v>1334</v>
      </c>
      <c r="AC2295" s="5">
        <v>43174</v>
      </c>
      <c r="AF2295" s="1">
        <v>10014</v>
      </c>
      <c r="AI2295" s="1" t="s">
        <v>80</v>
      </c>
      <c r="AJ2295" s="1">
        <v>2016</v>
      </c>
      <c r="AK2295" s="1" t="s">
        <v>46</v>
      </c>
      <c r="AL2295" s="1">
        <v>92</v>
      </c>
    </row>
    <row r="2296" spans="1:38" x14ac:dyDescent="0.2">
      <c r="A2296" s="2" t="str">
        <f>HYPERLINK("https://www.compass.com/listing/70-charlton-street-unit-4d-manhattan-ny-10014/29366260701690129/","70 Charlton St, Unit 4D")</f>
        <v>70 Charlton St, Unit 4D</v>
      </c>
      <c r="B2296" s="2" t="str">
        <f t="shared" si="375"/>
        <v>70 Charlton Street</v>
      </c>
      <c r="C2296" s="1" t="s">
        <v>53</v>
      </c>
      <c r="D2296" s="1" t="s">
        <v>41</v>
      </c>
      <c r="E2296" s="3">
        <v>3259000</v>
      </c>
      <c r="F2296" s="1">
        <v>1998.16063764561</v>
      </c>
      <c r="G2296" s="1">
        <v>5</v>
      </c>
      <c r="H2296" s="1">
        <v>3</v>
      </c>
      <c r="I2296" s="1">
        <v>3</v>
      </c>
      <c r="J2296" s="1">
        <v>3</v>
      </c>
      <c r="M2296" s="4">
        <v>1631</v>
      </c>
      <c r="N2296" s="1">
        <v>3445</v>
      </c>
      <c r="O2296" s="1">
        <v>3445</v>
      </c>
      <c r="Q2296" s="1" t="s">
        <v>505</v>
      </c>
      <c r="S2296" s="1" t="s">
        <v>505</v>
      </c>
      <c r="T2296" s="1" t="s">
        <v>273</v>
      </c>
      <c r="V2296" s="5">
        <v>43663</v>
      </c>
      <c r="W2296" s="5">
        <v>42768</v>
      </c>
      <c r="X2296" s="1">
        <v>3255000</v>
      </c>
      <c r="Y2296" s="1">
        <v>3255000</v>
      </c>
      <c r="Z2296" s="5">
        <v>42768</v>
      </c>
      <c r="AA2296" s="1">
        <v>3259000</v>
      </c>
      <c r="AB2296" s="1" t="s">
        <v>1335</v>
      </c>
      <c r="AC2296" s="5">
        <v>42800</v>
      </c>
      <c r="AF2296" s="1">
        <v>10014</v>
      </c>
      <c r="AI2296" s="1" t="s">
        <v>80</v>
      </c>
      <c r="AJ2296" s="1">
        <v>2016</v>
      </c>
      <c r="AK2296" s="1" t="s">
        <v>46</v>
      </c>
      <c r="AL2296" s="1">
        <v>92</v>
      </c>
    </row>
    <row r="2297" spans="1:38" x14ac:dyDescent="0.2">
      <c r="A2297" s="2" t="str">
        <f>HYPERLINK("https://www.compass.com/listing/70-charlton-street-unit-15d-manhattan-ny-10014/466252741684247545/","70 Charlton St, Unit 15D")</f>
        <v>70 Charlton St, Unit 15D</v>
      </c>
      <c r="B2297" s="2" t="str">
        <f t="shared" si="375"/>
        <v>70 Charlton Street</v>
      </c>
      <c r="C2297" s="1" t="s">
        <v>53</v>
      </c>
      <c r="D2297" s="1" t="s">
        <v>41</v>
      </c>
      <c r="E2297" s="3">
        <v>1429550</v>
      </c>
      <c r="F2297" s="1">
        <v>1720.2767749699101</v>
      </c>
      <c r="G2297" s="1">
        <v>3</v>
      </c>
      <c r="H2297" s="1">
        <v>1</v>
      </c>
      <c r="J2297" s="1">
        <v>1</v>
      </c>
      <c r="M2297" s="1">
        <v>831</v>
      </c>
      <c r="N2297" s="1">
        <v>1873</v>
      </c>
      <c r="O2297" s="1">
        <v>1873</v>
      </c>
      <c r="Q2297" s="1" t="s">
        <v>271</v>
      </c>
      <c r="S2297" s="1" t="s">
        <v>272</v>
      </c>
      <c r="T2297" s="1" t="s">
        <v>273</v>
      </c>
      <c r="U2297" s="1">
        <v>17</v>
      </c>
      <c r="V2297" s="5">
        <v>44248</v>
      </c>
      <c r="W2297" s="5">
        <v>43892</v>
      </c>
      <c r="X2297" s="1">
        <v>1665000</v>
      </c>
      <c r="Y2297" s="1">
        <v>1665000</v>
      </c>
      <c r="Z2297" s="5">
        <v>43966</v>
      </c>
      <c r="AA2297" s="1">
        <v>1429550</v>
      </c>
      <c r="AB2297" s="1" t="s">
        <v>1336</v>
      </c>
      <c r="AC2297" s="5">
        <v>43997</v>
      </c>
      <c r="AF2297" s="1">
        <v>10014</v>
      </c>
      <c r="AI2297" s="1" t="s">
        <v>1294</v>
      </c>
      <c r="AJ2297" s="1">
        <v>2016</v>
      </c>
      <c r="AK2297" s="1" t="s">
        <v>46</v>
      </c>
      <c r="AL2297" s="1">
        <v>92</v>
      </c>
    </row>
    <row r="2298" spans="1:38" x14ac:dyDescent="0.2">
      <c r="A2298" s="2" t="str">
        <f>HYPERLINK("https://www.compass.com/listing/565-broome-street-unit-s24a-manhattan-ny-10013/54990644845850673/","565 Broome St, Unit S24A")</f>
        <v>565 Broome St, Unit S24A</v>
      </c>
      <c r="B2298" s="2" t="str">
        <f>HYPERLINK("https://www.compass.com/building/565-broome-soho-manhattan-ny/292813251698267109/","565 Broome Soho")</f>
        <v>565 Broome Soho</v>
      </c>
      <c r="C2298" s="1" t="s">
        <v>298</v>
      </c>
      <c r="D2298" s="1" t="s">
        <v>41</v>
      </c>
      <c r="E2298" s="3">
        <v>8312500</v>
      </c>
      <c r="F2298" s="1">
        <v>3299.9206034140502</v>
      </c>
      <c r="G2298" s="1">
        <v>6</v>
      </c>
      <c r="H2298" s="1">
        <v>4</v>
      </c>
      <c r="I2298" s="1">
        <v>4</v>
      </c>
      <c r="J2298" s="1">
        <v>3.5</v>
      </c>
      <c r="K2298" s="1">
        <v>3</v>
      </c>
      <c r="L2298" s="1">
        <v>1</v>
      </c>
      <c r="M2298" s="4">
        <v>2519</v>
      </c>
      <c r="N2298" s="1">
        <v>3941</v>
      </c>
      <c r="O2298" s="1">
        <v>8287</v>
      </c>
      <c r="P2298" s="1">
        <v>4346</v>
      </c>
      <c r="Q2298" s="1" t="s">
        <v>42</v>
      </c>
      <c r="S2298" s="1" t="s">
        <v>42</v>
      </c>
      <c r="T2298" s="1" t="s">
        <v>273</v>
      </c>
      <c r="U2298" s="1">
        <v>1</v>
      </c>
      <c r="V2298" s="5">
        <v>44337</v>
      </c>
      <c r="W2298" s="5">
        <v>43328</v>
      </c>
      <c r="X2298" s="1">
        <v>8750000</v>
      </c>
      <c r="Y2298" s="1">
        <v>8750000</v>
      </c>
      <c r="Z2298" s="5">
        <v>43329</v>
      </c>
      <c r="AA2298" s="1">
        <v>8312500</v>
      </c>
      <c r="AB2298" s="1" t="s">
        <v>1337</v>
      </c>
      <c r="AC2298" s="5">
        <v>43619</v>
      </c>
      <c r="AF2298" s="1">
        <v>10013</v>
      </c>
      <c r="AI2298" s="1" t="s">
        <v>48</v>
      </c>
      <c r="AJ2298" s="1">
        <v>2019</v>
      </c>
      <c r="AK2298" s="1" t="s">
        <v>46</v>
      </c>
      <c r="AL2298" s="1">
        <v>115</v>
      </c>
    </row>
    <row r="2299" spans="1:38" x14ac:dyDescent="0.2">
      <c r="A2299" s="2" t="str">
        <f>HYPERLINK("https://www.compass.com/listing/70-charlton-street-unit-15c-manhattan-ny-10014/422388029374121681/","70 Charlton St, Unit 15C")</f>
        <v>70 Charlton St, Unit 15C</v>
      </c>
      <c r="B2299" s="2" t="str">
        <f t="shared" ref="B2299:B2301" si="376">HYPERLINK("https://www.compass.com/building/70-charlton-street-manhattan-ny/292835639240484293/","70 Charlton Street")</f>
        <v>70 Charlton Street</v>
      </c>
      <c r="C2299" s="1" t="s">
        <v>53</v>
      </c>
      <c r="D2299" s="1" t="s">
        <v>41</v>
      </c>
      <c r="E2299" s="3">
        <v>3678700</v>
      </c>
      <c r="F2299" s="1">
        <v>2069.0101237345302</v>
      </c>
      <c r="G2299" s="1">
        <v>5</v>
      </c>
      <c r="H2299" s="1">
        <v>3</v>
      </c>
      <c r="I2299" s="1">
        <v>3</v>
      </c>
      <c r="J2299" s="1">
        <v>3</v>
      </c>
      <c r="K2299" s="1">
        <v>3</v>
      </c>
      <c r="M2299" s="4">
        <v>1778</v>
      </c>
      <c r="N2299" s="1">
        <v>4299</v>
      </c>
      <c r="O2299" s="1">
        <v>4299</v>
      </c>
      <c r="Q2299" s="1" t="s">
        <v>505</v>
      </c>
      <c r="S2299" s="1" t="s">
        <v>505</v>
      </c>
      <c r="T2299" s="1" t="s">
        <v>273</v>
      </c>
      <c r="U2299" s="1">
        <v>26</v>
      </c>
      <c r="V2299" s="5">
        <v>43893</v>
      </c>
      <c r="W2299" s="5">
        <v>43835</v>
      </c>
      <c r="X2299" s="1">
        <v>3995000</v>
      </c>
      <c r="Y2299" s="1">
        <v>3995000</v>
      </c>
      <c r="Z2299" s="5">
        <v>43861</v>
      </c>
      <c r="AA2299" s="1">
        <v>3678700</v>
      </c>
      <c r="AB2299" s="1" t="s">
        <v>1338</v>
      </c>
      <c r="AC2299" s="5">
        <v>43868</v>
      </c>
      <c r="AF2299" s="1">
        <v>10014</v>
      </c>
      <c r="AI2299" s="1" t="s">
        <v>319</v>
      </c>
      <c r="AJ2299" s="1">
        <v>2016</v>
      </c>
      <c r="AK2299" s="1" t="s">
        <v>46</v>
      </c>
      <c r="AL2299" s="1">
        <v>92</v>
      </c>
    </row>
    <row r="2300" spans="1:38" x14ac:dyDescent="0.2">
      <c r="A2300" s="2" t="str">
        <f>HYPERLINK("https://www.compass.com/listing/70-charlton-street-unit-10d-manhattan-ny-10014/751103204852391185/","70 Charlton St, Unit 10D")</f>
        <v>70 Charlton St, Unit 10D</v>
      </c>
      <c r="B2300" s="2" t="str">
        <f t="shared" si="376"/>
        <v>70 Charlton Street</v>
      </c>
      <c r="C2300" s="1" t="s">
        <v>53</v>
      </c>
      <c r="D2300" s="1" t="s">
        <v>41</v>
      </c>
      <c r="E2300" s="3">
        <v>2802004</v>
      </c>
      <c r="F2300" s="1">
        <v>1717.96658491722</v>
      </c>
      <c r="G2300" s="1">
        <v>6</v>
      </c>
      <c r="H2300" s="1">
        <v>3</v>
      </c>
      <c r="J2300" s="1">
        <v>3</v>
      </c>
      <c r="M2300" s="4">
        <v>1631</v>
      </c>
      <c r="N2300" s="1">
        <v>3662</v>
      </c>
      <c r="O2300" s="1">
        <v>3662</v>
      </c>
      <c r="Q2300" s="1" t="s">
        <v>271</v>
      </c>
      <c r="S2300" s="1" t="s">
        <v>272</v>
      </c>
      <c r="T2300" s="1" t="s">
        <v>273</v>
      </c>
      <c r="U2300" s="1">
        <v>20</v>
      </c>
      <c r="V2300" s="5">
        <v>44368</v>
      </c>
      <c r="W2300" s="5">
        <v>44287</v>
      </c>
      <c r="X2300" s="1">
        <v>3535000</v>
      </c>
      <c r="Y2300" s="1">
        <v>3535000</v>
      </c>
      <c r="Z2300" s="5">
        <v>44307</v>
      </c>
      <c r="AA2300" s="1">
        <v>2802003.5</v>
      </c>
      <c r="AB2300" s="1" t="s">
        <v>1339</v>
      </c>
      <c r="AC2300" s="5">
        <v>44364</v>
      </c>
      <c r="AF2300" s="1">
        <v>10014</v>
      </c>
      <c r="AI2300" s="1" t="s">
        <v>80</v>
      </c>
      <c r="AJ2300" s="1">
        <v>2016</v>
      </c>
      <c r="AK2300" s="1" t="s">
        <v>49</v>
      </c>
      <c r="AL2300" s="1">
        <v>92</v>
      </c>
    </row>
    <row r="2301" spans="1:38" x14ac:dyDescent="0.2">
      <c r="A2301" s="2" t="str">
        <f>HYPERLINK("https://www.compass.com/listing/70-charlton-street-unit-21e-manhattan-ny-10014/762222616912016825/","70 Charlton St, Unit 21E")</f>
        <v>70 Charlton St, Unit 21E</v>
      </c>
      <c r="B2301" s="2" t="str">
        <f t="shared" si="376"/>
        <v>70 Charlton Street</v>
      </c>
      <c r="C2301" s="1" t="s">
        <v>53</v>
      </c>
      <c r="D2301" s="1" t="s">
        <v>41</v>
      </c>
      <c r="E2301" s="3">
        <v>4852563</v>
      </c>
      <c r="F2301" s="1">
        <v>2154.7790852575399</v>
      </c>
      <c r="G2301" s="1">
        <v>6</v>
      </c>
      <c r="H2301" s="1">
        <v>4</v>
      </c>
      <c r="I2301" s="1">
        <v>5</v>
      </c>
      <c r="J2301" s="1">
        <v>4.5</v>
      </c>
      <c r="K2301" s="1">
        <v>4</v>
      </c>
      <c r="L2301" s="1">
        <v>1</v>
      </c>
      <c r="M2301" s="4">
        <v>2252</v>
      </c>
      <c r="N2301" s="1">
        <v>5554</v>
      </c>
      <c r="O2301" s="1">
        <v>5554</v>
      </c>
      <c r="Q2301" s="1" t="s">
        <v>271</v>
      </c>
      <c r="S2301" s="1" t="s">
        <v>272</v>
      </c>
      <c r="T2301" s="1" t="s">
        <v>273</v>
      </c>
      <c r="U2301" s="1">
        <v>4</v>
      </c>
      <c r="V2301" s="5">
        <v>44370</v>
      </c>
      <c r="W2301" s="5">
        <v>44302</v>
      </c>
      <c r="X2301" s="1">
        <v>5750000</v>
      </c>
      <c r="Y2301" s="1">
        <v>5750000</v>
      </c>
      <c r="Z2301" s="5">
        <v>44306</v>
      </c>
      <c r="AA2301" s="1">
        <v>4852562.5</v>
      </c>
      <c r="AB2301" s="1" t="s">
        <v>1340</v>
      </c>
      <c r="AC2301" s="5">
        <v>44364</v>
      </c>
      <c r="AF2301" s="1">
        <v>10014</v>
      </c>
      <c r="AI2301" s="1" t="s">
        <v>80</v>
      </c>
      <c r="AJ2301" s="1">
        <v>2016</v>
      </c>
      <c r="AK2301" s="1" t="s">
        <v>49</v>
      </c>
      <c r="AL2301" s="1">
        <v>92</v>
      </c>
    </row>
    <row r="2302" spans="1:38" x14ac:dyDescent="0.2">
      <c r="A2302" s="2" t="str">
        <f>HYPERLINK("https://www.compass.com/listing/230-east-20th-street-unit-36-manhattan-ny-10003/96242681633602561/","230 E 20th St, Unit 36")</f>
        <v>230 E 20th St, Unit 36</v>
      </c>
      <c r="B2302" s="2" t="str">
        <f>HYPERLINK("https://www.compass.com/building/the-modern-at-gramercy-square-manhattan-ny/282059330264532517/","The Modern at Gramercy Square")</f>
        <v>The Modern at Gramercy Square</v>
      </c>
      <c r="C2302" s="1" t="s">
        <v>64</v>
      </c>
      <c r="D2302" s="1" t="s">
        <v>41</v>
      </c>
      <c r="E2302" s="3">
        <v>1470000</v>
      </c>
      <c r="F2302" s="1">
        <v>1832.9177057356601</v>
      </c>
      <c r="G2302" s="1">
        <v>3</v>
      </c>
      <c r="H2302" s="1">
        <v>1</v>
      </c>
      <c r="I2302" s="1">
        <v>1</v>
      </c>
      <c r="J2302" s="1">
        <v>1</v>
      </c>
      <c r="K2302" s="1">
        <v>1</v>
      </c>
      <c r="M2302" s="1">
        <v>802</v>
      </c>
      <c r="N2302" s="1">
        <v>910</v>
      </c>
      <c r="O2302" s="1">
        <v>2063</v>
      </c>
      <c r="P2302" s="1">
        <v>1153</v>
      </c>
      <c r="Q2302" s="1" t="s">
        <v>42</v>
      </c>
      <c r="S2302" s="1" t="s">
        <v>42</v>
      </c>
      <c r="T2302" s="1" t="s">
        <v>273</v>
      </c>
      <c r="V2302" s="5">
        <v>43648</v>
      </c>
      <c r="W2302" s="5">
        <v>43385</v>
      </c>
      <c r="X2302" s="1">
        <v>1470000</v>
      </c>
      <c r="Y2302" s="1">
        <v>1470000</v>
      </c>
      <c r="Z2302" s="5">
        <v>43385</v>
      </c>
      <c r="AA2302" s="1">
        <v>1470000</v>
      </c>
      <c r="AB2302" s="1" t="s">
        <v>275</v>
      </c>
      <c r="AC2302" s="5">
        <v>43476</v>
      </c>
      <c r="AF2302" s="1">
        <v>10003</v>
      </c>
      <c r="AI2302" s="1" t="s">
        <v>65</v>
      </c>
      <c r="AJ2302" s="1">
        <v>2016</v>
      </c>
      <c r="AK2302" s="1" t="s">
        <v>49</v>
      </c>
      <c r="AL2302" s="1">
        <v>37</v>
      </c>
    </row>
    <row r="2303" spans="1:38" x14ac:dyDescent="0.2">
      <c r="A2303" s="2" t="str">
        <f>HYPERLINK("https://www.compass.com/listing/221-west-77th-street-unit-11w-manhattan-ny-10024/8743034799803809/","221 W 77th St, Unit 11W")</f>
        <v>221 W 77th St, Unit 11W</v>
      </c>
      <c r="B2303" s="2" t="str">
        <f t="shared" ref="B2303:B2307" si="377">HYPERLINK("https://www.compass.com/building/221-west-77th-street-manhattan-ny/292869344491294229/","221 West 77th Street")</f>
        <v>221 West 77th Street</v>
      </c>
      <c r="C2303" s="1" t="s">
        <v>57</v>
      </c>
      <c r="D2303" s="1" t="s">
        <v>41</v>
      </c>
      <c r="E2303" s="3">
        <v>7013418</v>
      </c>
      <c r="F2303" s="1">
        <v>2571.84378437843</v>
      </c>
      <c r="G2303" s="1">
        <v>6</v>
      </c>
      <c r="H2303" s="1">
        <v>4</v>
      </c>
      <c r="I2303" s="1">
        <v>5</v>
      </c>
      <c r="J2303" s="1">
        <v>0.5</v>
      </c>
      <c r="L2303" s="1">
        <v>1</v>
      </c>
      <c r="M2303" s="4">
        <v>2727</v>
      </c>
      <c r="N2303" s="1">
        <v>2725</v>
      </c>
      <c r="O2303" s="1">
        <v>6241</v>
      </c>
      <c r="P2303" s="1">
        <v>3516</v>
      </c>
      <c r="Q2303" s="1" t="s">
        <v>42</v>
      </c>
      <c r="S2303" s="1" t="s">
        <v>42</v>
      </c>
      <c r="T2303" s="1" t="s">
        <v>273</v>
      </c>
      <c r="U2303" s="1">
        <v>233</v>
      </c>
      <c r="V2303" s="5">
        <v>43637</v>
      </c>
      <c r="W2303" s="5">
        <v>42661</v>
      </c>
      <c r="X2303" s="1">
        <v>7150000</v>
      </c>
      <c r="Y2303" s="1">
        <v>6950000</v>
      </c>
      <c r="Z2303" s="5">
        <v>42894</v>
      </c>
      <c r="AA2303" s="1">
        <v>7013418</v>
      </c>
      <c r="AB2303" s="1" t="s">
        <v>1341</v>
      </c>
      <c r="AC2303" s="5">
        <v>42952</v>
      </c>
      <c r="AF2303" s="1">
        <v>10024</v>
      </c>
      <c r="AI2303" s="1" t="s">
        <v>225</v>
      </c>
      <c r="AJ2303" s="1">
        <v>2017</v>
      </c>
      <c r="AK2303" s="1" t="s">
        <v>108</v>
      </c>
      <c r="AL2303" s="1">
        <v>26</v>
      </c>
    </row>
    <row r="2304" spans="1:38" x14ac:dyDescent="0.2">
      <c r="A2304" s="2" t="str">
        <f>HYPERLINK("https://www.compass.com/listing/221-west-77th-street-unit-9w-manhattan-ny-10024/8743035538001265/","221 W 77th St, Unit 9W")</f>
        <v>221 W 77th St, Unit 9W</v>
      </c>
      <c r="B2304" s="2" t="str">
        <f t="shared" si="377"/>
        <v>221 West 77th Street</v>
      </c>
      <c r="C2304" s="1" t="s">
        <v>57</v>
      </c>
      <c r="D2304" s="1" t="s">
        <v>41</v>
      </c>
      <c r="E2304" s="3">
        <v>6761137</v>
      </c>
      <c r="F2304" s="1">
        <v>2460.384643377</v>
      </c>
      <c r="G2304" s="1">
        <v>7</v>
      </c>
      <c r="H2304" s="1">
        <v>4</v>
      </c>
      <c r="I2304" s="1">
        <v>5</v>
      </c>
      <c r="J2304" s="1">
        <v>0.5</v>
      </c>
      <c r="L2304" s="1">
        <v>1</v>
      </c>
      <c r="M2304" s="4">
        <v>2748</v>
      </c>
      <c r="N2304" s="1">
        <v>3058</v>
      </c>
      <c r="O2304" s="1">
        <v>7004</v>
      </c>
      <c r="P2304" s="1">
        <v>3946</v>
      </c>
      <c r="Q2304" s="1" t="s">
        <v>42</v>
      </c>
      <c r="S2304" s="1" t="s">
        <v>42</v>
      </c>
      <c r="T2304" s="1" t="s">
        <v>273</v>
      </c>
      <c r="U2304" s="1">
        <v>133</v>
      </c>
      <c r="V2304" s="5">
        <v>43637</v>
      </c>
      <c r="W2304" s="5">
        <v>42475</v>
      </c>
      <c r="X2304" s="1">
        <v>7695000</v>
      </c>
      <c r="Y2304" s="1">
        <v>8200000</v>
      </c>
      <c r="Z2304" s="5">
        <v>42670</v>
      </c>
      <c r="AA2304" s="1">
        <v>6761137</v>
      </c>
      <c r="AB2304" s="1" t="s">
        <v>1342</v>
      </c>
      <c r="AC2304" s="5">
        <v>42927</v>
      </c>
      <c r="AF2304" s="1">
        <v>10024</v>
      </c>
      <c r="AI2304" s="1" t="s">
        <v>225</v>
      </c>
      <c r="AJ2304" s="1">
        <v>2017</v>
      </c>
      <c r="AK2304" s="1" t="s">
        <v>108</v>
      </c>
      <c r="AL2304" s="1">
        <v>26</v>
      </c>
    </row>
    <row r="2305" spans="1:38" x14ac:dyDescent="0.2">
      <c r="A2305" s="2" t="str">
        <f>HYPERLINK("https://www.compass.com/listing/221-west-77th-street-unit-12w-manhattan-ny-10024/8743038859890689/","221 W 77th St, Unit 12W")</f>
        <v>221 W 77th St, Unit 12W</v>
      </c>
      <c r="B2305" s="2" t="str">
        <f t="shared" si="377"/>
        <v>221 West 77th Street</v>
      </c>
      <c r="C2305" s="1" t="s">
        <v>57</v>
      </c>
      <c r="D2305" s="1" t="s">
        <v>41</v>
      </c>
      <c r="E2305" s="3">
        <v>7125000</v>
      </c>
      <c r="F2305" s="1">
        <v>2612.76127612761</v>
      </c>
      <c r="G2305" s="1">
        <v>6</v>
      </c>
      <c r="H2305" s="1">
        <v>4</v>
      </c>
      <c r="I2305" s="1">
        <v>5</v>
      </c>
      <c r="J2305" s="1">
        <v>0.5</v>
      </c>
      <c r="L2305" s="1">
        <v>1</v>
      </c>
      <c r="M2305" s="4">
        <v>2727</v>
      </c>
      <c r="N2305" s="1">
        <v>2725</v>
      </c>
      <c r="O2305" s="1">
        <v>6241</v>
      </c>
      <c r="P2305" s="1">
        <v>3516</v>
      </c>
      <c r="Q2305" s="1" t="s">
        <v>42</v>
      </c>
      <c r="S2305" s="1" t="s">
        <v>42</v>
      </c>
      <c r="T2305" s="1" t="s">
        <v>273</v>
      </c>
      <c r="U2305" s="1">
        <v>96</v>
      </c>
      <c r="V2305" s="5">
        <v>43659</v>
      </c>
      <c r="W2305" s="5">
        <v>42895</v>
      </c>
      <c r="X2305" s="1">
        <v>7250000</v>
      </c>
      <c r="Y2305" s="1">
        <v>7250000</v>
      </c>
      <c r="Z2305" s="5">
        <v>42991</v>
      </c>
      <c r="AA2305" s="1">
        <v>7125000</v>
      </c>
      <c r="AB2305" s="1" t="s">
        <v>1343</v>
      </c>
      <c r="AC2305" s="5">
        <v>43056</v>
      </c>
      <c r="AF2305" s="1">
        <v>10024</v>
      </c>
      <c r="AI2305" s="1" t="s">
        <v>225</v>
      </c>
      <c r="AJ2305" s="1">
        <v>2017</v>
      </c>
      <c r="AK2305" s="1" t="s">
        <v>108</v>
      </c>
      <c r="AL2305" s="1">
        <v>26</v>
      </c>
    </row>
    <row r="2306" spans="1:38" x14ac:dyDescent="0.2">
      <c r="A2306" s="2" t="str">
        <f>HYPERLINK("https://www.compass.com/listing/221-west-77th-street-unit-10w-manhattan-ny-10024/8743039572965537/","221 W 77th St, Unit 10W")</f>
        <v>221 W 77th St, Unit 10W</v>
      </c>
      <c r="B2306" s="2" t="str">
        <f t="shared" si="377"/>
        <v>221 West 77th Street</v>
      </c>
      <c r="C2306" s="1" t="s">
        <v>57</v>
      </c>
      <c r="D2306" s="1" t="s">
        <v>41</v>
      </c>
      <c r="E2306" s="3">
        <v>6800000</v>
      </c>
      <c r="F2306" s="1">
        <v>2493.5826916024898</v>
      </c>
      <c r="G2306" s="1">
        <v>6</v>
      </c>
      <c r="H2306" s="1">
        <v>4</v>
      </c>
      <c r="I2306" s="1">
        <v>5</v>
      </c>
      <c r="J2306" s="1">
        <v>0.5</v>
      </c>
      <c r="L2306" s="1">
        <v>1</v>
      </c>
      <c r="M2306" s="4">
        <v>2727</v>
      </c>
      <c r="N2306" s="1">
        <v>2725</v>
      </c>
      <c r="O2306" s="1">
        <v>6241</v>
      </c>
      <c r="P2306" s="1">
        <v>3516</v>
      </c>
      <c r="Q2306" s="1" t="s">
        <v>42</v>
      </c>
      <c r="S2306" s="1" t="s">
        <v>42</v>
      </c>
      <c r="T2306" s="1" t="s">
        <v>273</v>
      </c>
      <c r="U2306" s="1">
        <v>361</v>
      </c>
      <c r="V2306" s="5">
        <v>43637</v>
      </c>
      <c r="W2306" s="5">
        <v>42265</v>
      </c>
      <c r="X2306" s="1">
        <v>7050000</v>
      </c>
      <c r="Y2306" s="1">
        <v>6750000</v>
      </c>
      <c r="Z2306" s="5">
        <v>42626</v>
      </c>
      <c r="AA2306" s="1">
        <v>6800000</v>
      </c>
      <c r="AB2306" s="1" t="s">
        <v>1344</v>
      </c>
      <c r="AC2306" s="5">
        <v>42906</v>
      </c>
      <c r="AF2306" s="1">
        <v>10024</v>
      </c>
      <c r="AI2306" s="1" t="s">
        <v>225</v>
      </c>
      <c r="AJ2306" s="1">
        <v>2017</v>
      </c>
      <c r="AK2306" s="1" t="s">
        <v>108</v>
      </c>
      <c r="AL2306" s="1">
        <v>26</v>
      </c>
    </row>
    <row r="2307" spans="1:38" x14ac:dyDescent="0.2">
      <c r="A2307" s="2" t="str">
        <f>HYPERLINK("https://www.compass.com/listing/221-west-77th-street-unit-14-manhattan-ny-10024/8743039975575681/","221 W 77th St, Unit 14")</f>
        <v>221 W 77th St, Unit 14</v>
      </c>
      <c r="B2307" s="2" t="str">
        <f t="shared" si="377"/>
        <v>221 West 77th Street</v>
      </c>
      <c r="C2307" s="1" t="s">
        <v>57</v>
      </c>
      <c r="D2307" s="1" t="s">
        <v>41</v>
      </c>
      <c r="E2307" s="3">
        <v>12750000</v>
      </c>
      <c r="F2307" s="1">
        <v>3650.1574577726801</v>
      </c>
      <c r="G2307" s="1">
        <v>7</v>
      </c>
      <c r="H2307" s="1">
        <v>5</v>
      </c>
      <c r="I2307" s="1">
        <v>5</v>
      </c>
      <c r="J2307" s="1">
        <v>0.5</v>
      </c>
      <c r="L2307" s="1">
        <v>1</v>
      </c>
      <c r="M2307" s="4">
        <v>3493</v>
      </c>
      <c r="N2307" s="1">
        <v>3817</v>
      </c>
      <c r="O2307" s="1">
        <v>8741</v>
      </c>
      <c r="P2307" s="1">
        <v>4924</v>
      </c>
      <c r="Q2307" s="1" t="s">
        <v>42</v>
      </c>
      <c r="S2307" s="1" t="s">
        <v>42</v>
      </c>
      <c r="T2307" s="1" t="s">
        <v>273</v>
      </c>
      <c r="V2307" s="5">
        <v>43649</v>
      </c>
      <c r="W2307" s="5">
        <v>42980</v>
      </c>
      <c r="X2307" s="1">
        <v>12750000</v>
      </c>
      <c r="Z2307" s="5">
        <v>42690</v>
      </c>
      <c r="AA2307" s="1">
        <v>12750000</v>
      </c>
      <c r="AB2307" s="1" t="s">
        <v>275</v>
      </c>
      <c r="AC2307" s="5">
        <v>42265</v>
      </c>
      <c r="AF2307" s="1">
        <v>10024</v>
      </c>
      <c r="AI2307" s="1" t="s">
        <v>225</v>
      </c>
      <c r="AJ2307" s="1">
        <v>2017</v>
      </c>
      <c r="AK2307" s="1" t="s">
        <v>108</v>
      </c>
      <c r="AL2307" s="1">
        <v>26</v>
      </c>
    </row>
    <row r="2308" spans="1:38" x14ac:dyDescent="0.2">
      <c r="A2308" s="2" t="str">
        <f>HYPERLINK("https://www.compass.com/listing/150-wooster-street-unit-ph-manhattan-ny-10012/29363171194134177/","150 Wooster St, Unit PH")</f>
        <v>150 Wooster St, Unit PH</v>
      </c>
      <c r="B2308" s="2" t="str">
        <f>HYPERLINK("https://www.compass.com/building/150-wooster-st-manhattan-ny-10012/282065972817334901/","150 Wooster St")</f>
        <v>150 Wooster St</v>
      </c>
      <c r="C2308" s="1" t="s">
        <v>298</v>
      </c>
      <c r="D2308" s="1" t="s">
        <v>41</v>
      </c>
      <c r="E2308" s="3">
        <v>32584000</v>
      </c>
      <c r="F2308" s="1">
        <v>4812.99852289512</v>
      </c>
      <c r="G2308" s="1">
        <v>10</v>
      </c>
      <c r="H2308" s="1">
        <v>4</v>
      </c>
      <c r="I2308" s="1">
        <v>6</v>
      </c>
      <c r="J2308" s="1">
        <v>5.5</v>
      </c>
      <c r="K2308" s="1">
        <v>5</v>
      </c>
      <c r="L2308" s="1">
        <v>1</v>
      </c>
      <c r="M2308" s="4">
        <v>6770</v>
      </c>
      <c r="N2308" s="1">
        <v>10462</v>
      </c>
      <c r="O2308" s="1">
        <v>21466</v>
      </c>
      <c r="P2308" s="1">
        <v>11004</v>
      </c>
      <c r="Q2308" s="1" t="s">
        <v>42</v>
      </c>
      <c r="S2308" s="1" t="s">
        <v>42</v>
      </c>
      <c r="T2308" s="1" t="s">
        <v>273</v>
      </c>
      <c r="V2308" s="5">
        <v>44040</v>
      </c>
      <c r="W2308" s="5">
        <v>43075</v>
      </c>
      <c r="X2308" s="1">
        <v>35000000</v>
      </c>
      <c r="Y2308" s="1">
        <v>35000000</v>
      </c>
      <c r="Z2308" s="5">
        <v>43075</v>
      </c>
      <c r="AA2308" s="1">
        <v>32584000</v>
      </c>
      <c r="AB2308" s="1" t="s">
        <v>1345</v>
      </c>
      <c r="AC2308" s="5">
        <v>43151</v>
      </c>
      <c r="AF2308" s="1">
        <v>10012</v>
      </c>
      <c r="AI2308" s="1" t="s">
        <v>131</v>
      </c>
      <c r="AJ2308" s="1">
        <v>2017</v>
      </c>
      <c r="AK2308" s="1" t="s">
        <v>108</v>
      </c>
      <c r="AL2308" s="1">
        <v>6</v>
      </c>
    </row>
    <row r="2309" spans="1:38" x14ac:dyDescent="0.2">
      <c r="A2309" s="2" t="str">
        <f>HYPERLINK("https://www.compass.com/listing/70-charlton-street-unit-6d-manhattan-ny-10014/29366262647840449/","70 Charlton St, Unit 6D")</f>
        <v>70 Charlton St, Unit 6D</v>
      </c>
      <c r="B2309" s="2" t="str">
        <f t="shared" ref="B2309:B2313" si="378">HYPERLINK("https://www.compass.com/building/70-charlton-street-manhattan-ny/292835639240484293/","70 Charlton Street")</f>
        <v>70 Charlton Street</v>
      </c>
      <c r="C2309" s="1" t="s">
        <v>53</v>
      </c>
      <c r="D2309" s="1" t="s">
        <v>41</v>
      </c>
      <c r="E2309" s="3">
        <v>3313313</v>
      </c>
      <c r="F2309" s="1">
        <v>2031.46106683016</v>
      </c>
      <c r="G2309" s="1">
        <v>5</v>
      </c>
      <c r="H2309" s="1">
        <v>3</v>
      </c>
      <c r="I2309" s="1">
        <v>3</v>
      </c>
      <c r="J2309" s="1">
        <v>3</v>
      </c>
      <c r="M2309" s="4">
        <v>1631</v>
      </c>
      <c r="N2309" s="1">
        <v>3537</v>
      </c>
      <c r="O2309" s="1">
        <v>3537</v>
      </c>
      <c r="Q2309" s="1" t="s">
        <v>505</v>
      </c>
      <c r="S2309" s="1" t="s">
        <v>505</v>
      </c>
      <c r="T2309" s="1" t="s">
        <v>273</v>
      </c>
      <c r="U2309" s="1">
        <v>47</v>
      </c>
      <c r="V2309" s="5">
        <v>43662</v>
      </c>
      <c r="W2309" s="5">
        <v>42763</v>
      </c>
      <c r="X2309" s="1">
        <v>3345000</v>
      </c>
      <c r="Y2309" s="1">
        <v>3345000</v>
      </c>
      <c r="Z2309" s="5">
        <v>42810</v>
      </c>
      <c r="AA2309" s="1">
        <v>3313313</v>
      </c>
      <c r="AB2309" s="1" t="s">
        <v>1346</v>
      </c>
      <c r="AC2309" s="5">
        <v>42899</v>
      </c>
      <c r="AF2309" s="1">
        <v>10014</v>
      </c>
      <c r="AI2309" s="1" t="s">
        <v>80</v>
      </c>
      <c r="AJ2309" s="1">
        <v>2016</v>
      </c>
      <c r="AK2309" s="1" t="s">
        <v>46</v>
      </c>
      <c r="AL2309" s="1">
        <v>92</v>
      </c>
    </row>
    <row r="2310" spans="1:38" x14ac:dyDescent="0.2">
      <c r="A2310" s="2" t="str">
        <f>HYPERLINK("https://www.compass.com/listing/70-charlton-street-unit-20c-manhattan-ny-10014/484701734351421425/","70 Charlton St, Unit 20C")</f>
        <v>70 Charlton St, Unit 20C</v>
      </c>
      <c r="B2310" s="2" t="str">
        <f t="shared" si="378"/>
        <v>70 Charlton Street</v>
      </c>
      <c r="C2310" s="1" t="s">
        <v>53</v>
      </c>
      <c r="D2310" s="1" t="s">
        <v>41</v>
      </c>
      <c r="E2310" s="3">
        <v>3168325</v>
      </c>
      <c r="F2310" s="1">
        <v>1781.96006749156</v>
      </c>
      <c r="G2310" s="1">
        <v>5</v>
      </c>
      <c r="H2310" s="1">
        <v>3</v>
      </c>
      <c r="I2310" s="1">
        <v>3</v>
      </c>
      <c r="J2310" s="1">
        <v>3</v>
      </c>
      <c r="K2310" s="1">
        <v>3</v>
      </c>
      <c r="M2310" s="4">
        <v>1778</v>
      </c>
      <c r="N2310" s="1">
        <v>4364</v>
      </c>
      <c r="O2310" s="1">
        <v>4364</v>
      </c>
      <c r="Q2310" s="1" t="s">
        <v>505</v>
      </c>
      <c r="S2310" s="1" t="s">
        <v>505</v>
      </c>
      <c r="T2310" s="1" t="s">
        <v>273</v>
      </c>
      <c r="U2310" s="1">
        <v>240</v>
      </c>
      <c r="V2310" s="5">
        <v>44303</v>
      </c>
      <c r="W2310" s="5">
        <v>43921</v>
      </c>
      <c r="X2310" s="1">
        <v>3910000</v>
      </c>
      <c r="Y2310" s="1">
        <v>3910000</v>
      </c>
      <c r="Z2310" s="5">
        <v>44245</v>
      </c>
      <c r="AA2310" s="1">
        <v>3168325</v>
      </c>
      <c r="AB2310" s="1" t="s">
        <v>1347</v>
      </c>
      <c r="AC2310" s="5">
        <v>44301</v>
      </c>
      <c r="AF2310" s="1">
        <v>10014</v>
      </c>
      <c r="AI2310" s="1" t="s">
        <v>80</v>
      </c>
      <c r="AJ2310" s="1">
        <v>2016</v>
      </c>
      <c r="AK2310" s="1" t="s">
        <v>46</v>
      </c>
      <c r="AL2310" s="1">
        <v>92</v>
      </c>
    </row>
    <row r="2311" spans="1:38" x14ac:dyDescent="0.2">
      <c r="A2311" s="2" t="str">
        <f>HYPERLINK("https://www.compass.com/listing/70-charlton-street-unit-5d-manhattan-ny-10014/29366248286502561/","70 Charlton St, Unit 5D")</f>
        <v>70 Charlton St, Unit 5D</v>
      </c>
      <c r="B2311" s="2" t="str">
        <f t="shared" si="378"/>
        <v>70 Charlton Street</v>
      </c>
      <c r="C2311" s="1" t="s">
        <v>53</v>
      </c>
      <c r="D2311" s="1" t="s">
        <v>41</v>
      </c>
      <c r="E2311" s="3">
        <v>3258480</v>
      </c>
      <c r="F2311" s="1">
        <v>1997.8418148375199</v>
      </c>
      <c r="G2311" s="1">
        <v>5</v>
      </c>
      <c r="H2311" s="1">
        <v>3</v>
      </c>
      <c r="I2311" s="1">
        <v>3</v>
      </c>
      <c r="J2311" s="1">
        <v>3</v>
      </c>
      <c r="M2311" s="4">
        <v>1631</v>
      </c>
      <c r="N2311" s="1">
        <v>3506</v>
      </c>
      <c r="O2311" s="1">
        <v>3506</v>
      </c>
      <c r="Q2311" s="1" t="s">
        <v>505</v>
      </c>
      <c r="S2311" s="1" t="s">
        <v>505</v>
      </c>
      <c r="T2311" s="1" t="s">
        <v>273</v>
      </c>
      <c r="U2311" s="1">
        <v>13</v>
      </c>
      <c r="V2311" s="5">
        <v>43677</v>
      </c>
      <c r="W2311" s="5">
        <v>42797</v>
      </c>
      <c r="X2311" s="1">
        <v>3295000</v>
      </c>
      <c r="Y2311" s="1">
        <v>3295000</v>
      </c>
      <c r="Z2311" s="5">
        <v>42810</v>
      </c>
      <c r="AA2311" s="1">
        <v>3258480</v>
      </c>
      <c r="AB2311" s="1" t="s">
        <v>1348</v>
      </c>
      <c r="AC2311" s="5">
        <v>42892</v>
      </c>
      <c r="AF2311" s="1">
        <v>10014</v>
      </c>
      <c r="AI2311" s="1" t="s">
        <v>80</v>
      </c>
      <c r="AJ2311" s="1">
        <v>2016</v>
      </c>
      <c r="AK2311" s="1" t="s">
        <v>46</v>
      </c>
      <c r="AL2311" s="1">
        <v>92</v>
      </c>
    </row>
    <row r="2312" spans="1:38" x14ac:dyDescent="0.2">
      <c r="A2312" s="2" t="str">
        <f>HYPERLINK("https://www.compass.com/listing/70-charlton-street-unit-15a-manhattan-ny-10014/29517509250016721/","70 Charlton St, Unit 15A")</f>
        <v>70 Charlton St, Unit 15A</v>
      </c>
      <c r="B2312" s="2" t="str">
        <f t="shared" si="378"/>
        <v>70 Charlton Street</v>
      </c>
      <c r="C2312" s="1" t="s">
        <v>53</v>
      </c>
      <c r="D2312" s="1" t="s">
        <v>41</v>
      </c>
      <c r="E2312" s="3">
        <v>4331563</v>
      </c>
      <c r="F2312" s="1">
        <v>2139.0434567901202</v>
      </c>
      <c r="G2312" s="1">
        <v>7</v>
      </c>
      <c r="H2312" s="1">
        <v>4</v>
      </c>
      <c r="I2312" s="1">
        <v>3</v>
      </c>
      <c r="J2312" s="1">
        <v>3</v>
      </c>
      <c r="M2312" s="4">
        <v>2025</v>
      </c>
      <c r="N2312" s="1">
        <v>4939</v>
      </c>
      <c r="O2312" s="1">
        <v>4939</v>
      </c>
      <c r="Q2312" s="1" t="s">
        <v>505</v>
      </c>
      <c r="S2312" s="1" t="s">
        <v>505</v>
      </c>
      <c r="T2312" s="1" t="s">
        <v>273</v>
      </c>
      <c r="V2312" s="5">
        <v>43640</v>
      </c>
      <c r="W2312" s="5">
        <v>43243</v>
      </c>
      <c r="X2312" s="1">
        <v>4950000</v>
      </c>
      <c r="Y2312" s="1">
        <v>4950000</v>
      </c>
      <c r="Z2312" s="5">
        <v>43243</v>
      </c>
      <c r="AA2312" s="1">
        <v>4331563</v>
      </c>
      <c r="AB2312" s="1" t="s">
        <v>1349</v>
      </c>
      <c r="AC2312" s="5">
        <v>43256</v>
      </c>
      <c r="AF2312" s="1">
        <v>10014</v>
      </c>
      <c r="AI2312" s="1" t="s">
        <v>319</v>
      </c>
      <c r="AJ2312" s="1">
        <v>2016</v>
      </c>
      <c r="AK2312" s="1" t="s">
        <v>46</v>
      </c>
      <c r="AL2312" s="1">
        <v>92</v>
      </c>
    </row>
    <row r="2313" spans="1:38" x14ac:dyDescent="0.2">
      <c r="A2313" s="2" t="str">
        <f>HYPERLINK("https://www.compass.com/listing/70-charlton-street-unit-11c-manhattan-ny-10014/714419041337844017/","70 Charlton St, Unit 11C")</f>
        <v>70 Charlton St, Unit 11C</v>
      </c>
      <c r="B2313" s="2" t="str">
        <f t="shared" si="378"/>
        <v>70 Charlton Street</v>
      </c>
      <c r="C2313" s="1" t="s">
        <v>53</v>
      </c>
      <c r="D2313" s="1" t="s">
        <v>41</v>
      </c>
      <c r="E2313" s="3">
        <v>2778731</v>
      </c>
      <c r="F2313" s="1">
        <v>2100.3259637188198</v>
      </c>
      <c r="G2313" s="1">
        <v>5</v>
      </c>
      <c r="H2313" s="1">
        <v>2</v>
      </c>
      <c r="I2313" s="1">
        <v>3</v>
      </c>
      <c r="J2313" s="1">
        <v>2.5</v>
      </c>
      <c r="K2313" s="1">
        <v>2</v>
      </c>
      <c r="L2313" s="1">
        <v>1</v>
      </c>
      <c r="M2313" s="4">
        <v>1323</v>
      </c>
      <c r="N2313" s="1">
        <v>2990</v>
      </c>
      <c r="O2313" s="1">
        <v>2990</v>
      </c>
      <c r="Q2313" s="1" t="s">
        <v>505</v>
      </c>
      <c r="S2313" s="1" t="s">
        <v>505</v>
      </c>
      <c r="T2313" s="1" t="s">
        <v>273</v>
      </c>
      <c r="U2313" s="1">
        <v>7</v>
      </c>
      <c r="V2313" s="5">
        <v>44313</v>
      </c>
      <c r="W2313" s="5">
        <v>44238</v>
      </c>
      <c r="X2313" s="1">
        <v>2820000</v>
      </c>
      <c r="Y2313" s="1">
        <v>2820000</v>
      </c>
      <c r="Z2313" s="5">
        <v>44245</v>
      </c>
      <c r="AA2313" s="1">
        <v>2778731.25</v>
      </c>
      <c r="AB2313" s="1" t="s">
        <v>1350</v>
      </c>
      <c r="AC2313" s="5">
        <v>44308</v>
      </c>
      <c r="AF2313" s="1">
        <v>10014</v>
      </c>
      <c r="AI2313" s="1" t="s">
        <v>80</v>
      </c>
      <c r="AJ2313" s="1">
        <v>2016</v>
      </c>
      <c r="AK2313" s="1" t="s">
        <v>46</v>
      </c>
      <c r="AL2313" s="1">
        <v>92</v>
      </c>
    </row>
    <row r="2314" spans="1:38" x14ac:dyDescent="0.2">
      <c r="A2314" s="2" t="str">
        <f>HYPERLINK("https://www.compass.com/listing/221-west-77th-street-unit-16-manhattan-ny-10024/8743034330041473/","221 W 77th St, Unit 16")</f>
        <v>221 W 77th St, Unit 16</v>
      </c>
      <c r="B2314" s="2" t="str">
        <f>HYPERLINK("https://www.compass.com/building/221-west-77th-street-manhattan-ny/292869344491294229/","221 West 77th Street")</f>
        <v>221 West 77th Street</v>
      </c>
      <c r="C2314" s="1" t="s">
        <v>57</v>
      </c>
      <c r="D2314" s="1" t="s">
        <v>41</v>
      </c>
      <c r="E2314" s="3">
        <v>10350000</v>
      </c>
      <c r="F2314" s="1">
        <v>3136.3636363636301</v>
      </c>
      <c r="G2314" s="1">
        <v>8</v>
      </c>
      <c r="H2314" s="1">
        <v>5</v>
      </c>
      <c r="I2314" s="1">
        <v>5</v>
      </c>
      <c r="J2314" s="1">
        <v>0.5</v>
      </c>
      <c r="L2314" s="1">
        <v>1</v>
      </c>
      <c r="M2314" s="4">
        <v>3300</v>
      </c>
      <c r="N2314" s="1">
        <v>3326</v>
      </c>
      <c r="O2314" s="1">
        <v>7617</v>
      </c>
      <c r="P2314" s="1">
        <v>4291</v>
      </c>
      <c r="Q2314" s="1" t="s">
        <v>42</v>
      </c>
      <c r="S2314" s="1" t="s">
        <v>42</v>
      </c>
      <c r="T2314" s="1" t="s">
        <v>273</v>
      </c>
      <c r="U2314" s="1">
        <v>147</v>
      </c>
      <c r="V2314" s="5">
        <v>43649</v>
      </c>
      <c r="W2314" s="5">
        <v>42524</v>
      </c>
      <c r="X2314" s="1">
        <v>10350000</v>
      </c>
      <c r="Y2314" s="1">
        <v>10350000</v>
      </c>
      <c r="Z2314" s="5">
        <v>42671</v>
      </c>
      <c r="AA2314" s="1">
        <v>10350000</v>
      </c>
      <c r="AB2314" s="1" t="s">
        <v>275</v>
      </c>
      <c r="AC2314" s="5">
        <v>42993</v>
      </c>
      <c r="AF2314" s="1">
        <v>10024</v>
      </c>
      <c r="AI2314" s="1" t="s">
        <v>225</v>
      </c>
      <c r="AJ2314" s="1">
        <v>2017</v>
      </c>
      <c r="AK2314" s="1" t="s">
        <v>108</v>
      </c>
      <c r="AL2314" s="1">
        <v>26</v>
      </c>
    </row>
    <row r="2315" spans="1:38" x14ac:dyDescent="0.2">
      <c r="A2315" s="2" t="str">
        <f>HYPERLINK("https://www.compass.com/listing/70-charlton-street-unit-9d-manhattan-ny-10014/644211535700814393/","70 Charlton St, Unit 9D")</f>
        <v>70 Charlton St, Unit 9D</v>
      </c>
      <c r="B2315" s="2" t="str">
        <f t="shared" ref="B2315:B2323" si="379">HYPERLINK("https://www.compass.com/building/70-charlton-street-manhattan-ny/292835639240484293/","70 Charlton Street")</f>
        <v>70 Charlton Street</v>
      </c>
      <c r="C2315" s="1" t="s">
        <v>53</v>
      </c>
      <c r="D2315" s="1" t="s">
        <v>41</v>
      </c>
      <c r="E2315" s="3">
        <v>2804188</v>
      </c>
      <c r="F2315" s="1">
        <v>1719.3056407112199</v>
      </c>
      <c r="G2315" s="1">
        <v>5</v>
      </c>
      <c r="H2315" s="1">
        <v>3</v>
      </c>
      <c r="I2315" s="1">
        <v>3</v>
      </c>
      <c r="J2315" s="1">
        <v>3</v>
      </c>
      <c r="K2315" s="1">
        <v>3</v>
      </c>
      <c r="M2315" s="4">
        <v>1631</v>
      </c>
      <c r="N2315" s="1">
        <v>3631</v>
      </c>
      <c r="O2315" s="1">
        <v>3631</v>
      </c>
      <c r="Q2315" s="1" t="s">
        <v>505</v>
      </c>
      <c r="S2315" s="1" t="s">
        <v>505</v>
      </c>
      <c r="T2315" s="1" t="s">
        <v>273</v>
      </c>
      <c r="U2315" s="1">
        <v>162</v>
      </c>
      <c r="V2315" s="5">
        <v>44355</v>
      </c>
      <c r="W2315" s="5">
        <v>44141</v>
      </c>
      <c r="X2315" s="1">
        <v>2395000</v>
      </c>
      <c r="Y2315" s="1">
        <v>2395000</v>
      </c>
      <c r="Z2315" s="5">
        <v>44303</v>
      </c>
      <c r="AA2315" s="1">
        <v>2804187.5</v>
      </c>
      <c r="AB2315" s="1" t="s">
        <v>1351</v>
      </c>
      <c r="AC2315" s="5">
        <v>44336</v>
      </c>
      <c r="AF2315" s="1">
        <v>10014</v>
      </c>
      <c r="AI2315" s="1" t="s">
        <v>80</v>
      </c>
      <c r="AJ2315" s="1">
        <v>2016</v>
      </c>
      <c r="AK2315" s="1" t="s">
        <v>46</v>
      </c>
      <c r="AL2315" s="1">
        <v>92</v>
      </c>
    </row>
    <row r="2316" spans="1:38" x14ac:dyDescent="0.2">
      <c r="A2316" s="2" t="str">
        <f>HYPERLINK("https://www.compass.com/listing/70-charlton-street-unit-8f-manhattan-ny-10014/29366263511826337/","70 Charlton St, Unit 8F")</f>
        <v>70 Charlton St, Unit 8F</v>
      </c>
      <c r="B2316" s="2" t="str">
        <f t="shared" si="379"/>
        <v>70 Charlton Street</v>
      </c>
      <c r="C2316" s="1" t="s">
        <v>53</v>
      </c>
      <c r="D2316" s="1" t="s">
        <v>41</v>
      </c>
      <c r="E2316" s="3">
        <v>2980000</v>
      </c>
      <c r="F2316" s="1">
        <v>2021.7096336499301</v>
      </c>
      <c r="G2316" s="1">
        <v>4</v>
      </c>
      <c r="H2316" s="1">
        <v>2</v>
      </c>
      <c r="I2316" s="1">
        <v>2</v>
      </c>
      <c r="J2316" s="1">
        <v>2</v>
      </c>
      <c r="M2316" s="4">
        <v>1474</v>
      </c>
      <c r="N2316" s="1">
        <v>3269</v>
      </c>
      <c r="O2316" s="1">
        <v>3269</v>
      </c>
      <c r="Q2316" s="1" t="s">
        <v>505</v>
      </c>
      <c r="S2316" s="1" t="s">
        <v>505</v>
      </c>
      <c r="T2316" s="1" t="s">
        <v>273</v>
      </c>
      <c r="U2316" s="1">
        <v>36</v>
      </c>
      <c r="V2316" s="5">
        <v>43677</v>
      </c>
      <c r="W2316" s="5">
        <v>42776</v>
      </c>
      <c r="X2316" s="1">
        <v>2980000</v>
      </c>
      <c r="Y2316" s="1">
        <v>2980000</v>
      </c>
      <c r="Z2316" s="5">
        <v>42812</v>
      </c>
      <c r="AA2316" s="1">
        <v>2980000</v>
      </c>
      <c r="AB2316" s="1" t="s">
        <v>1352</v>
      </c>
      <c r="AC2316" s="5">
        <v>42933</v>
      </c>
      <c r="AF2316" s="1">
        <v>10014</v>
      </c>
      <c r="AI2316" s="1" t="s">
        <v>80</v>
      </c>
      <c r="AJ2316" s="1">
        <v>2016</v>
      </c>
      <c r="AK2316" s="1" t="s">
        <v>46</v>
      </c>
      <c r="AL2316" s="1">
        <v>92</v>
      </c>
    </row>
    <row r="2317" spans="1:38" x14ac:dyDescent="0.2">
      <c r="A2317" s="2" t="str">
        <f>HYPERLINK("https://www.compass.com/listing/70-charlton-street-unit-5c-manhattan-ny-10014/192575443101108657/","70 Charlton St, Unit 5C")</f>
        <v>70 Charlton St, Unit 5C</v>
      </c>
      <c r="B2317" s="2" t="str">
        <f t="shared" si="379"/>
        <v>70 Charlton Street</v>
      </c>
      <c r="C2317" s="1" t="s">
        <v>53</v>
      </c>
      <c r="D2317" s="1" t="s">
        <v>41</v>
      </c>
      <c r="E2317" s="3">
        <v>2538424</v>
      </c>
      <c r="F2317" s="1">
        <v>1918.68783068783</v>
      </c>
      <c r="G2317" s="1">
        <v>4</v>
      </c>
      <c r="H2317" s="1">
        <v>2</v>
      </c>
      <c r="I2317" s="1">
        <v>3</v>
      </c>
      <c r="J2317" s="1">
        <v>2.5</v>
      </c>
      <c r="M2317" s="4">
        <v>1323</v>
      </c>
      <c r="N2317" s="1">
        <v>2835</v>
      </c>
      <c r="O2317" s="1">
        <v>2835</v>
      </c>
      <c r="Q2317" s="1" t="s">
        <v>158</v>
      </c>
      <c r="S2317" s="1" t="s">
        <v>158</v>
      </c>
      <c r="T2317" s="1" t="s">
        <v>273</v>
      </c>
      <c r="U2317" s="1">
        <v>89</v>
      </c>
      <c r="V2317" s="5">
        <v>43662</v>
      </c>
      <c r="W2317" s="5">
        <v>42383</v>
      </c>
      <c r="X2317" s="1">
        <v>2620000</v>
      </c>
      <c r="Y2317" s="1">
        <v>2620000</v>
      </c>
      <c r="Z2317" s="5">
        <v>42665</v>
      </c>
      <c r="AA2317" s="1">
        <v>2538424</v>
      </c>
      <c r="AB2317" s="1" t="s">
        <v>1353</v>
      </c>
      <c r="AC2317" s="5">
        <v>42767</v>
      </c>
      <c r="AF2317" s="1">
        <v>10014</v>
      </c>
      <c r="AI2317" s="1" t="s">
        <v>80</v>
      </c>
      <c r="AJ2317" s="1">
        <v>2016</v>
      </c>
      <c r="AK2317" s="1" t="s">
        <v>46</v>
      </c>
      <c r="AL2317" s="1">
        <v>92</v>
      </c>
    </row>
    <row r="2318" spans="1:38" x14ac:dyDescent="0.2">
      <c r="A2318" s="2" t="str">
        <f>HYPERLINK("https://www.compass.com/listing/70-charlton-street-unit-14a-manhattan-ny-10014/29366253604920881/","70 Charlton St, Unit 14A")</f>
        <v>70 Charlton St, Unit 14A</v>
      </c>
      <c r="B2318" s="2" t="str">
        <f t="shared" si="379"/>
        <v>70 Charlton Street</v>
      </c>
      <c r="C2318" s="1" t="s">
        <v>53</v>
      </c>
      <c r="D2318" s="1" t="s">
        <v>41</v>
      </c>
      <c r="E2318" s="3">
        <v>2885648</v>
      </c>
      <c r="F2318" s="1">
        <v>1918.6489361702099</v>
      </c>
      <c r="G2318" s="1">
        <v>5</v>
      </c>
      <c r="H2318" s="1">
        <v>3</v>
      </c>
      <c r="I2318" s="1">
        <v>2</v>
      </c>
      <c r="J2318" s="1">
        <v>2</v>
      </c>
      <c r="M2318" s="4">
        <v>1504</v>
      </c>
      <c r="N2318" s="1">
        <v>3506</v>
      </c>
      <c r="O2318" s="1">
        <v>3506</v>
      </c>
      <c r="Q2318" s="1" t="s">
        <v>505</v>
      </c>
      <c r="S2318" s="1" t="s">
        <v>505</v>
      </c>
      <c r="T2318" s="1" t="s">
        <v>273</v>
      </c>
      <c r="V2318" s="5">
        <v>43668</v>
      </c>
      <c r="W2318" s="5">
        <v>42768</v>
      </c>
      <c r="X2318" s="1">
        <v>2830000</v>
      </c>
      <c r="Y2318" s="1">
        <v>2830000</v>
      </c>
      <c r="Z2318" s="5">
        <v>42768</v>
      </c>
      <c r="AA2318" s="1">
        <v>2885648</v>
      </c>
      <c r="AB2318" s="1" t="s">
        <v>1354</v>
      </c>
      <c r="AC2318" s="5">
        <v>42959</v>
      </c>
      <c r="AF2318" s="1">
        <v>10014</v>
      </c>
      <c r="AI2318" s="1" t="s">
        <v>80</v>
      </c>
      <c r="AJ2318" s="1">
        <v>2016</v>
      </c>
      <c r="AK2318" s="1" t="s">
        <v>46</v>
      </c>
      <c r="AL2318" s="1">
        <v>92</v>
      </c>
    </row>
    <row r="2319" spans="1:38" x14ac:dyDescent="0.2">
      <c r="A2319" s="2" t="str">
        <f>HYPERLINK("https://www.compass.com/listing/70-charlton-street-unit-11a-manhattan-ny-10014/29366258268986993/","70 Charlton St, Unit 11A")</f>
        <v>70 Charlton St, Unit 11A</v>
      </c>
      <c r="B2319" s="2" t="str">
        <f t="shared" si="379"/>
        <v>70 Charlton Street</v>
      </c>
      <c r="C2319" s="1" t="s">
        <v>53</v>
      </c>
      <c r="D2319" s="1" t="s">
        <v>41</v>
      </c>
      <c r="E2319" s="3">
        <v>2722728</v>
      </c>
      <c r="F2319" s="1">
        <v>1810.3244680851001</v>
      </c>
      <c r="G2319" s="1">
        <v>5</v>
      </c>
      <c r="H2319" s="1">
        <v>3</v>
      </c>
      <c r="I2319" s="1">
        <v>2</v>
      </c>
      <c r="J2319" s="1">
        <v>2</v>
      </c>
      <c r="M2319" s="4">
        <v>1504</v>
      </c>
      <c r="N2319" s="1">
        <v>3415</v>
      </c>
      <c r="O2319" s="1">
        <v>3415</v>
      </c>
      <c r="Q2319" s="1" t="s">
        <v>505</v>
      </c>
      <c r="S2319" s="1" t="s">
        <v>505</v>
      </c>
      <c r="T2319" s="1" t="s">
        <v>273</v>
      </c>
      <c r="V2319" s="5">
        <v>43664</v>
      </c>
      <c r="W2319" s="5">
        <v>42768</v>
      </c>
      <c r="X2319" s="1">
        <v>2670000</v>
      </c>
      <c r="Y2319" s="1">
        <v>2670000</v>
      </c>
      <c r="Z2319" s="5">
        <v>42768</v>
      </c>
      <c r="AA2319" s="1">
        <v>2722728</v>
      </c>
      <c r="AB2319" s="1" t="s">
        <v>1355</v>
      </c>
      <c r="AC2319" s="5">
        <v>42854</v>
      </c>
      <c r="AF2319" s="1">
        <v>10014</v>
      </c>
      <c r="AI2319" s="1" t="s">
        <v>80</v>
      </c>
      <c r="AJ2319" s="1">
        <v>2016</v>
      </c>
      <c r="AK2319" s="1" t="s">
        <v>46</v>
      </c>
      <c r="AL2319" s="1">
        <v>92</v>
      </c>
    </row>
    <row r="2320" spans="1:38" x14ac:dyDescent="0.2">
      <c r="A2320" s="2" t="str">
        <f>HYPERLINK("https://www.compass.com/listing/70-charlton-street-unit-12a-manhattan-ny-10014/29366258923257697/","70 Charlton St, Unit 12A")</f>
        <v>70 Charlton St, Unit 12A</v>
      </c>
      <c r="B2320" s="2" t="str">
        <f t="shared" si="379"/>
        <v>70 Charlton Street</v>
      </c>
      <c r="C2320" s="1" t="s">
        <v>53</v>
      </c>
      <c r="D2320" s="1" t="s">
        <v>41</v>
      </c>
      <c r="E2320" s="3">
        <v>2753275</v>
      </c>
      <c r="F2320" s="1">
        <v>1830.6349734042501</v>
      </c>
      <c r="G2320" s="1">
        <v>5</v>
      </c>
      <c r="H2320" s="1">
        <v>3</v>
      </c>
      <c r="I2320" s="1">
        <v>2</v>
      </c>
      <c r="J2320" s="1">
        <v>2</v>
      </c>
      <c r="M2320" s="4">
        <v>1504</v>
      </c>
      <c r="N2320" s="1">
        <v>3445</v>
      </c>
      <c r="O2320" s="1">
        <v>3445</v>
      </c>
      <c r="Q2320" s="1" t="s">
        <v>505</v>
      </c>
      <c r="S2320" s="1" t="s">
        <v>505</v>
      </c>
      <c r="T2320" s="1" t="s">
        <v>273</v>
      </c>
      <c r="V2320" s="5">
        <v>43663</v>
      </c>
      <c r="W2320" s="5">
        <v>42768</v>
      </c>
      <c r="X2320" s="1">
        <v>2700000</v>
      </c>
      <c r="Y2320" s="1">
        <v>2700000</v>
      </c>
      <c r="Z2320" s="5">
        <v>42768</v>
      </c>
      <c r="AA2320" s="1">
        <v>2753275</v>
      </c>
      <c r="AB2320" s="1" t="s">
        <v>1356</v>
      </c>
      <c r="AC2320" s="5">
        <v>42824</v>
      </c>
      <c r="AF2320" s="1">
        <v>10014</v>
      </c>
      <c r="AI2320" s="1" t="s">
        <v>80</v>
      </c>
      <c r="AJ2320" s="1">
        <v>2016</v>
      </c>
      <c r="AK2320" s="1" t="s">
        <v>46</v>
      </c>
      <c r="AL2320" s="1">
        <v>92</v>
      </c>
    </row>
    <row r="2321" spans="1:38" x14ac:dyDescent="0.2">
      <c r="A2321" s="2" t="str">
        <f>HYPERLINK("https://www.compass.com/listing/70-charlton-street-unit-10f-manhattan-ny-10014/29366261439880881/","70 Charlton St, Unit 10F")</f>
        <v>70 Charlton St, Unit 10F</v>
      </c>
      <c r="B2321" s="2" t="str">
        <f t="shared" si="379"/>
        <v>70 Charlton Street</v>
      </c>
      <c r="C2321" s="1" t="s">
        <v>53</v>
      </c>
      <c r="D2321" s="1" t="s">
        <v>41</v>
      </c>
      <c r="E2321" s="3">
        <v>2804188</v>
      </c>
      <c r="F2321" s="1">
        <v>1902.4338534599699</v>
      </c>
      <c r="G2321" s="1">
        <v>3</v>
      </c>
      <c r="H2321" s="1">
        <v>2</v>
      </c>
      <c r="I2321" s="1">
        <v>2</v>
      </c>
      <c r="J2321" s="1">
        <v>2</v>
      </c>
      <c r="M2321" s="4">
        <v>1474</v>
      </c>
      <c r="N2321" s="1">
        <v>3292</v>
      </c>
      <c r="O2321" s="1">
        <v>3292</v>
      </c>
      <c r="Q2321" s="1" t="s">
        <v>158</v>
      </c>
      <c r="S2321" s="1" t="s">
        <v>158</v>
      </c>
      <c r="T2321" s="1" t="s">
        <v>273</v>
      </c>
      <c r="U2321" s="1">
        <v>9</v>
      </c>
      <c r="V2321" s="5">
        <v>43217</v>
      </c>
      <c r="W2321" s="5">
        <v>43162</v>
      </c>
      <c r="X2321" s="1">
        <v>3040000</v>
      </c>
      <c r="Y2321" s="1">
        <v>3040000</v>
      </c>
      <c r="Z2321" s="5">
        <v>43172</v>
      </c>
      <c r="AA2321" s="1">
        <v>2804187.5</v>
      </c>
      <c r="AB2321" s="1" t="s">
        <v>1357</v>
      </c>
      <c r="AC2321" s="5">
        <v>43213</v>
      </c>
      <c r="AF2321" s="1">
        <v>10014</v>
      </c>
      <c r="AI2321" s="1" t="s">
        <v>80</v>
      </c>
      <c r="AJ2321" s="1">
        <v>2016</v>
      </c>
      <c r="AK2321" s="1" t="s">
        <v>46</v>
      </c>
      <c r="AL2321" s="1">
        <v>92</v>
      </c>
    </row>
    <row r="2322" spans="1:38" x14ac:dyDescent="0.2">
      <c r="A2322" s="2" t="str">
        <f>HYPERLINK("https://www.compass.com/listing/70-charlton-street-unit-4c-manhattan-ny-10014/29366262245146513/","70 Charlton St, Unit 4C")</f>
        <v>70 Charlton St, Unit 4C</v>
      </c>
      <c r="B2322" s="2" t="str">
        <f t="shared" si="379"/>
        <v>70 Charlton Street</v>
      </c>
      <c r="C2322" s="1" t="s">
        <v>53</v>
      </c>
      <c r="D2322" s="1" t="s">
        <v>41</v>
      </c>
      <c r="E2322" s="3">
        <v>2529000</v>
      </c>
      <c r="F2322" s="1">
        <v>1911.56462585034</v>
      </c>
      <c r="G2322" s="1">
        <v>4</v>
      </c>
      <c r="H2322" s="1">
        <v>2</v>
      </c>
      <c r="I2322" s="1">
        <v>3</v>
      </c>
      <c r="J2322" s="1">
        <v>2.5</v>
      </c>
      <c r="M2322" s="4">
        <v>1323</v>
      </c>
      <c r="N2322" s="1">
        <v>2805</v>
      </c>
      <c r="O2322" s="1">
        <v>2805</v>
      </c>
      <c r="Q2322" s="1" t="s">
        <v>505</v>
      </c>
      <c r="S2322" s="1" t="s">
        <v>505</v>
      </c>
      <c r="T2322" s="1" t="s">
        <v>273</v>
      </c>
      <c r="V2322" s="5">
        <v>43663</v>
      </c>
      <c r="W2322" s="5">
        <v>42768</v>
      </c>
      <c r="X2322" s="1">
        <v>2580000</v>
      </c>
      <c r="Y2322" s="1">
        <v>2580000</v>
      </c>
      <c r="Z2322" s="5">
        <v>42768</v>
      </c>
      <c r="AA2322" s="1">
        <v>2529000</v>
      </c>
      <c r="AB2322" s="1" t="s">
        <v>1358</v>
      </c>
      <c r="AC2322" s="5">
        <v>42795</v>
      </c>
      <c r="AF2322" s="1">
        <v>10014</v>
      </c>
      <c r="AI2322" s="1" t="s">
        <v>80</v>
      </c>
      <c r="AJ2322" s="1">
        <v>2016</v>
      </c>
      <c r="AK2322" s="1" t="s">
        <v>46</v>
      </c>
      <c r="AL2322" s="1">
        <v>92</v>
      </c>
    </row>
    <row r="2323" spans="1:38" x14ac:dyDescent="0.2">
      <c r="A2323" s="2" t="str">
        <f>HYPERLINK("https://www.compass.com/listing/70-charlton-street-unit-16a-manhattan-ny-10014/29366252816398449/","70 Charlton St, Unit 16A")</f>
        <v>70 Charlton St, Unit 16A</v>
      </c>
      <c r="B2323" s="2" t="str">
        <f t="shared" si="379"/>
        <v>70 Charlton Street</v>
      </c>
      <c r="C2323" s="1" t="s">
        <v>53</v>
      </c>
      <c r="D2323" s="1" t="s">
        <v>41</v>
      </c>
      <c r="E2323" s="3">
        <v>3669700</v>
      </c>
      <c r="F2323" s="1">
        <v>2262.4537607891398</v>
      </c>
      <c r="G2323" s="1">
        <v>4</v>
      </c>
      <c r="H2323" s="1">
        <v>2</v>
      </c>
      <c r="I2323" s="1">
        <v>3</v>
      </c>
      <c r="J2323" s="1">
        <v>2.5</v>
      </c>
      <c r="M2323" s="4">
        <v>1622</v>
      </c>
      <c r="N2323" s="1">
        <v>4085</v>
      </c>
      <c r="O2323" s="1">
        <v>4085</v>
      </c>
      <c r="Q2323" s="1" t="s">
        <v>505</v>
      </c>
      <c r="S2323" s="1" t="s">
        <v>505</v>
      </c>
      <c r="T2323" s="1" t="s">
        <v>273</v>
      </c>
      <c r="V2323" s="5">
        <v>43668</v>
      </c>
      <c r="W2323" s="5">
        <v>42768</v>
      </c>
      <c r="X2323" s="1">
        <v>3600000</v>
      </c>
      <c r="Y2323" s="1">
        <v>3600000</v>
      </c>
      <c r="Z2323" s="5">
        <v>42768</v>
      </c>
      <c r="AA2323" s="1">
        <v>3669700</v>
      </c>
      <c r="AB2323" s="1" t="s">
        <v>1359</v>
      </c>
      <c r="AC2323" s="5">
        <v>42969</v>
      </c>
      <c r="AF2323" s="1">
        <v>10014</v>
      </c>
      <c r="AI2323" s="1" t="s">
        <v>319</v>
      </c>
      <c r="AJ2323" s="1">
        <v>2016</v>
      </c>
      <c r="AK2323" s="1" t="s">
        <v>46</v>
      </c>
      <c r="AL2323" s="1">
        <v>92</v>
      </c>
    </row>
    <row r="2324" spans="1:38" x14ac:dyDescent="0.2">
      <c r="A2324" s="2" t="str">
        <f>HYPERLINK("https://www.compass.com/listing/230-east-20th-street-unit-34-manhattan-ny-10003/29514968063896689/","230 E 20th St, Unit 34")</f>
        <v>230 E 20th St, Unit 34</v>
      </c>
      <c r="B2324" s="2" t="str">
        <f t="shared" ref="B2324:B2332" si="380">HYPERLINK("https://www.compass.com/building/the-modern-at-gramercy-square-manhattan-ny/282059330264532517/","The Modern at Gramercy Square")</f>
        <v>The Modern at Gramercy Square</v>
      </c>
      <c r="C2324" s="1" t="s">
        <v>64</v>
      </c>
      <c r="D2324" s="1" t="s">
        <v>41</v>
      </c>
      <c r="E2324" s="3">
        <v>2204511</v>
      </c>
      <c r="F2324" s="1">
        <v>2215.58894472361</v>
      </c>
      <c r="G2324" s="1">
        <v>4</v>
      </c>
      <c r="H2324" s="1">
        <v>2</v>
      </c>
      <c r="I2324" s="1">
        <v>2</v>
      </c>
      <c r="J2324" s="1">
        <v>2</v>
      </c>
      <c r="M2324" s="1">
        <v>995</v>
      </c>
      <c r="N2324" s="1">
        <v>1129</v>
      </c>
      <c r="O2324" s="1">
        <v>2560</v>
      </c>
      <c r="P2324" s="1">
        <v>1431</v>
      </c>
      <c r="Q2324" s="1" t="s">
        <v>42</v>
      </c>
      <c r="S2324" s="1" t="s">
        <v>42</v>
      </c>
      <c r="T2324" s="1" t="s">
        <v>273</v>
      </c>
      <c r="U2324" s="1">
        <v>1</v>
      </c>
      <c r="V2324" s="5">
        <v>43647</v>
      </c>
      <c r="W2324" s="5">
        <v>43005</v>
      </c>
      <c r="X2324" s="1">
        <v>2165000</v>
      </c>
      <c r="Y2324" s="1">
        <v>2240000</v>
      </c>
      <c r="Z2324" s="5">
        <v>43006</v>
      </c>
      <c r="AA2324" s="1">
        <v>2204511</v>
      </c>
      <c r="AB2324" s="1" t="s">
        <v>1360</v>
      </c>
      <c r="AC2324" s="5">
        <v>43342</v>
      </c>
      <c r="AF2324" s="1">
        <v>10003</v>
      </c>
      <c r="AI2324" s="1" t="s">
        <v>65</v>
      </c>
      <c r="AJ2324" s="1">
        <v>2016</v>
      </c>
      <c r="AK2324" s="1" t="s">
        <v>49</v>
      </c>
      <c r="AL2324" s="1">
        <v>37</v>
      </c>
    </row>
    <row r="2325" spans="1:38" x14ac:dyDescent="0.2">
      <c r="A2325" s="2" t="str">
        <f>HYPERLINK("https://www.compass.com/listing/230-east-20th-street-unit-45-manhattan-ny-10003/29514968390984161/","230 E 20th St, Unit 45")</f>
        <v>230 E 20th St, Unit 45</v>
      </c>
      <c r="B2325" s="2" t="str">
        <f t="shared" si="380"/>
        <v>The Modern at Gramercy Square</v>
      </c>
      <c r="C2325" s="1" t="s">
        <v>64</v>
      </c>
      <c r="D2325" s="1" t="s">
        <v>41</v>
      </c>
      <c r="E2325" s="3">
        <v>1445000</v>
      </c>
      <c r="F2325" s="1">
        <v>1979.4520547945201</v>
      </c>
      <c r="G2325" s="1">
        <v>3</v>
      </c>
      <c r="H2325" s="1">
        <v>1</v>
      </c>
      <c r="I2325" s="1">
        <v>1</v>
      </c>
      <c r="J2325" s="1">
        <v>1</v>
      </c>
      <c r="K2325" s="1">
        <v>1</v>
      </c>
      <c r="M2325" s="1">
        <v>730</v>
      </c>
      <c r="N2325" s="1">
        <v>829</v>
      </c>
      <c r="O2325" s="1">
        <v>1879</v>
      </c>
      <c r="P2325" s="1">
        <v>1050</v>
      </c>
      <c r="Q2325" s="1" t="s">
        <v>42</v>
      </c>
      <c r="S2325" s="1" t="s">
        <v>42</v>
      </c>
      <c r="T2325" s="1" t="s">
        <v>273</v>
      </c>
      <c r="U2325" s="1">
        <v>2</v>
      </c>
      <c r="V2325" s="5">
        <v>43757</v>
      </c>
      <c r="W2325" s="5">
        <v>43003</v>
      </c>
      <c r="X2325" s="1">
        <v>1445000</v>
      </c>
      <c r="Y2325" s="1">
        <v>1475000</v>
      </c>
      <c r="Z2325" s="5">
        <v>43005</v>
      </c>
      <c r="AA2325" s="1">
        <v>1445000</v>
      </c>
      <c r="AB2325" s="1" t="s">
        <v>275</v>
      </c>
      <c r="AC2325" s="5">
        <v>43349</v>
      </c>
      <c r="AF2325" s="1">
        <v>10003</v>
      </c>
      <c r="AI2325" s="1" t="s">
        <v>65</v>
      </c>
      <c r="AJ2325" s="1">
        <v>2016</v>
      </c>
      <c r="AK2325" s="1" t="s">
        <v>49</v>
      </c>
      <c r="AL2325" s="1">
        <v>37</v>
      </c>
    </row>
    <row r="2326" spans="1:38" x14ac:dyDescent="0.2">
      <c r="A2326" s="2" t="str">
        <f>HYPERLINK("https://www.compass.com/listing/230-east-20th-street-unit-56-manhattan-ny-10003/29514968986643601/","230 E 20th St, Unit 56")</f>
        <v>230 E 20th St, Unit 56</v>
      </c>
      <c r="B2326" s="2" t="str">
        <f t="shared" si="380"/>
        <v>The Modern at Gramercy Square</v>
      </c>
      <c r="C2326" s="1" t="s">
        <v>64</v>
      </c>
      <c r="D2326" s="1" t="s">
        <v>41</v>
      </c>
      <c r="E2326" s="3">
        <v>1520000</v>
      </c>
      <c r="F2326" s="1">
        <v>1895.26184538653</v>
      </c>
      <c r="G2326" s="1">
        <v>3</v>
      </c>
      <c r="H2326" s="1">
        <v>1</v>
      </c>
      <c r="I2326" s="1">
        <v>1</v>
      </c>
      <c r="J2326" s="1">
        <v>1</v>
      </c>
      <c r="M2326" s="1">
        <v>802</v>
      </c>
      <c r="N2326" s="1">
        <v>911</v>
      </c>
      <c r="O2326" s="1">
        <v>2064</v>
      </c>
      <c r="P2326" s="1">
        <v>1153</v>
      </c>
      <c r="Q2326" s="1" t="s">
        <v>42</v>
      </c>
      <c r="S2326" s="1" t="s">
        <v>42</v>
      </c>
      <c r="T2326" s="1" t="s">
        <v>273</v>
      </c>
      <c r="U2326" s="1">
        <v>1</v>
      </c>
      <c r="V2326" s="5">
        <v>43648</v>
      </c>
      <c r="W2326" s="5">
        <v>43005</v>
      </c>
      <c r="X2326" s="1">
        <v>1490000</v>
      </c>
      <c r="Y2326" s="1">
        <v>1520000</v>
      </c>
      <c r="Z2326" s="5">
        <v>43006</v>
      </c>
      <c r="AA2326" s="1">
        <v>1520000</v>
      </c>
      <c r="AB2326" s="1" t="s">
        <v>275</v>
      </c>
      <c r="AC2326" s="5">
        <v>43375</v>
      </c>
      <c r="AF2326" s="1">
        <v>10003</v>
      </c>
      <c r="AI2326" s="1" t="s">
        <v>65</v>
      </c>
      <c r="AJ2326" s="1">
        <v>2016</v>
      </c>
      <c r="AK2326" s="1" t="s">
        <v>49</v>
      </c>
      <c r="AL2326" s="1">
        <v>37</v>
      </c>
    </row>
    <row r="2327" spans="1:38" x14ac:dyDescent="0.2">
      <c r="A2327" s="2" t="str">
        <f>HYPERLINK("https://www.compass.com/listing/230-east-20th-street-unit-22-manhattan-ny-10003/29514969657691249/","230 E 20th St, Unit 22")</f>
        <v>230 E 20th St, Unit 22</v>
      </c>
      <c r="B2327" s="2" t="str">
        <f t="shared" si="380"/>
        <v>The Modern at Gramercy Square</v>
      </c>
      <c r="C2327" s="1" t="s">
        <v>64</v>
      </c>
      <c r="D2327" s="1" t="s">
        <v>41</v>
      </c>
      <c r="E2327" s="3">
        <v>1330000</v>
      </c>
      <c r="F2327" s="1">
        <v>1935.9534206695701</v>
      </c>
      <c r="G2327" s="1">
        <v>3</v>
      </c>
      <c r="H2327" s="1">
        <v>1</v>
      </c>
      <c r="I2327" s="1">
        <v>1</v>
      </c>
      <c r="J2327" s="1">
        <v>1</v>
      </c>
      <c r="K2327" s="1">
        <v>1</v>
      </c>
      <c r="M2327" s="1">
        <v>687</v>
      </c>
      <c r="N2327" s="1">
        <v>780</v>
      </c>
      <c r="O2327" s="1">
        <v>1768</v>
      </c>
      <c r="P2327" s="1">
        <v>988</v>
      </c>
      <c r="Q2327" s="1" t="s">
        <v>42</v>
      </c>
      <c r="S2327" s="1" t="s">
        <v>42</v>
      </c>
      <c r="T2327" s="1" t="s">
        <v>273</v>
      </c>
      <c r="U2327" s="1">
        <v>1</v>
      </c>
      <c r="V2327" s="5">
        <v>43648</v>
      </c>
      <c r="W2327" s="5">
        <v>43005</v>
      </c>
      <c r="X2327" s="1">
        <v>1300000</v>
      </c>
      <c r="Y2327" s="1">
        <v>1330000</v>
      </c>
      <c r="Z2327" s="5">
        <v>43006</v>
      </c>
      <c r="AA2327" s="1">
        <v>1330000</v>
      </c>
      <c r="AB2327" s="1" t="s">
        <v>275</v>
      </c>
      <c r="AC2327" s="5">
        <v>43476</v>
      </c>
      <c r="AF2327" s="1">
        <v>10003</v>
      </c>
      <c r="AI2327" s="1" t="s">
        <v>65</v>
      </c>
      <c r="AJ2327" s="1">
        <v>2016</v>
      </c>
      <c r="AK2327" s="1" t="s">
        <v>49</v>
      </c>
      <c r="AL2327" s="1">
        <v>37</v>
      </c>
    </row>
    <row r="2328" spans="1:38" x14ac:dyDescent="0.2">
      <c r="A2328" s="2" t="str">
        <f>HYPERLINK("https://www.compass.com/listing/230-east-20th-street-unit-52-manhattan-ny-10003/29514970219700769/","230 E 20th St, Unit 52")</f>
        <v>230 E 20th St, Unit 52</v>
      </c>
      <c r="B2328" s="2" t="str">
        <f t="shared" si="380"/>
        <v>The Modern at Gramercy Square</v>
      </c>
      <c r="C2328" s="1" t="s">
        <v>64</v>
      </c>
      <c r="D2328" s="1" t="s">
        <v>41</v>
      </c>
      <c r="E2328" s="3">
        <v>1375000</v>
      </c>
      <c r="F2328" s="1">
        <v>2001.45560407569</v>
      </c>
      <c r="G2328" s="1">
        <v>3</v>
      </c>
      <c r="H2328" s="1">
        <v>1</v>
      </c>
      <c r="I2328" s="1">
        <v>1</v>
      </c>
      <c r="J2328" s="1">
        <v>1</v>
      </c>
      <c r="M2328" s="1">
        <v>687</v>
      </c>
      <c r="N2328" s="1">
        <v>780</v>
      </c>
      <c r="O2328" s="1">
        <v>1768</v>
      </c>
      <c r="P2328" s="1">
        <v>988</v>
      </c>
      <c r="Q2328" s="1" t="s">
        <v>42</v>
      </c>
      <c r="S2328" s="1" t="s">
        <v>42</v>
      </c>
      <c r="T2328" s="1" t="s">
        <v>273</v>
      </c>
      <c r="U2328" s="1">
        <v>1</v>
      </c>
      <c r="V2328" s="5">
        <v>43647</v>
      </c>
      <c r="W2328" s="5">
        <v>43005</v>
      </c>
      <c r="X2328" s="1">
        <v>1375000</v>
      </c>
      <c r="Y2328" s="1">
        <v>1405000</v>
      </c>
      <c r="Z2328" s="5">
        <v>43006</v>
      </c>
      <c r="AA2328" s="1">
        <v>1375000</v>
      </c>
      <c r="AB2328" s="1" t="s">
        <v>275</v>
      </c>
      <c r="AC2328" s="5">
        <v>43358</v>
      </c>
      <c r="AF2328" s="1">
        <v>10003</v>
      </c>
      <c r="AI2328" s="1" t="s">
        <v>65</v>
      </c>
      <c r="AJ2328" s="1">
        <v>2016</v>
      </c>
      <c r="AK2328" s="1" t="s">
        <v>49</v>
      </c>
      <c r="AL2328" s="1">
        <v>37</v>
      </c>
    </row>
    <row r="2329" spans="1:38" x14ac:dyDescent="0.2">
      <c r="A2329" s="2" t="str">
        <f>HYPERLINK("https://www.compass.com/listing/230-east-20th-street-unit-13-manhattan-ny-10003/29514970563660929/","230 E 20th St, Unit 13")</f>
        <v>230 E 20th St, Unit 13</v>
      </c>
      <c r="B2329" s="2" t="str">
        <f t="shared" si="380"/>
        <v>The Modern at Gramercy Square</v>
      </c>
      <c r="C2329" s="1" t="s">
        <v>64</v>
      </c>
      <c r="D2329" s="1" t="s">
        <v>41</v>
      </c>
      <c r="E2329" s="3">
        <v>1395000</v>
      </c>
      <c r="F2329" s="1">
        <v>1981.5340909090901</v>
      </c>
      <c r="G2329" s="1">
        <v>3</v>
      </c>
      <c r="H2329" s="1">
        <v>1</v>
      </c>
      <c r="I2329" s="1">
        <v>1</v>
      </c>
      <c r="J2329" s="1">
        <v>1</v>
      </c>
      <c r="K2329" s="1">
        <v>1</v>
      </c>
      <c r="M2329" s="1">
        <v>704</v>
      </c>
      <c r="N2329" s="1">
        <v>834</v>
      </c>
      <c r="O2329" s="1">
        <v>1891</v>
      </c>
      <c r="P2329" s="1">
        <v>1057</v>
      </c>
      <c r="Q2329" s="1" t="s">
        <v>42</v>
      </c>
      <c r="S2329" s="1" t="s">
        <v>42</v>
      </c>
      <c r="T2329" s="1" t="s">
        <v>273</v>
      </c>
      <c r="U2329" s="1">
        <v>199</v>
      </c>
      <c r="V2329" s="5">
        <v>44383</v>
      </c>
      <c r="W2329" s="5">
        <v>43008</v>
      </c>
      <c r="X2329" s="1">
        <v>1410000</v>
      </c>
      <c r="Y2329" s="1">
        <v>1410000</v>
      </c>
      <c r="Z2329" s="5">
        <v>43207</v>
      </c>
      <c r="AA2329" s="1">
        <v>1395000</v>
      </c>
      <c r="AB2329" s="1" t="s">
        <v>275</v>
      </c>
      <c r="AC2329" s="5">
        <v>43490</v>
      </c>
      <c r="AF2329" s="1">
        <v>10003</v>
      </c>
      <c r="AI2329" s="1" t="s">
        <v>159</v>
      </c>
      <c r="AJ2329" s="1">
        <v>2016</v>
      </c>
      <c r="AK2329" s="1" t="s">
        <v>49</v>
      </c>
      <c r="AL2329" s="1">
        <v>37</v>
      </c>
    </row>
    <row r="2330" spans="1:38" x14ac:dyDescent="0.2">
      <c r="A2330" s="2" t="str">
        <f>HYPERLINK("https://www.compass.com/listing/230-east-20th-street-unit-46-manhattan-ny-10003/40569578690042401/","230 E 20th St, Unit 46")</f>
        <v>230 E 20th St, Unit 46</v>
      </c>
      <c r="B2330" s="2" t="str">
        <f t="shared" si="380"/>
        <v>The Modern at Gramercy Square</v>
      </c>
      <c r="C2330" s="1" t="s">
        <v>64</v>
      </c>
      <c r="D2330" s="1" t="s">
        <v>41</v>
      </c>
      <c r="E2330" s="3">
        <v>1495000</v>
      </c>
      <c r="F2330" s="1">
        <v>1864.0897755610899</v>
      </c>
      <c r="G2330" s="1">
        <v>3</v>
      </c>
      <c r="H2330" s="1">
        <v>1</v>
      </c>
      <c r="I2330" s="1">
        <v>1</v>
      </c>
      <c r="J2330" s="1">
        <v>1</v>
      </c>
      <c r="M2330" s="1">
        <v>802</v>
      </c>
      <c r="N2330" s="1">
        <v>910</v>
      </c>
      <c r="O2330" s="1">
        <v>2063</v>
      </c>
      <c r="P2330" s="1">
        <v>1153</v>
      </c>
      <c r="Q2330" s="1" t="s">
        <v>42</v>
      </c>
      <c r="S2330" s="1" t="s">
        <v>42</v>
      </c>
      <c r="T2330" s="1" t="s">
        <v>273</v>
      </c>
      <c r="U2330" s="1">
        <v>1172</v>
      </c>
      <c r="V2330" s="5">
        <v>43375</v>
      </c>
      <c r="W2330" s="5">
        <v>42135</v>
      </c>
      <c r="X2330" s="1">
        <v>1495000</v>
      </c>
      <c r="Y2330" s="1">
        <v>1495000</v>
      </c>
      <c r="Z2330" s="5">
        <v>43308</v>
      </c>
      <c r="AA2330" s="1">
        <v>1495000</v>
      </c>
      <c r="AB2330" s="1" t="s">
        <v>275</v>
      </c>
      <c r="AC2330" s="5">
        <v>43374</v>
      </c>
      <c r="AF2330" s="1">
        <v>10003</v>
      </c>
      <c r="AI2330" s="1" t="s">
        <v>65</v>
      </c>
      <c r="AJ2330" s="1">
        <v>2016</v>
      </c>
      <c r="AK2330" s="1" t="s">
        <v>49</v>
      </c>
      <c r="AL2330" s="1">
        <v>37</v>
      </c>
    </row>
    <row r="2331" spans="1:38" x14ac:dyDescent="0.2">
      <c r="A2331" s="2" t="str">
        <f>HYPERLINK("https://www.compass.com/listing/230-east-20th-street-unit-32-manhattan-ny-10003/96876654692993809/","230 E 20th St, Unit 32")</f>
        <v>230 E 20th St, Unit 32</v>
      </c>
      <c r="B2331" s="2" t="str">
        <f t="shared" si="380"/>
        <v>The Modern at Gramercy Square</v>
      </c>
      <c r="C2331" s="1" t="s">
        <v>64</v>
      </c>
      <c r="D2331" s="1" t="s">
        <v>41</v>
      </c>
      <c r="E2331" s="3">
        <v>1405000</v>
      </c>
      <c r="F2331" s="1">
        <v>2045.12372634643</v>
      </c>
      <c r="G2331" s="1">
        <v>3</v>
      </c>
      <c r="H2331" s="1">
        <v>1</v>
      </c>
      <c r="I2331" s="1">
        <v>1</v>
      </c>
      <c r="J2331" s="1">
        <v>1</v>
      </c>
      <c r="K2331" s="1">
        <v>1</v>
      </c>
      <c r="M2331" s="1">
        <v>687</v>
      </c>
      <c r="N2331" s="1">
        <v>780</v>
      </c>
      <c r="O2331" s="1">
        <v>1768</v>
      </c>
      <c r="P2331" s="1">
        <v>988</v>
      </c>
      <c r="Q2331" s="1" t="s">
        <v>42</v>
      </c>
      <c r="S2331" s="1" t="s">
        <v>42</v>
      </c>
      <c r="T2331" s="1" t="s">
        <v>273</v>
      </c>
      <c r="V2331" s="5">
        <v>43648</v>
      </c>
      <c r="W2331" s="5">
        <v>43385</v>
      </c>
      <c r="X2331" s="1">
        <v>1405000</v>
      </c>
      <c r="Y2331" s="1">
        <v>1405000</v>
      </c>
      <c r="Z2331" s="5">
        <v>43385</v>
      </c>
      <c r="AA2331" s="1">
        <v>1405000</v>
      </c>
      <c r="AB2331" s="1" t="s">
        <v>275</v>
      </c>
      <c r="AC2331" s="5">
        <v>43462</v>
      </c>
      <c r="AF2331" s="1">
        <v>10003</v>
      </c>
      <c r="AI2331" s="1" t="s">
        <v>65</v>
      </c>
      <c r="AJ2331" s="1">
        <v>2016</v>
      </c>
      <c r="AK2331" s="1" t="s">
        <v>49</v>
      </c>
      <c r="AL2331" s="1">
        <v>37</v>
      </c>
    </row>
    <row r="2332" spans="1:38" x14ac:dyDescent="0.2">
      <c r="A2332" s="2" t="str">
        <f>HYPERLINK("https://www.compass.com/listing/230-east-20th-street-unit-15-manhattan-ny-10003/99927579284330017/","230 E 20th St, Unit 15")</f>
        <v>230 E 20th St, Unit 15</v>
      </c>
      <c r="B2332" s="2" t="str">
        <f t="shared" si="380"/>
        <v>The Modern at Gramercy Square</v>
      </c>
      <c r="C2332" s="1" t="s">
        <v>64</v>
      </c>
      <c r="D2332" s="1" t="s">
        <v>41</v>
      </c>
      <c r="E2332" s="3">
        <v>1495000</v>
      </c>
      <c r="F2332" s="1">
        <v>2042.3497267759501</v>
      </c>
      <c r="G2332" s="1">
        <v>3</v>
      </c>
      <c r="H2332" s="1">
        <v>1</v>
      </c>
      <c r="I2332" s="1">
        <v>1</v>
      </c>
      <c r="J2332" s="1">
        <v>1</v>
      </c>
      <c r="K2332" s="1">
        <v>1</v>
      </c>
      <c r="M2332" s="1">
        <v>732</v>
      </c>
      <c r="N2332" s="1">
        <v>927</v>
      </c>
      <c r="O2332" s="1">
        <v>2101</v>
      </c>
      <c r="P2332" s="1">
        <v>1174</v>
      </c>
      <c r="Q2332" s="1" t="s">
        <v>42</v>
      </c>
      <c r="S2332" s="1" t="s">
        <v>42</v>
      </c>
      <c r="T2332" s="1" t="s">
        <v>273</v>
      </c>
      <c r="V2332" s="5">
        <v>43648</v>
      </c>
      <c r="W2332" s="5">
        <v>43390</v>
      </c>
      <c r="X2332" s="1">
        <v>1525000</v>
      </c>
      <c r="Y2332" s="1">
        <v>1525000</v>
      </c>
      <c r="Z2332" s="5">
        <v>43390</v>
      </c>
      <c r="AA2332" s="1">
        <v>1495000</v>
      </c>
      <c r="AB2332" s="1" t="s">
        <v>275</v>
      </c>
      <c r="AC2332" s="5">
        <v>43585</v>
      </c>
      <c r="AF2332" s="1">
        <v>10003</v>
      </c>
      <c r="AI2332" s="1" t="s">
        <v>243</v>
      </c>
      <c r="AJ2332" s="1">
        <v>2016</v>
      </c>
      <c r="AK2332" s="1" t="s">
        <v>49</v>
      </c>
      <c r="AL2332" s="1">
        <v>37</v>
      </c>
    </row>
    <row r="2333" spans="1:38" x14ac:dyDescent="0.2">
      <c r="A2333" s="2" t="str">
        <f>HYPERLINK("https://www.compass.com/listing/498-west-end-avenue-unit-2b-manhattan-ny-10024/29400623518598193/","498 W End Ave, Unit 2B")</f>
        <v>498 W End Ave, Unit 2B</v>
      </c>
      <c r="B2333" s="2" t="str">
        <f t="shared" ref="B2333:B2334" si="381">HYPERLINK("https://www.compass.com/building/498-w-end-ave-manhattan-ny-10024/281925430842268789/","498 W End Ave")</f>
        <v>498 W End Ave</v>
      </c>
      <c r="C2333" s="1" t="s">
        <v>57</v>
      </c>
      <c r="D2333" s="1" t="s">
        <v>41</v>
      </c>
      <c r="E2333" s="3">
        <v>3940628</v>
      </c>
      <c r="F2333" s="1">
        <v>1850.9290746829399</v>
      </c>
      <c r="G2333" s="1">
        <v>5</v>
      </c>
      <c r="H2333" s="1">
        <v>3</v>
      </c>
      <c r="I2333" s="1">
        <v>3</v>
      </c>
      <c r="J2333" s="1">
        <v>3</v>
      </c>
      <c r="M2333" s="4">
        <v>2129</v>
      </c>
      <c r="N2333" s="1">
        <v>1603</v>
      </c>
      <c r="O2333" s="1">
        <v>2755</v>
      </c>
      <c r="P2333" s="1">
        <v>1152</v>
      </c>
      <c r="Q2333" s="1" t="s">
        <v>42</v>
      </c>
      <c r="S2333" s="1" t="s">
        <v>42</v>
      </c>
      <c r="T2333" s="1" t="s">
        <v>273</v>
      </c>
      <c r="V2333" s="5">
        <v>43675</v>
      </c>
      <c r="W2333" s="5">
        <v>41976</v>
      </c>
      <c r="X2333" s="1">
        <v>3850000</v>
      </c>
      <c r="Y2333" s="1">
        <v>3850000</v>
      </c>
      <c r="Z2333" s="5">
        <v>41976</v>
      </c>
      <c r="AA2333" s="1">
        <v>3940628</v>
      </c>
      <c r="AB2333" s="1" t="s">
        <v>1361</v>
      </c>
      <c r="AC2333" s="5">
        <v>42559</v>
      </c>
      <c r="AF2333" s="1">
        <v>10024</v>
      </c>
      <c r="AJ2333" s="1">
        <v>1912</v>
      </c>
      <c r="AK2333" s="1" t="s">
        <v>46</v>
      </c>
      <c r="AL2333" s="1">
        <v>19</v>
      </c>
    </row>
    <row r="2334" spans="1:38" x14ac:dyDescent="0.2">
      <c r="A2334" s="2" t="str">
        <f>HYPERLINK("https://www.compass.com/listing/498-west-end-avenue-unit-10b-manhattan-ny-10024/29400627125699841/","498 W End Ave, Unit 10B")</f>
        <v>498 W End Ave, Unit 10B</v>
      </c>
      <c r="B2334" s="2" t="str">
        <f t="shared" si="381"/>
        <v>498 W End Ave</v>
      </c>
      <c r="C2334" s="1" t="s">
        <v>57</v>
      </c>
      <c r="D2334" s="1" t="s">
        <v>41</v>
      </c>
      <c r="E2334" s="3">
        <v>4347928</v>
      </c>
      <c r="F2334" s="1">
        <v>2035.5468164793999</v>
      </c>
      <c r="G2334" s="1">
        <v>5</v>
      </c>
      <c r="H2334" s="1">
        <v>3</v>
      </c>
      <c r="I2334" s="1">
        <v>3</v>
      </c>
      <c r="J2334" s="1">
        <v>3</v>
      </c>
      <c r="M2334" s="4">
        <v>2136</v>
      </c>
      <c r="N2334" s="1">
        <v>1872</v>
      </c>
      <c r="O2334" s="1">
        <v>3217</v>
      </c>
      <c r="P2334" s="1">
        <v>1345</v>
      </c>
      <c r="Q2334" s="1" t="s">
        <v>42</v>
      </c>
      <c r="S2334" s="1" t="s">
        <v>42</v>
      </c>
      <c r="T2334" s="1" t="s">
        <v>273</v>
      </c>
      <c r="U2334" s="1">
        <v>1</v>
      </c>
      <c r="V2334" s="5">
        <v>43636</v>
      </c>
      <c r="W2334" s="5">
        <v>41976</v>
      </c>
      <c r="X2334" s="1">
        <v>4250000</v>
      </c>
      <c r="Y2334" s="1">
        <v>4250000</v>
      </c>
      <c r="Z2334" s="5">
        <v>41977</v>
      </c>
      <c r="AA2334" s="1">
        <v>4347928</v>
      </c>
      <c r="AB2334" s="1" t="s">
        <v>1362</v>
      </c>
      <c r="AC2334" s="5">
        <v>42545</v>
      </c>
      <c r="AF2334" s="1">
        <v>10024</v>
      </c>
      <c r="AJ2334" s="1">
        <v>1912</v>
      </c>
      <c r="AK2334" s="1" t="s">
        <v>46</v>
      </c>
      <c r="AL2334" s="1">
        <v>19</v>
      </c>
    </row>
    <row r="2335" spans="1:38" x14ac:dyDescent="0.2">
      <c r="A2335" s="2" t="str">
        <f>HYPERLINK("https://www.compass.com/listing/70-charlton-street-unit-11d-manhattan-ny-10014/663063621439799569/","70 Charlton St, Unit 11D")</f>
        <v>70 Charlton St, Unit 11D</v>
      </c>
      <c r="B2335" s="2" t="str">
        <f>HYPERLINK("https://www.compass.com/building/70-charlton-street-manhattan-ny/292835639240484293/","70 Charlton Street")</f>
        <v>70 Charlton Street</v>
      </c>
      <c r="C2335" s="1" t="s">
        <v>53</v>
      </c>
      <c r="D2335" s="1" t="s">
        <v>41</v>
      </c>
      <c r="E2335" s="3">
        <v>2906013</v>
      </c>
      <c r="F2335" s="1">
        <v>1781.73666462293</v>
      </c>
      <c r="G2335" s="1">
        <v>6</v>
      </c>
      <c r="H2335" s="1">
        <v>3</v>
      </c>
      <c r="I2335" s="1">
        <v>3</v>
      </c>
      <c r="J2335" s="1">
        <v>3</v>
      </c>
      <c r="K2335" s="1">
        <v>3</v>
      </c>
      <c r="M2335" s="4">
        <v>1631</v>
      </c>
      <c r="N2335" s="1">
        <v>3692</v>
      </c>
      <c r="O2335" s="1">
        <v>3692</v>
      </c>
      <c r="Q2335" s="1" t="s">
        <v>505</v>
      </c>
      <c r="S2335" s="1" t="s">
        <v>505</v>
      </c>
      <c r="T2335" s="1" t="s">
        <v>273</v>
      </c>
      <c r="V2335" s="5">
        <v>44288</v>
      </c>
      <c r="W2335" s="5">
        <v>44167</v>
      </c>
      <c r="X2335" s="1">
        <v>3585000</v>
      </c>
      <c r="Y2335" s="1">
        <v>3585000</v>
      </c>
      <c r="Z2335" s="5">
        <v>44167</v>
      </c>
      <c r="AA2335" s="1">
        <v>2906012.5</v>
      </c>
      <c r="AB2335" s="1" t="s">
        <v>1363</v>
      </c>
      <c r="AC2335" s="5">
        <v>44278</v>
      </c>
      <c r="AF2335" s="1">
        <v>10014</v>
      </c>
      <c r="AI2335" s="1" t="s">
        <v>80</v>
      </c>
      <c r="AJ2335" s="1">
        <v>2016</v>
      </c>
      <c r="AK2335" s="1" t="s">
        <v>46</v>
      </c>
      <c r="AL2335" s="1">
        <v>92</v>
      </c>
    </row>
    <row r="2336" spans="1:38" x14ac:dyDescent="0.2">
      <c r="A2336" s="2" t="str">
        <f>HYPERLINK("https://www.compass.com/listing/45-great-jones-street-unit-3-manhattan-ny-10012/29363627685425409/","45 Great Jones St, Unit 3")</f>
        <v>45 Great Jones St, Unit 3</v>
      </c>
      <c r="B2336" s="2" t="str">
        <f t="shared" ref="B2336:B2337" si="382">HYPERLINK("https://www.compass.com/building/45-great-jones-st-manhattan-ny-10012/281915142155826213/","45 Great Jones St")</f>
        <v>45 Great Jones St</v>
      </c>
      <c r="C2336" s="1" t="s">
        <v>953</v>
      </c>
      <c r="D2336" s="1" t="s">
        <v>41</v>
      </c>
      <c r="E2336" s="3">
        <v>2925000</v>
      </c>
      <c r="F2336" s="1">
        <v>1852.4382520582601</v>
      </c>
      <c r="G2336" s="1">
        <v>5</v>
      </c>
      <c r="H2336" s="1">
        <v>2</v>
      </c>
      <c r="I2336" s="1">
        <v>2</v>
      </c>
      <c r="J2336" s="1">
        <v>2</v>
      </c>
      <c r="M2336" s="4">
        <v>1579</v>
      </c>
      <c r="N2336" s="1">
        <v>2786</v>
      </c>
      <c r="O2336" s="1">
        <v>5677</v>
      </c>
      <c r="Q2336" s="1" t="s">
        <v>505</v>
      </c>
      <c r="S2336" s="1" t="s">
        <v>505</v>
      </c>
      <c r="T2336" s="1" t="s">
        <v>273</v>
      </c>
      <c r="U2336" s="1">
        <v>132</v>
      </c>
      <c r="V2336" s="5">
        <v>43682</v>
      </c>
      <c r="W2336" s="5">
        <v>41997</v>
      </c>
      <c r="X2336" s="1">
        <v>2925000</v>
      </c>
      <c r="Y2336" s="1">
        <v>2925000</v>
      </c>
      <c r="Z2336" s="5">
        <v>42129</v>
      </c>
      <c r="AA2336" s="1">
        <v>2925000</v>
      </c>
      <c r="AB2336" s="1" t="s">
        <v>1364</v>
      </c>
      <c r="AC2336" s="5">
        <v>42321</v>
      </c>
      <c r="AF2336" s="1">
        <v>10012</v>
      </c>
      <c r="AI2336" s="1" t="s">
        <v>231</v>
      </c>
      <c r="AJ2336" s="1">
        <v>2014</v>
      </c>
      <c r="AL2336" s="1">
        <v>5</v>
      </c>
    </row>
    <row r="2337" spans="1:38" x14ac:dyDescent="0.2">
      <c r="A2337" s="2" t="str">
        <f>HYPERLINK("https://www.compass.com/listing/45-great-jones-street-unit-2-manhattan-ny-10012/29363628574617873/","45 Great Jones St, Unit 2")</f>
        <v>45 Great Jones St, Unit 2</v>
      </c>
      <c r="B2337" s="2" t="str">
        <f t="shared" si="382"/>
        <v>45 Great Jones St</v>
      </c>
      <c r="C2337" s="1" t="s">
        <v>953</v>
      </c>
      <c r="D2337" s="1" t="s">
        <v>41</v>
      </c>
      <c r="E2337" s="3">
        <v>3100000</v>
      </c>
      <c r="F2337" s="1">
        <v>1963.26789107029</v>
      </c>
      <c r="G2337" s="1">
        <v>3.5</v>
      </c>
      <c r="H2337" s="1">
        <v>2</v>
      </c>
      <c r="I2337" s="1">
        <v>2</v>
      </c>
      <c r="J2337" s="1">
        <v>2</v>
      </c>
      <c r="M2337" s="4">
        <v>1579</v>
      </c>
      <c r="N2337" s="1">
        <v>2838</v>
      </c>
      <c r="O2337" s="1">
        <v>5783</v>
      </c>
      <c r="Q2337" s="1" t="s">
        <v>505</v>
      </c>
      <c r="S2337" s="1" t="s">
        <v>505</v>
      </c>
      <c r="T2337" s="1" t="s">
        <v>273</v>
      </c>
      <c r="V2337" s="5">
        <v>43606</v>
      </c>
      <c r="W2337" s="5">
        <v>42096</v>
      </c>
      <c r="X2337" s="1">
        <v>3100000</v>
      </c>
      <c r="Y2337" s="1">
        <v>3100000</v>
      </c>
      <c r="Z2337" s="5">
        <v>42097</v>
      </c>
      <c r="AA2337" s="1">
        <v>3100000</v>
      </c>
      <c r="AB2337" s="1" t="s">
        <v>1365</v>
      </c>
      <c r="AC2337" s="5">
        <v>42293</v>
      </c>
      <c r="AF2337" s="1">
        <v>10012</v>
      </c>
      <c r="AI2337" s="1" t="s">
        <v>1366</v>
      </c>
      <c r="AJ2337" s="1">
        <v>2014</v>
      </c>
      <c r="AL2337" s="1">
        <v>5</v>
      </c>
    </row>
    <row r="2338" spans="1:38" x14ac:dyDescent="0.2">
      <c r="A2338" s="2" t="str">
        <f>HYPERLINK("https://www.compass.com/listing/70-charlton-street-unit-6f-manhattan-ny-10014/246154673579451217/","70 Charlton St, Unit 6F")</f>
        <v>70 Charlton St, Unit 6F</v>
      </c>
      <c r="B2338" s="2" t="str">
        <f t="shared" ref="B2338:B2344" si="383">HYPERLINK("https://www.compass.com/building/70-charlton-street-manhattan-ny/292835639240484293/","70 Charlton Street")</f>
        <v>70 Charlton Street</v>
      </c>
      <c r="C2338" s="1" t="s">
        <v>53</v>
      </c>
      <c r="D2338" s="1" t="s">
        <v>41</v>
      </c>
      <c r="E2338" s="3">
        <v>2702363</v>
      </c>
      <c r="F2338" s="1">
        <v>1833.3531207598301</v>
      </c>
      <c r="G2338" s="1">
        <v>5</v>
      </c>
      <c r="H2338" s="1">
        <v>2</v>
      </c>
      <c r="I2338" s="1">
        <v>2</v>
      </c>
      <c r="J2338" s="1">
        <v>2</v>
      </c>
      <c r="K2338" s="1">
        <v>2</v>
      </c>
      <c r="M2338" s="4">
        <v>1474</v>
      </c>
      <c r="N2338" s="1">
        <v>3171</v>
      </c>
      <c r="O2338" s="1">
        <v>3298</v>
      </c>
      <c r="Q2338" s="1" t="s">
        <v>505</v>
      </c>
      <c r="S2338" s="1" t="s">
        <v>505</v>
      </c>
      <c r="T2338" s="1" t="s">
        <v>273</v>
      </c>
      <c r="V2338" s="5">
        <v>43615</v>
      </c>
      <c r="W2338" s="5">
        <v>43591</v>
      </c>
      <c r="X2338" s="1">
        <v>2725000</v>
      </c>
      <c r="Y2338" s="1">
        <v>2725000</v>
      </c>
      <c r="Z2338" s="5">
        <v>43591</v>
      </c>
      <c r="AA2338" s="1">
        <v>2702362.5</v>
      </c>
      <c r="AB2338" s="1" t="s">
        <v>1367</v>
      </c>
      <c r="AC2338" s="5">
        <v>43614</v>
      </c>
      <c r="AF2338" s="1">
        <v>10014</v>
      </c>
      <c r="AI2338" s="1" t="s">
        <v>80</v>
      </c>
      <c r="AJ2338" s="1">
        <v>2016</v>
      </c>
      <c r="AK2338" s="1" t="s">
        <v>46</v>
      </c>
      <c r="AL2338" s="1">
        <v>92</v>
      </c>
    </row>
    <row r="2339" spans="1:38" x14ac:dyDescent="0.2">
      <c r="A2339" s="2" t="str">
        <f>HYPERLINK("https://www.compass.com/listing/70-charlton-street-unit-12c-manhattan-ny-10014/405625357316074609/","70 Charlton St, Unit 12C")</f>
        <v>70 Charlton St, Unit 12C</v>
      </c>
      <c r="B2339" s="2" t="str">
        <f t="shared" si="383"/>
        <v>70 Charlton Street</v>
      </c>
      <c r="C2339" s="1" t="s">
        <v>53</v>
      </c>
      <c r="D2339" s="1" t="s">
        <v>41</v>
      </c>
      <c r="E2339" s="3">
        <v>2595672</v>
      </c>
      <c r="F2339" s="1">
        <v>1961.9591836734601</v>
      </c>
      <c r="G2339" s="1">
        <v>4</v>
      </c>
      <c r="H2339" s="1">
        <v>2</v>
      </c>
      <c r="I2339" s="1">
        <v>3</v>
      </c>
      <c r="J2339" s="1">
        <v>2.5</v>
      </c>
      <c r="K2339" s="1">
        <v>2</v>
      </c>
      <c r="L2339" s="1">
        <v>1</v>
      </c>
      <c r="M2339" s="4">
        <v>1323</v>
      </c>
      <c r="N2339" s="1">
        <v>2898</v>
      </c>
      <c r="O2339" s="1">
        <v>2898</v>
      </c>
      <c r="Q2339" s="1" t="s">
        <v>505</v>
      </c>
      <c r="S2339" s="1" t="s">
        <v>505</v>
      </c>
      <c r="T2339" s="1" t="s">
        <v>273</v>
      </c>
      <c r="U2339" s="1">
        <v>154</v>
      </c>
      <c r="V2339" s="5">
        <v>43908</v>
      </c>
      <c r="W2339" s="5">
        <v>43525</v>
      </c>
      <c r="X2339" s="1">
        <v>2920000</v>
      </c>
      <c r="Y2339" s="1">
        <v>2920000</v>
      </c>
      <c r="Z2339" s="5">
        <v>43812</v>
      </c>
      <c r="AA2339" s="1">
        <v>2595672</v>
      </c>
      <c r="AB2339" s="1" t="s">
        <v>1368</v>
      </c>
      <c r="AC2339" s="5">
        <v>43869</v>
      </c>
      <c r="AF2339" s="1">
        <v>10014</v>
      </c>
      <c r="AI2339" s="1" t="s">
        <v>80</v>
      </c>
      <c r="AJ2339" s="1">
        <v>2016</v>
      </c>
      <c r="AK2339" s="1" t="s">
        <v>46</v>
      </c>
      <c r="AL2339" s="1">
        <v>92</v>
      </c>
    </row>
    <row r="2340" spans="1:38" x14ac:dyDescent="0.2">
      <c r="A2340" s="2" t="str">
        <f>HYPERLINK("https://www.compass.com/listing/70-charlton-street-unit-11d-manhattan-ny-10014/803311039076858033/","70 Charlton St, Unit 11D")</f>
        <v>70 Charlton St, Unit 11D</v>
      </c>
      <c r="B2340" s="2" t="str">
        <f t="shared" si="383"/>
        <v>70 Charlton Street</v>
      </c>
      <c r="C2340" s="1" t="s">
        <v>53</v>
      </c>
      <c r="D2340" s="1" t="s">
        <v>41</v>
      </c>
      <c r="E2340" s="3">
        <v>2906013</v>
      </c>
      <c r="F2340" s="1">
        <v>1781.73666462293</v>
      </c>
      <c r="G2340" s="1">
        <v>6</v>
      </c>
      <c r="H2340" s="1">
        <v>3</v>
      </c>
      <c r="I2340" s="1">
        <v>3</v>
      </c>
      <c r="J2340" s="1">
        <v>3</v>
      </c>
      <c r="K2340" s="1">
        <v>3</v>
      </c>
      <c r="M2340" s="4">
        <v>1631</v>
      </c>
      <c r="N2340" s="1">
        <v>3541</v>
      </c>
      <c r="O2340" s="1">
        <v>3541</v>
      </c>
      <c r="Q2340" s="1" t="s">
        <v>158</v>
      </c>
      <c r="S2340" s="1" t="s">
        <v>505</v>
      </c>
      <c r="T2340" s="1" t="s">
        <v>273</v>
      </c>
      <c r="U2340" s="1">
        <v>274</v>
      </c>
      <c r="V2340" s="5">
        <v>44064</v>
      </c>
      <c r="W2340" s="5">
        <v>43985</v>
      </c>
      <c r="X2340" s="1">
        <v>3585000</v>
      </c>
      <c r="Y2340" s="1">
        <v>3585000</v>
      </c>
      <c r="AA2340" s="1">
        <v>2906012.5</v>
      </c>
      <c r="AB2340" s="1" t="s">
        <v>1363</v>
      </c>
      <c r="AC2340" s="5">
        <v>44278</v>
      </c>
      <c r="AF2340" s="1">
        <v>10014</v>
      </c>
      <c r="AI2340" s="1" t="s">
        <v>1294</v>
      </c>
      <c r="AJ2340" s="1">
        <v>2016</v>
      </c>
      <c r="AK2340" s="1" t="s">
        <v>46</v>
      </c>
      <c r="AL2340" s="1">
        <v>92</v>
      </c>
    </row>
    <row r="2341" spans="1:38" x14ac:dyDescent="0.2">
      <c r="A2341" s="2" t="str">
        <f>HYPERLINK("https://www.compass.com/listing/70-charlton-street-unit-18c-manhattan-ny-10014/309399431740704385/","70 Charlton St, Unit 18C")</f>
        <v>70 Charlton St, Unit 18C</v>
      </c>
      <c r="B2341" s="2" t="str">
        <f t="shared" si="383"/>
        <v>70 Charlton Street</v>
      </c>
      <c r="C2341" s="1" t="s">
        <v>53</v>
      </c>
      <c r="D2341" s="1" t="s">
        <v>41</v>
      </c>
      <c r="E2341" s="3">
        <v>2997650</v>
      </c>
      <c r="F2341" s="1">
        <v>1685.9673790776101</v>
      </c>
      <c r="G2341" s="1">
        <v>5</v>
      </c>
      <c r="H2341" s="1">
        <v>3</v>
      </c>
      <c r="I2341" s="1">
        <v>3</v>
      </c>
      <c r="J2341" s="1">
        <v>3</v>
      </c>
      <c r="K2341" s="1">
        <v>3</v>
      </c>
      <c r="M2341" s="4">
        <v>1778</v>
      </c>
      <c r="N2341" s="1">
        <v>4268</v>
      </c>
      <c r="O2341" s="1">
        <v>4268</v>
      </c>
      <c r="Q2341" s="1" t="s">
        <v>505</v>
      </c>
      <c r="S2341" s="1" t="s">
        <v>505</v>
      </c>
      <c r="T2341" s="1" t="s">
        <v>273</v>
      </c>
      <c r="U2341" s="1">
        <v>231</v>
      </c>
      <c r="V2341" s="5">
        <v>44005</v>
      </c>
      <c r="W2341" s="5">
        <v>43679</v>
      </c>
      <c r="X2341" s="1">
        <v>3590000</v>
      </c>
      <c r="Y2341" s="1">
        <v>3590000</v>
      </c>
      <c r="Z2341" s="5">
        <v>43939</v>
      </c>
      <c r="AA2341" s="1">
        <v>2997650</v>
      </c>
      <c r="AB2341" s="1" t="s">
        <v>1369</v>
      </c>
      <c r="AC2341" s="5">
        <v>43998</v>
      </c>
      <c r="AF2341" s="1">
        <v>10014</v>
      </c>
      <c r="AI2341" s="1" t="s">
        <v>80</v>
      </c>
      <c r="AJ2341" s="1">
        <v>2016</v>
      </c>
      <c r="AK2341" s="1" t="s">
        <v>46</v>
      </c>
      <c r="AL2341" s="1">
        <v>92</v>
      </c>
    </row>
    <row r="2342" spans="1:38" x14ac:dyDescent="0.2">
      <c r="A2342" s="2" t="str">
        <f>HYPERLINK("https://www.compass.com/listing/70-charlton-street-unit-17c-manhattan-ny-10014/803373845868378625/","70 Charlton St, Unit 17C")</f>
        <v>70 Charlton St, Unit 17C</v>
      </c>
      <c r="B2342" s="2" t="str">
        <f t="shared" si="383"/>
        <v>70 Charlton Street</v>
      </c>
      <c r="C2342" s="1" t="s">
        <v>53</v>
      </c>
      <c r="D2342" s="1" t="s">
        <v>41</v>
      </c>
      <c r="E2342" s="3">
        <v>3578058</v>
      </c>
      <c r="F2342" s="1">
        <v>2012.40579302587</v>
      </c>
      <c r="G2342" s="1">
        <v>6</v>
      </c>
      <c r="H2342" s="1">
        <v>3</v>
      </c>
      <c r="I2342" s="1">
        <v>3</v>
      </c>
      <c r="J2342" s="1">
        <v>3</v>
      </c>
      <c r="K2342" s="1">
        <v>3</v>
      </c>
      <c r="M2342" s="4">
        <v>1778</v>
      </c>
      <c r="N2342" s="1">
        <v>4068</v>
      </c>
      <c r="O2342" s="1">
        <v>4068</v>
      </c>
      <c r="Q2342" s="1" t="s">
        <v>158</v>
      </c>
      <c r="S2342" s="1" t="s">
        <v>158</v>
      </c>
      <c r="T2342" s="1" t="s">
        <v>273</v>
      </c>
      <c r="U2342" s="1">
        <v>23</v>
      </c>
      <c r="V2342" s="5">
        <v>43615</v>
      </c>
      <c r="W2342" s="5">
        <v>43591</v>
      </c>
      <c r="X2342" s="1">
        <v>3560000</v>
      </c>
      <c r="Y2342" s="1">
        <v>3560000</v>
      </c>
      <c r="Z2342" s="5">
        <v>43615</v>
      </c>
      <c r="AA2342" s="1">
        <v>3578057.5</v>
      </c>
      <c r="AB2342" s="1" t="s">
        <v>1012</v>
      </c>
      <c r="AC2342" s="5">
        <v>43643</v>
      </c>
      <c r="AF2342" s="1">
        <v>10014</v>
      </c>
      <c r="AI2342" s="1" t="s">
        <v>80</v>
      </c>
      <c r="AJ2342" s="1">
        <v>2016</v>
      </c>
      <c r="AK2342" s="1" t="s">
        <v>46</v>
      </c>
      <c r="AL2342" s="1">
        <v>92</v>
      </c>
    </row>
    <row r="2343" spans="1:38" x14ac:dyDescent="0.2">
      <c r="A2343" s="2" t="str">
        <f>HYPERLINK("https://www.compass.com/listing/70-charlton-street-unit-3f-manhattan-ny-10014/29366257388189905/","70 Charlton St, Unit 3F")</f>
        <v>70 Charlton St, Unit 3F</v>
      </c>
      <c r="B2343" s="2" t="str">
        <f t="shared" si="383"/>
        <v>70 Charlton Street</v>
      </c>
      <c r="C2343" s="1" t="s">
        <v>53</v>
      </c>
      <c r="D2343" s="1" t="s">
        <v>41</v>
      </c>
      <c r="E2343" s="3">
        <v>2871465</v>
      </c>
      <c r="F2343" s="1">
        <v>1948.0766621438199</v>
      </c>
      <c r="G2343" s="1">
        <v>4</v>
      </c>
      <c r="H2343" s="1">
        <v>2</v>
      </c>
      <c r="I2343" s="1">
        <v>2</v>
      </c>
      <c r="J2343" s="1">
        <v>2</v>
      </c>
      <c r="M2343" s="4">
        <v>1474</v>
      </c>
      <c r="N2343" s="1">
        <v>3110</v>
      </c>
      <c r="O2343" s="1">
        <v>3110</v>
      </c>
      <c r="Q2343" s="1" t="s">
        <v>505</v>
      </c>
      <c r="S2343" s="1" t="s">
        <v>505</v>
      </c>
      <c r="T2343" s="1" t="s">
        <v>273</v>
      </c>
      <c r="V2343" s="5">
        <v>43662</v>
      </c>
      <c r="W2343" s="5">
        <v>42768</v>
      </c>
      <c r="X2343" s="1">
        <v>2820000</v>
      </c>
      <c r="Y2343" s="1">
        <v>2820000</v>
      </c>
      <c r="Z2343" s="5">
        <v>42768</v>
      </c>
      <c r="AA2343" s="1">
        <v>2871465</v>
      </c>
      <c r="AB2343" s="1" t="s">
        <v>1370</v>
      </c>
      <c r="AC2343" s="5">
        <v>42859</v>
      </c>
      <c r="AF2343" s="1">
        <v>10014</v>
      </c>
      <c r="AI2343" s="1" t="s">
        <v>80</v>
      </c>
      <c r="AJ2343" s="1">
        <v>2016</v>
      </c>
      <c r="AK2343" s="1" t="s">
        <v>46</v>
      </c>
      <c r="AL2343" s="1">
        <v>92</v>
      </c>
    </row>
    <row r="2344" spans="1:38" x14ac:dyDescent="0.2">
      <c r="A2344" s="2" t="str">
        <f>HYPERLINK("https://www.compass.com/listing/70-charlton-street-unit-phc-manhattan-ny-10014/29366250408820449/","70 Charlton St, Unit PHC")</f>
        <v>70 Charlton St, Unit PHC</v>
      </c>
      <c r="B2344" s="2" t="str">
        <f t="shared" si="383"/>
        <v>70 Charlton Street</v>
      </c>
      <c r="C2344" s="1" t="s">
        <v>53</v>
      </c>
      <c r="D2344" s="1" t="s">
        <v>41</v>
      </c>
      <c r="E2344" s="3">
        <v>4448661</v>
      </c>
      <c r="F2344" s="1">
        <v>2407.2840909090901</v>
      </c>
      <c r="G2344" s="1">
        <v>5</v>
      </c>
      <c r="H2344" s="1">
        <v>3</v>
      </c>
      <c r="I2344" s="1">
        <v>3</v>
      </c>
      <c r="J2344" s="1">
        <v>3</v>
      </c>
      <c r="M2344" s="4">
        <v>1848</v>
      </c>
      <c r="N2344" s="1">
        <v>4604</v>
      </c>
      <c r="O2344" s="1">
        <v>4604</v>
      </c>
      <c r="Q2344" s="1" t="s">
        <v>505</v>
      </c>
      <c r="S2344" s="1" t="s">
        <v>505</v>
      </c>
      <c r="T2344" s="1" t="s">
        <v>273</v>
      </c>
      <c r="U2344" s="1">
        <v>20</v>
      </c>
      <c r="V2344" s="5">
        <v>43650</v>
      </c>
      <c r="W2344" s="5">
        <v>42851</v>
      </c>
      <c r="X2344" s="1">
        <v>4500000</v>
      </c>
      <c r="Y2344" s="1">
        <v>4500000</v>
      </c>
      <c r="Z2344" s="5">
        <v>42871</v>
      </c>
      <c r="AA2344" s="1">
        <v>4448661</v>
      </c>
      <c r="AB2344" s="1" t="s">
        <v>1371</v>
      </c>
      <c r="AC2344" s="5">
        <v>42966</v>
      </c>
      <c r="AF2344" s="1">
        <v>10014</v>
      </c>
      <c r="AI2344" s="1" t="s">
        <v>80</v>
      </c>
      <c r="AJ2344" s="1">
        <v>2016</v>
      </c>
      <c r="AK2344" s="1" t="s">
        <v>46</v>
      </c>
      <c r="AL2344" s="1">
        <v>92</v>
      </c>
    </row>
    <row r="2345" spans="1:38" x14ac:dyDescent="0.2">
      <c r="A2345" s="2" t="str">
        <f>HYPERLINK("https://www.compass.com/listing/221-west-77th-street-unit-6e-manhattan-ny-10024/8743038524389329/","221 W 77th St, Unit 6E")</f>
        <v>221 W 77th St, Unit 6E</v>
      </c>
      <c r="B2345" s="2" t="str">
        <f>HYPERLINK("https://www.compass.com/building/221-west-77th-street-manhattan-ny/292869344491294229/","221 West 77th Street")</f>
        <v>221 West 77th Street</v>
      </c>
      <c r="C2345" s="1" t="s">
        <v>57</v>
      </c>
      <c r="D2345" s="1" t="s">
        <v>41</v>
      </c>
      <c r="E2345" s="3">
        <v>4875000</v>
      </c>
      <c r="F2345" s="1">
        <v>2380.37109375</v>
      </c>
      <c r="G2345" s="1">
        <v>5</v>
      </c>
      <c r="H2345" s="1">
        <v>3</v>
      </c>
      <c r="I2345" s="1">
        <v>4</v>
      </c>
      <c r="J2345" s="1">
        <v>3.5</v>
      </c>
      <c r="M2345" s="4">
        <v>2048</v>
      </c>
      <c r="N2345" s="1">
        <v>2047</v>
      </c>
      <c r="O2345" s="1">
        <v>4688</v>
      </c>
      <c r="P2345" s="1">
        <v>2641</v>
      </c>
      <c r="Q2345" s="1" t="s">
        <v>42</v>
      </c>
      <c r="S2345" s="1" t="s">
        <v>42</v>
      </c>
      <c r="T2345" s="1" t="s">
        <v>273</v>
      </c>
      <c r="U2345" s="1">
        <v>178</v>
      </c>
      <c r="V2345" s="5">
        <v>43642</v>
      </c>
      <c r="W2345" s="5">
        <v>42528</v>
      </c>
      <c r="X2345" s="1">
        <v>4925000</v>
      </c>
      <c r="Y2345" s="1">
        <v>4925000</v>
      </c>
      <c r="Z2345" s="5">
        <v>42706</v>
      </c>
      <c r="AA2345" s="1">
        <v>4875000</v>
      </c>
      <c r="AB2345" s="1" t="s">
        <v>1280</v>
      </c>
      <c r="AC2345" s="5">
        <v>42898</v>
      </c>
      <c r="AF2345" s="1">
        <v>10024</v>
      </c>
      <c r="AI2345" s="1" t="s">
        <v>111</v>
      </c>
      <c r="AJ2345" s="1">
        <v>2017</v>
      </c>
      <c r="AK2345" s="1" t="s">
        <v>55</v>
      </c>
      <c r="AL2345" s="1">
        <v>26</v>
      </c>
    </row>
    <row r="2346" spans="1:38" x14ac:dyDescent="0.2">
      <c r="A2346" s="2" t="str">
        <f>HYPERLINK("https://www.compass.com/listing/601-washington-street-unit-thw-manhattan-ny-10014/350452407097601681/","601 Washington St, Unit THW")</f>
        <v>601 Washington St, Unit THW</v>
      </c>
      <c r="B2346" s="2" t="str">
        <f>HYPERLINK("https://www.compass.com/building/601-washington-st-manhattan-ny-10014/281934908392260869/","601 Washington St")</f>
        <v>601 Washington St</v>
      </c>
      <c r="C2346" s="1" t="s">
        <v>67</v>
      </c>
      <c r="D2346" s="1" t="s">
        <v>41</v>
      </c>
      <c r="E2346" s="3">
        <v>18250000</v>
      </c>
      <c r="Q2346" s="1" t="s">
        <v>42</v>
      </c>
      <c r="S2346" s="1" t="s">
        <v>42</v>
      </c>
      <c r="T2346" s="1" t="s">
        <v>273</v>
      </c>
      <c r="AA2346" s="1">
        <v>18250000</v>
      </c>
      <c r="AB2346" s="1" t="s">
        <v>1372</v>
      </c>
      <c r="AC2346" s="5">
        <v>44225</v>
      </c>
      <c r="AF2346" s="1">
        <v>10014</v>
      </c>
      <c r="AI2346" s="1" t="s">
        <v>177</v>
      </c>
      <c r="AJ2346" s="1">
        <v>2015</v>
      </c>
      <c r="AK2346" s="1" t="s">
        <v>55</v>
      </c>
      <c r="AL2346" s="1">
        <v>8</v>
      </c>
    </row>
    <row r="2347" spans="1:38" x14ac:dyDescent="0.2">
      <c r="A2347" s="2" t="str">
        <f>HYPERLINK("https://www.compass.com/listing/221-west-77th-street-unit-4e-manhattan-ny-10024/29514356500759121/","221 W 77th St, Unit 4E")</f>
        <v>221 W 77th St, Unit 4E</v>
      </c>
      <c r="B2347" s="2" t="str">
        <f>HYPERLINK("https://www.compass.com/building/221-west-77th-street-manhattan-ny/292869344491294229/","221 West 77th Street")</f>
        <v>221 West 77th Street</v>
      </c>
      <c r="C2347" s="1" t="s">
        <v>57</v>
      </c>
      <c r="D2347" s="1" t="s">
        <v>41</v>
      </c>
      <c r="E2347" s="3">
        <v>5086158</v>
      </c>
      <c r="F2347" s="1">
        <v>2483.4755859375</v>
      </c>
      <c r="G2347" s="1">
        <v>5</v>
      </c>
      <c r="H2347" s="1">
        <v>3</v>
      </c>
      <c r="I2347" s="1">
        <v>4</v>
      </c>
      <c r="J2347" s="1">
        <v>3.5</v>
      </c>
      <c r="K2347" s="1">
        <v>3</v>
      </c>
      <c r="L2347" s="1">
        <v>1</v>
      </c>
      <c r="M2347" s="4">
        <v>2048</v>
      </c>
      <c r="N2347" s="1">
        <v>2047</v>
      </c>
      <c r="O2347" s="1">
        <v>4688</v>
      </c>
      <c r="P2347" s="1">
        <v>2641</v>
      </c>
      <c r="Q2347" s="1" t="s">
        <v>42</v>
      </c>
      <c r="S2347" s="1" t="s">
        <v>42</v>
      </c>
      <c r="T2347" s="1" t="s">
        <v>273</v>
      </c>
      <c r="U2347" s="1">
        <v>208</v>
      </c>
      <c r="V2347" s="5">
        <v>43689</v>
      </c>
      <c r="W2347" s="5">
        <v>43125</v>
      </c>
      <c r="X2347" s="1">
        <v>4995000</v>
      </c>
      <c r="Y2347" s="1">
        <v>4995000</v>
      </c>
      <c r="Z2347" s="5">
        <v>43333</v>
      </c>
      <c r="AA2347" s="1">
        <v>5086158.75</v>
      </c>
      <c r="AB2347" s="1" t="s">
        <v>1373</v>
      </c>
      <c r="AC2347" s="5">
        <v>43363</v>
      </c>
      <c r="AF2347" s="1">
        <v>10024</v>
      </c>
      <c r="AI2347" s="1" t="s">
        <v>1374</v>
      </c>
      <c r="AJ2347" s="1">
        <v>2017</v>
      </c>
      <c r="AK2347" s="1" t="s">
        <v>108</v>
      </c>
      <c r="AL2347" s="1">
        <v>26</v>
      </c>
    </row>
    <row r="2348" spans="1:38" x14ac:dyDescent="0.2">
      <c r="A2348" s="2" t="str">
        <f>HYPERLINK("https://www.compass.com/listing/207-west-79th-street-unit-5a-manhattan-ny-10024/237674290357588273/","207 W 79th St, Unit 5A")</f>
        <v>207 W 79th St, Unit 5A</v>
      </c>
      <c r="B2348" s="2" t="str">
        <f t="shared" ref="B2348:B2351" si="384">HYPERLINK("https://www.compass.com/building/207-west-79th-street-manhattan-ny/292869088261262661/","207 West 79th Street")</f>
        <v>207 West 79th Street</v>
      </c>
      <c r="C2348" s="1" t="s">
        <v>57</v>
      </c>
      <c r="D2348" s="1" t="s">
        <v>41</v>
      </c>
      <c r="E2348" s="3">
        <v>5400000</v>
      </c>
      <c r="F2348" s="1">
        <v>2350.89246843709</v>
      </c>
      <c r="G2348" s="1">
        <v>6</v>
      </c>
      <c r="H2348" s="1">
        <v>4</v>
      </c>
      <c r="I2348" s="1">
        <v>4</v>
      </c>
      <c r="J2348" s="1">
        <v>3.5</v>
      </c>
      <c r="K2348" s="1">
        <v>3</v>
      </c>
      <c r="L2348" s="1">
        <v>1</v>
      </c>
      <c r="M2348" s="4">
        <v>2297</v>
      </c>
      <c r="N2348" s="1">
        <v>3113</v>
      </c>
      <c r="O2348" s="1">
        <v>6509</v>
      </c>
      <c r="P2348" s="1">
        <v>3396</v>
      </c>
      <c r="Q2348" s="1" t="s">
        <v>42</v>
      </c>
      <c r="S2348" s="1" t="s">
        <v>42</v>
      </c>
      <c r="T2348" s="1" t="s">
        <v>273</v>
      </c>
      <c r="U2348" s="1">
        <v>22</v>
      </c>
      <c r="V2348" s="5">
        <v>43720</v>
      </c>
      <c r="W2348" s="5">
        <v>43579</v>
      </c>
      <c r="X2348" s="1">
        <v>5750000</v>
      </c>
      <c r="Y2348" s="1">
        <v>5750000</v>
      </c>
      <c r="Z2348" s="5">
        <v>43601</v>
      </c>
      <c r="AA2348" s="1">
        <v>5400000</v>
      </c>
      <c r="AB2348" s="1" t="s">
        <v>1375</v>
      </c>
      <c r="AC2348" s="5">
        <v>43691</v>
      </c>
      <c r="AF2348" s="1">
        <v>10024</v>
      </c>
      <c r="AJ2348" s="1">
        <v>2017</v>
      </c>
      <c r="AK2348" s="1" t="s">
        <v>125</v>
      </c>
      <c r="AL2348" s="1">
        <v>19</v>
      </c>
    </row>
    <row r="2349" spans="1:38" x14ac:dyDescent="0.2">
      <c r="A2349" s="2" t="str">
        <f>HYPERLINK("https://www.compass.com/listing/207-west-79th-street-unit-7a-manhattan-ny-10024/29400358413487473/","207 W 79th St, Unit 7A")</f>
        <v>207 W 79th St, Unit 7A</v>
      </c>
      <c r="B2349" s="2" t="str">
        <f t="shared" si="384"/>
        <v>207 West 79th Street</v>
      </c>
      <c r="C2349" s="1" t="s">
        <v>57</v>
      </c>
      <c r="D2349" s="1" t="s">
        <v>41</v>
      </c>
      <c r="E2349" s="3">
        <v>5195825</v>
      </c>
      <c r="F2349" s="1">
        <v>2596.6141929035398</v>
      </c>
      <c r="G2349" s="1">
        <v>5</v>
      </c>
      <c r="H2349" s="1">
        <v>3</v>
      </c>
      <c r="I2349" s="1">
        <v>3</v>
      </c>
      <c r="J2349" s="1">
        <v>3.5</v>
      </c>
      <c r="K2349" s="1">
        <v>3</v>
      </c>
      <c r="L2349" s="1">
        <v>1</v>
      </c>
      <c r="M2349" s="4">
        <v>2001</v>
      </c>
      <c r="N2349" s="1">
        <v>2739</v>
      </c>
      <c r="O2349" s="1">
        <v>4402</v>
      </c>
      <c r="P2349" s="1">
        <v>1663</v>
      </c>
      <c r="Q2349" s="1" t="s">
        <v>42</v>
      </c>
      <c r="S2349" s="1" t="s">
        <v>42</v>
      </c>
      <c r="T2349" s="1" t="s">
        <v>273</v>
      </c>
      <c r="U2349" s="1">
        <v>7</v>
      </c>
      <c r="V2349" s="5">
        <v>43654</v>
      </c>
      <c r="W2349" s="5">
        <v>42886</v>
      </c>
      <c r="X2349" s="1">
        <v>5250000</v>
      </c>
      <c r="Y2349" s="1">
        <v>5250000</v>
      </c>
      <c r="Z2349" s="5">
        <v>42893</v>
      </c>
      <c r="AA2349" s="1">
        <v>5195825</v>
      </c>
      <c r="AB2349" s="1" t="s">
        <v>1376</v>
      </c>
      <c r="AC2349" s="5">
        <v>43202</v>
      </c>
      <c r="AF2349" s="1">
        <v>10024</v>
      </c>
      <c r="AJ2349" s="1">
        <v>2017</v>
      </c>
      <c r="AK2349" s="1" t="s">
        <v>49</v>
      </c>
      <c r="AL2349" s="1">
        <v>19</v>
      </c>
    </row>
    <row r="2350" spans="1:38" x14ac:dyDescent="0.2">
      <c r="A2350" s="2" t="str">
        <f>HYPERLINK("https://www.compass.com/listing/207-west-79th-street-unit-7b-manhattan-ny-10024/29400358807794497/","207 W 79th St, Unit 7B")</f>
        <v>207 W 79th St, Unit 7B</v>
      </c>
      <c r="B2350" s="2" t="str">
        <f t="shared" si="384"/>
        <v>207 West 79th Street</v>
      </c>
      <c r="C2350" s="1" t="s">
        <v>57</v>
      </c>
      <c r="D2350" s="1" t="s">
        <v>41</v>
      </c>
      <c r="E2350" s="3">
        <v>5000000</v>
      </c>
      <c r="F2350" s="1">
        <v>2467.9170779861702</v>
      </c>
      <c r="G2350" s="1">
        <v>5.5</v>
      </c>
      <c r="H2350" s="1">
        <v>3</v>
      </c>
      <c r="I2350" s="1">
        <v>3</v>
      </c>
      <c r="J2350" s="1">
        <v>3.5</v>
      </c>
      <c r="K2350" s="1">
        <v>3</v>
      </c>
      <c r="L2350" s="1">
        <v>1</v>
      </c>
      <c r="M2350" s="4">
        <v>2026</v>
      </c>
      <c r="N2350" s="1">
        <v>2773</v>
      </c>
      <c r="O2350" s="1">
        <v>4457</v>
      </c>
      <c r="P2350" s="1">
        <v>1684</v>
      </c>
      <c r="Q2350" s="1" t="s">
        <v>42</v>
      </c>
      <c r="S2350" s="1" t="s">
        <v>42</v>
      </c>
      <c r="T2350" s="1" t="s">
        <v>273</v>
      </c>
      <c r="V2350" s="5">
        <v>43648</v>
      </c>
      <c r="W2350" s="5">
        <v>42906</v>
      </c>
      <c r="X2350" s="1">
        <v>5050000</v>
      </c>
      <c r="Y2350" s="1">
        <v>5050000</v>
      </c>
      <c r="Z2350" s="5">
        <v>42906</v>
      </c>
      <c r="AA2350" s="1">
        <v>5000000</v>
      </c>
      <c r="AB2350" s="1" t="s">
        <v>1377</v>
      </c>
      <c r="AC2350" s="5">
        <v>43187</v>
      </c>
      <c r="AF2350" s="1">
        <v>10024</v>
      </c>
      <c r="AJ2350" s="1">
        <v>2017</v>
      </c>
      <c r="AK2350" s="1" t="s">
        <v>49</v>
      </c>
      <c r="AL2350" s="1">
        <v>19</v>
      </c>
    </row>
    <row r="2351" spans="1:38" x14ac:dyDescent="0.2">
      <c r="A2351" s="2" t="str">
        <f>HYPERLINK("https://www.compass.com/listing/207-west-79th-street-unit-5a-manhattan-ny-10024/803480498235972793/","207 W 79th St, Unit 5A")</f>
        <v>207 W 79th St, Unit 5A</v>
      </c>
      <c r="B2351" s="2" t="str">
        <f t="shared" si="384"/>
        <v>207 West 79th Street</v>
      </c>
      <c r="C2351" s="1" t="s">
        <v>57</v>
      </c>
      <c r="D2351" s="1" t="s">
        <v>41</v>
      </c>
      <c r="E2351" s="3">
        <v>5400000</v>
      </c>
      <c r="F2351" s="1">
        <v>2706.7669172932301</v>
      </c>
      <c r="G2351" s="1">
        <v>5</v>
      </c>
      <c r="H2351" s="1">
        <v>3</v>
      </c>
      <c r="I2351" s="1">
        <v>4</v>
      </c>
      <c r="J2351" s="1">
        <v>3.5</v>
      </c>
      <c r="K2351" s="1">
        <v>3</v>
      </c>
      <c r="L2351" s="1">
        <v>1</v>
      </c>
      <c r="M2351" s="4">
        <v>1995</v>
      </c>
      <c r="N2351" s="1">
        <v>2704</v>
      </c>
      <c r="O2351" s="1">
        <v>4345</v>
      </c>
      <c r="P2351" s="1">
        <v>1641</v>
      </c>
      <c r="Q2351" s="1" t="s">
        <v>42</v>
      </c>
      <c r="S2351" s="1" t="s">
        <v>42</v>
      </c>
      <c r="T2351" s="1" t="s">
        <v>273</v>
      </c>
      <c r="U2351" s="1">
        <v>19</v>
      </c>
      <c r="V2351" s="5">
        <v>43662</v>
      </c>
      <c r="W2351" s="5">
        <v>43200</v>
      </c>
      <c r="X2351" s="1">
        <v>4850000</v>
      </c>
      <c r="Y2351" s="1">
        <v>4850000</v>
      </c>
      <c r="AA2351" s="1">
        <v>5400000</v>
      </c>
      <c r="AB2351" s="1" t="s">
        <v>1375</v>
      </c>
      <c r="AC2351" s="5">
        <v>43691</v>
      </c>
      <c r="AF2351" s="1">
        <v>10024</v>
      </c>
      <c r="AJ2351" s="1">
        <v>2017</v>
      </c>
      <c r="AK2351" s="1" t="s">
        <v>125</v>
      </c>
      <c r="AL2351" s="1">
        <v>19</v>
      </c>
    </row>
    <row r="2352" spans="1:38" x14ac:dyDescent="0.2">
      <c r="A2352" s="2" t="str">
        <f>HYPERLINK("https://www.compass.com/listing/52-wooster-street-unit-3-manhattan-ny-10013/70922443115490577/","52 Wooster St, Unit 3")</f>
        <v>52 Wooster St, Unit 3</v>
      </c>
      <c r="B2352" s="2" t="str">
        <f t="shared" ref="B2352:B2353" si="385">HYPERLINK("https://www.compass.com/building/52-wooster-st-manhattan-ny-10013/281920538379585733/","52 Wooster St")</f>
        <v>52 Wooster St</v>
      </c>
      <c r="C2352" s="1" t="s">
        <v>298</v>
      </c>
      <c r="D2352" s="1" t="s">
        <v>41</v>
      </c>
      <c r="E2352" s="3">
        <v>5200000</v>
      </c>
      <c r="F2352" s="1">
        <v>2519.37984496124</v>
      </c>
      <c r="G2352" s="1">
        <v>5</v>
      </c>
      <c r="H2352" s="1">
        <v>3</v>
      </c>
      <c r="I2352" s="1">
        <v>3</v>
      </c>
      <c r="J2352" s="1">
        <v>3</v>
      </c>
      <c r="K2352" s="1">
        <v>3</v>
      </c>
      <c r="M2352" s="4">
        <v>2064</v>
      </c>
      <c r="N2352" s="1">
        <v>1889</v>
      </c>
      <c r="O2352" s="1">
        <v>5571.38</v>
      </c>
      <c r="P2352" s="1">
        <v>3682.4166666666601</v>
      </c>
      <c r="Q2352" s="1" t="s">
        <v>42</v>
      </c>
      <c r="S2352" s="1" t="s">
        <v>42</v>
      </c>
      <c r="T2352" s="1" t="s">
        <v>273</v>
      </c>
      <c r="U2352" s="1">
        <v>1</v>
      </c>
      <c r="V2352" s="5">
        <v>43650</v>
      </c>
      <c r="W2352" s="5">
        <v>42744</v>
      </c>
      <c r="X2352" s="1">
        <v>5500000</v>
      </c>
      <c r="Y2352" s="1">
        <v>5500000</v>
      </c>
      <c r="Z2352" s="5">
        <v>42745</v>
      </c>
      <c r="AA2352" s="1">
        <v>5200000</v>
      </c>
      <c r="AB2352" s="1" t="s">
        <v>1378</v>
      </c>
      <c r="AC2352" s="5">
        <v>42957</v>
      </c>
      <c r="AF2352" s="1">
        <v>10013</v>
      </c>
      <c r="AI2352" s="1" t="s">
        <v>216</v>
      </c>
      <c r="AJ2352" s="1">
        <v>2015</v>
      </c>
      <c r="AK2352" s="1" t="s">
        <v>75</v>
      </c>
      <c r="AL2352" s="1">
        <v>4</v>
      </c>
    </row>
    <row r="2353" spans="1:38" x14ac:dyDescent="0.2">
      <c r="A2353" s="2" t="str">
        <f>HYPERLINK("https://www.compass.com/listing/52-wooster-street-unit-3-manhattan-ny-10013/803343704551001945/","52 Wooster St, Unit 3")</f>
        <v>52 Wooster St, Unit 3</v>
      </c>
      <c r="B2353" s="2" t="str">
        <f t="shared" si="385"/>
        <v>52 Wooster St</v>
      </c>
      <c r="C2353" s="1" t="s">
        <v>298</v>
      </c>
      <c r="D2353" s="1" t="s">
        <v>41</v>
      </c>
      <c r="E2353" s="3">
        <v>5200000</v>
      </c>
      <c r="F2353" s="1">
        <v>2519.37984496124</v>
      </c>
      <c r="G2353" s="1">
        <v>4</v>
      </c>
      <c r="H2353" s="1">
        <v>3</v>
      </c>
      <c r="I2353" s="1">
        <v>3</v>
      </c>
      <c r="J2353" s="1">
        <v>3</v>
      </c>
      <c r="M2353" s="4">
        <v>2064</v>
      </c>
      <c r="N2353" s="1">
        <v>1875</v>
      </c>
      <c r="O2353" s="1">
        <v>5557</v>
      </c>
      <c r="P2353" s="1">
        <v>3682</v>
      </c>
      <c r="Q2353" s="1" t="s">
        <v>42</v>
      </c>
      <c r="S2353" s="1" t="s">
        <v>42</v>
      </c>
      <c r="T2353" s="1" t="s">
        <v>273</v>
      </c>
      <c r="U2353" s="1">
        <v>119</v>
      </c>
      <c r="V2353" s="5">
        <v>42879</v>
      </c>
      <c r="W2353" s="5">
        <v>42293</v>
      </c>
      <c r="X2353" s="1">
        <v>5500000</v>
      </c>
      <c r="Y2353" s="1">
        <v>5500000</v>
      </c>
      <c r="AA2353" s="1">
        <v>5200000</v>
      </c>
      <c r="AB2353" s="1" t="s">
        <v>1378</v>
      </c>
      <c r="AC2353" s="5">
        <v>42957</v>
      </c>
      <c r="AF2353" s="1">
        <v>10013</v>
      </c>
      <c r="AI2353" s="1" t="s">
        <v>197</v>
      </c>
      <c r="AJ2353" s="1">
        <v>2015</v>
      </c>
      <c r="AL2353" s="1">
        <v>4</v>
      </c>
    </row>
    <row r="2354" spans="1:38" x14ac:dyDescent="0.2">
      <c r="A2354" s="2" t="str">
        <f>HYPERLINK("https://www.compass.com/listing/45-great-jones-street-unit-4-manhattan-ny-10012/803358593675503617/","45 Great Jones St, Unit 4")</f>
        <v>45 Great Jones St, Unit 4</v>
      </c>
      <c r="B2354" s="2" t="str">
        <f>HYPERLINK("https://www.compass.com/building/45-great-jones-st-manhattan-ny-10012/281915142155826213/","45 Great Jones St")</f>
        <v>45 Great Jones St</v>
      </c>
      <c r="C2354" s="1" t="s">
        <v>953</v>
      </c>
      <c r="D2354" s="1" t="s">
        <v>41</v>
      </c>
      <c r="E2354" s="3">
        <v>2875000</v>
      </c>
      <c r="F2354" s="1">
        <v>1820.77264091196</v>
      </c>
      <c r="H2354" s="1">
        <v>2</v>
      </c>
      <c r="J2354" s="1">
        <v>2</v>
      </c>
      <c r="K2354" s="1">
        <v>2</v>
      </c>
      <c r="M2354" s="4">
        <v>1579</v>
      </c>
      <c r="N2354" s="1">
        <v>3086</v>
      </c>
      <c r="O2354" s="1">
        <v>8571</v>
      </c>
      <c r="Q2354" s="1" t="s">
        <v>271</v>
      </c>
      <c r="S2354" s="1" t="s">
        <v>271</v>
      </c>
      <c r="T2354" s="1" t="s">
        <v>273</v>
      </c>
      <c r="AA2354" s="1">
        <v>2875000</v>
      </c>
      <c r="AB2354" s="1" t="s">
        <v>1379</v>
      </c>
      <c r="AC2354" s="5">
        <v>42293</v>
      </c>
      <c r="AF2354" s="1">
        <v>10012</v>
      </c>
      <c r="AJ2354" s="1">
        <v>2014</v>
      </c>
      <c r="AL2354" s="1">
        <v>5</v>
      </c>
    </row>
    <row r="2355" spans="1:38" x14ac:dyDescent="0.2">
      <c r="A2355" s="2" t="str">
        <f>HYPERLINK("https://www.compass.com/listing/70-charlton-street-unit-11a-manhattan-ny-10014/269624942922950177/","70 Charlton St, Unit 11A")</f>
        <v>70 Charlton St, Unit 11A</v>
      </c>
      <c r="B2355" s="2" t="str">
        <f>HYPERLINK("https://www.compass.com/building/70-charlton-street-manhattan-ny/292835639240484293/","70 Charlton Street")</f>
        <v>70 Charlton Street</v>
      </c>
      <c r="C2355" s="1" t="s">
        <v>53</v>
      </c>
      <c r="D2355" s="1" t="s">
        <v>41</v>
      </c>
      <c r="E2355" s="3">
        <v>2675000</v>
      </c>
      <c r="F2355" s="1">
        <v>1778.5904255319099</v>
      </c>
      <c r="G2355" s="1">
        <v>5</v>
      </c>
      <c r="H2355" s="1">
        <v>3</v>
      </c>
      <c r="I2355" s="1">
        <v>2</v>
      </c>
      <c r="J2355" s="1">
        <v>2</v>
      </c>
      <c r="K2355" s="1">
        <v>2</v>
      </c>
      <c r="M2355" s="4">
        <v>1504</v>
      </c>
      <c r="N2355" s="1">
        <v>3278</v>
      </c>
      <c r="O2355" s="1">
        <v>3278</v>
      </c>
      <c r="Q2355" s="1" t="s">
        <v>272</v>
      </c>
      <c r="S2355" s="1" t="s">
        <v>272</v>
      </c>
      <c r="T2355" s="1" t="s">
        <v>273</v>
      </c>
      <c r="U2355" s="1">
        <v>259</v>
      </c>
      <c r="V2355" s="5">
        <v>44278</v>
      </c>
      <c r="W2355" s="5">
        <v>43623</v>
      </c>
      <c r="X2355" s="1">
        <v>3100000</v>
      </c>
      <c r="Y2355" s="1">
        <v>2699000</v>
      </c>
      <c r="Z2355" s="5">
        <v>43883</v>
      </c>
      <c r="AA2355" s="1">
        <v>2675000</v>
      </c>
      <c r="AB2355" s="1" t="s">
        <v>1380</v>
      </c>
      <c r="AC2355" s="5">
        <v>43980</v>
      </c>
      <c r="AF2355" s="1">
        <v>10014</v>
      </c>
      <c r="AI2355" s="1" t="s">
        <v>80</v>
      </c>
      <c r="AJ2355" s="1">
        <v>2016</v>
      </c>
      <c r="AK2355" s="1" t="s">
        <v>46</v>
      </c>
      <c r="AL2355" s="1">
        <v>92</v>
      </c>
    </row>
    <row r="2356" spans="1:38" x14ac:dyDescent="0.2">
      <c r="A2356" s="2" t="str">
        <f>HYPERLINK("https://www.compass.com/listing/221-west-77th-street-unit-5e-manhattan-ny-10024/8743036167190097/","221 W 77th St, Unit 5E")</f>
        <v>221 W 77th St, Unit 5E</v>
      </c>
      <c r="B2356" s="2" t="str">
        <f>HYPERLINK("https://www.compass.com/building/221-west-77th-street-manhattan-ny/292869344491294229/","221 West 77th Street")</f>
        <v>221 West 77th Street</v>
      </c>
      <c r="C2356" s="1" t="s">
        <v>57</v>
      </c>
      <c r="D2356" s="1" t="s">
        <v>41</v>
      </c>
      <c r="E2356" s="3">
        <v>4825000</v>
      </c>
      <c r="F2356" s="1">
        <v>2355.95703125</v>
      </c>
      <c r="G2356" s="1">
        <v>5</v>
      </c>
      <c r="H2356" s="1">
        <v>3</v>
      </c>
      <c r="I2356" s="1">
        <v>4</v>
      </c>
      <c r="J2356" s="1">
        <v>3.5</v>
      </c>
      <c r="M2356" s="4">
        <v>2048</v>
      </c>
      <c r="N2356" s="1">
        <v>2047</v>
      </c>
      <c r="O2356" s="1">
        <v>4688</v>
      </c>
      <c r="P2356" s="1">
        <v>2641</v>
      </c>
      <c r="Q2356" s="1" t="s">
        <v>42</v>
      </c>
      <c r="S2356" s="1" t="s">
        <v>42</v>
      </c>
      <c r="T2356" s="1" t="s">
        <v>273</v>
      </c>
      <c r="U2356" s="1">
        <v>75</v>
      </c>
      <c r="V2356" s="5">
        <v>43637</v>
      </c>
      <c r="W2356" s="5">
        <v>42692</v>
      </c>
      <c r="X2356" s="1">
        <v>4850000</v>
      </c>
      <c r="Y2356" s="1">
        <v>4850000</v>
      </c>
      <c r="Z2356" s="5">
        <v>42767</v>
      </c>
      <c r="AA2356" s="1">
        <v>4825000</v>
      </c>
      <c r="AB2356" s="1" t="s">
        <v>1279</v>
      </c>
      <c r="AC2356" s="5">
        <v>42912</v>
      </c>
      <c r="AF2356" s="1">
        <v>10024</v>
      </c>
      <c r="AI2356" s="1" t="s">
        <v>111</v>
      </c>
      <c r="AJ2356" s="1">
        <v>2017</v>
      </c>
      <c r="AK2356" s="1" t="s">
        <v>108</v>
      </c>
      <c r="AL2356" s="1">
        <v>26</v>
      </c>
    </row>
    <row r="2357" spans="1:38" x14ac:dyDescent="0.2">
      <c r="A2357" s="2" t="str">
        <f>HYPERLINK("https://www.compass.com/listing/230-east-20th-street-unit-16-manhattan-ny-10003/383141518471380337/","230 E 20th St, Unit 16")</f>
        <v>230 E 20th St, Unit 16</v>
      </c>
      <c r="B2357" s="2" t="str">
        <f>HYPERLINK("https://www.compass.com/building/the-modern-at-gramercy-square-manhattan-ny/282059330264532517/","The Modern at Gramercy Square")</f>
        <v>The Modern at Gramercy Square</v>
      </c>
      <c r="C2357" s="1" t="s">
        <v>64</v>
      </c>
      <c r="D2357" s="1" t="s">
        <v>41</v>
      </c>
      <c r="E2357" s="3">
        <v>1655000</v>
      </c>
      <c r="F2357" s="1">
        <v>2068.75</v>
      </c>
      <c r="G2357" s="1">
        <v>3</v>
      </c>
      <c r="H2357" s="1">
        <v>1</v>
      </c>
      <c r="I2357" s="1">
        <v>1</v>
      </c>
      <c r="J2357" s="1">
        <v>1</v>
      </c>
      <c r="K2357" s="1">
        <v>1</v>
      </c>
      <c r="M2357" s="1">
        <v>800</v>
      </c>
      <c r="N2357" s="1">
        <v>1014</v>
      </c>
      <c r="O2357" s="1">
        <v>2712</v>
      </c>
      <c r="P2357" s="1">
        <v>1698</v>
      </c>
      <c r="Q2357" s="1" t="s">
        <v>42</v>
      </c>
      <c r="S2357" s="1" t="s">
        <v>42</v>
      </c>
      <c r="T2357" s="1" t="s">
        <v>273</v>
      </c>
      <c r="U2357" s="1">
        <v>65</v>
      </c>
      <c r="V2357" s="5">
        <v>44089</v>
      </c>
      <c r="W2357" s="5">
        <v>43774</v>
      </c>
      <c r="X2357" s="1">
        <v>1685000</v>
      </c>
      <c r="Y2357" s="1">
        <v>1685000</v>
      </c>
      <c r="Z2357" s="5">
        <v>43840</v>
      </c>
      <c r="AA2357" s="1">
        <v>1655000</v>
      </c>
      <c r="AB2357" s="1" t="s">
        <v>275</v>
      </c>
      <c r="AC2357" s="5">
        <v>44083</v>
      </c>
      <c r="AF2357" s="1">
        <v>10003</v>
      </c>
      <c r="AI2357" s="1" t="s">
        <v>159</v>
      </c>
      <c r="AJ2357" s="1">
        <v>2016</v>
      </c>
      <c r="AK2357" s="1" t="s">
        <v>49</v>
      </c>
      <c r="AL2357" s="1">
        <v>37</v>
      </c>
    </row>
    <row r="2358" spans="1:38" x14ac:dyDescent="0.2">
      <c r="A2358" s="2" t="str">
        <f>HYPERLINK("https://www.compass.com/listing/355-east-19th-street-unit-2-manhattan-ny-10003/29381921570156161/","355 E 19th St, Unit 2")</f>
        <v>355 E 19th St, Unit 2</v>
      </c>
      <c r="B2358" s="2" t="str">
        <f>HYPERLINK("https://www.compass.com/building/355-e-19th-st-manhattan-ny-10003/281893275755879157/","355 E 19th St")</f>
        <v>355 E 19th St</v>
      </c>
      <c r="C2358" s="1" t="s">
        <v>64</v>
      </c>
      <c r="D2358" s="1" t="s">
        <v>41</v>
      </c>
      <c r="E2358" s="3">
        <v>2925000</v>
      </c>
      <c r="F2358" s="1">
        <v>1455.94823295171</v>
      </c>
      <c r="G2358" s="1">
        <v>5</v>
      </c>
      <c r="H2358" s="1">
        <v>3</v>
      </c>
      <c r="I2358" s="1">
        <v>2</v>
      </c>
      <c r="J2358" s="1">
        <v>2</v>
      </c>
      <c r="K2358" s="1">
        <v>2</v>
      </c>
      <c r="M2358" s="4">
        <v>2009</v>
      </c>
      <c r="N2358" s="1">
        <v>640</v>
      </c>
      <c r="O2358" s="1">
        <v>2466</v>
      </c>
      <c r="P2358" s="1">
        <v>1826</v>
      </c>
      <c r="Q2358" s="1" t="s">
        <v>42</v>
      </c>
      <c r="S2358" s="1" t="s">
        <v>42</v>
      </c>
      <c r="T2358" s="1" t="s">
        <v>273</v>
      </c>
      <c r="U2358" s="1">
        <v>5</v>
      </c>
      <c r="V2358" s="5">
        <v>43673</v>
      </c>
      <c r="W2358" s="5">
        <v>42628</v>
      </c>
      <c r="X2358" s="1">
        <v>2925000</v>
      </c>
      <c r="Y2358" s="1">
        <v>2925000</v>
      </c>
      <c r="Z2358" s="5">
        <v>42633</v>
      </c>
      <c r="AA2358" s="1">
        <v>2925000</v>
      </c>
      <c r="AB2358" s="1" t="s">
        <v>1381</v>
      </c>
      <c r="AC2358" s="5">
        <v>42726</v>
      </c>
      <c r="AF2358" s="1">
        <v>10003</v>
      </c>
      <c r="AI2358" s="1" t="s">
        <v>1382</v>
      </c>
      <c r="AJ2358" s="1">
        <v>2015</v>
      </c>
      <c r="AK2358" s="1" t="s">
        <v>136</v>
      </c>
      <c r="AL2358" s="1">
        <v>7</v>
      </c>
    </row>
    <row r="2359" spans="1:38" x14ac:dyDescent="0.2">
      <c r="A2359" s="2" t="str">
        <f>HYPERLINK("https://www.compass.com/listing/70-charlton-street-unit-14e-manhattan-ny-10014/111379849649659649/","70 Charlton St, Unit 14E")</f>
        <v>70 Charlton St, Unit 14E</v>
      </c>
      <c r="B2359" s="2" t="str">
        <f>HYPERLINK("https://www.compass.com/building/70-charlton-street-manhattan-ny/292835639240484293/","70 Charlton Street")</f>
        <v>70 Charlton Street</v>
      </c>
      <c r="C2359" s="1" t="s">
        <v>53</v>
      </c>
      <c r="D2359" s="1" t="s">
        <v>41</v>
      </c>
      <c r="E2359" s="3">
        <v>5349813</v>
      </c>
      <c r="F2359" s="1">
        <v>2151.9762670957298</v>
      </c>
      <c r="G2359" s="1">
        <v>6</v>
      </c>
      <c r="H2359" s="1">
        <v>4</v>
      </c>
      <c r="I2359" s="1">
        <v>5</v>
      </c>
      <c r="J2359" s="1">
        <v>4.5</v>
      </c>
      <c r="K2359" s="1">
        <v>4</v>
      </c>
      <c r="L2359" s="1">
        <v>1</v>
      </c>
      <c r="M2359" s="4">
        <v>2486</v>
      </c>
      <c r="N2359" s="1">
        <v>5824</v>
      </c>
      <c r="O2359" s="1">
        <v>6067</v>
      </c>
      <c r="Q2359" s="1" t="s">
        <v>505</v>
      </c>
      <c r="S2359" s="1" t="s">
        <v>505</v>
      </c>
      <c r="T2359" s="1" t="s">
        <v>273</v>
      </c>
      <c r="U2359" s="1">
        <v>94</v>
      </c>
      <c r="V2359" s="5">
        <v>43638</v>
      </c>
      <c r="W2359" s="5">
        <v>43406</v>
      </c>
      <c r="X2359" s="1">
        <v>5500000</v>
      </c>
      <c r="Y2359" s="1">
        <v>5500000</v>
      </c>
      <c r="Z2359" s="5">
        <v>43500</v>
      </c>
      <c r="AA2359" s="1">
        <v>5349813</v>
      </c>
      <c r="AB2359" s="1" t="s">
        <v>1383</v>
      </c>
      <c r="AC2359" s="5">
        <v>43538</v>
      </c>
      <c r="AF2359" s="1">
        <v>10014</v>
      </c>
      <c r="AI2359" s="1" t="s">
        <v>319</v>
      </c>
      <c r="AJ2359" s="1">
        <v>2016</v>
      </c>
      <c r="AK2359" s="1" t="s">
        <v>46</v>
      </c>
      <c r="AL2359" s="1">
        <v>92</v>
      </c>
    </row>
    <row r="2360" spans="1:38" x14ac:dyDescent="0.2">
      <c r="A2360" s="2" t="str">
        <f>HYPERLINK("https://www.compass.com/listing/230-east-20th-street-unit-64-manhattan-ny-10003/29514968676224081/","230 E 20th St, Unit 64")</f>
        <v>230 E 20th St, Unit 64</v>
      </c>
      <c r="B2360" s="2" t="str">
        <f t="shared" ref="B2360:B2362" si="386">HYPERLINK("https://www.compass.com/building/the-modern-at-gramercy-square-manhattan-ny/282059330264532517/","The Modern at Gramercy Square")</f>
        <v>The Modern at Gramercy Square</v>
      </c>
      <c r="C2360" s="1" t="s">
        <v>64</v>
      </c>
      <c r="D2360" s="1" t="s">
        <v>41</v>
      </c>
      <c r="E2360" s="3">
        <v>2255000</v>
      </c>
      <c r="F2360" s="1">
        <v>2255</v>
      </c>
      <c r="G2360" s="1">
        <v>4</v>
      </c>
      <c r="H2360" s="1">
        <v>2</v>
      </c>
      <c r="I2360" s="1">
        <v>2</v>
      </c>
      <c r="J2360" s="1">
        <v>2</v>
      </c>
      <c r="K2360" s="1">
        <v>2</v>
      </c>
      <c r="M2360" s="4">
        <v>1000</v>
      </c>
      <c r="N2360" s="1">
        <v>1129</v>
      </c>
      <c r="O2360" s="1">
        <v>2560</v>
      </c>
      <c r="P2360" s="1">
        <v>1431</v>
      </c>
      <c r="Q2360" s="1" t="s">
        <v>42</v>
      </c>
      <c r="S2360" s="1" t="s">
        <v>42</v>
      </c>
      <c r="T2360" s="1" t="s">
        <v>273</v>
      </c>
      <c r="U2360" s="1">
        <v>2</v>
      </c>
      <c r="V2360" s="5">
        <v>43602</v>
      </c>
      <c r="W2360" s="5">
        <v>43003</v>
      </c>
      <c r="X2360" s="1">
        <v>2255000</v>
      </c>
      <c r="Y2360" s="1">
        <v>2335000</v>
      </c>
      <c r="Z2360" s="5">
        <v>43005</v>
      </c>
      <c r="AA2360" s="1">
        <v>2255000</v>
      </c>
      <c r="AB2360" s="1" t="s">
        <v>275</v>
      </c>
      <c r="AC2360" s="5">
        <v>43358</v>
      </c>
      <c r="AF2360" s="1">
        <v>10003</v>
      </c>
      <c r="AI2360" s="1" t="s">
        <v>65</v>
      </c>
      <c r="AJ2360" s="1">
        <v>2016</v>
      </c>
      <c r="AK2360" s="1" t="s">
        <v>49</v>
      </c>
      <c r="AL2360" s="1">
        <v>37</v>
      </c>
    </row>
    <row r="2361" spans="1:38" x14ac:dyDescent="0.2">
      <c r="A2361" s="2" t="str">
        <f>HYPERLINK("https://www.compass.com/listing/230-east-20th-street-unit-43-manhattan-ny-10003/29514971897490689/","230 E 20th St, Unit 43")</f>
        <v>230 E 20th St, Unit 43</v>
      </c>
      <c r="B2361" s="2" t="str">
        <f t="shared" si="386"/>
        <v>The Modern at Gramercy Square</v>
      </c>
      <c r="C2361" s="1" t="s">
        <v>64</v>
      </c>
      <c r="D2361" s="1" t="s">
        <v>41</v>
      </c>
      <c r="E2361" s="3">
        <v>2320000</v>
      </c>
      <c r="F2361" s="1">
        <v>1951.2195121951199</v>
      </c>
      <c r="G2361" s="1">
        <v>4</v>
      </c>
      <c r="H2361" s="1">
        <v>2</v>
      </c>
      <c r="I2361" s="1">
        <v>2</v>
      </c>
      <c r="J2361" s="1">
        <v>2</v>
      </c>
      <c r="K2361" s="1">
        <v>2</v>
      </c>
      <c r="M2361" s="4">
        <v>1189</v>
      </c>
      <c r="N2361" s="1">
        <v>1279</v>
      </c>
      <c r="O2361" s="1">
        <v>2899</v>
      </c>
      <c r="P2361" s="1">
        <v>1620</v>
      </c>
      <c r="Q2361" s="1" t="s">
        <v>42</v>
      </c>
      <c r="S2361" s="1" t="s">
        <v>42</v>
      </c>
      <c r="T2361" s="1" t="s">
        <v>273</v>
      </c>
      <c r="U2361" s="1">
        <v>63</v>
      </c>
      <c r="V2361" s="5">
        <v>43757</v>
      </c>
      <c r="W2361" s="5">
        <v>43194</v>
      </c>
      <c r="X2361" s="1">
        <v>2345000</v>
      </c>
      <c r="Y2361" s="1">
        <v>2345000</v>
      </c>
      <c r="Z2361" s="5">
        <v>43258</v>
      </c>
      <c r="AA2361" s="1">
        <v>2320000</v>
      </c>
      <c r="AB2361" s="1" t="s">
        <v>275</v>
      </c>
      <c r="AC2361" s="5">
        <v>43369</v>
      </c>
      <c r="AF2361" s="1">
        <v>10003</v>
      </c>
      <c r="AI2361" s="1" t="s">
        <v>65</v>
      </c>
      <c r="AJ2361" s="1">
        <v>2016</v>
      </c>
      <c r="AK2361" s="1" t="s">
        <v>49</v>
      </c>
      <c r="AL2361" s="1">
        <v>37</v>
      </c>
    </row>
    <row r="2362" spans="1:38" x14ac:dyDescent="0.2">
      <c r="A2362" s="2" t="str">
        <f>HYPERLINK("https://www.compass.com/listing/230-east-20th-street-unit-23-manhattan-ny-10003/29514972820237601/","230 E 20th St, Unit 23")</f>
        <v>230 E 20th St, Unit 23</v>
      </c>
      <c r="B2362" s="2" t="str">
        <f t="shared" si="386"/>
        <v>The Modern at Gramercy Square</v>
      </c>
      <c r="C2362" s="1" t="s">
        <v>64</v>
      </c>
      <c r="D2362" s="1" t="s">
        <v>41</v>
      </c>
      <c r="E2362" s="3">
        <v>2285000</v>
      </c>
      <c r="F2362" s="1">
        <v>2027.50665483584</v>
      </c>
      <c r="G2362" s="1">
        <v>4</v>
      </c>
      <c r="H2362" s="1">
        <v>2</v>
      </c>
      <c r="I2362" s="1">
        <v>2</v>
      </c>
      <c r="J2362" s="1">
        <v>2</v>
      </c>
      <c r="K2362" s="1">
        <v>2</v>
      </c>
      <c r="M2362" s="4">
        <v>1127</v>
      </c>
      <c r="N2362" s="1">
        <v>1279</v>
      </c>
      <c r="O2362" s="1">
        <v>2899</v>
      </c>
      <c r="P2362" s="1">
        <v>1620</v>
      </c>
      <c r="Q2362" s="1" t="s">
        <v>42</v>
      </c>
      <c r="S2362" s="1" t="s">
        <v>42</v>
      </c>
      <c r="T2362" s="1" t="s">
        <v>273</v>
      </c>
      <c r="U2362" s="1">
        <v>44</v>
      </c>
      <c r="V2362" s="5">
        <v>43757</v>
      </c>
      <c r="W2362" s="5">
        <v>43264</v>
      </c>
      <c r="X2362" s="1">
        <v>2285000</v>
      </c>
      <c r="Y2362" s="1">
        <v>2285000</v>
      </c>
      <c r="Z2362" s="5">
        <v>43309</v>
      </c>
      <c r="AA2362" s="1">
        <v>2285000</v>
      </c>
      <c r="AB2362" s="1" t="s">
        <v>275</v>
      </c>
      <c r="AC2362" s="5">
        <v>43336</v>
      </c>
      <c r="AF2362" s="1">
        <v>10003</v>
      </c>
      <c r="AI2362" s="1" t="s">
        <v>65</v>
      </c>
      <c r="AJ2362" s="1">
        <v>2016</v>
      </c>
      <c r="AK2362" s="1" t="s">
        <v>49</v>
      </c>
      <c r="AL2362" s="1">
        <v>37</v>
      </c>
    </row>
    <row r="2363" spans="1:38" x14ac:dyDescent="0.2">
      <c r="A2363" s="2" t="str">
        <f>HYPERLINK("https://www.compass.com/listing/221-west-77th-street-unit-ph-manhattan-ny-10024/14532642871467425/","221 W 77th St, Unit PH")</f>
        <v>221 W 77th St, Unit PH</v>
      </c>
      <c r="B2363" s="2" t="str">
        <f>HYPERLINK("https://www.compass.com/building/221-west-77th-street-manhattan-ny/292869344491294229/","221 West 77th Street")</f>
        <v>221 West 77th Street</v>
      </c>
      <c r="C2363" s="1" t="s">
        <v>57</v>
      </c>
      <c r="D2363" s="1" t="s">
        <v>41</v>
      </c>
      <c r="E2363" s="3">
        <v>20850000</v>
      </c>
      <c r="F2363" s="1">
        <v>3472.10657785179</v>
      </c>
      <c r="G2363" s="1">
        <v>8</v>
      </c>
      <c r="H2363" s="1">
        <v>5</v>
      </c>
      <c r="I2363" s="1">
        <v>6</v>
      </c>
      <c r="J2363" s="1">
        <v>5.5</v>
      </c>
      <c r="K2363" s="1">
        <v>5</v>
      </c>
      <c r="L2363" s="1">
        <v>1</v>
      </c>
      <c r="M2363" s="4">
        <v>6005</v>
      </c>
      <c r="N2363" s="1">
        <v>6337</v>
      </c>
      <c r="O2363" s="1">
        <v>14513</v>
      </c>
      <c r="P2363" s="1">
        <v>8176</v>
      </c>
      <c r="Q2363" s="1" t="s">
        <v>42</v>
      </c>
      <c r="S2363" s="1" t="s">
        <v>42</v>
      </c>
      <c r="T2363" s="1" t="s">
        <v>273</v>
      </c>
      <c r="U2363" s="1">
        <v>144</v>
      </c>
      <c r="V2363" s="5">
        <v>43678</v>
      </c>
      <c r="W2363" s="5">
        <v>42287</v>
      </c>
      <c r="X2363" s="1">
        <v>22500000</v>
      </c>
      <c r="Y2363" s="1">
        <v>22500000</v>
      </c>
      <c r="Z2363" s="5">
        <v>42431</v>
      </c>
      <c r="AA2363" s="1">
        <v>20850000</v>
      </c>
      <c r="AB2363" s="1" t="s">
        <v>1384</v>
      </c>
      <c r="AC2363" s="5">
        <v>43243</v>
      </c>
      <c r="AF2363" s="1">
        <v>10024</v>
      </c>
      <c r="AI2363" s="1" t="s">
        <v>193</v>
      </c>
      <c r="AJ2363" s="1">
        <v>2017</v>
      </c>
      <c r="AK2363" s="1" t="s">
        <v>108</v>
      </c>
      <c r="AL2363" s="1">
        <v>26</v>
      </c>
    </row>
    <row r="2364" spans="1:38" x14ac:dyDescent="0.2">
      <c r="A2364" s="2" t="str">
        <f>HYPERLINK("https://www.compass.com/listing/355-east-19th-street-unit-5-manhattan-ny-10003/29381923063328401/","355 E 19th St, Unit 5")</f>
        <v>355 E 19th St, Unit 5</v>
      </c>
      <c r="B2364" s="2" t="str">
        <f>HYPERLINK("https://www.compass.com/building/355-e-19th-st-manhattan-ny-10003/281893275755879157/","355 E 19th St")</f>
        <v>355 E 19th St</v>
      </c>
      <c r="C2364" s="1" t="s">
        <v>64</v>
      </c>
      <c r="D2364" s="1" t="s">
        <v>41</v>
      </c>
      <c r="E2364" s="3">
        <v>3016566</v>
      </c>
      <c r="F2364" s="1">
        <v>1507.5292353822999</v>
      </c>
      <c r="G2364" s="1">
        <v>5</v>
      </c>
      <c r="H2364" s="1">
        <v>3</v>
      </c>
      <c r="I2364" s="1">
        <v>2</v>
      </c>
      <c r="J2364" s="1">
        <v>2</v>
      </c>
      <c r="K2364" s="1">
        <v>2</v>
      </c>
      <c r="M2364" s="4">
        <v>2001</v>
      </c>
      <c r="N2364" s="1">
        <v>640</v>
      </c>
      <c r="O2364" s="1">
        <v>2466</v>
      </c>
      <c r="P2364" s="1">
        <v>1826</v>
      </c>
      <c r="Q2364" s="1" t="s">
        <v>42</v>
      </c>
      <c r="S2364" s="1" t="s">
        <v>42</v>
      </c>
      <c r="T2364" s="1" t="s">
        <v>273</v>
      </c>
      <c r="U2364" s="1">
        <v>30</v>
      </c>
      <c r="V2364" s="5">
        <v>43665</v>
      </c>
      <c r="W2364" s="5">
        <v>42633</v>
      </c>
      <c r="X2364" s="1">
        <v>3150000</v>
      </c>
      <c r="Y2364" s="1">
        <v>3150000</v>
      </c>
      <c r="Z2364" s="5">
        <v>42663</v>
      </c>
      <c r="AA2364" s="1">
        <v>3016566</v>
      </c>
      <c r="AB2364" s="1" t="s">
        <v>1385</v>
      </c>
      <c r="AC2364" s="5">
        <v>42728</v>
      </c>
      <c r="AF2364" s="1">
        <v>10003</v>
      </c>
      <c r="AI2364" s="1" t="s">
        <v>1386</v>
      </c>
      <c r="AJ2364" s="1">
        <v>2015</v>
      </c>
      <c r="AK2364" s="1" t="s">
        <v>136</v>
      </c>
      <c r="AL2364" s="1">
        <v>7</v>
      </c>
    </row>
    <row r="2365" spans="1:38" x14ac:dyDescent="0.2">
      <c r="A2365" s="2" t="str">
        <f>HYPERLINK("https://www.compass.com/listing/70-charlton-street-unit-14c-manhattan-ny-10014/428898793338311985/","70 Charlton St, Unit 14C")</f>
        <v>70 Charlton St, Unit 14C</v>
      </c>
      <c r="B2365" s="2" t="str">
        <f>HYPERLINK("https://www.compass.com/building/70-charlton-street-manhattan-ny/292835639240484293/","70 Charlton Street")</f>
        <v>70 Charlton Street</v>
      </c>
      <c r="C2365" s="1" t="s">
        <v>53</v>
      </c>
      <c r="D2365" s="1" t="s">
        <v>41</v>
      </c>
      <c r="E2365" s="3">
        <v>5607918</v>
      </c>
      <c r="F2365" s="1">
        <v>2787.2353379721599</v>
      </c>
      <c r="G2365" s="1">
        <v>6</v>
      </c>
      <c r="H2365" s="1">
        <v>4</v>
      </c>
      <c r="I2365" s="1">
        <v>3</v>
      </c>
      <c r="J2365" s="1">
        <v>3</v>
      </c>
      <c r="K2365" s="1">
        <v>3</v>
      </c>
      <c r="M2365" s="4">
        <v>2012</v>
      </c>
      <c r="N2365" s="1">
        <v>4969</v>
      </c>
      <c r="O2365" s="1">
        <v>4969</v>
      </c>
      <c r="Q2365" s="1" t="s">
        <v>505</v>
      </c>
      <c r="S2365" s="1" t="s">
        <v>505</v>
      </c>
      <c r="T2365" s="1" t="s">
        <v>273</v>
      </c>
      <c r="V2365" s="5">
        <v>43908</v>
      </c>
      <c r="W2365" s="5">
        <v>43844</v>
      </c>
      <c r="X2365" s="1">
        <v>4495000</v>
      </c>
      <c r="Y2365" s="1">
        <v>4495000</v>
      </c>
      <c r="Z2365" s="5">
        <v>43844</v>
      </c>
      <c r="AA2365" s="1">
        <v>5607917.5</v>
      </c>
      <c r="AB2365" s="1" t="s">
        <v>343</v>
      </c>
      <c r="AC2365" s="5">
        <v>43902</v>
      </c>
      <c r="AF2365" s="1">
        <v>10014</v>
      </c>
      <c r="AI2365" s="1" t="s">
        <v>319</v>
      </c>
      <c r="AJ2365" s="1">
        <v>2016</v>
      </c>
      <c r="AK2365" s="1" t="s">
        <v>46</v>
      </c>
      <c r="AL2365" s="1">
        <v>92</v>
      </c>
    </row>
    <row r="2366" spans="1:38" x14ac:dyDescent="0.2">
      <c r="A2366" s="2" t="str">
        <f>HYPERLINK("https://www.compass.com/listing/221-west-77th-street-unit-the-manhattan-ny-10024/191148371002652689/","221 W 77th St")</f>
        <v>221 W 77th St</v>
      </c>
      <c r="B2366" s="2" t="str">
        <f t="shared" ref="B2366:B2368" si="387">HYPERLINK("https://www.compass.com/building/221-west-77th-street-manhattan-ny/292869344491294229/","221 West 77th Street")</f>
        <v>221 West 77th Street</v>
      </c>
      <c r="C2366" s="1" t="s">
        <v>57</v>
      </c>
      <c r="D2366" s="1" t="s">
        <v>41</v>
      </c>
      <c r="E2366" s="3">
        <v>7300000</v>
      </c>
      <c r="F2366" s="1">
        <v>2294.8758252121902</v>
      </c>
      <c r="G2366" s="1">
        <v>6</v>
      </c>
      <c r="H2366" s="1">
        <v>4</v>
      </c>
      <c r="I2366" s="1">
        <v>5</v>
      </c>
      <c r="J2366" s="1">
        <v>4.5</v>
      </c>
      <c r="K2366" s="1">
        <v>4</v>
      </c>
      <c r="L2366" s="1">
        <v>1</v>
      </c>
      <c r="M2366" s="4">
        <v>3181</v>
      </c>
      <c r="N2366" s="1">
        <v>3565</v>
      </c>
      <c r="O2366" s="1">
        <v>8918</v>
      </c>
      <c r="P2366" s="1">
        <v>5353</v>
      </c>
      <c r="Q2366" s="1" t="s">
        <v>42</v>
      </c>
      <c r="S2366" s="1" t="s">
        <v>100</v>
      </c>
      <c r="T2366" s="1" t="s">
        <v>273</v>
      </c>
      <c r="U2366" s="1">
        <v>98</v>
      </c>
      <c r="V2366" s="5">
        <v>43696</v>
      </c>
      <c r="W2366" s="5">
        <v>43516</v>
      </c>
      <c r="X2366" s="1">
        <v>7995000</v>
      </c>
      <c r="Y2366" s="1">
        <v>7995000</v>
      </c>
      <c r="Z2366" s="5">
        <v>43614</v>
      </c>
      <c r="AA2366" s="1">
        <v>7300000</v>
      </c>
      <c r="AB2366" s="1" t="s">
        <v>1387</v>
      </c>
      <c r="AC2366" s="5">
        <v>43629</v>
      </c>
      <c r="AF2366" s="1">
        <v>10024</v>
      </c>
      <c r="AI2366" s="1" t="s">
        <v>192</v>
      </c>
      <c r="AJ2366" s="1">
        <v>2017</v>
      </c>
      <c r="AK2366" s="1" t="s">
        <v>108</v>
      </c>
      <c r="AL2366" s="1">
        <v>26</v>
      </c>
    </row>
    <row r="2367" spans="1:38" x14ac:dyDescent="0.2">
      <c r="A2367" s="2" t="str">
        <f>HYPERLINK("https://www.compass.com/listing/221-west-77th-street-unit-10e-manhattan-ny-10024/8743032669140049/","221 W 77th St, Unit 10E")</f>
        <v>221 W 77th St, Unit 10E</v>
      </c>
      <c r="B2367" s="2" t="str">
        <f t="shared" si="387"/>
        <v>221 West 77th Street</v>
      </c>
      <c r="C2367" s="1" t="s">
        <v>57</v>
      </c>
      <c r="D2367" s="1" t="s">
        <v>41</v>
      </c>
      <c r="E2367" s="3">
        <v>5150000</v>
      </c>
      <c r="F2367" s="1">
        <v>2491.5336236090898</v>
      </c>
      <c r="G2367" s="1">
        <v>5</v>
      </c>
      <c r="H2367" s="1">
        <v>3</v>
      </c>
      <c r="I2367" s="1">
        <v>4</v>
      </c>
      <c r="J2367" s="1">
        <v>3.5</v>
      </c>
      <c r="M2367" s="4">
        <v>2067</v>
      </c>
      <c r="N2367" s="1">
        <v>2066</v>
      </c>
      <c r="O2367" s="1">
        <v>4731</v>
      </c>
      <c r="P2367" s="1">
        <v>2665</v>
      </c>
      <c r="Q2367" s="1" t="s">
        <v>42</v>
      </c>
      <c r="S2367" s="1" t="s">
        <v>42</v>
      </c>
      <c r="T2367" s="1" t="s">
        <v>273</v>
      </c>
      <c r="U2367" s="1">
        <v>36</v>
      </c>
      <c r="V2367" s="5">
        <v>43642</v>
      </c>
      <c r="W2367" s="5">
        <v>42475</v>
      </c>
      <c r="X2367" s="1">
        <v>5150000</v>
      </c>
      <c r="Y2367" s="1">
        <v>5150000</v>
      </c>
      <c r="Z2367" s="5">
        <v>42511</v>
      </c>
      <c r="AA2367" s="1">
        <v>5150000</v>
      </c>
      <c r="AB2367" s="1" t="s">
        <v>1291</v>
      </c>
      <c r="AC2367" s="5">
        <v>42902</v>
      </c>
      <c r="AF2367" s="1">
        <v>10024</v>
      </c>
      <c r="AI2367" s="1" t="s">
        <v>236</v>
      </c>
      <c r="AJ2367" s="1">
        <v>2017</v>
      </c>
      <c r="AK2367" s="1" t="s">
        <v>55</v>
      </c>
      <c r="AL2367" s="1">
        <v>26</v>
      </c>
    </row>
    <row r="2368" spans="1:38" x14ac:dyDescent="0.2">
      <c r="A2368" s="2" t="str">
        <f>HYPERLINK("https://www.compass.com/listing/221-west-77th-street-unit-11e-manhattan-ny-10024/8743035907100225/","221 W 77th St, Unit 11E")</f>
        <v>221 W 77th St, Unit 11E</v>
      </c>
      <c r="B2368" s="2" t="str">
        <f t="shared" si="387"/>
        <v>221 West 77th Street</v>
      </c>
      <c r="C2368" s="1" t="s">
        <v>57</v>
      </c>
      <c r="D2368" s="1" t="s">
        <v>41</v>
      </c>
      <c r="E2368" s="3">
        <v>5250000</v>
      </c>
      <c r="F2368" s="1">
        <v>2539.9129172714001</v>
      </c>
      <c r="G2368" s="1">
        <v>6</v>
      </c>
      <c r="H2368" s="1">
        <v>3</v>
      </c>
      <c r="I2368" s="1">
        <v>4</v>
      </c>
      <c r="J2368" s="1">
        <v>3.5</v>
      </c>
      <c r="M2368" s="4">
        <v>2067</v>
      </c>
      <c r="N2368" s="1">
        <v>2066</v>
      </c>
      <c r="O2368" s="1">
        <v>4731</v>
      </c>
      <c r="P2368" s="1">
        <v>2665</v>
      </c>
      <c r="Q2368" s="1" t="s">
        <v>42</v>
      </c>
      <c r="S2368" s="1" t="s">
        <v>42</v>
      </c>
      <c r="T2368" s="1" t="s">
        <v>273</v>
      </c>
      <c r="V2368" s="5">
        <v>43664</v>
      </c>
      <c r="W2368" s="5">
        <v>42528</v>
      </c>
      <c r="X2368" s="1">
        <v>5350000</v>
      </c>
      <c r="Y2368" s="1">
        <v>5350000</v>
      </c>
      <c r="Z2368" s="5">
        <v>42528</v>
      </c>
      <c r="AA2368" s="1">
        <v>5250000</v>
      </c>
      <c r="AB2368" s="1" t="s">
        <v>1292</v>
      </c>
      <c r="AC2368" s="5">
        <v>42926</v>
      </c>
      <c r="AF2368" s="1">
        <v>10024</v>
      </c>
      <c r="AI2368" s="1" t="s">
        <v>111</v>
      </c>
      <c r="AJ2368" s="1">
        <v>2017</v>
      </c>
      <c r="AK2368" s="1" t="s">
        <v>55</v>
      </c>
      <c r="AL2368" s="1">
        <v>26</v>
      </c>
    </row>
    <row r="2369" spans="1:38" x14ac:dyDescent="0.2">
      <c r="A2369" s="2" t="str">
        <f>HYPERLINK("https://www.compass.com/listing/77-charlton-street-unit-s6b-manhattan-ny-10014/333303297661874257/","77 Charlton St, Unit S6B")</f>
        <v>77 Charlton St, Unit S6B</v>
      </c>
      <c r="B2369" s="2" t="str">
        <f>HYPERLINK("https://www.compass.com/building/77-charlton-st-manhattan-ny-10014/282058735872933093/","77 Charlton St")</f>
        <v>77 Charlton St</v>
      </c>
      <c r="C2369" s="1" t="s">
        <v>298</v>
      </c>
      <c r="D2369" s="1" t="s">
        <v>41</v>
      </c>
      <c r="E2369" s="3">
        <v>1454672</v>
      </c>
      <c r="F2369" s="1">
        <v>1929.2731432360699</v>
      </c>
      <c r="G2369" s="1">
        <v>3</v>
      </c>
      <c r="H2369" s="1">
        <v>1</v>
      </c>
      <c r="I2369" s="1">
        <v>1</v>
      </c>
      <c r="J2369" s="1">
        <v>1</v>
      </c>
      <c r="K2369" s="1">
        <v>1</v>
      </c>
      <c r="M2369" s="1">
        <v>754</v>
      </c>
      <c r="N2369" s="1">
        <v>865</v>
      </c>
      <c r="O2369" s="1">
        <v>2101</v>
      </c>
      <c r="P2369" s="1">
        <v>1236</v>
      </c>
      <c r="Q2369" s="1" t="s">
        <v>42</v>
      </c>
      <c r="S2369" s="1" t="s">
        <v>42</v>
      </c>
      <c r="T2369" s="1" t="s">
        <v>273</v>
      </c>
      <c r="V2369" s="5">
        <v>44373</v>
      </c>
      <c r="W2369" s="5">
        <v>43846</v>
      </c>
      <c r="X2369" s="1">
        <v>1485000</v>
      </c>
      <c r="Y2369" s="1">
        <v>1485000</v>
      </c>
      <c r="Z2369" s="5">
        <v>43846</v>
      </c>
      <c r="AA2369" s="1">
        <v>1454671.95</v>
      </c>
      <c r="AB2369" s="1" t="s">
        <v>1388</v>
      </c>
      <c r="AC2369" s="5">
        <v>44307</v>
      </c>
      <c r="AF2369" s="1">
        <v>10014</v>
      </c>
      <c r="AI2369" s="1" t="s">
        <v>48</v>
      </c>
      <c r="AJ2369" s="1">
        <v>2019</v>
      </c>
      <c r="AK2369" s="1" t="s">
        <v>46</v>
      </c>
      <c r="AL2369" s="1">
        <v>161</v>
      </c>
    </row>
    <row r="2370" spans="1:38" x14ac:dyDescent="0.2">
      <c r="A2370" s="2" t="str">
        <f>HYPERLINK("https://www.compass.com/listing/221-west-77th-street-unit-thw-manhattan-ny-10024/29514357180332833/","221 W 77th St, Unit THW")</f>
        <v>221 W 77th St, Unit THW</v>
      </c>
      <c r="B2370" s="2" t="str">
        <f>HYPERLINK("https://www.compass.com/building/221-west-77th-street-manhattan-ny/292869344491294229/","221 West 77th Street")</f>
        <v>221 West 77th Street</v>
      </c>
      <c r="C2370" s="1" t="s">
        <v>57</v>
      </c>
      <c r="D2370" s="1" t="s">
        <v>41</v>
      </c>
      <c r="E2370" s="3">
        <v>9750000</v>
      </c>
      <c r="F2370" s="1">
        <v>2559.72696245733</v>
      </c>
      <c r="G2370" s="1">
        <v>7</v>
      </c>
      <c r="H2370" s="1">
        <v>5</v>
      </c>
      <c r="I2370" s="1">
        <v>6</v>
      </c>
      <c r="J2370" s="1">
        <v>5.5</v>
      </c>
      <c r="K2370" s="1">
        <v>5</v>
      </c>
      <c r="L2370" s="1">
        <v>1</v>
      </c>
      <c r="M2370" s="4">
        <v>3809</v>
      </c>
      <c r="N2370" s="1">
        <v>4128</v>
      </c>
      <c r="O2370" s="1">
        <v>10610</v>
      </c>
      <c r="P2370" s="1">
        <v>6482</v>
      </c>
      <c r="Q2370" s="1" t="s">
        <v>42</v>
      </c>
      <c r="S2370" s="1" t="s">
        <v>42</v>
      </c>
      <c r="T2370" s="1" t="s">
        <v>273</v>
      </c>
      <c r="U2370" s="1">
        <v>190</v>
      </c>
      <c r="V2370" s="5">
        <v>43678</v>
      </c>
      <c r="W2370" s="5">
        <v>43119</v>
      </c>
      <c r="X2370" s="1">
        <v>9750000</v>
      </c>
      <c r="Y2370" s="1">
        <v>9750000</v>
      </c>
      <c r="Z2370" s="5">
        <v>43309</v>
      </c>
      <c r="AA2370" s="1">
        <v>9750000</v>
      </c>
      <c r="AB2370" s="1" t="s">
        <v>1389</v>
      </c>
      <c r="AC2370" s="5">
        <v>43462</v>
      </c>
      <c r="AF2370" s="1">
        <v>10024</v>
      </c>
      <c r="AI2370" s="1" t="s">
        <v>1374</v>
      </c>
      <c r="AJ2370" s="1">
        <v>2017</v>
      </c>
      <c r="AK2370" s="1" t="s">
        <v>108</v>
      </c>
      <c r="AL2370" s="1">
        <v>26</v>
      </c>
    </row>
    <row r="2371" spans="1:38" x14ac:dyDescent="0.2">
      <c r="A2371" s="2" t="str">
        <f>HYPERLINK("https://www.compass.com/listing/300-east-64th-street-unit-23c-manhattan-ny-10021/196304400497563489/","300 E 64th St, Unit 23C")</f>
        <v>300 E 64th St, Unit 23C</v>
      </c>
      <c r="B2371" s="2" t="str">
        <f>HYPERLINK("https://www.compass.com/building/300-e-64th-st-manhattan-ny-10021/282038617012979925/","300 E 64th St")</f>
        <v>300 E 64th St</v>
      </c>
      <c r="C2371" s="1" t="s">
        <v>82</v>
      </c>
      <c r="D2371" s="1" t="s">
        <v>41</v>
      </c>
      <c r="E2371" s="3">
        <v>1195000</v>
      </c>
      <c r="F2371" s="1">
        <v>1224.38524590163</v>
      </c>
      <c r="G2371" s="1">
        <v>3.5</v>
      </c>
      <c r="H2371" s="1">
        <v>1</v>
      </c>
      <c r="I2371" s="1">
        <v>2</v>
      </c>
      <c r="J2371" s="1">
        <v>2</v>
      </c>
      <c r="K2371" s="1">
        <v>2</v>
      </c>
      <c r="M2371" s="1">
        <v>976</v>
      </c>
      <c r="N2371" s="1">
        <v>1230</v>
      </c>
      <c r="O2371" s="1">
        <v>2752</v>
      </c>
      <c r="P2371" s="1">
        <v>1522</v>
      </c>
      <c r="Q2371" s="1" t="s">
        <v>42</v>
      </c>
      <c r="S2371" s="1" t="s">
        <v>42</v>
      </c>
      <c r="T2371" s="1" t="s">
        <v>273</v>
      </c>
      <c r="U2371" s="1">
        <v>431</v>
      </c>
      <c r="V2371" s="5">
        <v>44241</v>
      </c>
      <c r="W2371" s="5">
        <v>43517</v>
      </c>
      <c r="X2371" s="1">
        <v>1750000</v>
      </c>
      <c r="Y2371" s="1">
        <v>1450000</v>
      </c>
      <c r="AA2371" s="1">
        <v>1195000</v>
      </c>
      <c r="AB2371" s="1" t="s">
        <v>1390</v>
      </c>
      <c r="AC2371" s="5">
        <v>44196</v>
      </c>
      <c r="AF2371" s="1">
        <v>10021</v>
      </c>
      <c r="AI2371" s="1" t="s">
        <v>189</v>
      </c>
      <c r="AJ2371" s="1">
        <v>1996</v>
      </c>
      <c r="AK2371" s="1" t="s">
        <v>49</v>
      </c>
      <c r="AL2371" s="1">
        <v>103</v>
      </c>
    </row>
    <row r="2372" spans="1:38" x14ac:dyDescent="0.2">
      <c r="A2372" s="2" t="str">
        <f>HYPERLINK("https://www.compass.com/listing/207-west-79th-street-unit-tha-manhattan-ny-10024/29515055347298289/","207 W 79th St, Unit THA")</f>
        <v>207 W 79th St, Unit THA</v>
      </c>
      <c r="B2372" s="2" t="str">
        <f>HYPERLINK("https://www.compass.com/building/207-west-79th-street-manhattan-ny/292869088261262661/","207 West 79th Street")</f>
        <v>207 West 79th Street</v>
      </c>
      <c r="C2372" s="1" t="s">
        <v>57</v>
      </c>
      <c r="D2372" s="1" t="s">
        <v>41</v>
      </c>
      <c r="E2372" s="3">
        <v>9892175</v>
      </c>
      <c r="F2372" s="1">
        <v>2465.0323947171601</v>
      </c>
      <c r="G2372" s="1">
        <v>8</v>
      </c>
      <c r="H2372" s="1">
        <v>5</v>
      </c>
      <c r="I2372" s="1">
        <v>5</v>
      </c>
      <c r="J2372" s="1">
        <v>5.5</v>
      </c>
      <c r="K2372" s="1">
        <v>5</v>
      </c>
      <c r="L2372" s="1">
        <v>1</v>
      </c>
      <c r="M2372" s="4">
        <v>4013</v>
      </c>
      <c r="N2372" s="1">
        <v>5701</v>
      </c>
      <c r="O2372" s="1">
        <v>9162</v>
      </c>
      <c r="P2372" s="1">
        <v>3461</v>
      </c>
      <c r="Q2372" s="1" t="s">
        <v>42</v>
      </c>
      <c r="S2372" s="1" t="s">
        <v>42</v>
      </c>
      <c r="T2372" s="1" t="s">
        <v>273</v>
      </c>
      <c r="U2372" s="1">
        <v>244</v>
      </c>
      <c r="V2372" s="5">
        <v>43647</v>
      </c>
      <c r="W2372" s="5">
        <v>42767</v>
      </c>
      <c r="X2372" s="1">
        <v>10500000</v>
      </c>
      <c r="Y2372" s="1">
        <v>10500000</v>
      </c>
      <c r="Z2372" s="5">
        <v>43011</v>
      </c>
      <c r="AA2372" s="1">
        <v>9892175</v>
      </c>
      <c r="AB2372" s="1" t="s">
        <v>1391</v>
      </c>
      <c r="AC2372" s="5">
        <v>43294</v>
      </c>
      <c r="AF2372" s="1">
        <v>10024</v>
      </c>
      <c r="AI2372" s="1" t="s">
        <v>131</v>
      </c>
      <c r="AJ2372" s="1">
        <v>2017</v>
      </c>
      <c r="AK2372" s="1" t="s">
        <v>49</v>
      </c>
      <c r="AL2372" s="1">
        <v>19</v>
      </c>
    </row>
    <row r="2373" spans="1:38" x14ac:dyDescent="0.2">
      <c r="A2373" s="2" t="str">
        <f>HYPERLINK("https://www.compass.com/listing/355-east-19th-street-unit-ph-manhattan-ny-10003/4852306972222954353/","355 E 19th St, Unit PH")</f>
        <v>355 E 19th St, Unit PH</v>
      </c>
      <c r="B2373" s="2" t="str">
        <f>HYPERLINK("https://www.compass.com/building/355-e-19th-st-manhattan-ny-10003/281893275755879157/","355 E 19th St")</f>
        <v>355 E 19th St</v>
      </c>
      <c r="C2373" s="1" t="s">
        <v>64</v>
      </c>
      <c r="D2373" s="1" t="s">
        <v>41</v>
      </c>
      <c r="E2373" s="3">
        <v>3200000</v>
      </c>
      <c r="F2373" s="1">
        <v>1639.3442622950799</v>
      </c>
      <c r="G2373" s="1">
        <v>5</v>
      </c>
      <c r="H2373" s="1">
        <v>3</v>
      </c>
      <c r="I2373" s="1">
        <v>2</v>
      </c>
      <c r="J2373" s="1">
        <v>2</v>
      </c>
      <c r="K2373" s="1">
        <v>2</v>
      </c>
      <c r="M2373" s="4">
        <v>1952</v>
      </c>
      <c r="N2373" s="1">
        <v>837.43</v>
      </c>
      <c r="O2373" s="1">
        <v>3225.8199999999902</v>
      </c>
      <c r="P2373" s="1">
        <v>2388.4166666666601</v>
      </c>
      <c r="Q2373" s="1" t="s">
        <v>42</v>
      </c>
      <c r="S2373" s="1" t="s">
        <v>42</v>
      </c>
      <c r="T2373" s="1" t="s">
        <v>273</v>
      </c>
      <c r="U2373" s="1">
        <v>265</v>
      </c>
      <c r="V2373" s="5">
        <v>43666</v>
      </c>
      <c r="W2373" s="5">
        <v>42516</v>
      </c>
      <c r="X2373" s="1">
        <v>3495000</v>
      </c>
      <c r="Y2373" s="1">
        <v>3200000</v>
      </c>
      <c r="Z2373" s="5">
        <v>42781</v>
      </c>
      <c r="AA2373" s="1">
        <v>3200000</v>
      </c>
      <c r="AB2373" s="1" t="s">
        <v>275</v>
      </c>
      <c r="AC2373" s="5">
        <v>42831</v>
      </c>
      <c r="AF2373" s="1">
        <v>10003</v>
      </c>
      <c r="AI2373" s="1" t="s">
        <v>1124</v>
      </c>
      <c r="AJ2373" s="1">
        <v>2015</v>
      </c>
      <c r="AK2373" s="1" t="s">
        <v>136</v>
      </c>
      <c r="AL2373" s="1">
        <v>7</v>
      </c>
    </row>
    <row r="2374" spans="1:38" x14ac:dyDescent="0.2">
      <c r="A2374" s="2" t="str">
        <f>HYPERLINK("https://www.compass.com/listing/207-west-79th-street-unit-8a-manhattan-ny-10024/29400359168383569/","207 W 79th St, Unit 8A")</f>
        <v>207 W 79th St, Unit 8A</v>
      </c>
      <c r="B2374" s="2" t="str">
        <f t="shared" ref="B2374:B2377" si="388">HYPERLINK("https://www.compass.com/building/207-west-79th-street-manhattan-ny/292869088261262661/","207 West 79th Street")</f>
        <v>207 West 79th Street</v>
      </c>
      <c r="C2374" s="1" t="s">
        <v>57</v>
      </c>
      <c r="D2374" s="1" t="s">
        <v>41</v>
      </c>
      <c r="E2374" s="3">
        <v>6350000</v>
      </c>
      <c r="F2374" s="1">
        <v>2642.5301706200498</v>
      </c>
      <c r="G2374" s="1">
        <v>6</v>
      </c>
      <c r="H2374" s="1">
        <v>4</v>
      </c>
      <c r="I2374" s="1">
        <v>4</v>
      </c>
      <c r="J2374" s="1">
        <v>4.5</v>
      </c>
      <c r="K2374" s="1">
        <v>4</v>
      </c>
      <c r="L2374" s="1">
        <v>1</v>
      </c>
      <c r="M2374" s="4">
        <v>2403</v>
      </c>
      <c r="N2374" s="1">
        <v>3305</v>
      </c>
      <c r="O2374" s="1">
        <v>5311</v>
      </c>
      <c r="P2374" s="1">
        <v>2006</v>
      </c>
      <c r="Q2374" s="1" t="s">
        <v>42</v>
      </c>
      <c r="S2374" s="1" t="s">
        <v>42</v>
      </c>
      <c r="T2374" s="1" t="s">
        <v>273</v>
      </c>
      <c r="U2374" s="1">
        <v>360</v>
      </c>
      <c r="V2374" s="5">
        <v>43648</v>
      </c>
      <c r="W2374" s="5">
        <v>42860</v>
      </c>
      <c r="X2374" s="1">
        <v>655000</v>
      </c>
      <c r="Y2374" s="1">
        <v>655000</v>
      </c>
      <c r="Z2374" s="5">
        <v>43220</v>
      </c>
      <c r="AA2374" s="1">
        <v>6350000</v>
      </c>
      <c r="AB2374" s="1" t="s">
        <v>1392</v>
      </c>
      <c r="AC2374" s="5">
        <v>43249</v>
      </c>
      <c r="AF2374" s="1">
        <v>10024</v>
      </c>
      <c r="AJ2374" s="1">
        <v>2017</v>
      </c>
      <c r="AK2374" s="1" t="s">
        <v>49</v>
      </c>
      <c r="AL2374" s="1">
        <v>19</v>
      </c>
    </row>
    <row r="2375" spans="1:38" x14ac:dyDescent="0.2">
      <c r="A2375" s="2" t="str">
        <f>HYPERLINK("https://www.compass.com/listing/207-west-79th-street-unit-9a-manhattan-ny-10024/29400360032531281/","207 W 79th St, Unit 9A")</f>
        <v>207 W 79th St, Unit 9A</v>
      </c>
      <c r="B2375" s="2" t="str">
        <f t="shared" si="388"/>
        <v>207 West 79th Street</v>
      </c>
      <c r="C2375" s="1" t="s">
        <v>57</v>
      </c>
      <c r="D2375" s="1" t="s">
        <v>41</v>
      </c>
      <c r="E2375" s="3">
        <v>6410694</v>
      </c>
      <c r="F2375" s="1">
        <v>2667.7877652933798</v>
      </c>
      <c r="G2375" s="1">
        <v>6</v>
      </c>
      <c r="H2375" s="1">
        <v>4</v>
      </c>
      <c r="I2375" s="1">
        <v>4</v>
      </c>
      <c r="J2375" s="1">
        <v>4.5</v>
      </c>
      <c r="K2375" s="1">
        <v>4</v>
      </c>
      <c r="L2375" s="1">
        <v>1</v>
      </c>
      <c r="M2375" s="4">
        <v>2403</v>
      </c>
      <c r="N2375" s="1">
        <v>3321</v>
      </c>
      <c r="O2375" s="1">
        <v>5337</v>
      </c>
      <c r="P2375" s="1">
        <v>2016</v>
      </c>
      <c r="Q2375" s="1" t="s">
        <v>42</v>
      </c>
      <c r="S2375" s="1" t="s">
        <v>42</v>
      </c>
      <c r="T2375" s="1" t="s">
        <v>273</v>
      </c>
      <c r="U2375" s="1">
        <v>21</v>
      </c>
      <c r="V2375" s="5">
        <v>43654</v>
      </c>
      <c r="W2375" s="5">
        <v>42767</v>
      </c>
      <c r="X2375" s="1">
        <v>6350000</v>
      </c>
      <c r="Y2375" s="1">
        <v>6350000</v>
      </c>
      <c r="Z2375" s="5">
        <v>42788</v>
      </c>
      <c r="AA2375" s="1">
        <v>6410694</v>
      </c>
      <c r="AB2375" s="1" t="s">
        <v>1393</v>
      </c>
      <c r="AC2375" s="5">
        <v>43196</v>
      </c>
      <c r="AF2375" s="1">
        <v>10024</v>
      </c>
      <c r="AJ2375" s="1">
        <v>2017</v>
      </c>
      <c r="AK2375" s="1" t="s">
        <v>49</v>
      </c>
      <c r="AL2375" s="1">
        <v>19</v>
      </c>
    </row>
    <row r="2376" spans="1:38" x14ac:dyDescent="0.2">
      <c r="A2376" s="2" t="str">
        <f>HYPERLINK("https://www.compass.com/listing/207-west-79th-street-unit-10a-manhattan-ny-10024/29400360862961041/","207 W 79th St, Unit 10A")</f>
        <v>207 W 79th St, Unit 10A</v>
      </c>
      <c r="B2376" s="2" t="str">
        <f t="shared" si="388"/>
        <v>207 West 79th Street</v>
      </c>
      <c r="C2376" s="1" t="s">
        <v>57</v>
      </c>
      <c r="D2376" s="1" t="s">
        <v>41</v>
      </c>
      <c r="E2376" s="3">
        <v>6450000</v>
      </c>
      <c r="F2376" s="1">
        <v>2684.14481897627</v>
      </c>
      <c r="G2376" s="1">
        <v>6.5</v>
      </c>
      <c r="H2376" s="1">
        <v>4</v>
      </c>
      <c r="I2376" s="1">
        <v>4</v>
      </c>
      <c r="J2376" s="1">
        <v>4.5</v>
      </c>
      <c r="K2376" s="1">
        <v>4</v>
      </c>
      <c r="L2376" s="1">
        <v>1</v>
      </c>
      <c r="M2376" s="4">
        <v>2403</v>
      </c>
      <c r="N2376" s="1">
        <v>3337</v>
      </c>
      <c r="O2376" s="1">
        <v>5363</v>
      </c>
      <c r="P2376" s="1">
        <v>2026</v>
      </c>
      <c r="Q2376" s="1" t="s">
        <v>42</v>
      </c>
      <c r="S2376" s="1" t="s">
        <v>42</v>
      </c>
      <c r="T2376" s="1" t="s">
        <v>273</v>
      </c>
      <c r="V2376" s="5">
        <v>43648</v>
      </c>
      <c r="W2376" s="5">
        <v>43208</v>
      </c>
      <c r="X2376" s="1">
        <v>6750000</v>
      </c>
      <c r="Y2376" s="1">
        <v>6750000</v>
      </c>
      <c r="Z2376" s="5">
        <v>43208</v>
      </c>
      <c r="AA2376" s="1">
        <v>6450000</v>
      </c>
      <c r="AB2376" s="1" t="s">
        <v>1394</v>
      </c>
      <c r="AC2376" s="5">
        <v>43244</v>
      </c>
      <c r="AF2376" s="1">
        <v>10024</v>
      </c>
      <c r="AJ2376" s="1">
        <v>2017</v>
      </c>
      <c r="AK2376" s="1" t="s">
        <v>49</v>
      </c>
      <c r="AL2376" s="1">
        <v>19</v>
      </c>
    </row>
    <row r="2377" spans="1:38" x14ac:dyDescent="0.2">
      <c r="A2377" s="2" t="str">
        <f>HYPERLINK("https://www.compass.com/listing/207-west-79th-street-unit-11-manhattan-ny-10024/29400361643022961/","207 W 79th St, Unit 11")</f>
        <v>207 W 79th St, Unit 11</v>
      </c>
      <c r="B2377" s="2" t="str">
        <f t="shared" si="388"/>
        <v>207 West 79th Street</v>
      </c>
      <c r="C2377" s="1" t="s">
        <v>57</v>
      </c>
      <c r="D2377" s="1" t="s">
        <v>41</v>
      </c>
      <c r="E2377" s="3">
        <v>12094469</v>
      </c>
      <c r="F2377" s="1">
        <v>2876.21141498216</v>
      </c>
      <c r="G2377" s="1">
        <v>9</v>
      </c>
      <c r="H2377" s="1">
        <v>5</v>
      </c>
      <c r="I2377" s="1">
        <v>5</v>
      </c>
      <c r="J2377" s="1">
        <v>5.5</v>
      </c>
      <c r="K2377" s="1">
        <v>5</v>
      </c>
      <c r="L2377" s="1">
        <v>1</v>
      </c>
      <c r="M2377" s="4">
        <v>4205</v>
      </c>
      <c r="N2377" s="1">
        <v>5868</v>
      </c>
      <c r="O2377" s="1">
        <v>9431</v>
      </c>
      <c r="P2377" s="1">
        <v>3563</v>
      </c>
      <c r="Q2377" s="1" t="s">
        <v>42</v>
      </c>
      <c r="S2377" s="1" t="s">
        <v>42</v>
      </c>
      <c r="T2377" s="1" t="s">
        <v>273</v>
      </c>
      <c r="U2377" s="1">
        <v>41</v>
      </c>
      <c r="V2377" s="5">
        <v>43654</v>
      </c>
      <c r="W2377" s="5">
        <v>42767</v>
      </c>
      <c r="X2377" s="1">
        <v>12500000</v>
      </c>
      <c r="Y2377" s="1">
        <v>12500000</v>
      </c>
      <c r="Z2377" s="5">
        <v>42808</v>
      </c>
      <c r="AA2377" s="1">
        <v>12094469</v>
      </c>
      <c r="AB2377" s="1" t="s">
        <v>1395</v>
      </c>
      <c r="AC2377" s="5">
        <v>43217</v>
      </c>
      <c r="AF2377" s="1">
        <v>10024</v>
      </c>
      <c r="AJ2377" s="1">
        <v>2017</v>
      </c>
      <c r="AK2377" s="1" t="s">
        <v>49</v>
      </c>
      <c r="AL2377" s="1">
        <v>19</v>
      </c>
    </row>
    <row r="2378" spans="1:38" x14ac:dyDescent="0.2">
      <c r="A2378" s="2" t="str">
        <f>HYPERLINK("https://www.compass.com/listing/221-west-77th-street-unit-7w-manhattan-ny-10024/14532615767868305/","221 W 77th St, Unit 7W")</f>
        <v>221 W 77th St, Unit 7W</v>
      </c>
      <c r="B2378" s="2" t="str">
        <f t="shared" ref="B2378:B2389" si="389">HYPERLINK("https://www.compass.com/building/221-west-77th-street-manhattan-ny/292869344491294229/","221 West 77th Street")</f>
        <v>221 West 77th Street</v>
      </c>
      <c r="C2378" s="1" t="s">
        <v>57</v>
      </c>
      <c r="D2378" s="1" t="s">
        <v>41</v>
      </c>
      <c r="E2378" s="3">
        <v>8375737</v>
      </c>
      <c r="F2378" s="1">
        <v>2737.16895424836</v>
      </c>
      <c r="G2378" s="1">
        <v>7</v>
      </c>
      <c r="H2378" s="1">
        <v>5</v>
      </c>
      <c r="I2378" s="1">
        <v>6</v>
      </c>
      <c r="J2378" s="1">
        <v>5.5</v>
      </c>
      <c r="M2378" s="4">
        <v>3060</v>
      </c>
      <c r="N2378" s="1">
        <v>3058</v>
      </c>
      <c r="O2378" s="1">
        <v>7004</v>
      </c>
      <c r="P2378" s="1">
        <v>3946</v>
      </c>
      <c r="Q2378" s="1" t="s">
        <v>42</v>
      </c>
      <c r="S2378" s="1" t="s">
        <v>42</v>
      </c>
      <c r="T2378" s="1" t="s">
        <v>273</v>
      </c>
      <c r="U2378" s="1">
        <v>271</v>
      </c>
      <c r="V2378" s="5">
        <v>43649</v>
      </c>
      <c r="W2378" s="5">
        <v>42769</v>
      </c>
      <c r="X2378" s="1">
        <v>7950000</v>
      </c>
      <c r="Y2378" s="1">
        <v>7950000</v>
      </c>
      <c r="Z2378" s="5">
        <v>43040</v>
      </c>
      <c r="AA2378" s="1">
        <v>8375737</v>
      </c>
      <c r="AB2378" s="1" t="s">
        <v>1396</v>
      </c>
      <c r="AC2378" s="5">
        <v>43117</v>
      </c>
      <c r="AF2378" s="1">
        <v>10024</v>
      </c>
      <c r="AI2378" s="1" t="s">
        <v>111</v>
      </c>
      <c r="AJ2378" s="1">
        <v>2017</v>
      </c>
      <c r="AK2378" s="1" t="s">
        <v>108</v>
      </c>
      <c r="AL2378" s="1">
        <v>26</v>
      </c>
    </row>
    <row r="2379" spans="1:38" x14ac:dyDescent="0.2">
      <c r="A2379" s="2" t="str">
        <f>HYPERLINK("https://www.compass.com/listing/221-west-77th-street-unit-7w-manhattan-ny-10024/803329987524550553/","221 W 77th St, Unit 7W")</f>
        <v>221 W 77th St, Unit 7W</v>
      </c>
      <c r="B2379" s="2" t="str">
        <f t="shared" si="389"/>
        <v>221 West 77th Street</v>
      </c>
      <c r="C2379" s="1" t="s">
        <v>57</v>
      </c>
      <c r="D2379" s="1" t="s">
        <v>41</v>
      </c>
      <c r="E2379" s="3">
        <v>8375738</v>
      </c>
      <c r="F2379" s="1">
        <v>2737.1691176470499</v>
      </c>
      <c r="G2379" s="1">
        <v>7</v>
      </c>
      <c r="H2379" s="1">
        <v>5</v>
      </c>
      <c r="I2379" s="1">
        <v>6</v>
      </c>
      <c r="J2379" s="1">
        <v>5.5</v>
      </c>
      <c r="K2379" s="1">
        <v>5</v>
      </c>
      <c r="L2379" s="1">
        <v>1</v>
      </c>
      <c r="M2379" s="4">
        <v>3060</v>
      </c>
      <c r="N2379" s="1">
        <v>3058</v>
      </c>
      <c r="O2379" s="1">
        <v>7004</v>
      </c>
      <c r="P2379" s="1">
        <v>3946</v>
      </c>
      <c r="Q2379" s="1" t="s">
        <v>42</v>
      </c>
      <c r="S2379" s="1" t="s">
        <v>42</v>
      </c>
      <c r="T2379" s="1" t="s">
        <v>273</v>
      </c>
      <c r="U2379" s="1">
        <v>853</v>
      </c>
      <c r="V2379" s="5">
        <v>43678</v>
      </c>
      <c r="W2379" s="5">
        <v>42263</v>
      </c>
      <c r="X2379" s="1">
        <v>7950000</v>
      </c>
      <c r="Y2379" s="1">
        <v>7950000</v>
      </c>
      <c r="AA2379" s="1">
        <v>8375737.5</v>
      </c>
      <c r="AB2379" s="1" t="s">
        <v>1396</v>
      </c>
      <c r="AC2379" s="5">
        <v>43116</v>
      </c>
      <c r="AF2379" s="1">
        <v>10024</v>
      </c>
      <c r="AI2379" s="1" t="s">
        <v>225</v>
      </c>
      <c r="AJ2379" s="1">
        <v>2017</v>
      </c>
      <c r="AK2379" s="1" t="s">
        <v>108</v>
      </c>
      <c r="AL2379" s="1">
        <v>26</v>
      </c>
    </row>
    <row r="2380" spans="1:38" x14ac:dyDescent="0.2">
      <c r="A2380" s="2" t="str">
        <f>HYPERLINK("https://www.compass.com/listing/221-west-77th-street-unit-ph-manhattan-ny-10024/803340042377955105/","221 W 77th St, Unit PH")</f>
        <v>221 W 77th St, Unit PH</v>
      </c>
      <c r="B2380" s="2" t="str">
        <f t="shared" si="389"/>
        <v>221 West 77th Street</v>
      </c>
      <c r="C2380" s="1" t="s">
        <v>57</v>
      </c>
      <c r="D2380" s="1" t="s">
        <v>41</v>
      </c>
      <c r="E2380" s="3">
        <v>20850000</v>
      </c>
      <c r="F2380" s="1">
        <v>3472.10657785179</v>
      </c>
      <c r="G2380" s="1">
        <v>8</v>
      </c>
      <c r="H2380" s="1">
        <v>5</v>
      </c>
      <c r="I2380" s="1">
        <v>6</v>
      </c>
      <c r="J2380" s="1">
        <v>5.5</v>
      </c>
      <c r="M2380" s="4">
        <v>6005</v>
      </c>
      <c r="N2380" s="1">
        <v>6337</v>
      </c>
      <c r="O2380" s="1">
        <v>14513</v>
      </c>
      <c r="P2380" s="1">
        <v>8176</v>
      </c>
      <c r="Q2380" s="1" t="s">
        <v>42</v>
      </c>
      <c r="S2380" s="1" t="s">
        <v>42</v>
      </c>
      <c r="T2380" s="1" t="s">
        <v>273</v>
      </c>
      <c r="U2380" s="1">
        <v>143</v>
      </c>
      <c r="V2380" s="5">
        <v>43173</v>
      </c>
      <c r="W2380" s="5">
        <v>42286</v>
      </c>
      <c r="X2380" s="1">
        <v>22500000</v>
      </c>
      <c r="Y2380" s="1">
        <v>22500000</v>
      </c>
      <c r="Z2380" s="5">
        <v>42430</v>
      </c>
      <c r="AA2380" s="1">
        <v>20850000</v>
      </c>
      <c r="AB2380" s="1" t="s">
        <v>1384</v>
      </c>
      <c r="AC2380" s="5">
        <v>43243</v>
      </c>
      <c r="AF2380" s="1">
        <v>10024</v>
      </c>
      <c r="AI2380" s="1" t="s">
        <v>111</v>
      </c>
      <c r="AJ2380" s="1">
        <v>2017</v>
      </c>
      <c r="AK2380" s="1" t="s">
        <v>108</v>
      </c>
      <c r="AL2380" s="1">
        <v>26</v>
      </c>
    </row>
    <row r="2381" spans="1:38" x14ac:dyDescent="0.2">
      <c r="A2381" s="2" t="str">
        <f>HYPERLINK("https://www.compass.com/listing/221-west-77th-street-unit-5w-manhattan-ny-10024/8743033516346625/","221 W 77th St, Unit 5W")</f>
        <v>221 W 77th St, Unit 5W</v>
      </c>
      <c r="B2381" s="2" t="str">
        <f t="shared" si="389"/>
        <v>221 West 77th Street</v>
      </c>
      <c r="C2381" s="1" t="s">
        <v>57</v>
      </c>
      <c r="D2381" s="1" t="s">
        <v>41</v>
      </c>
      <c r="E2381" s="3">
        <v>6150000</v>
      </c>
      <c r="F2381" s="1">
        <v>2255.2255225522499</v>
      </c>
      <c r="G2381" s="1">
        <v>6</v>
      </c>
      <c r="H2381" s="1">
        <v>4</v>
      </c>
      <c r="I2381" s="1">
        <v>5</v>
      </c>
      <c r="J2381" s="1">
        <v>4.5</v>
      </c>
      <c r="M2381" s="4">
        <v>2727</v>
      </c>
      <c r="N2381" s="1">
        <v>2725</v>
      </c>
      <c r="O2381" s="1">
        <v>6241</v>
      </c>
      <c r="P2381" s="1">
        <v>3516</v>
      </c>
      <c r="Q2381" s="1" t="s">
        <v>42</v>
      </c>
      <c r="S2381" s="1" t="s">
        <v>42</v>
      </c>
      <c r="T2381" s="1" t="s">
        <v>273</v>
      </c>
      <c r="V2381" s="5">
        <v>43650</v>
      </c>
      <c r="W2381" s="5">
        <v>42587</v>
      </c>
      <c r="X2381" s="1">
        <v>6450000</v>
      </c>
      <c r="Y2381" s="1">
        <v>6450000</v>
      </c>
      <c r="Z2381" s="5">
        <v>42587</v>
      </c>
      <c r="AA2381" s="1">
        <v>6150000</v>
      </c>
      <c r="AB2381" s="1" t="s">
        <v>1311</v>
      </c>
      <c r="AC2381" s="5">
        <v>42913</v>
      </c>
      <c r="AF2381" s="1">
        <v>10024</v>
      </c>
      <c r="AI2381" s="1" t="s">
        <v>111</v>
      </c>
      <c r="AJ2381" s="1">
        <v>2017</v>
      </c>
      <c r="AK2381" s="1" t="s">
        <v>108</v>
      </c>
      <c r="AL2381" s="1">
        <v>26</v>
      </c>
    </row>
    <row r="2382" spans="1:38" x14ac:dyDescent="0.2">
      <c r="A2382" s="2" t="str">
        <f>HYPERLINK("https://www.compass.com/listing/221-west-77th-street-unit-8w-manhattan-ny-10024/8743033919042769/","221 W 77th St, Unit 8W")</f>
        <v>221 W 77th St, Unit 8W</v>
      </c>
      <c r="B2382" s="2" t="str">
        <f t="shared" si="389"/>
        <v>221 West 77th Street</v>
      </c>
      <c r="C2382" s="1" t="s">
        <v>57</v>
      </c>
      <c r="D2382" s="1" t="s">
        <v>41</v>
      </c>
      <c r="E2382" s="3">
        <v>7467525</v>
      </c>
      <c r="F2382" s="1">
        <v>2440.3676470588198</v>
      </c>
      <c r="G2382" s="1">
        <v>7</v>
      </c>
      <c r="H2382" s="1">
        <v>5</v>
      </c>
      <c r="I2382" s="1">
        <v>6</v>
      </c>
      <c r="J2382" s="1">
        <v>5.5</v>
      </c>
      <c r="M2382" s="4">
        <v>3060</v>
      </c>
      <c r="N2382" s="1">
        <v>3058</v>
      </c>
      <c r="O2382" s="1">
        <v>7004</v>
      </c>
      <c r="P2382" s="1">
        <v>3946</v>
      </c>
      <c r="Q2382" s="1" t="s">
        <v>42</v>
      </c>
      <c r="S2382" s="1" t="s">
        <v>42</v>
      </c>
      <c r="T2382" s="1" t="s">
        <v>273</v>
      </c>
      <c r="U2382" s="1">
        <v>161</v>
      </c>
      <c r="V2382" s="5">
        <v>43649</v>
      </c>
      <c r="W2382" s="5">
        <v>42608</v>
      </c>
      <c r="X2382" s="1">
        <v>8075000</v>
      </c>
      <c r="Y2382" s="1">
        <v>8075000</v>
      </c>
      <c r="Z2382" s="5">
        <v>43011</v>
      </c>
      <c r="AA2382" s="1">
        <v>7467525</v>
      </c>
      <c r="AB2382" s="1" t="s">
        <v>1312</v>
      </c>
      <c r="AC2382" s="5">
        <v>43045</v>
      </c>
      <c r="AF2382" s="1">
        <v>10024</v>
      </c>
      <c r="AI2382" s="1" t="s">
        <v>236</v>
      </c>
      <c r="AJ2382" s="1">
        <v>2017</v>
      </c>
      <c r="AK2382" s="1" t="s">
        <v>108</v>
      </c>
      <c r="AL2382" s="1">
        <v>26</v>
      </c>
    </row>
    <row r="2383" spans="1:38" x14ac:dyDescent="0.2">
      <c r="A2383" s="2" t="str">
        <f>HYPERLINK("https://www.compass.com/listing/221-west-77th-street-unit-11w-manhattan-ny-10024/8743034808192433/","221 W 77th St, Unit 11W")</f>
        <v>221 W 77th St, Unit 11W</v>
      </c>
      <c r="B2383" s="2" t="str">
        <f t="shared" si="389"/>
        <v>221 West 77th Street</v>
      </c>
      <c r="C2383" s="1" t="s">
        <v>57</v>
      </c>
      <c r="D2383" s="1" t="s">
        <v>41</v>
      </c>
      <c r="E2383" s="3">
        <v>7013418</v>
      </c>
      <c r="F2383" s="1">
        <v>2571.84378437843</v>
      </c>
      <c r="G2383" s="1">
        <v>6</v>
      </c>
      <c r="H2383" s="1">
        <v>4</v>
      </c>
      <c r="I2383" s="1">
        <v>5</v>
      </c>
      <c r="J2383" s="1">
        <v>4.5</v>
      </c>
      <c r="M2383" s="4">
        <v>2727</v>
      </c>
      <c r="N2383" s="1">
        <v>2725</v>
      </c>
      <c r="O2383" s="1">
        <v>6241</v>
      </c>
      <c r="P2383" s="1">
        <v>3516</v>
      </c>
      <c r="Q2383" s="1" t="s">
        <v>42</v>
      </c>
      <c r="S2383" s="1" t="s">
        <v>42</v>
      </c>
      <c r="T2383" s="1" t="s">
        <v>273</v>
      </c>
      <c r="U2383" s="1">
        <v>233</v>
      </c>
      <c r="V2383" s="5">
        <v>43649</v>
      </c>
      <c r="W2383" s="5">
        <v>42661</v>
      </c>
      <c r="X2383" s="1">
        <v>7150000</v>
      </c>
      <c r="Y2383" s="1">
        <v>6950000</v>
      </c>
      <c r="Z2383" s="5">
        <v>42894</v>
      </c>
      <c r="AA2383" s="1">
        <v>7013418</v>
      </c>
      <c r="AB2383" s="1" t="s">
        <v>1341</v>
      </c>
      <c r="AC2383" s="5">
        <v>42952</v>
      </c>
      <c r="AF2383" s="1">
        <v>10024</v>
      </c>
      <c r="AI2383" s="1" t="s">
        <v>236</v>
      </c>
      <c r="AJ2383" s="1">
        <v>2017</v>
      </c>
      <c r="AK2383" s="1" t="s">
        <v>108</v>
      </c>
      <c r="AL2383" s="1">
        <v>26</v>
      </c>
    </row>
    <row r="2384" spans="1:38" x14ac:dyDescent="0.2">
      <c r="A2384" s="2" t="str">
        <f>HYPERLINK("https://www.compass.com/listing/221-west-77th-street-unit-9w-manhattan-ny-10024/8743035546389889/","221 W 77th St, Unit 9W")</f>
        <v>221 W 77th St, Unit 9W</v>
      </c>
      <c r="B2384" s="2" t="str">
        <f t="shared" si="389"/>
        <v>221 West 77th Street</v>
      </c>
      <c r="C2384" s="1" t="s">
        <v>57</v>
      </c>
      <c r="D2384" s="1" t="s">
        <v>41</v>
      </c>
      <c r="E2384" s="3">
        <v>6761137</v>
      </c>
      <c r="F2384" s="1">
        <v>2460.384643377</v>
      </c>
      <c r="G2384" s="1">
        <v>7</v>
      </c>
      <c r="H2384" s="1">
        <v>4</v>
      </c>
      <c r="I2384" s="1">
        <v>5</v>
      </c>
      <c r="J2384" s="1">
        <v>4.5</v>
      </c>
      <c r="M2384" s="4">
        <v>2748</v>
      </c>
      <c r="N2384" s="1">
        <v>3058</v>
      </c>
      <c r="O2384" s="1">
        <v>7004</v>
      </c>
      <c r="P2384" s="1">
        <v>3946</v>
      </c>
      <c r="Q2384" s="1" t="s">
        <v>42</v>
      </c>
      <c r="S2384" s="1" t="s">
        <v>42</v>
      </c>
      <c r="T2384" s="1" t="s">
        <v>273</v>
      </c>
      <c r="U2384" s="1">
        <v>133</v>
      </c>
      <c r="V2384" s="5">
        <v>43651</v>
      </c>
      <c r="W2384" s="5">
        <v>42475</v>
      </c>
      <c r="X2384" s="1">
        <v>7695000</v>
      </c>
      <c r="Y2384" s="1">
        <v>8200000</v>
      </c>
      <c r="Z2384" s="5">
        <v>42670</v>
      </c>
      <c r="AA2384" s="1">
        <v>6761137</v>
      </c>
      <c r="AB2384" s="1" t="s">
        <v>1342</v>
      </c>
      <c r="AC2384" s="5">
        <v>42927</v>
      </c>
      <c r="AF2384" s="1">
        <v>10024</v>
      </c>
      <c r="AI2384" s="1" t="s">
        <v>1397</v>
      </c>
      <c r="AJ2384" s="1">
        <v>2017</v>
      </c>
      <c r="AK2384" s="1" t="s">
        <v>55</v>
      </c>
      <c r="AL2384" s="1">
        <v>26</v>
      </c>
    </row>
    <row r="2385" spans="1:38" x14ac:dyDescent="0.2">
      <c r="A2385" s="2" t="str">
        <f>HYPERLINK("https://www.compass.com/listing/221-west-77th-street-unit-15-manhattan-ny-10024/8743037056339681/","221 W 77th St, Unit 15")</f>
        <v>221 W 77th St, Unit 15</v>
      </c>
      <c r="B2385" s="2" t="str">
        <f t="shared" si="389"/>
        <v>221 West 77th Street</v>
      </c>
      <c r="C2385" s="1" t="s">
        <v>57</v>
      </c>
      <c r="D2385" s="1" t="s">
        <v>41</v>
      </c>
      <c r="E2385" s="3">
        <v>10450000</v>
      </c>
      <c r="F2385" s="1">
        <v>3077.1495877502898</v>
      </c>
      <c r="G2385" s="1">
        <v>7</v>
      </c>
      <c r="H2385" s="1">
        <v>5</v>
      </c>
      <c r="I2385" s="1">
        <v>5</v>
      </c>
      <c r="J2385" s="1">
        <v>4.5</v>
      </c>
      <c r="M2385" s="4">
        <v>3396</v>
      </c>
      <c r="N2385" s="1">
        <v>3422</v>
      </c>
      <c r="O2385" s="1">
        <v>7836</v>
      </c>
      <c r="P2385" s="1">
        <v>4414</v>
      </c>
      <c r="Q2385" s="1" t="s">
        <v>42</v>
      </c>
      <c r="S2385" s="1" t="s">
        <v>42</v>
      </c>
      <c r="T2385" s="1" t="s">
        <v>273</v>
      </c>
      <c r="U2385" s="1">
        <v>247</v>
      </c>
      <c r="V2385" s="5">
        <v>43649</v>
      </c>
      <c r="W2385" s="5">
        <v>42277</v>
      </c>
      <c r="X2385" s="1">
        <v>10450000</v>
      </c>
      <c r="Y2385" s="1">
        <v>10450000</v>
      </c>
      <c r="Z2385" s="5">
        <v>42524</v>
      </c>
      <c r="AA2385" s="1">
        <v>10450000</v>
      </c>
      <c r="AB2385" s="1" t="s">
        <v>275</v>
      </c>
      <c r="AC2385" s="5">
        <v>42980</v>
      </c>
      <c r="AF2385" s="1">
        <v>10024</v>
      </c>
      <c r="AI2385" s="1" t="s">
        <v>265</v>
      </c>
      <c r="AJ2385" s="1">
        <v>2017</v>
      </c>
      <c r="AK2385" s="1" t="s">
        <v>55</v>
      </c>
      <c r="AL2385" s="1">
        <v>26</v>
      </c>
    </row>
    <row r="2386" spans="1:38" x14ac:dyDescent="0.2">
      <c r="A2386" s="2" t="str">
        <f>HYPERLINK("https://www.compass.com/listing/221-west-77th-street-unit-6w-manhattan-ny-10024/8743038230745073/","221 W 77th St, Unit 6W")</f>
        <v>221 W 77th St, Unit 6W</v>
      </c>
      <c r="B2386" s="2" t="str">
        <f t="shared" si="389"/>
        <v>221 West 77th Street</v>
      </c>
      <c r="C2386" s="1" t="s">
        <v>57</v>
      </c>
      <c r="D2386" s="1" t="s">
        <v>41</v>
      </c>
      <c r="E2386" s="3">
        <v>6200000</v>
      </c>
      <c r="F2386" s="1">
        <v>2273.5606894022699</v>
      </c>
      <c r="G2386" s="1">
        <v>6</v>
      </c>
      <c r="H2386" s="1">
        <v>4</v>
      </c>
      <c r="I2386" s="1">
        <v>5</v>
      </c>
      <c r="J2386" s="1">
        <v>4.5</v>
      </c>
      <c r="M2386" s="4">
        <v>2727</v>
      </c>
      <c r="N2386" s="1">
        <v>2725</v>
      </c>
      <c r="O2386" s="1">
        <v>6241</v>
      </c>
      <c r="P2386" s="1">
        <v>3516</v>
      </c>
      <c r="Q2386" s="1" t="s">
        <v>42</v>
      </c>
      <c r="S2386" s="1" t="s">
        <v>42</v>
      </c>
      <c r="T2386" s="1" t="s">
        <v>273</v>
      </c>
      <c r="U2386" s="1">
        <v>1</v>
      </c>
      <c r="V2386" s="5">
        <v>43662</v>
      </c>
      <c r="W2386" s="5">
        <v>42712</v>
      </c>
      <c r="X2386" s="1">
        <v>6550000</v>
      </c>
      <c r="Y2386" s="1">
        <v>6550000</v>
      </c>
      <c r="Z2386" s="5">
        <v>42713</v>
      </c>
      <c r="AA2386" s="1">
        <v>6200000</v>
      </c>
      <c r="AB2386" s="1" t="s">
        <v>1290</v>
      </c>
      <c r="AC2386" s="5">
        <v>42906</v>
      </c>
      <c r="AF2386" s="1">
        <v>10024</v>
      </c>
      <c r="AI2386" s="1" t="s">
        <v>111</v>
      </c>
      <c r="AJ2386" s="1">
        <v>2017</v>
      </c>
      <c r="AK2386" s="1" t="s">
        <v>55</v>
      </c>
      <c r="AL2386" s="1">
        <v>26</v>
      </c>
    </row>
    <row r="2387" spans="1:38" x14ac:dyDescent="0.2">
      <c r="A2387" s="2" t="str">
        <f>HYPERLINK("https://www.compass.com/listing/221-west-77th-street-unit-12w-manhattan-ny-10024/8743038859890705/","221 W 77th St, Unit 12W")</f>
        <v>221 W 77th St, Unit 12W</v>
      </c>
      <c r="B2387" s="2" t="str">
        <f t="shared" si="389"/>
        <v>221 West 77th Street</v>
      </c>
      <c r="C2387" s="1" t="s">
        <v>57</v>
      </c>
      <c r="D2387" s="1" t="s">
        <v>41</v>
      </c>
      <c r="E2387" s="3">
        <v>7125000</v>
      </c>
      <c r="F2387" s="1">
        <v>2612.76127612761</v>
      </c>
      <c r="G2387" s="1">
        <v>6</v>
      </c>
      <c r="H2387" s="1">
        <v>4</v>
      </c>
      <c r="I2387" s="1">
        <v>5</v>
      </c>
      <c r="J2387" s="1">
        <v>4.5</v>
      </c>
      <c r="M2387" s="4">
        <v>2727</v>
      </c>
      <c r="N2387" s="1">
        <v>2725</v>
      </c>
      <c r="O2387" s="1">
        <v>6241</v>
      </c>
      <c r="P2387" s="1">
        <v>3516</v>
      </c>
      <c r="Q2387" s="1" t="s">
        <v>42</v>
      </c>
      <c r="S2387" s="1" t="s">
        <v>42</v>
      </c>
      <c r="T2387" s="1" t="s">
        <v>273</v>
      </c>
      <c r="U2387" s="1">
        <v>96</v>
      </c>
      <c r="V2387" s="5">
        <v>43658</v>
      </c>
      <c r="W2387" s="5">
        <v>42895</v>
      </c>
      <c r="X2387" s="1">
        <v>7250000</v>
      </c>
      <c r="Y2387" s="1">
        <v>7250000</v>
      </c>
      <c r="Z2387" s="5">
        <v>42991</v>
      </c>
      <c r="AA2387" s="1">
        <v>7125000</v>
      </c>
      <c r="AB2387" s="1" t="s">
        <v>1343</v>
      </c>
      <c r="AC2387" s="5">
        <v>43056</v>
      </c>
      <c r="AF2387" s="1">
        <v>10024</v>
      </c>
      <c r="AI2387" s="1" t="s">
        <v>236</v>
      </c>
      <c r="AJ2387" s="1">
        <v>2017</v>
      </c>
      <c r="AK2387" s="1" t="s">
        <v>108</v>
      </c>
      <c r="AL2387" s="1">
        <v>26</v>
      </c>
    </row>
    <row r="2388" spans="1:38" x14ac:dyDescent="0.2">
      <c r="A2388" s="2" t="str">
        <f>HYPERLINK("https://www.compass.com/listing/221-west-77th-street-unit-10w-manhattan-ny-10024/8743039572965553/","221 W 77th St, Unit 10W")</f>
        <v>221 W 77th St, Unit 10W</v>
      </c>
      <c r="B2388" s="2" t="str">
        <f t="shared" si="389"/>
        <v>221 West 77th Street</v>
      </c>
      <c r="C2388" s="1" t="s">
        <v>57</v>
      </c>
      <c r="D2388" s="1" t="s">
        <v>41</v>
      </c>
      <c r="E2388" s="3">
        <v>6800000</v>
      </c>
      <c r="F2388" s="1">
        <v>2493.5826916024898</v>
      </c>
      <c r="G2388" s="1">
        <v>6</v>
      </c>
      <c r="H2388" s="1">
        <v>4</v>
      </c>
      <c r="I2388" s="1">
        <v>5</v>
      </c>
      <c r="J2388" s="1">
        <v>4.5</v>
      </c>
      <c r="M2388" s="4">
        <v>2727</v>
      </c>
      <c r="N2388" s="1">
        <v>2725</v>
      </c>
      <c r="O2388" s="1">
        <v>6241</v>
      </c>
      <c r="P2388" s="1">
        <v>3516</v>
      </c>
      <c r="Q2388" s="1" t="s">
        <v>42</v>
      </c>
      <c r="S2388" s="1" t="s">
        <v>42</v>
      </c>
      <c r="T2388" s="1" t="s">
        <v>273</v>
      </c>
      <c r="U2388" s="1">
        <v>361</v>
      </c>
      <c r="V2388" s="5">
        <v>43649</v>
      </c>
      <c r="W2388" s="5">
        <v>42265</v>
      </c>
      <c r="X2388" s="1">
        <v>7050000</v>
      </c>
      <c r="Y2388" s="1">
        <v>6750000</v>
      </c>
      <c r="Z2388" s="5">
        <v>42626</v>
      </c>
      <c r="AA2388" s="1">
        <v>6800000</v>
      </c>
      <c r="AB2388" s="1" t="s">
        <v>1344</v>
      </c>
      <c r="AC2388" s="5">
        <v>42906</v>
      </c>
      <c r="AF2388" s="1">
        <v>10024</v>
      </c>
      <c r="AI2388" s="1" t="s">
        <v>111</v>
      </c>
      <c r="AJ2388" s="1">
        <v>2017</v>
      </c>
      <c r="AK2388" s="1" t="s">
        <v>55</v>
      </c>
      <c r="AL2388" s="1">
        <v>26</v>
      </c>
    </row>
    <row r="2389" spans="1:38" x14ac:dyDescent="0.2">
      <c r="A2389" s="2" t="str">
        <f>HYPERLINK("https://www.compass.com/listing/221-west-77th-street-unit-14-manhattan-ny-10024/8743039975575697/","221 W 77th St, Unit 14")</f>
        <v>221 W 77th St, Unit 14</v>
      </c>
      <c r="B2389" s="2" t="str">
        <f t="shared" si="389"/>
        <v>221 West 77th Street</v>
      </c>
      <c r="C2389" s="1" t="s">
        <v>57</v>
      </c>
      <c r="D2389" s="1" t="s">
        <v>41</v>
      </c>
      <c r="E2389" s="3">
        <v>12750000</v>
      </c>
      <c r="F2389" s="1">
        <v>3650.1574577726801</v>
      </c>
      <c r="G2389" s="1">
        <v>7</v>
      </c>
      <c r="H2389" s="1">
        <v>5</v>
      </c>
      <c r="I2389" s="1">
        <v>5</v>
      </c>
      <c r="J2389" s="1">
        <v>4.5</v>
      </c>
      <c r="M2389" s="4">
        <v>3493</v>
      </c>
      <c r="N2389" s="1">
        <v>3817</v>
      </c>
      <c r="O2389" s="1">
        <v>8741</v>
      </c>
      <c r="P2389" s="1">
        <v>4924</v>
      </c>
      <c r="Q2389" s="1" t="s">
        <v>42</v>
      </c>
      <c r="S2389" s="1" t="s">
        <v>42</v>
      </c>
      <c r="T2389" s="1" t="s">
        <v>273</v>
      </c>
      <c r="U2389" s="1">
        <v>425</v>
      </c>
      <c r="V2389" s="5">
        <v>43637</v>
      </c>
      <c r="W2389" s="5">
        <v>42265</v>
      </c>
      <c r="X2389" s="1">
        <v>12750000</v>
      </c>
      <c r="Y2389" s="1">
        <v>12750000</v>
      </c>
      <c r="Z2389" s="5">
        <v>42690</v>
      </c>
      <c r="AA2389" s="1">
        <v>12750000</v>
      </c>
      <c r="AB2389" s="1" t="s">
        <v>275</v>
      </c>
      <c r="AC2389" s="5">
        <v>42980</v>
      </c>
      <c r="AF2389" s="1">
        <v>10024</v>
      </c>
      <c r="AI2389" s="1" t="s">
        <v>265</v>
      </c>
      <c r="AJ2389" s="1">
        <v>2017</v>
      </c>
      <c r="AK2389" s="1" t="s">
        <v>55</v>
      </c>
      <c r="AL2389" s="1">
        <v>26</v>
      </c>
    </row>
    <row r="2390" spans="1:38" x14ac:dyDescent="0.2">
      <c r="A2390" s="2" t="str">
        <f>HYPERLINK("https://www.compass.com/listing/207-west-79th-street-unit-12-manhattan-ny-10024/29600812439235297/","207 W 79th St, Unit 12")</f>
        <v>207 W 79th St, Unit 12</v>
      </c>
      <c r="B2390" s="2" t="str">
        <f>HYPERLINK("https://www.compass.com/building/207-west-79th-street-manhattan-ny/292869088261262661/","207 West 79th Street")</f>
        <v>207 West 79th Street</v>
      </c>
      <c r="C2390" s="1" t="s">
        <v>57</v>
      </c>
      <c r="D2390" s="1" t="s">
        <v>41</v>
      </c>
      <c r="E2390" s="3">
        <v>11200000</v>
      </c>
      <c r="F2390" s="1">
        <v>2663.4958382877498</v>
      </c>
      <c r="G2390" s="1">
        <v>9</v>
      </c>
      <c r="H2390" s="1">
        <v>5</v>
      </c>
      <c r="I2390" s="1">
        <v>6</v>
      </c>
      <c r="J2390" s="1">
        <v>5.5</v>
      </c>
      <c r="K2390" s="1">
        <v>5</v>
      </c>
      <c r="L2390" s="1">
        <v>1</v>
      </c>
      <c r="M2390" s="4">
        <v>4205</v>
      </c>
      <c r="N2390" s="1">
        <v>5896</v>
      </c>
      <c r="O2390" s="1">
        <v>12327</v>
      </c>
      <c r="P2390" s="1">
        <v>6431</v>
      </c>
      <c r="Q2390" s="1" t="s">
        <v>42</v>
      </c>
      <c r="S2390" s="1" t="s">
        <v>42</v>
      </c>
      <c r="T2390" s="1" t="s">
        <v>273</v>
      </c>
      <c r="U2390" s="1">
        <v>1003</v>
      </c>
      <c r="V2390" s="5">
        <v>43830</v>
      </c>
      <c r="W2390" s="5">
        <v>42808</v>
      </c>
      <c r="X2390" s="1">
        <v>12950000</v>
      </c>
      <c r="Y2390" s="1">
        <v>12450000</v>
      </c>
      <c r="Z2390" s="5">
        <v>43811</v>
      </c>
      <c r="AA2390" s="1">
        <v>11200000</v>
      </c>
      <c r="AB2390" s="1" t="s">
        <v>1398</v>
      </c>
      <c r="AC2390" s="5">
        <v>43816</v>
      </c>
      <c r="AF2390" s="1">
        <v>10024</v>
      </c>
      <c r="AJ2390" s="1">
        <v>2017</v>
      </c>
      <c r="AK2390" s="1" t="s">
        <v>125</v>
      </c>
      <c r="AL2390" s="1">
        <v>19</v>
      </c>
    </row>
    <row r="2391" spans="1:38" x14ac:dyDescent="0.2">
      <c r="A2391" s="2" t="str">
        <f>HYPERLINK("https://www.compass.com/listing/355-east-19th-street-unit-4-manhattan-ny-10003/29381922450884049/","355 E 19th St, Unit 4")</f>
        <v>355 E 19th St, Unit 4</v>
      </c>
      <c r="B2391" s="2" t="str">
        <f>HYPERLINK("https://www.compass.com/building/355-e-19th-st-manhattan-ny-10003/281893275755879157/","355 E 19th St")</f>
        <v>355 E 19th St</v>
      </c>
      <c r="C2391" s="1" t="s">
        <v>64</v>
      </c>
      <c r="D2391" s="1" t="s">
        <v>41</v>
      </c>
      <c r="E2391" s="3">
        <v>2750000</v>
      </c>
      <c r="F2391" s="1">
        <v>1374.31284357821</v>
      </c>
      <c r="G2391" s="1">
        <v>5</v>
      </c>
      <c r="H2391" s="1">
        <v>3</v>
      </c>
      <c r="I2391" s="1">
        <v>3</v>
      </c>
      <c r="J2391" s="1">
        <v>2.5</v>
      </c>
      <c r="M2391" s="4">
        <v>2001</v>
      </c>
      <c r="N2391" s="1">
        <v>640</v>
      </c>
      <c r="O2391" s="1">
        <v>2739</v>
      </c>
      <c r="P2391" s="1">
        <v>2099</v>
      </c>
      <c r="Q2391" s="1" t="s">
        <v>42</v>
      </c>
      <c r="S2391" s="1" t="s">
        <v>42</v>
      </c>
      <c r="T2391" s="1" t="s">
        <v>273</v>
      </c>
      <c r="U2391" s="1">
        <v>109</v>
      </c>
      <c r="V2391" s="5">
        <v>43330</v>
      </c>
      <c r="W2391" s="5">
        <v>43139</v>
      </c>
      <c r="X2391" s="1">
        <v>2950000</v>
      </c>
      <c r="Y2391" s="1">
        <v>2950000</v>
      </c>
      <c r="Z2391" s="5">
        <v>43262</v>
      </c>
      <c r="AA2391" s="1">
        <v>2750000</v>
      </c>
      <c r="AB2391" s="1" t="s">
        <v>1399</v>
      </c>
      <c r="AC2391" s="5">
        <v>43249</v>
      </c>
      <c r="AF2391" s="1">
        <v>10003</v>
      </c>
      <c r="AI2391" s="1" t="s">
        <v>1386</v>
      </c>
      <c r="AJ2391" s="1">
        <v>2015</v>
      </c>
      <c r="AL2391" s="1">
        <v>7</v>
      </c>
    </row>
    <row r="2392" spans="1:38" x14ac:dyDescent="0.2">
      <c r="A2392" s="2" t="str">
        <f>HYPERLINK("https://www.compass.com/listing/207-west-79th-street-unit-thb-manhattan-ny-10024/29515056261656625/","207 W 79th St, Unit THB")</f>
        <v>207 W 79th St, Unit THB</v>
      </c>
      <c r="B2392" s="2" t="str">
        <f>HYPERLINK("https://www.compass.com/building/207-west-79th-street-manhattan-ny/292869088261262661/","207 West 79th Street")</f>
        <v>207 West 79th Street</v>
      </c>
      <c r="C2392" s="1" t="s">
        <v>57</v>
      </c>
      <c r="D2392" s="1" t="s">
        <v>41</v>
      </c>
      <c r="E2392" s="3">
        <v>10119064</v>
      </c>
      <c r="F2392" s="1">
        <v>2491.7665599605998</v>
      </c>
      <c r="G2392" s="1">
        <v>8</v>
      </c>
      <c r="H2392" s="1">
        <v>5</v>
      </c>
      <c r="I2392" s="1">
        <v>5</v>
      </c>
      <c r="J2392" s="1">
        <v>5.5</v>
      </c>
      <c r="K2392" s="1">
        <v>5</v>
      </c>
      <c r="L2392" s="1">
        <v>1</v>
      </c>
      <c r="M2392" s="4">
        <v>4061</v>
      </c>
      <c r="N2392" s="1">
        <v>5766</v>
      </c>
      <c r="O2392" s="1">
        <v>9267</v>
      </c>
      <c r="P2392" s="1">
        <v>3501</v>
      </c>
      <c r="Q2392" s="1" t="s">
        <v>42</v>
      </c>
      <c r="S2392" s="1" t="s">
        <v>42</v>
      </c>
      <c r="T2392" s="1" t="s">
        <v>273</v>
      </c>
      <c r="U2392" s="1">
        <v>46</v>
      </c>
      <c r="V2392" s="5">
        <v>43647</v>
      </c>
      <c r="W2392" s="5">
        <v>43022</v>
      </c>
      <c r="X2392" s="1">
        <v>10500000</v>
      </c>
      <c r="Y2392" s="1">
        <v>10500000</v>
      </c>
      <c r="Z2392" s="5">
        <v>43068</v>
      </c>
      <c r="AA2392" s="1">
        <v>10119064</v>
      </c>
      <c r="AB2392" s="1" t="s">
        <v>1400</v>
      </c>
      <c r="AC2392" s="5">
        <v>43291</v>
      </c>
      <c r="AF2392" s="1">
        <v>10024</v>
      </c>
      <c r="AI2392" s="1" t="s">
        <v>131</v>
      </c>
      <c r="AJ2392" s="1">
        <v>2017</v>
      </c>
      <c r="AK2392" s="1" t="s">
        <v>49</v>
      </c>
      <c r="AL2392" s="1">
        <v>19</v>
      </c>
    </row>
    <row r="2393" spans="1:38" x14ac:dyDescent="0.2">
      <c r="A2393" s="2" t="str">
        <f>HYPERLINK("https://www.compass.com/listing/355-east-19th-street-unit-3-manhattan-ny-10003/29381921997904641/","355 E 19th St, Unit 3")</f>
        <v>355 E 19th St, Unit 3</v>
      </c>
      <c r="B2393" s="2" t="str">
        <f>HYPERLINK("https://www.compass.com/building/355-e-19th-st-manhattan-ny-10003/281893275755879157/","355 E 19th St")</f>
        <v>355 E 19th St</v>
      </c>
      <c r="C2393" s="1" t="s">
        <v>64</v>
      </c>
      <c r="D2393" s="1" t="s">
        <v>41</v>
      </c>
      <c r="E2393" s="3">
        <v>2920000</v>
      </c>
      <c r="F2393" s="1">
        <v>1453.4594325534999</v>
      </c>
      <c r="G2393" s="1">
        <v>6</v>
      </c>
      <c r="H2393" s="1">
        <v>4</v>
      </c>
      <c r="I2393" s="1">
        <v>2</v>
      </c>
      <c r="J2393" s="1">
        <v>2.5</v>
      </c>
      <c r="K2393" s="1">
        <v>2</v>
      </c>
      <c r="L2393" s="1">
        <v>1</v>
      </c>
      <c r="M2393" s="4">
        <v>2009</v>
      </c>
      <c r="N2393" s="1">
        <v>640.39</v>
      </c>
      <c r="O2393" s="1">
        <v>2466.8000000000002</v>
      </c>
      <c r="P2393" s="1">
        <v>1826.4166666666599</v>
      </c>
      <c r="Q2393" s="1" t="s">
        <v>42</v>
      </c>
      <c r="S2393" s="1" t="s">
        <v>42</v>
      </c>
      <c r="T2393" s="1" t="s">
        <v>273</v>
      </c>
      <c r="U2393" s="1">
        <v>343</v>
      </c>
      <c r="V2393" s="5">
        <v>43120</v>
      </c>
      <c r="W2393" s="5">
        <v>42472</v>
      </c>
      <c r="X2393" s="1">
        <v>3000000</v>
      </c>
      <c r="Y2393" s="1">
        <v>3000000</v>
      </c>
      <c r="Z2393" s="5">
        <v>42816</v>
      </c>
      <c r="AA2393" s="1">
        <v>2920000</v>
      </c>
      <c r="AB2393" s="1" t="s">
        <v>1401</v>
      </c>
      <c r="AC2393" s="5">
        <v>43105</v>
      </c>
      <c r="AF2393" s="1">
        <v>10003</v>
      </c>
      <c r="AI2393" s="1" t="s">
        <v>905</v>
      </c>
      <c r="AJ2393" s="1">
        <v>2015</v>
      </c>
      <c r="AK2393" s="1" t="s">
        <v>136</v>
      </c>
      <c r="AL2393" s="1">
        <v>7</v>
      </c>
    </row>
    <row r="2394" spans="1:38" x14ac:dyDescent="0.2">
      <c r="A2394" s="2" t="str">
        <f>HYPERLINK("https://www.compass.com/listing/498-west-end-avenue-unit-5a-manhattan-ny-10024/29400623946496513/","498 W End Ave, Unit 5A")</f>
        <v>498 W End Ave, Unit 5A</v>
      </c>
      <c r="B2394" s="2" t="str">
        <f t="shared" ref="B2394:B2396" si="390">HYPERLINK("https://www.compass.com/building/498-w-end-ave-manhattan-ny-10024/281925430842268789/","498 W End Ave")</f>
        <v>498 W End Ave</v>
      </c>
      <c r="C2394" s="1" t="s">
        <v>57</v>
      </c>
      <c r="D2394" s="1" t="s">
        <v>41</v>
      </c>
      <c r="E2394" s="3">
        <v>7962715</v>
      </c>
      <c r="F2394" s="1">
        <v>2246.1819464033802</v>
      </c>
      <c r="G2394" s="1">
        <v>7</v>
      </c>
      <c r="H2394" s="1">
        <v>4</v>
      </c>
      <c r="I2394" s="1">
        <v>5</v>
      </c>
      <c r="J2394" s="1">
        <v>4.5</v>
      </c>
      <c r="M2394" s="4">
        <v>3545</v>
      </c>
      <c r="N2394" s="1">
        <v>2826</v>
      </c>
      <c r="O2394" s="1">
        <v>4857</v>
      </c>
      <c r="P2394" s="1">
        <v>2031</v>
      </c>
      <c r="Q2394" s="1" t="s">
        <v>42</v>
      </c>
      <c r="S2394" s="1" t="s">
        <v>42</v>
      </c>
      <c r="T2394" s="1" t="s">
        <v>273</v>
      </c>
      <c r="U2394" s="1">
        <v>405</v>
      </c>
      <c r="V2394" s="5">
        <v>42879</v>
      </c>
      <c r="W2394" s="5">
        <v>41975</v>
      </c>
      <c r="X2394" s="1">
        <v>7795000</v>
      </c>
      <c r="Y2394" s="1">
        <v>7795000</v>
      </c>
      <c r="Z2394" s="5">
        <v>42381</v>
      </c>
      <c r="AA2394" s="1">
        <v>7962715</v>
      </c>
      <c r="AB2394" s="1" t="s">
        <v>1402</v>
      </c>
      <c r="AC2394" s="5">
        <v>42549</v>
      </c>
      <c r="AF2394" s="1">
        <v>10024</v>
      </c>
      <c r="AJ2394" s="1">
        <v>1912</v>
      </c>
      <c r="AK2394" s="1" t="s">
        <v>46</v>
      </c>
      <c r="AL2394" s="1">
        <v>19</v>
      </c>
    </row>
    <row r="2395" spans="1:38" x14ac:dyDescent="0.2">
      <c r="A2395" s="2" t="str">
        <f>HYPERLINK("https://www.compass.com/listing/498-west-end-avenue-unit-6a-manhattan-ny-10024/29400624802055249/","498 W End Ave, Unit 6A")</f>
        <v>498 W End Ave, Unit 6A</v>
      </c>
      <c r="B2395" s="2" t="str">
        <f t="shared" si="390"/>
        <v>498 W End Ave</v>
      </c>
      <c r="C2395" s="1" t="s">
        <v>57</v>
      </c>
      <c r="D2395" s="1" t="s">
        <v>41</v>
      </c>
      <c r="E2395" s="3">
        <v>7687788</v>
      </c>
      <c r="F2395" s="1">
        <v>2296.9190319689201</v>
      </c>
      <c r="G2395" s="1">
        <v>7</v>
      </c>
      <c r="H2395" s="1">
        <v>4</v>
      </c>
      <c r="I2395" s="1">
        <v>5</v>
      </c>
      <c r="J2395" s="1">
        <v>4.5</v>
      </c>
      <c r="M2395" s="4">
        <v>3347</v>
      </c>
      <c r="N2395" s="1">
        <v>2756</v>
      </c>
      <c r="O2395" s="1">
        <v>4736</v>
      </c>
      <c r="P2395" s="1">
        <v>1980</v>
      </c>
      <c r="Q2395" s="1" t="s">
        <v>42</v>
      </c>
      <c r="S2395" s="1" t="s">
        <v>42</v>
      </c>
      <c r="T2395" s="1" t="s">
        <v>273</v>
      </c>
      <c r="U2395" s="1">
        <v>169</v>
      </c>
      <c r="V2395" s="5">
        <v>43675</v>
      </c>
      <c r="W2395" s="5">
        <v>41976</v>
      </c>
      <c r="X2395" s="1">
        <v>7550000</v>
      </c>
      <c r="Y2395" s="1">
        <v>7550000</v>
      </c>
      <c r="Z2395" s="5">
        <v>42145</v>
      </c>
      <c r="AA2395" s="1">
        <v>7687788</v>
      </c>
      <c r="AB2395" s="1" t="s">
        <v>1403</v>
      </c>
      <c r="AC2395" s="5">
        <v>42552</v>
      </c>
      <c r="AF2395" s="1">
        <v>10024</v>
      </c>
      <c r="AJ2395" s="1">
        <v>1912</v>
      </c>
      <c r="AK2395" s="1" t="s">
        <v>46</v>
      </c>
      <c r="AL2395" s="1">
        <v>19</v>
      </c>
    </row>
    <row r="2396" spans="1:38" x14ac:dyDescent="0.2">
      <c r="A2396" s="2" t="str">
        <f>HYPERLINK("https://www.compass.com/listing/498-west-end-avenue-unit-9a-manhattan-ny-10024/29400626387581553/","498 W End Ave, Unit 9A")</f>
        <v>498 W End Ave, Unit 9A</v>
      </c>
      <c r="B2396" s="2" t="str">
        <f t="shared" si="390"/>
        <v>498 W End Ave</v>
      </c>
      <c r="C2396" s="1" t="s">
        <v>57</v>
      </c>
      <c r="D2396" s="1" t="s">
        <v>41</v>
      </c>
      <c r="E2396" s="3">
        <v>9266075</v>
      </c>
      <c r="F2396" s="1">
        <v>2448.7513213530601</v>
      </c>
      <c r="G2396" s="1">
        <v>8</v>
      </c>
      <c r="H2396" s="1">
        <v>5</v>
      </c>
      <c r="I2396" s="1">
        <v>5</v>
      </c>
      <c r="J2396" s="1">
        <v>4.5</v>
      </c>
      <c r="M2396" s="4">
        <v>3784</v>
      </c>
      <c r="N2396" s="1">
        <v>3248</v>
      </c>
      <c r="O2396" s="1">
        <v>5582</v>
      </c>
      <c r="P2396" s="1">
        <v>2334</v>
      </c>
      <c r="Q2396" s="1" t="s">
        <v>42</v>
      </c>
      <c r="S2396" s="1" t="s">
        <v>42</v>
      </c>
      <c r="T2396" s="1" t="s">
        <v>273</v>
      </c>
      <c r="U2396" s="1">
        <v>136</v>
      </c>
      <c r="V2396" s="5">
        <v>43675</v>
      </c>
      <c r="W2396" s="5">
        <v>41976</v>
      </c>
      <c r="X2396" s="1">
        <v>9075000</v>
      </c>
      <c r="Y2396" s="1">
        <v>9075000</v>
      </c>
      <c r="Z2396" s="5">
        <v>42112</v>
      </c>
      <c r="AA2396" s="1">
        <v>9266075</v>
      </c>
      <c r="AB2396" s="1" t="s">
        <v>1404</v>
      </c>
      <c r="AC2396" s="5">
        <v>42557</v>
      </c>
      <c r="AF2396" s="1">
        <v>10024</v>
      </c>
      <c r="AJ2396" s="1">
        <v>1912</v>
      </c>
      <c r="AK2396" s="1" t="s">
        <v>46</v>
      </c>
      <c r="AL2396" s="1">
        <v>19</v>
      </c>
    </row>
    <row r="2397" spans="1:38" x14ac:dyDescent="0.2">
      <c r="A2397" s="2" t="str">
        <f>HYPERLINK("https://www.compass.com/listing/221-west-77th-street-unit-16-manhattan-ny-10024/8743034330041489/","221 W 77th St, Unit 16")</f>
        <v>221 W 77th St, Unit 16</v>
      </c>
      <c r="B2397" s="2" t="str">
        <f>HYPERLINK("https://www.compass.com/building/221-west-77th-street-manhattan-ny/292869344491294229/","221 West 77th Street")</f>
        <v>221 West 77th Street</v>
      </c>
      <c r="C2397" s="1" t="s">
        <v>57</v>
      </c>
      <c r="D2397" s="1" t="s">
        <v>41</v>
      </c>
      <c r="E2397" s="3">
        <v>10350000</v>
      </c>
      <c r="F2397" s="1">
        <v>3136.3636363636301</v>
      </c>
      <c r="G2397" s="1">
        <v>8</v>
      </c>
      <c r="H2397" s="1">
        <v>5</v>
      </c>
      <c r="I2397" s="1">
        <v>5</v>
      </c>
      <c r="J2397" s="1">
        <v>4.5</v>
      </c>
      <c r="M2397" s="4">
        <v>3300</v>
      </c>
      <c r="N2397" s="1">
        <v>3326</v>
      </c>
      <c r="O2397" s="1">
        <v>7617</v>
      </c>
      <c r="P2397" s="1">
        <v>4291</v>
      </c>
      <c r="Q2397" s="1" t="s">
        <v>42</v>
      </c>
      <c r="S2397" s="1" t="s">
        <v>42</v>
      </c>
      <c r="T2397" s="1" t="s">
        <v>273</v>
      </c>
      <c r="U2397" s="1">
        <v>147</v>
      </c>
      <c r="V2397" s="5">
        <v>43637</v>
      </c>
      <c r="W2397" s="5">
        <v>42524</v>
      </c>
      <c r="X2397" s="1">
        <v>10350000</v>
      </c>
      <c r="Y2397" s="1">
        <v>10350000</v>
      </c>
      <c r="Z2397" s="5">
        <v>42671</v>
      </c>
      <c r="AA2397" s="1">
        <v>10350000</v>
      </c>
      <c r="AB2397" s="1" t="s">
        <v>275</v>
      </c>
      <c r="AC2397" s="5">
        <v>42993</v>
      </c>
      <c r="AF2397" s="1">
        <v>10024</v>
      </c>
      <c r="AI2397" s="1" t="s">
        <v>236</v>
      </c>
      <c r="AJ2397" s="1">
        <v>2017</v>
      </c>
      <c r="AK2397" s="1" t="s">
        <v>55</v>
      </c>
      <c r="AL2397" s="1">
        <v>26</v>
      </c>
    </row>
    <row r="2398" spans="1:38" x14ac:dyDescent="0.2">
      <c r="A2398" s="2" t="str">
        <f>HYPERLINK("https://www.compass.com/listing/77-charlton-street-unit-n2e-manhattan-ny-10014/178225150330779473/","77 Charlton St, Unit N2E")</f>
        <v>77 Charlton St, Unit N2E</v>
      </c>
      <c r="B2398" s="2" t="str">
        <f>HYPERLINK("https://www.compass.com/building/77-charlton-st-manhattan-ny-10014/282058735872933093/","77 Charlton St")</f>
        <v>77 Charlton St</v>
      </c>
      <c r="C2398" s="1" t="s">
        <v>298</v>
      </c>
      <c r="D2398" s="1" t="s">
        <v>41</v>
      </c>
      <c r="E2398" s="3">
        <v>2944779</v>
      </c>
      <c r="F2398" s="1">
        <v>1864.96453451551</v>
      </c>
      <c r="G2398" s="1">
        <v>5</v>
      </c>
      <c r="H2398" s="1">
        <v>3</v>
      </c>
      <c r="I2398" s="1">
        <v>4</v>
      </c>
      <c r="J2398" s="1">
        <v>3.5</v>
      </c>
      <c r="K2398" s="1">
        <v>3</v>
      </c>
      <c r="L2398" s="1">
        <v>1</v>
      </c>
      <c r="M2398" s="4">
        <v>1579</v>
      </c>
      <c r="N2398" s="1">
        <v>1809</v>
      </c>
      <c r="O2398" s="1">
        <v>4396</v>
      </c>
      <c r="P2398" s="1">
        <v>2587</v>
      </c>
      <c r="Q2398" s="1" t="s">
        <v>42</v>
      </c>
      <c r="S2398" s="1" t="s">
        <v>42</v>
      </c>
      <c r="T2398" s="1" t="s">
        <v>273</v>
      </c>
      <c r="V2398" s="5">
        <v>44404</v>
      </c>
      <c r="W2398" s="5">
        <v>43498</v>
      </c>
      <c r="X2398" s="1">
        <v>2950000</v>
      </c>
      <c r="Y2398" s="1">
        <v>2950000</v>
      </c>
      <c r="Z2398" s="5">
        <v>43846</v>
      </c>
      <c r="AA2398" s="1">
        <v>2944779</v>
      </c>
      <c r="AB2398" s="1" t="s">
        <v>1405</v>
      </c>
      <c r="AC2398" s="5">
        <v>44323</v>
      </c>
      <c r="AF2398" s="1">
        <v>10014</v>
      </c>
      <c r="AI2398" s="1" t="s">
        <v>211</v>
      </c>
      <c r="AJ2398" s="1">
        <v>2019</v>
      </c>
      <c r="AK2398" s="1" t="s">
        <v>46</v>
      </c>
      <c r="AL2398" s="1">
        <v>161</v>
      </c>
    </row>
    <row r="2399" spans="1:38" x14ac:dyDescent="0.2">
      <c r="A2399" s="2" t="str">
        <f>HYPERLINK("https://www.compass.com/listing/221-west-77th-street-unit-17-manhattan-ny-10024/803298741117147593/","221 W 77th St, Unit 17")</f>
        <v>221 W 77th St, Unit 17</v>
      </c>
      <c r="B2399" s="2" t="str">
        <f>HYPERLINK("https://www.compass.com/building/221-west-77th-street-manhattan-ny/292869344491294229/","221 West 77th Street")</f>
        <v>221 West 77th Street</v>
      </c>
      <c r="C2399" s="1" t="s">
        <v>57</v>
      </c>
      <c r="D2399" s="1" t="s">
        <v>41</v>
      </c>
      <c r="E2399" s="3">
        <v>8050000</v>
      </c>
      <c r="F2399" s="1">
        <v>2730.6648575305198</v>
      </c>
      <c r="G2399" s="1">
        <v>7</v>
      </c>
      <c r="H2399" s="1">
        <v>4</v>
      </c>
      <c r="I2399" s="1">
        <v>4</v>
      </c>
      <c r="J2399" s="1">
        <v>3.5</v>
      </c>
      <c r="K2399" s="1">
        <v>3</v>
      </c>
      <c r="L2399" s="1">
        <v>1</v>
      </c>
      <c r="M2399" s="4">
        <v>2948</v>
      </c>
      <c r="N2399" s="1">
        <v>3336</v>
      </c>
      <c r="O2399" s="1">
        <v>7781</v>
      </c>
      <c r="P2399" s="1">
        <v>4445</v>
      </c>
      <c r="Q2399" s="1" t="s">
        <v>129</v>
      </c>
      <c r="S2399" s="1" t="s">
        <v>42</v>
      </c>
      <c r="T2399" s="1" t="s">
        <v>273</v>
      </c>
      <c r="U2399" s="1">
        <v>49</v>
      </c>
      <c r="V2399" s="5">
        <v>44341</v>
      </c>
      <c r="W2399" s="5">
        <v>44075</v>
      </c>
      <c r="X2399" s="1">
        <v>8750000</v>
      </c>
      <c r="Y2399" s="1">
        <v>8750000</v>
      </c>
      <c r="Z2399" s="5">
        <v>44124</v>
      </c>
      <c r="AA2399" s="1">
        <v>8050000</v>
      </c>
      <c r="AB2399" s="1" t="s">
        <v>275</v>
      </c>
      <c r="AC2399" s="5">
        <v>44169</v>
      </c>
      <c r="AF2399" s="1">
        <v>10024</v>
      </c>
      <c r="AI2399" s="1" t="s">
        <v>192</v>
      </c>
      <c r="AJ2399" s="1">
        <v>2017</v>
      </c>
      <c r="AK2399" s="1" t="s">
        <v>108</v>
      </c>
      <c r="AL2399" s="1">
        <v>26</v>
      </c>
    </row>
    <row r="2400" spans="1:38" x14ac:dyDescent="0.2">
      <c r="A2400" s="2" t="str">
        <f>HYPERLINK("https://www.compass.com/listing/207-west-79th-street-unit-ph-manhattan-ny-10024/29608539513192481/","207 W 79th St, Unit PH")</f>
        <v>207 W 79th St, Unit PH</v>
      </c>
      <c r="B2400" s="2" t="str">
        <f>HYPERLINK("https://www.compass.com/building/207-west-79th-street-manhattan-ny/292869088261262661/","207 West 79th Street")</f>
        <v>207 West 79th Street</v>
      </c>
      <c r="C2400" s="1" t="s">
        <v>57</v>
      </c>
      <c r="D2400" s="1" t="s">
        <v>41</v>
      </c>
      <c r="E2400" s="3">
        <v>13121375</v>
      </c>
      <c r="F2400" s="1">
        <v>3026.1473708487001</v>
      </c>
      <c r="G2400" s="1">
        <v>7</v>
      </c>
      <c r="H2400" s="1">
        <v>4</v>
      </c>
      <c r="I2400" s="1">
        <v>5</v>
      </c>
      <c r="J2400" s="1">
        <v>4.5</v>
      </c>
      <c r="K2400" s="1">
        <v>4</v>
      </c>
      <c r="L2400" s="1">
        <v>1</v>
      </c>
      <c r="M2400" s="4">
        <v>4336</v>
      </c>
      <c r="N2400" s="1">
        <v>6991</v>
      </c>
      <c r="O2400" s="1">
        <v>10824</v>
      </c>
      <c r="P2400" s="1">
        <v>3833</v>
      </c>
      <c r="Q2400" s="1" t="s">
        <v>42</v>
      </c>
      <c r="S2400" s="1" t="s">
        <v>42</v>
      </c>
      <c r="T2400" s="1" t="s">
        <v>273</v>
      </c>
      <c r="U2400" s="1">
        <v>303</v>
      </c>
      <c r="V2400" s="5">
        <v>43669</v>
      </c>
      <c r="W2400" s="5">
        <v>43214</v>
      </c>
      <c r="X2400" s="1">
        <v>15450000</v>
      </c>
      <c r="Y2400" s="1">
        <v>14250000</v>
      </c>
      <c r="Z2400" s="5">
        <v>43517</v>
      </c>
      <c r="AA2400" s="1">
        <v>13121375</v>
      </c>
      <c r="AB2400" s="1" t="s">
        <v>1406</v>
      </c>
      <c r="AC2400" s="5">
        <v>43648</v>
      </c>
      <c r="AF2400" s="1">
        <v>10024</v>
      </c>
      <c r="AI2400" s="1" t="s">
        <v>138</v>
      </c>
      <c r="AJ2400" s="1">
        <v>2017</v>
      </c>
      <c r="AK2400" s="1" t="s">
        <v>125</v>
      </c>
      <c r="AL2400" s="1">
        <v>19</v>
      </c>
    </row>
    <row r="2401" spans="1:38" x14ac:dyDescent="0.2">
      <c r="A2401" s="2" t="str">
        <f>HYPERLINK("https://www.compass.com/listing/221-west-77th-street-unit-5e-manhattan-ny-10024/586900872649670409/","221 W 77th St, Unit 5E")</f>
        <v>221 W 77th St, Unit 5E</v>
      </c>
      <c r="B2401" s="2" t="str">
        <f>HYPERLINK("https://www.compass.com/building/221-west-77th-street-manhattan-ny/292869344491294229/","221 West 77th Street")</f>
        <v>221 West 77th Street</v>
      </c>
      <c r="C2401" s="1" t="s">
        <v>57</v>
      </c>
      <c r="D2401" s="1" t="s">
        <v>41</v>
      </c>
      <c r="E2401" s="3">
        <v>4075000</v>
      </c>
      <c r="F2401" s="1">
        <v>1989.74609375</v>
      </c>
      <c r="G2401" s="1">
        <v>5</v>
      </c>
      <c r="H2401" s="1">
        <v>3</v>
      </c>
      <c r="I2401" s="1">
        <v>4</v>
      </c>
      <c r="J2401" s="1">
        <v>3.5</v>
      </c>
      <c r="K2401" s="1">
        <v>3</v>
      </c>
      <c r="L2401" s="1">
        <v>1</v>
      </c>
      <c r="M2401" s="4">
        <v>2048</v>
      </c>
      <c r="N2401" s="1">
        <v>2245.66</v>
      </c>
      <c r="O2401" s="1">
        <v>5873.3099999999904</v>
      </c>
      <c r="P2401" s="1">
        <v>3627.6666666666601</v>
      </c>
      <c r="Q2401" s="1" t="s">
        <v>42</v>
      </c>
      <c r="S2401" s="1" t="s">
        <v>42</v>
      </c>
      <c r="T2401" s="1" t="s">
        <v>273</v>
      </c>
      <c r="U2401" s="1">
        <v>248</v>
      </c>
      <c r="V2401" s="5">
        <v>44426</v>
      </c>
      <c r="W2401" s="5">
        <v>44060</v>
      </c>
      <c r="X2401" s="1">
        <v>4495000</v>
      </c>
      <c r="Y2401" s="1">
        <v>4250000</v>
      </c>
      <c r="Z2401" s="5">
        <v>44309</v>
      </c>
      <c r="AA2401" s="1">
        <v>4075000</v>
      </c>
      <c r="AB2401" s="1" t="s">
        <v>1407</v>
      </c>
      <c r="AC2401" s="5">
        <v>44400</v>
      </c>
      <c r="AF2401" s="1">
        <v>10024</v>
      </c>
      <c r="AI2401" s="1" t="s">
        <v>238</v>
      </c>
      <c r="AJ2401" s="1">
        <v>2017</v>
      </c>
      <c r="AK2401" s="1" t="s">
        <v>108</v>
      </c>
      <c r="AL2401" s="1">
        <v>26</v>
      </c>
    </row>
    <row r="2402" spans="1:38" x14ac:dyDescent="0.2">
      <c r="A2402" s="2" t="str">
        <f>HYPERLINK("https://www.compass.com/listing/160-leroy-street-unit-9c-n-manhattan-ny-10014/700222006165013617/","160 Leroy St, Unit 9C N")</f>
        <v>160 Leroy St, Unit 9C N</v>
      </c>
      <c r="B2402" s="2" t="str">
        <f>HYPERLINK("https://www.compass.com/building/160-leroy-st-manhattan-ny-10014/293418469918017093/","160 Leroy St")</f>
        <v>160 Leroy St</v>
      </c>
      <c r="C2402" s="1" t="s">
        <v>67</v>
      </c>
      <c r="D2402" s="1" t="s">
        <v>41</v>
      </c>
      <c r="E2402" s="3">
        <v>3900000</v>
      </c>
      <c r="Q2402" s="1" t="s">
        <v>42</v>
      </c>
      <c r="S2402" s="1" t="s">
        <v>42</v>
      </c>
      <c r="T2402" s="1" t="s">
        <v>273</v>
      </c>
      <c r="AA2402" s="1">
        <v>3900000</v>
      </c>
      <c r="AB2402" s="1" t="s">
        <v>1408</v>
      </c>
      <c r="AC2402" s="5">
        <v>44195</v>
      </c>
      <c r="AF2402" s="1">
        <v>10014</v>
      </c>
      <c r="AI2402" s="1" t="s">
        <v>65</v>
      </c>
      <c r="AJ2402" s="1">
        <v>2017</v>
      </c>
      <c r="AK2402" s="1" t="s">
        <v>202</v>
      </c>
      <c r="AL2402" s="1">
        <v>57</v>
      </c>
    </row>
    <row r="2403" spans="1:38" x14ac:dyDescent="0.2">
      <c r="A2403" s="2" t="str">
        <f>HYPERLINK("https://www.compass.com/listing/270-riverside-drive-unit-2d-manhattan-ny-10025/822526786997775601/","270 Riverside Dr, Unit 2D")</f>
        <v>270 Riverside Dr, Unit 2D</v>
      </c>
      <c r="B2403" s="2" t="str">
        <f>HYPERLINK("https://www.compass.com/building/270-riverside-dr-manhattan-ny-10025/281970283991095285/","270 Riverside Dr")</f>
        <v>270 Riverside Dr</v>
      </c>
      <c r="C2403" s="1" t="s">
        <v>57</v>
      </c>
      <c r="D2403" s="1" t="s">
        <v>41</v>
      </c>
      <c r="E2403" s="3">
        <v>2750000</v>
      </c>
      <c r="F2403" s="1">
        <v>1368.1592039800901</v>
      </c>
      <c r="H2403" s="1">
        <v>2</v>
      </c>
      <c r="J2403" s="1">
        <v>3</v>
      </c>
      <c r="K2403" s="1">
        <v>3</v>
      </c>
      <c r="M2403" s="4">
        <v>2010</v>
      </c>
      <c r="N2403" s="1">
        <v>1917</v>
      </c>
      <c r="O2403" s="1">
        <v>3376</v>
      </c>
      <c r="P2403" s="1">
        <v>1459</v>
      </c>
      <c r="Q2403" s="1" t="s">
        <v>42</v>
      </c>
      <c r="S2403" s="1" t="s">
        <v>42</v>
      </c>
      <c r="T2403" s="1" t="s">
        <v>273</v>
      </c>
      <c r="AA2403" s="1">
        <v>2750000</v>
      </c>
      <c r="AB2403" s="1" t="s">
        <v>1409</v>
      </c>
      <c r="AC2403" s="5">
        <v>43849</v>
      </c>
      <c r="AF2403" s="1">
        <v>10025</v>
      </c>
      <c r="AJ2403" s="1">
        <v>1920</v>
      </c>
      <c r="AK2403" s="1" t="s">
        <v>70</v>
      </c>
      <c r="AL2403" s="1">
        <v>57</v>
      </c>
    </row>
    <row r="2404" spans="1:38" x14ac:dyDescent="0.2">
      <c r="A2404" s="2" t="str">
        <f>HYPERLINK("https://www.compass.com/listing/77-charlton-street-unit-s12b-manhattan-ny-10014/333289751620277777/","77 Charlton St, Unit S12B")</f>
        <v>77 Charlton St, Unit S12B</v>
      </c>
      <c r="B2404" s="2" t="str">
        <f>HYPERLINK("https://www.compass.com/building/77-charlton-st-manhattan-ny-10014/282058735872933093/","77 Charlton St")</f>
        <v>77 Charlton St</v>
      </c>
      <c r="C2404" s="1" t="s">
        <v>53</v>
      </c>
      <c r="D2404" s="1" t="s">
        <v>41</v>
      </c>
      <c r="E2404" s="3">
        <v>3725000</v>
      </c>
      <c r="F2404" s="1">
        <v>2186.0328638497599</v>
      </c>
      <c r="G2404" s="1">
        <v>5</v>
      </c>
      <c r="H2404" s="1">
        <v>3</v>
      </c>
      <c r="I2404" s="1">
        <v>4</v>
      </c>
      <c r="J2404" s="1">
        <v>3.5</v>
      </c>
      <c r="K2404" s="1">
        <v>3</v>
      </c>
      <c r="L2404" s="1">
        <v>1</v>
      </c>
      <c r="M2404" s="4">
        <v>1704</v>
      </c>
      <c r="N2404" s="1">
        <v>2109</v>
      </c>
      <c r="O2404" s="1">
        <v>5122</v>
      </c>
      <c r="P2404" s="1">
        <v>3013</v>
      </c>
      <c r="Q2404" s="1" t="s">
        <v>42</v>
      </c>
      <c r="S2404" s="1" t="s">
        <v>42</v>
      </c>
      <c r="T2404" s="1" t="s">
        <v>273</v>
      </c>
      <c r="V2404" s="5">
        <v>44405</v>
      </c>
      <c r="W2404" s="5">
        <v>43712</v>
      </c>
      <c r="X2404" s="1">
        <v>3995000</v>
      </c>
      <c r="Y2404" s="1">
        <v>3995000</v>
      </c>
      <c r="Z2404" s="5">
        <v>43712</v>
      </c>
      <c r="AA2404" s="1">
        <v>3725000</v>
      </c>
      <c r="AB2404" s="1" t="s">
        <v>1410</v>
      </c>
      <c r="AC2404" s="5">
        <v>44372</v>
      </c>
      <c r="AF2404" s="1">
        <v>10014</v>
      </c>
      <c r="AI2404" s="1" t="s">
        <v>211</v>
      </c>
      <c r="AJ2404" s="1">
        <v>2019</v>
      </c>
      <c r="AK2404" s="1" t="s">
        <v>46</v>
      </c>
      <c r="AL2404" s="1">
        <v>161</v>
      </c>
    </row>
    <row r="2405" spans="1:38" x14ac:dyDescent="0.2">
      <c r="A2405" s="2" t="str">
        <f>HYPERLINK("https://www.compass.com/listing/221-west-77th-street-manhattan-ny-10024/841499445778682073/","221 W 77th St")</f>
        <v>221 W 77th St</v>
      </c>
      <c r="B2405" s="2" t="str">
        <f>HYPERLINK("https://www.compass.com/building/221-west-77th-street-manhattan-ny/292869344491294229/","221 West 77th Street")</f>
        <v>221 West 77th Street</v>
      </c>
      <c r="C2405" s="1" t="s">
        <v>57</v>
      </c>
      <c r="D2405" s="1" t="s">
        <v>41</v>
      </c>
      <c r="E2405" s="3">
        <v>7300000</v>
      </c>
      <c r="F2405" s="1">
        <v>2294.8758252121902</v>
      </c>
      <c r="G2405" s="1">
        <v>6</v>
      </c>
      <c r="H2405" s="1">
        <v>4</v>
      </c>
      <c r="I2405" s="1">
        <v>5</v>
      </c>
      <c r="J2405" s="1">
        <v>4.5</v>
      </c>
      <c r="K2405" s="1">
        <v>4</v>
      </c>
      <c r="L2405" s="1">
        <v>1</v>
      </c>
      <c r="M2405" s="4">
        <v>3181</v>
      </c>
      <c r="N2405" s="1">
        <v>3565</v>
      </c>
      <c r="O2405" s="1">
        <v>8918</v>
      </c>
      <c r="P2405" s="1">
        <v>5353</v>
      </c>
      <c r="Q2405" s="1" t="s">
        <v>42</v>
      </c>
      <c r="S2405" s="1" t="s">
        <v>100</v>
      </c>
      <c r="T2405" s="1" t="s">
        <v>273</v>
      </c>
      <c r="V2405" s="5">
        <v>43636</v>
      </c>
      <c r="AA2405" s="1">
        <v>7300000</v>
      </c>
      <c r="AB2405" s="1" t="s">
        <v>1387</v>
      </c>
      <c r="AC2405" s="5">
        <v>43629</v>
      </c>
      <c r="AF2405" s="1">
        <v>10024</v>
      </c>
      <c r="AI2405" s="1" t="s">
        <v>111</v>
      </c>
      <c r="AJ2405" s="1">
        <v>2017</v>
      </c>
      <c r="AK2405" s="1" t="s">
        <v>108</v>
      </c>
      <c r="AL2405" s="1">
        <v>26</v>
      </c>
    </row>
    <row r="2406" spans="1:38" x14ac:dyDescent="0.2">
      <c r="A2406" s="2" t="str">
        <f>HYPERLINK("https://www.compass.com/listing/90-morton-street-unit-6c-manhattan-ny-10014/847546225485648993/","90 Morton St, Unit 6C")</f>
        <v>90 Morton St, Unit 6C</v>
      </c>
      <c r="B2406" s="2" t="str">
        <f>HYPERLINK("https://www.compass.com/building/90-morton-street-manhattan-ny/292834843018978005/","90 Morton Street")</f>
        <v>90 Morton Street</v>
      </c>
      <c r="C2406" s="1" t="s">
        <v>67</v>
      </c>
      <c r="D2406" s="1" t="s">
        <v>41</v>
      </c>
      <c r="E2406" s="3">
        <v>763688</v>
      </c>
      <c r="F2406" s="1">
        <v>1667.43995633187</v>
      </c>
      <c r="M2406" s="1">
        <v>458</v>
      </c>
      <c r="Q2406" s="1" t="s">
        <v>42</v>
      </c>
      <c r="S2406" s="1" t="s">
        <v>42</v>
      </c>
      <c r="T2406" s="1" t="s">
        <v>273</v>
      </c>
      <c r="AA2406" s="1">
        <v>763687.5</v>
      </c>
      <c r="AB2406" s="1" t="s">
        <v>1411</v>
      </c>
      <c r="AC2406" s="5">
        <v>44398</v>
      </c>
      <c r="AF2406" s="1">
        <v>10014</v>
      </c>
      <c r="AI2406" s="1" t="s">
        <v>140</v>
      </c>
      <c r="AJ2406" s="1">
        <v>2018</v>
      </c>
      <c r="AK2406" s="1" t="s">
        <v>49</v>
      </c>
      <c r="AL2406" s="1">
        <v>35</v>
      </c>
    </row>
    <row r="2407" spans="1:38" x14ac:dyDescent="0.2">
      <c r="A2407" s="2" t="str">
        <f>HYPERLINK("https://www.compass.com/listing/77-charlton-street-unit-s3e-manhattan-ny-10014/156622055373100753/","77 Charlton St, Unit S3E")</f>
        <v>77 Charlton St, Unit S3E</v>
      </c>
      <c r="B2407" s="2" t="str">
        <f>HYPERLINK("https://www.compass.com/building/77-charlton-st-manhattan-ny-10014/282058735872933093/","77 Charlton St")</f>
        <v>77 Charlton St</v>
      </c>
      <c r="C2407" s="1" t="s">
        <v>298</v>
      </c>
      <c r="D2407" s="1" t="s">
        <v>41</v>
      </c>
      <c r="E2407" s="3">
        <v>995000</v>
      </c>
      <c r="F2407" s="1">
        <v>1745.6140350877099</v>
      </c>
      <c r="G2407" s="1">
        <v>2</v>
      </c>
      <c r="H2407" s="1" t="s">
        <v>99</v>
      </c>
      <c r="I2407" s="1">
        <v>1</v>
      </c>
      <c r="J2407" s="1">
        <v>1</v>
      </c>
      <c r="K2407" s="1">
        <v>1</v>
      </c>
      <c r="M2407" s="1">
        <v>570</v>
      </c>
      <c r="N2407" s="1">
        <v>642</v>
      </c>
      <c r="O2407" s="1">
        <v>1559</v>
      </c>
      <c r="P2407" s="1">
        <v>917</v>
      </c>
      <c r="Q2407" s="1" t="s">
        <v>42</v>
      </c>
      <c r="S2407" s="1" t="s">
        <v>42</v>
      </c>
      <c r="T2407" s="1" t="s">
        <v>273</v>
      </c>
      <c r="V2407" s="5">
        <v>44373</v>
      </c>
      <c r="W2407" s="5">
        <v>43468</v>
      </c>
      <c r="X2407" s="1">
        <v>995000</v>
      </c>
      <c r="Y2407" s="1">
        <v>995000</v>
      </c>
      <c r="Z2407" s="5">
        <v>43468</v>
      </c>
      <c r="AA2407" s="1">
        <v>995000</v>
      </c>
      <c r="AB2407" s="1" t="s">
        <v>275</v>
      </c>
      <c r="AC2407" s="5">
        <v>44336</v>
      </c>
      <c r="AF2407" s="1">
        <v>10014</v>
      </c>
      <c r="AI2407" s="1" t="s">
        <v>238</v>
      </c>
      <c r="AJ2407" s="1">
        <v>2019</v>
      </c>
      <c r="AK2407" s="1" t="s">
        <v>46</v>
      </c>
      <c r="AL2407" s="1">
        <v>161</v>
      </c>
    </row>
    <row r="2408" spans="1:38" x14ac:dyDescent="0.2">
      <c r="A2408" s="2" t="str">
        <f>HYPERLINK("https://www.compass.com/listing/53-greene-street-unit-3-manhattan-ny-10013/803328450899433385/","53 Greene St, Unit 3")</f>
        <v>53 Greene St, Unit 3</v>
      </c>
      <c r="B2408" s="2" t="str">
        <f>HYPERLINK("https://www.compass.com/building/53-greene-st-manhattan-ny-10013/281920591823407893/","53 Greene St")</f>
        <v>53 Greene St</v>
      </c>
      <c r="C2408" s="1" t="s">
        <v>298</v>
      </c>
      <c r="D2408" s="1" t="s">
        <v>41</v>
      </c>
      <c r="E2408" s="3">
        <v>6000000</v>
      </c>
      <c r="F2408" s="1">
        <v>2165.2832912305998</v>
      </c>
      <c r="H2408" s="1">
        <v>2</v>
      </c>
      <c r="J2408" s="1">
        <v>3</v>
      </c>
      <c r="M2408" s="4">
        <v>2771</v>
      </c>
      <c r="N2408" s="1">
        <v>2293</v>
      </c>
      <c r="O2408" s="1">
        <v>3838</v>
      </c>
      <c r="P2408" s="1">
        <v>1545</v>
      </c>
      <c r="Q2408" s="1" t="s">
        <v>42</v>
      </c>
      <c r="S2408" s="1" t="s">
        <v>42</v>
      </c>
      <c r="T2408" s="1" t="s">
        <v>273</v>
      </c>
      <c r="AA2408" s="1">
        <v>6000000</v>
      </c>
      <c r="AB2408" s="1" t="s">
        <v>1412</v>
      </c>
      <c r="AC2408" s="5">
        <v>41947</v>
      </c>
      <c r="AF2408" s="1">
        <v>10013</v>
      </c>
      <c r="AJ2408" s="1">
        <v>2014</v>
      </c>
      <c r="AL2408" s="1">
        <v>5</v>
      </c>
    </row>
    <row r="2409" spans="1:38" x14ac:dyDescent="0.2">
      <c r="A2409" s="2" t="str">
        <f>HYPERLINK("https://www.compass.com/listing/7-harrison-street-unit-3n-manhattan-ny-10013/70922282641438161/","7 Harrison St, Unit 3N")</f>
        <v>7 Harrison St, Unit 3N</v>
      </c>
      <c r="B2409" s="2" t="str">
        <f t="shared" ref="B2409:B2410" si="391">HYPERLINK("https://www.compass.com/building/7-harrison-st-manhattan-ny-10013/281921095324439429/","7 Harrison St")</f>
        <v>7 Harrison St</v>
      </c>
      <c r="C2409" s="1" t="s">
        <v>50</v>
      </c>
      <c r="D2409" s="1" t="s">
        <v>41</v>
      </c>
      <c r="E2409" s="3">
        <v>5956763</v>
      </c>
      <c r="F2409" s="1">
        <v>2701.4798185940999</v>
      </c>
      <c r="G2409" s="1">
        <v>6</v>
      </c>
      <c r="H2409" s="1">
        <v>3</v>
      </c>
      <c r="I2409" s="1">
        <v>3</v>
      </c>
      <c r="J2409" s="1">
        <v>3</v>
      </c>
      <c r="M2409" s="4">
        <v>2205</v>
      </c>
      <c r="N2409" s="1">
        <v>3026</v>
      </c>
      <c r="O2409" s="1">
        <v>4867</v>
      </c>
      <c r="P2409" s="1">
        <v>1841</v>
      </c>
      <c r="Q2409" s="1" t="s">
        <v>42</v>
      </c>
      <c r="S2409" s="1" t="s">
        <v>42</v>
      </c>
      <c r="T2409" s="1" t="s">
        <v>273</v>
      </c>
      <c r="V2409" s="5">
        <v>43655</v>
      </c>
      <c r="W2409" s="5">
        <v>41796</v>
      </c>
      <c r="X2409" s="1">
        <v>5850000</v>
      </c>
      <c r="Y2409" s="1">
        <v>5850000</v>
      </c>
      <c r="Z2409" s="5">
        <v>41796</v>
      </c>
      <c r="AA2409" s="1">
        <v>5956763</v>
      </c>
      <c r="AB2409" s="1" t="s">
        <v>351</v>
      </c>
      <c r="AC2409" s="5">
        <v>42025</v>
      </c>
      <c r="AF2409" s="1">
        <v>10013</v>
      </c>
      <c r="AJ2409" s="1">
        <v>1900</v>
      </c>
      <c r="AK2409" s="1" t="s">
        <v>108</v>
      </c>
      <c r="AL2409" s="1">
        <v>12</v>
      </c>
    </row>
    <row r="2410" spans="1:38" x14ac:dyDescent="0.2">
      <c r="A2410" s="2" t="str">
        <f>HYPERLINK("https://www.compass.com/listing/7-harrison-street-unit-3s-manhattan-ny-10013/70921398532440721/","7 Harrison St, Unit 3S")</f>
        <v>7 Harrison St, Unit 3S</v>
      </c>
      <c r="B2410" s="2" t="str">
        <f t="shared" si="391"/>
        <v>7 Harrison St</v>
      </c>
      <c r="C2410" s="1" t="s">
        <v>50</v>
      </c>
      <c r="D2410" s="1" t="s">
        <v>41</v>
      </c>
      <c r="E2410" s="3">
        <v>4625000</v>
      </c>
      <c r="F2410" s="1">
        <v>2175.4468485418602</v>
      </c>
      <c r="G2410" s="1">
        <v>6</v>
      </c>
      <c r="H2410" s="1">
        <v>3</v>
      </c>
      <c r="I2410" s="1">
        <v>3</v>
      </c>
      <c r="J2410" s="1">
        <v>3</v>
      </c>
      <c r="M2410" s="4">
        <v>2126</v>
      </c>
      <c r="N2410" s="1">
        <v>2918</v>
      </c>
      <c r="O2410" s="1">
        <v>4693</v>
      </c>
      <c r="P2410" s="1">
        <v>1775</v>
      </c>
      <c r="Q2410" s="1" t="s">
        <v>42</v>
      </c>
      <c r="S2410" s="1" t="s">
        <v>42</v>
      </c>
      <c r="T2410" s="1" t="s">
        <v>273</v>
      </c>
      <c r="U2410" s="1">
        <v>267</v>
      </c>
      <c r="V2410" s="5">
        <v>43671</v>
      </c>
      <c r="W2410" s="5">
        <v>41752</v>
      </c>
      <c r="X2410" s="1">
        <v>4500000</v>
      </c>
      <c r="Y2410" s="1">
        <v>4500000</v>
      </c>
      <c r="AA2410" s="1">
        <v>4625000</v>
      </c>
      <c r="AB2410" s="1" t="s">
        <v>356</v>
      </c>
      <c r="AC2410" s="5">
        <v>42019</v>
      </c>
      <c r="AF2410" s="1">
        <v>10013</v>
      </c>
      <c r="AJ2410" s="1">
        <v>1900</v>
      </c>
      <c r="AK2410" s="1" t="s">
        <v>108</v>
      </c>
      <c r="AL2410" s="1">
        <v>12</v>
      </c>
    </row>
    <row r="2411" spans="1:38" x14ac:dyDescent="0.2">
      <c r="A2411" s="2" t="str">
        <f>HYPERLINK("https://www.compass.com/listing/565-broome-street-unit-n5g-manhattan-ny-10013/29514995880480897/","565 Broome St, Unit N5G")</f>
        <v>565 Broome St, Unit N5G</v>
      </c>
      <c r="B2411" s="2" t="str">
        <f>HYPERLINK("https://www.compass.com/building/565-broome-soho-manhattan-ny/292813251698267109/","565 Broome Soho")</f>
        <v>565 Broome Soho</v>
      </c>
      <c r="C2411" s="1" t="s">
        <v>298</v>
      </c>
      <c r="D2411" s="1" t="s">
        <v>41</v>
      </c>
      <c r="E2411" s="3">
        <v>2688812</v>
      </c>
      <c r="F2411" s="1">
        <v>5857.9776688453103</v>
      </c>
      <c r="G2411" s="1">
        <v>2</v>
      </c>
      <c r="H2411" s="1" t="s">
        <v>99</v>
      </c>
      <c r="I2411" s="1">
        <v>1</v>
      </c>
      <c r="J2411" s="1">
        <v>1</v>
      </c>
      <c r="K2411" s="1">
        <v>1</v>
      </c>
      <c r="M2411" s="1">
        <v>459</v>
      </c>
      <c r="N2411" s="1">
        <v>664</v>
      </c>
      <c r="O2411" s="1">
        <v>1396</v>
      </c>
      <c r="P2411" s="1">
        <v>732</v>
      </c>
      <c r="Q2411" s="1" t="s">
        <v>42</v>
      </c>
      <c r="S2411" s="1" t="s">
        <v>42</v>
      </c>
      <c r="T2411" s="1" t="s">
        <v>273</v>
      </c>
      <c r="V2411" s="5">
        <v>44342</v>
      </c>
      <c r="W2411" s="5">
        <v>42644</v>
      </c>
      <c r="X2411" s="1">
        <v>970000</v>
      </c>
      <c r="Y2411" s="1">
        <v>970000</v>
      </c>
      <c r="Z2411" s="5">
        <v>42644</v>
      </c>
      <c r="AA2411" s="1">
        <v>2688811.75</v>
      </c>
      <c r="AB2411" s="1" t="s">
        <v>1413</v>
      </c>
      <c r="AC2411" s="5">
        <v>43683</v>
      </c>
      <c r="AF2411" s="1">
        <v>10013</v>
      </c>
      <c r="AI2411" s="1" t="s">
        <v>48</v>
      </c>
      <c r="AJ2411" s="1">
        <v>2019</v>
      </c>
      <c r="AK2411" s="1" t="s">
        <v>46</v>
      </c>
      <c r="AL2411" s="1">
        <v>115</v>
      </c>
    </row>
    <row r="2412" spans="1:38" x14ac:dyDescent="0.2">
      <c r="A2412" s="2" t="str">
        <f>HYPERLINK("https://www.compass.com/listing/7-harrison-street-unit-3s-manhattan-ny-10013/291281819645598449/","7 Harrison St, Unit 3S")</f>
        <v>7 Harrison St, Unit 3S</v>
      </c>
      <c r="B2412" s="2" t="str">
        <f>HYPERLINK("https://www.compass.com/building/7-harrison-st-manhattan-ny-10013/281921095324439429/","7 Harrison St")</f>
        <v>7 Harrison St</v>
      </c>
      <c r="C2412" s="1" t="s">
        <v>50</v>
      </c>
      <c r="D2412" s="1" t="s">
        <v>41</v>
      </c>
      <c r="E2412" s="3">
        <v>4100000</v>
      </c>
      <c r="F2412" s="1">
        <v>1928.5042333019701</v>
      </c>
      <c r="G2412" s="1">
        <v>6</v>
      </c>
      <c r="H2412" s="1">
        <v>3</v>
      </c>
      <c r="I2412" s="1">
        <v>3</v>
      </c>
      <c r="J2412" s="1">
        <v>3</v>
      </c>
      <c r="K2412" s="1">
        <v>3</v>
      </c>
      <c r="M2412" s="4">
        <v>2126</v>
      </c>
      <c r="N2412" s="1">
        <v>3456</v>
      </c>
      <c r="O2412" s="1">
        <v>6060</v>
      </c>
      <c r="P2412" s="1">
        <v>2604</v>
      </c>
      <c r="Q2412" s="1" t="s">
        <v>42</v>
      </c>
      <c r="S2412" s="1" t="s">
        <v>42</v>
      </c>
      <c r="T2412" s="1" t="s">
        <v>273</v>
      </c>
      <c r="U2412" s="1">
        <v>180</v>
      </c>
      <c r="V2412" s="5">
        <v>44245</v>
      </c>
      <c r="W2412" s="5">
        <v>43648</v>
      </c>
      <c r="X2412" s="1">
        <v>4700000</v>
      </c>
      <c r="Y2412" s="1">
        <v>4300000</v>
      </c>
      <c r="Z2412" s="5">
        <v>43865</v>
      </c>
      <c r="AA2412" s="1">
        <v>4100000</v>
      </c>
      <c r="AB2412" s="1" t="s">
        <v>1414</v>
      </c>
      <c r="AC2412" s="5">
        <v>44011</v>
      </c>
      <c r="AF2412" s="1">
        <v>10013</v>
      </c>
      <c r="AJ2412" s="1">
        <v>1900</v>
      </c>
      <c r="AK2412" s="1" t="s">
        <v>49</v>
      </c>
      <c r="AL2412" s="1">
        <v>12</v>
      </c>
    </row>
    <row r="2413" spans="1:38" x14ac:dyDescent="0.2">
      <c r="A2413" s="2" t="str">
        <f>HYPERLINK("https://www.compass.com/listing/108-leonard-street-unit-10b-manhattan-ny-10013/776242553295626217/","108 Leonard St, Unit 10B")</f>
        <v>108 Leonard St, Unit 10B</v>
      </c>
      <c r="B2413" s="2" t="str">
        <f>HYPERLINK("https://www.compass.com/building/108-leonard-st-manhattan-ny-10013/307456049610778277/","108 Leonard St")</f>
        <v>108 Leonard St</v>
      </c>
      <c r="C2413" s="1" t="s">
        <v>113</v>
      </c>
      <c r="D2413" s="1" t="s">
        <v>41</v>
      </c>
      <c r="E2413" s="3">
        <v>2911170</v>
      </c>
      <c r="F2413" s="1">
        <v>2055.9108968926498</v>
      </c>
      <c r="G2413" s="1">
        <v>4</v>
      </c>
      <c r="H2413" s="1">
        <v>2</v>
      </c>
      <c r="I2413" s="1">
        <v>3</v>
      </c>
      <c r="J2413" s="1">
        <v>2.5</v>
      </c>
      <c r="K2413" s="1">
        <v>2</v>
      </c>
      <c r="L2413" s="1">
        <v>1</v>
      </c>
      <c r="M2413" s="4">
        <v>1416</v>
      </c>
      <c r="N2413" s="1">
        <v>1679</v>
      </c>
      <c r="O2413" s="1">
        <v>3951</v>
      </c>
      <c r="P2413" s="1">
        <v>2272</v>
      </c>
      <c r="Q2413" s="1" t="s">
        <v>42</v>
      </c>
      <c r="S2413" s="1" t="s">
        <v>42</v>
      </c>
      <c r="T2413" s="1" t="s">
        <v>273</v>
      </c>
      <c r="V2413" s="5">
        <v>44356</v>
      </c>
      <c r="W2413" s="5">
        <v>44322</v>
      </c>
      <c r="Y2413" s="1">
        <v>3275000</v>
      </c>
      <c r="Z2413" s="5">
        <v>44343</v>
      </c>
      <c r="AA2413" s="1">
        <v>2911169.83</v>
      </c>
      <c r="AB2413" s="1" t="s">
        <v>1415</v>
      </c>
      <c r="AC2413" s="5">
        <v>44354</v>
      </c>
      <c r="AF2413" s="1">
        <v>10013</v>
      </c>
      <c r="AI2413" s="1" t="s">
        <v>78</v>
      </c>
      <c r="AJ2413" s="1">
        <v>1899</v>
      </c>
      <c r="AK2413" s="1" t="s">
        <v>115</v>
      </c>
      <c r="AL2413" s="1">
        <v>167</v>
      </c>
    </row>
    <row r="2414" spans="1:38" x14ac:dyDescent="0.2">
      <c r="A2414" s="2" t="str">
        <f>HYPERLINK("https://www.compass.com/listing/235-west-75th-street-unit-310-manhattan-ny-10023/29610723881551185/","235 W 75th St, Unit 310")</f>
        <v>235 W 75th St, Unit 310</v>
      </c>
      <c r="B2414" s="2" t="str">
        <f>HYPERLINK("https://www.compass.com/building/the-astor-manhattan-ny/281958704155269925/","The Astor")</f>
        <v>The Astor</v>
      </c>
      <c r="C2414" s="1" t="s">
        <v>57</v>
      </c>
      <c r="D2414" s="1" t="s">
        <v>41</v>
      </c>
      <c r="E2414" s="3">
        <v>2325000</v>
      </c>
      <c r="F2414" s="1">
        <v>1636.17171006333</v>
      </c>
      <c r="G2414" s="1">
        <v>4</v>
      </c>
      <c r="H2414" s="1">
        <v>2</v>
      </c>
      <c r="I2414" s="1">
        <v>3</v>
      </c>
      <c r="J2414" s="1">
        <v>2.5</v>
      </c>
      <c r="M2414" s="4">
        <v>1421</v>
      </c>
      <c r="N2414" s="1">
        <v>1847</v>
      </c>
      <c r="O2414" s="1">
        <v>3749</v>
      </c>
      <c r="P2414" s="1">
        <v>1902</v>
      </c>
      <c r="Q2414" s="1" t="s">
        <v>42</v>
      </c>
      <c r="S2414" s="1" t="s">
        <v>42</v>
      </c>
      <c r="T2414" s="1" t="s">
        <v>273</v>
      </c>
      <c r="U2414" s="1">
        <v>174</v>
      </c>
      <c r="V2414" s="5">
        <v>43644</v>
      </c>
      <c r="W2414" s="5">
        <v>43195</v>
      </c>
      <c r="X2414" s="1">
        <v>2600000</v>
      </c>
      <c r="Y2414" s="1">
        <v>2350000</v>
      </c>
      <c r="Z2414" s="5">
        <v>43369</v>
      </c>
      <c r="AA2414" s="1">
        <v>2325000</v>
      </c>
      <c r="AB2414" s="1" t="s">
        <v>1416</v>
      </c>
      <c r="AC2414" s="5">
        <v>43403</v>
      </c>
      <c r="AF2414" s="1">
        <v>10023</v>
      </c>
      <c r="AJ2414" s="1">
        <v>2018</v>
      </c>
      <c r="AK2414" s="1" t="s">
        <v>46</v>
      </c>
      <c r="AL2414" s="1">
        <v>98</v>
      </c>
    </row>
    <row r="2415" spans="1:38" x14ac:dyDescent="0.2">
      <c r="A2415" s="2" t="str">
        <f>HYPERLINK("https://www.compass.com/listing/108-leonard-street-unit-11m-manhattan-ny-10013/633796052195570209/","108 Leonard St, Unit 11M")</f>
        <v>108 Leonard St, Unit 11M</v>
      </c>
      <c r="B2415" s="2" t="str">
        <f t="shared" ref="B2415:B2417" si="392">HYPERLINK("https://www.compass.com/building/108-leonard-st-manhattan-ny-10013/307456049610778277/","108 Leonard St")</f>
        <v>108 Leonard St</v>
      </c>
      <c r="C2415" s="1" t="s">
        <v>113</v>
      </c>
      <c r="D2415" s="1" t="s">
        <v>41</v>
      </c>
      <c r="E2415" s="3">
        <v>3369308</v>
      </c>
      <c r="F2415" s="1">
        <v>1971.5085254534799</v>
      </c>
      <c r="G2415" s="1">
        <v>4.5</v>
      </c>
      <c r="H2415" s="1">
        <v>2</v>
      </c>
      <c r="I2415" s="1">
        <v>3</v>
      </c>
      <c r="J2415" s="1">
        <v>2.5</v>
      </c>
      <c r="K2415" s="1">
        <v>2</v>
      </c>
      <c r="L2415" s="1">
        <v>1</v>
      </c>
      <c r="M2415" s="4">
        <v>1709</v>
      </c>
      <c r="N2415" s="1">
        <v>2026</v>
      </c>
      <c r="O2415" s="1">
        <v>4768</v>
      </c>
      <c r="P2415" s="1">
        <v>2742</v>
      </c>
      <c r="Q2415" s="1" t="s">
        <v>42</v>
      </c>
      <c r="S2415" s="1" t="s">
        <v>42</v>
      </c>
      <c r="T2415" s="1" t="s">
        <v>273</v>
      </c>
      <c r="U2415" s="1">
        <v>6</v>
      </c>
      <c r="V2415" s="5">
        <v>44314</v>
      </c>
      <c r="W2415" s="5">
        <v>44120</v>
      </c>
      <c r="X2415" s="1">
        <v>3665000</v>
      </c>
      <c r="Y2415" s="1">
        <v>3665000</v>
      </c>
      <c r="Z2415" s="5">
        <v>44126</v>
      </c>
      <c r="AA2415" s="1">
        <v>3369308.07</v>
      </c>
      <c r="AB2415" s="1" t="s">
        <v>1417</v>
      </c>
      <c r="AC2415" s="5">
        <v>44308</v>
      </c>
      <c r="AF2415" s="1">
        <v>10013</v>
      </c>
      <c r="AI2415" s="1" t="s">
        <v>140</v>
      </c>
      <c r="AJ2415" s="1">
        <v>1899</v>
      </c>
      <c r="AK2415" s="1" t="s">
        <v>115</v>
      </c>
      <c r="AL2415" s="1">
        <v>167</v>
      </c>
    </row>
    <row r="2416" spans="1:38" x14ac:dyDescent="0.2">
      <c r="A2416" s="2" t="str">
        <f>HYPERLINK("https://www.compass.com/listing/108-leonard-street-unit-11e-manhattan-ny-10013/750068113397153417/","108 Leonard St, Unit 11E")</f>
        <v>108 Leonard St, Unit 11E</v>
      </c>
      <c r="B2416" s="2" t="str">
        <f t="shared" si="392"/>
        <v>108 Leonard St</v>
      </c>
      <c r="C2416" s="1" t="s">
        <v>113</v>
      </c>
      <c r="D2416" s="1" t="s">
        <v>41</v>
      </c>
      <c r="E2416" s="3">
        <v>2712244</v>
      </c>
      <c r="F2416" s="1">
        <v>2076.7566692189798</v>
      </c>
      <c r="G2416" s="1">
        <v>4</v>
      </c>
      <c r="H2416" s="1">
        <v>2</v>
      </c>
      <c r="I2416" s="1">
        <v>3</v>
      </c>
      <c r="J2416" s="1">
        <v>2.5</v>
      </c>
      <c r="K2416" s="1">
        <v>2</v>
      </c>
      <c r="L2416" s="1">
        <v>1</v>
      </c>
      <c r="M2416" s="4">
        <v>1306</v>
      </c>
      <c r="N2416" s="1">
        <v>1548</v>
      </c>
      <c r="O2416" s="1">
        <v>3643</v>
      </c>
      <c r="P2416" s="1">
        <v>2095</v>
      </c>
      <c r="Q2416" s="1" t="s">
        <v>42</v>
      </c>
      <c r="S2416" s="1" t="s">
        <v>42</v>
      </c>
      <c r="T2416" s="1" t="s">
        <v>273</v>
      </c>
      <c r="U2416" s="1">
        <v>1</v>
      </c>
      <c r="V2416" s="5">
        <v>44350</v>
      </c>
      <c r="W2416" s="5">
        <v>44285</v>
      </c>
      <c r="Y2416" s="1">
        <v>2880000</v>
      </c>
      <c r="Z2416" s="5">
        <v>44287</v>
      </c>
      <c r="AA2416" s="1">
        <v>2712244.21</v>
      </c>
      <c r="AB2416" s="1" t="s">
        <v>1418</v>
      </c>
      <c r="AC2416" s="5">
        <v>44344</v>
      </c>
      <c r="AF2416" s="1">
        <v>10013</v>
      </c>
      <c r="AI2416" s="1" t="s">
        <v>78</v>
      </c>
      <c r="AJ2416" s="1">
        <v>1899</v>
      </c>
      <c r="AK2416" s="1" t="s">
        <v>115</v>
      </c>
      <c r="AL2416" s="1">
        <v>167</v>
      </c>
    </row>
    <row r="2417" spans="1:38" x14ac:dyDescent="0.2">
      <c r="A2417" s="2" t="str">
        <f>HYPERLINK("https://www.compass.com/listing/108-leonard-street-unit-10i-manhattan-ny-10013/786323195995381033/","108 Leonard St, Unit 10I")</f>
        <v>108 Leonard St, Unit 10I</v>
      </c>
      <c r="B2417" s="2" t="str">
        <f t="shared" si="392"/>
        <v>108 Leonard St</v>
      </c>
      <c r="C2417" s="1" t="s">
        <v>113</v>
      </c>
      <c r="D2417" s="1" t="s">
        <v>41</v>
      </c>
      <c r="E2417" s="3">
        <v>2089159</v>
      </c>
      <c r="F2417" s="1">
        <v>1882.12481981981</v>
      </c>
      <c r="G2417" s="1">
        <v>3</v>
      </c>
      <c r="H2417" s="1">
        <v>1</v>
      </c>
      <c r="I2417" s="1">
        <v>2</v>
      </c>
      <c r="J2417" s="1">
        <v>2</v>
      </c>
      <c r="K2417" s="1">
        <v>2</v>
      </c>
      <c r="M2417" s="4">
        <v>1110</v>
      </c>
      <c r="N2417" s="1">
        <v>1316</v>
      </c>
      <c r="O2417" s="1">
        <v>3097</v>
      </c>
      <c r="P2417" s="1">
        <v>1781</v>
      </c>
      <c r="Q2417" s="1" t="s">
        <v>42</v>
      </c>
      <c r="S2417" s="1" t="s">
        <v>42</v>
      </c>
      <c r="T2417" s="1" t="s">
        <v>273</v>
      </c>
      <c r="V2417" s="5">
        <v>44364</v>
      </c>
      <c r="W2417" s="5">
        <v>44336</v>
      </c>
      <c r="X2417" s="1">
        <v>2180000</v>
      </c>
      <c r="Y2417" s="1">
        <v>2180000</v>
      </c>
      <c r="Z2417" s="5">
        <v>44337</v>
      </c>
      <c r="AA2417" s="1">
        <v>2089158.55</v>
      </c>
      <c r="AB2417" s="1" t="s">
        <v>1419</v>
      </c>
      <c r="AC2417" s="5">
        <v>44361</v>
      </c>
      <c r="AF2417" s="1">
        <v>10013</v>
      </c>
      <c r="AI2417" s="1" t="s">
        <v>78</v>
      </c>
      <c r="AJ2417" s="1">
        <v>1899</v>
      </c>
      <c r="AK2417" s="1" t="s">
        <v>115</v>
      </c>
      <c r="AL2417" s="1">
        <v>167</v>
      </c>
    </row>
    <row r="2418" spans="1:38" x14ac:dyDescent="0.2">
      <c r="A2418" s="2" t="str">
        <f>HYPERLINK("https://www.compass.com/listing/7-harrison-street-unit-2n-manhattan-ny-10013/70922901930398145/","7 Harrison St, Unit 2N")</f>
        <v>7 Harrison St, Unit 2N</v>
      </c>
      <c r="B2418" s="2" t="str">
        <f t="shared" ref="B2418:B2419" si="393">HYPERLINK("https://www.compass.com/building/7-harrison-st-manhattan-ny-10013/281921095324439429/","7 Harrison St")</f>
        <v>7 Harrison St</v>
      </c>
      <c r="C2418" s="1" t="s">
        <v>50</v>
      </c>
      <c r="D2418" s="1" t="s">
        <v>41</v>
      </c>
      <c r="E2418" s="3">
        <v>5753113</v>
      </c>
      <c r="F2418" s="1">
        <v>2609.12154195011</v>
      </c>
      <c r="G2418" s="1">
        <v>6</v>
      </c>
      <c r="H2418" s="1">
        <v>3</v>
      </c>
      <c r="I2418" s="1">
        <v>3</v>
      </c>
      <c r="J2418" s="1">
        <v>3</v>
      </c>
      <c r="M2418" s="4">
        <v>2205</v>
      </c>
      <c r="N2418" s="1">
        <v>3027</v>
      </c>
      <c r="O2418" s="1">
        <v>4868</v>
      </c>
      <c r="P2418" s="1">
        <v>1841</v>
      </c>
      <c r="Q2418" s="1" t="s">
        <v>42</v>
      </c>
      <c r="S2418" s="1" t="s">
        <v>42</v>
      </c>
      <c r="T2418" s="1" t="s">
        <v>273</v>
      </c>
      <c r="V2418" s="5">
        <v>43671</v>
      </c>
      <c r="W2418" s="5">
        <v>41767</v>
      </c>
      <c r="X2418" s="1">
        <v>5650000</v>
      </c>
      <c r="Y2418" s="1">
        <v>5650000</v>
      </c>
      <c r="Z2418" s="5">
        <v>41767</v>
      </c>
      <c r="AA2418" s="1">
        <v>5753113</v>
      </c>
      <c r="AB2418" s="1" t="s">
        <v>350</v>
      </c>
      <c r="AC2418" s="5">
        <v>42035</v>
      </c>
      <c r="AF2418" s="1">
        <v>10013</v>
      </c>
      <c r="AJ2418" s="1">
        <v>1900</v>
      </c>
      <c r="AK2418" s="1" t="s">
        <v>108</v>
      </c>
      <c r="AL2418" s="1">
        <v>12</v>
      </c>
    </row>
    <row r="2419" spans="1:38" x14ac:dyDescent="0.2">
      <c r="A2419" s="2" t="str">
        <f>HYPERLINK("https://www.compass.com/listing/7-harrison-street-unit-6s-manhattan-ny-10013/70922954879318737/","7 Harrison St, Unit 6S")</f>
        <v>7 Harrison St, Unit 6S</v>
      </c>
      <c r="B2419" s="2" t="str">
        <f t="shared" si="393"/>
        <v>7 Harrison St</v>
      </c>
      <c r="C2419" s="1" t="s">
        <v>50</v>
      </c>
      <c r="D2419" s="1" t="s">
        <v>41</v>
      </c>
      <c r="E2419" s="3">
        <v>5854938</v>
      </c>
      <c r="F2419" s="1">
        <v>2753.9689557855099</v>
      </c>
      <c r="G2419" s="1">
        <v>6</v>
      </c>
      <c r="H2419" s="1">
        <v>3</v>
      </c>
      <c r="I2419" s="1">
        <v>3</v>
      </c>
      <c r="J2419" s="1">
        <v>3</v>
      </c>
      <c r="M2419" s="4">
        <v>2126</v>
      </c>
      <c r="N2419" s="1">
        <v>2919</v>
      </c>
      <c r="O2419" s="1">
        <v>4695</v>
      </c>
      <c r="P2419" s="1">
        <v>1776</v>
      </c>
      <c r="Q2419" s="1" t="s">
        <v>42</v>
      </c>
      <c r="S2419" s="1" t="s">
        <v>42</v>
      </c>
      <c r="T2419" s="1" t="s">
        <v>273</v>
      </c>
      <c r="V2419" s="5">
        <v>43654</v>
      </c>
      <c r="W2419" s="5">
        <v>41796</v>
      </c>
      <c r="X2419" s="1">
        <v>5750000</v>
      </c>
      <c r="Y2419" s="1">
        <v>5750000</v>
      </c>
      <c r="Z2419" s="5">
        <v>41796</v>
      </c>
      <c r="AA2419" s="1">
        <v>5854938</v>
      </c>
      <c r="AB2419" s="1" t="s">
        <v>1420</v>
      </c>
      <c r="AC2419" s="5">
        <v>42017</v>
      </c>
      <c r="AF2419" s="1">
        <v>10013</v>
      </c>
      <c r="AJ2419" s="1">
        <v>1900</v>
      </c>
      <c r="AK2419" s="1" t="s">
        <v>108</v>
      </c>
      <c r="AL2419" s="1">
        <v>12</v>
      </c>
    </row>
    <row r="2420" spans="1:38" x14ac:dyDescent="0.2">
      <c r="A2420" s="2" t="str">
        <f>HYPERLINK("https://www.compass.com/listing/391-broadway-unit-3-manhattan-ny-10013/258733984324830577/","391 Broadway, Unit 3")</f>
        <v>391 Broadway, Unit 3</v>
      </c>
      <c r="B2420" s="2" t="str">
        <f>HYPERLINK("https://www.compass.com/building/391-broadway-manhattan-ny-10013/281919434489105749/","391 Broadway")</f>
        <v>391 Broadway</v>
      </c>
      <c r="C2420" s="1" t="s">
        <v>50</v>
      </c>
      <c r="D2420" s="1" t="s">
        <v>41</v>
      </c>
      <c r="E2420" s="3">
        <v>2905000</v>
      </c>
      <c r="F2420" s="1">
        <v>1424.01960784313</v>
      </c>
      <c r="G2420" s="1">
        <v>5</v>
      </c>
      <c r="H2420" s="1">
        <v>2</v>
      </c>
      <c r="I2420" s="1">
        <v>3</v>
      </c>
      <c r="J2420" s="1">
        <v>2.5</v>
      </c>
      <c r="K2420" s="1">
        <v>2</v>
      </c>
      <c r="L2420" s="1">
        <v>1</v>
      </c>
      <c r="M2420" s="4">
        <v>2040</v>
      </c>
      <c r="N2420" s="1">
        <v>1552</v>
      </c>
      <c r="O2420" s="1">
        <v>3619</v>
      </c>
      <c r="P2420" s="1">
        <v>2067</v>
      </c>
      <c r="Q2420" s="1" t="s">
        <v>42</v>
      </c>
      <c r="S2420" s="1" t="s">
        <v>42</v>
      </c>
      <c r="T2420" s="1" t="s">
        <v>273</v>
      </c>
      <c r="U2420" s="1">
        <v>46</v>
      </c>
      <c r="V2420" s="5">
        <v>43858</v>
      </c>
      <c r="W2420" s="5">
        <v>43609</v>
      </c>
      <c r="X2420" s="1">
        <v>2950000</v>
      </c>
      <c r="Y2420" s="1">
        <v>2950000</v>
      </c>
      <c r="Z2420" s="5">
        <v>43684</v>
      </c>
      <c r="AA2420" s="1">
        <v>2905000</v>
      </c>
      <c r="AB2420" s="1" t="s">
        <v>275</v>
      </c>
      <c r="AC2420" s="5">
        <v>43848</v>
      </c>
      <c r="AF2420" s="1">
        <v>10013</v>
      </c>
      <c r="AI2420" s="1" t="s">
        <v>177</v>
      </c>
      <c r="AJ2420" s="1">
        <v>1915</v>
      </c>
      <c r="AL2420" s="1">
        <v>4</v>
      </c>
    </row>
    <row r="2421" spans="1:38" x14ac:dyDescent="0.2">
      <c r="A2421" s="2" t="str">
        <f>HYPERLINK("https://www.compass.com/listing/403-greenwich-street-unit-a-manhattan-ny-10013/15258368730033169/","403 Greenwich St, Unit A")</f>
        <v>403 Greenwich St, Unit A</v>
      </c>
      <c r="B2421" s="2" t="str">
        <f>HYPERLINK("https://www.compass.com/building/403-greenwich-st-manhattan-ny-10013/281919631906604869/","403 Greenwich St")</f>
        <v>403 Greenwich St</v>
      </c>
      <c r="C2421" s="1" t="s">
        <v>50</v>
      </c>
      <c r="D2421" s="1" t="s">
        <v>41</v>
      </c>
      <c r="E2421" s="3">
        <v>3570000</v>
      </c>
      <c r="F2421" s="1">
        <v>1877.9589689637</v>
      </c>
      <c r="G2421" s="1">
        <v>4</v>
      </c>
      <c r="H2421" s="1">
        <v>3</v>
      </c>
      <c r="I2421" s="1">
        <v>4</v>
      </c>
      <c r="J2421" s="1">
        <v>3.5</v>
      </c>
      <c r="K2421" s="1">
        <v>3</v>
      </c>
      <c r="L2421" s="1">
        <v>1</v>
      </c>
      <c r="M2421" s="4">
        <v>1901</v>
      </c>
      <c r="N2421" s="1">
        <v>1547</v>
      </c>
      <c r="O2421" s="1">
        <v>4439</v>
      </c>
      <c r="P2421" s="1">
        <v>2892</v>
      </c>
      <c r="Q2421" s="1" t="s">
        <v>42</v>
      </c>
      <c r="S2421" s="1" t="s">
        <v>42</v>
      </c>
      <c r="T2421" s="1" t="s">
        <v>273</v>
      </c>
      <c r="U2421" s="1">
        <v>234</v>
      </c>
      <c r="V2421" s="5">
        <v>44040</v>
      </c>
      <c r="W2421" s="5">
        <v>43014</v>
      </c>
      <c r="X2421" s="1">
        <v>3800000</v>
      </c>
      <c r="Y2421" s="1">
        <v>3800000</v>
      </c>
      <c r="AA2421" s="1">
        <v>3570000</v>
      </c>
      <c r="AB2421" s="1" t="s">
        <v>1421</v>
      </c>
      <c r="AC2421" s="5">
        <v>43334</v>
      </c>
      <c r="AF2421" s="1">
        <v>10013</v>
      </c>
      <c r="AI2421" s="1" t="s">
        <v>160</v>
      </c>
      <c r="AJ2421" s="1">
        <v>2017</v>
      </c>
      <c r="AL2421" s="1">
        <v>4</v>
      </c>
    </row>
    <row r="2422" spans="1:38" x14ac:dyDescent="0.2">
      <c r="A2422" s="2" t="str">
        <f>HYPERLINK("https://www.compass.com/listing/108-leonard-street-unit-5p-manhattan-ny-10013/700219117321412737/","108 Leonard St, Unit 5P")</f>
        <v>108 Leonard St, Unit 5P</v>
      </c>
      <c r="B2422" s="2" t="str">
        <f>HYPERLINK("https://www.compass.com/building/108-leonard-st-manhattan-ny-10013/307456049610778277/","108 Leonard St")</f>
        <v>108 Leonard St</v>
      </c>
      <c r="C2422" s="1" t="s">
        <v>113</v>
      </c>
      <c r="D2422" s="1" t="s">
        <v>41</v>
      </c>
      <c r="E2422" s="3">
        <v>4590977</v>
      </c>
      <c r="F2422" s="1">
        <v>1875.3989991829999</v>
      </c>
      <c r="G2422" s="1">
        <v>6</v>
      </c>
      <c r="H2422" s="1">
        <v>3</v>
      </c>
      <c r="I2422" s="1">
        <v>4</v>
      </c>
      <c r="J2422" s="1">
        <v>3.5</v>
      </c>
      <c r="K2422" s="1">
        <v>3</v>
      </c>
      <c r="L2422" s="1">
        <v>1</v>
      </c>
      <c r="M2422" s="4">
        <v>2448</v>
      </c>
      <c r="N2422" s="1">
        <v>2902</v>
      </c>
      <c r="O2422" s="1">
        <v>6829</v>
      </c>
      <c r="P2422" s="1">
        <v>3927</v>
      </c>
      <c r="Q2422" s="1" t="s">
        <v>42</v>
      </c>
      <c r="S2422" s="1" t="s">
        <v>42</v>
      </c>
      <c r="T2422" s="1" t="s">
        <v>273</v>
      </c>
      <c r="U2422" s="1">
        <v>878</v>
      </c>
      <c r="V2422" s="5">
        <v>44225</v>
      </c>
      <c r="W2422" s="5">
        <v>43228</v>
      </c>
      <c r="X2422" s="1">
        <v>5000000</v>
      </c>
      <c r="Y2422" s="1">
        <v>5000000</v>
      </c>
      <c r="AA2422" s="1">
        <v>4590976.75</v>
      </c>
      <c r="AB2422" s="1" t="s">
        <v>1422</v>
      </c>
      <c r="AC2422" s="5">
        <v>44200</v>
      </c>
      <c r="AF2422" s="1">
        <v>10013</v>
      </c>
      <c r="AI2422" s="1" t="s">
        <v>78</v>
      </c>
      <c r="AJ2422" s="1">
        <v>1899</v>
      </c>
      <c r="AK2422" s="1" t="s">
        <v>239</v>
      </c>
      <c r="AL2422" s="1">
        <v>167</v>
      </c>
    </row>
    <row r="2423" spans="1:38" x14ac:dyDescent="0.2">
      <c r="A2423" s="2" t="str">
        <f>HYPERLINK("https://www.compass.com/listing/270-riverside-drive-unit-8a-manhattan-ny-10025/767103048329522081/","270 Riverside Dr, Unit 8A")</f>
        <v>270 Riverside Dr, Unit 8A</v>
      </c>
      <c r="B2423" s="2" t="str">
        <f>HYPERLINK("https://www.compass.com/building/270-riverside-dr-manhattan-ny-10025/281970283991095285/","270 Riverside Dr")</f>
        <v>270 Riverside Dr</v>
      </c>
      <c r="C2423" s="1" t="s">
        <v>57</v>
      </c>
      <c r="D2423" s="1" t="s">
        <v>41</v>
      </c>
      <c r="E2423" s="3">
        <v>4995000</v>
      </c>
      <c r="F2423" s="1">
        <v>1755.7117750439299</v>
      </c>
      <c r="H2423" s="1">
        <v>3</v>
      </c>
      <c r="J2423" s="1">
        <v>4</v>
      </c>
      <c r="K2423" s="1">
        <v>4</v>
      </c>
      <c r="M2423" s="4">
        <v>2845</v>
      </c>
      <c r="N2423" s="1">
        <v>3521</v>
      </c>
      <c r="O2423" s="1">
        <v>5311</v>
      </c>
      <c r="P2423" s="1">
        <v>1790</v>
      </c>
      <c r="Q2423" s="1" t="s">
        <v>42</v>
      </c>
      <c r="S2423" s="1" t="s">
        <v>42</v>
      </c>
      <c r="T2423" s="1" t="s">
        <v>273</v>
      </c>
      <c r="AA2423" s="1">
        <v>4995000</v>
      </c>
      <c r="AB2423" s="1" t="s">
        <v>1423</v>
      </c>
      <c r="AC2423" s="5">
        <v>44256</v>
      </c>
      <c r="AF2423" s="1">
        <v>10025</v>
      </c>
      <c r="AJ2423" s="1">
        <v>1920</v>
      </c>
      <c r="AK2423" s="1" t="s">
        <v>70</v>
      </c>
      <c r="AL2423" s="1">
        <v>57</v>
      </c>
    </row>
    <row r="2424" spans="1:38" x14ac:dyDescent="0.2">
      <c r="A2424" s="2" t="str">
        <f>HYPERLINK("https://www.compass.com/listing/7-harrison-street-unit-6n-manhattan-ny-10013/70921561657367521/","7 Harrison St, Unit 6N")</f>
        <v>7 Harrison St, Unit 6N</v>
      </c>
      <c r="B2424" s="2" t="str">
        <f>HYPERLINK("https://www.compass.com/building/7-harrison-st-manhattan-ny-10013/281921095324439429/","7 Harrison St")</f>
        <v>7 Harrison St</v>
      </c>
      <c r="C2424" s="1" t="s">
        <v>50</v>
      </c>
      <c r="D2424" s="1" t="s">
        <v>41</v>
      </c>
      <c r="E2424" s="3">
        <v>6669538</v>
      </c>
      <c r="F2424" s="1">
        <v>3024.7337868480699</v>
      </c>
      <c r="G2424" s="1">
        <v>6</v>
      </c>
      <c r="H2424" s="1">
        <v>3</v>
      </c>
      <c r="I2424" s="1">
        <v>3</v>
      </c>
      <c r="J2424" s="1">
        <v>3</v>
      </c>
      <c r="M2424" s="4">
        <v>2205</v>
      </c>
      <c r="N2424" s="1">
        <v>3026</v>
      </c>
      <c r="O2424" s="1">
        <v>4867</v>
      </c>
      <c r="P2424" s="1">
        <v>1841</v>
      </c>
      <c r="Q2424" s="1" t="s">
        <v>42</v>
      </c>
      <c r="S2424" s="1" t="s">
        <v>42</v>
      </c>
      <c r="T2424" s="1" t="s">
        <v>273</v>
      </c>
      <c r="U2424" s="1">
        <v>235</v>
      </c>
      <c r="V2424" s="5">
        <v>43671</v>
      </c>
      <c r="W2424" s="5">
        <v>41778</v>
      </c>
      <c r="X2424" s="1">
        <v>6500000</v>
      </c>
      <c r="Y2424" s="1">
        <v>6500000</v>
      </c>
      <c r="AA2424" s="1">
        <v>6669538</v>
      </c>
      <c r="AB2424" s="1" t="s">
        <v>355</v>
      </c>
      <c r="AC2424" s="5">
        <v>42014</v>
      </c>
      <c r="AF2424" s="1">
        <v>10013</v>
      </c>
      <c r="AJ2424" s="1">
        <v>1900</v>
      </c>
      <c r="AK2424" s="1" t="s">
        <v>108</v>
      </c>
      <c r="AL2424" s="1">
        <v>12</v>
      </c>
    </row>
    <row r="2425" spans="1:38" x14ac:dyDescent="0.2">
      <c r="A2425" s="2" t="str">
        <f>HYPERLINK("https://www.compass.com/listing/108-leonard-street-unit-10l-manhattan-ny-10013/719624085470306713/","108 Leonard St, Unit 10L")</f>
        <v>108 Leonard St, Unit 10L</v>
      </c>
      <c r="B2425" s="2" t="str">
        <f>HYPERLINK("https://www.compass.com/building/108-leonard-st-manhattan-ny-10013/307456049610778277/","108 Leonard St")</f>
        <v>108 Leonard St</v>
      </c>
      <c r="C2425" s="1" t="s">
        <v>113</v>
      </c>
      <c r="D2425" s="1" t="s">
        <v>41</v>
      </c>
      <c r="E2425" s="3">
        <v>2923318</v>
      </c>
      <c r="F2425" s="1">
        <v>1990.00558883594</v>
      </c>
      <c r="G2425" s="1">
        <v>4</v>
      </c>
      <c r="H2425" s="1">
        <v>2</v>
      </c>
      <c r="I2425" s="1">
        <v>3</v>
      </c>
      <c r="J2425" s="1">
        <v>2.5</v>
      </c>
      <c r="K2425" s="1">
        <v>2</v>
      </c>
      <c r="L2425" s="1">
        <v>1</v>
      </c>
      <c r="M2425" s="4">
        <v>1469</v>
      </c>
      <c r="N2425" s="1">
        <v>1741</v>
      </c>
      <c r="O2425" s="1">
        <v>4098</v>
      </c>
      <c r="P2425" s="1">
        <v>2357</v>
      </c>
      <c r="Q2425" s="1" t="s">
        <v>42</v>
      </c>
      <c r="S2425" s="1" t="s">
        <v>42</v>
      </c>
      <c r="T2425" s="1" t="s">
        <v>273</v>
      </c>
      <c r="V2425" s="5">
        <v>44314</v>
      </c>
      <c r="W2425" s="5">
        <v>44244</v>
      </c>
      <c r="Y2425" s="1">
        <v>3395000</v>
      </c>
      <c r="Z2425" s="5">
        <v>44245</v>
      </c>
      <c r="AA2425" s="1">
        <v>2923318.21</v>
      </c>
      <c r="AB2425" s="1" t="s">
        <v>1424</v>
      </c>
      <c r="AC2425" s="5">
        <v>44288</v>
      </c>
      <c r="AF2425" s="1">
        <v>10013</v>
      </c>
      <c r="AI2425" s="1" t="s">
        <v>78</v>
      </c>
      <c r="AJ2425" s="1">
        <v>1899</v>
      </c>
      <c r="AK2425" s="1" t="s">
        <v>49</v>
      </c>
      <c r="AL2425" s="1">
        <v>167</v>
      </c>
    </row>
    <row r="2426" spans="1:38" x14ac:dyDescent="0.2">
      <c r="A2426" s="2" t="str">
        <f>HYPERLINK("https://www.compass.com/listing/7-harrison-street-unit-5n-manhattan-ny-10013/29358787659832257/","7 Harrison St, Unit 5N")</f>
        <v>7 Harrison St, Unit 5N</v>
      </c>
      <c r="B2426" s="2" t="str">
        <f>HYPERLINK("https://www.compass.com/building/7-harrison-st-manhattan-ny-10013/281921095324439429/","7 Harrison St")</f>
        <v>7 Harrison St</v>
      </c>
      <c r="C2426" s="1" t="s">
        <v>50</v>
      </c>
      <c r="D2426" s="1" t="s">
        <v>41</v>
      </c>
      <c r="E2426" s="3">
        <v>6112500</v>
      </c>
      <c r="F2426" s="1">
        <v>2772.1088435374099</v>
      </c>
      <c r="G2426" s="1">
        <v>6</v>
      </c>
      <c r="H2426" s="1">
        <v>3</v>
      </c>
      <c r="I2426" s="1">
        <v>3</v>
      </c>
      <c r="J2426" s="1">
        <v>3</v>
      </c>
      <c r="K2426" s="1">
        <v>3</v>
      </c>
      <c r="M2426" s="4">
        <v>2205</v>
      </c>
      <c r="N2426" s="1">
        <v>3026</v>
      </c>
      <c r="O2426" s="1">
        <v>5699</v>
      </c>
      <c r="P2426" s="1">
        <v>2673</v>
      </c>
      <c r="Q2426" s="1" t="s">
        <v>42</v>
      </c>
      <c r="S2426" s="1" t="s">
        <v>42</v>
      </c>
      <c r="T2426" s="1" t="s">
        <v>273</v>
      </c>
      <c r="U2426" s="1">
        <v>229</v>
      </c>
      <c r="V2426" s="5">
        <v>43663</v>
      </c>
      <c r="W2426" s="5">
        <v>42489</v>
      </c>
      <c r="X2426" s="1">
        <v>7800000</v>
      </c>
      <c r="Y2426" s="1">
        <v>6800000</v>
      </c>
      <c r="Z2426" s="5">
        <v>42718</v>
      </c>
      <c r="AA2426" s="1">
        <v>6112500</v>
      </c>
      <c r="AB2426" s="1" t="s">
        <v>1425</v>
      </c>
      <c r="AC2426" s="5">
        <v>42772</v>
      </c>
      <c r="AF2426" s="1">
        <v>10013</v>
      </c>
      <c r="AJ2426" s="1">
        <v>1900</v>
      </c>
      <c r="AK2426" s="1" t="s">
        <v>1426</v>
      </c>
      <c r="AL2426" s="1">
        <v>12</v>
      </c>
    </row>
    <row r="2427" spans="1:38" x14ac:dyDescent="0.2">
      <c r="A2427" s="2" t="str">
        <f>HYPERLINK("https://www.compass.com/listing/403-greenwich-street-unit-b-manhattan-ny-10013/29359221493515873/","403 Greenwich St, Unit B")</f>
        <v>403 Greenwich St, Unit B</v>
      </c>
      <c r="B2427" s="2" t="str">
        <f>HYPERLINK("https://www.compass.com/building/403-greenwich-st-manhattan-ny-10013/281919631906604869/","403 Greenwich St")</f>
        <v>403 Greenwich St</v>
      </c>
      <c r="C2427" s="1" t="s">
        <v>50</v>
      </c>
      <c r="D2427" s="1" t="s">
        <v>41</v>
      </c>
      <c r="E2427" s="3">
        <v>4279400</v>
      </c>
      <c r="F2427" s="1">
        <v>2226.53485952133</v>
      </c>
      <c r="G2427" s="1">
        <v>8</v>
      </c>
      <c r="H2427" s="1">
        <v>3</v>
      </c>
      <c r="I2427" s="1">
        <v>3</v>
      </c>
      <c r="J2427" s="1">
        <v>3</v>
      </c>
      <c r="K2427" s="1">
        <v>3</v>
      </c>
      <c r="M2427" s="4">
        <v>1922</v>
      </c>
      <c r="N2427" s="1">
        <v>1773</v>
      </c>
      <c r="O2427" s="1">
        <v>4267</v>
      </c>
      <c r="P2427" s="1">
        <v>2494</v>
      </c>
      <c r="Q2427" s="1" t="s">
        <v>42</v>
      </c>
      <c r="S2427" s="1" t="s">
        <v>42</v>
      </c>
      <c r="T2427" s="1" t="s">
        <v>273</v>
      </c>
      <c r="U2427" s="1">
        <v>100</v>
      </c>
      <c r="V2427" s="5">
        <v>44040</v>
      </c>
      <c r="W2427" s="5">
        <v>42936</v>
      </c>
      <c r="X2427" s="1">
        <v>4475000</v>
      </c>
      <c r="Y2427" s="1">
        <v>4475000</v>
      </c>
      <c r="Z2427" s="5">
        <v>43036</v>
      </c>
      <c r="AA2427" s="1">
        <v>4279400</v>
      </c>
      <c r="AB2427" s="1" t="s">
        <v>1427</v>
      </c>
      <c r="AC2427" s="5">
        <v>43231</v>
      </c>
      <c r="AF2427" s="1">
        <v>10013</v>
      </c>
      <c r="AJ2427" s="1">
        <v>2017</v>
      </c>
      <c r="AL2427" s="1">
        <v>4</v>
      </c>
    </row>
    <row r="2428" spans="1:38" x14ac:dyDescent="0.2">
      <c r="A2428" s="2" t="str">
        <f>HYPERLINK("https://www.compass.com/listing/108-leonard-street-unit-6l-manhattan-ny-10013/622444223247368657/","108 Leonard St, Unit 6L")</f>
        <v>108 Leonard St, Unit 6L</v>
      </c>
      <c r="B2428" s="2" t="str">
        <f t="shared" ref="B2428:B2429" si="394">HYPERLINK("https://www.compass.com/building/108-leonard-st-manhattan-ny-10013/307456049610778277/","108 Leonard St")</f>
        <v>108 Leonard St</v>
      </c>
      <c r="C2428" s="1" t="s">
        <v>113</v>
      </c>
      <c r="D2428" s="1" t="s">
        <v>41</v>
      </c>
      <c r="E2428" s="3">
        <v>2875609</v>
      </c>
      <c r="F2428" s="1">
        <v>1952.2125594025799</v>
      </c>
      <c r="G2428" s="1">
        <v>4.5</v>
      </c>
      <c r="H2428" s="1">
        <v>2</v>
      </c>
      <c r="I2428" s="1">
        <v>3</v>
      </c>
      <c r="J2428" s="1">
        <v>2.5</v>
      </c>
      <c r="K2428" s="1">
        <v>2</v>
      </c>
      <c r="L2428" s="1">
        <v>1</v>
      </c>
      <c r="M2428" s="4">
        <v>1473</v>
      </c>
      <c r="N2428" s="1">
        <v>1746</v>
      </c>
      <c r="O2428" s="1">
        <v>4109</v>
      </c>
      <c r="P2428" s="1">
        <v>2363</v>
      </c>
      <c r="Q2428" s="1" t="s">
        <v>42</v>
      </c>
      <c r="S2428" s="1" t="s">
        <v>42</v>
      </c>
      <c r="T2428" s="1" t="s">
        <v>273</v>
      </c>
      <c r="V2428" s="5">
        <v>44225</v>
      </c>
      <c r="W2428" s="5">
        <v>44110</v>
      </c>
      <c r="X2428" s="1">
        <v>3400000</v>
      </c>
      <c r="Y2428" s="1">
        <v>3400000</v>
      </c>
      <c r="Z2428" s="5">
        <v>44111</v>
      </c>
      <c r="AA2428" s="1">
        <v>2875609.1</v>
      </c>
      <c r="AB2428" s="1" t="s">
        <v>1428</v>
      </c>
      <c r="AC2428" s="5">
        <v>44168</v>
      </c>
      <c r="AF2428" s="1">
        <v>10013</v>
      </c>
      <c r="AI2428" s="1" t="s">
        <v>78</v>
      </c>
      <c r="AJ2428" s="1">
        <v>1899</v>
      </c>
      <c r="AK2428" s="1" t="s">
        <v>49</v>
      </c>
      <c r="AL2428" s="1">
        <v>167</v>
      </c>
    </row>
    <row r="2429" spans="1:38" x14ac:dyDescent="0.2">
      <c r="A2429" s="2" t="str">
        <f>HYPERLINK("https://www.compass.com/listing/108-leonard-street-unit-8c-manhattan-ny-10013/612312734436107513/","108 Leonard St, Unit 8C")</f>
        <v>108 Leonard St, Unit 8C</v>
      </c>
      <c r="B2429" s="2" t="str">
        <f t="shared" si="394"/>
        <v>108 Leonard St</v>
      </c>
      <c r="C2429" s="1" t="s">
        <v>113</v>
      </c>
      <c r="D2429" s="1" t="s">
        <v>41</v>
      </c>
      <c r="E2429" s="3">
        <v>3951119</v>
      </c>
      <c r="F2429" s="1">
        <v>2053.5961434511401</v>
      </c>
      <c r="G2429" s="1">
        <v>6</v>
      </c>
      <c r="H2429" s="1">
        <v>3</v>
      </c>
      <c r="I2429" s="1">
        <v>4</v>
      </c>
      <c r="J2429" s="1">
        <v>3.5</v>
      </c>
      <c r="K2429" s="1">
        <v>3</v>
      </c>
      <c r="L2429" s="1">
        <v>1</v>
      </c>
      <c r="M2429" s="4">
        <v>1924</v>
      </c>
      <c r="N2429" s="1">
        <v>2281</v>
      </c>
      <c r="O2429" s="1">
        <v>5367</v>
      </c>
      <c r="P2429" s="1">
        <v>3086</v>
      </c>
      <c r="Q2429" s="1" t="s">
        <v>42</v>
      </c>
      <c r="S2429" s="1" t="s">
        <v>42</v>
      </c>
      <c r="T2429" s="1" t="s">
        <v>273</v>
      </c>
      <c r="U2429" s="1">
        <v>645</v>
      </c>
      <c r="V2429" s="5">
        <v>44105</v>
      </c>
      <c r="W2429" s="5">
        <v>43356</v>
      </c>
      <c r="X2429" s="1">
        <v>4410000</v>
      </c>
      <c r="Y2429" s="1">
        <v>4410000</v>
      </c>
      <c r="AA2429" s="1">
        <v>3951118.98</v>
      </c>
      <c r="AB2429" s="1" t="s">
        <v>1429</v>
      </c>
      <c r="AC2429" s="5">
        <v>44095</v>
      </c>
      <c r="AF2429" s="1">
        <v>10013</v>
      </c>
      <c r="AI2429" s="1" t="s">
        <v>78</v>
      </c>
      <c r="AJ2429" s="1">
        <v>1899</v>
      </c>
      <c r="AK2429" s="1" t="s">
        <v>55</v>
      </c>
      <c r="AL2429" s="1">
        <v>167</v>
      </c>
    </row>
    <row r="2430" spans="1:38" x14ac:dyDescent="0.2">
      <c r="A2430" s="2" t="str">
        <f>HYPERLINK("https://www.compass.com/listing/7-harrison-street-unit-5n-manhattan-ny-10013/29358787659832225/","7 Harrison St, Unit 5N")</f>
        <v>7 Harrison St, Unit 5N</v>
      </c>
      <c r="B2430" s="2" t="str">
        <f t="shared" ref="B2430:B2431" si="395">HYPERLINK("https://www.compass.com/building/7-harrison-st-manhattan-ny-10013/281921095324439429/","7 Harrison St")</f>
        <v>7 Harrison St</v>
      </c>
      <c r="C2430" s="1" t="s">
        <v>50</v>
      </c>
      <c r="D2430" s="1" t="s">
        <v>41</v>
      </c>
      <c r="E2430" s="3">
        <v>6900000</v>
      </c>
      <c r="F2430" s="1">
        <v>3129.25170068027</v>
      </c>
      <c r="G2430" s="1">
        <v>6</v>
      </c>
      <c r="H2430" s="1">
        <v>3</v>
      </c>
      <c r="I2430" s="1">
        <v>3</v>
      </c>
      <c r="J2430" s="1">
        <v>3</v>
      </c>
      <c r="M2430" s="4">
        <v>2205</v>
      </c>
      <c r="N2430" s="1">
        <v>3026</v>
      </c>
      <c r="O2430" s="1">
        <v>4867</v>
      </c>
      <c r="P2430" s="1">
        <v>1841</v>
      </c>
      <c r="Q2430" s="1" t="s">
        <v>42</v>
      </c>
      <c r="S2430" s="1" t="s">
        <v>42</v>
      </c>
      <c r="T2430" s="1" t="s">
        <v>273</v>
      </c>
      <c r="V2430" s="5">
        <v>43668</v>
      </c>
      <c r="W2430" s="5">
        <v>41796</v>
      </c>
      <c r="X2430" s="1">
        <v>6250000</v>
      </c>
      <c r="Y2430" s="1">
        <v>6250000</v>
      </c>
      <c r="Z2430" s="5">
        <v>41796</v>
      </c>
      <c r="AA2430" s="1">
        <v>6900000</v>
      </c>
      <c r="AB2430" s="1" t="s">
        <v>1430</v>
      </c>
      <c r="AC2430" s="5">
        <v>42136</v>
      </c>
      <c r="AF2430" s="1">
        <v>10013</v>
      </c>
      <c r="AJ2430" s="1">
        <v>1900</v>
      </c>
      <c r="AK2430" s="1" t="s">
        <v>108</v>
      </c>
      <c r="AL2430" s="1">
        <v>12</v>
      </c>
    </row>
    <row r="2431" spans="1:38" x14ac:dyDescent="0.2">
      <c r="A2431" s="2" t="str">
        <f>HYPERLINK("https://www.compass.com/listing/7-harrison-street-unit-4n-manhattan-ny-10013/70922937833662481/","7 Harrison St, Unit 4N")</f>
        <v>7 Harrison St, Unit 4N</v>
      </c>
      <c r="B2431" s="2" t="str">
        <f t="shared" si="395"/>
        <v>7 Harrison St</v>
      </c>
      <c r="C2431" s="1" t="s">
        <v>50</v>
      </c>
      <c r="D2431" s="1" t="s">
        <v>41</v>
      </c>
      <c r="E2431" s="3">
        <v>6109500</v>
      </c>
      <c r="F2431" s="1">
        <v>2770.74829931972</v>
      </c>
      <c r="G2431" s="1">
        <v>6</v>
      </c>
      <c r="H2431" s="1">
        <v>3</v>
      </c>
      <c r="I2431" s="1">
        <v>3</v>
      </c>
      <c r="J2431" s="1">
        <v>3</v>
      </c>
      <c r="M2431" s="4">
        <v>2205</v>
      </c>
      <c r="N2431" s="1">
        <v>3026</v>
      </c>
      <c r="O2431" s="1">
        <v>4867</v>
      </c>
      <c r="P2431" s="1">
        <v>1841</v>
      </c>
      <c r="Q2431" s="1" t="s">
        <v>42</v>
      </c>
      <c r="S2431" s="1" t="s">
        <v>42</v>
      </c>
      <c r="T2431" s="1" t="s">
        <v>273</v>
      </c>
      <c r="V2431" s="5">
        <v>43654</v>
      </c>
      <c r="W2431" s="5">
        <v>41796</v>
      </c>
      <c r="X2431" s="1">
        <v>6150000</v>
      </c>
      <c r="Y2431" s="1">
        <v>6150000</v>
      </c>
      <c r="Z2431" s="5">
        <v>41796</v>
      </c>
      <c r="AA2431" s="1">
        <v>6109500</v>
      </c>
      <c r="AB2431" s="1" t="s">
        <v>354</v>
      </c>
      <c r="AC2431" s="5">
        <v>42013</v>
      </c>
      <c r="AF2431" s="1">
        <v>10013</v>
      </c>
      <c r="AJ2431" s="1">
        <v>1900</v>
      </c>
      <c r="AK2431" s="1" t="s">
        <v>108</v>
      </c>
      <c r="AL2431" s="1">
        <v>12</v>
      </c>
    </row>
    <row r="2432" spans="1:38" x14ac:dyDescent="0.2">
      <c r="A2432" s="2" t="str">
        <f>HYPERLINK("https://www.compass.com/listing/67-69-franklin-street-unit-2a-manhattan-ny-10013/89719784484138705/","67-69 Franklin St, Unit 2A")</f>
        <v>67-69 Franklin St, Unit 2A</v>
      </c>
      <c r="B2432" s="2" t="str">
        <f t="shared" ref="B2432:B2434" si="396">HYPERLINK("https://www.compass.com/building/cast-iron-house-manhattan-ny/567514773896133269/","Cast Iron House")</f>
        <v>Cast Iron House</v>
      </c>
      <c r="D2432" s="1" t="s">
        <v>41</v>
      </c>
      <c r="E2432" s="3">
        <v>5170000</v>
      </c>
      <c r="F2432" s="1">
        <v>1611.59600997506</v>
      </c>
      <c r="G2432" s="1">
        <v>6</v>
      </c>
      <c r="H2432" s="1">
        <v>4</v>
      </c>
      <c r="I2432" s="1">
        <v>3</v>
      </c>
      <c r="J2432" s="1">
        <v>3</v>
      </c>
      <c r="K2432" s="1">
        <v>3</v>
      </c>
      <c r="M2432" s="4">
        <v>3208</v>
      </c>
      <c r="N2432" s="1">
        <v>3036</v>
      </c>
      <c r="O2432" s="1">
        <v>6812</v>
      </c>
      <c r="P2432" s="1">
        <v>3776</v>
      </c>
      <c r="Q2432" s="1" t="s">
        <v>42</v>
      </c>
      <c r="S2432" s="1" t="s">
        <v>42</v>
      </c>
      <c r="T2432" s="1" t="s">
        <v>273</v>
      </c>
      <c r="U2432" s="1">
        <v>196</v>
      </c>
      <c r="V2432" s="5">
        <v>43610</v>
      </c>
      <c r="W2432" s="5">
        <v>43374</v>
      </c>
      <c r="X2432" s="1">
        <v>5250000</v>
      </c>
      <c r="Y2432" s="1">
        <v>5250000</v>
      </c>
      <c r="Z2432" s="5">
        <v>43570</v>
      </c>
      <c r="AA2432" s="1">
        <v>5170000</v>
      </c>
      <c r="AB2432" s="1" t="s">
        <v>1431</v>
      </c>
      <c r="AC2432" s="5">
        <v>43606</v>
      </c>
      <c r="AF2432" s="1">
        <v>10013</v>
      </c>
      <c r="AI2432" s="1" t="s">
        <v>177</v>
      </c>
      <c r="AJ2432" s="1">
        <v>1881</v>
      </c>
      <c r="AK2432" s="1" t="s">
        <v>49</v>
      </c>
      <c r="AL2432" s="1">
        <v>13</v>
      </c>
    </row>
    <row r="2433" spans="1:38" x14ac:dyDescent="0.2">
      <c r="A2433" s="2" t="str">
        <f>HYPERLINK("https://www.compass.com/listing/67-69-franklin-street-unit-45c-manhattan-ny-10013/4852285108238947297/","67-69 Franklin St, Unit 45C")</f>
        <v>67-69 Franklin St, Unit 45C</v>
      </c>
      <c r="B2433" s="2" t="str">
        <f t="shared" si="396"/>
        <v>Cast Iron House</v>
      </c>
      <c r="C2433" s="1" t="s">
        <v>50</v>
      </c>
      <c r="D2433" s="1" t="s">
        <v>41</v>
      </c>
      <c r="E2433" s="3">
        <v>5950000</v>
      </c>
      <c r="F2433" s="1">
        <v>2087.7192982456099</v>
      </c>
      <c r="G2433" s="1">
        <v>6</v>
      </c>
      <c r="H2433" s="1">
        <v>3</v>
      </c>
      <c r="I2433" s="1">
        <v>3</v>
      </c>
      <c r="J2433" s="1">
        <v>3</v>
      </c>
      <c r="K2433" s="1">
        <v>3</v>
      </c>
      <c r="M2433" s="4">
        <v>2850</v>
      </c>
      <c r="N2433" s="1">
        <v>2887</v>
      </c>
      <c r="O2433" s="1">
        <v>5440</v>
      </c>
      <c r="P2433" s="1">
        <v>2553</v>
      </c>
      <c r="Q2433" s="1" t="s">
        <v>42</v>
      </c>
      <c r="S2433" s="1" t="s">
        <v>42</v>
      </c>
      <c r="T2433" s="1" t="s">
        <v>273</v>
      </c>
      <c r="U2433" s="1">
        <v>106</v>
      </c>
      <c r="V2433" s="5">
        <v>43649</v>
      </c>
      <c r="W2433" s="5">
        <v>42829</v>
      </c>
      <c r="X2433" s="1">
        <v>5950000</v>
      </c>
      <c r="Y2433" s="1">
        <v>5950000</v>
      </c>
      <c r="Z2433" s="5">
        <v>42935</v>
      </c>
      <c r="AA2433" s="1">
        <v>5950000</v>
      </c>
      <c r="AB2433" s="1" t="s">
        <v>275</v>
      </c>
      <c r="AC2433" s="5">
        <v>43062</v>
      </c>
      <c r="AF2433" s="1">
        <v>10013</v>
      </c>
      <c r="AI2433" s="1" t="s">
        <v>177</v>
      </c>
      <c r="AJ2433" s="1">
        <v>1881</v>
      </c>
      <c r="AK2433" s="1" t="s">
        <v>46</v>
      </c>
      <c r="AL2433" s="1">
        <v>13</v>
      </c>
    </row>
    <row r="2434" spans="1:38" x14ac:dyDescent="0.2">
      <c r="A2434" s="2" t="str">
        <f>HYPERLINK("https://www.compass.com/listing/67-69-franklin-street-unit-2b-manhattan-ny-10013/89719784878425905/","67-69 Franklin St, Unit 2B")</f>
        <v>67-69 Franklin St, Unit 2B</v>
      </c>
      <c r="B2434" s="2" t="str">
        <f t="shared" si="396"/>
        <v>Cast Iron House</v>
      </c>
      <c r="C2434" s="1" t="s">
        <v>50</v>
      </c>
      <c r="D2434" s="1" t="s">
        <v>41</v>
      </c>
      <c r="E2434" s="3">
        <v>4475000</v>
      </c>
      <c r="F2434" s="1">
        <v>1496.65551839464</v>
      </c>
      <c r="G2434" s="1">
        <v>5.5</v>
      </c>
      <c r="H2434" s="1">
        <v>3</v>
      </c>
      <c r="I2434" s="1">
        <v>3</v>
      </c>
      <c r="J2434" s="1">
        <v>3</v>
      </c>
      <c r="K2434" s="1">
        <v>3</v>
      </c>
      <c r="M2434" s="4">
        <v>2990</v>
      </c>
      <c r="N2434" s="1">
        <v>2690</v>
      </c>
      <c r="O2434" s="1">
        <v>6040</v>
      </c>
      <c r="P2434" s="1">
        <v>3350</v>
      </c>
      <c r="Q2434" s="1" t="s">
        <v>42</v>
      </c>
      <c r="S2434" s="1" t="s">
        <v>42</v>
      </c>
      <c r="T2434" s="1" t="s">
        <v>273</v>
      </c>
      <c r="U2434" s="1">
        <v>165</v>
      </c>
      <c r="V2434" s="5">
        <v>44225</v>
      </c>
      <c r="W2434" s="5">
        <v>43375</v>
      </c>
      <c r="X2434" s="1">
        <v>4650000</v>
      </c>
      <c r="Y2434" s="1">
        <v>4650000</v>
      </c>
      <c r="Z2434" s="5">
        <v>43540</v>
      </c>
      <c r="AA2434" s="1">
        <v>4475000</v>
      </c>
      <c r="AB2434" s="1" t="s">
        <v>1432</v>
      </c>
      <c r="AC2434" s="5">
        <v>43584</v>
      </c>
      <c r="AF2434" s="1">
        <v>10013</v>
      </c>
      <c r="AI2434" s="1" t="s">
        <v>177</v>
      </c>
      <c r="AJ2434" s="1">
        <v>1881</v>
      </c>
      <c r="AK2434" s="1" t="s">
        <v>49</v>
      </c>
      <c r="AL2434" s="1">
        <v>13</v>
      </c>
    </row>
    <row r="2435" spans="1:38" x14ac:dyDescent="0.2">
      <c r="A2435" s="2" t="str">
        <f>HYPERLINK("https://www.compass.com/listing/7-harrison-street-unit-atelier-manhattan-ny-10013/803341855877914161/","7 Harrison St, Unit ATELIER")</f>
        <v>7 Harrison St, Unit ATELIER</v>
      </c>
      <c r="B2435" s="2" t="str">
        <f>HYPERLINK("https://www.compass.com/building/7-harrison-st-manhattan-ny-10013/281921095324439429/","7 Harrison St")</f>
        <v>7 Harrison St</v>
      </c>
      <c r="C2435" s="1" t="s">
        <v>50</v>
      </c>
      <c r="D2435" s="1" t="s">
        <v>41</v>
      </c>
      <c r="E2435" s="3">
        <v>8349650</v>
      </c>
      <c r="F2435" s="1">
        <v>2663.3652312599602</v>
      </c>
      <c r="G2435" s="1">
        <v>8</v>
      </c>
      <c r="H2435" s="1">
        <v>3</v>
      </c>
      <c r="I2435" s="1">
        <v>4</v>
      </c>
      <c r="J2435" s="1">
        <v>3.5</v>
      </c>
      <c r="M2435" s="4">
        <v>3135</v>
      </c>
      <c r="N2435" s="1">
        <v>4383</v>
      </c>
      <c r="O2435" s="1">
        <v>7050</v>
      </c>
      <c r="P2435" s="1">
        <v>2667</v>
      </c>
      <c r="Q2435" s="1" t="s">
        <v>42</v>
      </c>
      <c r="S2435" s="1" t="s">
        <v>42</v>
      </c>
      <c r="T2435" s="1" t="s">
        <v>273</v>
      </c>
      <c r="U2435" s="1">
        <v>1</v>
      </c>
      <c r="V2435" s="5">
        <v>42872</v>
      </c>
      <c r="W2435" s="5">
        <v>41787</v>
      </c>
      <c r="X2435" s="1">
        <v>8500000</v>
      </c>
      <c r="Y2435" s="1">
        <v>8500000</v>
      </c>
      <c r="Z2435" s="5">
        <v>41789</v>
      </c>
      <c r="AA2435" s="1">
        <v>8349650</v>
      </c>
      <c r="AB2435" s="1" t="s">
        <v>275</v>
      </c>
      <c r="AC2435" s="5">
        <v>42048</v>
      </c>
      <c r="AF2435" s="1">
        <v>10013</v>
      </c>
      <c r="AI2435" s="1" t="s">
        <v>160</v>
      </c>
      <c r="AJ2435" s="1">
        <v>1900</v>
      </c>
      <c r="AK2435" s="1" t="s">
        <v>55</v>
      </c>
      <c r="AL2435" s="1">
        <v>12</v>
      </c>
    </row>
    <row r="2436" spans="1:38" x14ac:dyDescent="0.2">
      <c r="A2436" s="2" t="str">
        <f>HYPERLINK("https://www.compass.com/listing/108-leonard-street-unit-3l-manhattan-ny-10013/29513595729573297/","108 Leonard St, Unit 3L")</f>
        <v>108 Leonard St, Unit 3L</v>
      </c>
      <c r="B2436" s="2" t="str">
        <f>HYPERLINK("https://www.compass.com/building/108-leonard-st-manhattan-ny-10013/307456049610778277/","108 Leonard St")</f>
        <v>108 Leonard St</v>
      </c>
      <c r="C2436" s="1" t="s">
        <v>113</v>
      </c>
      <c r="D2436" s="1" t="s">
        <v>41</v>
      </c>
      <c r="E2436" s="3">
        <v>2660850</v>
      </c>
      <c r="F2436" s="1">
        <v>1813.8038718472999</v>
      </c>
      <c r="G2436" s="1">
        <v>4</v>
      </c>
      <c r="H2436" s="1">
        <v>2</v>
      </c>
      <c r="I2436" s="1">
        <v>3</v>
      </c>
      <c r="J2436" s="1">
        <v>2.5</v>
      </c>
      <c r="K2436" s="1">
        <v>2</v>
      </c>
      <c r="L2436" s="1">
        <v>1</v>
      </c>
      <c r="M2436" s="4">
        <v>1467</v>
      </c>
      <c r="N2436" s="1">
        <v>1744</v>
      </c>
      <c r="O2436" s="1">
        <v>4111</v>
      </c>
      <c r="P2436" s="1">
        <v>2367</v>
      </c>
      <c r="Q2436" s="1" t="s">
        <v>42</v>
      </c>
      <c r="S2436" s="1" t="s">
        <v>42</v>
      </c>
      <c r="T2436" s="1" t="s">
        <v>273</v>
      </c>
      <c r="U2436" s="1">
        <v>146</v>
      </c>
      <c r="V2436" s="5">
        <v>44320</v>
      </c>
      <c r="W2436" s="5">
        <v>43153</v>
      </c>
      <c r="X2436" s="1">
        <v>2475000</v>
      </c>
      <c r="Y2436" s="1">
        <v>2525000</v>
      </c>
      <c r="AA2436" s="1">
        <v>2660850.2799999998</v>
      </c>
      <c r="AB2436" s="1" t="s">
        <v>1433</v>
      </c>
      <c r="AC2436" s="5">
        <v>43767</v>
      </c>
      <c r="AF2436" s="1">
        <v>10013</v>
      </c>
      <c r="AI2436" s="1" t="s">
        <v>78</v>
      </c>
      <c r="AJ2436" s="1">
        <v>1899</v>
      </c>
      <c r="AK2436" s="1" t="s">
        <v>55</v>
      </c>
      <c r="AL2436" s="1">
        <v>167</v>
      </c>
    </row>
    <row r="2437" spans="1:38" x14ac:dyDescent="0.2">
      <c r="A2437" s="2" t="str">
        <f>HYPERLINK("https://www.compass.com/listing/403-greenwich-street-unit-c-manhattan-ny-10013/29359221963245665/","403 Greenwich St, Unit C")</f>
        <v>403 Greenwich St, Unit C</v>
      </c>
      <c r="B2437" s="2" t="str">
        <f>HYPERLINK("https://www.compass.com/building/403-greenwich-st-manhattan-ny-10013/281919631906604869/","403 Greenwich St")</f>
        <v>403 Greenwich St</v>
      </c>
      <c r="C2437" s="1" t="s">
        <v>50</v>
      </c>
      <c r="D2437" s="1" t="s">
        <v>41</v>
      </c>
      <c r="E2437" s="3">
        <v>4050000</v>
      </c>
      <c r="F2437" s="1">
        <v>2073.7327188939998</v>
      </c>
      <c r="G2437" s="1">
        <v>8</v>
      </c>
      <c r="H2437" s="1">
        <v>3</v>
      </c>
      <c r="I2437" s="1">
        <v>4</v>
      </c>
      <c r="J2437" s="1">
        <v>3.5</v>
      </c>
      <c r="K2437" s="1">
        <v>3</v>
      </c>
      <c r="L2437" s="1">
        <v>1</v>
      </c>
      <c r="M2437" s="4">
        <v>1953</v>
      </c>
      <c r="N2437" s="1">
        <v>1356</v>
      </c>
      <c r="O2437" s="1">
        <v>3890</v>
      </c>
      <c r="P2437" s="1">
        <v>2534</v>
      </c>
      <c r="Q2437" s="1" t="s">
        <v>42</v>
      </c>
      <c r="S2437" s="1" t="s">
        <v>42</v>
      </c>
      <c r="T2437" s="1" t="s">
        <v>273</v>
      </c>
      <c r="U2437" s="1">
        <v>187</v>
      </c>
      <c r="V2437" s="5">
        <v>44040</v>
      </c>
      <c r="W2437" s="5">
        <v>43036</v>
      </c>
      <c r="X2437" s="1">
        <v>4495000</v>
      </c>
      <c r="Y2437" s="1">
        <v>4350000</v>
      </c>
      <c r="Z2437" s="5">
        <v>43223</v>
      </c>
      <c r="AA2437" s="1">
        <v>4050000</v>
      </c>
      <c r="AB2437" s="1" t="s">
        <v>1434</v>
      </c>
      <c r="AC2437" s="5">
        <v>43250</v>
      </c>
      <c r="AF2437" s="1">
        <v>10013</v>
      </c>
      <c r="AJ2437" s="1">
        <v>2017</v>
      </c>
      <c r="AL2437" s="1">
        <v>4</v>
      </c>
    </row>
    <row r="2438" spans="1:38" x14ac:dyDescent="0.2">
      <c r="A2438" s="2" t="str">
        <f>HYPERLINK("https://www.compass.com/listing/391-broadway-unit-ph-manhattan-ny-10013/202091070778003201/","391 Broadway, Unit PH")</f>
        <v>391 Broadway, Unit PH</v>
      </c>
      <c r="B2438" s="2" t="str">
        <f>HYPERLINK("https://www.compass.com/building/391-broadway-manhattan-ny-10013/281919434489105749/","391 Broadway")</f>
        <v>391 Broadway</v>
      </c>
      <c r="C2438" s="1" t="s">
        <v>50</v>
      </c>
      <c r="D2438" s="1" t="s">
        <v>41</v>
      </c>
      <c r="E2438" s="3">
        <v>4700000</v>
      </c>
      <c r="F2438" s="1">
        <v>1795.2635599694399</v>
      </c>
      <c r="G2438" s="1">
        <v>5</v>
      </c>
      <c r="H2438" s="1">
        <v>3</v>
      </c>
      <c r="I2438" s="1">
        <v>4</v>
      </c>
      <c r="J2438" s="1">
        <v>3.5</v>
      </c>
      <c r="K2438" s="1">
        <v>3</v>
      </c>
      <c r="L2438" s="1">
        <v>1</v>
      </c>
      <c r="M2438" s="4">
        <v>2618</v>
      </c>
      <c r="N2438" s="1">
        <v>2221</v>
      </c>
      <c r="O2438" s="1">
        <v>6225</v>
      </c>
      <c r="P2438" s="1">
        <v>4004</v>
      </c>
      <c r="Q2438" s="1" t="s">
        <v>42</v>
      </c>
      <c r="S2438" s="1" t="s">
        <v>42</v>
      </c>
      <c r="T2438" s="1" t="s">
        <v>273</v>
      </c>
      <c r="U2438" s="1">
        <v>272</v>
      </c>
      <c r="V2438" s="5">
        <v>44427</v>
      </c>
      <c r="W2438" s="5">
        <v>43528</v>
      </c>
      <c r="X2438" s="1">
        <v>5950000</v>
      </c>
      <c r="Y2438" s="1">
        <v>4995000</v>
      </c>
      <c r="AA2438" s="1">
        <v>4700000</v>
      </c>
      <c r="AB2438" s="1" t="s">
        <v>358</v>
      </c>
      <c r="AC2438" s="5">
        <v>43864</v>
      </c>
      <c r="AF2438" s="1">
        <v>10013</v>
      </c>
      <c r="AI2438" s="1" t="s">
        <v>103</v>
      </c>
      <c r="AJ2438" s="1">
        <v>1915</v>
      </c>
      <c r="AL2438" s="1">
        <v>4</v>
      </c>
    </row>
    <row r="2439" spans="1:38" x14ac:dyDescent="0.2">
      <c r="A2439" s="2" t="str">
        <f>HYPERLINK("https://www.compass.com/listing/42-lispenard-street-unit-4-manhattan-ny-10013/192575445944829777/","42 Lispenard St, Unit 4")</f>
        <v>42 Lispenard St, Unit 4</v>
      </c>
      <c r="B2439" s="2" t="str">
        <f t="shared" ref="B2439:B2440" si="397">HYPERLINK("https://www.compass.com/building/42-lispenard-st-manhattan-ny-10013/281919734784495125/","42 Lispenard St")</f>
        <v>42 Lispenard St</v>
      </c>
      <c r="C2439" s="1" t="s">
        <v>50</v>
      </c>
      <c r="D2439" s="1" t="s">
        <v>41</v>
      </c>
      <c r="E2439" s="3">
        <v>4350000</v>
      </c>
      <c r="F2439" s="1">
        <v>2026.0829063809899</v>
      </c>
      <c r="G2439" s="1">
        <v>5</v>
      </c>
      <c r="H2439" s="1">
        <v>2</v>
      </c>
      <c r="I2439" s="1">
        <v>3</v>
      </c>
      <c r="J2439" s="1">
        <v>2.5</v>
      </c>
      <c r="K2439" s="1">
        <v>2</v>
      </c>
      <c r="L2439" s="1">
        <v>1</v>
      </c>
      <c r="M2439" s="4">
        <v>2147</v>
      </c>
      <c r="N2439" s="1">
        <v>1100</v>
      </c>
      <c r="O2439" s="1">
        <v>2588</v>
      </c>
      <c r="P2439" s="1">
        <v>1488</v>
      </c>
      <c r="Q2439" s="1" t="s">
        <v>42</v>
      </c>
      <c r="S2439" s="1" t="s">
        <v>42</v>
      </c>
      <c r="T2439" s="1" t="s">
        <v>273</v>
      </c>
      <c r="U2439" s="1">
        <v>11</v>
      </c>
      <c r="V2439" s="5">
        <v>43662</v>
      </c>
      <c r="W2439" s="5">
        <v>42764</v>
      </c>
      <c r="X2439" s="1">
        <v>4350000</v>
      </c>
      <c r="Y2439" s="1">
        <v>4350000</v>
      </c>
      <c r="Z2439" s="5">
        <v>42775</v>
      </c>
      <c r="AA2439" s="1">
        <v>4350000</v>
      </c>
      <c r="AB2439" s="1" t="s">
        <v>1435</v>
      </c>
      <c r="AC2439" s="5">
        <v>42838</v>
      </c>
      <c r="AF2439" s="1">
        <v>10013</v>
      </c>
      <c r="AI2439" s="1" t="s">
        <v>52</v>
      </c>
      <c r="AJ2439" s="1">
        <v>1915</v>
      </c>
      <c r="AL2439" s="1">
        <v>4</v>
      </c>
    </row>
    <row r="2440" spans="1:38" x14ac:dyDescent="0.2">
      <c r="A2440" s="2" t="str">
        <f>HYPERLINK("https://www.compass.com/listing/42-lispenard-street-unit-4-manhattan-ny-10013/803317900521340041/","42 Lispenard St, Unit 4")</f>
        <v>42 Lispenard St, Unit 4</v>
      </c>
      <c r="B2440" s="2" t="str">
        <f t="shared" si="397"/>
        <v>42 Lispenard St</v>
      </c>
      <c r="C2440" s="1" t="s">
        <v>50</v>
      </c>
      <c r="D2440" s="1" t="s">
        <v>41</v>
      </c>
      <c r="E2440" s="3">
        <v>4350000</v>
      </c>
      <c r="F2440" s="1">
        <v>2026.0829063809899</v>
      </c>
      <c r="G2440" s="1">
        <v>4</v>
      </c>
      <c r="H2440" s="1">
        <v>2</v>
      </c>
      <c r="I2440" s="1">
        <v>3</v>
      </c>
      <c r="J2440" s="1">
        <v>2.5</v>
      </c>
      <c r="M2440" s="4">
        <v>2147</v>
      </c>
      <c r="N2440" s="1">
        <v>1100</v>
      </c>
      <c r="O2440" s="1">
        <v>2588</v>
      </c>
      <c r="P2440" s="1">
        <v>1488</v>
      </c>
      <c r="Q2440" s="1" t="s">
        <v>42</v>
      </c>
      <c r="S2440" s="1" t="s">
        <v>42</v>
      </c>
      <c r="T2440" s="1" t="s">
        <v>273</v>
      </c>
      <c r="U2440" s="1">
        <v>330</v>
      </c>
      <c r="V2440" s="5">
        <v>42861</v>
      </c>
      <c r="W2440" s="5">
        <v>42425</v>
      </c>
      <c r="X2440" s="1">
        <v>4350000</v>
      </c>
      <c r="Y2440" s="1">
        <v>4350000</v>
      </c>
      <c r="AA2440" s="1">
        <v>4350000</v>
      </c>
      <c r="AB2440" s="1" t="s">
        <v>1435</v>
      </c>
      <c r="AC2440" s="5">
        <v>42838</v>
      </c>
      <c r="AF2440" s="1">
        <v>10013</v>
      </c>
      <c r="AI2440" s="1" t="s">
        <v>177</v>
      </c>
      <c r="AJ2440" s="1">
        <v>1915</v>
      </c>
      <c r="AL2440" s="1">
        <v>4</v>
      </c>
    </row>
    <row r="2441" spans="1:38" x14ac:dyDescent="0.2">
      <c r="A2441" s="2" t="str">
        <f>HYPERLINK("https://www.compass.com/listing/7-harrison-street-unit-6s-manhattan-ny-10013/79371003045629041/","7 Harrison St, Unit 6S")</f>
        <v>7 Harrison St, Unit 6S</v>
      </c>
      <c r="B2441" s="2" t="str">
        <f>HYPERLINK("https://www.compass.com/building/7-harrison-st-manhattan-ny-10013/281921095324439429/","7 Harrison St")</f>
        <v>7 Harrison St</v>
      </c>
      <c r="C2441" s="1" t="s">
        <v>50</v>
      </c>
      <c r="D2441" s="1" t="s">
        <v>41</v>
      </c>
      <c r="E2441" s="3">
        <v>6500000</v>
      </c>
      <c r="F2441" s="1">
        <v>3057.38476011288</v>
      </c>
      <c r="G2441" s="1">
        <v>6</v>
      </c>
      <c r="H2441" s="1">
        <v>3</v>
      </c>
      <c r="I2441" s="1">
        <v>3</v>
      </c>
      <c r="J2441" s="1">
        <v>3</v>
      </c>
      <c r="M2441" s="4">
        <v>2126</v>
      </c>
      <c r="N2441" s="1">
        <v>2919</v>
      </c>
      <c r="O2441" s="1">
        <v>4695</v>
      </c>
      <c r="P2441" s="1">
        <v>1776</v>
      </c>
      <c r="Q2441" s="1" t="s">
        <v>42</v>
      </c>
      <c r="S2441" s="1" t="s">
        <v>42</v>
      </c>
      <c r="T2441" s="1" t="s">
        <v>273</v>
      </c>
      <c r="U2441" s="1">
        <v>27</v>
      </c>
      <c r="V2441" s="5">
        <v>43725</v>
      </c>
      <c r="W2441" s="5">
        <v>42630</v>
      </c>
      <c r="X2441" s="1">
        <v>6895000</v>
      </c>
      <c r="Y2441" s="1">
        <v>6895000</v>
      </c>
      <c r="Z2441" s="5">
        <v>42657</v>
      </c>
      <c r="AA2441" s="1">
        <v>6500000</v>
      </c>
      <c r="AB2441" s="1" t="s">
        <v>357</v>
      </c>
      <c r="AC2441" s="5">
        <v>42692</v>
      </c>
      <c r="AF2441" s="1">
        <v>10013</v>
      </c>
      <c r="AJ2441" s="1">
        <v>1900</v>
      </c>
      <c r="AK2441" s="1" t="s">
        <v>108</v>
      </c>
      <c r="AL2441" s="1">
        <v>12</v>
      </c>
    </row>
    <row r="2442" spans="1:38" x14ac:dyDescent="0.2">
      <c r="A2442" s="2" t="str">
        <f>HYPERLINK("https://www.compass.com/listing/42-lispenard-street-unit-2-manhattan-ny-10013/29358995764457649/","42 Lispenard St, Unit 2")</f>
        <v>42 Lispenard St, Unit 2</v>
      </c>
      <c r="B2442" s="2" t="str">
        <f>HYPERLINK("https://www.compass.com/building/42-lispenard-st-manhattan-ny-10013/281919734784495125/","42 Lispenard St")</f>
        <v>42 Lispenard St</v>
      </c>
      <c r="C2442" s="1" t="s">
        <v>50</v>
      </c>
      <c r="D2442" s="1" t="s">
        <v>41</v>
      </c>
      <c r="E2442" s="3">
        <v>4149369</v>
      </c>
      <c r="F2442" s="1">
        <v>1932.6357708430301</v>
      </c>
      <c r="G2442" s="1">
        <v>5</v>
      </c>
      <c r="H2442" s="1">
        <v>2</v>
      </c>
      <c r="I2442" s="1">
        <v>3</v>
      </c>
      <c r="J2442" s="1">
        <v>2.5</v>
      </c>
      <c r="M2442" s="4">
        <v>2147</v>
      </c>
      <c r="N2442" s="1">
        <v>1100</v>
      </c>
      <c r="O2442" s="1">
        <v>2588</v>
      </c>
      <c r="P2442" s="1">
        <v>1488</v>
      </c>
      <c r="Q2442" s="1" t="s">
        <v>42</v>
      </c>
      <c r="S2442" s="1" t="s">
        <v>42</v>
      </c>
      <c r="T2442" s="1" t="s">
        <v>273</v>
      </c>
      <c r="U2442" s="1">
        <v>161</v>
      </c>
      <c r="V2442" s="5">
        <v>43663</v>
      </c>
      <c r="W2442" s="5">
        <v>42426</v>
      </c>
      <c r="X2442" s="1">
        <v>4600000</v>
      </c>
      <c r="Y2442" s="1">
        <v>4250000</v>
      </c>
      <c r="Z2442" s="5">
        <v>42587</v>
      </c>
      <c r="AA2442" s="1">
        <v>4149369</v>
      </c>
      <c r="AB2442" s="1" t="s">
        <v>1436</v>
      </c>
      <c r="AC2442" s="5">
        <v>42817</v>
      </c>
      <c r="AF2442" s="1">
        <v>10013</v>
      </c>
      <c r="AI2442" s="1" t="s">
        <v>216</v>
      </c>
      <c r="AJ2442" s="1">
        <v>1915</v>
      </c>
      <c r="AL2442" s="1">
        <v>4</v>
      </c>
    </row>
    <row r="2443" spans="1:38" x14ac:dyDescent="0.2">
      <c r="A2443" s="2" t="str">
        <f>HYPERLINK("https://www.compass.com/listing/230-east-20th-street-unit-33-manhattan-ny-10003/805521574363318137/","230 E 20th St, Unit 33")</f>
        <v>230 E 20th St, Unit 33</v>
      </c>
      <c r="B2443" s="2" t="str">
        <f>HYPERLINK("https://www.compass.com/building/the-modern-at-gramercy-square-manhattan-ny/282059330264532517/","The Modern at Gramercy Square")</f>
        <v>The Modern at Gramercy Square</v>
      </c>
      <c r="C2443" s="1" t="s">
        <v>64</v>
      </c>
      <c r="D2443" s="1" t="s">
        <v>41</v>
      </c>
      <c r="E2443" s="3">
        <v>1995000</v>
      </c>
      <c r="F2443" s="1">
        <v>1770.18633540372</v>
      </c>
      <c r="H2443" s="1">
        <v>2</v>
      </c>
      <c r="J2443" s="1">
        <v>2</v>
      </c>
      <c r="M2443" s="4">
        <v>1127</v>
      </c>
      <c r="N2443" s="1">
        <v>1279</v>
      </c>
      <c r="O2443" s="1">
        <v>2899</v>
      </c>
      <c r="P2443" s="1">
        <v>1620</v>
      </c>
      <c r="Q2443" s="1" t="s">
        <v>42</v>
      </c>
      <c r="S2443" s="1" t="s">
        <v>42</v>
      </c>
      <c r="T2443" s="1" t="s">
        <v>273</v>
      </c>
      <c r="AA2443" s="1">
        <v>1995000</v>
      </c>
      <c r="AB2443" s="1" t="s">
        <v>1437</v>
      </c>
      <c r="AC2443" s="5">
        <v>44350</v>
      </c>
      <c r="AF2443" s="1">
        <v>10003</v>
      </c>
      <c r="AI2443" s="1" t="s">
        <v>65</v>
      </c>
      <c r="AJ2443" s="1">
        <v>2016</v>
      </c>
      <c r="AK2443" s="1" t="s">
        <v>49</v>
      </c>
      <c r="AL2443" s="1">
        <v>37</v>
      </c>
    </row>
    <row r="2444" spans="1:38" x14ac:dyDescent="0.2">
      <c r="A2444" s="2" t="str">
        <f>HYPERLINK("https://www.compass.com/listing/56-walker-street-unit-2-manhattan-ny-10013/29358997601567121/","56 Walker St, Unit 2")</f>
        <v>56 Walker St, Unit 2</v>
      </c>
      <c r="B2444" s="2" t="str">
        <f>HYPERLINK("https://www.compass.com/building/walker-house-manhattan-ny/281920827333577653/","Walker House")</f>
        <v>Walker House</v>
      </c>
      <c r="C2444" s="1" t="s">
        <v>50</v>
      </c>
      <c r="D2444" s="1" t="s">
        <v>41</v>
      </c>
      <c r="E2444" s="3">
        <v>3855138</v>
      </c>
      <c r="F2444" s="1">
        <v>1443.87191011235</v>
      </c>
      <c r="G2444" s="1">
        <v>5</v>
      </c>
      <c r="H2444" s="1">
        <v>3</v>
      </c>
      <c r="J2444" s="1">
        <v>3.5</v>
      </c>
      <c r="M2444" s="4">
        <v>2670</v>
      </c>
      <c r="Q2444" s="1" t="s">
        <v>42</v>
      </c>
      <c r="S2444" s="1" t="s">
        <v>42</v>
      </c>
      <c r="T2444" s="1" t="s">
        <v>273</v>
      </c>
      <c r="U2444" s="1">
        <v>56</v>
      </c>
      <c r="V2444" s="5">
        <v>44248</v>
      </c>
      <c r="W2444" s="5">
        <v>43032</v>
      </c>
      <c r="X2444" s="1">
        <v>4500000</v>
      </c>
      <c r="Y2444" s="1">
        <v>3995000</v>
      </c>
      <c r="Z2444" s="5">
        <v>43088</v>
      </c>
      <c r="AA2444" s="1">
        <v>3855138</v>
      </c>
      <c r="AB2444" s="1" t="s">
        <v>1438</v>
      </c>
      <c r="AC2444" s="5">
        <v>43147</v>
      </c>
      <c r="AF2444" s="1">
        <v>10013</v>
      </c>
      <c r="AJ2444" s="1">
        <v>2015</v>
      </c>
      <c r="AK2444" s="1" t="s">
        <v>75</v>
      </c>
      <c r="AL2444" s="1">
        <v>4</v>
      </c>
    </row>
    <row r="2445" spans="1:38" x14ac:dyDescent="0.2">
      <c r="A2445" s="2" t="str">
        <f>HYPERLINK("https://www.compass.com/listing/60-white-street-unit-2e-manhattan-ny-10013/29514293737287617/","60 White St, Unit 2E")</f>
        <v>60 White St, Unit 2E</v>
      </c>
      <c r="B2445" s="2" t="str">
        <f>HYPERLINK("https://www.compass.com/building/60-white-st-manhattan-ny-10013/281920929104169509/","60 White St")</f>
        <v>60 White St</v>
      </c>
      <c r="C2445" s="1" t="s">
        <v>50</v>
      </c>
      <c r="D2445" s="1" t="s">
        <v>41</v>
      </c>
      <c r="E2445" s="3">
        <v>3700000</v>
      </c>
      <c r="F2445" s="1">
        <v>1904.27174472465</v>
      </c>
      <c r="G2445" s="1">
        <v>4</v>
      </c>
      <c r="H2445" s="1">
        <v>2</v>
      </c>
      <c r="I2445" s="1">
        <v>3</v>
      </c>
      <c r="J2445" s="1">
        <v>2.5</v>
      </c>
      <c r="K2445" s="1">
        <v>2</v>
      </c>
      <c r="L2445" s="1">
        <v>1</v>
      </c>
      <c r="M2445" s="4">
        <v>1943</v>
      </c>
      <c r="N2445" s="1">
        <v>1968</v>
      </c>
      <c r="O2445" s="1">
        <v>4569</v>
      </c>
      <c r="P2445" s="1">
        <v>2601</v>
      </c>
      <c r="Q2445" s="1" t="s">
        <v>42</v>
      </c>
      <c r="S2445" s="1" t="s">
        <v>42</v>
      </c>
      <c r="T2445" s="1" t="s">
        <v>273</v>
      </c>
      <c r="U2445" s="1">
        <v>540</v>
      </c>
      <c r="V2445" s="5">
        <v>44149</v>
      </c>
      <c r="W2445" s="5">
        <v>42789</v>
      </c>
      <c r="X2445" s="1">
        <v>4625000</v>
      </c>
      <c r="Y2445" s="1">
        <v>4250000</v>
      </c>
      <c r="Z2445" s="5">
        <v>43329</v>
      </c>
      <c r="AA2445" s="1">
        <v>3700000</v>
      </c>
      <c r="AB2445" s="1" t="s">
        <v>1439</v>
      </c>
      <c r="AC2445" s="5">
        <v>43406</v>
      </c>
      <c r="AF2445" s="1">
        <v>10013</v>
      </c>
      <c r="AJ2445" s="1">
        <v>1869</v>
      </c>
      <c r="AK2445" s="1" t="s">
        <v>75</v>
      </c>
      <c r="AL2445" s="1">
        <v>8</v>
      </c>
    </row>
    <row r="2446" spans="1:38" x14ac:dyDescent="0.2">
      <c r="A2446" s="2" t="str">
        <f>HYPERLINK("https://www.compass.com/listing/42-lispenard-street-unit-4-manhattan-ny-10013/369495953389234481/","42 Lispenard St, Unit 4")</f>
        <v>42 Lispenard St, Unit 4</v>
      </c>
      <c r="B2446" s="2" t="str">
        <f>HYPERLINK("https://www.compass.com/building/42-lispenard-st-manhattan-ny-10013/281919734784495125/","42 Lispenard St")</f>
        <v>42 Lispenard St</v>
      </c>
      <c r="C2446" s="1" t="s">
        <v>50</v>
      </c>
      <c r="D2446" s="1" t="s">
        <v>41</v>
      </c>
      <c r="E2446" s="3">
        <v>3925000</v>
      </c>
      <c r="F2446" s="1">
        <v>1828.1322775966401</v>
      </c>
      <c r="G2446" s="1">
        <v>4.5</v>
      </c>
      <c r="H2446" s="1">
        <v>2</v>
      </c>
      <c r="I2446" s="1">
        <v>3</v>
      </c>
      <c r="J2446" s="1">
        <v>2.5</v>
      </c>
      <c r="K2446" s="1">
        <v>2</v>
      </c>
      <c r="L2446" s="1">
        <v>1</v>
      </c>
      <c r="M2446" s="4">
        <v>2147</v>
      </c>
      <c r="N2446" s="1">
        <v>1262</v>
      </c>
      <c r="O2446" s="1">
        <v>3014</v>
      </c>
      <c r="P2446" s="1">
        <v>1752</v>
      </c>
      <c r="Q2446" s="1" t="s">
        <v>42</v>
      </c>
      <c r="S2446" s="1" t="s">
        <v>42</v>
      </c>
      <c r="T2446" s="1" t="s">
        <v>273</v>
      </c>
      <c r="U2446" s="1">
        <v>102</v>
      </c>
      <c r="V2446" s="5">
        <v>44072</v>
      </c>
      <c r="W2446" s="5">
        <v>43761</v>
      </c>
      <c r="X2446" s="1">
        <v>4500000</v>
      </c>
      <c r="Y2446" s="1">
        <v>3950000</v>
      </c>
      <c r="Z2446" s="5">
        <v>43917</v>
      </c>
      <c r="AA2446" s="1">
        <v>3925000</v>
      </c>
      <c r="AB2446" s="1" t="s">
        <v>1440</v>
      </c>
      <c r="AC2446" s="5">
        <v>43979</v>
      </c>
      <c r="AF2446" s="1">
        <v>10013</v>
      </c>
      <c r="AI2446" s="1" t="s">
        <v>177</v>
      </c>
      <c r="AJ2446" s="1">
        <v>1915</v>
      </c>
      <c r="AL2446" s="1">
        <v>4</v>
      </c>
    </row>
    <row r="2447" spans="1:38" x14ac:dyDescent="0.2">
      <c r="A2447" s="2" t="str">
        <f>HYPERLINK("https://www.compass.com/listing/67-69-franklin-street-unit-23c-manhattan-ny-10013/29514161918598961/","67-69 Franklin St, Unit 23C")</f>
        <v>67-69 Franklin St, Unit 23C</v>
      </c>
      <c r="B2447" s="2" t="str">
        <f>HYPERLINK("https://www.compass.com/building/cast-iron-house-manhattan-ny/567514773896133269/","Cast Iron House")</f>
        <v>Cast Iron House</v>
      </c>
      <c r="C2447" s="1" t="s">
        <v>50</v>
      </c>
      <c r="D2447" s="1" t="s">
        <v>41</v>
      </c>
      <c r="E2447" s="3">
        <v>4775000</v>
      </c>
      <c r="F2447" s="1">
        <v>1670.1643931444501</v>
      </c>
      <c r="G2447" s="1">
        <v>5</v>
      </c>
      <c r="H2447" s="1">
        <v>3</v>
      </c>
      <c r="I2447" s="1">
        <v>3</v>
      </c>
      <c r="J2447" s="1">
        <v>3</v>
      </c>
      <c r="K2447" s="1">
        <v>3</v>
      </c>
      <c r="M2447" s="4">
        <v>2859</v>
      </c>
      <c r="N2447" s="1">
        <v>2615</v>
      </c>
      <c r="O2447" s="1">
        <v>4929</v>
      </c>
      <c r="P2447" s="1">
        <v>2314</v>
      </c>
      <c r="Q2447" s="1" t="s">
        <v>42</v>
      </c>
      <c r="S2447" s="1" t="s">
        <v>42</v>
      </c>
      <c r="T2447" s="1" t="s">
        <v>273</v>
      </c>
      <c r="U2447" s="1">
        <v>84</v>
      </c>
      <c r="V2447" s="5">
        <v>43650</v>
      </c>
      <c r="W2447" s="5">
        <v>42993</v>
      </c>
      <c r="X2447" s="1">
        <v>4775000</v>
      </c>
      <c r="Y2447" s="1">
        <v>4775000</v>
      </c>
      <c r="Z2447" s="5">
        <v>43077</v>
      </c>
      <c r="AA2447" s="1">
        <v>4775000</v>
      </c>
      <c r="AB2447" s="1" t="s">
        <v>275</v>
      </c>
      <c r="AC2447" s="5">
        <v>43091</v>
      </c>
      <c r="AF2447" s="1">
        <v>10013</v>
      </c>
      <c r="AI2447" s="1" t="s">
        <v>177</v>
      </c>
      <c r="AJ2447" s="1">
        <v>1881</v>
      </c>
      <c r="AK2447" s="1" t="s">
        <v>46</v>
      </c>
      <c r="AL2447" s="1">
        <v>13</v>
      </c>
    </row>
    <row r="2448" spans="1:38" x14ac:dyDescent="0.2">
      <c r="A2448" s="2" t="str">
        <f>HYPERLINK("https://www.compass.com/listing/108-leonard-street-unit-5m-manhattan-ny-10013/670046690014027441/","108 Leonard St, Unit 5M")</f>
        <v>108 Leonard St, Unit 5M</v>
      </c>
      <c r="B2448" s="2" t="str">
        <f>HYPERLINK("https://www.compass.com/building/108-leonard-st-manhattan-ny-10013/307456049610778277/","108 Leonard St")</f>
        <v>108 Leonard St</v>
      </c>
      <c r="C2448" s="1" t="s">
        <v>113</v>
      </c>
      <c r="D2448" s="1" t="s">
        <v>41</v>
      </c>
      <c r="E2448" s="3">
        <v>3245000</v>
      </c>
      <c r="F2448" s="1">
        <v>1881.15942028985</v>
      </c>
      <c r="G2448" s="1">
        <v>4</v>
      </c>
      <c r="H2448" s="1">
        <v>2</v>
      </c>
      <c r="I2448" s="1">
        <v>3</v>
      </c>
      <c r="J2448" s="1">
        <v>2.5</v>
      </c>
      <c r="K2448" s="1">
        <v>2</v>
      </c>
      <c r="L2448" s="1">
        <v>1</v>
      </c>
      <c r="M2448" s="4">
        <v>1725</v>
      </c>
      <c r="N2448" s="1">
        <v>2045</v>
      </c>
      <c r="O2448" s="1">
        <v>4812</v>
      </c>
      <c r="P2448" s="1">
        <v>2767</v>
      </c>
      <c r="Q2448" s="1" t="s">
        <v>42</v>
      </c>
      <c r="S2448" s="1" t="s">
        <v>42</v>
      </c>
      <c r="T2448" s="1" t="s">
        <v>273</v>
      </c>
      <c r="U2448" s="1">
        <v>728</v>
      </c>
      <c r="V2448" s="5">
        <v>44162</v>
      </c>
      <c r="W2448" s="5">
        <v>43333</v>
      </c>
      <c r="AA2448" s="1">
        <v>3245000</v>
      </c>
      <c r="AB2448" s="1" t="s">
        <v>1441</v>
      </c>
      <c r="AC2448" s="5">
        <v>44155</v>
      </c>
      <c r="AF2448" s="1">
        <v>10013</v>
      </c>
      <c r="AI2448" s="1" t="s">
        <v>78</v>
      </c>
      <c r="AJ2448" s="1">
        <v>1899</v>
      </c>
      <c r="AK2448" s="1" t="s">
        <v>239</v>
      </c>
      <c r="AL2448" s="1">
        <v>167</v>
      </c>
    </row>
    <row r="2449" spans="1:38" x14ac:dyDescent="0.2">
      <c r="A2449" s="2" t="str">
        <f>HYPERLINK("https://www.compass.com/listing/52-lispenard-street-unit-2-manhattan-ny-10013/29358994304844113/","52 Lispenard St, Unit 2")</f>
        <v>52 Lispenard St, Unit 2</v>
      </c>
      <c r="B2449" s="2" t="str">
        <f>HYPERLINK("https://www.compass.com/building/52-54-lispenard-manhattan-ny/281920521132609877/","52-54 Lispenard")</f>
        <v>52-54 Lispenard</v>
      </c>
      <c r="C2449" s="1" t="s">
        <v>50</v>
      </c>
      <c r="D2449" s="1" t="s">
        <v>41</v>
      </c>
      <c r="E2449" s="3">
        <v>7568438</v>
      </c>
      <c r="F2449" s="1">
        <v>1989.5998948475201</v>
      </c>
      <c r="G2449" s="1">
        <v>7</v>
      </c>
      <c r="H2449" s="1">
        <v>4</v>
      </c>
      <c r="I2449" s="1">
        <v>4</v>
      </c>
      <c r="J2449" s="1">
        <v>4</v>
      </c>
      <c r="M2449" s="4">
        <v>3804</v>
      </c>
      <c r="N2449" s="1">
        <v>4104</v>
      </c>
      <c r="O2449" s="1">
        <v>6150</v>
      </c>
      <c r="P2449" s="1">
        <v>2046</v>
      </c>
      <c r="Q2449" s="1" t="s">
        <v>42</v>
      </c>
      <c r="S2449" s="1" t="s">
        <v>42</v>
      </c>
      <c r="T2449" s="1" t="s">
        <v>273</v>
      </c>
      <c r="U2449" s="1">
        <v>50</v>
      </c>
      <c r="V2449" s="5">
        <v>43666</v>
      </c>
      <c r="W2449" s="5">
        <v>42745</v>
      </c>
      <c r="X2449" s="1">
        <v>7995000</v>
      </c>
      <c r="Y2449" s="1">
        <v>7995000</v>
      </c>
      <c r="Z2449" s="5">
        <v>42795</v>
      </c>
      <c r="AA2449" s="1">
        <v>7568438</v>
      </c>
      <c r="AB2449" s="1" t="s">
        <v>1442</v>
      </c>
      <c r="AC2449" s="5">
        <v>42796</v>
      </c>
      <c r="AF2449" s="1">
        <v>10013</v>
      </c>
      <c r="AJ2449" s="1">
        <v>1920</v>
      </c>
      <c r="AK2449" s="1" t="s">
        <v>143</v>
      </c>
      <c r="AL2449" s="1">
        <v>7</v>
      </c>
    </row>
    <row r="2450" spans="1:38" x14ac:dyDescent="0.2">
      <c r="A2450" s="2" t="str">
        <f>HYPERLINK("https://www.compass.com/listing/108-leonard-street-unit-9e-manhattan-ny-10013/557176268331132569/","108 Leonard St, Unit 9E")</f>
        <v>108 Leonard St, Unit 9E</v>
      </c>
      <c r="B2450" s="2" t="str">
        <f>HYPERLINK("https://www.compass.com/building/108-leonard-st-manhattan-ny-10013/307456049610778277/","108 Leonard St")</f>
        <v>108 Leonard St</v>
      </c>
      <c r="C2450" s="1" t="s">
        <v>50</v>
      </c>
      <c r="D2450" s="1" t="s">
        <v>41</v>
      </c>
      <c r="E2450" s="3">
        <v>2575000</v>
      </c>
      <c r="F2450" s="1">
        <v>1979.24673328209</v>
      </c>
      <c r="G2450" s="1">
        <v>5</v>
      </c>
      <c r="H2450" s="1">
        <v>2</v>
      </c>
      <c r="I2450" s="1">
        <v>3</v>
      </c>
      <c r="J2450" s="1">
        <v>2.5</v>
      </c>
      <c r="K2450" s="1">
        <v>2</v>
      </c>
      <c r="L2450" s="1">
        <v>1</v>
      </c>
      <c r="M2450" s="4">
        <v>1301</v>
      </c>
      <c r="N2450" s="1">
        <v>1518</v>
      </c>
      <c r="O2450" s="1">
        <v>3606</v>
      </c>
      <c r="P2450" s="1">
        <v>2088</v>
      </c>
      <c r="Q2450" s="1" t="s">
        <v>42</v>
      </c>
      <c r="S2450" s="1" t="s">
        <v>42</v>
      </c>
      <c r="T2450" s="1" t="s">
        <v>273</v>
      </c>
      <c r="U2450" s="1">
        <v>168</v>
      </c>
      <c r="V2450" s="5">
        <v>44323</v>
      </c>
      <c r="W2450" s="5">
        <v>44038</v>
      </c>
      <c r="X2450" s="1">
        <v>2999999</v>
      </c>
      <c r="Y2450" s="1">
        <v>2750000</v>
      </c>
      <c r="Z2450" s="5">
        <v>44207</v>
      </c>
      <c r="AA2450" s="1">
        <v>2575000</v>
      </c>
      <c r="AB2450" s="1" t="s">
        <v>1443</v>
      </c>
      <c r="AC2450" s="5">
        <v>44307</v>
      </c>
      <c r="AF2450" s="1">
        <v>10013</v>
      </c>
      <c r="AI2450" s="1" t="s">
        <v>52</v>
      </c>
      <c r="AJ2450" s="1">
        <v>1899</v>
      </c>
      <c r="AK2450" s="1" t="s">
        <v>46</v>
      </c>
      <c r="AL2450" s="1">
        <v>167</v>
      </c>
    </row>
    <row r="2451" spans="1:38" x14ac:dyDescent="0.2">
      <c r="A2451" s="2" t="str">
        <f>HYPERLINK("https://www.compass.com/listing/235-west-75th-street-unit-202-manhattan-ny-10023/29395859930121953/","235 W 75th St, Unit 202")</f>
        <v>235 W 75th St, Unit 202</v>
      </c>
      <c r="B2451" s="2" t="str">
        <f>HYPERLINK("https://www.compass.com/building/the-astor-manhattan-ny/281958704155269925/","The Astor")</f>
        <v>The Astor</v>
      </c>
      <c r="C2451" s="1" t="s">
        <v>57</v>
      </c>
      <c r="D2451" s="1" t="s">
        <v>41</v>
      </c>
      <c r="E2451" s="3">
        <v>2732800</v>
      </c>
      <c r="F2451" s="1">
        <v>2098.9247311827899</v>
      </c>
      <c r="G2451" s="1">
        <v>3</v>
      </c>
      <c r="H2451" s="1">
        <v>2</v>
      </c>
      <c r="I2451" s="1">
        <v>2</v>
      </c>
      <c r="J2451" s="1">
        <v>2</v>
      </c>
      <c r="K2451" s="1">
        <v>2</v>
      </c>
      <c r="M2451" s="4">
        <v>1302</v>
      </c>
      <c r="N2451" s="1">
        <v>1688</v>
      </c>
      <c r="O2451" s="1">
        <v>3525</v>
      </c>
      <c r="P2451" s="1">
        <v>1837</v>
      </c>
      <c r="Q2451" s="1" t="s">
        <v>42</v>
      </c>
      <c r="S2451" s="1" t="s">
        <v>42</v>
      </c>
      <c r="T2451" s="1" t="s">
        <v>273</v>
      </c>
      <c r="U2451" s="1">
        <v>47</v>
      </c>
      <c r="V2451" s="5">
        <v>43649</v>
      </c>
      <c r="W2451" s="5">
        <v>42145</v>
      </c>
      <c r="X2451" s="1">
        <v>2745000</v>
      </c>
      <c r="Y2451" s="1">
        <v>2745000</v>
      </c>
      <c r="Z2451" s="5">
        <v>42192</v>
      </c>
      <c r="AA2451" s="1">
        <v>2732800</v>
      </c>
      <c r="AB2451" s="1" t="s">
        <v>1444</v>
      </c>
      <c r="AC2451" s="5">
        <v>43015</v>
      </c>
      <c r="AF2451" s="1">
        <v>10023</v>
      </c>
      <c r="AJ2451" s="1">
        <v>2018</v>
      </c>
      <c r="AK2451" s="1" t="s">
        <v>46</v>
      </c>
      <c r="AL2451" s="1">
        <v>98</v>
      </c>
    </row>
    <row r="2452" spans="1:38" x14ac:dyDescent="0.2">
      <c r="A2452" s="2" t="str">
        <f>HYPERLINK("https://www.compass.com/listing/60-white-street-unit-3e-manhattan-ny-10013/29358978039328385/","60 White St, Unit 3E")</f>
        <v>60 White St, Unit 3E</v>
      </c>
      <c r="B2452" s="2" t="str">
        <f>HYPERLINK("https://www.compass.com/building/60-white-st-manhattan-ny-10013/281920929104169509/","60 White St")</f>
        <v>60 White St</v>
      </c>
      <c r="C2452" s="1" t="s">
        <v>50</v>
      </c>
      <c r="D2452" s="1" t="s">
        <v>41</v>
      </c>
      <c r="E2452" s="3">
        <v>3700000</v>
      </c>
      <c r="F2452" s="1">
        <v>1904.27174472465</v>
      </c>
      <c r="G2452" s="1">
        <v>5</v>
      </c>
      <c r="H2452" s="1">
        <v>2</v>
      </c>
      <c r="I2452" s="1">
        <v>3</v>
      </c>
      <c r="J2452" s="1">
        <v>2.5</v>
      </c>
      <c r="K2452" s="1">
        <v>2</v>
      </c>
      <c r="L2452" s="1">
        <v>1</v>
      </c>
      <c r="M2452" s="4">
        <v>1943</v>
      </c>
      <c r="N2452" s="1">
        <v>1968</v>
      </c>
      <c r="O2452" s="1">
        <v>4569</v>
      </c>
      <c r="P2452" s="1">
        <v>2601</v>
      </c>
      <c r="Q2452" s="1" t="s">
        <v>42</v>
      </c>
      <c r="S2452" s="1" t="s">
        <v>42</v>
      </c>
      <c r="T2452" s="1" t="s">
        <v>273</v>
      </c>
      <c r="V2452" s="5">
        <v>44149</v>
      </c>
      <c r="W2452" s="5">
        <v>43208</v>
      </c>
      <c r="X2452" s="1">
        <v>4575000</v>
      </c>
      <c r="Y2452" s="1">
        <v>4575000</v>
      </c>
      <c r="Z2452" s="5">
        <v>43208</v>
      </c>
      <c r="AA2452" s="1">
        <v>3700000</v>
      </c>
      <c r="AB2452" s="1" t="s">
        <v>1445</v>
      </c>
      <c r="AC2452" s="5">
        <v>43242</v>
      </c>
      <c r="AF2452" s="1">
        <v>10013</v>
      </c>
      <c r="AJ2452" s="1">
        <v>1869</v>
      </c>
      <c r="AK2452" s="1" t="s">
        <v>75</v>
      </c>
      <c r="AL2452" s="1">
        <v>8</v>
      </c>
    </row>
    <row r="2453" spans="1:38" x14ac:dyDescent="0.2">
      <c r="A2453" s="2" t="str">
        <f>HYPERLINK("https://www.compass.com/listing/108-leonard-street-unit-4m-manhattan-ny-10013/607167161729100449/","108 Leonard St, Unit 4M")</f>
        <v>108 Leonard St, Unit 4M</v>
      </c>
      <c r="B2453" s="2" t="str">
        <f>HYPERLINK("https://www.compass.com/building/108-leonard-st-manhattan-ny-10013/307456049610778277/","108 Leonard St")</f>
        <v>108 Leonard St</v>
      </c>
      <c r="C2453" s="1" t="s">
        <v>50</v>
      </c>
      <c r="D2453" s="1" t="s">
        <v>41</v>
      </c>
      <c r="E2453" s="3">
        <v>2758445</v>
      </c>
      <c r="F2453" s="1">
        <v>1627.40107374631</v>
      </c>
      <c r="G2453" s="1">
        <v>4</v>
      </c>
      <c r="H2453" s="1">
        <v>2</v>
      </c>
      <c r="I2453" s="1">
        <v>3</v>
      </c>
      <c r="J2453" s="1">
        <v>2.5</v>
      </c>
      <c r="K2453" s="1">
        <v>2</v>
      </c>
      <c r="L2453" s="1">
        <v>1</v>
      </c>
      <c r="M2453" s="4">
        <v>1695</v>
      </c>
      <c r="N2453" s="1">
        <v>2009</v>
      </c>
      <c r="O2453" s="1">
        <v>4728</v>
      </c>
      <c r="P2453" s="1">
        <v>2719</v>
      </c>
      <c r="Q2453" s="1" t="s">
        <v>42</v>
      </c>
      <c r="S2453" s="1" t="s">
        <v>42</v>
      </c>
      <c r="T2453" s="1" t="s">
        <v>273</v>
      </c>
      <c r="U2453" s="1">
        <v>119</v>
      </c>
      <c r="V2453" s="5">
        <v>44225</v>
      </c>
      <c r="W2453" s="5">
        <v>44089</v>
      </c>
      <c r="X2453" s="1">
        <v>3295000</v>
      </c>
      <c r="Y2453" s="1">
        <v>2990000</v>
      </c>
      <c r="Z2453" s="5">
        <v>44209</v>
      </c>
      <c r="AA2453" s="1">
        <v>2758444.82</v>
      </c>
      <c r="AB2453" s="1" t="s">
        <v>1446</v>
      </c>
      <c r="AC2453" s="5">
        <v>44225</v>
      </c>
      <c r="AF2453" s="1">
        <v>10013</v>
      </c>
      <c r="AI2453" s="1" t="s">
        <v>78</v>
      </c>
      <c r="AJ2453" s="1">
        <v>1899</v>
      </c>
      <c r="AK2453" s="1" t="s">
        <v>115</v>
      </c>
      <c r="AL2453" s="1">
        <v>167</v>
      </c>
    </row>
    <row r="2454" spans="1:38" x14ac:dyDescent="0.2">
      <c r="A2454" s="2" t="str">
        <f>HYPERLINK("https://www.compass.com/listing/42-lispenard-street-unit-ph-manhattan-ny-10013/4852283604262195921/","42 Lispenard St, Unit PH")</f>
        <v>42 Lispenard St, Unit PH</v>
      </c>
      <c r="B2454" s="2" t="str">
        <f>HYPERLINK("https://www.compass.com/building/42-lispenard-st-manhattan-ny-10013/281919734784495125/","42 Lispenard St")</f>
        <v>42 Lispenard St</v>
      </c>
      <c r="C2454" s="1" t="s">
        <v>50</v>
      </c>
      <c r="D2454" s="1" t="s">
        <v>41</v>
      </c>
      <c r="E2454" s="3">
        <v>6995000</v>
      </c>
      <c r="F2454" s="1">
        <v>2780.2066772654998</v>
      </c>
      <c r="G2454" s="1">
        <v>6</v>
      </c>
      <c r="H2454" s="1">
        <v>3</v>
      </c>
      <c r="I2454" s="1">
        <v>4</v>
      </c>
      <c r="J2454" s="1">
        <v>3.5</v>
      </c>
      <c r="K2454" s="1">
        <v>3</v>
      </c>
      <c r="L2454" s="1">
        <v>1</v>
      </c>
      <c r="M2454" s="4">
        <v>2516</v>
      </c>
      <c r="N2454" s="1">
        <v>1290</v>
      </c>
      <c r="O2454" s="1">
        <v>3033</v>
      </c>
      <c r="P2454" s="1">
        <v>1743</v>
      </c>
      <c r="Q2454" s="1" t="s">
        <v>42</v>
      </c>
      <c r="S2454" s="1" t="s">
        <v>42</v>
      </c>
      <c r="T2454" s="1" t="s">
        <v>273</v>
      </c>
      <c r="U2454" s="1">
        <v>28</v>
      </c>
      <c r="V2454" s="5">
        <v>43659</v>
      </c>
      <c r="W2454" s="5">
        <v>42944</v>
      </c>
      <c r="X2454" s="1">
        <v>6995000</v>
      </c>
      <c r="Y2454" s="1">
        <v>6995000</v>
      </c>
      <c r="Z2454" s="5">
        <v>42991</v>
      </c>
      <c r="AA2454" s="1">
        <v>6995000</v>
      </c>
      <c r="AB2454" s="1" t="s">
        <v>275</v>
      </c>
      <c r="AC2454" s="5">
        <v>43045</v>
      </c>
      <c r="AF2454" s="1">
        <v>10013</v>
      </c>
      <c r="AI2454" s="1" t="s">
        <v>576</v>
      </c>
      <c r="AJ2454" s="1">
        <v>1915</v>
      </c>
      <c r="AL2454" s="1">
        <v>4</v>
      </c>
    </row>
    <row r="2455" spans="1:38" x14ac:dyDescent="0.2">
      <c r="A2455" s="2" t="str">
        <f>HYPERLINK("https://www.compass.com/listing/67-69-franklin-street-unit-4d-manhattan-ny-10013/89749521352949265/","67-69 Franklin St, Unit 4D")</f>
        <v>67-69 Franklin St, Unit 4D</v>
      </c>
      <c r="B2455" s="2" t="str">
        <f>HYPERLINK("https://www.compass.com/building/cast-iron-house-manhattan-ny/567514773896133269/","Cast Iron House")</f>
        <v>Cast Iron House</v>
      </c>
      <c r="C2455" s="1" t="s">
        <v>50</v>
      </c>
      <c r="D2455" s="1" t="s">
        <v>41</v>
      </c>
      <c r="E2455" s="3">
        <v>7079588</v>
      </c>
      <c r="F2455" s="1">
        <v>1880.8682252922399</v>
      </c>
      <c r="G2455" s="1">
        <v>6</v>
      </c>
      <c r="H2455" s="1">
        <v>4</v>
      </c>
      <c r="I2455" s="1">
        <v>3</v>
      </c>
      <c r="J2455" s="1">
        <v>3</v>
      </c>
      <c r="K2455" s="1">
        <v>3</v>
      </c>
      <c r="M2455" s="4">
        <v>3764</v>
      </c>
      <c r="N2455" s="1">
        <v>3738</v>
      </c>
      <c r="O2455" s="1">
        <v>8389</v>
      </c>
      <c r="P2455" s="1">
        <v>4651</v>
      </c>
      <c r="Q2455" s="1" t="s">
        <v>42</v>
      </c>
      <c r="S2455" s="1" t="s">
        <v>42</v>
      </c>
      <c r="T2455" s="1" t="s">
        <v>273</v>
      </c>
      <c r="U2455" s="1">
        <v>144</v>
      </c>
      <c r="V2455" s="5">
        <v>43638</v>
      </c>
      <c r="W2455" s="5">
        <v>43375</v>
      </c>
      <c r="X2455" s="1">
        <v>7350000</v>
      </c>
      <c r="Y2455" s="1">
        <v>7350000</v>
      </c>
      <c r="Z2455" s="5">
        <v>43519</v>
      </c>
      <c r="AA2455" s="1">
        <v>7079588</v>
      </c>
      <c r="AB2455" s="1" t="s">
        <v>1447</v>
      </c>
      <c r="AC2455" s="5">
        <v>43581</v>
      </c>
      <c r="AF2455" s="1">
        <v>10013</v>
      </c>
      <c r="AI2455" s="1" t="s">
        <v>540</v>
      </c>
      <c r="AJ2455" s="1">
        <v>1881</v>
      </c>
      <c r="AK2455" s="1" t="s">
        <v>49</v>
      </c>
      <c r="AL2455" s="1">
        <v>13</v>
      </c>
    </row>
    <row r="2456" spans="1:38" x14ac:dyDescent="0.2">
      <c r="A2456" s="2" t="str">
        <f>HYPERLINK("https://www.compass.com/listing/87-leonard-street-unit-2-manhattan-ny-10013/29358596600891697/","87 Leonard St, Unit 2")</f>
        <v>87 Leonard St, Unit 2</v>
      </c>
      <c r="B2456" s="2" t="str">
        <f t="shared" ref="B2456:B2457" si="398">HYPERLINK("https://www.compass.com/building/87-leonard-st-manhattan-ny-10013/281921482316090549/","87 Leonard St")</f>
        <v>87 Leonard St</v>
      </c>
      <c r="C2456" s="1" t="s">
        <v>50</v>
      </c>
      <c r="D2456" s="1" t="s">
        <v>41</v>
      </c>
      <c r="E2456" s="3">
        <v>8678475</v>
      </c>
      <c r="F2456" s="1">
        <v>1865.53632846087</v>
      </c>
      <c r="G2456" s="1">
        <v>7</v>
      </c>
      <c r="H2456" s="1">
        <v>4</v>
      </c>
      <c r="I2456" s="1">
        <v>5</v>
      </c>
      <c r="J2456" s="1">
        <v>4.5</v>
      </c>
      <c r="M2456" s="4">
        <v>4652</v>
      </c>
      <c r="N2456" s="1">
        <v>3331</v>
      </c>
      <c r="O2456" s="1">
        <v>8877</v>
      </c>
      <c r="P2456" s="1">
        <v>5546</v>
      </c>
      <c r="Q2456" s="1" t="s">
        <v>42</v>
      </c>
      <c r="S2456" s="1" t="s">
        <v>42</v>
      </c>
      <c r="T2456" s="1" t="s">
        <v>273</v>
      </c>
      <c r="V2456" s="5">
        <v>43680</v>
      </c>
      <c r="W2456" s="5">
        <v>42167</v>
      </c>
      <c r="X2456" s="1">
        <v>8600000</v>
      </c>
      <c r="Y2456" s="1">
        <v>8600000</v>
      </c>
      <c r="Z2456" s="5">
        <v>42167</v>
      </c>
      <c r="AA2456" s="1">
        <v>8678475</v>
      </c>
      <c r="AB2456" s="1" t="s">
        <v>1448</v>
      </c>
      <c r="AC2456" s="5">
        <v>42417</v>
      </c>
      <c r="AF2456" s="1">
        <v>10013</v>
      </c>
      <c r="AI2456" s="1" t="s">
        <v>177</v>
      </c>
      <c r="AJ2456" s="1">
        <v>1860</v>
      </c>
      <c r="AK2456" s="1" t="s">
        <v>73</v>
      </c>
      <c r="AL2456" s="1">
        <v>7</v>
      </c>
    </row>
    <row r="2457" spans="1:38" x14ac:dyDescent="0.2">
      <c r="A2457" s="2" t="str">
        <f>HYPERLINK("https://www.compass.com/listing/87-leonard-street-unit-3-manhattan-ny-10013/29358596919695729/","87 Leonard St, Unit 3")</f>
        <v>87 Leonard St, Unit 3</v>
      </c>
      <c r="B2457" s="2" t="str">
        <f t="shared" si="398"/>
        <v>87 Leonard St</v>
      </c>
      <c r="C2457" s="1" t="s">
        <v>50</v>
      </c>
      <c r="D2457" s="1" t="s">
        <v>41</v>
      </c>
      <c r="E2457" s="3">
        <v>8880300</v>
      </c>
      <c r="F2457" s="1">
        <v>1908.9208942390301</v>
      </c>
      <c r="G2457" s="1">
        <v>8</v>
      </c>
      <c r="H2457" s="1">
        <v>4</v>
      </c>
      <c r="I2457" s="1">
        <v>6</v>
      </c>
      <c r="J2457" s="1">
        <v>5.5</v>
      </c>
      <c r="M2457" s="4">
        <v>4652</v>
      </c>
      <c r="N2457" s="1">
        <v>3331</v>
      </c>
      <c r="O2457" s="1">
        <v>8877</v>
      </c>
      <c r="P2457" s="1">
        <v>5546</v>
      </c>
      <c r="Q2457" s="1" t="s">
        <v>42</v>
      </c>
      <c r="S2457" s="1" t="s">
        <v>42</v>
      </c>
      <c r="T2457" s="1" t="s">
        <v>273</v>
      </c>
      <c r="U2457" s="1">
        <v>55</v>
      </c>
      <c r="V2457" s="5">
        <v>43680</v>
      </c>
      <c r="W2457" s="5">
        <v>42102</v>
      </c>
      <c r="X2457" s="1">
        <v>8800000</v>
      </c>
      <c r="Y2457" s="1">
        <v>8800000</v>
      </c>
      <c r="Z2457" s="5">
        <v>42157</v>
      </c>
      <c r="AA2457" s="1">
        <v>8880300</v>
      </c>
      <c r="AB2457" s="1" t="s">
        <v>1449</v>
      </c>
      <c r="AC2457" s="5">
        <v>42425</v>
      </c>
      <c r="AF2457" s="1">
        <v>10013</v>
      </c>
      <c r="AI2457" s="1" t="s">
        <v>177</v>
      </c>
      <c r="AJ2457" s="1">
        <v>1860</v>
      </c>
      <c r="AK2457" s="1" t="s">
        <v>73</v>
      </c>
      <c r="AL2457" s="1">
        <v>7</v>
      </c>
    </row>
    <row r="2458" spans="1:38" x14ac:dyDescent="0.2">
      <c r="A2458" s="2" t="str">
        <f>HYPERLINK("https://www.compass.com/listing/108-leonard-street-unit-9i-manhattan-ny-10013/770484801419273513/","108 Leonard St, Unit 9I")</f>
        <v>108 Leonard St, Unit 9I</v>
      </c>
      <c r="B2458" s="2" t="str">
        <f>HYPERLINK("https://www.compass.com/building/108-leonard-st-manhattan-ny-10013/307456049610778277/","108 Leonard St")</f>
        <v>108 Leonard St</v>
      </c>
      <c r="C2458" s="1" t="s">
        <v>113</v>
      </c>
      <c r="D2458" s="1" t="s">
        <v>41</v>
      </c>
      <c r="E2458" s="3">
        <v>2145000</v>
      </c>
      <c r="F2458" s="1">
        <v>1911.76470588235</v>
      </c>
      <c r="G2458" s="1">
        <v>3</v>
      </c>
      <c r="H2458" s="1">
        <v>1</v>
      </c>
      <c r="I2458" s="1">
        <v>2</v>
      </c>
      <c r="J2458" s="1">
        <v>2</v>
      </c>
      <c r="K2458" s="1">
        <v>2</v>
      </c>
      <c r="M2458" s="4">
        <v>1122</v>
      </c>
      <c r="N2458" s="1">
        <v>1330</v>
      </c>
      <c r="O2458" s="1">
        <v>3130</v>
      </c>
      <c r="P2458" s="1">
        <v>1800</v>
      </c>
      <c r="Q2458" s="1" t="s">
        <v>42</v>
      </c>
      <c r="S2458" s="1" t="s">
        <v>42</v>
      </c>
      <c r="T2458" s="1" t="s">
        <v>273</v>
      </c>
      <c r="V2458" s="5">
        <v>44349</v>
      </c>
      <c r="W2458" s="5">
        <v>44314</v>
      </c>
      <c r="X2458" s="1">
        <v>2145000</v>
      </c>
      <c r="Y2458" s="1">
        <v>2145000</v>
      </c>
      <c r="Z2458" s="5">
        <v>44315</v>
      </c>
      <c r="AA2458" s="1">
        <v>2145000</v>
      </c>
      <c r="AB2458" s="1" t="s">
        <v>275</v>
      </c>
      <c r="AC2458" s="5">
        <v>44344</v>
      </c>
      <c r="AF2458" s="1">
        <v>10013</v>
      </c>
      <c r="AI2458" s="1" t="s">
        <v>78</v>
      </c>
      <c r="AJ2458" s="1">
        <v>1899</v>
      </c>
      <c r="AK2458" s="1" t="s">
        <v>115</v>
      </c>
      <c r="AL2458" s="1">
        <v>167</v>
      </c>
    </row>
    <row r="2459" spans="1:38" x14ac:dyDescent="0.2">
      <c r="A2459" s="2" t="str">
        <f>HYPERLINK("https://www.compass.com/listing/83-walker-street-unit-3-manhattan-ny-10013/29513397439683889/","83 Walker St, Unit 3")</f>
        <v>83 Walker St, Unit 3</v>
      </c>
      <c r="B2459" s="2" t="str">
        <f>HYPERLINK("https://www.compass.com/building/83-walker-st-manhattan-ny-10013/281921390477610613/","83 Walker St")</f>
        <v>83 Walker St</v>
      </c>
      <c r="C2459" s="1" t="s">
        <v>50</v>
      </c>
      <c r="D2459" s="1" t="s">
        <v>41</v>
      </c>
      <c r="E2459" s="3">
        <v>2140000</v>
      </c>
      <c r="F2459" s="1">
        <v>1531.85397279885</v>
      </c>
      <c r="G2459" s="1">
        <v>4</v>
      </c>
      <c r="H2459" s="1">
        <v>2</v>
      </c>
      <c r="I2459" s="1">
        <v>2</v>
      </c>
      <c r="J2459" s="1">
        <v>2</v>
      </c>
      <c r="K2459" s="1">
        <v>2</v>
      </c>
      <c r="M2459" s="4">
        <v>1397</v>
      </c>
      <c r="N2459" s="1">
        <v>779</v>
      </c>
      <c r="O2459" s="1">
        <v>2952</v>
      </c>
      <c r="P2459" s="1">
        <v>2173</v>
      </c>
      <c r="Q2459" s="1" t="s">
        <v>42</v>
      </c>
      <c r="S2459" s="1" t="s">
        <v>42</v>
      </c>
      <c r="T2459" s="1" t="s">
        <v>273</v>
      </c>
      <c r="U2459" s="1">
        <v>201</v>
      </c>
      <c r="V2459" s="5">
        <v>43641</v>
      </c>
      <c r="W2459" s="5">
        <v>43119</v>
      </c>
      <c r="X2459" s="1">
        <v>2395000</v>
      </c>
      <c r="Y2459" s="1">
        <v>2250000</v>
      </c>
      <c r="Z2459" s="5">
        <v>43320</v>
      </c>
      <c r="AA2459" s="1">
        <v>2140000</v>
      </c>
      <c r="AB2459" s="1" t="s">
        <v>1450</v>
      </c>
      <c r="AC2459" s="5">
        <v>43501</v>
      </c>
      <c r="AF2459" s="1">
        <v>10013</v>
      </c>
      <c r="AI2459" s="1" t="s">
        <v>540</v>
      </c>
      <c r="AJ2459" s="1">
        <v>2015</v>
      </c>
      <c r="AL2459" s="1">
        <v>9</v>
      </c>
    </row>
    <row r="2460" spans="1:38" x14ac:dyDescent="0.2">
      <c r="A2460" s="2" t="str">
        <f>HYPERLINK("https://www.compass.com/listing/108-leonard-street-unit-10k-manhattan-ny-10013/771448151888822721/","108 Leonard St, Unit 10K")</f>
        <v>108 Leonard St, Unit 10K</v>
      </c>
      <c r="B2460" s="2" t="str">
        <f>HYPERLINK("https://www.compass.com/building/108-leonard-st-manhattan-ny-10013/307456049610778277/","108 Leonard St")</f>
        <v>108 Leonard St</v>
      </c>
      <c r="C2460" s="1" t="s">
        <v>113</v>
      </c>
      <c r="D2460" s="1" t="s">
        <v>41</v>
      </c>
      <c r="E2460" s="3">
        <v>2010750</v>
      </c>
      <c r="F2460" s="1">
        <v>2159.7744360902202</v>
      </c>
      <c r="G2460" s="1">
        <v>3</v>
      </c>
      <c r="H2460" s="1">
        <v>1</v>
      </c>
      <c r="I2460" s="1">
        <v>2</v>
      </c>
      <c r="J2460" s="1">
        <v>1.5</v>
      </c>
      <c r="K2460" s="1">
        <v>1</v>
      </c>
      <c r="L2460" s="1">
        <v>1</v>
      </c>
      <c r="M2460" s="1">
        <v>931</v>
      </c>
      <c r="N2460" s="1">
        <v>1104</v>
      </c>
      <c r="O2460" s="1">
        <v>2598</v>
      </c>
      <c r="P2460" s="1">
        <v>1494</v>
      </c>
      <c r="Q2460" s="1" t="s">
        <v>42</v>
      </c>
      <c r="S2460" s="1" t="s">
        <v>42</v>
      </c>
      <c r="T2460" s="1" t="s">
        <v>273</v>
      </c>
      <c r="U2460" s="1">
        <v>1</v>
      </c>
      <c r="V2460" s="5">
        <v>44373</v>
      </c>
      <c r="W2460" s="5">
        <v>44315</v>
      </c>
      <c r="Y2460" s="1">
        <v>2010750</v>
      </c>
      <c r="Z2460" s="5">
        <v>44316</v>
      </c>
      <c r="AA2460" s="1">
        <v>1827853.69</v>
      </c>
      <c r="AB2460" s="1" t="s">
        <v>295</v>
      </c>
      <c r="AC2460" s="5">
        <v>44369</v>
      </c>
      <c r="AF2460" s="1">
        <v>10013</v>
      </c>
      <c r="AI2460" s="1" t="s">
        <v>78</v>
      </c>
      <c r="AJ2460" s="1">
        <v>1899</v>
      </c>
      <c r="AK2460" s="1" t="s">
        <v>115</v>
      </c>
      <c r="AL2460" s="1">
        <v>167</v>
      </c>
    </row>
    <row r="2461" spans="1:38" x14ac:dyDescent="0.2">
      <c r="A2461" s="2" t="str">
        <f>HYPERLINK("https://www.compass.com/listing/67-69-franklin-street-unit-4c-manhattan-ny-10013/50852272132908033/","67-69 Franklin St, Unit 4C")</f>
        <v>67-69 Franklin St, Unit 4C</v>
      </c>
      <c r="B2461" s="2" t="str">
        <f>HYPERLINK("https://www.compass.com/building/cast-iron-house-manhattan-ny/567514773896133269/","Cast Iron House")</f>
        <v>Cast Iron House</v>
      </c>
      <c r="C2461" s="1" t="s">
        <v>50</v>
      </c>
      <c r="D2461" s="1" t="s">
        <v>41</v>
      </c>
      <c r="E2461" s="3">
        <v>5704950</v>
      </c>
      <c r="F2461" s="1">
        <v>2001.7368421052599</v>
      </c>
      <c r="G2461" s="1">
        <v>5</v>
      </c>
      <c r="H2461" s="1">
        <v>3</v>
      </c>
      <c r="I2461" s="1">
        <v>3</v>
      </c>
      <c r="J2461" s="1">
        <v>3</v>
      </c>
      <c r="K2461" s="1">
        <v>3</v>
      </c>
      <c r="M2461" s="4">
        <v>2850</v>
      </c>
      <c r="N2461" s="1">
        <v>2803</v>
      </c>
      <c r="O2461" s="1">
        <v>6162</v>
      </c>
      <c r="P2461" s="1">
        <v>3359</v>
      </c>
      <c r="Q2461" s="1" t="s">
        <v>42</v>
      </c>
      <c r="S2461" s="1" t="s">
        <v>42</v>
      </c>
      <c r="T2461" s="1" t="s">
        <v>273</v>
      </c>
      <c r="U2461" s="1">
        <v>921</v>
      </c>
      <c r="V2461" s="5">
        <v>43169</v>
      </c>
      <c r="W2461" s="5">
        <v>41893</v>
      </c>
      <c r="X2461" s="1">
        <v>5950000</v>
      </c>
      <c r="Y2461" s="1">
        <v>5950000</v>
      </c>
      <c r="AA2461" s="1">
        <v>5704950</v>
      </c>
      <c r="AB2461" s="1" t="s">
        <v>1451</v>
      </c>
      <c r="AC2461" s="5">
        <v>43059</v>
      </c>
      <c r="AF2461" s="1">
        <v>10013</v>
      </c>
      <c r="AI2461" s="1" t="s">
        <v>177</v>
      </c>
      <c r="AJ2461" s="1">
        <v>1881</v>
      </c>
      <c r="AK2461" s="1" t="s">
        <v>46</v>
      </c>
      <c r="AL2461" s="1">
        <v>13</v>
      </c>
    </row>
    <row r="2462" spans="1:38" x14ac:dyDescent="0.2">
      <c r="A2462" s="2" t="str">
        <f>HYPERLINK("https://www.compass.com/listing/391-broadway-unit-4-manhattan-ny-10013/202091070132159601/","391 Broadway, Unit 4")</f>
        <v>391 Broadway, Unit 4</v>
      </c>
      <c r="B2462" s="2" t="str">
        <f>HYPERLINK("https://www.compass.com/building/391-broadway-manhattan-ny-10013/281919434489105749/","391 Broadway")</f>
        <v>391 Broadway</v>
      </c>
      <c r="C2462" s="1" t="s">
        <v>50</v>
      </c>
      <c r="D2462" s="1" t="s">
        <v>41</v>
      </c>
      <c r="E2462" s="3">
        <v>2700000</v>
      </c>
      <c r="F2462" s="1">
        <v>1318.359375</v>
      </c>
      <c r="G2462" s="1">
        <v>5.5</v>
      </c>
      <c r="H2462" s="1">
        <v>2</v>
      </c>
      <c r="I2462" s="1">
        <v>3</v>
      </c>
      <c r="J2462" s="1">
        <v>2.5</v>
      </c>
      <c r="K2462" s="1">
        <v>2</v>
      </c>
      <c r="L2462" s="1">
        <v>1</v>
      </c>
      <c r="M2462" s="4">
        <v>2048</v>
      </c>
      <c r="N2462" s="1">
        <v>1639</v>
      </c>
      <c r="O2462" s="1">
        <v>4557</v>
      </c>
      <c r="P2462" s="1">
        <v>2918</v>
      </c>
      <c r="Q2462" s="1" t="s">
        <v>42</v>
      </c>
      <c r="S2462" s="1" t="s">
        <v>42</v>
      </c>
      <c r="T2462" s="1" t="s">
        <v>273</v>
      </c>
      <c r="U2462" s="1">
        <v>71</v>
      </c>
      <c r="V2462" s="5">
        <v>43827</v>
      </c>
      <c r="W2462" s="5">
        <v>43528</v>
      </c>
      <c r="X2462" s="1">
        <v>3300000</v>
      </c>
      <c r="Y2462" s="1">
        <v>2900000</v>
      </c>
      <c r="Z2462" s="5">
        <v>43600</v>
      </c>
      <c r="AA2462" s="1">
        <v>2700000</v>
      </c>
      <c r="AB2462" s="1" t="s">
        <v>275</v>
      </c>
      <c r="AC2462" s="5">
        <v>43818</v>
      </c>
      <c r="AF2462" s="1">
        <v>10013</v>
      </c>
      <c r="AI2462" s="1" t="s">
        <v>177</v>
      </c>
      <c r="AJ2462" s="1">
        <v>1915</v>
      </c>
      <c r="AL2462" s="1">
        <v>4</v>
      </c>
    </row>
    <row r="2463" spans="1:38" x14ac:dyDescent="0.2">
      <c r="A2463" s="2" t="str">
        <f>HYPERLINK("https://www.compass.com/listing/87-leonard-street-unit-mais-a-manhattan-ny-10013/4777764467796637473/","87 Leonard St, Unit MAIS-A")</f>
        <v>87 Leonard St, Unit MAIS-A</v>
      </c>
      <c r="B2463" s="2" t="str">
        <f t="shared" ref="B2463:B2464" si="399">HYPERLINK("https://www.compass.com/building/87-leonard-st-manhattan-ny-10013/281921482316090549/","87 Leonard St")</f>
        <v>87 Leonard St</v>
      </c>
      <c r="C2463" s="1" t="s">
        <v>50</v>
      </c>
      <c r="D2463" s="1" t="s">
        <v>41</v>
      </c>
      <c r="E2463" s="3">
        <v>6620625</v>
      </c>
      <c r="F2463" s="1">
        <v>1395.2845100105301</v>
      </c>
      <c r="G2463" s="1">
        <v>7</v>
      </c>
      <c r="H2463" s="1">
        <v>3</v>
      </c>
      <c r="I2463" s="1">
        <v>4</v>
      </c>
      <c r="J2463" s="1">
        <v>0.5</v>
      </c>
      <c r="L2463" s="1">
        <v>1</v>
      </c>
      <c r="M2463" s="4">
        <v>4745</v>
      </c>
      <c r="N2463" s="1">
        <v>3109</v>
      </c>
      <c r="O2463" s="1">
        <v>6222</v>
      </c>
      <c r="P2463" s="1">
        <v>3113</v>
      </c>
      <c r="Q2463" s="1" t="s">
        <v>42</v>
      </c>
      <c r="S2463" s="1" t="s">
        <v>42</v>
      </c>
      <c r="T2463" s="1" t="s">
        <v>273</v>
      </c>
      <c r="U2463" s="1">
        <v>350</v>
      </c>
      <c r="V2463" s="5">
        <v>43649</v>
      </c>
      <c r="W2463" s="5">
        <v>42692</v>
      </c>
      <c r="X2463" s="1">
        <v>6495000</v>
      </c>
      <c r="Y2463" s="1">
        <v>5950000</v>
      </c>
      <c r="AA2463" s="1">
        <v>6620625</v>
      </c>
      <c r="AB2463" s="1" t="s">
        <v>275</v>
      </c>
      <c r="AC2463" s="5">
        <v>43042</v>
      </c>
      <c r="AF2463" s="1">
        <v>10013</v>
      </c>
      <c r="AI2463" s="1" t="s">
        <v>177</v>
      </c>
      <c r="AJ2463" s="1">
        <v>1860</v>
      </c>
      <c r="AK2463" s="1" t="s">
        <v>146</v>
      </c>
      <c r="AL2463" s="1">
        <v>7</v>
      </c>
    </row>
    <row r="2464" spans="1:38" x14ac:dyDescent="0.2">
      <c r="A2464" s="2" t="str">
        <f>HYPERLINK("https://www.compass.com/listing/87-leonard-street-unit-penthousea-manhattan-ny-10013/15258288862093441/","87 Leonard St, Unit PENTHOUSEA")</f>
        <v>87 Leonard St, Unit PENTHOUSEA</v>
      </c>
      <c r="B2464" s="2" t="str">
        <f t="shared" si="399"/>
        <v>87 Leonard St</v>
      </c>
      <c r="C2464" s="1" t="s">
        <v>50</v>
      </c>
      <c r="D2464" s="1" t="s">
        <v>41</v>
      </c>
      <c r="E2464" s="3">
        <v>8250000</v>
      </c>
      <c r="F2464" s="1">
        <v>2121.91358024691</v>
      </c>
      <c r="G2464" s="1">
        <v>7</v>
      </c>
      <c r="H2464" s="1">
        <v>3</v>
      </c>
      <c r="I2464" s="1">
        <v>5</v>
      </c>
      <c r="J2464" s="1">
        <v>4.5</v>
      </c>
      <c r="K2464" s="1">
        <v>4</v>
      </c>
      <c r="L2464" s="1">
        <v>1</v>
      </c>
      <c r="M2464" s="4">
        <v>3888</v>
      </c>
      <c r="N2464" s="1">
        <v>4326</v>
      </c>
      <c r="O2464" s="1">
        <v>8421</v>
      </c>
      <c r="P2464" s="1">
        <v>4095</v>
      </c>
      <c r="Q2464" s="1" t="s">
        <v>42</v>
      </c>
      <c r="S2464" s="1" t="s">
        <v>42</v>
      </c>
      <c r="T2464" s="1" t="s">
        <v>273</v>
      </c>
      <c r="U2464" s="1">
        <v>182</v>
      </c>
      <c r="V2464" s="5">
        <v>44040</v>
      </c>
      <c r="W2464" s="5">
        <v>43046</v>
      </c>
      <c r="X2464" s="1">
        <v>10950000</v>
      </c>
      <c r="Y2464" s="1">
        <v>9950000</v>
      </c>
      <c r="Z2464" s="5">
        <v>43228</v>
      </c>
      <c r="AA2464" s="1">
        <v>8250000</v>
      </c>
      <c r="AB2464" s="1" t="s">
        <v>1452</v>
      </c>
      <c r="AC2464" s="5">
        <v>43251</v>
      </c>
      <c r="AF2464" s="1">
        <v>10013</v>
      </c>
      <c r="AI2464" s="1" t="s">
        <v>1453</v>
      </c>
      <c r="AJ2464" s="1">
        <v>1860</v>
      </c>
      <c r="AK2464" s="1" t="s">
        <v>1454</v>
      </c>
      <c r="AL2464" s="1">
        <v>7</v>
      </c>
    </row>
    <row r="2465" spans="1:38" x14ac:dyDescent="0.2">
      <c r="A2465" s="2" t="str">
        <f>HYPERLINK("https://www.compass.com/listing/60-white-street-unit-4e-manhattan-ny-10013/784861068346136937/","60 White St, Unit 4E")</f>
        <v>60 White St, Unit 4E</v>
      </c>
      <c r="B2465" s="2" t="str">
        <f>HYPERLINK("https://www.compass.com/building/60-white-st-manhattan-ny-10013/281920929104169509/","60 White St")</f>
        <v>60 White St</v>
      </c>
      <c r="C2465" s="1" t="s">
        <v>50</v>
      </c>
      <c r="D2465" s="1" t="s">
        <v>41</v>
      </c>
      <c r="E2465" s="3">
        <v>4200000</v>
      </c>
      <c r="F2465" s="1">
        <v>2161.6057642820301</v>
      </c>
      <c r="G2465" s="1">
        <v>4</v>
      </c>
      <c r="H2465" s="1">
        <v>2</v>
      </c>
      <c r="I2465" s="1">
        <v>3</v>
      </c>
      <c r="J2465" s="1">
        <v>2.5</v>
      </c>
      <c r="M2465" s="4">
        <v>1943</v>
      </c>
      <c r="N2465" s="1">
        <v>1968</v>
      </c>
      <c r="O2465" s="1">
        <v>4568</v>
      </c>
      <c r="P2465" s="1">
        <v>2600</v>
      </c>
      <c r="Q2465" s="1" t="s">
        <v>42</v>
      </c>
      <c r="S2465" s="1" t="s">
        <v>42</v>
      </c>
      <c r="T2465" s="1" t="s">
        <v>273</v>
      </c>
      <c r="U2465" s="1">
        <v>72</v>
      </c>
      <c r="V2465" s="5">
        <v>42836</v>
      </c>
      <c r="W2465" s="5">
        <v>42065</v>
      </c>
      <c r="X2465" s="1">
        <v>4585000</v>
      </c>
      <c r="Y2465" s="1">
        <v>4650000</v>
      </c>
      <c r="Z2465" s="5">
        <v>42138</v>
      </c>
      <c r="AA2465" s="1">
        <v>4200000</v>
      </c>
      <c r="AB2465" s="1" t="s">
        <v>1455</v>
      </c>
      <c r="AC2465" s="5">
        <v>42849</v>
      </c>
      <c r="AF2465" s="1">
        <v>10013</v>
      </c>
      <c r="AJ2465" s="1">
        <v>1869</v>
      </c>
      <c r="AL2465" s="1">
        <v>8</v>
      </c>
    </row>
    <row r="2466" spans="1:38" x14ac:dyDescent="0.2">
      <c r="A2466" s="2" t="str">
        <f>HYPERLINK("https://www.compass.com/listing/42-lispenard-street-unit-3-manhattan-ny-10013/29358996058026369/","42 Lispenard St, Unit 3")</f>
        <v>42 Lispenard St, Unit 3</v>
      </c>
      <c r="B2466" s="2" t="str">
        <f>HYPERLINK("https://www.compass.com/building/42-lispenard-st-manhattan-ny-10013/281919734784495125/","42 Lispenard St")</f>
        <v>42 Lispenard St</v>
      </c>
      <c r="C2466" s="1" t="s">
        <v>50</v>
      </c>
      <c r="D2466" s="1" t="s">
        <v>41</v>
      </c>
      <c r="E2466" s="3">
        <v>4228488</v>
      </c>
      <c r="F2466" s="1">
        <v>1969.4867256637101</v>
      </c>
      <c r="G2466" s="1">
        <v>4</v>
      </c>
      <c r="H2466" s="1">
        <v>2</v>
      </c>
      <c r="I2466" s="1">
        <v>3</v>
      </c>
      <c r="J2466" s="1">
        <v>2.5</v>
      </c>
      <c r="M2466" s="4">
        <v>2147</v>
      </c>
      <c r="N2466" s="1">
        <v>1100</v>
      </c>
      <c r="O2466" s="1">
        <v>2588</v>
      </c>
      <c r="P2466" s="1">
        <v>1488</v>
      </c>
      <c r="Q2466" s="1" t="s">
        <v>42</v>
      </c>
      <c r="S2466" s="1" t="s">
        <v>42</v>
      </c>
      <c r="T2466" s="1" t="s">
        <v>273</v>
      </c>
      <c r="V2466" s="5">
        <v>43663</v>
      </c>
      <c r="W2466" s="5">
        <v>42606</v>
      </c>
      <c r="X2466" s="1">
        <v>4300000</v>
      </c>
      <c r="Y2466" s="1">
        <v>4300000</v>
      </c>
      <c r="Z2466" s="5">
        <v>42606</v>
      </c>
      <c r="AA2466" s="1">
        <v>4228488</v>
      </c>
      <c r="AB2466" s="1" t="s">
        <v>1456</v>
      </c>
      <c r="AC2466" s="5">
        <v>42823</v>
      </c>
      <c r="AF2466" s="1">
        <v>10013</v>
      </c>
      <c r="AI2466" s="1" t="s">
        <v>52</v>
      </c>
      <c r="AJ2466" s="1">
        <v>1915</v>
      </c>
      <c r="AK2466" s="1" t="s">
        <v>75</v>
      </c>
      <c r="AL2466" s="1">
        <v>4</v>
      </c>
    </row>
    <row r="2467" spans="1:38" x14ac:dyDescent="0.2">
      <c r="A2467" s="2" t="str">
        <f>HYPERLINK("https://www.compass.com/listing/235-west-75th-street-unit-223-manhattan-ny-10023/29395862404802337/","235 W 75th St, Unit 223")</f>
        <v>235 W 75th St, Unit 223</v>
      </c>
      <c r="B2467" s="2" t="str">
        <f>HYPERLINK("https://www.compass.com/building/the-astor-manhattan-ny/281958704155269925/","The Astor")</f>
        <v>The Astor</v>
      </c>
      <c r="C2467" s="1" t="s">
        <v>57</v>
      </c>
      <c r="D2467" s="1" t="s">
        <v>41</v>
      </c>
      <c r="E2467" s="3">
        <v>2172798</v>
      </c>
      <c r="F2467" s="1">
        <v>2019.3289962825199</v>
      </c>
      <c r="G2467" s="1">
        <v>2</v>
      </c>
      <c r="H2467" s="1">
        <v>1</v>
      </c>
      <c r="I2467" s="1">
        <v>1</v>
      </c>
      <c r="J2467" s="1">
        <v>1.5</v>
      </c>
      <c r="K2467" s="1">
        <v>1</v>
      </c>
      <c r="L2467" s="1">
        <v>1</v>
      </c>
      <c r="M2467" s="4">
        <v>1076</v>
      </c>
      <c r="N2467" s="1">
        <v>1386</v>
      </c>
      <c r="O2467" s="1">
        <v>2894</v>
      </c>
      <c r="P2467" s="1">
        <v>1508</v>
      </c>
      <c r="Q2467" s="1" t="s">
        <v>42</v>
      </c>
      <c r="S2467" s="1" t="s">
        <v>42</v>
      </c>
      <c r="T2467" s="1" t="s">
        <v>273</v>
      </c>
      <c r="U2467" s="1">
        <v>381</v>
      </c>
      <c r="V2467" s="5">
        <v>43663</v>
      </c>
      <c r="W2467" s="5">
        <v>42161</v>
      </c>
      <c r="X2467" s="1">
        <v>2260000</v>
      </c>
      <c r="Y2467" s="1">
        <v>2260000</v>
      </c>
      <c r="Z2467" s="5">
        <v>42542</v>
      </c>
      <c r="AA2467" s="1">
        <v>2172798</v>
      </c>
      <c r="AB2467" s="1" t="s">
        <v>1457</v>
      </c>
      <c r="AC2467" s="5">
        <v>43074</v>
      </c>
      <c r="AF2467" s="1">
        <v>10023</v>
      </c>
      <c r="AJ2467" s="1">
        <v>2018</v>
      </c>
      <c r="AK2467" s="1" t="s">
        <v>46</v>
      </c>
      <c r="AL2467" s="1">
        <v>98</v>
      </c>
    </row>
    <row r="2468" spans="1:38" x14ac:dyDescent="0.2">
      <c r="A2468" s="2" t="str">
        <f>HYPERLINK("https://www.compass.com/listing/108-leonard-street-unit-6r-manhattan-ny-10013/766007382038050233/","108 Leonard St, Unit 6R")</f>
        <v>108 Leonard St, Unit 6R</v>
      </c>
      <c r="B2468" s="2" t="str">
        <f>HYPERLINK("https://www.compass.com/building/108-leonard-st-manhattan-ny-10013/307456049610778277/","108 Leonard St")</f>
        <v>108 Leonard St</v>
      </c>
      <c r="C2468" s="1" t="s">
        <v>113</v>
      </c>
      <c r="D2468" s="1" t="s">
        <v>41</v>
      </c>
      <c r="E2468" s="3">
        <v>1630770</v>
      </c>
      <c r="F2468" s="1">
        <v>1725.68265608465</v>
      </c>
      <c r="G2468" s="1">
        <v>3</v>
      </c>
      <c r="H2468" s="1">
        <v>1</v>
      </c>
      <c r="I2468" s="1">
        <v>2</v>
      </c>
      <c r="J2468" s="1">
        <v>1.5</v>
      </c>
      <c r="K2468" s="1">
        <v>1</v>
      </c>
      <c r="L2468" s="1">
        <v>1</v>
      </c>
      <c r="M2468" s="1">
        <v>945</v>
      </c>
      <c r="N2468" s="1">
        <v>1120</v>
      </c>
      <c r="O2468" s="1">
        <v>2636</v>
      </c>
      <c r="P2468" s="1">
        <v>1516</v>
      </c>
      <c r="Q2468" s="1" t="s">
        <v>42</v>
      </c>
      <c r="S2468" s="1" t="s">
        <v>42</v>
      </c>
      <c r="T2468" s="1" t="s">
        <v>273</v>
      </c>
      <c r="V2468" s="5">
        <v>44350</v>
      </c>
      <c r="W2468" s="5">
        <v>44308</v>
      </c>
      <c r="X2468" s="1">
        <v>1753500</v>
      </c>
      <c r="Y2468" s="1">
        <v>1753500</v>
      </c>
      <c r="Z2468" s="5">
        <v>44309</v>
      </c>
      <c r="AA2468" s="1">
        <v>1630770.11</v>
      </c>
      <c r="AB2468" s="1" t="s">
        <v>1458</v>
      </c>
      <c r="AC2468" s="5">
        <v>44348</v>
      </c>
      <c r="AF2468" s="1">
        <v>10013</v>
      </c>
      <c r="AI2468" s="1" t="s">
        <v>78</v>
      </c>
      <c r="AJ2468" s="1">
        <v>1899</v>
      </c>
      <c r="AK2468" s="1" t="s">
        <v>115</v>
      </c>
      <c r="AL2468" s="1">
        <v>167</v>
      </c>
    </row>
    <row r="2469" spans="1:38" x14ac:dyDescent="0.2">
      <c r="A2469" s="2" t="str">
        <f>HYPERLINK("https://www.compass.com/listing/60-white-street-unit-4e-manhattan-ny-10013/181062292287359121/","60 White St, Unit 4E")</f>
        <v>60 White St, Unit 4E</v>
      </c>
      <c r="B2469" s="2" t="str">
        <f>HYPERLINK("https://www.compass.com/building/60-white-st-manhattan-ny-10013/281920929104169509/","60 White St")</f>
        <v>60 White St</v>
      </c>
      <c r="C2469" s="1" t="s">
        <v>50</v>
      </c>
      <c r="D2469" s="1" t="s">
        <v>41</v>
      </c>
      <c r="E2469" s="3">
        <v>4200000</v>
      </c>
      <c r="F2469" s="1">
        <v>2161.6057642820301</v>
      </c>
      <c r="G2469" s="1">
        <v>4</v>
      </c>
      <c r="H2469" s="1">
        <v>2</v>
      </c>
      <c r="I2469" s="1">
        <v>3</v>
      </c>
      <c r="J2469" s="1">
        <v>2.5</v>
      </c>
      <c r="M2469" s="4">
        <v>1943</v>
      </c>
      <c r="N2469" s="1">
        <v>1968</v>
      </c>
      <c r="O2469" s="1">
        <v>4569</v>
      </c>
      <c r="P2469" s="1">
        <v>2601</v>
      </c>
      <c r="Q2469" s="1" t="s">
        <v>42</v>
      </c>
      <c r="S2469" s="1" t="s">
        <v>42</v>
      </c>
      <c r="T2469" s="1" t="s">
        <v>273</v>
      </c>
      <c r="V2469" s="5">
        <v>43666</v>
      </c>
      <c r="W2469" s="5">
        <v>42804</v>
      </c>
      <c r="X2469" s="1">
        <v>4650000</v>
      </c>
      <c r="Y2469" s="1">
        <v>4650000</v>
      </c>
      <c r="Z2469" s="5">
        <v>42804</v>
      </c>
      <c r="AA2469" s="1">
        <v>4200000</v>
      </c>
      <c r="AB2469" s="1" t="s">
        <v>1455</v>
      </c>
      <c r="AC2469" s="5">
        <v>42849</v>
      </c>
      <c r="AF2469" s="1">
        <v>10013</v>
      </c>
      <c r="AJ2469" s="1">
        <v>1869</v>
      </c>
      <c r="AK2469" s="1" t="s">
        <v>75</v>
      </c>
      <c r="AL2469" s="1">
        <v>8</v>
      </c>
    </row>
    <row r="2470" spans="1:38" x14ac:dyDescent="0.2">
      <c r="A2470" s="2" t="str">
        <f>HYPERLINK("https://www.compass.com/listing/87-leonard-street-unit-4-manhattan-ny-10013/29358597255235809/","87 Leonard St, Unit 4")</f>
        <v>87 Leonard St, Unit 4</v>
      </c>
      <c r="B2470" s="2" t="str">
        <f>HYPERLINK("https://www.compass.com/building/87-leonard-st-manhattan-ny-10013/281921482316090549/","87 Leonard St")</f>
        <v>87 Leonard St</v>
      </c>
      <c r="C2470" s="1" t="s">
        <v>50</v>
      </c>
      <c r="D2470" s="1" t="s">
        <v>41</v>
      </c>
      <c r="E2470" s="3">
        <v>9164250</v>
      </c>
      <c r="F2470" s="1">
        <v>1969.95915735167</v>
      </c>
      <c r="G2470" s="1">
        <v>7</v>
      </c>
      <c r="H2470" s="1">
        <v>4</v>
      </c>
      <c r="I2470" s="1">
        <v>6</v>
      </c>
      <c r="J2470" s="1">
        <v>5.5</v>
      </c>
      <c r="M2470" s="4">
        <v>4652</v>
      </c>
      <c r="N2470" s="1">
        <v>3331</v>
      </c>
      <c r="O2470" s="1">
        <v>8877</v>
      </c>
      <c r="P2470" s="1">
        <v>5546</v>
      </c>
      <c r="Q2470" s="1" t="s">
        <v>42</v>
      </c>
      <c r="S2470" s="1" t="s">
        <v>42</v>
      </c>
      <c r="T2470" s="1" t="s">
        <v>273</v>
      </c>
      <c r="U2470" s="1">
        <v>125</v>
      </c>
      <c r="V2470" s="5">
        <v>43680</v>
      </c>
      <c r="W2470" s="5">
        <v>42158</v>
      </c>
      <c r="X2470" s="1">
        <v>9000000</v>
      </c>
      <c r="Y2470" s="1">
        <v>9000000</v>
      </c>
      <c r="Z2470" s="5">
        <v>42283</v>
      </c>
      <c r="AA2470" s="1">
        <v>9164250</v>
      </c>
      <c r="AB2470" s="1" t="s">
        <v>1459</v>
      </c>
      <c r="AC2470" s="5">
        <v>42425</v>
      </c>
      <c r="AF2470" s="1">
        <v>10013</v>
      </c>
      <c r="AI2470" s="1" t="s">
        <v>177</v>
      </c>
      <c r="AJ2470" s="1">
        <v>1860</v>
      </c>
      <c r="AK2470" s="1" t="s">
        <v>73</v>
      </c>
      <c r="AL2470" s="1">
        <v>7</v>
      </c>
    </row>
    <row r="2471" spans="1:38" x14ac:dyDescent="0.2">
      <c r="A2471" s="2" t="str">
        <f>HYPERLINK("https://www.compass.com/listing/56-walker-street-unit-duplex4-manhattan-ny-10013/4852272759402661345/","56 Walker St, Unit DUPLEX4")</f>
        <v>56 Walker St, Unit DUPLEX4</v>
      </c>
      <c r="B2471" s="2" t="str">
        <f>HYPERLINK("https://www.compass.com/building/walker-house-manhattan-ny/281920827333577653/","Walker House")</f>
        <v>Walker House</v>
      </c>
      <c r="C2471" s="1" t="s">
        <v>50</v>
      </c>
      <c r="D2471" s="1" t="s">
        <v>41</v>
      </c>
      <c r="E2471" s="3">
        <v>6602500</v>
      </c>
      <c r="F2471" s="1">
        <v>2197.90279627163</v>
      </c>
      <c r="G2471" s="1">
        <v>7</v>
      </c>
      <c r="H2471" s="1">
        <v>3</v>
      </c>
      <c r="I2471" s="1">
        <v>4</v>
      </c>
      <c r="J2471" s="1">
        <v>3.5</v>
      </c>
      <c r="K2471" s="1">
        <v>3</v>
      </c>
      <c r="L2471" s="1">
        <v>1</v>
      </c>
      <c r="M2471" s="4">
        <v>3004</v>
      </c>
      <c r="N2471" s="1">
        <v>1445</v>
      </c>
      <c r="O2471" s="1">
        <v>4968</v>
      </c>
      <c r="P2471" s="1">
        <v>3523</v>
      </c>
      <c r="Q2471" s="1" t="s">
        <v>42</v>
      </c>
      <c r="S2471" s="1" t="s">
        <v>42</v>
      </c>
      <c r="T2471" s="1" t="s">
        <v>273</v>
      </c>
      <c r="U2471" s="1">
        <v>332</v>
      </c>
      <c r="V2471" s="5">
        <v>43671</v>
      </c>
      <c r="W2471" s="5">
        <v>42312</v>
      </c>
      <c r="X2471" s="1">
        <v>6995000</v>
      </c>
      <c r="Y2471" s="1">
        <v>5250000</v>
      </c>
      <c r="Z2471" s="5">
        <v>42644</v>
      </c>
      <c r="AA2471" s="1">
        <v>6602500</v>
      </c>
      <c r="AB2471" s="1" t="s">
        <v>275</v>
      </c>
      <c r="AC2471" s="5">
        <v>42882</v>
      </c>
      <c r="AF2471" s="1">
        <v>10013</v>
      </c>
      <c r="AJ2471" s="1">
        <v>2015</v>
      </c>
      <c r="AL2471" s="1">
        <v>4</v>
      </c>
    </row>
    <row r="2472" spans="1:38" x14ac:dyDescent="0.2">
      <c r="A2472" s="2" t="str">
        <f>HYPERLINK("https://www.compass.com/listing/83-walker-street-unit-5-manhattan-ny-10013/106329702330884881/","83 Walker St, Unit 5")</f>
        <v>83 Walker St, Unit 5</v>
      </c>
      <c r="B2472" s="2" t="str">
        <f t="shared" ref="B2472:B2473" si="400">HYPERLINK("https://www.compass.com/building/83-walker-st-manhattan-ny-10013/281921390477610613/","83 Walker St")</f>
        <v>83 Walker St</v>
      </c>
      <c r="C2472" s="1" t="s">
        <v>50</v>
      </c>
      <c r="D2472" s="1" t="s">
        <v>41</v>
      </c>
      <c r="E2472" s="3">
        <v>2200000</v>
      </c>
      <c r="F2472" s="1">
        <v>1574.8031496062899</v>
      </c>
      <c r="G2472" s="1">
        <v>4</v>
      </c>
      <c r="H2472" s="1">
        <v>2</v>
      </c>
      <c r="I2472" s="1">
        <v>2</v>
      </c>
      <c r="J2472" s="1">
        <v>2</v>
      </c>
      <c r="K2472" s="1">
        <v>2</v>
      </c>
      <c r="M2472" s="4">
        <v>1397</v>
      </c>
      <c r="N2472" s="1">
        <v>779</v>
      </c>
      <c r="O2472" s="1">
        <v>2952</v>
      </c>
      <c r="P2472" s="1">
        <v>2173</v>
      </c>
      <c r="Q2472" s="1" t="s">
        <v>42</v>
      </c>
      <c r="S2472" s="1" t="s">
        <v>42</v>
      </c>
      <c r="T2472" s="1" t="s">
        <v>273</v>
      </c>
      <c r="U2472" s="1">
        <v>138</v>
      </c>
      <c r="V2472" s="5">
        <v>43644</v>
      </c>
      <c r="W2472" s="5">
        <v>43399</v>
      </c>
      <c r="X2472" s="1">
        <v>2300000</v>
      </c>
      <c r="Y2472" s="1">
        <v>2300000</v>
      </c>
      <c r="Z2472" s="5">
        <v>43537</v>
      </c>
      <c r="AA2472" s="1">
        <v>2200000</v>
      </c>
      <c r="AB2472" s="1" t="s">
        <v>1460</v>
      </c>
      <c r="AC2472" s="5">
        <v>43570</v>
      </c>
      <c r="AF2472" s="1">
        <v>10013</v>
      </c>
      <c r="AI2472" s="1" t="s">
        <v>540</v>
      </c>
      <c r="AJ2472" s="1">
        <v>2015</v>
      </c>
      <c r="AL2472" s="1">
        <v>9</v>
      </c>
    </row>
    <row r="2473" spans="1:38" x14ac:dyDescent="0.2">
      <c r="A2473" s="2" t="str">
        <f>HYPERLINK("https://www.compass.com/listing/83-walker-street-unit-2-manhattan-ny-10013/166561321326847521/","83 Walker St, Unit 2")</f>
        <v>83 Walker St, Unit 2</v>
      </c>
      <c r="B2473" s="2" t="str">
        <f t="shared" si="400"/>
        <v>83 Walker St</v>
      </c>
      <c r="C2473" s="1" t="s">
        <v>50</v>
      </c>
      <c r="D2473" s="1" t="s">
        <v>41</v>
      </c>
      <c r="E2473" s="3">
        <v>1850000</v>
      </c>
      <c r="F2473" s="1">
        <v>1324.2662848962</v>
      </c>
      <c r="G2473" s="1">
        <v>4</v>
      </c>
      <c r="H2473" s="1">
        <v>2</v>
      </c>
      <c r="I2473" s="1">
        <v>2</v>
      </c>
      <c r="J2473" s="1">
        <v>2</v>
      </c>
      <c r="K2473" s="1">
        <v>2</v>
      </c>
      <c r="M2473" s="4">
        <v>1397</v>
      </c>
      <c r="N2473" s="1">
        <v>771</v>
      </c>
      <c r="O2473" s="1">
        <v>2919</v>
      </c>
      <c r="P2473" s="1">
        <v>2148</v>
      </c>
      <c r="Q2473" s="1" t="s">
        <v>42</v>
      </c>
      <c r="S2473" s="1" t="s">
        <v>42</v>
      </c>
      <c r="T2473" s="1" t="s">
        <v>273</v>
      </c>
      <c r="U2473" s="1">
        <v>433</v>
      </c>
      <c r="V2473" s="5">
        <v>43694</v>
      </c>
      <c r="W2473" s="5">
        <v>43119</v>
      </c>
      <c r="X2473" s="1">
        <v>2295000</v>
      </c>
      <c r="Y2473" s="1">
        <v>1995000</v>
      </c>
      <c r="Z2473" s="5">
        <v>43552</v>
      </c>
      <c r="AA2473" s="1">
        <v>1850000</v>
      </c>
      <c r="AB2473" s="1" t="s">
        <v>1461</v>
      </c>
      <c r="AC2473" s="5">
        <v>43629</v>
      </c>
      <c r="AF2473" s="1">
        <v>10013</v>
      </c>
      <c r="AI2473" s="1" t="s">
        <v>177</v>
      </c>
      <c r="AJ2473" s="1">
        <v>2015</v>
      </c>
      <c r="AL2473" s="1">
        <v>9</v>
      </c>
    </row>
    <row r="2474" spans="1:38" x14ac:dyDescent="0.2">
      <c r="A2474" s="2" t="str">
        <f>HYPERLINK("https://www.compass.com/listing/355-east-19th-street-unit-6-manhattan-ny-10003/54750222751901633/","355 E 19th St, Unit 6")</f>
        <v>355 E 19th St, Unit 6</v>
      </c>
      <c r="B2474" s="2" t="str">
        <f>HYPERLINK("https://www.compass.com/building/355-e-19th-st-manhattan-ny-10003/281893275755879157/","355 E 19th St")</f>
        <v>355 E 19th St</v>
      </c>
      <c r="C2474" s="1" t="s">
        <v>64</v>
      </c>
      <c r="D2474" s="1" t="s">
        <v>41</v>
      </c>
      <c r="E2474" s="3">
        <v>1620000</v>
      </c>
      <c r="F2474" s="1">
        <v>809.59520239879998</v>
      </c>
      <c r="H2474" s="1">
        <v>3</v>
      </c>
      <c r="J2474" s="1">
        <v>2.5</v>
      </c>
      <c r="K2474" s="1">
        <v>2</v>
      </c>
      <c r="L2474" s="1">
        <v>1</v>
      </c>
      <c r="M2474" s="4">
        <v>2001</v>
      </c>
      <c r="N2474" s="1">
        <v>640</v>
      </c>
      <c r="O2474" s="1">
        <v>2466</v>
      </c>
      <c r="P2474" s="1">
        <v>1826</v>
      </c>
      <c r="Q2474" s="1" t="s">
        <v>42</v>
      </c>
      <c r="S2474" s="1" t="s">
        <v>42</v>
      </c>
      <c r="T2474" s="1" t="s">
        <v>273</v>
      </c>
      <c r="AA2474" s="1">
        <v>1620000</v>
      </c>
      <c r="AB2474" s="1" t="s">
        <v>1462</v>
      </c>
      <c r="AC2474" s="5">
        <v>43315</v>
      </c>
      <c r="AF2474" s="1">
        <v>10003</v>
      </c>
      <c r="AI2474" s="1" t="s">
        <v>140</v>
      </c>
      <c r="AJ2474" s="1">
        <v>2015</v>
      </c>
      <c r="AL2474" s="1">
        <v>7</v>
      </c>
    </row>
    <row r="2475" spans="1:38" x14ac:dyDescent="0.2">
      <c r="A2475" s="2" t="str">
        <f>HYPERLINK("https://www.compass.com/listing/100-west-80th-street-unit-9c-manhattan-ny-10024/29399454121556113/","100 W 80th St, Unit 9C")</f>
        <v>100 W 80th St, Unit 9C</v>
      </c>
      <c r="B2475" s="2" t="str">
        <f>HYPERLINK("https://www.compass.com/building/the-orleans-manhattan-ny/281961359686577973/","The Orleans")</f>
        <v>The Orleans</v>
      </c>
      <c r="C2475" s="1" t="s">
        <v>57</v>
      </c>
      <c r="D2475" s="1" t="s">
        <v>41</v>
      </c>
      <c r="E2475" s="3">
        <v>921779</v>
      </c>
      <c r="F2475" s="1">
        <v>2066.7688565022399</v>
      </c>
      <c r="M2475" s="1">
        <v>446</v>
      </c>
      <c r="Q2475" s="1" t="s">
        <v>42</v>
      </c>
      <c r="S2475" s="1" t="s">
        <v>42</v>
      </c>
      <c r="T2475" s="1" t="s">
        <v>273</v>
      </c>
      <c r="AA2475" s="1">
        <v>921778.91</v>
      </c>
      <c r="AB2475" s="1" t="s">
        <v>1463</v>
      </c>
      <c r="AC2475" s="5">
        <v>42473</v>
      </c>
      <c r="AF2475" s="1">
        <v>10024</v>
      </c>
      <c r="AJ2475" s="1">
        <v>1900</v>
      </c>
      <c r="AK2475" s="1" t="s">
        <v>55</v>
      </c>
      <c r="AL2475" s="1">
        <v>24</v>
      </c>
    </row>
    <row r="2476" spans="1:38" x14ac:dyDescent="0.2">
      <c r="A2476" s="2" t="str">
        <f>HYPERLINK("https://www.compass.com/listing/49-chambers-street-unit-12h-manhattan-ny-10007/763692801346581945/","49 Chambers St, Unit 12H")</f>
        <v>49 Chambers St, Unit 12H</v>
      </c>
      <c r="B2476" s="2" t="str">
        <f>HYPERLINK("https://www.compass.com/building/49-chambers-manhattan-ny/282058733280852725/","49 Chambers")</f>
        <v>49 Chambers</v>
      </c>
      <c r="C2476" s="1" t="s">
        <v>113</v>
      </c>
      <c r="D2476" s="1" t="s">
        <v>41</v>
      </c>
      <c r="E2476" s="3">
        <v>2370000</v>
      </c>
      <c r="G2476" s="1">
        <v>4</v>
      </c>
      <c r="H2476" s="1">
        <v>2</v>
      </c>
      <c r="I2476" s="1">
        <v>2</v>
      </c>
      <c r="J2476" s="1">
        <v>2</v>
      </c>
      <c r="K2476" s="1">
        <v>2</v>
      </c>
      <c r="N2476" s="1">
        <v>1176</v>
      </c>
      <c r="O2476" s="1">
        <v>3628</v>
      </c>
      <c r="P2476" s="1">
        <v>2452</v>
      </c>
      <c r="Q2476" s="1" t="s">
        <v>42</v>
      </c>
      <c r="S2476" s="1" t="s">
        <v>42</v>
      </c>
      <c r="T2476" s="1" t="s">
        <v>273</v>
      </c>
      <c r="V2476" s="5">
        <v>44331</v>
      </c>
      <c r="W2476" s="5">
        <v>44305</v>
      </c>
      <c r="Z2476" s="5">
        <v>44306</v>
      </c>
      <c r="AA2476" s="1">
        <v>2370000</v>
      </c>
      <c r="AB2476" s="1" t="s">
        <v>295</v>
      </c>
      <c r="AC2476" s="5">
        <v>44314</v>
      </c>
      <c r="AF2476" s="1">
        <v>10007</v>
      </c>
      <c r="AI2476" s="1" t="s">
        <v>114</v>
      </c>
      <c r="AJ2476" s="1">
        <v>1910</v>
      </c>
      <c r="AK2476" s="1" t="s">
        <v>49</v>
      </c>
      <c r="AL2476" s="1">
        <v>99</v>
      </c>
    </row>
    <row r="2477" spans="1:38" x14ac:dyDescent="0.2">
      <c r="A2477" s="2" t="str">
        <f>HYPERLINK("https://www.compass.com/listing/67-69-franklin-street-unit-2d-manhattan-ny-10013/803339975739502057/","67-69 Franklin St, Unit 2D")</f>
        <v>67-69 Franklin St, Unit 2D</v>
      </c>
      <c r="B2477" s="2" t="str">
        <f>HYPERLINK("https://www.compass.com/building/cast-iron-house-manhattan-ny/567514773896133269/","Cast Iron House")</f>
        <v>Cast Iron House</v>
      </c>
      <c r="C2477" s="1" t="s">
        <v>50</v>
      </c>
      <c r="D2477" s="1" t="s">
        <v>41</v>
      </c>
      <c r="E2477" s="3">
        <v>5575000</v>
      </c>
      <c r="F2477" s="1">
        <v>1477.99575821845</v>
      </c>
      <c r="G2477" s="1">
        <v>7</v>
      </c>
      <c r="H2477" s="1">
        <v>4</v>
      </c>
      <c r="I2477" s="1">
        <v>3</v>
      </c>
      <c r="J2477" s="1">
        <v>3</v>
      </c>
      <c r="K2477" s="1">
        <v>3</v>
      </c>
      <c r="M2477" s="4">
        <v>3772</v>
      </c>
      <c r="N2477" s="1">
        <v>3402</v>
      </c>
      <c r="O2477" s="1">
        <v>7633</v>
      </c>
      <c r="P2477" s="1">
        <v>4231</v>
      </c>
      <c r="Q2477" s="1" t="s">
        <v>42</v>
      </c>
      <c r="S2477" s="1" t="s">
        <v>42</v>
      </c>
      <c r="T2477" s="1" t="s">
        <v>273</v>
      </c>
      <c r="U2477" s="1">
        <v>1746</v>
      </c>
      <c r="V2477" s="5">
        <v>43644</v>
      </c>
      <c r="W2477" s="5">
        <v>41849</v>
      </c>
      <c r="X2477" s="1">
        <v>5850000</v>
      </c>
      <c r="Y2477" s="1">
        <v>5850000</v>
      </c>
      <c r="Z2477" s="5">
        <v>43595</v>
      </c>
      <c r="AA2477" s="1">
        <v>5575000</v>
      </c>
      <c r="AB2477" s="1" t="s">
        <v>1464</v>
      </c>
      <c r="AC2477" s="5">
        <v>43640</v>
      </c>
      <c r="AF2477" s="1">
        <v>10013</v>
      </c>
      <c r="AI2477" s="1" t="s">
        <v>197</v>
      </c>
      <c r="AJ2477" s="1">
        <v>1881</v>
      </c>
      <c r="AK2477" s="1" t="s">
        <v>49</v>
      </c>
      <c r="AL2477" s="1">
        <v>13</v>
      </c>
    </row>
    <row r="2478" spans="1:38" x14ac:dyDescent="0.2">
      <c r="A2478" s="2" t="str">
        <f>HYPERLINK("https://www.compass.com/listing/108-leonard-street-unit-15c-manhattan-ny-10013/34591288460439377/","108 Leonard St, Unit 15C")</f>
        <v>108 Leonard St, Unit 15C</v>
      </c>
      <c r="B2478" s="2" t="str">
        <f>HYPERLINK("https://www.compass.com/building/108-leonard-st-manhattan-ny-10013/307456049610778277/","108 Leonard St")</f>
        <v>108 Leonard St</v>
      </c>
      <c r="C2478" s="1" t="s">
        <v>50</v>
      </c>
      <c r="D2478" s="1" t="s">
        <v>41</v>
      </c>
      <c r="E2478" s="3">
        <v>10826169</v>
      </c>
      <c r="F2478" s="1">
        <v>2939.4973527016</v>
      </c>
      <c r="G2478" s="1">
        <v>8</v>
      </c>
      <c r="H2478" s="1">
        <v>4</v>
      </c>
      <c r="I2478" s="1">
        <v>5</v>
      </c>
      <c r="J2478" s="1">
        <v>5</v>
      </c>
      <c r="K2478" s="1">
        <v>5</v>
      </c>
      <c r="M2478" s="4">
        <v>3683</v>
      </c>
      <c r="N2478" s="1">
        <v>4813</v>
      </c>
      <c r="O2478" s="1">
        <v>11326</v>
      </c>
      <c r="P2478" s="1">
        <v>6513</v>
      </c>
      <c r="Q2478" s="1" t="s">
        <v>42</v>
      </c>
      <c r="S2478" s="1" t="s">
        <v>42</v>
      </c>
      <c r="T2478" s="1" t="s">
        <v>273</v>
      </c>
      <c r="U2478" s="1">
        <v>612</v>
      </c>
      <c r="V2478" s="5">
        <v>44338</v>
      </c>
      <c r="W2478" s="5">
        <v>43298</v>
      </c>
      <c r="Z2478" s="5">
        <v>43930</v>
      </c>
      <c r="AA2478" s="1">
        <v>10826168.75</v>
      </c>
      <c r="AB2478" s="1" t="s">
        <v>1465</v>
      </c>
      <c r="AC2478" s="5">
        <v>44298</v>
      </c>
      <c r="AF2478" s="1">
        <v>10013</v>
      </c>
      <c r="AI2478" s="1" t="s">
        <v>453</v>
      </c>
      <c r="AJ2478" s="1">
        <v>1899</v>
      </c>
      <c r="AK2478" s="1" t="s">
        <v>115</v>
      </c>
      <c r="AL2478" s="1">
        <v>167</v>
      </c>
    </row>
    <row r="2479" spans="1:38" x14ac:dyDescent="0.2">
      <c r="A2479" s="2" t="str">
        <f>HYPERLINK("https://www.compass.com/listing/52-lispenard-street-unit-3-manhattan-ny-10013/29358994606829729/","52 Lispenard St, Unit 3")</f>
        <v>52 Lispenard St, Unit 3</v>
      </c>
      <c r="B2479" s="2" t="str">
        <f>HYPERLINK("https://www.compass.com/building/52-54-lispenard-manhattan-ny/281920521132609877/","52-54 Lispenard")</f>
        <v>52-54 Lispenard</v>
      </c>
      <c r="C2479" s="1" t="s">
        <v>50</v>
      </c>
      <c r="D2479" s="1" t="s">
        <v>41</v>
      </c>
      <c r="E2479" s="3">
        <v>7229575</v>
      </c>
      <c r="F2479" s="1">
        <v>2167.1387889688199</v>
      </c>
      <c r="G2479" s="1">
        <v>5</v>
      </c>
      <c r="H2479" s="1">
        <v>3</v>
      </c>
      <c r="I2479" s="1">
        <v>5</v>
      </c>
      <c r="J2479" s="1">
        <v>4.5</v>
      </c>
      <c r="K2479" s="1">
        <v>4</v>
      </c>
      <c r="L2479" s="1">
        <v>1</v>
      </c>
      <c r="M2479" s="4">
        <v>3336</v>
      </c>
      <c r="N2479" s="1">
        <v>3671</v>
      </c>
      <c r="O2479" s="1">
        <v>7487</v>
      </c>
      <c r="P2479" s="1">
        <v>3816</v>
      </c>
      <c r="Q2479" s="1" t="s">
        <v>42</v>
      </c>
      <c r="S2479" s="1" t="s">
        <v>42</v>
      </c>
      <c r="T2479" s="1" t="s">
        <v>273</v>
      </c>
      <c r="U2479" s="1">
        <v>7</v>
      </c>
      <c r="V2479" s="5">
        <v>43780</v>
      </c>
      <c r="W2479" s="5">
        <v>42101</v>
      </c>
      <c r="X2479" s="1">
        <v>7300000</v>
      </c>
      <c r="Y2479" s="1">
        <v>7300000</v>
      </c>
      <c r="Z2479" s="5">
        <v>42108</v>
      </c>
      <c r="AA2479" s="1">
        <v>7229575</v>
      </c>
      <c r="AB2479" s="1" t="s">
        <v>1466</v>
      </c>
      <c r="AC2479" s="5">
        <v>42412</v>
      </c>
      <c r="AF2479" s="1">
        <v>10013</v>
      </c>
      <c r="AI2479" s="1" t="s">
        <v>131</v>
      </c>
      <c r="AJ2479" s="1">
        <v>1920</v>
      </c>
      <c r="AK2479" s="1" t="s">
        <v>143</v>
      </c>
      <c r="AL2479" s="1">
        <v>7</v>
      </c>
    </row>
    <row r="2480" spans="1:38" x14ac:dyDescent="0.2">
      <c r="A2480" s="2" t="str">
        <f>HYPERLINK("https://www.compass.com/listing/87-leonard-street-unit-mais-b-manhattan-ny-10013/4852283101792973809/","87 Leonard St, Unit MAIS-B")</f>
        <v>87 Leonard St, Unit MAIS-B</v>
      </c>
      <c r="B2480" s="2" t="str">
        <f>HYPERLINK("https://www.compass.com/building/87-leonard-st-manhattan-ny-10013/281921482316090549/","87 Leonard St")</f>
        <v>87 Leonard St</v>
      </c>
      <c r="C2480" s="1" t="s">
        <v>50</v>
      </c>
      <c r="D2480" s="1" t="s">
        <v>41</v>
      </c>
      <c r="E2480" s="3">
        <v>7750000</v>
      </c>
      <c r="F2480" s="1">
        <v>1045.3196654977</v>
      </c>
      <c r="G2480" s="1">
        <v>9</v>
      </c>
      <c r="H2480" s="1">
        <v>2</v>
      </c>
      <c r="I2480" s="1">
        <v>3</v>
      </c>
      <c r="J2480" s="1">
        <v>0.5</v>
      </c>
      <c r="L2480" s="1">
        <v>1</v>
      </c>
      <c r="M2480" s="4">
        <v>7414</v>
      </c>
      <c r="N2480" s="1">
        <v>3215</v>
      </c>
      <c r="O2480" s="1">
        <v>6795</v>
      </c>
      <c r="P2480" s="1">
        <v>3580</v>
      </c>
      <c r="Q2480" s="1" t="s">
        <v>42</v>
      </c>
      <c r="S2480" s="1" t="s">
        <v>42</v>
      </c>
      <c r="T2480" s="1" t="s">
        <v>273</v>
      </c>
      <c r="V2480" s="5">
        <v>43027</v>
      </c>
      <c r="W2480" s="5">
        <v>42619</v>
      </c>
      <c r="X2480" s="1">
        <v>7750000</v>
      </c>
      <c r="AB2480" s="1" t="s">
        <v>275</v>
      </c>
      <c r="AF2480" s="1">
        <v>10013</v>
      </c>
      <c r="AI2480" s="1" t="s">
        <v>152</v>
      </c>
      <c r="AJ2480" s="1">
        <v>1860</v>
      </c>
      <c r="AK2480" s="1" t="s">
        <v>1454</v>
      </c>
      <c r="AL2480" s="1">
        <v>7</v>
      </c>
    </row>
    <row r="2481" spans="1:38" x14ac:dyDescent="0.2">
      <c r="A2481" s="2" t="str">
        <f>HYPERLINK("https://www.compass.com/listing/52-lispenard-street-unit-5-manhattan-ny-10013/201642477206234305/","52 Lispenard St, Unit 5")</f>
        <v>52 Lispenard St, Unit 5</v>
      </c>
      <c r="B2481" s="2" t="str">
        <f>HYPERLINK("https://www.compass.com/building/52-54-lispenard-manhattan-ny/281920521132609877/","52-54 Lispenard")</f>
        <v>52-54 Lispenard</v>
      </c>
      <c r="C2481" s="1" t="s">
        <v>50</v>
      </c>
      <c r="D2481" s="1" t="s">
        <v>41</v>
      </c>
      <c r="E2481" s="3">
        <v>6700000</v>
      </c>
      <c r="F2481" s="1">
        <v>2001.79265013444</v>
      </c>
      <c r="G2481" s="1">
        <v>7</v>
      </c>
      <c r="H2481" s="1">
        <v>3</v>
      </c>
      <c r="I2481" s="1">
        <v>5</v>
      </c>
      <c r="J2481" s="1">
        <v>5</v>
      </c>
      <c r="K2481" s="1">
        <v>5</v>
      </c>
      <c r="M2481" s="4">
        <v>3347</v>
      </c>
      <c r="N2481" s="1">
        <v>3871</v>
      </c>
      <c r="O2481" s="1">
        <v>6041</v>
      </c>
      <c r="P2481" s="1">
        <v>2170</v>
      </c>
      <c r="Q2481" s="1" t="s">
        <v>42</v>
      </c>
      <c r="S2481" s="1" t="s">
        <v>42</v>
      </c>
      <c r="T2481" s="1" t="s">
        <v>273</v>
      </c>
      <c r="U2481" s="1">
        <v>186</v>
      </c>
      <c r="V2481" s="5">
        <v>43756</v>
      </c>
      <c r="W2481" s="5">
        <v>43528</v>
      </c>
      <c r="X2481" s="1">
        <v>7250000</v>
      </c>
      <c r="Y2481" s="1">
        <v>7250000</v>
      </c>
      <c r="Z2481" s="5">
        <v>43719</v>
      </c>
      <c r="AA2481" s="1">
        <v>6700000</v>
      </c>
      <c r="AB2481" s="1" t="s">
        <v>1467</v>
      </c>
      <c r="AC2481" s="5">
        <v>43748</v>
      </c>
      <c r="AF2481" s="1">
        <v>10013</v>
      </c>
      <c r="AI2481" s="1" t="s">
        <v>231</v>
      </c>
      <c r="AJ2481" s="1">
        <v>1920</v>
      </c>
      <c r="AK2481" s="1" t="s">
        <v>143</v>
      </c>
      <c r="AL2481" s="1">
        <v>7</v>
      </c>
    </row>
    <row r="2482" spans="1:38" x14ac:dyDescent="0.2">
      <c r="A2482" s="2" t="str">
        <f>HYPERLINK("https://www.compass.com/listing/60-white-street-unit-4e-manhattan-ny-10013/70930187662996337/","60 White St, Unit 4E")</f>
        <v>60 White St, Unit 4E</v>
      </c>
      <c r="B2482" s="2" t="str">
        <f>HYPERLINK("https://www.compass.com/building/60-white-st-manhattan-ny-10013/281920929104169509/","60 White St")</f>
        <v>60 White St</v>
      </c>
      <c r="C2482" s="1" t="s">
        <v>50</v>
      </c>
      <c r="D2482" s="1" t="s">
        <v>41</v>
      </c>
      <c r="E2482" s="3">
        <v>4200000</v>
      </c>
      <c r="F2482" s="1">
        <v>2161.6057642820301</v>
      </c>
      <c r="G2482" s="1">
        <v>4</v>
      </c>
      <c r="H2482" s="1">
        <v>2</v>
      </c>
      <c r="I2482" s="1">
        <v>3</v>
      </c>
      <c r="J2482" s="1">
        <v>0.5</v>
      </c>
      <c r="L2482" s="1">
        <v>1</v>
      </c>
      <c r="M2482" s="4">
        <v>1943</v>
      </c>
      <c r="N2482" s="1">
        <v>1968</v>
      </c>
      <c r="O2482" s="1">
        <v>4569</v>
      </c>
      <c r="P2482" s="1">
        <v>2601</v>
      </c>
      <c r="Q2482" s="1" t="s">
        <v>42</v>
      </c>
      <c r="S2482" s="1" t="s">
        <v>42</v>
      </c>
      <c r="T2482" s="1" t="s">
        <v>273</v>
      </c>
      <c r="V2482" s="5">
        <v>43671</v>
      </c>
      <c r="W2482" s="5">
        <v>42804</v>
      </c>
      <c r="X2482" s="1">
        <v>4650000</v>
      </c>
      <c r="Y2482" s="1">
        <v>4650000</v>
      </c>
      <c r="Z2482" s="5">
        <v>42804</v>
      </c>
      <c r="AA2482" s="1">
        <v>4200000</v>
      </c>
      <c r="AB2482" s="1" t="s">
        <v>1455</v>
      </c>
      <c r="AC2482" s="5">
        <v>42849</v>
      </c>
      <c r="AF2482" s="1">
        <v>10013</v>
      </c>
      <c r="AJ2482" s="1">
        <v>1869</v>
      </c>
      <c r="AL2482" s="1">
        <v>8</v>
      </c>
    </row>
    <row r="2483" spans="1:38" x14ac:dyDescent="0.2">
      <c r="A2483" s="2" t="str">
        <f>HYPERLINK("https://www.compass.com/listing/52-lispenard-street-unit-4-manhattan-ny-10013/420981004807088705/","52 Lispenard St, Unit 4")</f>
        <v>52 Lispenard St, Unit 4</v>
      </c>
      <c r="B2483" s="2" t="str">
        <f>HYPERLINK("https://www.compass.com/building/52-54-lispenard-manhattan-ny/281920521132609877/","52-54 Lispenard")</f>
        <v>52-54 Lispenard</v>
      </c>
      <c r="C2483" s="1" t="s">
        <v>50</v>
      </c>
      <c r="D2483" s="1" t="s">
        <v>41</v>
      </c>
      <c r="E2483" s="3">
        <v>6000000</v>
      </c>
      <c r="F2483" s="1">
        <v>1795.8695001496501</v>
      </c>
      <c r="G2483" s="1">
        <v>8</v>
      </c>
      <c r="H2483" s="1">
        <v>4</v>
      </c>
      <c r="I2483" s="1">
        <v>5</v>
      </c>
      <c r="J2483" s="1">
        <v>4.5</v>
      </c>
      <c r="K2483" s="1">
        <v>4</v>
      </c>
      <c r="L2483" s="1">
        <v>1</v>
      </c>
      <c r="M2483" s="4">
        <v>3341</v>
      </c>
      <c r="N2483" s="1">
        <v>3678</v>
      </c>
      <c r="O2483" s="1">
        <v>5794.16</v>
      </c>
      <c r="P2483" s="1">
        <v>2116.1666666666601</v>
      </c>
      <c r="Q2483" s="1" t="s">
        <v>42</v>
      </c>
      <c r="S2483" s="1" t="s">
        <v>42</v>
      </c>
      <c r="T2483" s="1" t="s">
        <v>273</v>
      </c>
      <c r="U2483" s="1">
        <v>219</v>
      </c>
      <c r="V2483" s="5">
        <v>44219</v>
      </c>
      <c r="W2483" s="5">
        <v>43832</v>
      </c>
      <c r="X2483" s="1">
        <v>6775000</v>
      </c>
      <c r="Y2483" s="1">
        <v>6350000</v>
      </c>
      <c r="Z2483" s="5">
        <v>44145</v>
      </c>
      <c r="AA2483" s="1">
        <v>6000000</v>
      </c>
      <c r="AB2483" s="1" t="s">
        <v>1468</v>
      </c>
      <c r="AC2483" s="5">
        <v>44217</v>
      </c>
      <c r="AF2483" s="1">
        <v>10013</v>
      </c>
      <c r="AI2483" s="1" t="s">
        <v>138</v>
      </c>
      <c r="AJ2483" s="1">
        <v>1920</v>
      </c>
      <c r="AK2483" s="1" t="s">
        <v>143</v>
      </c>
      <c r="AL2483" s="1">
        <v>7</v>
      </c>
    </row>
    <row r="2484" spans="1:38" x14ac:dyDescent="0.2">
      <c r="A2484" s="2" t="str">
        <f>HYPERLINK("https://www.compass.com/listing/49-chambers-street-unit-11h-manhattan-ny-10007/763692877984736793/","49 Chambers St, Unit 11H")</f>
        <v>49 Chambers St, Unit 11H</v>
      </c>
      <c r="B2484" s="2" t="str">
        <f>HYPERLINK("https://www.compass.com/building/49-chambers-manhattan-ny/282058733280852725/","49 Chambers")</f>
        <v>49 Chambers</v>
      </c>
      <c r="C2484" s="1" t="s">
        <v>113</v>
      </c>
      <c r="D2484" s="1" t="s">
        <v>41</v>
      </c>
      <c r="E2484" s="3">
        <v>2250000</v>
      </c>
      <c r="F2484" s="1">
        <v>1542.1521590130201</v>
      </c>
      <c r="G2484" s="1">
        <v>4</v>
      </c>
      <c r="H2484" s="1">
        <v>2</v>
      </c>
      <c r="I2484" s="1">
        <v>2</v>
      </c>
      <c r="J2484" s="1">
        <v>2</v>
      </c>
      <c r="K2484" s="1">
        <v>2</v>
      </c>
      <c r="M2484" s="4">
        <v>1459</v>
      </c>
      <c r="N2484" s="1">
        <v>1166</v>
      </c>
      <c r="O2484" s="1">
        <v>3574</v>
      </c>
      <c r="P2484" s="1">
        <v>2408</v>
      </c>
      <c r="Q2484" s="1" t="s">
        <v>42</v>
      </c>
      <c r="S2484" s="1" t="s">
        <v>42</v>
      </c>
      <c r="T2484" s="1" t="s">
        <v>273</v>
      </c>
      <c r="V2484" s="5">
        <v>44404</v>
      </c>
      <c r="W2484" s="5">
        <v>44305</v>
      </c>
      <c r="Z2484" s="5">
        <v>44306</v>
      </c>
      <c r="AA2484" s="1">
        <v>2250000</v>
      </c>
      <c r="AB2484" s="1" t="s">
        <v>295</v>
      </c>
      <c r="AC2484" s="5">
        <v>44399</v>
      </c>
      <c r="AF2484" s="1">
        <v>10007</v>
      </c>
      <c r="AI2484" s="1" t="s">
        <v>114</v>
      </c>
      <c r="AJ2484" s="1">
        <v>1910</v>
      </c>
      <c r="AK2484" s="1" t="s">
        <v>49</v>
      </c>
      <c r="AL2484" s="1">
        <v>99</v>
      </c>
    </row>
    <row r="2485" spans="1:38" x14ac:dyDescent="0.2">
      <c r="A2485" s="2" t="str">
        <f>HYPERLINK("https://www.compass.com/listing/108-leonard-street-unit-3c-manhattan-ny-10013/363776534780834497/","108 Leonard St, Unit 3C")</f>
        <v>108 Leonard St, Unit 3C</v>
      </c>
      <c r="B2485" s="2" t="str">
        <f t="shared" ref="B2485:B2486" si="401">HYPERLINK("https://www.compass.com/building/108-leonard-st-manhattan-ny-10013/307456049610778277/","108 Leonard St")</f>
        <v>108 Leonard St</v>
      </c>
      <c r="C2485" s="1" t="s">
        <v>50</v>
      </c>
      <c r="D2485" s="1" t="s">
        <v>41</v>
      </c>
      <c r="E2485" s="3">
        <v>3601655</v>
      </c>
      <c r="F2485" s="1">
        <v>1858.43927760577</v>
      </c>
      <c r="G2485" s="1">
        <v>6</v>
      </c>
      <c r="H2485" s="1">
        <v>3</v>
      </c>
      <c r="I2485" s="1">
        <v>4</v>
      </c>
      <c r="J2485" s="1">
        <v>3.5</v>
      </c>
      <c r="K2485" s="1">
        <v>3</v>
      </c>
      <c r="L2485" s="1">
        <v>1</v>
      </c>
      <c r="M2485" s="4">
        <v>1938</v>
      </c>
      <c r="N2485" s="1">
        <v>2297</v>
      </c>
      <c r="O2485" s="1">
        <v>5406</v>
      </c>
      <c r="P2485" s="1">
        <v>3109</v>
      </c>
      <c r="Q2485" s="1" t="s">
        <v>42</v>
      </c>
      <c r="S2485" s="1" t="s">
        <v>42</v>
      </c>
      <c r="T2485" s="1" t="s">
        <v>273</v>
      </c>
      <c r="U2485" s="1">
        <v>165</v>
      </c>
      <c r="V2485" s="5">
        <v>44022</v>
      </c>
      <c r="W2485" s="5">
        <v>43753</v>
      </c>
      <c r="X2485" s="1">
        <v>4000000</v>
      </c>
      <c r="Y2485" s="1">
        <v>4120000</v>
      </c>
      <c r="Z2485" s="5">
        <v>44012</v>
      </c>
      <c r="AA2485" s="1">
        <v>3601655.32</v>
      </c>
      <c r="AB2485" s="1" t="s">
        <v>1469</v>
      </c>
      <c r="AC2485" s="5">
        <v>44013</v>
      </c>
      <c r="AF2485" s="1">
        <v>10013</v>
      </c>
      <c r="AI2485" s="1" t="s">
        <v>78</v>
      </c>
      <c r="AJ2485" s="1">
        <v>1899</v>
      </c>
      <c r="AK2485" s="1" t="s">
        <v>115</v>
      </c>
      <c r="AL2485" s="1">
        <v>167</v>
      </c>
    </row>
    <row r="2486" spans="1:38" x14ac:dyDescent="0.2">
      <c r="A2486" s="2" t="str">
        <f>HYPERLINK("https://www.compass.com/listing/108-leonard-street-unit-7i-manhattan-ny-10013/363776535575528465/","108 Leonard St, Unit 7I")</f>
        <v>108 Leonard St, Unit 7I</v>
      </c>
      <c r="B2486" s="2" t="str">
        <f t="shared" si="401"/>
        <v>108 Leonard St</v>
      </c>
      <c r="C2486" s="1" t="s">
        <v>113</v>
      </c>
      <c r="D2486" s="1" t="s">
        <v>41</v>
      </c>
      <c r="E2486" s="3">
        <v>2082321</v>
      </c>
      <c r="F2486" s="1">
        <v>1849.3083925399601</v>
      </c>
      <c r="G2486" s="1">
        <v>3</v>
      </c>
      <c r="H2486" s="1">
        <v>1</v>
      </c>
      <c r="I2486" s="1">
        <v>2</v>
      </c>
      <c r="J2486" s="1">
        <v>2</v>
      </c>
      <c r="K2486" s="1">
        <v>2</v>
      </c>
      <c r="M2486" s="4">
        <v>1126</v>
      </c>
      <c r="N2486" s="1">
        <v>1335</v>
      </c>
      <c r="O2486" s="1">
        <v>3141</v>
      </c>
      <c r="P2486" s="1">
        <v>1806</v>
      </c>
      <c r="Q2486" s="1" t="s">
        <v>42</v>
      </c>
      <c r="S2486" s="1" t="s">
        <v>42</v>
      </c>
      <c r="T2486" s="1" t="s">
        <v>273</v>
      </c>
      <c r="U2486" s="1">
        <v>496</v>
      </c>
      <c r="V2486" s="5">
        <v>44384</v>
      </c>
      <c r="W2486" s="5">
        <v>43753</v>
      </c>
      <c r="X2486" s="1">
        <v>2100000</v>
      </c>
      <c r="Y2486" s="1">
        <v>2165000</v>
      </c>
      <c r="Z2486" s="5">
        <v>44344</v>
      </c>
      <c r="AA2486" s="1">
        <v>2082321.25</v>
      </c>
      <c r="AB2486" s="1" t="s">
        <v>1470</v>
      </c>
      <c r="AC2486" s="5">
        <v>44371</v>
      </c>
      <c r="AF2486" s="1">
        <v>10013</v>
      </c>
      <c r="AI2486" s="1" t="s">
        <v>78</v>
      </c>
      <c r="AJ2486" s="1">
        <v>1899</v>
      </c>
      <c r="AK2486" s="1" t="s">
        <v>115</v>
      </c>
      <c r="AL2486" s="1">
        <v>167</v>
      </c>
    </row>
    <row r="2487" spans="1:38" x14ac:dyDescent="0.2">
      <c r="A2487" s="2" t="str">
        <f>HYPERLINK("https://www.compass.com/listing/49-chambers-street-unit-15c-manhattan-ny-10007/597906309885012649/","49 Chambers St, Unit 15C")</f>
        <v>49 Chambers St, Unit 15C</v>
      </c>
      <c r="B2487" s="2" t="str">
        <f>HYPERLINK("https://www.compass.com/building/49-chambers-manhattan-ny/282058733280852725/","49 Chambers")</f>
        <v>49 Chambers</v>
      </c>
      <c r="C2487" s="1" t="s">
        <v>113</v>
      </c>
      <c r="D2487" s="1" t="s">
        <v>41</v>
      </c>
      <c r="E2487" s="3">
        <v>2020000</v>
      </c>
      <c r="F2487" s="1">
        <v>1565.89147286821</v>
      </c>
      <c r="G2487" s="1">
        <v>4.5</v>
      </c>
      <c r="H2487" s="1">
        <v>2</v>
      </c>
      <c r="I2487" s="1">
        <v>2</v>
      </c>
      <c r="J2487" s="1">
        <v>1.5</v>
      </c>
      <c r="K2487" s="1">
        <v>1</v>
      </c>
      <c r="L2487" s="1">
        <v>1</v>
      </c>
      <c r="M2487" s="4">
        <v>1290</v>
      </c>
      <c r="N2487" s="1">
        <v>932</v>
      </c>
      <c r="O2487" s="1">
        <v>3519</v>
      </c>
      <c r="P2487" s="1">
        <v>2587</v>
      </c>
      <c r="Q2487" s="1" t="s">
        <v>42</v>
      </c>
      <c r="S2487" s="1" t="s">
        <v>42</v>
      </c>
      <c r="T2487" s="1" t="s">
        <v>273</v>
      </c>
      <c r="U2487" s="1">
        <v>15</v>
      </c>
      <c r="V2487" s="5">
        <v>44356</v>
      </c>
      <c r="W2487" s="5">
        <v>44061</v>
      </c>
      <c r="X2487" s="1">
        <v>2415000</v>
      </c>
      <c r="Y2487" s="1">
        <v>2415000</v>
      </c>
      <c r="Z2487" s="5">
        <v>44077</v>
      </c>
      <c r="AA2487" s="1">
        <v>2020000</v>
      </c>
      <c r="AB2487" s="1" t="s">
        <v>275</v>
      </c>
      <c r="AC2487" s="5">
        <v>44356</v>
      </c>
      <c r="AF2487" s="1">
        <v>10007</v>
      </c>
      <c r="AI2487" s="1" t="s">
        <v>114</v>
      </c>
      <c r="AJ2487" s="1">
        <v>1910</v>
      </c>
      <c r="AK2487" s="1" t="s">
        <v>49</v>
      </c>
      <c r="AL2487" s="1">
        <v>99</v>
      </c>
    </row>
    <row r="2488" spans="1:38" x14ac:dyDescent="0.2">
      <c r="A2488" s="2" t="str">
        <f>HYPERLINK("https://www.compass.com/listing/52-lispenard-street-unit-4-manhattan-ny-10013/29358994959118705/","52 Lispenard St, Unit 4")</f>
        <v>52 Lispenard St, Unit 4</v>
      </c>
      <c r="B2488" s="2" t="str">
        <f>HYPERLINK("https://www.compass.com/building/52-54-lispenard-manhattan-ny/281920521132609877/","52-54 Lispenard")</f>
        <v>52-54 Lispenard</v>
      </c>
      <c r="C2488" s="1" t="s">
        <v>50</v>
      </c>
      <c r="D2488" s="1" t="s">
        <v>41</v>
      </c>
      <c r="E2488" s="3">
        <v>6975013</v>
      </c>
      <c r="F2488" s="1">
        <v>2087.70203531876</v>
      </c>
      <c r="G2488" s="1">
        <v>7</v>
      </c>
      <c r="H2488" s="1">
        <v>5</v>
      </c>
      <c r="I2488" s="1">
        <v>4</v>
      </c>
      <c r="J2488" s="1">
        <v>4</v>
      </c>
      <c r="K2488" s="1">
        <v>4</v>
      </c>
      <c r="M2488" s="4">
        <v>3341</v>
      </c>
      <c r="N2488" s="1">
        <v>3678</v>
      </c>
      <c r="O2488" s="1">
        <v>7501</v>
      </c>
      <c r="P2488" s="1">
        <v>3823</v>
      </c>
      <c r="Q2488" s="1" t="s">
        <v>42</v>
      </c>
      <c r="S2488" s="1" t="s">
        <v>42</v>
      </c>
      <c r="T2488" s="1" t="s">
        <v>273</v>
      </c>
      <c r="U2488" s="1">
        <v>28</v>
      </c>
      <c r="V2488" s="5">
        <v>42419</v>
      </c>
      <c r="W2488" s="5">
        <v>42072</v>
      </c>
      <c r="X2488" s="1">
        <v>6650000</v>
      </c>
      <c r="Y2488" s="1">
        <v>6850000</v>
      </c>
      <c r="Z2488" s="5">
        <v>42101</v>
      </c>
      <c r="AA2488" s="1">
        <v>6975012.5</v>
      </c>
      <c r="AB2488" s="1" t="s">
        <v>1471</v>
      </c>
      <c r="AC2488" s="5">
        <v>42398</v>
      </c>
      <c r="AF2488" s="1">
        <v>10013</v>
      </c>
      <c r="AI2488" s="1" t="s">
        <v>135</v>
      </c>
      <c r="AJ2488" s="1">
        <v>1920</v>
      </c>
      <c r="AK2488" s="1" t="s">
        <v>143</v>
      </c>
      <c r="AL2488" s="1">
        <v>7</v>
      </c>
    </row>
    <row r="2489" spans="1:38" x14ac:dyDescent="0.2">
      <c r="A2489" s="2" t="str">
        <f>HYPERLINK("https://www.compass.com/listing/108-leonard-street-unit-11i-manhattan-ny-10013/750071857787152185/","108 Leonard St, Unit 11I")</f>
        <v>108 Leonard St, Unit 11I</v>
      </c>
      <c r="B2489" s="2" t="str">
        <f>HYPERLINK("https://www.compass.com/building/108-leonard-st-manhattan-ny-10013/307456049610778277/","108 Leonard St")</f>
        <v>108 Leonard St</v>
      </c>
      <c r="C2489" s="1" t="s">
        <v>113</v>
      </c>
      <c r="D2489" s="1" t="s">
        <v>41</v>
      </c>
      <c r="E2489" s="3">
        <v>2089080</v>
      </c>
      <c r="F2489" s="1">
        <v>1868.5871466905101</v>
      </c>
      <c r="G2489" s="1">
        <v>4</v>
      </c>
      <c r="H2489" s="1">
        <v>1</v>
      </c>
      <c r="I2489" s="1">
        <v>2</v>
      </c>
      <c r="J2489" s="1">
        <v>2</v>
      </c>
      <c r="K2489" s="1">
        <v>2</v>
      </c>
      <c r="M2489" s="4">
        <v>1118</v>
      </c>
      <c r="N2489" s="1">
        <v>1325</v>
      </c>
      <c r="O2489" s="1">
        <v>3118</v>
      </c>
      <c r="P2489" s="1">
        <v>1793</v>
      </c>
      <c r="Q2489" s="1" t="s">
        <v>42</v>
      </c>
      <c r="S2489" s="1" t="s">
        <v>42</v>
      </c>
      <c r="T2489" s="1" t="s">
        <v>273</v>
      </c>
      <c r="U2489" s="1">
        <v>5</v>
      </c>
      <c r="V2489" s="5">
        <v>44328</v>
      </c>
      <c r="W2489" s="5">
        <v>44281</v>
      </c>
      <c r="Y2489" s="1">
        <v>2230000</v>
      </c>
      <c r="Z2489" s="5">
        <v>44287</v>
      </c>
      <c r="AA2489" s="1">
        <v>2089080.43</v>
      </c>
      <c r="AB2489" s="1" t="s">
        <v>1472</v>
      </c>
      <c r="AC2489" s="5">
        <v>44326</v>
      </c>
      <c r="AF2489" s="1">
        <v>10013</v>
      </c>
      <c r="AI2489" s="1" t="s">
        <v>140</v>
      </c>
      <c r="AJ2489" s="1">
        <v>1899</v>
      </c>
      <c r="AK2489" s="1" t="s">
        <v>115</v>
      </c>
      <c r="AL2489" s="1">
        <v>167</v>
      </c>
    </row>
    <row r="2490" spans="1:38" x14ac:dyDescent="0.2">
      <c r="A2490" s="2" t="str">
        <f>HYPERLINK("https://www.compass.com/listing/49-chambers-street-unit-14b-manhattan-ny-10007/612299817148305057/","49 Chambers St, Unit 14B")</f>
        <v>49 Chambers St, Unit 14B</v>
      </c>
      <c r="B2490" s="2" t="str">
        <f t="shared" ref="B2490:B2491" si="402">HYPERLINK("https://www.compass.com/building/49-chambers-manhattan-ny/282058733280852725/","49 Chambers")</f>
        <v>49 Chambers</v>
      </c>
      <c r="C2490" s="1" t="s">
        <v>113</v>
      </c>
      <c r="D2490" s="1" t="s">
        <v>41</v>
      </c>
      <c r="E2490" s="3">
        <v>3195000</v>
      </c>
      <c r="F2490" s="1">
        <v>1825.7142857142801</v>
      </c>
      <c r="G2490" s="1">
        <v>5</v>
      </c>
      <c r="H2490" s="1">
        <v>2</v>
      </c>
      <c r="I2490" s="1">
        <v>3</v>
      </c>
      <c r="J2490" s="1">
        <v>2.5</v>
      </c>
      <c r="K2490" s="1">
        <v>2</v>
      </c>
      <c r="L2490" s="1">
        <v>1</v>
      </c>
      <c r="M2490" s="4">
        <v>1750</v>
      </c>
      <c r="N2490" s="1">
        <v>1264</v>
      </c>
      <c r="O2490" s="1">
        <v>4774</v>
      </c>
      <c r="P2490" s="1">
        <v>3510</v>
      </c>
      <c r="Q2490" s="1" t="s">
        <v>42</v>
      </c>
      <c r="S2490" s="1" t="s">
        <v>42</v>
      </c>
      <c r="T2490" s="1" t="s">
        <v>273</v>
      </c>
      <c r="U2490" s="1">
        <v>146</v>
      </c>
      <c r="V2490" s="5">
        <v>44323</v>
      </c>
      <c r="W2490" s="5">
        <v>44090</v>
      </c>
      <c r="X2490" s="1">
        <v>3195000</v>
      </c>
      <c r="Y2490" s="1">
        <v>3195000</v>
      </c>
      <c r="Z2490" s="5">
        <v>44236</v>
      </c>
      <c r="AA2490" s="1">
        <v>3195000</v>
      </c>
      <c r="AB2490" s="1" t="s">
        <v>275</v>
      </c>
      <c r="AC2490" s="5">
        <v>44299</v>
      </c>
      <c r="AF2490" s="1">
        <v>10007</v>
      </c>
      <c r="AI2490" s="1" t="s">
        <v>114</v>
      </c>
      <c r="AJ2490" s="1">
        <v>1910</v>
      </c>
      <c r="AK2490" s="1" t="s">
        <v>49</v>
      </c>
      <c r="AL2490" s="1">
        <v>99</v>
      </c>
    </row>
    <row r="2491" spans="1:38" x14ac:dyDescent="0.2">
      <c r="A2491" s="2" t="str">
        <f>HYPERLINK("https://www.compass.com/listing/49-chambers-street-unit-12e-manhattan-ny-10007/763693166578448089/","49 Chambers St, Unit 12E")</f>
        <v>49 Chambers St, Unit 12E</v>
      </c>
      <c r="B2491" s="2" t="str">
        <f t="shared" si="402"/>
        <v>49 Chambers</v>
      </c>
      <c r="C2491" s="1" t="s">
        <v>113</v>
      </c>
      <c r="D2491" s="1" t="s">
        <v>41</v>
      </c>
      <c r="E2491" s="3">
        <v>5500000</v>
      </c>
      <c r="F2491" s="1">
        <v>1848.7394957983099</v>
      </c>
      <c r="G2491" s="1">
        <v>6.5</v>
      </c>
      <c r="H2491" s="1">
        <v>3</v>
      </c>
      <c r="I2491" s="1">
        <v>4</v>
      </c>
      <c r="J2491" s="1">
        <v>3.5</v>
      </c>
      <c r="K2491" s="1">
        <v>3</v>
      </c>
      <c r="L2491" s="1">
        <v>1</v>
      </c>
      <c r="M2491" s="4">
        <v>2975</v>
      </c>
      <c r="N2491" s="1">
        <v>2322</v>
      </c>
      <c r="O2491" s="1">
        <v>7012</v>
      </c>
      <c r="P2491" s="1">
        <v>4690</v>
      </c>
      <c r="Q2491" s="1" t="s">
        <v>42</v>
      </c>
      <c r="S2491" s="1" t="s">
        <v>42</v>
      </c>
      <c r="T2491" s="1" t="s">
        <v>273</v>
      </c>
      <c r="V2491" s="5">
        <v>44390</v>
      </c>
      <c r="W2491" s="5">
        <v>44305</v>
      </c>
      <c r="Z2491" s="5">
        <v>44306</v>
      </c>
      <c r="AA2491" s="1">
        <v>5500000</v>
      </c>
      <c r="AB2491" s="1" t="s">
        <v>275</v>
      </c>
      <c r="AC2491" s="5">
        <v>44377</v>
      </c>
      <c r="AF2491" s="1">
        <v>10007</v>
      </c>
      <c r="AI2491" s="1" t="s">
        <v>114</v>
      </c>
      <c r="AJ2491" s="1">
        <v>1910</v>
      </c>
      <c r="AK2491" s="1" t="s">
        <v>49</v>
      </c>
      <c r="AL2491" s="1">
        <v>99</v>
      </c>
    </row>
    <row r="2492" spans="1:38" x14ac:dyDescent="0.2">
      <c r="A2492" s="2" t="str">
        <f>HYPERLINK("https://www.compass.com/listing/108-leonard-street-unit-4r-manhattan-ny-10013/505312185292720281/","108 Leonard St, Unit 4R")</f>
        <v>108 Leonard St, Unit 4R</v>
      </c>
      <c r="B2492" s="2" t="str">
        <f>HYPERLINK("https://www.compass.com/building/108-leonard-st-manhattan-ny-10013/307456049610778277/","108 Leonard St")</f>
        <v>108 Leonard St</v>
      </c>
      <c r="C2492" s="1" t="s">
        <v>50</v>
      </c>
      <c r="D2492" s="1" t="s">
        <v>41</v>
      </c>
      <c r="E2492" s="3">
        <v>1427884</v>
      </c>
      <c r="F2492" s="1">
        <v>1718.2716365824299</v>
      </c>
      <c r="G2492" s="1">
        <v>3</v>
      </c>
      <c r="H2492" s="1">
        <v>1</v>
      </c>
      <c r="I2492" s="1">
        <v>1</v>
      </c>
      <c r="J2492" s="1">
        <v>1</v>
      </c>
      <c r="K2492" s="1">
        <v>1</v>
      </c>
      <c r="M2492" s="1">
        <v>831</v>
      </c>
      <c r="N2492" s="1">
        <v>985</v>
      </c>
      <c r="O2492" s="1">
        <v>2318</v>
      </c>
      <c r="P2492" s="1">
        <v>1333</v>
      </c>
      <c r="Q2492" s="1" t="s">
        <v>42</v>
      </c>
      <c r="S2492" s="1" t="s">
        <v>42</v>
      </c>
      <c r="T2492" s="1" t="s">
        <v>273</v>
      </c>
      <c r="U2492" s="1">
        <v>491</v>
      </c>
      <c r="V2492" s="5">
        <v>44335</v>
      </c>
      <c r="W2492" s="5">
        <v>43587</v>
      </c>
      <c r="Z2492" s="5">
        <v>44173</v>
      </c>
      <c r="AA2492" s="1">
        <v>1427883.73</v>
      </c>
      <c r="AB2492" s="1" t="s">
        <v>1473</v>
      </c>
      <c r="AC2492" s="5">
        <v>44294</v>
      </c>
      <c r="AF2492" s="1">
        <v>10013</v>
      </c>
      <c r="AI2492" s="1" t="s">
        <v>78</v>
      </c>
      <c r="AJ2492" s="1">
        <v>1899</v>
      </c>
      <c r="AK2492" s="1" t="s">
        <v>175</v>
      </c>
      <c r="AL2492" s="1">
        <v>167</v>
      </c>
    </row>
    <row r="2493" spans="1:38" x14ac:dyDescent="0.2">
      <c r="A2493" s="2" t="str">
        <f>HYPERLINK("https://www.compass.com/listing/67-69-franklin-street-unit-4b-manhattan-ny-10013/29358598597380433/","67-69 Franklin St, Unit 4B")</f>
        <v>67-69 Franklin St, Unit 4B</v>
      </c>
      <c r="B2493" s="2" t="str">
        <f t="shared" ref="B2493:B2494" si="403">HYPERLINK("https://www.compass.com/building/cast-iron-house-manhattan-ny/567514773896133269/","Cast Iron House")</f>
        <v>Cast Iron House</v>
      </c>
      <c r="C2493" s="1" t="s">
        <v>50</v>
      </c>
      <c r="D2493" s="1" t="s">
        <v>41</v>
      </c>
      <c r="E2493" s="3">
        <v>6264987</v>
      </c>
      <c r="F2493" s="1">
        <v>2189.7892345333798</v>
      </c>
      <c r="G2493" s="1">
        <v>5</v>
      </c>
      <c r="H2493" s="1">
        <v>3</v>
      </c>
      <c r="I2493" s="1">
        <v>3</v>
      </c>
      <c r="J2493" s="1">
        <v>3</v>
      </c>
      <c r="M2493" s="4">
        <v>2861</v>
      </c>
      <c r="N2493" s="1">
        <v>7402</v>
      </c>
      <c r="O2493" s="1">
        <v>11895</v>
      </c>
      <c r="P2493" s="1">
        <v>4493</v>
      </c>
      <c r="Q2493" s="1" t="s">
        <v>42</v>
      </c>
      <c r="S2493" s="1" t="s">
        <v>42</v>
      </c>
      <c r="T2493" s="1" t="s">
        <v>273</v>
      </c>
      <c r="V2493" s="5">
        <v>43665</v>
      </c>
      <c r="W2493" s="5">
        <v>41963</v>
      </c>
      <c r="X2493" s="1">
        <v>6150000</v>
      </c>
      <c r="Y2493" s="1">
        <v>6150000</v>
      </c>
      <c r="Z2493" s="5">
        <v>41963</v>
      </c>
      <c r="AA2493" s="1">
        <v>6264987</v>
      </c>
      <c r="AB2493" s="1" t="s">
        <v>1474</v>
      </c>
      <c r="AC2493" s="5">
        <v>43050</v>
      </c>
      <c r="AF2493" s="1">
        <v>10013</v>
      </c>
      <c r="AI2493" s="1" t="s">
        <v>177</v>
      </c>
      <c r="AJ2493" s="1">
        <v>1881</v>
      </c>
      <c r="AK2493" s="1" t="s">
        <v>46</v>
      </c>
      <c r="AL2493" s="1">
        <v>13</v>
      </c>
    </row>
    <row r="2494" spans="1:38" x14ac:dyDescent="0.2">
      <c r="A2494" s="2" t="str">
        <f>HYPERLINK("https://www.compass.com/listing/67-69-franklin-street-unit-6c-manhattan-ny-10013/29358599251724545/","67-69 Franklin St, Unit 6C")</f>
        <v>67-69 Franklin St, Unit 6C</v>
      </c>
      <c r="B2494" s="2" t="str">
        <f t="shared" si="403"/>
        <v>Cast Iron House</v>
      </c>
      <c r="C2494" s="1" t="s">
        <v>50</v>
      </c>
      <c r="D2494" s="1" t="s">
        <v>41</v>
      </c>
      <c r="E2494" s="3">
        <v>11458063</v>
      </c>
      <c r="F2494" s="1">
        <v>2339.8127424954</v>
      </c>
      <c r="G2494" s="1">
        <v>7</v>
      </c>
      <c r="H2494" s="1">
        <v>5</v>
      </c>
      <c r="I2494" s="1">
        <v>5</v>
      </c>
      <c r="J2494" s="1">
        <v>5</v>
      </c>
      <c r="K2494" s="1">
        <v>5</v>
      </c>
      <c r="M2494" s="4">
        <v>4897</v>
      </c>
      <c r="N2494" s="1">
        <v>4843</v>
      </c>
      <c r="O2494" s="1">
        <v>10647</v>
      </c>
      <c r="P2494" s="1">
        <v>5804</v>
      </c>
      <c r="Q2494" s="1" t="s">
        <v>42</v>
      </c>
      <c r="S2494" s="1" t="s">
        <v>42</v>
      </c>
      <c r="T2494" s="1" t="s">
        <v>273</v>
      </c>
      <c r="U2494" s="1">
        <v>435</v>
      </c>
      <c r="V2494" s="5">
        <v>43638</v>
      </c>
      <c r="W2494" s="5">
        <v>41894</v>
      </c>
      <c r="X2494" s="1">
        <v>11250000</v>
      </c>
      <c r="Y2494" s="1">
        <v>11250000</v>
      </c>
      <c r="Z2494" s="5">
        <v>42329</v>
      </c>
      <c r="AA2494" s="1">
        <v>11458063</v>
      </c>
      <c r="AB2494" s="1" t="s">
        <v>1475</v>
      </c>
      <c r="AC2494" s="5">
        <v>43259</v>
      </c>
      <c r="AF2494" s="1">
        <v>10013</v>
      </c>
      <c r="AI2494" s="1" t="s">
        <v>540</v>
      </c>
      <c r="AJ2494" s="1">
        <v>1881</v>
      </c>
      <c r="AK2494" s="1" t="s">
        <v>46</v>
      </c>
      <c r="AL2494" s="1">
        <v>13</v>
      </c>
    </row>
    <row r="2495" spans="1:38" x14ac:dyDescent="0.2">
      <c r="A2495" s="2" t="str">
        <f>HYPERLINK("https://www.compass.com/listing/235-west-75th-street-unit-404-manhattan-ny-10023/29395867169532097/","235 W 75th St, Unit 404")</f>
        <v>235 W 75th St, Unit 404</v>
      </c>
      <c r="B2495" s="2" t="str">
        <f t="shared" ref="B2495:B2496" si="404">HYPERLINK("https://www.compass.com/building/the-astor-manhattan-ny/281958704155269925/","The Astor")</f>
        <v>The Astor</v>
      </c>
      <c r="C2495" s="1" t="s">
        <v>57</v>
      </c>
      <c r="D2495" s="1" t="s">
        <v>41</v>
      </c>
      <c r="E2495" s="3">
        <v>2385172</v>
      </c>
      <c r="F2495" s="1">
        <v>2280.2791586998001</v>
      </c>
      <c r="G2495" s="1">
        <v>2</v>
      </c>
      <c r="H2495" s="1">
        <v>1</v>
      </c>
      <c r="I2495" s="1">
        <v>1</v>
      </c>
      <c r="J2495" s="1">
        <v>1.5</v>
      </c>
      <c r="K2495" s="1">
        <v>1</v>
      </c>
      <c r="L2495" s="1">
        <v>1</v>
      </c>
      <c r="M2495" s="4">
        <v>1046</v>
      </c>
      <c r="N2495" s="1">
        <v>1348</v>
      </c>
      <c r="O2495" s="1">
        <v>2824</v>
      </c>
      <c r="P2495" s="1">
        <v>1476</v>
      </c>
      <c r="Q2495" s="1" t="s">
        <v>42</v>
      </c>
      <c r="S2495" s="1" t="s">
        <v>42</v>
      </c>
      <c r="T2495" s="1" t="s">
        <v>273</v>
      </c>
      <c r="U2495" s="1">
        <v>6</v>
      </c>
      <c r="V2495" s="5">
        <v>43654</v>
      </c>
      <c r="W2495" s="5">
        <v>42123</v>
      </c>
      <c r="X2495" s="1">
        <v>2325000</v>
      </c>
      <c r="Y2495" s="1">
        <v>2325000</v>
      </c>
      <c r="Z2495" s="5">
        <v>42129</v>
      </c>
      <c r="AA2495" s="1">
        <v>2385172</v>
      </c>
      <c r="AB2495" s="1" t="s">
        <v>1476</v>
      </c>
      <c r="AC2495" s="5">
        <v>42444</v>
      </c>
      <c r="AF2495" s="1">
        <v>10023</v>
      </c>
      <c r="AJ2495" s="1">
        <v>2018</v>
      </c>
      <c r="AK2495" s="1" t="s">
        <v>46</v>
      </c>
      <c r="AL2495" s="1">
        <v>98</v>
      </c>
    </row>
    <row r="2496" spans="1:38" x14ac:dyDescent="0.2">
      <c r="A2496" s="2" t="str">
        <f>HYPERLINK("https://www.compass.com/listing/235-west-75th-street-unit-511-manhattan-ny-10023/29395871665826097/","235 W 75th St, Unit 511")</f>
        <v>235 W 75th St, Unit 511</v>
      </c>
      <c r="B2496" s="2" t="str">
        <f t="shared" si="404"/>
        <v>The Astor</v>
      </c>
      <c r="C2496" s="1" t="s">
        <v>57</v>
      </c>
      <c r="D2496" s="1" t="s">
        <v>41</v>
      </c>
      <c r="E2496" s="3">
        <v>2388425</v>
      </c>
      <c r="F2496" s="1">
        <v>2209.45883441258</v>
      </c>
      <c r="G2496" s="1">
        <v>2</v>
      </c>
      <c r="H2496" s="1">
        <v>1</v>
      </c>
      <c r="I2496" s="1">
        <v>1</v>
      </c>
      <c r="J2496" s="1">
        <v>1.5</v>
      </c>
      <c r="K2496" s="1">
        <v>1</v>
      </c>
      <c r="L2496" s="1">
        <v>1</v>
      </c>
      <c r="M2496" s="4">
        <v>1081</v>
      </c>
      <c r="N2496" s="1">
        <v>1400</v>
      </c>
      <c r="O2496" s="1">
        <v>2933</v>
      </c>
      <c r="P2496" s="1">
        <v>1533</v>
      </c>
      <c r="Q2496" s="1" t="s">
        <v>42</v>
      </c>
      <c r="S2496" s="1" t="s">
        <v>42</v>
      </c>
      <c r="T2496" s="1" t="s">
        <v>273</v>
      </c>
      <c r="U2496" s="1">
        <v>68</v>
      </c>
      <c r="V2496" s="5">
        <v>43678</v>
      </c>
      <c r="W2496" s="5">
        <v>42161</v>
      </c>
      <c r="X2496" s="1">
        <v>2450000</v>
      </c>
      <c r="Y2496" s="1">
        <v>2450000</v>
      </c>
      <c r="Z2496" s="5">
        <v>42229</v>
      </c>
      <c r="AA2496" s="1">
        <v>2388425</v>
      </c>
      <c r="AB2496" s="1" t="s">
        <v>1477</v>
      </c>
      <c r="AC2496" s="5">
        <v>42459</v>
      </c>
      <c r="AF2496" s="1">
        <v>10023</v>
      </c>
      <c r="AJ2496" s="1">
        <v>2018</v>
      </c>
      <c r="AK2496" s="1" t="s">
        <v>46</v>
      </c>
      <c r="AL2496" s="1">
        <v>98</v>
      </c>
    </row>
    <row r="2497" spans="1:38" x14ac:dyDescent="0.2">
      <c r="A2497" s="2" t="str">
        <f>HYPERLINK("https://www.compass.com/listing/49-chambers-street-unit-9e-manhattan-ny-10007/830376332195138841/","49 Chambers St, Unit 9E")</f>
        <v>49 Chambers St, Unit 9E</v>
      </c>
      <c r="B2497" s="2" t="str">
        <f>HYPERLINK("https://www.compass.com/building/49-chambers-manhattan-ny/282058733280852725/","49 Chambers")</f>
        <v>49 Chambers</v>
      </c>
      <c r="C2497" s="1" t="s">
        <v>113</v>
      </c>
      <c r="D2497" s="1" t="s">
        <v>41</v>
      </c>
      <c r="E2497" s="3">
        <v>5275000</v>
      </c>
      <c r="F2497" s="1">
        <v>1337.81384732437</v>
      </c>
      <c r="G2497" s="1">
        <v>6</v>
      </c>
      <c r="H2497" s="1">
        <v>4</v>
      </c>
      <c r="I2497" s="1">
        <v>5</v>
      </c>
      <c r="J2497" s="1">
        <v>4.5</v>
      </c>
      <c r="K2497" s="1">
        <v>4</v>
      </c>
      <c r="L2497" s="1">
        <v>1</v>
      </c>
      <c r="M2497" s="4">
        <v>3943</v>
      </c>
      <c r="N2497" s="1">
        <v>2275</v>
      </c>
      <c r="O2497" s="1">
        <v>6776</v>
      </c>
      <c r="P2497" s="1">
        <v>4501</v>
      </c>
      <c r="Q2497" s="1" t="s">
        <v>42</v>
      </c>
      <c r="S2497" s="1" t="s">
        <v>42</v>
      </c>
      <c r="T2497" s="1" t="s">
        <v>273</v>
      </c>
      <c r="U2497" s="1">
        <v>48</v>
      </c>
      <c r="V2497" s="5">
        <v>44400</v>
      </c>
      <c r="W2497" s="5">
        <v>44316</v>
      </c>
      <c r="X2497" s="1">
        <v>5275000</v>
      </c>
      <c r="Y2497" s="1">
        <v>5275000</v>
      </c>
      <c r="AA2497" s="1">
        <v>5275000</v>
      </c>
      <c r="AB2497" s="1" t="s">
        <v>275</v>
      </c>
      <c r="AC2497" s="5">
        <v>44364</v>
      </c>
      <c r="AF2497" s="1">
        <v>10007</v>
      </c>
      <c r="AI2497" s="1" t="s">
        <v>114</v>
      </c>
      <c r="AJ2497" s="1">
        <v>1910</v>
      </c>
      <c r="AK2497" s="1" t="s">
        <v>49</v>
      </c>
      <c r="AL2497" s="1">
        <v>99</v>
      </c>
    </row>
    <row r="2498" spans="1:38" x14ac:dyDescent="0.2">
      <c r="A2498" s="2" t="str">
        <f>HYPERLINK("https://www.compass.com/listing/56-walker-street-unit-ph-manhattan-ny-10013/4852266770842530785/","56 Walker St, Unit PH")</f>
        <v>56 Walker St, Unit PH</v>
      </c>
      <c r="B2498" s="2" t="str">
        <f>HYPERLINK("https://www.compass.com/building/walker-house-manhattan-ny/281920827333577653/","Walker House")</f>
        <v>Walker House</v>
      </c>
      <c r="C2498" s="1" t="s">
        <v>50</v>
      </c>
      <c r="D2498" s="1" t="s">
        <v>41</v>
      </c>
      <c r="E2498" s="3">
        <v>9495000</v>
      </c>
      <c r="F2498" s="1">
        <v>2756.9686411149801</v>
      </c>
      <c r="G2498" s="1">
        <v>8</v>
      </c>
      <c r="H2498" s="1">
        <v>3</v>
      </c>
      <c r="I2498" s="1">
        <v>4</v>
      </c>
      <c r="J2498" s="1">
        <v>3.5</v>
      </c>
      <c r="K2498" s="1">
        <v>3</v>
      </c>
      <c r="L2498" s="1">
        <v>1</v>
      </c>
      <c r="M2498" s="4">
        <v>3444</v>
      </c>
      <c r="N2498" s="1">
        <v>1560</v>
      </c>
      <c r="O2498" s="1">
        <v>5364</v>
      </c>
      <c r="P2498" s="1">
        <v>3804</v>
      </c>
      <c r="Q2498" s="1" t="s">
        <v>42</v>
      </c>
      <c r="S2498" s="1" t="s">
        <v>42</v>
      </c>
      <c r="T2498" s="1" t="s">
        <v>273</v>
      </c>
      <c r="U2498" s="1">
        <v>196</v>
      </c>
      <c r="V2498" s="5">
        <v>43668</v>
      </c>
      <c r="W2498" s="5">
        <v>42307</v>
      </c>
      <c r="X2498" s="1">
        <v>10995000</v>
      </c>
      <c r="Y2498" s="1">
        <v>9495000</v>
      </c>
      <c r="Z2498" s="5">
        <v>42503</v>
      </c>
      <c r="AA2498" s="1">
        <v>9495000</v>
      </c>
      <c r="AB2498" s="1" t="s">
        <v>275</v>
      </c>
      <c r="AC2498" s="5">
        <v>42885</v>
      </c>
      <c r="AF2498" s="1">
        <v>10013</v>
      </c>
      <c r="AI2498" s="1" t="s">
        <v>145</v>
      </c>
      <c r="AJ2498" s="1">
        <v>2015</v>
      </c>
      <c r="AL2498" s="1">
        <v>4</v>
      </c>
    </row>
    <row r="2499" spans="1:38" x14ac:dyDescent="0.2">
      <c r="A2499" s="2" t="str">
        <f>HYPERLINK("https://www.compass.com/listing/49-chambers-street-unit-16b-manhattan-ny-10007/758306706200419881/","49 Chambers St, Unit 16B")</f>
        <v>49 Chambers St, Unit 16B</v>
      </c>
      <c r="B2499" s="2" t="str">
        <f>HYPERLINK("https://www.compass.com/building/49-chambers-manhattan-ny/282058733280852725/","49 Chambers")</f>
        <v>49 Chambers</v>
      </c>
      <c r="C2499" s="1" t="s">
        <v>113</v>
      </c>
      <c r="D2499" s="1" t="s">
        <v>41</v>
      </c>
      <c r="E2499" s="3">
        <v>3295000</v>
      </c>
      <c r="F2499" s="1">
        <v>1882.8571428571399</v>
      </c>
      <c r="G2499" s="1">
        <v>4</v>
      </c>
      <c r="H2499" s="1">
        <v>2</v>
      </c>
      <c r="I2499" s="1">
        <v>2</v>
      </c>
      <c r="J2499" s="1">
        <v>2</v>
      </c>
      <c r="K2499" s="1">
        <v>2</v>
      </c>
      <c r="M2499" s="4">
        <v>1750</v>
      </c>
      <c r="N2499" s="1">
        <v>1379</v>
      </c>
      <c r="O2499" s="1">
        <v>4190</v>
      </c>
      <c r="P2499" s="1">
        <v>2811</v>
      </c>
      <c r="Q2499" s="1" t="s">
        <v>42</v>
      </c>
      <c r="S2499" s="1" t="s">
        <v>42</v>
      </c>
      <c r="T2499" s="1" t="s">
        <v>273</v>
      </c>
      <c r="U2499" s="1">
        <v>3</v>
      </c>
      <c r="V2499" s="5">
        <v>44316</v>
      </c>
      <c r="W2499" s="5">
        <v>44295</v>
      </c>
      <c r="X2499" s="1">
        <v>3295000</v>
      </c>
      <c r="Z2499" s="5">
        <v>44298</v>
      </c>
      <c r="AB2499" s="1" t="s">
        <v>275</v>
      </c>
      <c r="AF2499" s="1">
        <v>10007</v>
      </c>
      <c r="AI2499" s="1" t="s">
        <v>114</v>
      </c>
      <c r="AJ2499" s="1">
        <v>1910</v>
      </c>
      <c r="AK2499" s="1" t="s">
        <v>49</v>
      </c>
      <c r="AL2499" s="1">
        <v>99</v>
      </c>
    </row>
    <row r="2500" spans="1:38" x14ac:dyDescent="0.2">
      <c r="A2500" s="2" t="str">
        <f>HYPERLINK("https://www.compass.com/listing/108-leonard-street-unit-2a-manhattan-ny-10013/693629331281676401/","108 Leonard St, Unit 2A")</f>
        <v>108 Leonard St, Unit 2A</v>
      </c>
      <c r="B2500" s="2" t="str">
        <f t="shared" ref="B2500:B2501" si="405">HYPERLINK("https://www.compass.com/building/108-leonard-st-manhattan-ny-10013/307456049610778277/","108 Leonard St")</f>
        <v>108 Leonard St</v>
      </c>
      <c r="C2500" s="1" t="s">
        <v>50</v>
      </c>
      <c r="D2500" s="1" t="s">
        <v>41</v>
      </c>
      <c r="E2500" s="3">
        <v>1869364</v>
      </c>
      <c r="F2500" s="1">
        <v>1716.58738292011</v>
      </c>
      <c r="G2500" s="1">
        <v>3</v>
      </c>
      <c r="H2500" s="1">
        <v>1</v>
      </c>
      <c r="I2500" s="1">
        <v>2</v>
      </c>
      <c r="J2500" s="1">
        <v>1.5</v>
      </c>
      <c r="K2500" s="1">
        <v>1</v>
      </c>
      <c r="L2500" s="1">
        <v>1</v>
      </c>
      <c r="M2500" s="4">
        <v>1089</v>
      </c>
      <c r="N2500" s="1">
        <v>1291</v>
      </c>
      <c r="O2500" s="1">
        <v>3038</v>
      </c>
      <c r="P2500" s="1">
        <v>1747</v>
      </c>
      <c r="Q2500" s="1" t="s">
        <v>42</v>
      </c>
      <c r="S2500" s="1" t="s">
        <v>42</v>
      </c>
      <c r="T2500" s="1" t="s">
        <v>273</v>
      </c>
      <c r="U2500" s="1">
        <v>961</v>
      </c>
      <c r="V2500" s="5">
        <v>44314</v>
      </c>
      <c r="W2500" s="5">
        <v>43153</v>
      </c>
      <c r="X2500" s="1">
        <v>2045000</v>
      </c>
      <c r="Y2500" s="1">
        <v>2045000</v>
      </c>
      <c r="Z2500" s="5">
        <v>44209</v>
      </c>
      <c r="AA2500" s="1">
        <v>1869363.66</v>
      </c>
      <c r="AB2500" s="1" t="s">
        <v>1478</v>
      </c>
      <c r="AC2500" s="5">
        <v>44225</v>
      </c>
      <c r="AF2500" s="1">
        <v>10013</v>
      </c>
      <c r="AI2500" s="1" t="s">
        <v>78</v>
      </c>
      <c r="AJ2500" s="1">
        <v>1899</v>
      </c>
      <c r="AK2500" s="1" t="s">
        <v>115</v>
      </c>
      <c r="AL2500" s="1">
        <v>167</v>
      </c>
    </row>
    <row r="2501" spans="1:38" x14ac:dyDescent="0.2">
      <c r="A2501" s="2" t="str">
        <f>HYPERLINK("https://www.compass.com/listing/108-leonard-street-unit-5k-manhattan-ny-10013/695806601350231113/","108 Leonard St, Unit 5K")</f>
        <v>108 Leonard St, Unit 5K</v>
      </c>
      <c r="B2501" s="2" t="str">
        <f t="shared" si="405"/>
        <v>108 Leonard St</v>
      </c>
      <c r="C2501" s="1" t="s">
        <v>50</v>
      </c>
      <c r="D2501" s="1" t="s">
        <v>41</v>
      </c>
      <c r="E2501" s="3">
        <v>1733180</v>
      </c>
      <c r="F2501" s="1">
        <v>1835.9956461864399</v>
      </c>
      <c r="G2501" s="1">
        <v>3</v>
      </c>
      <c r="H2501" s="1">
        <v>1</v>
      </c>
      <c r="I2501" s="1">
        <v>2</v>
      </c>
      <c r="J2501" s="1">
        <v>1.5</v>
      </c>
      <c r="K2501" s="1">
        <v>1</v>
      </c>
      <c r="L2501" s="1">
        <v>1</v>
      </c>
      <c r="M2501" s="1">
        <v>944</v>
      </c>
      <c r="N2501" s="1">
        <v>1119</v>
      </c>
      <c r="O2501" s="1">
        <v>2633</v>
      </c>
      <c r="P2501" s="1">
        <v>1514</v>
      </c>
      <c r="Q2501" s="1" t="s">
        <v>42</v>
      </c>
      <c r="S2501" s="1" t="s">
        <v>42</v>
      </c>
      <c r="T2501" s="1" t="s">
        <v>273</v>
      </c>
      <c r="U2501" s="1">
        <v>892</v>
      </c>
      <c r="V2501" s="5">
        <v>44243</v>
      </c>
      <c r="W2501" s="5">
        <v>43228</v>
      </c>
      <c r="X2501" s="1">
        <v>1937250</v>
      </c>
      <c r="Y2501" s="1">
        <v>1937250</v>
      </c>
      <c r="Z2501" s="5">
        <v>44215</v>
      </c>
      <c r="AA2501" s="1">
        <v>1733179.89</v>
      </c>
      <c r="AB2501" s="1" t="s">
        <v>1479</v>
      </c>
      <c r="AC2501" s="5">
        <v>44225</v>
      </c>
      <c r="AF2501" s="1">
        <v>10013</v>
      </c>
      <c r="AI2501" s="1" t="s">
        <v>78</v>
      </c>
      <c r="AJ2501" s="1">
        <v>1899</v>
      </c>
      <c r="AK2501" s="1" t="s">
        <v>49</v>
      </c>
      <c r="AL2501" s="1">
        <v>167</v>
      </c>
    </row>
    <row r="2502" spans="1:38" x14ac:dyDescent="0.2">
      <c r="A2502" s="2" t="str">
        <f>HYPERLINK("https://www.compass.com/listing/70-charlton-street-unit-15c-manhattan-ny-10014/841544380766386777/","70 Charlton St, Unit 15C")</f>
        <v>70 Charlton St, Unit 15C</v>
      </c>
      <c r="B2502" s="2" t="str">
        <f>HYPERLINK("https://www.compass.com/building/70-charlton-street-manhattan-ny/292835639240484293/","70 Charlton Street")</f>
        <v>70 Charlton Street</v>
      </c>
      <c r="C2502" s="1" t="s">
        <v>53</v>
      </c>
      <c r="D2502" s="1" t="s">
        <v>41</v>
      </c>
      <c r="E2502" s="3">
        <v>3995000</v>
      </c>
      <c r="F2502" s="1">
        <v>2246.9066366704101</v>
      </c>
      <c r="H2502" s="1">
        <v>3</v>
      </c>
      <c r="J2502" s="1">
        <v>3</v>
      </c>
      <c r="M2502" s="4">
        <v>1778</v>
      </c>
      <c r="N2502" s="1">
        <v>4299</v>
      </c>
      <c r="O2502" s="1">
        <v>4299</v>
      </c>
      <c r="S2502" s="1" t="s">
        <v>42</v>
      </c>
      <c r="T2502" s="1" t="s">
        <v>273</v>
      </c>
      <c r="U2502" s="1">
        <v>26</v>
      </c>
      <c r="V2502" s="5">
        <v>44415</v>
      </c>
      <c r="W2502" s="5">
        <v>43834</v>
      </c>
      <c r="X2502" s="1">
        <v>3995000</v>
      </c>
      <c r="Y2502" s="1">
        <v>3995000</v>
      </c>
      <c r="Z2502" s="5">
        <v>43860</v>
      </c>
      <c r="AA2502" s="1">
        <v>3995000</v>
      </c>
      <c r="AB2502" s="1" t="s">
        <v>275</v>
      </c>
      <c r="AC2502" s="5">
        <v>43892</v>
      </c>
      <c r="AF2502" s="1">
        <v>10014</v>
      </c>
      <c r="AI2502" s="1" t="s">
        <v>80</v>
      </c>
      <c r="AJ2502" s="1">
        <v>2016</v>
      </c>
      <c r="AK2502" s="1" t="s">
        <v>49</v>
      </c>
      <c r="AL2502" s="1">
        <v>92</v>
      </c>
    </row>
    <row r="2503" spans="1:38" x14ac:dyDescent="0.2">
      <c r="A2503" s="2" t="str">
        <f>HYPERLINK("https://www.compass.com/listing/87-leonard-street-unit-penthouseb-manhattan-ny-10013/4777764471269522257/","87 Leonard St, Unit PENTHOUSEB")</f>
        <v>87 Leonard St, Unit PENTHOUSEB</v>
      </c>
      <c r="B2503" s="2" t="str">
        <f>HYPERLINK("https://www.compass.com/building/87-leonard-st-manhattan-ny-10013/281921482316090549/","87 Leonard St")</f>
        <v>87 Leonard St</v>
      </c>
      <c r="C2503" s="1" t="s">
        <v>50</v>
      </c>
      <c r="D2503" s="1" t="s">
        <v>41</v>
      </c>
      <c r="E2503" s="3">
        <v>11711875</v>
      </c>
      <c r="F2503" s="1">
        <v>3242.49031007751</v>
      </c>
      <c r="G2503" s="1">
        <v>7</v>
      </c>
      <c r="H2503" s="1">
        <v>3</v>
      </c>
      <c r="I2503" s="1">
        <v>5</v>
      </c>
      <c r="J2503" s="1">
        <v>0.5</v>
      </c>
      <c r="L2503" s="1">
        <v>1</v>
      </c>
      <c r="M2503" s="4">
        <v>3612</v>
      </c>
      <c r="N2503" s="1">
        <v>4055</v>
      </c>
      <c r="O2503" s="1">
        <v>8115</v>
      </c>
      <c r="P2503" s="1">
        <v>4060</v>
      </c>
      <c r="Q2503" s="1" t="s">
        <v>42</v>
      </c>
      <c r="S2503" s="1" t="s">
        <v>42</v>
      </c>
      <c r="T2503" s="1" t="s">
        <v>273</v>
      </c>
      <c r="U2503" s="1">
        <v>366</v>
      </c>
      <c r="V2503" s="5">
        <v>43649</v>
      </c>
      <c r="W2503" s="5">
        <v>42620</v>
      </c>
      <c r="X2503" s="1">
        <v>10750000</v>
      </c>
      <c r="Y2503" s="1">
        <v>9950000</v>
      </c>
      <c r="AA2503" s="1">
        <v>11711875</v>
      </c>
      <c r="AB2503" s="1" t="s">
        <v>275</v>
      </c>
      <c r="AC2503" s="5">
        <v>43042</v>
      </c>
      <c r="AF2503" s="1">
        <v>10013</v>
      </c>
      <c r="AI2503" s="1" t="s">
        <v>197</v>
      </c>
      <c r="AJ2503" s="1">
        <v>1860</v>
      </c>
      <c r="AK2503" s="1" t="s">
        <v>146</v>
      </c>
      <c r="AL2503" s="1">
        <v>7</v>
      </c>
    </row>
    <row r="2504" spans="1:38" x14ac:dyDescent="0.2">
      <c r="A2504" s="2" t="str">
        <f>HYPERLINK("https://www.compass.com/listing/108-leonard-street-unit-9j-manhattan-ny-10013/363776540709537409/","108 Leonard St, Unit 9J")</f>
        <v>108 Leonard St, Unit 9J</v>
      </c>
      <c r="B2504" s="2" t="str">
        <f t="shared" ref="B2504:B2505" si="406">HYPERLINK("https://www.compass.com/building/108-leonard-st-manhattan-ny-10013/307456049610778277/","108 Leonard St")</f>
        <v>108 Leonard St</v>
      </c>
      <c r="C2504" s="1" t="s">
        <v>50</v>
      </c>
      <c r="D2504" s="1" t="s">
        <v>41</v>
      </c>
      <c r="E2504" s="3">
        <v>1641229</v>
      </c>
      <c r="F2504" s="1">
        <v>1827.64942093541</v>
      </c>
      <c r="G2504" s="1">
        <v>3</v>
      </c>
      <c r="H2504" s="1">
        <v>1</v>
      </c>
      <c r="I2504" s="1">
        <v>2</v>
      </c>
      <c r="J2504" s="1">
        <v>1.5</v>
      </c>
      <c r="K2504" s="1">
        <v>1</v>
      </c>
      <c r="L2504" s="1">
        <v>1</v>
      </c>
      <c r="M2504" s="1">
        <v>898</v>
      </c>
      <c r="N2504" s="1">
        <v>1065</v>
      </c>
      <c r="O2504" s="1">
        <v>2506</v>
      </c>
      <c r="P2504" s="1">
        <v>1441</v>
      </c>
      <c r="Q2504" s="1" t="s">
        <v>42</v>
      </c>
      <c r="S2504" s="1" t="s">
        <v>42</v>
      </c>
      <c r="T2504" s="1" t="s">
        <v>273</v>
      </c>
      <c r="U2504" s="1">
        <v>271</v>
      </c>
      <c r="V2504" s="5">
        <v>44122</v>
      </c>
      <c r="W2504" s="5">
        <v>43753</v>
      </c>
      <c r="X2504" s="1">
        <v>1755000</v>
      </c>
      <c r="Y2504" s="1">
        <v>1810000</v>
      </c>
      <c r="Z2504" s="5">
        <v>44119</v>
      </c>
      <c r="AA2504" s="1">
        <v>1641229.18</v>
      </c>
      <c r="AB2504" s="1" t="s">
        <v>1480</v>
      </c>
      <c r="AC2504" s="5">
        <v>44120</v>
      </c>
      <c r="AF2504" s="1">
        <v>10013</v>
      </c>
      <c r="AI2504" s="1" t="s">
        <v>78</v>
      </c>
      <c r="AJ2504" s="1">
        <v>1899</v>
      </c>
      <c r="AK2504" s="1" t="s">
        <v>49</v>
      </c>
      <c r="AL2504" s="1">
        <v>167</v>
      </c>
    </row>
    <row r="2505" spans="1:38" x14ac:dyDescent="0.2">
      <c r="A2505" s="2" t="str">
        <f>HYPERLINK("https://www.compass.com/listing/108-leonard-street-unit-4k-manhattan-ny-10013/383397615216260625/","108 Leonard St, Unit 4K")</f>
        <v>108 Leonard St, Unit 4K</v>
      </c>
      <c r="B2505" s="2" t="str">
        <f t="shared" si="406"/>
        <v>108 Leonard St</v>
      </c>
      <c r="C2505" s="1" t="s">
        <v>50</v>
      </c>
      <c r="D2505" s="1" t="s">
        <v>41</v>
      </c>
      <c r="E2505" s="3">
        <v>1762718</v>
      </c>
      <c r="F2505" s="1">
        <v>1867.2862182203301</v>
      </c>
      <c r="G2505" s="1">
        <v>3.5</v>
      </c>
      <c r="H2505" s="1">
        <v>1</v>
      </c>
      <c r="I2505" s="1">
        <v>2</v>
      </c>
      <c r="J2505" s="1">
        <v>1.5</v>
      </c>
      <c r="K2505" s="1">
        <v>1</v>
      </c>
      <c r="L2505" s="1">
        <v>1</v>
      </c>
      <c r="M2505" s="1">
        <v>944</v>
      </c>
      <c r="N2505" s="1">
        <v>1119</v>
      </c>
      <c r="O2505" s="1">
        <v>2633</v>
      </c>
      <c r="P2505" s="1">
        <v>1514</v>
      </c>
      <c r="Q2505" s="1" t="s">
        <v>42</v>
      </c>
      <c r="S2505" s="1" t="s">
        <v>42</v>
      </c>
      <c r="T2505" s="1" t="s">
        <v>273</v>
      </c>
      <c r="U2505" s="1">
        <v>130</v>
      </c>
      <c r="V2505" s="5">
        <v>43987</v>
      </c>
      <c r="W2505" s="5">
        <v>43780</v>
      </c>
      <c r="Y2505" s="1">
        <v>1825000</v>
      </c>
      <c r="AA2505" s="1">
        <v>1762718.19</v>
      </c>
      <c r="AB2505" s="1" t="s">
        <v>1481</v>
      </c>
      <c r="AC2505" s="5">
        <v>43923</v>
      </c>
      <c r="AF2505" s="1">
        <v>10013</v>
      </c>
      <c r="AI2505" s="1" t="s">
        <v>78</v>
      </c>
      <c r="AJ2505" s="1">
        <v>1899</v>
      </c>
      <c r="AK2505" s="1" t="s">
        <v>175</v>
      </c>
      <c r="AL2505" s="1">
        <v>167</v>
      </c>
    </row>
    <row r="2506" spans="1:38" x14ac:dyDescent="0.2">
      <c r="A2506" s="2" t="str">
        <f>HYPERLINK("https://www.compass.com/listing/60-white-street-unit-3w-manhattan-ny-10013/29358977720565569/","60 White St, Unit 3W")</f>
        <v>60 White St, Unit 3W</v>
      </c>
      <c r="B2506" s="2" t="str">
        <f>HYPERLINK("https://www.compass.com/building/60-white-st-manhattan-ny-10013/281920929104169509/","60 White St")</f>
        <v>60 White St</v>
      </c>
      <c r="C2506" s="1" t="s">
        <v>50</v>
      </c>
      <c r="D2506" s="1" t="s">
        <v>41</v>
      </c>
      <c r="E2506" s="3">
        <v>4220000</v>
      </c>
      <c r="F2506" s="1">
        <v>2150.8664627930598</v>
      </c>
      <c r="G2506" s="1">
        <v>4</v>
      </c>
      <c r="H2506" s="1">
        <v>2</v>
      </c>
      <c r="I2506" s="1">
        <v>3</v>
      </c>
      <c r="J2506" s="1">
        <v>2.5</v>
      </c>
      <c r="M2506" s="4">
        <v>1962</v>
      </c>
      <c r="N2506" s="1">
        <v>1987</v>
      </c>
      <c r="O2506" s="1">
        <v>4622</v>
      </c>
      <c r="P2506" s="1">
        <v>2635</v>
      </c>
      <c r="Q2506" s="1" t="s">
        <v>42</v>
      </c>
      <c r="S2506" s="1" t="s">
        <v>42</v>
      </c>
      <c r="T2506" s="1" t="s">
        <v>273</v>
      </c>
      <c r="U2506" s="1">
        <v>209</v>
      </c>
      <c r="V2506" s="5">
        <v>43670</v>
      </c>
      <c r="W2506" s="5">
        <v>42067</v>
      </c>
      <c r="X2506" s="1">
        <v>4610000</v>
      </c>
      <c r="Y2506" s="1">
        <v>4610000</v>
      </c>
      <c r="Z2506" s="5">
        <v>42276</v>
      </c>
      <c r="AA2506" s="1">
        <v>4220000</v>
      </c>
      <c r="AB2506" s="1" t="s">
        <v>1482</v>
      </c>
      <c r="AC2506" s="5">
        <v>42733</v>
      </c>
      <c r="AF2506" s="1">
        <v>10013</v>
      </c>
      <c r="AJ2506" s="1">
        <v>1869</v>
      </c>
      <c r="AL2506" s="1">
        <v>8</v>
      </c>
    </row>
    <row r="2507" spans="1:38" x14ac:dyDescent="0.2">
      <c r="A2507" s="2" t="str">
        <f>HYPERLINK("https://www.compass.com/listing/56-walker-street-unit-duplex3-manhattan-ny-10013/4790774408849410033/","56 Walker St, Unit DUPLEX3")</f>
        <v>56 Walker St, Unit DUPLEX3</v>
      </c>
      <c r="B2507" s="2" t="str">
        <f>HYPERLINK("https://www.compass.com/building/walker-house-manhattan-ny/281920827333577653/","Walker House")</f>
        <v>Walker House</v>
      </c>
      <c r="C2507" s="1" t="s">
        <v>50</v>
      </c>
      <c r="D2507" s="1" t="s">
        <v>41</v>
      </c>
      <c r="E2507" s="3">
        <v>5200000</v>
      </c>
      <c r="F2507" s="1">
        <v>1947.5655430711599</v>
      </c>
      <c r="G2507" s="1">
        <v>7</v>
      </c>
      <c r="H2507" s="1">
        <v>3</v>
      </c>
      <c r="I2507" s="1">
        <v>4</v>
      </c>
      <c r="J2507" s="1">
        <v>3.5</v>
      </c>
      <c r="K2507" s="1">
        <v>3</v>
      </c>
      <c r="L2507" s="1">
        <v>1</v>
      </c>
      <c r="M2507" s="4">
        <v>2670</v>
      </c>
      <c r="N2507" s="1">
        <v>1284</v>
      </c>
      <c r="O2507" s="1">
        <v>4415</v>
      </c>
      <c r="P2507" s="1">
        <v>3131</v>
      </c>
      <c r="Q2507" s="1" t="s">
        <v>42</v>
      </c>
      <c r="S2507" s="1" t="s">
        <v>42</v>
      </c>
      <c r="T2507" s="1" t="s">
        <v>273</v>
      </c>
      <c r="U2507" s="1">
        <v>755</v>
      </c>
      <c r="V2507" s="5">
        <v>43133</v>
      </c>
      <c r="W2507" s="5">
        <v>42132</v>
      </c>
      <c r="X2507" s="1">
        <v>5600000</v>
      </c>
      <c r="Y2507" s="1">
        <v>5600000</v>
      </c>
      <c r="AA2507" s="1">
        <v>5200000</v>
      </c>
      <c r="AB2507" s="1" t="s">
        <v>275</v>
      </c>
      <c r="AC2507" s="5">
        <v>42887</v>
      </c>
      <c r="AF2507" s="1">
        <v>10013</v>
      </c>
      <c r="AJ2507" s="1">
        <v>2015</v>
      </c>
      <c r="AL2507" s="1">
        <v>4</v>
      </c>
    </row>
    <row r="2508" spans="1:38" x14ac:dyDescent="0.2">
      <c r="A2508" s="2" t="str">
        <f>HYPERLINK("https://www.compass.com/listing/355-east-19th-street-unit-5-manhattan-ny-10003/582858350419667313/","355 E 19th St, Unit 5")</f>
        <v>355 E 19th St, Unit 5</v>
      </c>
      <c r="B2508" s="2" t="str">
        <f>HYPERLINK("https://www.compass.com/building/355-e-19th-st-manhattan-ny-10003/281893275755879157/","355 E 19th St")</f>
        <v>355 E 19th St</v>
      </c>
      <c r="C2508" s="1" t="s">
        <v>64</v>
      </c>
      <c r="D2508" s="1" t="s">
        <v>41</v>
      </c>
      <c r="E2508" s="3">
        <v>2675000</v>
      </c>
      <c r="F2508" s="1">
        <v>1336.83158420789</v>
      </c>
      <c r="H2508" s="1">
        <v>3</v>
      </c>
      <c r="J2508" s="1">
        <v>2</v>
      </c>
      <c r="K2508" s="1">
        <v>2</v>
      </c>
      <c r="M2508" s="4">
        <v>2001</v>
      </c>
      <c r="N2508" s="1">
        <v>640</v>
      </c>
      <c r="O2508" s="1">
        <v>2466</v>
      </c>
      <c r="P2508" s="1">
        <v>1826</v>
      </c>
      <c r="Q2508" s="1" t="s">
        <v>42</v>
      </c>
      <c r="S2508" s="1" t="s">
        <v>42</v>
      </c>
      <c r="T2508" s="1" t="s">
        <v>273</v>
      </c>
      <c r="AA2508" s="1">
        <v>2675000</v>
      </c>
      <c r="AB2508" s="1" t="s">
        <v>1483</v>
      </c>
      <c r="AC2508" s="5">
        <v>44035</v>
      </c>
      <c r="AF2508" s="1">
        <v>10003</v>
      </c>
      <c r="AI2508" s="1" t="s">
        <v>140</v>
      </c>
      <c r="AJ2508" s="1">
        <v>2015</v>
      </c>
      <c r="AL2508" s="1">
        <v>7</v>
      </c>
    </row>
    <row r="2509" spans="1:38" x14ac:dyDescent="0.2">
      <c r="A2509" s="2" t="str">
        <f>HYPERLINK("https://www.compass.com/listing/49-chambers-street-unit-7b-manhattan-ny-10007/29513622480845537/","49 Chambers St, Unit 7B")</f>
        <v>49 Chambers St, Unit 7B</v>
      </c>
      <c r="B2509" s="2" t="str">
        <f t="shared" ref="B2509:B2511" si="407">HYPERLINK("https://www.compass.com/building/49-chambers-manhattan-ny/282058733280852725/","49 Chambers")</f>
        <v>49 Chambers</v>
      </c>
      <c r="C2509" s="1" t="s">
        <v>113</v>
      </c>
      <c r="D2509" s="1" t="s">
        <v>41</v>
      </c>
      <c r="E2509" s="3">
        <v>2750000</v>
      </c>
      <c r="F2509" s="1">
        <v>1571.42857142857</v>
      </c>
      <c r="G2509" s="1">
        <v>5</v>
      </c>
      <c r="H2509" s="1">
        <v>2</v>
      </c>
      <c r="I2509" s="1">
        <v>3</v>
      </c>
      <c r="J2509" s="1">
        <v>2.5</v>
      </c>
      <c r="K2509" s="1">
        <v>2</v>
      </c>
      <c r="L2509" s="1">
        <v>1</v>
      </c>
      <c r="M2509" s="4">
        <v>1750</v>
      </c>
      <c r="N2509" s="1">
        <v>1192</v>
      </c>
      <c r="O2509" s="1">
        <v>3822</v>
      </c>
      <c r="P2509" s="1">
        <v>2630</v>
      </c>
      <c r="Q2509" s="1" t="s">
        <v>42</v>
      </c>
      <c r="S2509" s="1" t="s">
        <v>42</v>
      </c>
      <c r="T2509" s="1" t="s">
        <v>273</v>
      </c>
      <c r="U2509" s="1">
        <v>41</v>
      </c>
      <c r="V2509" s="5">
        <v>43932</v>
      </c>
      <c r="W2509" s="5">
        <v>43250</v>
      </c>
      <c r="X2509" s="1">
        <v>2750000</v>
      </c>
      <c r="Y2509" s="1">
        <v>2875000</v>
      </c>
      <c r="Z2509" s="5">
        <v>43292</v>
      </c>
      <c r="AA2509" s="1">
        <v>2750000</v>
      </c>
      <c r="AB2509" s="1" t="s">
        <v>275</v>
      </c>
      <c r="AC2509" s="5">
        <v>43614</v>
      </c>
      <c r="AF2509" s="1">
        <v>10007</v>
      </c>
      <c r="AI2509" s="1" t="s">
        <v>114</v>
      </c>
      <c r="AJ2509" s="1">
        <v>1910</v>
      </c>
      <c r="AK2509" s="1" t="s">
        <v>202</v>
      </c>
      <c r="AL2509" s="1">
        <v>99</v>
      </c>
    </row>
    <row r="2510" spans="1:38" x14ac:dyDescent="0.2">
      <c r="A2510" s="2" t="str">
        <f>HYPERLINK("https://www.compass.com/listing/49-chambers-street-unit-9b-manhattan-ny-10007/36071018921576641/","49 Chambers St, Unit 9B")</f>
        <v>49 Chambers St, Unit 9B</v>
      </c>
      <c r="B2510" s="2" t="str">
        <f t="shared" si="407"/>
        <v>49 Chambers</v>
      </c>
      <c r="C2510" s="1" t="s">
        <v>113</v>
      </c>
      <c r="D2510" s="1" t="s">
        <v>41</v>
      </c>
      <c r="E2510" s="3">
        <v>2900000</v>
      </c>
      <c r="F2510" s="1">
        <v>1657.1428571428501</v>
      </c>
      <c r="G2510" s="1">
        <v>4</v>
      </c>
      <c r="H2510" s="1">
        <v>2</v>
      </c>
      <c r="I2510" s="1">
        <v>3</v>
      </c>
      <c r="J2510" s="1">
        <v>2.5</v>
      </c>
      <c r="K2510" s="1">
        <v>2</v>
      </c>
      <c r="L2510" s="1">
        <v>1</v>
      </c>
      <c r="M2510" s="4">
        <v>1750</v>
      </c>
      <c r="N2510" s="1">
        <v>1211</v>
      </c>
      <c r="O2510" s="1">
        <v>3883</v>
      </c>
      <c r="P2510" s="1">
        <v>2672</v>
      </c>
      <c r="Q2510" s="1" t="s">
        <v>42</v>
      </c>
      <c r="S2510" s="1" t="s">
        <v>42</v>
      </c>
      <c r="T2510" s="1" t="s">
        <v>273</v>
      </c>
      <c r="U2510" s="1">
        <v>1</v>
      </c>
      <c r="V2510" s="5">
        <v>43932</v>
      </c>
      <c r="W2510" s="5">
        <v>43300</v>
      </c>
      <c r="X2510" s="1">
        <v>2975000</v>
      </c>
      <c r="Y2510" s="1">
        <v>2975000</v>
      </c>
      <c r="Z2510" s="5">
        <v>43302</v>
      </c>
      <c r="AA2510" s="1">
        <v>2900000</v>
      </c>
      <c r="AB2510" s="1" t="s">
        <v>275</v>
      </c>
      <c r="AC2510" s="5">
        <v>43677</v>
      </c>
      <c r="AF2510" s="1">
        <v>10007</v>
      </c>
      <c r="AI2510" s="1" t="s">
        <v>114</v>
      </c>
      <c r="AJ2510" s="1">
        <v>1910</v>
      </c>
      <c r="AK2510" s="1" t="s">
        <v>49</v>
      </c>
      <c r="AL2510" s="1">
        <v>99</v>
      </c>
    </row>
    <row r="2511" spans="1:38" x14ac:dyDescent="0.2">
      <c r="A2511" s="2" t="str">
        <f>HYPERLINK("https://www.compass.com/listing/49-chambers-street-unit-11b-manhattan-ny-10007/436775392314130289/","49 Chambers St, Unit 11B")</f>
        <v>49 Chambers St, Unit 11B</v>
      </c>
      <c r="B2511" s="2" t="str">
        <f t="shared" si="407"/>
        <v>49 Chambers</v>
      </c>
      <c r="C2511" s="1" t="s">
        <v>113</v>
      </c>
      <c r="D2511" s="1" t="s">
        <v>41</v>
      </c>
      <c r="E2511" s="3">
        <v>2890000</v>
      </c>
      <c r="F2511" s="1">
        <v>1651.42857142857</v>
      </c>
      <c r="G2511" s="1">
        <v>5.5</v>
      </c>
      <c r="H2511" s="1">
        <v>2</v>
      </c>
      <c r="I2511" s="1">
        <v>3</v>
      </c>
      <c r="J2511" s="1">
        <v>2.5</v>
      </c>
      <c r="K2511" s="1">
        <v>2</v>
      </c>
      <c r="L2511" s="1">
        <v>1</v>
      </c>
      <c r="M2511" s="4">
        <v>1750</v>
      </c>
      <c r="N2511" s="1">
        <v>1235</v>
      </c>
      <c r="O2511" s="1">
        <v>3725</v>
      </c>
      <c r="P2511" s="1">
        <v>2490</v>
      </c>
      <c r="Q2511" s="1" t="s">
        <v>42</v>
      </c>
      <c r="S2511" s="1" t="s">
        <v>42</v>
      </c>
      <c r="T2511" s="1" t="s">
        <v>273</v>
      </c>
      <c r="U2511" s="1">
        <v>1</v>
      </c>
      <c r="V2511" s="5">
        <v>43932</v>
      </c>
      <c r="W2511" s="5">
        <v>43853</v>
      </c>
      <c r="X2511" s="1">
        <v>3095000</v>
      </c>
      <c r="Y2511" s="1">
        <v>3095000</v>
      </c>
      <c r="Z2511" s="5">
        <v>43854</v>
      </c>
      <c r="AA2511" s="1">
        <v>2890000</v>
      </c>
      <c r="AB2511" s="1" t="s">
        <v>275</v>
      </c>
      <c r="AC2511" s="5">
        <v>43889</v>
      </c>
      <c r="AF2511" s="1">
        <v>10007</v>
      </c>
      <c r="AI2511" s="1" t="s">
        <v>114</v>
      </c>
      <c r="AJ2511" s="1">
        <v>1910</v>
      </c>
      <c r="AK2511" s="1" t="s">
        <v>202</v>
      </c>
      <c r="AL2511" s="1">
        <v>99</v>
      </c>
    </row>
    <row r="2512" spans="1:38" x14ac:dyDescent="0.2">
      <c r="A2512" s="2" t="str">
        <f>HYPERLINK("https://www.compass.com/listing/87-leonard-street-unit-mais-b-manhattan-ny-10013/4852283101809751041/","87 Leonard St, Unit MAIS-B")</f>
        <v>87 Leonard St, Unit MAIS-B</v>
      </c>
      <c r="B2512" s="2" t="str">
        <f>HYPERLINK("https://www.compass.com/building/87-leonard-st-manhattan-ny-10013/281921482316090549/","87 Leonard St")</f>
        <v>87 Leonard St</v>
      </c>
      <c r="C2512" s="1" t="s">
        <v>50</v>
      </c>
      <c r="D2512" s="1" t="s">
        <v>41</v>
      </c>
      <c r="E2512" s="3">
        <v>7750000</v>
      </c>
      <c r="F2512" s="1">
        <v>1045.3196654977</v>
      </c>
      <c r="G2512" s="1">
        <v>9</v>
      </c>
      <c r="H2512" s="1">
        <v>2</v>
      </c>
      <c r="I2512" s="1">
        <v>3</v>
      </c>
      <c r="J2512" s="1">
        <v>2.5</v>
      </c>
      <c r="M2512" s="4">
        <v>7414</v>
      </c>
      <c r="N2512" s="1">
        <v>3216</v>
      </c>
      <c r="O2512" s="1">
        <v>6797</v>
      </c>
      <c r="P2512" s="1">
        <v>3581</v>
      </c>
      <c r="Q2512" s="1" t="s">
        <v>42</v>
      </c>
      <c r="S2512" s="1" t="s">
        <v>42</v>
      </c>
      <c r="T2512" s="1" t="s">
        <v>273</v>
      </c>
      <c r="U2512" s="1">
        <v>71</v>
      </c>
      <c r="V2512" s="5">
        <v>42705</v>
      </c>
      <c r="W2512" s="5">
        <v>42619</v>
      </c>
      <c r="X2512" s="1">
        <v>7750000</v>
      </c>
      <c r="Y2512" s="1">
        <v>7750000</v>
      </c>
      <c r="Z2512" s="5">
        <v>42691</v>
      </c>
      <c r="AB2512" s="1" t="s">
        <v>275</v>
      </c>
      <c r="AC2512" s="5">
        <v>42705</v>
      </c>
      <c r="AF2512" s="1">
        <v>10013</v>
      </c>
      <c r="AI2512" s="1" t="s">
        <v>152</v>
      </c>
      <c r="AJ2512" s="1">
        <v>1860</v>
      </c>
      <c r="AK2512" s="1" t="s">
        <v>73</v>
      </c>
      <c r="AL2512" s="1">
        <v>7</v>
      </c>
    </row>
    <row r="2513" spans="1:38" x14ac:dyDescent="0.2">
      <c r="A2513" s="2" t="str">
        <f>HYPERLINK("https://www.compass.com/listing/56-walker-street-unit-thouse1-manhattan-ny-10013/70929529509549473/","56 Walker St, Unit THOUSE1")</f>
        <v>56 Walker St, Unit THOUSE1</v>
      </c>
      <c r="B2513" s="2" t="str">
        <f>HYPERLINK("https://www.compass.com/building/walker-house-manhattan-ny/281920827333577653/","Walker House")</f>
        <v>Walker House</v>
      </c>
      <c r="C2513" s="1" t="s">
        <v>50</v>
      </c>
      <c r="D2513" s="1" t="s">
        <v>41</v>
      </c>
      <c r="E2513" s="3">
        <v>8950000</v>
      </c>
      <c r="F2513" s="1">
        <v>1570.4509563081201</v>
      </c>
      <c r="G2513" s="1">
        <v>10</v>
      </c>
      <c r="H2513" s="1">
        <v>4</v>
      </c>
      <c r="I2513" s="1">
        <v>4</v>
      </c>
      <c r="J2513" s="1">
        <v>3.5</v>
      </c>
      <c r="K2513" s="1">
        <v>3</v>
      </c>
      <c r="L2513" s="1">
        <v>1</v>
      </c>
      <c r="M2513" s="4">
        <v>5699</v>
      </c>
      <c r="N2513" s="1">
        <v>2741</v>
      </c>
      <c r="O2513" s="1">
        <v>9424</v>
      </c>
      <c r="P2513" s="1">
        <v>6683</v>
      </c>
      <c r="Q2513" s="1" t="s">
        <v>42</v>
      </c>
      <c r="S2513" s="1" t="s">
        <v>42</v>
      </c>
      <c r="T2513" s="1" t="s">
        <v>273</v>
      </c>
      <c r="U2513" s="1">
        <v>227</v>
      </c>
      <c r="V2513" s="5">
        <v>43666</v>
      </c>
      <c r="W2513" s="5">
        <v>42392</v>
      </c>
      <c r="X2513" s="1">
        <v>12995000</v>
      </c>
      <c r="Y2513" s="1">
        <v>8950000</v>
      </c>
      <c r="Z2513" s="5">
        <v>42620</v>
      </c>
      <c r="AA2513" s="1">
        <v>8950000</v>
      </c>
      <c r="AB2513" s="1" t="s">
        <v>275</v>
      </c>
      <c r="AC2513" s="5">
        <v>42872</v>
      </c>
      <c r="AF2513" s="1">
        <v>10013</v>
      </c>
      <c r="AJ2513" s="1">
        <v>2015</v>
      </c>
      <c r="AL2513" s="1">
        <v>4</v>
      </c>
    </row>
    <row r="2514" spans="1:38" x14ac:dyDescent="0.2">
      <c r="A2514" s="2" t="str">
        <f>HYPERLINK("https://www.compass.com/listing/49-chambers-street-unit-9d-manhattan-ny-10007/162325942029646849/","49 Chambers St, Unit 9D")</f>
        <v>49 Chambers St, Unit 9D</v>
      </c>
      <c r="B2514" s="2" t="str">
        <f t="shared" ref="B2514:B2516" si="408">HYPERLINK("https://www.compass.com/building/49-chambers-manhattan-ny/282058733280852725/","49 Chambers")</f>
        <v>49 Chambers</v>
      </c>
      <c r="C2514" s="1" t="s">
        <v>113</v>
      </c>
      <c r="D2514" s="1" t="s">
        <v>41</v>
      </c>
      <c r="E2514" s="3">
        <v>3800000</v>
      </c>
      <c r="F2514" s="1">
        <v>1684.39716312056</v>
      </c>
      <c r="G2514" s="1">
        <v>6</v>
      </c>
      <c r="H2514" s="1">
        <v>3</v>
      </c>
      <c r="I2514" s="1">
        <v>3</v>
      </c>
      <c r="J2514" s="1">
        <v>2.5</v>
      </c>
      <c r="K2514" s="1">
        <v>2</v>
      </c>
      <c r="L2514" s="1">
        <v>1</v>
      </c>
      <c r="M2514" s="4">
        <v>2256</v>
      </c>
      <c r="N2514" s="1">
        <v>1584</v>
      </c>
      <c r="O2514" s="1">
        <v>5080</v>
      </c>
      <c r="P2514" s="1">
        <v>3496</v>
      </c>
      <c r="Q2514" s="1" t="s">
        <v>42</v>
      </c>
      <c r="S2514" s="1" t="s">
        <v>42</v>
      </c>
      <c r="T2514" s="1" t="s">
        <v>273</v>
      </c>
      <c r="V2514" s="5">
        <v>43932</v>
      </c>
      <c r="W2514" s="5">
        <v>43475</v>
      </c>
      <c r="X2514" s="1">
        <v>3950000</v>
      </c>
      <c r="Y2514" s="1">
        <v>3950000</v>
      </c>
      <c r="Z2514" s="5">
        <v>43476</v>
      </c>
      <c r="AA2514" s="1">
        <v>3800000</v>
      </c>
      <c r="AB2514" s="1" t="s">
        <v>275</v>
      </c>
      <c r="AC2514" s="5">
        <v>43546</v>
      </c>
      <c r="AF2514" s="1">
        <v>10007</v>
      </c>
      <c r="AI2514" s="1" t="s">
        <v>114</v>
      </c>
      <c r="AJ2514" s="1">
        <v>1910</v>
      </c>
      <c r="AK2514" s="1" t="s">
        <v>49</v>
      </c>
      <c r="AL2514" s="1">
        <v>99</v>
      </c>
    </row>
    <row r="2515" spans="1:38" x14ac:dyDescent="0.2">
      <c r="A2515" s="2" t="str">
        <f>HYPERLINK("https://www.compass.com/listing/49-chambers-street-unit-8d-manhattan-ny-10007/191138634672408033/","49 Chambers St, Unit 8D")</f>
        <v>49 Chambers St, Unit 8D</v>
      </c>
      <c r="B2515" s="2" t="str">
        <f t="shared" si="408"/>
        <v>49 Chambers</v>
      </c>
      <c r="C2515" s="1" t="s">
        <v>113</v>
      </c>
      <c r="D2515" s="1" t="s">
        <v>41</v>
      </c>
      <c r="E2515" s="3">
        <v>3800000</v>
      </c>
      <c r="F2515" s="1">
        <v>1684.39716312056</v>
      </c>
      <c r="G2515" s="1">
        <v>5</v>
      </c>
      <c r="H2515" s="1">
        <v>3</v>
      </c>
      <c r="I2515" s="1">
        <v>3</v>
      </c>
      <c r="J2515" s="1">
        <v>2.5</v>
      </c>
      <c r="K2515" s="1">
        <v>2</v>
      </c>
      <c r="L2515" s="1">
        <v>1</v>
      </c>
      <c r="M2515" s="4">
        <v>2256</v>
      </c>
      <c r="N2515" s="1">
        <v>1565</v>
      </c>
      <c r="O2515" s="1">
        <v>5019</v>
      </c>
      <c r="P2515" s="1">
        <v>3454</v>
      </c>
      <c r="Q2515" s="1" t="s">
        <v>42</v>
      </c>
      <c r="S2515" s="1" t="s">
        <v>42</v>
      </c>
      <c r="T2515" s="1" t="s">
        <v>273</v>
      </c>
      <c r="V2515" s="5">
        <v>43932</v>
      </c>
      <c r="W2515" s="5">
        <v>43515</v>
      </c>
      <c r="X2515" s="1">
        <v>3875000</v>
      </c>
      <c r="Y2515" s="1">
        <v>3875000</v>
      </c>
      <c r="Z2515" s="5">
        <v>43516</v>
      </c>
      <c r="AA2515" s="1">
        <v>3800000</v>
      </c>
      <c r="AB2515" s="1" t="s">
        <v>275</v>
      </c>
      <c r="AC2515" s="5">
        <v>43522</v>
      </c>
      <c r="AF2515" s="1">
        <v>10007</v>
      </c>
      <c r="AI2515" s="1" t="s">
        <v>114</v>
      </c>
      <c r="AJ2515" s="1">
        <v>1910</v>
      </c>
      <c r="AK2515" s="1" t="s">
        <v>49</v>
      </c>
      <c r="AL2515" s="1">
        <v>99</v>
      </c>
    </row>
    <row r="2516" spans="1:38" x14ac:dyDescent="0.2">
      <c r="A2516" s="2" t="str">
        <f>HYPERLINK("https://www.compass.com/listing/49-chambers-street-unit-7d-manhattan-ny-10007/117328987000221169/","49 Chambers St, Unit 7D")</f>
        <v>49 Chambers St, Unit 7D</v>
      </c>
      <c r="B2516" s="2" t="str">
        <f t="shared" si="408"/>
        <v>49 Chambers</v>
      </c>
      <c r="C2516" s="1" t="s">
        <v>113</v>
      </c>
      <c r="D2516" s="1" t="s">
        <v>41</v>
      </c>
      <c r="E2516" s="3">
        <v>3650000</v>
      </c>
      <c r="F2516" s="1">
        <v>1617.9078014184299</v>
      </c>
      <c r="G2516" s="1">
        <v>5</v>
      </c>
      <c r="H2516" s="1">
        <v>2</v>
      </c>
      <c r="I2516" s="1">
        <v>3</v>
      </c>
      <c r="J2516" s="1">
        <v>2.5</v>
      </c>
      <c r="K2516" s="1">
        <v>2</v>
      </c>
      <c r="L2516" s="1">
        <v>1</v>
      </c>
      <c r="M2516" s="4">
        <v>2256</v>
      </c>
      <c r="N2516" s="1">
        <v>1555</v>
      </c>
      <c r="O2516" s="1">
        <v>4986</v>
      </c>
      <c r="P2516" s="1">
        <v>3431</v>
      </c>
      <c r="Q2516" s="1" t="s">
        <v>42</v>
      </c>
      <c r="S2516" s="1" t="s">
        <v>42</v>
      </c>
      <c r="T2516" s="1" t="s">
        <v>273</v>
      </c>
      <c r="U2516" s="1">
        <v>62</v>
      </c>
      <c r="V2516" s="5">
        <v>43932</v>
      </c>
      <c r="W2516" s="5">
        <v>43413</v>
      </c>
      <c r="X2516" s="1">
        <v>3800000</v>
      </c>
      <c r="Y2516" s="1">
        <v>3800000</v>
      </c>
      <c r="Z2516" s="5">
        <v>43476</v>
      </c>
      <c r="AA2516" s="1">
        <v>3650000</v>
      </c>
      <c r="AB2516" s="1" t="s">
        <v>275</v>
      </c>
      <c r="AC2516" s="5">
        <v>43563</v>
      </c>
      <c r="AF2516" s="1">
        <v>10007</v>
      </c>
      <c r="AI2516" s="1" t="s">
        <v>114</v>
      </c>
      <c r="AJ2516" s="1">
        <v>1910</v>
      </c>
      <c r="AK2516" s="1" t="s">
        <v>202</v>
      </c>
      <c r="AL2516" s="1">
        <v>99</v>
      </c>
    </row>
    <row r="2517" spans="1:38" x14ac:dyDescent="0.2">
      <c r="A2517" s="2" t="str">
        <f>HYPERLINK("https://www.compass.com/listing/60-white-street-unit-4w-manhattan-ny-10013/29358978400005937/","60 White St, Unit 4W")</f>
        <v>60 White St, Unit 4W</v>
      </c>
      <c r="B2517" s="2" t="str">
        <f t="shared" ref="B2517:B2518" si="409">HYPERLINK("https://www.compass.com/building/60-white-st-manhattan-ny-10013/281920929104169509/","60 White St")</f>
        <v>60 White St</v>
      </c>
      <c r="C2517" s="1" t="s">
        <v>50</v>
      </c>
      <c r="D2517" s="1" t="s">
        <v>41</v>
      </c>
      <c r="E2517" s="3">
        <v>4240000</v>
      </c>
      <c r="F2517" s="1">
        <v>2161.0601427115098</v>
      </c>
      <c r="G2517" s="1">
        <v>4</v>
      </c>
      <c r="H2517" s="1">
        <v>2</v>
      </c>
      <c r="I2517" s="1">
        <v>3</v>
      </c>
      <c r="J2517" s="1">
        <v>2.5</v>
      </c>
      <c r="M2517" s="4">
        <v>1962</v>
      </c>
      <c r="N2517" s="1">
        <v>1987</v>
      </c>
      <c r="O2517" s="1">
        <v>4622</v>
      </c>
      <c r="P2517" s="1">
        <v>2635</v>
      </c>
      <c r="Q2517" s="1" t="s">
        <v>42</v>
      </c>
      <c r="S2517" s="1" t="s">
        <v>42</v>
      </c>
      <c r="T2517" s="1" t="s">
        <v>273</v>
      </c>
      <c r="U2517" s="1">
        <v>320</v>
      </c>
      <c r="V2517" s="5">
        <v>43664</v>
      </c>
      <c r="W2517" s="5">
        <v>42377</v>
      </c>
      <c r="X2517" s="1">
        <v>4610000</v>
      </c>
      <c r="Y2517" s="1">
        <v>4240000</v>
      </c>
      <c r="Z2517" s="5">
        <v>42697</v>
      </c>
      <c r="AA2517" s="1">
        <v>4240000</v>
      </c>
      <c r="AB2517" s="1" t="s">
        <v>1484</v>
      </c>
      <c r="AC2517" s="5">
        <v>42744</v>
      </c>
      <c r="AF2517" s="1">
        <v>10013</v>
      </c>
      <c r="AJ2517" s="1">
        <v>1869</v>
      </c>
      <c r="AL2517" s="1">
        <v>8</v>
      </c>
    </row>
    <row r="2518" spans="1:38" x14ac:dyDescent="0.2">
      <c r="A2518" s="2" t="str">
        <f>HYPERLINK("https://www.compass.com/listing/60-white-street-unit-2w-manhattan-ny-10013/70911835360051057/","60 White St, Unit 2W")</f>
        <v>60 White St, Unit 2W</v>
      </c>
      <c r="B2518" s="2" t="str">
        <f t="shared" si="409"/>
        <v>60 White St</v>
      </c>
      <c r="C2518" s="1" t="s">
        <v>50</v>
      </c>
      <c r="D2518" s="1" t="s">
        <v>41</v>
      </c>
      <c r="E2518" s="3">
        <v>4278690</v>
      </c>
      <c r="F2518" s="1">
        <v>2180.7798165137601</v>
      </c>
      <c r="G2518" s="1">
        <v>4</v>
      </c>
      <c r="H2518" s="1">
        <v>2</v>
      </c>
      <c r="I2518" s="1">
        <v>3</v>
      </c>
      <c r="J2518" s="1">
        <v>2.5</v>
      </c>
      <c r="M2518" s="4">
        <v>1962</v>
      </c>
      <c r="N2518" s="1">
        <v>1987</v>
      </c>
      <c r="O2518" s="1">
        <v>4623</v>
      </c>
      <c r="P2518" s="1">
        <v>2636</v>
      </c>
      <c r="Q2518" s="1" t="s">
        <v>42</v>
      </c>
      <c r="S2518" s="1" t="s">
        <v>42</v>
      </c>
      <c r="T2518" s="1" t="s">
        <v>273</v>
      </c>
      <c r="U2518" s="1">
        <v>11</v>
      </c>
      <c r="V2518" s="5">
        <v>43664</v>
      </c>
      <c r="W2518" s="5">
        <v>42574</v>
      </c>
      <c r="X2518" s="1">
        <v>4240000</v>
      </c>
      <c r="Y2518" s="1">
        <v>4240000</v>
      </c>
      <c r="Z2518" s="5">
        <v>42585</v>
      </c>
      <c r="AA2518" s="1">
        <v>4278690</v>
      </c>
      <c r="AB2518" s="1" t="s">
        <v>1485</v>
      </c>
      <c r="AC2518" s="5">
        <v>42696</v>
      </c>
      <c r="AF2518" s="1">
        <v>10013</v>
      </c>
      <c r="AJ2518" s="1">
        <v>1869</v>
      </c>
      <c r="AL2518" s="1">
        <v>8</v>
      </c>
    </row>
    <row r="2519" spans="1:38" x14ac:dyDescent="0.2">
      <c r="A2519" s="2" t="str">
        <f>HYPERLINK("https://www.compass.com/listing/108-leonard-street-unit-10d-manhattan-ny-10013/625416919371476537/","108 Leonard St, Unit 10D")</f>
        <v>108 Leonard St, Unit 10D</v>
      </c>
      <c r="B2519" s="2" t="str">
        <f t="shared" ref="B2519:B2520" si="410">HYPERLINK("https://www.compass.com/building/108-leonard-st-manhattan-ny-10013/307456049610778277/","108 Leonard St")</f>
        <v>108 Leonard St</v>
      </c>
      <c r="C2519" s="1" t="s">
        <v>113</v>
      </c>
      <c r="D2519" s="1" t="s">
        <v>41</v>
      </c>
      <c r="E2519" s="3">
        <v>1632062</v>
      </c>
      <c r="F2519" s="1">
        <v>1739.9385181236601</v>
      </c>
      <c r="G2519" s="1">
        <v>3</v>
      </c>
      <c r="H2519" s="1">
        <v>1</v>
      </c>
      <c r="I2519" s="1">
        <v>2</v>
      </c>
      <c r="J2519" s="1">
        <v>1.5</v>
      </c>
      <c r="K2519" s="1">
        <v>1</v>
      </c>
      <c r="L2519" s="1">
        <v>1</v>
      </c>
      <c r="M2519" s="1">
        <v>938</v>
      </c>
      <c r="N2519" s="1">
        <v>1112</v>
      </c>
      <c r="O2519" s="1">
        <v>2617</v>
      </c>
      <c r="P2519" s="1">
        <v>1505</v>
      </c>
      <c r="Q2519" s="1" t="s">
        <v>42</v>
      </c>
      <c r="S2519" s="1" t="s">
        <v>42</v>
      </c>
      <c r="T2519" s="1" t="s">
        <v>273</v>
      </c>
      <c r="U2519" s="1">
        <v>2</v>
      </c>
      <c r="V2519" s="5">
        <v>44119</v>
      </c>
      <c r="W2519" s="5">
        <v>44111</v>
      </c>
      <c r="X2519" s="1">
        <v>1840000</v>
      </c>
      <c r="Y2519" s="1">
        <v>1840000</v>
      </c>
      <c r="Z2519" s="5">
        <v>44113</v>
      </c>
      <c r="AA2519" s="1">
        <v>1632062.33</v>
      </c>
      <c r="AB2519" s="1" t="s">
        <v>1486</v>
      </c>
      <c r="AC2519" s="5">
        <v>44117</v>
      </c>
      <c r="AF2519" s="1">
        <v>10013</v>
      </c>
      <c r="AI2519" s="1" t="s">
        <v>78</v>
      </c>
      <c r="AJ2519" s="1">
        <v>1899</v>
      </c>
      <c r="AK2519" s="1" t="s">
        <v>55</v>
      </c>
      <c r="AL2519" s="1">
        <v>167</v>
      </c>
    </row>
    <row r="2520" spans="1:38" x14ac:dyDescent="0.2">
      <c r="A2520" s="2" t="str">
        <f>HYPERLINK("https://www.compass.com/listing/108-leonard-street-unit-8e-manhattan-ny-10013/198514638726488353/","108 Leonard St, Unit 8E")</f>
        <v>108 Leonard St, Unit 8E</v>
      </c>
      <c r="B2520" s="2" t="str">
        <f t="shared" si="410"/>
        <v>108 Leonard St</v>
      </c>
      <c r="C2520" s="1" t="s">
        <v>50</v>
      </c>
      <c r="D2520" s="1" t="s">
        <v>41</v>
      </c>
      <c r="E2520" s="3">
        <v>2609630</v>
      </c>
      <c r="F2520" s="1">
        <v>2004.32403993855</v>
      </c>
      <c r="G2520" s="1">
        <v>3.5</v>
      </c>
      <c r="H2520" s="1">
        <v>2</v>
      </c>
      <c r="I2520" s="1">
        <v>3</v>
      </c>
      <c r="J2520" s="1">
        <v>2.5</v>
      </c>
      <c r="K2520" s="1">
        <v>2</v>
      </c>
      <c r="L2520" s="1">
        <v>1</v>
      </c>
      <c r="M2520" s="4">
        <v>1302</v>
      </c>
      <c r="N2520" s="1">
        <v>1548</v>
      </c>
      <c r="O2520" s="1">
        <v>3649</v>
      </c>
      <c r="P2520" s="1">
        <v>2101</v>
      </c>
      <c r="Q2520" s="1" t="s">
        <v>42</v>
      </c>
      <c r="S2520" s="1" t="s">
        <v>42</v>
      </c>
      <c r="T2520" s="1" t="s">
        <v>273</v>
      </c>
      <c r="U2520" s="1">
        <v>220</v>
      </c>
      <c r="V2520" s="5">
        <v>43801</v>
      </c>
      <c r="W2520" s="5">
        <v>43526</v>
      </c>
      <c r="X2520" s="1">
        <v>2640000</v>
      </c>
      <c r="Y2520" s="1">
        <v>2640000</v>
      </c>
      <c r="Z2520" s="5">
        <v>43746</v>
      </c>
      <c r="AA2520" s="1">
        <v>2609629.9</v>
      </c>
      <c r="AB2520" s="1" t="s">
        <v>1487</v>
      </c>
      <c r="AC2520" s="5">
        <v>43784</v>
      </c>
      <c r="AF2520" s="1">
        <v>10013</v>
      </c>
      <c r="AI2520" s="1" t="s">
        <v>78</v>
      </c>
      <c r="AJ2520" s="1">
        <v>1899</v>
      </c>
      <c r="AK2520" s="1" t="s">
        <v>175</v>
      </c>
      <c r="AL2520" s="1">
        <v>167</v>
      </c>
    </row>
    <row r="2521" spans="1:38" x14ac:dyDescent="0.2">
      <c r="A2521" s="2" t="str">
        <f>HYPERLINK("https://www.compass.com/listing/49-chambers-street-unit-10e-manhattan-ny-10007/835433116217181969/","49 Chambers St, Unit 10E")</f>
        <v>49 Chambers St, Unit 10E</v>
      </c>
      <c r="B2521" s="2" t="str">
        <f t="shared" ref="B2521:B2522" si="411">HYPERLINK("https://www.compass.com/building/49-chambers-manhattan-ny/282058733280852725/","49 Chambers")</f>
        <v>49 Chambers</v>
      </c>
      <c r="C2521" s="1" t="s">
        <v>113</v>
      </c>
      <c r="D2521" s="1" t="s">
        <v>41</v>
      </c>
      <c r="E2521" s="3">
        <v>5350000</v>
      </c>
      <c r="F2521" s="1">
        <v>1798.31932773109</v>
      </c>
      <c r="G2521" s="1">
        <v>7</v>
      </c>
      <c r="H2521" s="1">
        <v>3</v>
      </c>
      <c r="I2521" s="1">
        <v>4</v>
      </c>
      <c r="J2521" s="1">
        <v>3.5</v>
      </c>
      <c r="K2521" s="1">
        <v>3</v>
      </c>
      <c r="L2521" s="1">
        <v>1</v>
      </c>
      <c r="M2521" s="4">
        <v>2975</v>
      </c>
      <c r="N2521" s="1">
        <v>2290</v>
      </c>
      <c r="O2521" s="1">
        <v>6854</v>
      </c>
      <c r="P2521" s="1">
        <v>4564</v>
      </c>
      <c r="Q2521" s="1" t="s">
        <v>42</v>
      </c>
      <c r="S2521" s="1" t="s">
        <v>42</v>
      </c>
      <c r="T2521" s="1" t="s">
        <v>273</v>
      </c>
      <c r="U2521" s="1">
        <v>82</v>
      </c>
      <c r="V2521" s="5">
        <v>44398</v>
      </c>
      <c r="W2521" s="5">
        <v>44295</v>
      </c>
      <c r="X2521" s="1">
        <v>5350000</v>
      </c>
      <c r="Y2521" s="1">
        <v>5350000</v>
      </c>
      <c r="AA2521" s="1">
        <v>5350000</v>
      </c>
      <c r="AB2521" s="1" t="s">
        <v>275</v>
      </c>
      <c r="AC2521" s="5">
        <v>44377</v>
      </c>
      <c r="AF2521" s="1">
        <v>10007</v>
      </c>
      <c r="AI2521" s="1" t="s">
        <v>114</v>
      </c>
      <c r="AJ2521" s="1">
        <v>1910</v>
      </c>
      <c r="AK2521" s="1" t="s">
        <v>49</v>
      </c>
      <c r="AL2521" s="1">
        <v>99</v>
      </c>
    </row>
    <row r="2522" spans="1:38" x14ac:dyDescent="0.2">
      <c r="A2522" s="2" t="str">
        <f>HYPERLINK("https://www.compass.com/listing/49-chambers-street-unit-8b-manhattan-ny-10007/230984049915658609/","49 Chambers St, Unit 8B")</f>
        <v>49 Chambers St, Unit 8B</v>
      </c>
      <c r="B2522" s="2" t="str">
        <f t="shared" si="411"/>
        <v>49 Chambers</v>
      </c>
      <c r="C2522" s="1" t="s">
        <v>113</v>
      </c>
      <c r="D2522" s="1" t="s">
        <v>41</v>
      </c>
      <c r="E2522" s="3">
        <v>2900000</v>
      </c>
      <c r="F2522" s="1">
        <v>1657.1428571428501</v>
      </c>
      <c r="G2522" s="1">
        <v>5</v>
      </c>
      <c r="H2522" s="1">
        <v>2</v>
      </c>
      <c r="I2522" s="1">
        <v>3</v>
      </c>
      <c r="J2522" s="1">
        <v>2.5</v>
      </c>
      <c r="K2522" s="1">
        <v>2</v>
      </c>
      <c r="L2522" s="1">
        <v>1</v>
      </c>
      <c r="M2522" s="4">
        <v>1750</v>
      </c>
      <c r="N2522" s="1">
        <v>1202</v>
      </c>
      <c r="O2522" s="1">
        <v>3854</v>
      </c>
      <c r="P2522" s="1">
        <v>2652</v>
      </c>
      <c r="Q2522" s="1" t="s">
        <v>42</v>
      </c>
      <c r="S2522" s="1" t="s">
        <v>42</v>
      </c>
      <c r="T2522" s="1" t="s">
        <v>273</v>
      </c>
      <c r="V2522" s="5">
        <v>44289</v>
      </c>
      <c r="W2522" s="5">
        <v>43570</v>
      </c>
      <c r="X2522" s="1">
        <v>2925000</v>
      </c>
      <c r="Y2522" s="1">
        <v>2925000</v>
      </c>
      <c r="Z2522" s="5">
        <v>43571</v>
      </c>
      <c r="AA2522" s="1">
        <v>2900000</v>
      </c>
      <c r="AB2522" s="1" t="s">
        <v>275</v>
      </c>
      <c r="AC2522" s="5">
        <v>43781</v>
      </c>
      <c r="AF2522" s="1">
        <v>10007</v>
      </c>
      <c r="AI2522" s="1" t="s">
        <v>114</v>
      </c>
      <c r="AJ2522" s="1">
        <v>1910</v>
      </c>
      <c r="AK2522" s="1" t="s">
        <v>49</v>
      </c>
      <c r="AL2522" s="1">
        <v>99</v>
      </c>
    </row>
    <row r="2523" spans="1:38" x14ac:dyDescent="0.2">
      <c r="A2523" s="2" t="str">
        <f>HYPERLINK("https://www.compass.com/listing/67-69-franklin-street-unit-4a-manhattan-ny-10013/238633812232330401/","67-69 Franklin St, Unit 4A")</f>
        <v>67-69 Franklin St, Unit 4A</v>
      </c>
      <c r="B2523" s="2" t="str">
        <f>HYPERLINK("https://www.compass.com/building/cast-iron-house-manhattan-ny/567514773896133269/","Cast Iron House")</f>
        <v>Cast Iron House</v>
      </c>
      <c r="C2523" s="1" t="s">
        <v>50</v>
      </c>
      <c r="D2523" s="1" t="s">
        <v>41</v>
      </c>
      <c r="E2523" s="3">
        <v>5625000</v>
      </c>
      <c r="F2523" s="1">
        <v>1759.4619956208901</v>
      </c>
      <c r="G2523" s="1">
        <v>5</v>
      </c>
      <c r="H2523" s="1">
        <v>4</v>
      </c>
      <c r="I2523" s="1">
        <v>3</v>
      </c>
      <c r="J2523" s="1">
        <v>3</v>
      </c>
      <c r="K2523" s="1">
        <v>3</v>
      </c>
      <c r="M2523" s="4">
        <v>3197</v>
      </c>
      <c r="N2523" s="1">
        <v>3332</v>
      </c>
      <c r="O2523" s="1">
        <v>7831</v>
      </c>
      <c r="P2523" s="1">
        <v>4499</v>
      </c>
      <c r="Q2523" s="1" t="s">
        <v>42</v>
      </c>
      <c r="S2523" s="1" t="s">
        <v>42</v>
      </c>
      <c r="T2523" s="1" t="s">
        <v>273</v>
      </c>
      <c r="U2523" s="1">
        <v>513</v>
      </c>
      <c r="V2523" s="5">
        <v>44267</v>
      </c>
      <c r="W2523" s="5">
        <v>43579</v>
      </c>
      <c r="X2523" s="1">
        <v>7100000</v>
      </c>
      <c r="Y2523" s="1">
        <v>6400000</v>
      </c>
      <c r="Z2523" s="5">
        <v>44187</v>
      </c>
      <c r="AA2523" s="1">
        <v>5625000</v>
      </c>
      <c r="AB2523" s="1" t="s">
        <v>1488</v>
      </c>
      <c r="AC2523" s="5">
        <v>44218</v>
      </c>
      <c r="AF2523" s="1">
        <v>10013</v>
      </c>
      <c r="AI2523" s="1" t="s">
        <v>177</v>
      </c>
      <c r="AJ2523" s="1">
        <v>1881</v>
      </c>
      <c r="AK2523" s="1" t="s">
        <v>49</v>
      </c>
      <c r="AL2523" s="1">
        <v>13</v>
      </c>
    </row>
    <row r="2524" spans="1:38" x14ac:dyDescent="0.2">
      <c r="A2524" s="2" t="str">
        <f>HYPERLINK("https://www.compass.com/listing/49-chambers-street-unit-6d-manhattan-ny-10007/713797165129351129/","49 Chambers St, Unit 6D")</f>
        <v>49 Chambers St, Unit 6D</v>
      </c>
      <c r="B2524" s="2" t="str">
        <f t="shared" ref="B2524:B2525" si="412">HYPERLINK("https://www.compass.com/building/49-chambers-manhattan-ny/282058733280852725/","49 Chambers")</f>
        <v>49 Chambers</v>
      </c>
      <c r="C2524" s="1" t="s">
        <v>113</v>
      </c>
      <c r="D2524" s="1" t="s">
        <v>41</v>
      </c>
      <c r="E2524" s="3">
        <v>3725000</v>
      </c>
      <c r="F2524" s="1">
        <v>1651.1524822695001</v>
      </c>
      <c r="G2524" s="1">
        <v>6.5</v>
      </c>
      <c r="H2524" s="1">
        <v>3</v>
      </c>
      <c r="I2524" s="1">
        <v>3</v>
      </c>
      <c r="J2524" s="1">
        <v>2.5</v>
      </c>
      <c r="K2524" s="1">
        <v>2</v>
      </c>
      <c r="L2524" s="1">
        <v>1</v>
      </c>
      <c r="M2524" s="4">
        <v>2256</v>
      </c>
      <c r="N2524" s="1">
        <v>1668</v>
      </c>
      <c r="O2524" s="1">
        <v>4846</v>
      </c>
      <c r="P2524" s="1">
        <v>3178</v>
      </c>
      <c r="Q2524" s="1" t="s">
        <v>42</v>
      </c>
      <c r="S2524" s="1" t="s">
        <v>42</v>
      </c>
      <c r="T2524" s="1" t="s">
        <v>273</v>
      </c>
      <c r="U2524" s="1">
        <v>32</v>
      </c>
      <c r="V2524" s="5">
        <v>44323</v>
      </c>
      <c r="W2524" s="5">
        <v>44204</v>
      </c>
      <c r="X2524" s="1">
        <v>3725000</v>
      </c>
      <c r="Y2524" s="1">
        <v>3725000</v>
      </c>
      <c r="Z2524" s="5">
        <v>44237</v>
      </c>
      <c r="AA2524" s="1">
        <v>3725000</v>
      </c>
      <c r="AB2524" s="1" t="s">
        <v>275</v>
      </c>
      <c r="AC2524" s="5">
        <v>44302</v>
      </c>
      <c r="AF2524" s="1">
        <v>10007</v>
      </c>
      <c r="AI2524" s="1" t="s">
        <v>114</v>
      </c>
      <c r="AJ2524" s="1">
        <v>1910</v>
      </c>
      <c r="AK2524" s="1" t="s">
        <v>49</v>
      </c>
      <c r="AL2524" s="1">
        <v>99</v>
      </c>
    </row>
    <row r="2525" spans="1:38" x14ac:dyDescent="0.2">
      <c r="A2525" s="2" t="str">
        <f>HYPERLINK("https://www.compass.com/listing/49-chambers-street-unit-16d-manhattan-ny-10007/400023411540643217/","49 Chambers St, Unit 16D")</f>
        <v>49 Chambers St, Unit 16D</v>
      </c>
      <c r="B2525" s="2" t="str">
        <f t="shared" si="412"/>
        <v>49 Chambers</v>
      </c>
      <c r="C2525" s="1" t="s">
        <v>113</v>
      </c>
      <c r="D2525" s="1" t="s">
        <v>41</v>
      </c>
      <c r="E2525" s="3">
        <v>4050000</v>
      </c>
      <c r="F2525" s="1">
        <v>1795.2127659574401</v>
      </c>
      <c r="G2525" s="1">
        <v>5.5</v>
      </c>
      <c r="H2525" s="1">
        <v>2</v>
      </c>
      <c r="I2525" s="1">
        <v>3</v>
      </c>
      <c r="J2525" s="1">
        <v>2.5</v>
      </c>
      <c r="K2525" s="1">
        <v>2</v>
      </c>
      <c r="L2525" s="1">
        <v>1</v>
      </c>
      <c r="M2525" s="4">
        <v>2256</v>
      </c>
      <c r="N2525" s="1">
        <v>1676</v>
      </c>
      <c r="O2525" s="1">
        <v>5239</v>
      </c>
      <c r="P2525" s="1">
        <v>3563</v>
      </c>
      <c r="Q2525" s="1" t="s">
        <v>42</v>
      </c>
      <c r="S2525" s="1" t="s">
        <v>42</v>
      </c>
      <c r="T2525" s="1" t="s">
        <v>273</v>
      </c>
      <c r="V2525" s="5">
        <v>43932</v>
      </c>
      <c r="W2525" s="5">
        <v>43803</v>
      </c>
      <c r="X2525" s="1">
        <v>4425000</v>
      </c>
      <c r="Y2525" s="1">
        <v>4425000</v>
      </c>
      <c r="Z2525" s="5">
        <v>43804</v>
      </c>
      <c r="AA2525" s="1">
        <v>4050000</v>
      </c>
      <c r="AB2525" s="1" t="s">
        <v>275</v>
      </c>
      <c r="AC2525" s="5">
        <v>43846</v>
      </c>
      <c r="AF2525" s="1">
        <v>10007</v>
      </c>
      <c r="AI2525" s="1" t="s">
        <v>114</v>
      </c>
      <c r="AJ2525" s="1">
        <v>1910</v>
      </c>
      <c r="AK2525" s="1" t="s">
        <v>202</v>
      </c>
      <c r="AL2525" s="1">
        <v>99</v>
      </c>
    </row>
    <row r="2526" spans="1:38" x14ac:dyDescent="0.2">
      <c r="A2526" s="2" t="str">
        <f>HYPERLINK("https://www.compass.com/listing/108-leonard-street-unit-5c-manhattan-ny-10013/198516982058948129/","108 Leonard St, Unit 5C")</f>
        <v>108 Leonard St, Unit 5C</v>
      </c>
      <c r="B2526" s="2" t="str">
        <f>HYPERLINK("https://www.compass.com/building/108-leonard-st-manhattan-ny-10013/307456049610778277/","108 Leonard St")</f>
        <v>108 Leonard St</v>
      </c>
      <c r="C2526" s="1" t="s">
        <v>50</v>
      </c>
      <c r="D2526" s="1" t="s">
        <v>41</v>
      </c>
      <c r="E2526" s="3">
        <v>4254223</v>
      </c>
      <c r="F2526" s="1">
        <v>2212.2844357774302</v>
      </c>
      <c r="G2526" s="1">
        <v>6</v>
      </c>
      <c r="H2526" s="1">
        <v>3</v>
      </c>
      <c r="I2526" s="1">
        <v>4</v>
      </c>
      <c r="J2526" s="1">
        <v>3.5</v>
      </c>
      <c r="K2526" s="1">
        <v>3</v>
      </c>
      <c r="L2526" s="1">
        <v>1</v>
      </c>
      <c r="M2526" s="4">
        <v>1923</v>
      </c>
      <c r="N2526" s="1">
        <v>2286</v>
      </c>
      <c r="O2526" s="1">
        <v>5389</v>
      </c>
      <c r="P2526" s="1">
        <v>3103</v>
      </c>
      <c r="Q2526" s="1" t="s">
        <v>42</v>
      </c>
      <c r="S2526" s="1" t="s">
        <v>42</v>
      </c>
      <c r="T2526" s="1" t="s">
        <v>273</v>
      </c>
      <c r="U2526" s="1">
        <v>526</v>
      </c>
      <c r="V2526" s="5">
        <v>43807</v>
      </c>
      <c r="W2526" s="5">
        <v>43227</v>
      </c>
      <c r="X2526" s="1">
        <v>4240000</v>
      </c>
      <c r="Y2526" s="1">
        <v>4400000</v>
      </c>
      <c r="Z2526" s="5">
        <v>43754</v>
      </c>
      <c r="AA2526" s="1">
        <v>4254222.97</v>
      </c>
      <c r="AB2526" s="1" t="s">
        <v>1489</v>
      </c>
      <c r="AC2526" s="5">
        <v>43852</v>
      </c>
      <c r="AF2526" s="1">
        <v>10013</v>
      </c>
      <c r="AI2526" s="1" t="s">
        <v>78</v>
      </c>
      <c r="AJ2526" s="1">
        <v>1899</v>
      </c>
      <c r="AK2526" s="1" t="s">
        <v>46</v>
      </c>
      <c r="AL2526" s="1">
        <v>167</v>
      </c>
    </row>
    <row r="2527" spans="1:38" x14ac:dyDescent="0.2">
      <c r="A2527" s="2" t="str">
        <f>HYPERLINK("https://www.compass.com/listing/49-chambers-street-unit-9e-manhattan-ny-10007/613461537767760017/","49 Chambers St, Unit 9E")</f>
        <v>49 Chambers St, Unit 9E</v>
      </c>
      <c r="B2527" s="2" t="str">
        <f t="shared" ref="B2527:B2528" si="413">HYPERLINK("https://www.compass.com/building/49-chambers-manhattan-ny/282058733280852725/","49 Chambers")</f>
        <v>49 Chambers</v>
      </c>
      <c r="C2527" s="1" t="s">
        <v>113</v>
      </c>
      <c r="D2527" s="1" t="s">
        <v>41</v>
      </c>
      <c r="E2527" s="3">
        <v>5275000</v>
      </c>
      <c r="F2527" s="1">
        <v>1773.10924369747</v>
      </c>
      <c r="G2527" s="1">
        <v>6</v>
      </c>
      <c r="H2527" s="1">
        <v>3</v>
      </c>
      <c r="I2527" s="1">
        <v>4</v>
      </c>
      <c r="J2527" s="1">
        <v>3.5</v>
      </c>
      <c r="K2527" s="1">
        <v>3</v>
      </c>
      <c r="L2527" s="1">
        <v>1</v>
      </c>
      <c r="M2527" s="4">
        <v>2975</v>
      </c>
      <c r="N2527" s="1">
        <v>2275</v>
      </c>
      <c r="O2527" s="1">
        <v>6776</v>
      </c>
      <c r="P2527" s="1">
        <v>4501</v>
      </c>
      <c r="Q2527" s="1" t="s">
        <v>42</v>
      </c>
      <c r="S2527" s="1" t="s">
        <v>42</v>
      </c>
      <c r="T2527" s="1" t="s">
        <v>273</v>
      </c>
      <c r="U2527" s="1">
        <v>148</v>
      </c>
      <c r="V2527" s="5">
        <v>44402</v>
      </c>
      <c r="W2527" s="5">
        <v>44096</v>
      </c>
      <c r="X2527" s="1">
        <v>5275000</v>
      </c>
      <c r="Y2527" s="1">
        <v>5275000</v>
      </c>
      <c r="AA2527" s="1">
        <v>5275000</v>
      </c>
      <c r="AB2527" s="1" t="s">
        <v>275</v>
      </c>
      <c r="AC2527" s="5">
        <v>44364</v>
      </c>
      <c r="AF2527" s="1">
        <v>10007</v>
      </c>
      <c r="AI2527" s="1" t="s">
        <v>114</v>
      </c>
      <c r="AJ2527" s="1">
        <v>1910</v>
      </c>
      <c r="AK2527" s="1" t="s">
        <v>49</v>
      </c>
      <c r="AL2527" s="1">
        <v>99</v>
      </c>
    </row>
    <row r="2528" spans="1:38" x14ac:dyDescent="0.2">
      <c r="A2528" s="2" t="str">
        <f>HYPERLINK("https://www.compass.com/listing/49-chambers-street-unit-16e-manhattan-ny-10007/402137532878897233/","49 Chambers St, Unit 16E")</f>
        <v>49 Chambers St, Unit 16E</v>
      </c>
      <c r="B2528" s="2" t="str">
        <f t="shared" si="413"/>
        <v>49 Chambers</v>
      </c>
      <c r="C2528" s="1" t="s">
        <v>113</v>
      </c>
      <c r="D2528" s="1" t="s">
        <v>41</v>
      </c>
      <c r="E2528" s="3">
        <v>5400000</v>
      </c>
      <c r="F2528" s="1">
        <v>1815.12605042016</v>
      </c>
      <c r="G2528" s="1">
        <v>9</v>
      </c>
      <c r="H2528" s="1">
        <v>3</v>
      </c>
      <c r="I2528" s="1">
        <v>4</v>
      </c>
      <c r="J2528" s="1">
        <v>3.5</v>
      </c>
      <c r="K2528" s="1">
        <v>3</v>
      </c>
      <c r="L2528" s="1">
        <v>1</v>
      </c>
      <c r="M2528" s="4">
        <v>2975</v>
      </c>
      <c r="N2528" s="1">
        <v>2190</v>
      </c>
      <c r="O2528" s="1">
        <v>6800</v>
      </c>
      <c r="P2528" s="1">
        <v>4610</v>
      </c>
      <c r="Q2528" s="1" t="s">
        <v>42</v>
      </c>
      <c r="S2528" s="1" t="s">
        <v>42</v>
      </c>
      <c r="T2528" s="1" t="s">
        <v>273</v>
      </c>
      <c r="U2528" s="1">
        <v>1</v>
      </c>
      <c r="V2528" s="5">
        <v>43932</v>
      </c>
      <c r="W2528" s="5">
        <v>43805</v>
      </c>
      <c r="X2528" s="1">
        <v>5725000</v>
      </c>
      <c r="Y2528" s="1">
        <v>5725000</v>
      </c>
      <c r="Z2528" s="5">
        <v>43807</v>
      </c>
      <c r="AA2528" s="1">
        <v>5400000</v>
      </c>
      <c r="AB2528" s="1" t="s">
        <v>275</v>
      </c>
      <c r="AC2528" s="5">
        <v>43832</v>
      </c>
      <c r="AF2528" s="1">
        <v>10007</v>
      </c>
      <c r="AI2528" s="1" t="s">
        <v>114</v>
      </c>
      <c r="AJ2528" s="1">
        <v>1910</v>
      </c>
      <c r="AK2528" s="1" t="s">
        <v>202</v>
      </c>
      <c r="AL2528" s="1">
        <v>99</v>
      </c>
    </row>
    <row r="2529" spans="1:38" x14ac:dyDescent="0.2">
      <c r="A2529" s="2" t="str">
        <f>HYPERLINK("https://www.compass.com/listing/108-leonard-street-unit-9k-manhattan-ny-10013/278183053736542993/","108 Leonard St, Unit 9K")</f>
        <v>108 Leonard St, Unit 9K</v>
      </c>
      <c r="B2529" s="2" t="str">
        <f t="shared" ref="B2529:B2531" si="414">HYPERLINK("https://www.compass.com/building/108-leonard-st-manhattan-ny-10013/307456049610778277/","108 Leonard St")</f>
        <v>108 Leonard St</v>
      </c>
      <c r="C2529" s="1" t="s">
        <v>50</v>
      </c>
      <c r="D2529" s="1" t="s">
        <v>41</v>
      </c>
      <c r="E2529" s="3">
        <v>1820721</v>
      </c>
      <c r="F2529" s="1">
        <v>1930.77475079533</v>
      </c>
      <c r="G2529" s="1">
        <v>3</v>
      </c>
      <c r="H2529" s="1">
        <v>1</v>
      </c>
      <c r="I2529" s="1">
        <v>2</v>
      </c>
      <c r="J2529" s="1">
        <v>1.5</v>
      </c>
      <c r="K2529" s="1">
        <v>1</v>
      </c>
      <c r="L2529" s="1">
        <v>1</v>
      </c>
      <c r="M2529" s="1">
        <v>943</v>
      </c>
      <c r="N2529" s="1">
        <v>1121</v>
      </c>
      <c r="O2529" s="1">
        <v>2643</v>
      </c>
      <c r="P2529" s="1">
        <v>1522</v>
      </c>
      <c r="Q2529" s="1" t="s">
        <v>42</v>
      </c>
      <c r="S2529" s="1" t="s">
        <v>42</v>
      </c>
      <c r="T2529" s="1" t="s">
        <v>273</v>
      </c>
      <c r="V2529" s="5">
        <v>44289</v>
      </c>
      <c r="W2529" s="5">
        <v>43420</v>
      </c>
      <c r="X2529" s="1">
        <v>1870000</v>
      </c>
      <c r="Y2529" s="1">
        <v>1870000</v>
      </c>
      <c r="AA2529" s="1">
        <v>1820720.59</v>
      </c>
      <c r="AB2529" s="1" t="s">
        <v>1490</v>
      </c>
      <c r="AC2529" s="5">
        <v>43872</v>
      </c>
      <c r="AF2529" s="1">
        <v>10013</v>
      </c>
      <c r="AI2529" s="1" t="s">
        <v>78</v>
      </c>
      <c r="AJ2529" s="1">
        <v>1899</v>
      </c>
      <c r="AK2529" s="1" t="s">
        <v>115</v>
      </c>
      <c r="AL2529" s="1">
        <v>167</v>
      </c>
    </row>
    <row r="2530" spans="1:38" x14ac:dyDescent="0.2">
      <c r="A2530" s="2" t="str">
        <f>HYPERLINK("https://www.compass.com/listing/108-leonard-street-unit-8k-manhattan-ny-10013/363776536399287233/","108 Leonard St, Unit 8K")</f>
        <v>108 Leonard St, Unit 8K</v>
      </c>
      <c r="B2530" s="2" t="str">
        <f t="shared" si="414"/>
        <v>108 Leonard St</v>
      </c>
      <c r="C2530" s="1" t="s">
        <v>50</v>
      </c>
      <c r="D2530" s="1" t="s">
        <v>41</v>
      </c>
      <c r="E2530" s="3">
        <v>1786541</v>
      </c>
      <c r="F2530" s="1">
        <v>1890.51933333333</v>
      </c>
      <c r="G2530" s="1">
        <v>3</v>
      </c>
      <c r="H2530" s="1">
        <v>1</v>
      </c>
      <c r="I2530" s="1">
        <v>2</v>
      </c>
      <c r="J2530" s="1">
        <v>1.5</v>
      </c>
      <c r="K2530" s="1">
        <v>1</v>
      </c>
      <c r="L2530" s="1">
        <v>1</v>
      </c>
      <c r="M2530" s="1">
        <v>945</v>
      </c>
      <c r="N2530" s="1">
        <v>1123</v>
      </c>
      <c r="O2530" s="1">
        <v>2648</v>
      </c>
      <c r="P2530" s="1">
        <v>1525</v>
      </c>
      <c r="Q2530" s="1" t="s">
        <v>42</v>
      </c>
      <c r="S2530" s="1" t="s">
        <v>42</v>
      </c>
      <c r="T2530" s="1" t="s">
        <v>273</v>
      </c>
      <c r="U2530" s="1">
        <v>22</v>
      </c>
      <c r="V2530" s="5">
        <v>43807</v>
      </c>
      <c r="W2530" s="5">
        <v>43753</v>
      </c>
      <c r="X2530" s="1">
        <v>1830000</v>
      </c>
      <c r="Y2530" s="1">
        <v>1830000</v>
      </c>
      <c r="AA2530" s="1">
        <v>1786540.77</v>
      </c>
      <c r="AB2530" s="1" t="s">
        <v>1491</v>
      </c>
      <c r="AC2530" s="5">
        <v>43895</v>
      </c>
      <c r="AF2530" s="1">
        <v>10013</v>
      </c>
      <c r="AI2530" s="1" t="s">
        <v>78</v>
      </c>
      <c r="AJ2530" s="1">
        <v>1899</v>
      </c>
      <c r="AK2530" s="1" t="s">
        <v>49</v>
      </c>
      <c r="AL2530" s="1">
        <v>167</v>
      </c>
    </row>
    <row r="2531" spans="1:38" x14ac:dyDescent="0.2">
      <c r="A2531" s="2" t="str">
        <f>HYPERLINK("https://www.compass.com/listing/108-leonard-street-unit-11d-manhattan-ny-10013/460211326380592713/","108 Leonard St, Unit 11D")</f>
        <v>108 Leonard St, Unit 11D</v>
      </c>
      <c r="B2531" s="2" t="str">
        <f t="shared" si="414"/>
        <v>108 Leonard St</v>
      </c>
      <c r="C2531" s="1" t="s">
        <v>50</v>
      </c>
      <c r="D2531" s="1" t="s">
        <v>41</v>
      </c>
      <c r="E2531" s="3">
        <v>1737714</v>
      </c>
      <c r="F2531" s="1">
        <v>1836.90680761099</v>
      </c>
      <c r="G2531" s="1">
        <v>4</v>
      </c>
      <c r="H2531" s="1">
        <v>1</v>
      </c>
      <c r="I2531" s="1">
        <v>2</v>
      </c>
      <c r="J2531" s="1">
        <v>1.5</v>
      </c>
      <c r="K2531" s="1">
        <v>1</v>
      </c>
      <c r="L2531" s="1">
        <v>1</v>
      </c>
      <c r="M2531" s="1">
        <v>946</v>
      </c>
      <c r="N2531" s="1">
        <v>1125</v>
      </c>
      <c r="O2531" s="1">
        <v>1125</v>
      </c>
      <c r="Q2531" s="1" t="s">
        <v>42</v>
      </c>
      <c r="S2531" s="1" t="s">
        <v>42</v>
      </c>
      <c r="T2531" s="1" t="s">
        <v>273</v>
      </c>
      <c r="U2531" s="1">
        <v>10</v>
      </c>
      <c r="V2531" s="5">
        <v>43906</v>
      </c>
      <c r="W2531" s="5">
        <v>43889</v>
      </c>
      <c r="X2531" s="1">
        <v>1765000</v>
      </c>
      <c r="Y2531" s="1">
        <v>1765000</v>
      </c>
      <c r="AA2531" s="1">
        <v>1737713.84</v>
      </c>
      <c r="AB2531" s="1" t="s">
        <v>1492</v>
      </c>
      <c r="AC2531" s="5">
        <v>43899</v>
      </c>
      <c r="AF2531" s="1">
        <v>10013</v>
      </c>
      <c r="AI2531" s="1" t="s">
        <v>78</v>
      </c>
      <c r="AJ2531" s="1">
        <v>1899</v>
      </c>
      <c r="AK2531" s="1" t="s">
        <v>49</v>
      </c>
      <c r="AL2531" s="1">
        <v>167</v>
      </c>
    </row>
    <row r="2532" spans="1:38" x14ac:dyDescent="0.2">
      <c r="A2532" s="2" t="str">
        <f>HYPERLINK("https://www.compass.com/listing/70-charlton-street-unit-14d-manhattan-ny-10014/405629318264041057/","70 Charlton St, Unit 14D")</f>
        <v>70 Charlton St, Unit 14D</v>
      </c>
      <c r="B2532" s="2" t="str">
        <f>HYPERLINK("https://www.compass.com/building/70-charlton-street-manhattan-ny/292835639240484293/","70 Charlton Street")</f>
        <v>70 Charlton Street</v>
      </c>
      <c r="C2532" s="1" t="s">
        <v>53</v>
      </c>
      <c r="D2532" s="1" t="s">
        <v>41</v>
      </c>
      <c r="E2532" s="3">
        <v>1775000</v>
      </c>
      <c r="F2532" s="1">
        <v>2135.9807460890402</v>
      </c>
      <c r="G2532" s="1">
        <v>3</v>
      </c>
      <c r="H2532" s="1">
        <v>1</v>
      </c>
      <c r="I2532" s="1">
        <v>1</v>
      </c>
      <c r="J2532" s="1">
        <v>1</v>
      </c>
      <c r="K2532" s="1">
        <v>1</v>
      </c>
      <c r="M2532" s="1">
        <v>831</v>
      </c>
      <c r="N2532" s="1">
        <v>1844</v>
      </c>
      <c r="O2532" s="1">
        <v>1844</v>
      </c>
      <c r="Q2532" s="1" t="s">
        <v>105</v>
      </c>
      <c r="S2532" s="1" t="s">
        <v>105</v>
      </c>
      <c r="T2532" s="1" t="s">
        <v>273</v>
      </c>
      <c r="U2532" s="1">
        <v>22</v>
      </c>
      <c r="V2532" s="5">
        <v>43908</v>
      </c>
      <c r="W2532" s="5">
        <v>43811</v>
      </c>
      <c r="X2532" s="1">
        <v>1775000</v>
      </c>
      <c r="Y2532" s="1">
        <v>1775000</v>
      </c>
      <c r="Z2532" s="5">
        <v>43834</v>
      </c>
      <c r="AA2532" s="1">
        <v>1775000</v>
      </c>
      <c r="AB2532" s="1" t="s">
        <v>275</v>
      </c>
      <c r="AC2532" s="5">
        <v>43908</v>
      </c>
      <c r="AF2532" s="1">
        <v>10014</v>
      </c>
      <c r="AI2532" s="1" t="s">
        <v>80</v>
      </c>
      <c r="AJ2532" s="1">
        <v>2016</v>
      </c>
      <c r="AK2532" s="1" t="s">
        <v>46</v>
      </c>
      <c r="AL2532" s="1">
        <v>92</v>
      </c>
    </row>
    <row r="2533" spans="1:38" x14ac:dyDescent="0.2">
      <c r="A2533" s="2" t="str">
        <f>HYPERLINK("https://www.compass.com/listing/49-chambers-street-unit-phb-manhattan-ny-10007/29513623940367889/","49 Chambers St, Unit PHB")</f>
        <v>49 Chambers St, Unit PHB</v>
      </c>
      <c r="B2533" s="2" t="str">
        <f t="shared" ref="B2533:B2537" si="415">HYPERLINK("https://www.compass.com/building/49-chambers-manhattan-ny/282058733280852725/","49 Chambers")</f>
        <v>49 Chambers</v>
      </c>
      <c r="C2533" s="1" t="s">
        <v>113</v>
      </c>
      <c r="D2533" s="1" t="s">
        <v>41</v>
      </c>
      <c r="E2533" s="3">
        <v>8750000</v>
      </c>
      <c r="F2533" s="1">
        <v>2229.8674821610598</v>
      </c>
      <c r="G2533" s="1">
        <v>7</v>
      </c>
      <c r="H2533" s="1">
        <v>3</v>
      </c>
      <c r="I2533" s="1">
        <v>4</v>
      </c>
      <c r="J2533" s="1">
        <v>3.5</v>
      </c>
      <c r="K2533" s="1">
        <v>3</v>
      </c>
      <c r="L2533" s="1">
        <v>1</v>
      </c>
      <c r="M2533" s="4">
        <v>3924</v>
      </c>
      <c r="N2533" s="1">
        <v>3182</v>
      </c>
      <c r="O2533" s="1">
        <v>10205</v>
      </c>
      <c r="P2533" s="1">
        <v>7023</v>
      </c>
      <c r="Q2533" s="1" t="s">
        <v>42</v>
      </c>
      <c r="S2533" s="1" t="s">
        <v>42</v>
      </c>
      <c r="T2533" s="1" t="s">
        <v>273</v>
      </c>
      <c r="U2533" s="1">
        <v>1</v>
      </c>
      <c r="V2533" s="5">
        <v>43932</v>
      </c>
      <c r="W2533" s="5">
        <v>43264</v>
      </c>
      <c r="X2533" s="1">
        <v>8950000</v>
      </c>
      <c r="Y2533" s="1">
        <v>8950000</v>
      </c>
      <c r="Z2533" s="5">
        <v>43266</v>
      </c>
      <c r="AA2533" s="1">
        <v>8750000</v>
      </c>
      <c r="AB2533" s="1" t="s">
        <v>275</v>
      </c>
      <c r="AC2533" s="5">
        <v>43766</v>
      </c>
      <c r="AF2533" s="1">
        <v>10007</v>
      </c>
      <c r="AI2533" s="1" t="s">
        <v>1493</v>
      </c>
      <c r="AJ2533" s="1">
        <v>1910</v>
      </c>
      <c r="AK2533" s="1" t="s">
        <v>49</v>
      </c>
      <c r="AL2533" s="1">
        <v>99</v>
      </c>
    </row>
    <row r="2534" spans="1:38" x14ac:dyDescent="0.2">
      <c r="A2534" s="2" t="str">
        <f>HYPERLINK("https://www.compass.com/listing/49-chambers-street-unit-phc-manhattan-ny-10007/542576958574537881/","49 Chambers St, Unit PHC")</f>
        <v>49 Chambers St, Unit PHC</v>
      </c>
      <c r="B2534" s="2" t="str">
        <f t="shared" si="415"/>
        <v>49 Chambers</v>
      </c>
      <c r="C2534" s="1" t="s">
        <v>113</v>
      </c>
      <c r="D2534" s="1" t="s">
        <v>41</v>
      </c>
      <c r="E2534" s="3">
        <v>6275000</v>
      </c>
      <c r="F2534" s="1">
        <v>2099.3643358982899</v>
      </c>
      <c r="G2534" s="1">
        <v>7</v>
      </c>
      <c r="H2534" s="1">
        <v>3</v>
      </c>
      <c r="I2534" s="1">
        <v>4</v>
      </c>
      <c r="J2534" s="1">
        <v>3.5</v>
      </c>
      <c r="K2534" s="1">
        <v>3</v>
      </c>
      <c r="L2534" s="1">
        <v>1</v>
      </c>
      <c r="M2534" s="4">
        <v>2989</v>
      </c>
      <c r="N2534" s="1">
        <v>2525</v>
      </c>
      <c r="O2534" s="1">
        <v>7972</v>
      </c>
      <c r="P2534" s="1">
        <v>5447</v>
      </c>
      <c r="Q2534" s="1" t="s">
        <v>42</v>
      </c>
      <c r="S2534" s="1" t="s">
        <v>42</v>
      </c>
      <c r="T2534" s="1" t="s">
        <v>273</v>
      </c>
      <c r="U2534" s="1">
        <v>164</v>
      </c>
      <c r="V2534" s="5">
        <v>44404</v>
      </c>
      <c r="W2534" s="5">
        <v>43999</v>
      </c>
      <c r="Z2534" s="5">
        <v>44169</v>
      </c>
      <c r="AA2534" s="1">
        <v>6275000</v>
      </c>
      <c r="AB2534" s="1" t="s">
        <v>275</v>
      </c>
      <c r="AC2534" s="5">
        <v>44221</v>
      </c>
      <c r="AF2534" s="1">
        <v>10007</v>
      </c>
      <c r="AI2534" s="1" t="s">
        <v>114</v>
      </c>
      <c r="AJ2534" s="1">
        <v>1910</v>
      </c>
      <c r="AK2534" s="1" t="s">
        <v>49</v>
      </c>
      <c r="AL2534" s="1">
        <v>99</v>
      </c>
    </row>
    <row r="2535" spans="1:38" x14ac:dyDescent="0.2">
      <c r="A2535" s="2" t="str">
        <f>HYPERLINK("https://www.compass.com/listing/49-chambers-street-unit-5a-manhattan-ny-10007/694239092411052089/","49 Chambers St, Unit 5A")</f>
        <v>49 Chambers St, Unit 5A</v>
      </c>
      <c r="B2535" s="2" t="str">
        <f t="shared" si="415"/>
        <v>49 Chambers</v>
      </c>
      <c r="C2535" s="1" t="s">
        <v>113</v>
      </c>
      <c r="D2535" s="1" t="s">
        <v>41</v>
      </c>
      <c r="E2535" s="3">
        <v>3275000</v>
      </c>
      <c r="F2535" s="1">
        <v>1780.85916258836</v>
      </c>
      <c r="G2535" s="1">
        <v>4</v>
      </c>
      <c r="H2535" s="1">
        <v>2</v>
      </c>
      <c r="I2535" s="1">
        <v>2</v>
      </c>
      <c r="J2535" s="1">
        <v>2</v>
      </c>
      <c r="K2535" s="1">
        <v>2</v>
      </c>
      <c r="M2535" s="4">
        <v>1839</v>
      </c>
      <c r="N2535" s="1">
        <v>1410</v>
      </c>
      <c r="O2535" s="1">
        <v>4205</v>
      </c>
      <c r="P2535" s="1">
        <v>2795</v>
      </c>
      <c r="Q2535" s="1" t="s">
        <v>42</v>
      </c>
      <c r="S2535" s="1" t="s">
        <v>42</v>
      </c>
      <c r="T2535" s="1" t="s">
        <v>273</v>
      </c>
      <c r="U2535" s="1">
        <v>5</v>
      </c>
      <c r="V2535" s="5">
        <v>44314</v>
      </c>
      <c r="W2535" s="5">
        <v>44204</v>
      </c>
      <c r="X2535" s="1">
        <v>3275000</v>
      </c>
      <c r="Z2535" s="5">
        <v>44210</v>
      </c>
      <c r="AB2535" s="1" t="s">
        <v>275</v>
      </c>
      <c r="AF2535" s="1">
        <v>10007</v>
      </c>
      <c r="AI2535" s="1" t="s">
        <v>114</v>
      </c>
      <c r="AJ2535" s="1">
        <v>1910</v>
      </c>
      <c r="AK2535" s="1" t="s">
        <v>49</v>
      </c>
      <c r="AL2535" s="1">
        <v>99</v>
      </c>
    </row>
    <row r="2536" spans="1:38" x14ac:dyDescent="0.2">
      <c r="A2536" s="2" t="str">
        <f>HYPERLINK("https://www.compass.com/listing/49-chambers-street-unit-15g-manhattan-ny-10007/841572422079949793/","49 Chambers St, Unit 15G")</f>
        <v>49 Chambers St, Unit 15G</v>
      </c>
      <c r="B2536" s="2" t="str">
        <f t="shared" si="415"/>
        <v>49 Chambers</v>
      </c>
      <c r="C2536" s="1" t="s">
        <v>113</v>
      </c>
      <c r="D2536" s="1" t="s">
        <v>41</v>
      </c>
      <c r="E2536" s="3">
        <v>1750000</v>
      </c>
      <c r="F2536" s="1">
        <v>1523.06353350739</v>
      </c>
      <c r="G2536" s="1">
        <v>4</v>
      </c>
      <c r="H2536" s="1">
        <v>1</v>
      </c>
      <c r="I2536" s="1">
        <v>2</v>
      </c>
      <c r="J2536" s="1">
        <v>1.5</v>
      </c>
      <c r="K2536" s="1">
        <v>1</v>
      </c>
      <c r="L2536" s="1">
        <v>1</v>
      </c>
      <c r="M2536" s="4">
        <v>1149</v>
      </c>
      <c r="N2536" s="1">
        <v>921</v>
      </c>
      <c r="O2536" s="1">
        <v>2827</v>
      </c>
      <c r="P2536" s="1">
        <v>1906</v>
      </c>
      <c r="S2536" s="1" t="s">
        <v>42</v>
      </c>
      <c r="T2536" s="1" t="s">
        <v>273</v>
      </c>
      <c r="V2536" s="5">
        <v>44417</v>
      </c>
      <c r="W2536" s="5">
        <v>44236</v>
      </c>
      <c r="X2536" s="1">
        <v>2235000</v>
      </c>
      <c r="Y2536" s="1">
        <v>2235000</v>
      </c>
      <c r="Z2536" s="5">
        <v>44236</v>
      </c>
      <c r="AA2536" s="1">
        <v>1750000</v>
      </c>
      <c r="AB2536" s="1" t="s">
        <v>275</v>
      </c>
      <c r="AC2536" s="5">
        <v>44295</v>
      </c>
      <c r="AF2536" s="1">
        <v>10007</v>
      </c>
      <c r="AI2536" s="1" t="s">
        <v>114</v>
      </c>
      <c r="AJ2536" s="1">
        <v>1910</v>
      </c>
      <c r="AK2536" s="1" t="s">
        <v>202</v>
      </c>
      <c r="AL2536" s="1">
        <v>99</v>
      </c>
    </row>
    <row r="2537" spans="1:38" x14ac:dyDescent="0.2">
      <c r="A2537" s="2" t="str">
        <f>HYPERLINK("https://www.compass.com/listing/49-chambers-street-unit-11e-manhattan-ny-10007/415787330452008753/","49 Chambers St, Unit 11E")</f>
        <v>49 Chambers St, Unit 11E</v>
      </c>
      <c r="B2537" s="2" t="str">
        <f t="shared" si="415"/>
        <v>49 Chambers</v>
      </c>
      <c r="C2537" s="1" t="s">
        <v>113</v>
      </c>
      <c r="D2537" s="1" t="s">
        <v>41</v>
      </c>
      <c r="E2537" s="3">
        <v>5050000</v>
      </c>
      <c r="F2537" s="1">
        <v>1697.4789915966301</v>
      </c>
      <c r="G2537" s="1">
        <v>6.5</v>
      </c>
      <c r="H2537" s="1">
        <v>3</v>
      </c>
      <c r="I2537" s="1">
        <v>4</v>
      </c>
      <c r="J2537" s="1">
        <v>3.5</v>
      </c>
      <c r="K2537" s="1">
        <v>3</v>
      </c>
      <c r="L2537" s="1">
        <v>1</v>
      </c>
      <c r="M2537" s="4">
        <v>2975</v>
      </c>
      <c r="N2537" s="1">
        <v>2092</v>
      </c>
      <c r="O2537" s="1">
        <v>6299</v>
      </c>
      <c r="P2537" s="1">
        <v>4207</v>
      </c>
      <c r="Q2537" s="1" t="s">
        <v>42</v>
      </c>
      <c r="S2537" s="1" t="s">
        <v>42</v>
      </c>
      <c r="T2537" s="1" t="s">
        <v>273</v>
      </c>
      <c r="V2537" s="5">
        <v>43932</v>
      </c>
      <c r="W2537" s="5">
        <v>43825</v>
      </c>
      <c r="X2537" s="1">
        <v>5225000</v>
      </c>
      <c r="Y2537" s="1">
        <v>5225000</v>
      </c>
      <c r="Z2537" s="5">
        <v>43826</v>
      </c>
      <c r="AA2537" s="1">
        <v>5050000</v>
      </c>
      <c r="AB2537" s="1" t="s">
        <v>275</v>
      </c>
      <c r="AC2537" s="5">
        <v>43895</v>
      </c>
      <c r="AF2537" s="1">
        <v>10007</v>
      </c>
      <c r="AI2537" s="1" t="s">
        <v>114</v>
      </c>
      <c r="AJ2537" s="1">
        <v>1910</v>
      </c>
      <c r="AK2537" s="1" t="s">
        <v>202</v>
      </c>
      <c r="AL2537" s="1">
        <v>99</v>
      </c>
    </row>
    <row r="2538" spans="1:38" x14ac:dyDescent="0.2">
      <c r="A2538" s="2" t="str">
        <f>HYPERLINK("https://www.compass.com/listing/67-69-franklin-street-unit-2-3c-manhattan-ny-10013/263229917309824081/","67-69 Franklin St, Unit 2/3C")</f>
        <v>67-69 Franklin St, Unit 2/3C</v>
      </c>
      <c r="B2538" s="2" t="str">
        <f>HYPERLINK("https://www.compass.com/building/cast-iron-house-manhattan-ny/567514773896133269/","Cast Iron House")</f>
        <v>Cast Iron House</v>
      </c>
      <c r="C2538" s="1" t="s">
        <v>50</v>
      </c>
      <c r="D2538" s="1" t="s">
        <v>41</v>
      </c>
      <c r="E2538" s="3">
        <v>4300000</v>
      </c>
      <c r="F2538" s="1">
        <v>1504.02238544945</v>
      </c>
      <c r="G2538" s="1">
        <v>5</v>
      </c>
      <c r="H2538" s="1">
        <v>3</v>
      </c>
      <c r="I2538" s="1">
        <v>3</v>
      </c>
      <c r="J2538" s="1">
        <v>3</v>
      </c>
      <c r="K2538" s="1">
        <v>3</v>
      </c>
      <c r="M2538" s="4">
        <v>2859</v>
      </c>
      <c r="N2538" s="1">
        <v>2615</v>
      </c>
      <c r="O2538" s="1">
        <v>5902</v>
      </c>
      <c r="P2538" s="1">
        <v>3287</v>
      </c>
      <c r="Q2538" s="1" t="s">
        <v>42</v>
      </c>
      <c r="S2538" s="1" t="s">
        <v>42</v>
      </c>
      <c r="T2538" s="1" t="s">
        <v>273</v>
      </c>
      <c r="U2538" s="1">
        <v>391</v>
      </c>
      <c r="V2538" s="5">
        <v>43697</v>
      </c>
      <c r="W2538" s="5">
        <v>43225</v>
      </c>
      <c r="X2538" s="1">
        <v>4825000</v>
      </c>
      <c r="Y2538" s="1">
        <v>4525000</v>
      </c>
      <c r="Z2538" s="5">
        <v>43616</v>
      </c>
      <c r="AA2538" s="1">
        <v>4300000</v>
      </c>
      <c r="AB2538" s="1" t="s">
        <v>1494</v>
      </c>
      <c r="AC2538" s="5">
        <v>43643</v>
      </c>
      <c r="AF2538" s="1">
        <v>10013</v>
      </c>
      <c r="AI2538" s="1" t="s">
        <v>177</v>
      </c>
      <c r="AJ2538" s="1">
        <v>1881</v>
      </c>
      <c r="AK2538" s="1" t="s">
        <v>46</v>
      </c>
      <c r="AL2538" s="1">
        <v>13</v>
      </c>
    </row>
    <row r="2539" spans="1:38" x14ac:dyDescent="0.2">
      <c r="A2539" s="2" t="str">
        <f>HYPERLINK("https://www.compass.com/listing/49-chambers-street-unit-10g-manhattan-ny-10007/424623308764025313/","49 Chambers St, Unit 10G")</f>
        <v>49 Chambers St, Unit 10G</v>
      </c>
      <c r="B2539" s="2" t="str">
        <f>HYPERLINK("https://www.compass.com/building/49-chambers-manhattan-ny/282058733280852725/","49 Chambers")</f>
        <v>49 Chambers</v>
      </c>
      <c r="C2539" s="1" t="s">
        <v>113</v>
      </c>
      <c r="D2539" s="1" t="s">
        <v>41</v>
      </c>
      <c r="E2539" s="3">
        <v>1790000</v>
      </c>
      <c r="F2539" s="1">
        <v>1557.87641427328</v>
      </c>
      <c r="G2539" s="1">
        <v>3.5</v>
      </c>
      <c r="H2539" s="1">
        <v>1</v>
      </c>
      <c r="I2539" s="1">
        <v>2</v>
      </c>
      <c r="J2539" s="1">
        <v>1.5</v>
      </c>
      <c r="K2539" s="1">
        <v>1</v>
      </c>
      <c r="L2539" s="1">
        <v>1</v>
      </c>
      <c r="M2539" s="4">
        <v>1149</v>
      </c>
      <c r="N2539" s="1">
        <v>827</v>
      </c>
      <c r="O2539" s="1">
        <v>2531</v>
      </c>
      <c r="P2539" s="1">
        <v>1704</v>
      </c>
      <c r="Q2539" s="1" t="s">
        <v>42</v>
      </c>
      <c r="S2539" s="1" t="s">
        <v>42</v>
      </c>
      <c r="T2539" s="1" t="s">
        <v>273</v>
      </c>
      <c r="V2539" s="5">
        <v>43989</v>
      </c>
      <c r="W2539" s="5">
        <v>43837</v>
      </c>
      <c r="X2539" s="1">
        <v>2115000</v>
      </c>
      <c r="Y2539" s="1">
        <v>2115000</v>
      </c>
      <c r="Z2539" s="5">
        <v>43838</v>
      </c>
      <c r="AA2539" s="1">
        <v>1790000</v>
      </c>
      <c r="AB2539" s="1" t="s">
        <v>275</v>
      </c>
      <c r="AC2539" s="5">
        <v>43987</v>
      </c>
      <c r="AF2539" s="1">
        <v>10007</v>
      </c>
      <c r="AI2539" s="1" t="s">
        <v>114</v>
      </c>
      <c r="AJ2539" s="1">
        <v>1910</v>
      </c>
      <c r="AK2539" s="1" t="s">
        <v>202</v>
      </c>
      <c r="AL2539" s="1">
        <v>99</v>
      </c>
    </row>
    <row r="2540" spans="1:38" x14ac:dyDescent="0.2">
      <c r="A2540" s="2" t="str">
        <f>HYPERLINK("https://www.compass.com/listing/108-leonard-street-unit-11k-manhattan-ny-10013/492002823412934937/","108 Leonard St, Unit 11K")</f>
        <v>108 Leonard St, Unit 11K</v>
      </c>
      <c r="B2540" s="2" t="str">
        <f>HYPERLINK("https://www.compass.com/building/108-leonard-st-manhattan-ny-10013/307456049610778277/","108 Leonard St")</f>
        <v>108 Leonard St</v>
      </c>
      <c r="C2540" s="1" t="s">
        <v>113</v>
      </c>
      <c r="D2540" s="1" t="s">
        <v>41</v>
      </c>
      <c r="E2540" s="3">
        <v>1820960</v>
      </c>
      <c r="F2540" s="1">
        <v>1926.94133333333</v>
      </c>
      <c r="G2540" s="1">
        <v>3.5</v>
      </c>
      <c r="H2540" s="1">
        <v>1</v>
      </c>
      <c r="I2540" s="1">
        <v>2</v>
      </c>
      <c r="J2540" s="1">
        <v>1.5</v>
      </c>
      <c r="K2540" s="1">
        <v>1</v>
      </c>
      <c r="L2540" s="1">
        <v>1</v>
      </c>
      <c r="M2540" s="1">
        <v>945</v>
      </c>
      <c r="N2540" s="1">
        <v>1120</v>
      </c>
      <c r="O2540" s="1">
        <v>2635</v>
      </c>
      <c r="P2540" s="1">
        <v>1515</v>
      </c>
      <c r="Q2540" s="1" t="s">
        <v>42</v>
      </c>
      <c r="S2540" s="1" t="s">
        <v>42</v>
      </c>
      <c r="T2540" s="1" t="s">
        <v>273</v>
      </c>
      <c r="V2540" s="5">
        <v>43987</v>
      </c>
      <c r="W2540" s="5">
        <v>43927</v>
      </c>
      <c r="X2540" s="1">
        <v>2015000</v>
      </c>
      <c r="Y2540" s="1">
        <v>2015000</v>
      </c>
      <c r="Z2540" s="5">
        <v>43950</v>
      </c>
      <c r="AA2540" s="1">
        <v>1820959.56</v>
      </c>
      <c r="AB2540" s="1" t="s">
        <v>1495</v>
      </c>
      <c r="AC2540" s="5">
        <v>43979</v>
      </c>
      <c r="AF2540" s="1">
        <v>10013</v>
      </c>
      <c r="AI2540" s="1" t="s">
        <v>78</v>
      </c>
      <c r="AJ2540" s="1">
        <v>1899</v>
      </c>
      <c r="AK2540" s="1" t="s">
        <v>49</v>
      </c>
      <c r="AL2540" s="1">
        <v>167</v>
      </c>
    </row>
    <row r="2541" spans="1:38" x14ac:dyDescent="0.2">
      <c r="A2541" s="2" t="str">
        <f>HYPERLINK("https://www.compass.com/listing/49-chambers-street-unit-6c-manhattan-ny-10007/117328987881023889/","49 Chambers St, Unit 6C")</f>
        <v>49 Chambers St, Unit 6C</v>
      </c>
      <c r="B2541" s="2" t="str">
        <f t="shared" ref="B2541:B2546" si="416">HYPERLINK("https://www.compass.com/building/49-chambers-manhattan-ny/282058733280852725/","49 Chambers")</f>
        <v>49 Chambers</v>
      </c>
      <c r="C2541" s="1" t="s">
        <v>113</v>
      </c>
      <c r="D2541" s="1" t="s">
        <v>41</v>
      </c>
      <c r="E2541" s="3">
        <v>2000000</v>
      </c>
      <c r="F2541" s="1">
        <v>1550.3875968992199</v>
      </c>
      <c r="G2541" s="1">
        <v>4</v>
      </c>
      <c r="H2541" s="1">
        <v>1</v>
      </c>
      <c r="I2541" s="1">
        <v>2</v>
      </c>
      <c r="J2541" s="1">
        <v>1.5</v>
      </c>
      <c r="K2541" s="1">
        <v>1</v>
      </c>
      <c r="L2541" s="1">
        <v>1</v>
      </c>
      <c r="M2541" s="4">
        <v>1290</v>
      </c>
      <c r="N2541" s="1">
        <v>885</v>
      </c>
      <c r="O2541" s="1">
        <v>2838</v>
      </c>
      <c r="P2541" s="1">
        <v>1953</v>
      </c>
      <c r="Q2541" s="1" t="s">
        <v>42</v>
      </c>
      <c r="S2541" s="1" t="s">
        <v>42</v>
      </c>
      <c r="T2541" s="1" t="s">
        <v>273</v>
      </c>
      <c r="U2541" s="1">
        <v>95</v>
      </c>
      <c r="V2541" s="5">
        <v>43932</v>
      </c>
      <c r="W2541" s="5">
        <v>43413</v>
      </c>
      <c r="X2541" s="1">
        <v>2150000</v>
      </c>
      <c r="Y2541" s="1">
        <v>2150000</v>
      </c>
      <c r="Z2541" s="5">
        <v>43509</v>
      </c>
      <c r="AA2541" s="1">
        <v>2000000</v>
      </c>
      <c r="AB2541" s="1" t="s">
        <v>275</v>
      </c>
      <c r="AC2541" s="5">
        <v>43705</v>
      </c>
      <c r="AF2541" s="1">
        <v>10007</v>
      </c>
      <c r="AI2541" s="1" t="s">
        <v>114</v>
      </c>
      <c r="AJ2541" s="1">
        <v>1910</v>
      </c>
      <c r="AK2541" s="1" t="s">
        <v>202</v>
      </c>
      <c r="AL2541" s="1">
        <v>99</v>
      </c>
    </row>
    <row r="2542" spans="1:38" x14ac:dyDescent="0.2">
      <c r="A2542" s="2" t="str">
        <f>HYPERLINK("https://www.compass.com/listing/49-chambers-street-unit-12c-manhattan-ny-10007/403481952938787025/","49 Chambers St, Unit 12C")</f>
        <v>49 Chambers St, Unit 12C</v>
      </c>
      <c r="B2542" s="2" t="str">
        <f t="shared" si="416"/>
        <v>49 Chambers</v>
      </c>
      <c r="C2542" s="1" t="s">
        <v>113</v>
      </c>
      <c r="D2542" s="1" t="s">
        <v>41</v>
      </c>
      <c r="E2542" s="3">
        <v>2000000</v>
      </c>
      <c r="F2542" s="1">
        <v>1550.3875968992199</v>
      </c>
      <c r="G2542" s="1">
        <v>4</v>
      </c>
      <c r="H2542" s="1">
        <v>1</v>
      </c>
      <c r="I2542" s="1">
        <v>2</v>
      </c>
      <c r="J2542" s="1">
        <v>1.5</v>
      </c>
      <c r="K2542" s="1">
        <v>1</v>
      </c>
      <c r="L2542" s="1">
        <v>1</v>
      </c>
      <c r="M2542" s="4">
        <v>1290</v>
      </c>
      <c r="N2542" s="1">
        <v>925</v>
      </c>
      <c r="O2542" s="1">
        <v>2755</v>
      </c>
      <c r="P2542" s="1">
        <v>1830</v>
      </c>
      <c r="Q2542" s="1" t="s">
        <v>42</v>
      </c>
      <c r="S2542" s="1" t="s">
        <v>42</v>
      </c>
      <c r="T2542" s="1" t="s">
        <v>273</v>
      </c>
      <c r="U2542" s="1">
        <v>34</v>
      </c>
      <c r="V2542" s="5">
        <v>43932</v>
      </c>
      <c r="W2542" s="5">
        <v>43774</v>
      </c>
      <c r="X2542" s="1">
        <v>2355000</v>
      </c>
      <c r="Y2542" s="1">
        <v>2355000</v>
      </c>
      <c r="Z2542" s="5">
        <v>43809</v>
      </c>
      <c r="AA2542" s="1">
        <v>2000000</v>
      </c>
      <c r="AB2542" s="1" t="s">
        <v>275</v>
      </c>
      <c r="AC2542" s="5">
        <v>43815</v>
      </c>
      <c r="AF2542" s="1">
        <v>10007</v>
      </c>
      <c r="AI2542" s="1" t="s">
        <v>114</v>
      </c>
      <c r="AJ2542" s="1">
        <v>1910</v>
      </c>
      <c r="AK2542" s="1" t="s">
        <v>202</v>
      </c>
      <c r="AL2542" s="1">
        <v>99</v>
      </c>
    </row>
    <row r="2543" spans="1:38" x14ac:dyDescent="0.2">
      <c r="A2543" s="2" t="str">
        <f>HYPERLINK("https://www.compass.com/listing/49-chambers-street-unit-14c-manhattan-ny-10007/403617371185930529/","49 Chambers St, Unit 14C")</f>
        <v>49 Chambers St, Unit 14C</v>
      </c>
      <c r="B2543" s="2" t="str">
        <f t="shared" si="416"/>
        <v>49 Chambers</v>
      </c>
      <c r="C2543" s="1" t="s">
        <v>113</v>
      </c>
      <c r="D2543" s="1" t="s">
        <v>41</v>
      </c>
      <c r="E2543" s="3">
        <v>2025000</v>
      </c>
      <c r="F2543" s="1">
        <v>1569.7674418604599</v>
      </c>
      <c r="G2543" s="1">
        <v>4.5</v>
      </c>
      <c r="H2543" s="1">
        <v>1</v>
      </c>
      <c r="I2543" s="1">
        <v>2</v>
      </c>
      <c r="J2543" s="1">
        <v>1.5</v>
      </c>
      <c r="K2543" s="1">
        <v>1</v>
      </c>
      <c r="L2543" s="1">
        <v>1</v>
      </c>
      <c r="M2543" s="4">
        <v>1290</v>
      </c>
      <c r="N2543" s="1">
        <v>930</v>
      </c>
      <c r="O2543" s="1">
        <v>3012</v>
      </c>
      <c r="P2543" s="1">
        <v>2082</v>
      </c>
      <c r="Q2543" s="1" t="s">
        <v>42</v>
      </c>
      <c r="S2543" s="1" t="s">
        <v>42</v>
      </c>
      <c r="T2543" s="1" t="s">
        <v>273</v>
      </c>
      <c r="V2543" s="5">
        <v>44022</v>
      </c>
      <c r="W2543" s="5">
        <v>43808</v>
      </c>
      <c r="X2543" s="1">
        <v>2385000</v>
      </c>
      <c r="Y2543" s="1">
        <v>2385000</v>
      </c>
      <c r="Z2543" s="5">
        <v>43809</v>
      </c>
      <c r="AA2543" s="1">
        <v>2025000</v>
      </c>
      <c r="AB2543" s="1" t="s">
        <v>275</v>
      </c>
      <c r="AC2543" s="5">
        <v>43987</v>
      </c>
      <c r="AF2543" s="1">
        <v>10007</v>
      </c>
      <c r="AI2543" s="1" t="s">
        <v>114</v>
      </c>
      <c r="AJ2543" s="1">
        <v>1910</v>
      </c>
      <c r="AK2543" s="1" t="s">
        <v>202</v>
      </c>
      <c r="AL2543" s="1">
        <v>99</v>
      </c>
    </row>
    <row r="2544" spans="1:38" x14ac:dyDescent="0.2">
      <c r="A2544" s="2" t="str">
        <f>HYPERLINK("https://www.compass.com/listing/49-chambers-street-unit-11d-manhattan-ny-10007/29513619410564129/","49 Chambers St, Unit 11D")</f>
        <v>49 Chambers St, Unit 11D</v>
      </c>
      <c r="B2544" s="2" t="str">
        <f t="shared" si="416"/>
        <v>49 Chambers</v>
      </c>
      <c r="C2544" s="1" t="s">
        <v>113</v>
      </c>
      <c r="D2544" s="1" t="s">
        <v>41</v>
      </c>
      <c r="E2544" s="3">
        <v>4925000</v>
      </c>
      <c r="F2544" s="1">
        <v>2183.06737588652</v>
      </c>
      <c r="G2544" s="1">
        <v>5</v>
      </c>
      <c r="H2544" s="1">
        <v>2</v>
      </c>
      <c r="I2544" s="1">
        <v>3</v>
      </c>
      <c r="J2544" s="1">
        <v>2.5</v>
      </c>
      <c r="K2544" s="1">
        <v>2</v>
      </c>
      <c r="L2544" s="1">
        <v>1</v>
      </c>
      <c r="M2544" s="4">
        <v>2256</v>
      </c>
      <c r="N2544" s="1">
        <v>1630</v>
      </c>
      <c r="O2544" s="1">
        <v>6155</v>
      </c>
      <c r="P2544" s="1">
        <v>4525</v>
      </c>
      <c r="Q2544" s="1" t="s">
        <v>42</v>
      </c>
      <c r="S2544" s="1" t="s">
        <v>42</v>
      </c>
      <c r="T2544" s="1" t="s">
        <v>273</v>
      </c>
      <c r="U2544" s="1">
        <v>96</v>
      </c>
      <c r="V2544" s="5">
        <v>43932</v>
      </c>
      <c r="W2544" s="5">
        <v>43026</v>
      </c>
      <c r="X2544" s="1">
        <v>4125000</v>
      </c>
      <c r="Y2544" s="1">
        <v>4125000</v>
      </c>
      <c r="Z2544" s="5">
        <v>43123</v>
      </c>
      <c r="AA2544" s="1">
        <v>4925000</v>
      </c>
      <c r="AB2544" s="1" t="s">
        <v>275</v>
      </c>
      <c r="AC2544" s="5">
        <v>43585</v>
      </c>
      <c r="AF2544" s="1">
        <v>10007</v>
      </c>
      <c r="AI2544" s="1" t="s">
        <v>114</v>
      </c>
      <c r="AJ2544" s="1">
        <v>1910</v>
      </c>
      <c r="AK2544" s="1" t="s">
        <v>202</v>
      </c>
      <c r="AL2544" s="1">
        <v>99</v>
      </c>
    </row>
    <row r="2545" spans="1:38" x14ac:dyDescent="0.2">
      <c r="A2545" s="2" t="str">
        <f>HYPERLINK("https://www.compass.com/listing/49-chambers-street-unit-8g-manhattan-ny-10007/309285343828068033/","49 Chambers St, Unit 8G")</f>
        <v>49 Chambers St, Unit 8G</v>
      </c>
      <c r="B2545" s="2" t="str">
        <f t="shared" si="416"/>
        <v>49 Chambers</v>
      </c>
      <c r="C2545" s="1" t="s">
        <v>113</v>
      </c>
      <c r="D2545" s="1" t="s">
        <v>41</v>
      </c>
      <c r="E2545" s="3">
        <v>1900000</v>
      </c>
      <c r="F2545" s="1">
        <v>1653.6118363794601</v>
      </c>
      <c r="G2545" s="1">
        <v>4</v>
      </c>
      <c r="H2545" s="1">
        <v>1</v>
      </c>
      <c r="I2545" s="1">
        <v>2</v>
      </c>
      <c r="J2545" s="1">
        <v>2</v>
      </c>
      <c r="K2545" s="1">
        <v>2</v>
      </c>
      <c r="M2545" s="4">
        <v>1149</v>
      </c>
      <c r="N2545" s="1">
        <v>814</v>
      </c>
      <c r="O2545" s="1">
        <v>2304</v>
      </c>
      <c r="P2545" s="1">
        <v>1490</v>
      </c>
      <c r="Q2545" s="1" t="s">
        <v>42</v>
      </c>
      <c r="S2545" s="1" t="s">
        <v>42</v>
      </c>
      <c r="T2545" s="1" t="s">
        <v>273</v>
      </c>
      <c r="V2545" s="5">
        <v>43932</v>
      </c>
      <c r="W2545" s="5">
        <v>43678</v>
      </c>
      <c r="X2545" s="1">
        <v>1925000</v>
      </c>
      <c r="Y2545" s="1">
        <v>1925000</v>
      </c>
      <c r="Z2545" s="5">
        <v>43679</v>
      </c>
      <c r="AA2545" s="1">
        <v>1900000</v>
      </c>
      <c r="AB2545" s="1" t="s">
        <v>275</v>
      </c>
      <c r="AC2545" s="5">
        <v>43707</v>
      </c>
      <c r="AF2545" s="1">
        <v>10007</v>
      </c>
      <c r="AI2545" s="1" t="s">
        <v>114</v>
      </c>
      <c r="AJ2545" s="1">
        <v>1910</v>
      </c>
      <c r="AK2545" s="1" t="s">
        <v>49</v>
      </c>
      <c r="AL2545" s="1">
        <v>99</v>
      </c>
    </row>
    <row r="2546" spans="1:38" x14ac:dyDescent="0.2">
      <c r="A2546" s="2" t="str">
        <f>HYPERLINK("https://www.compass.com/listing/49-chambers-street-unit-12a-manhattan-ny-10007/713797275238000473/","49 Chambers St, Unit 12A")</f>
        <v>49 Chambers St, Unit 12A</v>
      </c>
      <c r="B2546" s="2" t="str">
        <f t="shared" si="416"/>
        <v>49 Chambers</v>
      </c>
      <c r="C2546" s="1" t="s">
        <v>113</v>
      </c>
      <c r="D2546" s="1" t="s">
        <v>41</v>
      </c>
      <c r="E2546" s="3">
        <v>2995000</v>
      </c>
      <c r="F2546" s="1">
        <v>1641.9956140350801</v>
      </c>
      <c r="G2546" s="1">
        <v>4</v>
      </c>
      <c r="H2546" s="1">
        <v>2</v>
      </c>
      <c r="I2546" s="1">
        <v>2</v>
      </c>
      <c r="J2546" s="1">
        <v>2</v>
      </c>
      <c r="K2546" s="1">
        <v>2</v>
      </c>
      <c r="M2546" s="4">
        <v>1824</v>
      </c>
      <c r="N2546" s="1">
        <v>1513</v>
      </c>
      <c r="O2546" s="1">
        <v>4755</v>
      </c>
      <c r="P2546" s="1">
        <v>3242</v>
      </c>
      <c r="Q2546" s="1" t="s">
        <v>42</v>
      </c>
      <c r="S2546" s="1" t="s">
        <v>42</v>
      </c>
      <c r="T2546" s="1" t="s">
        <v>273</v>
      </c>
      <c r="U2546" s="1">
        <v>197</v>
      </c>
      <c r="V2546" s="5">
        <v>44421</v>
      </c>
      <c r="W2546" s="5">
        <v>44204</v>
      </c>
      <c r="X2546" s="1">
        <v>3800000</v>
      </c>
      <c r="Y2546" s="1">
        <v>2995000</v>
      </c>
      <c r="Z2546" s="5">
        <v>44401</v>
      </c>
      <c r="AA2546" s="1">
        <v>2995000</v>
      </c>
      <c r="AB2546" s="1" t="s">
        <v>295</v>
      </c>
      <c r="AC2546" s="5">
        <v>44417</v>
      </c>
      <c r="AF2546" s="1">
        <v>10007</v>
      </c>
      <c r="AI2546" s="1" t="s">
        <v>114</v>
      </c>
      <c r="AJ2546" s="1">
        <v>1910</v>
      </c>
      <c r="AK2546" s="1" t="s">
        <v>49</v>
      </c>
      <c r="AL2546" s="1">
        <v>99</v>
      </c>
    </row>
    <row r="2547" spans="1:38" x14ac:dyDescent="0.2">
      <c r="A2547" s="2" t="str">
        <f>HYPERLINK("https://www.compass.com/listing/20-east-end-avenue-unit-4c-manhattan-ny-10021/29425935505722433/","20 E End Ave, Unit 4C")</f>
        <v>20 E End Ave, Unit 4C</v>
      </c>
      <c r="B2547" s="2" t="str">
        <f>HYPERLINK("https://www.compass.com/building/20-e-end-ave-manhattan-ny-10021/281985490498985157/","20 E End Ave")</f>
        <v>20 E End Ave</v>
      </c>
      <c r="C2547" s="1" t="s">
        <v>82</v>
      </c>
      <c r="D2547" s="1" t="s">
        <v>41</v>
      </c>
      <c r="E2547" s="3">
        <v>4200000</v>
      </c>
      <c r="F2547" s="1">
        <v>2195.5044432827999</v>
      </c>
      <c r="G2547" s="1">
        <v>5</v>
      </c>
      <c r="H2547" s="1">
        <v>2</v>
      </c>
      <c r="I2547" s="1">
        <v>3</v>
      </c>
      <c r="J2547" s="1">
        <v>2.5</v>
      </c>
      <c r="K2547" s="1">
        <v>2</v>
      </c>
      <c r="L2547" s="1">
        <v>1</v>
      </c>
      <c r="M2547" s="4">
        <v>1913</v>
      </c>
      <c r="N2547" s="1">
        <v>2308</v>
      </c>
      <c r="O2547" s="1">
        <v>4571</v>
      </c>
      <c r="P2547" s="1">
        <v>2263</v>
      </c>
      <c r="Q2547" s="1" t="s">
        <v>42</v>
      </c>
      <c r="S2547" s="1" t="s">
        <v>42</v>
      </c>
      <c r="T2547" s="1" t="s">
        <v>273</v>
      </c>
      <c r="U2547" s="1">
        <v>115</v>
      </c>
      <c r="V2547" s="5">
        <v>43764</v>
      </c>
      <c r="W2547" s="5">
        <v>42955</v>
      </c>
      <c r="X2547" s="1">
        <v>4550000</v>
      </c>
      <c r="Y2547" s="1">
        <v>4395000</v>
      </c>
      <c r="Z2547" s="5">
        <v>43070</v>
      </c>
      <c r="AA2547" s="1">
        <v>4200000</v>
      </c>
      <c r="AB2547" s="1" t="s">
        <v>1496</v>
      </c>
      <c r="AC2547" s="5">
        <v>43116</v>
      </c>
      <c r="AF2547" s="1">
        <v>10021</v>
      </c>
      <c r="AJ2547" s="1">
        <v>2017</v>
      </c>
      <c r="AK2547" s="1" t="s">
        <v>46</v>
      </c>
      <c r="AL2547" s="1">
        <v>41</v>
      </c>
    </row>
    <row r="2548" spans="1:38" x14ac:dyDescent="0.2">
      <c r="A2548" s="2" t="str">
        <f>HYPERLINK("https://www.compass.com/listing/49-chambers-street-unit-7c-manhattan-ny-10007/29669240881663761/","49 Chambers St, Unit 7C")</f>
        <v>49 Chambers St, Unit 7C</v>
      </c>
      <c r="B2548" s="2" t="str">
        <f>HYPERLINK("https://www.compass.com/building/49-chambers-manhattan-ny/282058733280852725/","49 Chambers")</f>
        <v>49 Chambers</v>
      </c>
      <c r="C2548" s="1" t="s">
        <v>113</v>
      </c>
      <c r="D2548" s="1" t="s">
        <v>41</v>
      </c>
      <c r="E2548" s="3">
        <v>2050000</v>
      </c>
      <c r="F2548" s="1">
        <v>1576.9230769230701</v>
      </c>
      <c r="G2548" s="1">
        <v>4</v>
      </c>
      <c r="H2548" s="1">
        <v>1</v>
      </c>
      <c r="I2548" s="1">
        <v>2</v>
      </c>
      <c r="J2548" s="1">
        <v>1.5</v>
      </c>
      <c r="K2548" s="1">
        <v>1</v>
      </c>
      <c r="L2548" s="1">
        <v>1</v>
      </c>
      <c r="M2548" s="4">
        <v>1300</v>
      </c>
      <c r="N2548" s="1">
        <v>924</v>
      </c>
      <c r="O2548" s="1">
        <v>2962</v>
      </c>
      <c r="P2548" s="1">
        <v>2038</v>
      </c>
      <c r="Q2548" s="1" t="s">
        <v>42</v>
      </c>
      <c r="S2548" s="1" t="s">
        <v>42</v>
      </c>
      <c r="T2548" s="1" t="s">
        <v>273</v>
      </c>
      <c r="U2548" s="1">
        <v>191</v>
      </c>
      <c r="V2548" s="5">
        <v>44225</v>
      </c>
      <c r="W2548" s="5">
        <v>43234</v>
      </c>
      <c r="X2548" s="1">
        <v>2180000</v>
      </c>
      <c r="Y2548" s="1">
        <v>2180000</v>
      </c>
      <c r="Z2548" s="5">
        <v>43426</v>
      </c>
      <c r="AA2548" s="1">
        <v>2050000</v>
      </c>
      <c r="AB2548" s="1" t="s">
        <v>275</v>
      </c>
      <c r="AC2548" s="5">
        <v>43585</v>
      </c>
      <c r="AF2548" s="1">
        <v>10007</v>
      </c>
      <c r="AI2548" s="1" t="s">
        <v>114</v>
      </c>
      <c r="AJ2548" s="1">
        <v>1910</v>
      </c>
      <c r="AK2548" s="1" t="s">
        <v>49</v>
      </c>
      <c r="AL2548" s="1">
        <v>99</v>
      </c>
    </row>
    <row r="2549" spans="1:38" x14ac:dyDescent="0.2">
      <c r="A2549" s="2" t="str">
        <f>HYPERLINK("https://www.compass.com/listing/108-leonard-street-unit-5i-manhattan-ny-10013/668854448847516465/","108 Leonard St, Unit 5I")</f>
        <v>108 Leonard St, Unit 5I</v>
      </c>
      <c r="B2549" s="2" t="str">
        <f>HYPERLINK("https://www.compass.com/building/108-leonard-st-manhattan-ny-10013/307456049610778277/","108 Leonard St")</f>
        <v>108 Leonard St</v>
      </c>
      <c r="C2549" s="1" t="s">
        <v>113</v>
      </c>
      <c r="D2549" s="1" t="s">
        <v>41</v>
      </c>
      <c r="E2549" s="3">
        <v>2050000</v>
      </c>
      <c r="F2549" s="1">
        <v>1827.0944741532901</v>
      </c>
      <c r="G2549" s="1">
        <v>3</v>
      </c>
      <c r="H2549" s="1">
        <v>1</v>
      </c>
      <c r="I2549" s="1">
        <v>2</v>
      </c>
      <c r="J2549" s="1">
        <v>2</v>
      </c>
      <c r="K2549" s="1">
        <v>2</v>
      </c>
      <c r="M2549" s="4">
        <v>1122</v>
      </c>
      <c r="N2549" s="1">
        <v>1806</v>
      </c>
      <c r="O2549" s="1">
        <v>3141</v>
      </c>
      <c r="P2549" s="1">
        <v>1335</v>
      </c>
      <c r="Q2549" s="1" t="s">
        <v>42</v>
      </c>
      <c r="S2549" s="1" t="s">
        <v>42</v>
      </c>
      <c r="T2549" s="1" t="s">
        <v>273</v>
      </c>
      <c r="U2549" s="1">
        <v>64</v>
      </c>
      <c r="V2549" s="5">
        <v>44378</v>
      </c>
      <c r="W2549" s="5">
        <v>44174</v>
      </c>
      <c r="X2549" s="1">
        <v>2120000</v>
      </c>
      <c r="Y2549" s="1">
        <v>2120000</v>
      </c>
      <c r="Z2549" s="5">
        <v>44369</v>
      </c>
      <c r="AA2549" s="1">
        <v>2050000</v>
      </c>
      <c r="AB2549" s="1" t="s">
        <v>1497</v>
      </c>
      <c r="AC2549" s="5">
        <v>44376</v>
      </c>
      <c r="AF2549" s="1">
        <v>10013</v>
      </c>
      <c r="AI2549" s="1" t="s">
        <v>52</v>
      </c>
      <c r="AJ2549" s="1">
        <v>1899</v>
      </c>
      <c r="AK2549" s="1" t="s">
        <v>49</v>
      </c>
      <c r="AL2549" s="1">
        <v>167</v>
      </c>
    </row>
    <row r="2550" spans="1:38" x14ac:dyDescent="0.2">
      <c r="A2550" s="2" t="str">
        <f>HYPERLINK("https://www.compass.com/listing/49-chambers-street-unit-11a-manhattan-ny-10007/409460859505130513/","49 Chambers St, Unit 11A")</f>
        <v>49 Chambers St, Unit 11A</v>
      </c>
      <c r="B2550" s="2" t="str">
        <f t="shared" ref="B2550:B2557" si="417">HYPERLINK("https://www.compass.com/building/49-chambers-manhattan-ny/282058733280852725/","49 Chambers")</f>
        <v>49 Chambers</v>
      </c>
      <c r="C2550" s="1" t="s">
        <v>113</v>
      </c>
      <c r="D2550" s="1" t="s">
        <v>41</v>
      </c>
      <c r="E2550" s="3">
        <v>3500000</v>
      </c>
      <c r="F2550" s="1">
        <v>1918.8596491228</v>
      </c>
      <c r="G2550" s="1">
        <v>4</v>
      </c>
      <c r="H2550" s="1">
        <v>2</v>
      </c>
      <c r="I2550" s="1">
        <v>2</v>
      </c>
      <c r="J2550" s="1">
        <v>2</v>
      </c>
      <c r="K2550" s="1">
        <v>2</v>
      </c>
      <c r="M2550" s="4">
        <v>1824</v>
      </c>
      <c r="N2550" s="1">
        <v>1389</v>
      </c>
      <c r="O2550" s="1">
        <v>4408</v>
      </c>
      <c r="P2550" s="1">
        <v>3019</v>
      </c>
      <c r="Q2550" s="1" t="s">
        <v>42</v>
      </c>
      <c r="S2550" s="1" t="s">
        <v>42</v>
      </c>
      <c r="T2550" s="1" t="s">
        <v>273</v>
      </c>
      <c r="V2550" s="5">
        <v>44225</v>
      </c>
      <c r="W2550" s="5">
        <v>43816</v>
      </c>
      <c r="X2550" s="1">
        <v>3750000</v>
      </c>
      <c r="Y2550" s="1">
        <v>3750000</v>
      </c>
      <c r="Z2550" s="5">
        <v>43817</v>
      </c>
      <c r="AA2550" s="1">
        <v>3500000</v>
      </c>
      <c r="AB2550" s="1" t="s">
        <v>275</v>
      </c>
      <c r="AC2550" s="5">
        <v>43997</v>
      </c>
      <c r="AF2550" s="1">
        <v>10007</v>
      </c>
      <c r="AI2550" s="1" t="s">
        <v>608</v>
      </c>
      <c r="AJ2550" s="1">
        <v>1910</v>
      </c>
      <c r="AK2550" s="1" t="s">
        <v>49</v>
      </c>
      <c r="AL2550" s="1">
        <v>99</v>
      </c>
    </row>
    <row r="2551" spans="1:38" x14ac:dyDescent="0.2">
      <c r="A2551" s="2" t="str">
        <f>HYPERLINK("https://www.compass.com/listing/49-chambers-street-unit-6g-manhattan-ny-10007/459370510539861033/","49 Chambers St, Unit 6G")</f>
        <v>49 Chambers St, Unit 6G</v>
      </c>
      <c r="B2551" s="2" t="str">
        <f t="shared" si="417"/>
        <v>49 Chambers</v>
      </c>
      <c r="C2551" s="1" t="s">
        <v>113</v>
      </c>
      <c r="D2551" s="1" t="s">
        <v>41</v>
      </c>
      <c r="E2551" s="3">
        <v>1650000</v>
      </c>
      <c r="F2551" s="1">
        <v>1436.0313315926801</v>
      </c>
      <c r="G2551" s="1">
        <v>3.5</v>
      </c>
      <c r="H2551" s="1">
        <v>1</v>
      </c>
      <c r="I2551" s="1">
        <v>2</v>
      </c>
      <c r="J2551" s="1">
        <v>1.5</v>
      </c>
      <c r="K2551" s="1">
        <v>1</v>
      </c>
      <c r="L2551" s="1">
        <v>1</v>
      </c>
      <c r="M2551" s="4">
        <v>1149</v>
      </c>
      <c r="N2551" s="1">
        <v>803</v>
      </c>
      <c r="O2551" s="1">
        <v>2410</v>
      </c>
      <c r="P2551" s="1">
        <v>1607</v>
      </c>
      <c r="Q2551" s="1" t="s">
        <v>42</v>
      </c>
      <c r="S2551" s="1" t="s">
        <v>42</v>
      </c>
      <c r="T2551" s="1" t="s">
        <v>273</v>
      </c>
      <c r="U2551" s="1">
        <v>19</v>
      </c>
      <c r="V2551" s="5">
        <v>44029</v>
      </c>
      <c r="W2551" s="5">
        <v>43866</v>
      </c>
      <c r="X2551" s="1">
        <v>1650000</v>
      </c>
      <c r="Y2551" s="1">
        <v>1650000</v>
      </c>
      <c r="Z2551" s="5">
        <v>43886</v>
      </c>
      <c r="AA2551" s="1">
        <v>1650000</v>
      </c>
      <c r="AB2551" s="1" t="s">
        <v>275</v>
      </c>
      <c r="AC2551" s="5">
        <v>44026</v>
      </c>
      <c r="AF2551" s="1">
        <v>10007</v>
      </c>
      <c r="AI2551" s="1" t="s">
        <v>114</v>
      </c>
      <c r="AJ2551" s="1">
        <v>1910</v>
      </c>
      <c r="AK2551" s="1" t="s">
        <v>202</v>
      </c>
      <c r="AL2551" s="1">
        <v>99</v>
      </c>
    </row>
    <row r="2552" spans="1:38" x14ac:dyDescent="0.2">
      <c r="A2552" s="2" t="str">
        <f>HYPERLINK("https://www.compass.com/listing/49-chambers-street-unit-10h-manhattan-ny-10007/763692857349692545/","49 Chambers St, Unit 10H")</f>
        <v>49 Chambers St, Unit 10H</v>
      </c>
      <c r="B2552" s="2" t="str">
        <f t="shared" si="417"/>
        <v>49 Chambers</v>
      </c>
      <c r="C2552" s="1" t="s">
        <v>113</v>
      </c>
      <c r="D2552" s="1" t="s">
        <v>41</v>
      </c>
      <c r="E2552" s="3">
        <v>2225000</v>
      </c>
      <c r="F2552" s="1">
        <v>853.14417177914095</v>
      </c>
      <c r="G2552" s="1">
        <v>4</v>
      </c>
      <c r="H2552" s="1">
        <v>1</v>
      </c>
      <c r="I2552" s="1">
        <v>2</v>
      </c>
      <c r="J2552" s="1">
        <v>1.5</v>
      </c>
      <c r="K2552" s="1">
        <v>1</v>
      </c>
      <c r="L2552" s="1">
        <v>1</v>
      </c>
      <c r="M2552" s="4">
        <v>2608</v>
      </c>
      <c r="N2552" s="1">
        <v>1155</v>
      </c>
      <c r="O2552" s="1">
        <v>3525</v>
      </c>
      <c r="P2552" s="1">
        <v>2370</v>
      </c>
      <c r="Q2552" s="1" t="s">
        <v>42</v>
      </c>
      <c r="S2552" s="1" t="s">
        <v>42</v>
      </c>
      <c r="T2552" s="1" t="s">
        <v>273</v>
      </c>
      <c r="U2552" s="1">
        <v>7</v>
      </c>
      <c r="V2552" s="5">
        <v>44420</v>
      </c>
      <c r="W2552" s="5">
        <v>44298</v>
      </c>
      <c r="X2552" s="1">
        <v>2775000</v>
      </c>
      <c r="Y2552" s="1">
        <v>2775000</v>
      </c>
      <c r="Z2552" s="5">
        <v>44306</v>
      </c>
      <c r="AA2552" s="1">
        <v>2225000</v>
      </c>
      <c r="AB2552" s="1" t="s">
        <v>295</v>
      </c>
      <c r="AC2552" s="5">
        <v>44405</v>
      </c>
      <c r="AF2552" s="1">
        <v>10007</v>
      </c>
      <c r="AI2552" s="1" t="s">
        <v>114</v>
      </c>
      <c r="AJ2552" s="1">
        <v>1910</v>
      </c>
      <c r="AK2552" s="1" t="s">
        <v>49</v>
      </c>
      <c r="AL2552" s="1">
        <v>99</v>
      </c>
    </row>
    <row r="2553" spans="1:38" x14ac:dyDescent="0.2">
      <c r="A2553" s="2" t="str">
        <f>HYPERLINK("https://www.compass.com/listing/49-chambers-street-unit-9f-manhattan-ny-10007/714505842543069177/","49 Chambers St, Unit 9F")</f>
        <v>49 Chambers St, Unit 9F</v>
      </c>
      <c r="B2553" s="2" t="str">
        <f t="shared" si="417"/>
        <v>49 Chambers</v>
      </c>
      <c r="C2553" s="1" t="s">
        <v>113</v>
      </c>
      <c r="D2553" s="1" t="s">
        <v>41</v>
      </c>
      <c r="E2553" s="3">
        <v>1710000</v>
      </c>
      <c r="F2553" s="1">
        <v>1766.52892561983</v>
      </c>
      <c r="G2553" s="1">
        <v>3</v>
      </c>
      <c r="H2553" s="1">
        <v>1</v>
      </c>
      <c r="I2553" s="1">
        <v>2</v>
      </c>
      <c r="J2553" s="1">
        <v>1.5</v>
      </c>
      <c r="K2553" s="1">
        <v>1</v>
      </c>
      <c r="L2553" s="1">
        <v>1</v>
      </c>
      <c r="M2553" s="1">
        <v>968</v>
      </c>
      <c r="N2553" s="1">
        <v>786</v>
      </c>
      <c r="O2553" s="1">
        <v>2435</v>
      </c>
      <c r="P2553" s="1">
        <v>1649</v>
      </c>
      <c r="Q2553" s="1" t="s">
        <v>42</v>
      </c>
      <c r="S2553" s="1" t="s">
        <v>42</v>
      </c>
      <c r="T2553" s="1" t="s">
        <v>273</v>
      </c>
      <c r="U2553" s="1">
        <v>87</v>
      </c>
      <c r="V2553" s="5">
        <v>44386</v>
      </c>
      <c r="W2553" s="5">
        <v>44236</v>
      </c>
      <c r="X2553" s="1">
        <v>1710000</v>
      </c>
      <c r="Y2553" s="1">
        <v>1710000</v>
      </c>
      <c r="Z2553" s="5">
        <v>44323</v>
      </c>
      <c r="AA2553" s="1">
        <v>1710000</v>
      </c>
      <c r="AB2553" s="1" t="s">
        <v>275</v>
      </c>
      <c r="AC2553" s="5">
        <v>44368</v>
      </c>
      <c r="AF2553" s="1">
        <v>10007</v>
      </c>
      <c r="AI2553" s="1" t="s">
        <v>1498</v>
      </c>
      <c r="AJ2553" s="1">
        <v>1910</v>
      </c>
      <c r="AK2553" s="1" t="s">
        <v>46</v>
      </c>
      <c r="AL2553" s="1">
        <v>99</v>
      </c>
    </row>
    <row r="2554" spans="1:38" x14ac:dyDescent="0.2">
      <c r="A2554" s="2" t="str">
        <f>HYPERLINK("https://www.compass.com/listing/49-chambers-street-unit-6f-manhattan-ny-10007/273798650524657825/","49 Chambers St, Unit 6F")</f>
        <v>49 Chambers St, Unit 6F</v>
      </c>
      <c r="B2554" s="2" t="str">
        <f t="shared" si="417"/>
        <v>49 Chambers</v>
      </c>
      <c r="C2554" s="1" t="s">
        <v>113</v>
      </c>
      <c r="D2554" s="1" t="s">
        <v>41</v>
      </c>
      <c r="E2554" s="3">
        <v>1580000</v>
      </c>
      <c r="F2554" s="1">
        <v>1632.2314049586701</v>
      </c>
      <c r="G2554" s="1">
        <v>3</v>
      </c>
      <c r="H2554" s="1">
        <v>1</v>
      </c>
      <c r="I2554" s="1">
        <v>2</v>
      </c>
      <c r="J2554" s="1">
        <v>1.5</v>
      </c>
      <c r="K2554" s="1">
        <v>1</v>
      </c>
      <c r="L2554" s="1">
        <v>1</v>
      </c>
      <c r="M2554" s="1">
        <v>968</v>
      </c>
      <c r="N2554" s="1">
        <v>671</v>
      </c>
      <c r="O2554" s="1">
        <v>2152</v>
      </c>
      <c r="P2554" s="1">
        <v>1481</v>
      </c>
      <c r="Q2554" s="1" t="s">
        <v>42</v>
      </c>
      <c r="S2554" s="1" t="s">
        <v>42</v>
      </c>
      <c r="T2554" s="1" t="s">
        <v>273</v>
      </c>
      <c r="V2554" s="5">
        <v>43932</v>
      </c>
      <c r="W2554" s="5">
        <v>43629</v>
      </c>
      <c r="X2554" s="1">
        <v>1650000</v>
      </c>
      <c r="Y2554" s="1">
        <v>1650000</v>
      </c>
      <c r="Z2554" s="5">
        <v>43630</v>
      </c>
      <c r="AA2554" s="1">
        <v>1580000</v>
      </c>
      <c r="AB2554" s="1" t="s">
        <v>275</v>
      </c>
      <c r="AC2554" s="5">
        <v>43682</v>
      </c>
      <c r="AF2554" s="1">
        <v>10007</v>
      </c>
      <c r="AI2554" s="1" t="s">
        <v>114</v>
      </c>
      <c r="AJ2554" s="1">
        <v>1910</v>
      </c>
      <c r="AK2554" s="1" t="s">
        <v>49</v>
      </c>
      <c r="AL2554" s="1">
        <v>99</v>
      </c>
    </row>
    <row r="2555" spans="1:38" x14ac:dyDescent="0.2">
      <c r="A2555" s="2" t="str">
        <f>HYPERLINK("https://www.compass.com/listing/49-chambers-street-unit-7h-manhattan-ny-10007/29513619788102209/","49 Chambers St, Unit 7H")</f>
        <v>49 Chambers St, Unit 7H</v>
      </c>
      <c r="B2555" s="2" t="str">
        <f t="shared" si="417"/>
        <v>49 Chambers</v>
      </c>
      <c r="C2555" s="1" t="s">
        <v>113</v>
      </c>
      <c r="D2555" s="1" t="s">
        <v>41</v>
      </c>
      <c r="E2555" s="3">
        <v>2270000</v>
      </c>
      <c r="F2555" s="1">
        <v>1555.8601782042399</v>
      </c>
      <c r="G2555" s="1">
        <v>4</v>
      </c>
      <c r="H2555" s="1">
        <v>1</v>
      </c>
      <c r="I2555" s="1">
        <v>2</v>
      </c>
      <c r="J2555" s="1">
        <v>2</v>
      </c>
      <c r="K2555" s="1">
        <v>2</v>
      </c>
      <c r="M2555" s="4">
        <v>1459</v>
      </c>
      <c r="N2555" s="1">
        <v>968</v>
      </c>
      <c r="O2555" s="1">
        <v>3105</v>
      </c>
      <c r="P2555" s="1">
        <v>2137</v>
      </c>
      <c r="Q2555" s="1" t="s">
        <v>42</v>
      </c>
      <c r="S2555" s="1" t="s">
        <v>42</v>
      </c>
      <c r="T2555" s="1" t="s">
        <v>273</v>
      </c>
      <c r="V2555" s="5">
        <v>43971</v>
      </c>
      <c r="W2555" s="5">
        <v>43224</v>
      </c>
      <c r="X2555" s="1">
        <v>2300000</v>
      </c>
      <c r="Y2555" s="1">
        <v>2300000</v>
      </c>
      <c r="Z2555" s="5">
        <v>43795</v>
      </c>
      <c r="AA2555" s="1">
        <v>2270000</v>
      </c>
      <c r="AB2555" s="1" t="s">
        <v>275</v>
      </c>
      <c r="AC2555" s="5">
        <v>43966</v>
      </c>
      <c r="AF2555" s="1">
        <v>10007</v>
      </c>
      <c r="AI2555" s="1" t="s">
        <v>114</v>
      </c>
      <c r="AJ2555" s="1">
        <v>1910</v>
      </c>
      <c r="AK2555" s="1" t="s">
        <v>49</v>
      </c>
      <c r="AL2555" s="1">
        <v>99</v>
      </c>
    </row>
    <row r="2556" spans="1:38" x14ac:dyDescent="0.2">
      <c r="A2556" s="2" t="str">
        <f>HYPERLINK("https://www.compass.com/listing/49-chambers-street-unit-8f-manhattan-ny-10007/781160521898632681/","49 Chambers St, Unit 8F")</f>
        <v>49 Chambers St, Unit 8F</v>
      </c>
      <c r="B2556" s="2" t="str">
        <f t="shared" si="417"/>
        <v>49 Chambers</v>
      </c>
      <c r="C2556" s="1" t="s">
        <v>113</v>
      </c>
      <c r="D2556" s="1" t="s">
        <v>41</v>
      </c>
      <c r="E2556" s="3">
        <v>1690000</v>
      </c>
      <c r="F2556" s="1">
        <v>1745.8677685950399</v>
      </c>
      <c r="G2556" s="1">
        <v>3</v>
      </c>
      <c r="H2556" s="1">
        <v>1</v>
      </c>
      <c r="J2556" s="1">
        <v>2</v>
      </c>
      <c r="M2556" s="1">
        <v>968</v>
      </c>
      <c r="N2556" s="1">
        <v>679</v>
      </c>
      <c r="O2556" s="1">
        <v>2177</v>
      </c>
      <c r="P2556" s="1">
        <v>1498</v>
      </c>
      <c r="S2556" s="1" t="s">
        <v>42</v>
      </c>
      <c r="T2556" s="1" t="s">
        <v>273</v>
      </c>
      <c r="U2556" s="1">
        <v>105</v>
      </c>
      <c r="V2556" s="5">
        <v>43932</v>
      </c>
      <c r="W2556" s="5">
        <v>43804</v>
      </c>
      <c r="X2556" s="1">
        <v>1690000</v>
      </c>
      <c r="Y2556" s="1">
        <v>1690000</v>
      </c>
      <c r="AA2556" s="1">
        <v>1690000</v>
      </c>
      <c r="AB2556" s="1" t="s">
        <v>275</v>
      </c>
      <c r="AC2556" s="5">
        <v>43931</v>
      </c>
      <c r="AF2556" s="1">
        <v>10007</v>
      </c>
      <c r="AI2556" s="1" t="s">
        <v>114</v>
      </c>
      <c r="AJ2556" s="1">
        <v>1910</v>
      </c>
      <c r="AK2556" s="1" t="s">
        <v>125</v>
      </c>
      <c r="AL2556" s="1">
        <v>99</v>
      </c>
    </row>
    <row r="2557" spans="1:38" x14ac:dyDescent="0.2">
      <c r="A2557" s="2" t="str">
        <f>HYPERLINK("https://www.compass.com/listing/49-chambers-street-unit-phd-manhattan-ny-10007/698581536124694801/","49 Chambers St, Unit PHD")</f>
        <v>49 Chambers St, Unit PHD</v>
      </c>
      <c r="B2557" s="2" t="str">
        <f t="shared" si="417"/>
        <v>49 Chambers</v>
      </c>
      <c r="C2557" s="1" t="s">
        <v>113</v>
      </c>
      <c r="D2557" s="1" t="s">
        <v>41</v>
      </c>
      <c r="E2557" s="3">
        <v>7950000</v>
      </c>
      <c r="F2557" s="1">
        <v>2353.4635879218399</v>
      </c>
      <c r="G2557" s="1">
        <v>6</v>
      </c>
      <c r="H2557" s="1">
        <v>3</v>
      </c>
      <c r="I2557" s="1">
        <v>4</v>
      </c>
      <c r="J2557" s="1">
        <v>3.5</v>
      </c>
      <c r="K2557" s="1">
        <v>3</v>
      </c>
      <c r="L2557" s="1">
        <v>1</v>
      </c>
      <c r="M2557" s="4">
        <v>3378</v>
      </c>
      <c r="N2557" s="1">
        <v>3033</v>
      </c>
      <c r="O2557" s="1">
        <v>9939</v>
      </c>
      <c r="P2557" s="1">
        <v>6906</v>
      </c>
      <c r="Q2557" s="1" t="s">
        <v>42</v>
      </c>
      <c r="S2557" s="1" t="s">
        <v>42</v>
      </c>
      <c r="T2557" s="1" t="s">
        <v>273</v>
      </c>
      <c r="V2557" s="5">
        <v>44323</v>
      </c>
      <c r="W2557" s="5">
        <v>44204</v>
      </c>
      <c r="X2557" s="1">
        <v>7950000</v>
      </c>
      <c r="Y2557" s="1">
        <v>7950000</v>
      </c>
      <c r="Z2557" s="5">
        <v>44204</v>
      </c>
      <c r="AA2557" s="1">
        <v>7950000</v>
      </c>
      <c r="AB2557" s="1" t="s">
        <v>275</v>
      </c>
      <c r="AC2557" s="5">
        <v>44294</v>
      </c>
      <c r="AF2557" s="1">
        <v>10007</v>
      </c>
      <c r="AI2557" s="1" t="s">
        <v>78</v>
      </c>
      <c r="AJ2557" s="1">
        <v>1910</v>
      </c>
      <c r="AK2557" s="1" t="s">
        <v>49</v>
      </c>
      <c r="AL2557" s="1">
        <v>99</v>
      </c>
    </row>
    <row r="2558" spans="1:38" x14ac:dyDescent="0.2">
      <c r="A2558" s="2" t="str">
        <f>HYPERLINK("https://www.compass.com/listing/235-west-75th-street-unit-304-manhattan-ny-10023/29395864166369057/","235 W 75th St, Unit 304")</f>
        <v>235 W 75th St, Unit 304</v>
      </c>
      <c r="B2558" s="2" t="str">
        <f>HYPERLINK("https://www.compass.com/building/the-astor-manhattan-ny/281958704155269925/","The Astor")</f>
        <v>The Astor</v>
      </c>
      <c r="C2558" s="1" t="s">
        <v>57</v>
      </c>
      <c r="D2558" s="1" t="s">
        <v>41</v>
      </c>
      <c r="E2558" s="3">
        <v>2236544</v>
      </c>
      <c r="F2558" s="1">
        <v>2225.4169154228798</v>
      </c>
      <c r="G2558" s="1">
        <v>2</v>
      </c>
      <c r="H2558" s="1">
        <v>1</v>
      </c>
      <c r="I2558" s="1">
        <v>1</v>
      </c>
      <c r="J2558" s="1">
        <v>1.5</v>
      </c>
      <c r="K2558" s="1">
        <v>1</v>
      </c>
      <c r="L2558" s="1">
        <v>1</v>
      </c>
      <c r="M2558" s="4">
        <v>1005</v>
      </c>
      <c r="N2558" s="1">
        <v>1289</v>
      </c>
      <c r="O2558" s="1">
        <v>2700</v>
      </c>
      <c r="P2558" s="1">
        <v>1411</v>
      </c>
      <c r="Q2558" s="1" t="s">
        <v>42</v>
      </c>
      <c r="S2558" s="1" t="s">
        <v>42</v>
      </c>
      <c r="T2558" s="1" t="s">
        <v>273</v>
      </c>
      <c r="U2558" s="1">
        <v>26</v>
      </c>
      <c r="V2558" s="5">
        <v>43654</v>
      </c>
      <c r="W2558" s="5">
        <v>42131</v>
      </c>
      <c r="X2558" s="1">
        <v>2180000</v>
      </c>
      <c r="Y2558" s="1">
        <v>2180000</v>
      </c>
      <c r="Z2558" s="5">
        <v>42157</v>
      </c>
      <c r="AA2558" s="1">
        <v>2236544</v>
      </c>
      <c r="AB2558" s="1" t="s">
        <v>1499</v>
      </c>
      <c r="AC2558" s="5">
        <v>42440</v>
      </c>
      <c r="AF2558" s="1">
        <v>10023</v>
      </c>
      <c r="AJ2558" s="1">
        <v>2018</v>
      </c>
      <c r="AK2558" s="1" t="s">
        <v>46</v>
      </c>
      <c r="AL2558" s="1">
        <v>98</v>
      </c>
    </row>
    <row r="2559" spans="1:38" x14ac:dyDescent="0.2">
      <c r="A2559" s="2" t="str">
        <f>HYPERLINK("https://www.compass.com/listing/70-charlton-street-unit-5f-manhattan-ny-10014/742784488861750993/","70 Charlton St, Unit 5F")</f>
        <v>70 Charlton St, Unit 5F</v>
      </c>
      <c r="B2559" s="2" t="str">
        <f>HYPERLINK("https://www.compass.com/building/70-charlton-street-manhattan-ny/292835639240484293/","70 Charlton Street")</f>
        <v>70 Charlton Street</v>
      </c>
      <c r="C2559" s="1" t="s">
        <v>53</v>
      </c>
      <c r="D2559" s="1" t="s">
        <v>41</v>
      </c>
      <c r="E2559" s="3">
        <v>2700000</v>
      </c>
      <c r="F2559" s="1">
        <v>1831.75033921302</v>
      </c>
      <c r="G2559" s="1">
        <v>4</v>
      </c>
      <c r="H2559" s="1">
        <v>2</v>
      </c>
      <c r="I2559" s="1">
        <v>2</v>
      </c>
      <c r="J2559" s="1">
        <v>2</v>
      </c>
      <c r="K2559" s="1">
        <v>2</v>
      </c>
      <c r="M2559" s="4">
        <v>1474</v>
      </c>
      <c r="N2559" s="1">
        <v>3143</v>
      </c>
      <c r="O2559" s="1">
        <v>3143</v>
      </c>
      <c r="Q2559" s="1" t="s">
        <v>105</v>
      </c>
      <c r="S2559" s="1" t="s">
        <v>105</v>
      </c>
      <c r="T2559" s="1" t="s">
        <v>273</v>
      </c>
      <c r="U2559" s="1">
        <v>92</v>
      </c>
      <c r="V2559" s="5">
        <v>44424</v>
      </c>
      <c r="W2559" s="5">
        <v>44277</v>
      </c>
      <c r="X2559" s="1">
        <v>2700000</v>
      </c>
      <c r="Y2559" s="1">
        <v>2700000</v>
      </c>
      <c r="Z2559" s="5">
        <v>44369</v>
      </c>
      <c r="AA2559" s="1">
        <v>2700000</v>
      </c>
      <c r="AB2559" s="1" t="s">
        <v>275</v>
      </c>
      <c r="AC2559" s="5">
        <v>44424</v>
      </c>
      <c r="AF2559" s="1">
        <v>10014</v>
      </c>
      <c r="AI2559" s="1" t="s">
        <v>80</v>
      </c>
      <c r="AJ2559" s="1">
        <v>2016</v>
      </c>
      <c r="AK2559" s="1" t="s">
        <v>46</v>
      </c>
      <c r="AL2559" s="1">
        <v>92</v>
      </c>
    </row>
    <row r="2560" spans="1:38" x14ac:dyDescent="0.2">
      <c r="A2560" s="2" t="str">
        <f>HYPERLINK("https://www.compass.com/listing/49-chambers-street-unit-12g-manhattan-ny-10007/694239200179422969/","49 Chambers St, Unit 12G")</f>
        <v>49 Chambers St, Unit 12G</v>
      </c>
      <c r="B2560" s="2" t="str">
        <f t="shared" ref="B2560:B2566" si="418">HYPERLINK("https://www.compass.com/building/49-chambers-manhattan-ny/282058733280852725/","49 Chambers")</f>
        <v>49 Chambers</v>
      </c>
      <c r="C2560" s="1" t="s">
        <v>113</v>
      </c>
      <c r="D2560" s="1" t="s">
        <v>41</v>
      </c>
      <c r="E2560" s="3">
        <v>2175000</v>
      </c>
      <c r="F2560" s="1">
        <v>1892.9503916449</v>
      </c>
      <c r="G2560" s="1">
        <v>4.5</v>
      </c>
      <c r="H2560" s="1">
        <v>1</v>
      </c>
      <c r="I2560" s="1">
        <v>2</v>
      </c>
      <c r="J2560" s="1">
        <v>1.5</v>
      </c>
      <c r="K2560" s="1">
        <v>1</v>
      </c>
      <c r="L2560" s="1">
        <v>1</v>
      </c>
      <c r="M2560" s="4">
        <v>1149</v>
      </c>
      <c r="N2560" s="1">
        <v>907</v>
      </c>
      <c r="O2560" s="1">
        <v>2763</v>
      </c>
      <c r="P2560" s="1">
        <v>1856</v>
      </c>
      <c r="Q2560" s="1" t="s">
        <v>42</v>
      </c>
      <c r="S2560" s="1" t="s">
        <v>42</v>
      </c>
      <c r="T2560" s="1" t="s">
        <v>273</v>
      </c>
      <c r="U2560" s="1">
        <v>5</v>
      </c>
      <c r="V2560" s="5">
        <v>44314</v>
      </c>
      <c r="W2560" s="5">
        <v>44204</v>
      </c>
      <c r="X2560" s="1">
        <v>2175000</v>
      </c>
      <c r="Y2560" s="1">
        <v>2175000</v>
      </c>
      <c r="Z2560" s="5">
        <v>44210</v>
      </c>
      <c r="AA2560" s="1">
        <v>2175000</v>
      </c>
      <c r="AB2560" s="1" t="s">
        <v>275</v>
      </c>
      <c r="AC2560" s="5">
        <v>44291</v>
      </c>
      <c r="AF2560" s="1">
        <v>10007</v>
      </c>
      <c r="AI2560" s="1" t="s">
        <v>114</v>
      </c>
      <c r="AJ2560" s="1">
        <v>1910</v>
      </c>
      <c r="AK2560" s="1" t="s">
        <v>49</v>
      </c>
      <c r="AL2560" s="1">
        <v>99</v>
      </c>
    </row>
    <row r="2561" spans="1:38" x14ac:dyDescent="0.2">
      <c r="A2561" s="2" t="str">
        <f>HYPERLINK("https://www.compass.com/listing/49-chambers-street-unit-9c-manhattan-ny-10007/152148695503156929/","49 Chambers St, Unit 9C")</f>
        <v>49 Chambers St, Unit 9C</v>
      </c>
      <c r="B2561" s="2" t="str">
        <f t="shared" si="418"/>
        <v>49 Chambers</v>
      </c>
      <c r="C2561" s="1" t="s">
        <v>113</v>
      </c>
      <c r="D2561" s="1" t="s">
        <v>41</v>
      </c>
      <c r="E2561" s="3">
        <v>2205000</v>
      </c>
      <c r="F2561" s="1">
        <v>1709.3023255813901</v>
      </c>
      <c r="G2561" s="1">
        <v>4</v>
      </c>
      <c r="H2561" s="1">
        <v>1</v>
      </c>
      <c r="I2561" s="1">
        <v>2</v>
      </c>
      <c r="J2561" s="1">
        <v>1.5</v>
      </c>
      <c r="K2561" s="1">
        <v>1</v>
      </c>
      <c r="L2561" s="1">
        <v>1</v>
      </c>
      <c r="M2561" s="4">
        <v>1290</v>
      </c>
      <c r="N2561" s="1">
        <v>902</v>
      </c>
      <c r="O2561" s="1">
        <v>2892</v>
      </c>
      <c r="P2561" s="1">
        <v>1990</v>
      </c>
      <c r="Q2561" s="1" t="s">
        <v>42</v>
      </c>
      <c r="S2561" s="1" t="s">
        <v>42</v>
      </c>
      <c r="T2561" s="1" t="s">
        <v>273</v>
      </c>
      <c r="U2561" s="1">
        <v>6</v>
      </c>
      <c r="V2561" s="5">
        <v>43932</v>
      </c>
      <c r="W2561" s="5">
        <v>43455</v>
      </c>
      <c r="X2561" s="1">
        <v>2240000</v>
      </c>
      <c r="Y2561" s="1">
        <v>2240000</v>
      </c>
      <c r="Z2561" s="5">
        <v>43462</v>
      </c>
      <c r="AA2561" s="1">
        <v>2205000</v>
      </c>
      <c r="AB2561" s="1" t="s">
        <v>275</v>
      </c>
      <c r="AC2561" s="5">
        <v>43549</v>
      </c>
      <c r="AF2561" s="1">
        <v>10007</v>
      </c>
      <c r="AI2561" s="1" t="s">
        <v>114</v>
      </c>
      <c r="AJ2561" s="1">
        <v>1910</v>
      </c>
      <c r="AK2561" s="1" t="s">
        <v>202</v>
      </c>
      <c r="AL2561" s="1">
        <v>99</v>
      </c>
    </row>
    <row r="2562" spans="1:38" x14ac:dyDescent="0.2">
      <c r="A2562" s="2" t="str">
        <f>HYPERLINK("https://www.compass.com/listing/49-chambers-street-unit-10c-manhattan-ny-10007/186114796226089281/","49 Chambers St, Unit 10C")</f>
        <v>49 Chambers St, Unit 10C</v>
      </c>
      <c r="B2562" s="2" t="str">
        <f t="shared" si="418"/>
        <v>49 Chambers</v>
      </c>
      <c r="C2562" s="1" t="s">
        <v>113</v>
      </c>
      <c r="D2562" s="1" t="s">
        <v>41</v>
      </c>
      <c r="E2562" s="3">
        <v>2210000</v>
      </c>
      <c r="F2562" s="1">
        <v>1713.17829457364</v>
      </c>
      <c r="G2562" s="1">
        <v>4.5</v>
      </c>
      <c r="H2562" s="1">
        <v>1</v>
      </c>
      <c r="I2562" s="1">
        <v>2</v>
      </c>
      <c r="J2562" s="1">
        <v>1.5</v>
      </c>
      <c r="K2562" s="1">
        <v>1</v>
      </c>
      <c r="L2562" s="1">
        <v>1</v>
      </c>
      <c r="M2562" s="4">
        <v>1290</v>
      </c>
      <c r="N2562" s="1">
        <v>944</v>
      </c>
      <c r="O2562" s="1">
        <v>3027</v>
      </c>
      <c r="P2562" s="1">
        <v>2083</v>
      </c>
      <c r="Q2562" s="1" t="s">
        <v>42</v>
      </c>
      <c r="S2562" s="1" t="s">
        <v>42</v>
      </c>
      <c r="T2562" s="1" t="s">
        <v>273</v>
      </c>
      <c r="U2562" s="1">
        <v>10</v>
      </c>
      <c r="V2562" s="5">
        <v>43932</v>
      </c>
      <c r="W2562" s="5">
        <v>43508</v>
      </c>
      <c r="X2562" s="1">
        <v>2270000</v>
      </c>
      <c r="Y2562" s="1">
        <v>2270000</v>
      </c>
      <c r="Z2562" s="5">
        <v>43519</v>
      </c>
      <c r="AA2562" s="1">
        <v>2210000</v>
      </c>
      <c r="AB2562" s="1" t="s">
        <v>275</v>
      </c>
      <c r="AC2562" s="5">
        <v>43580</v>
      </c>
      <c r="AF2562" s="1">
        <v>10007</v>
      </c>
      <c r="AI2562" s="1" t="s">
        <v>114</v>
      </c>
      <c r="AJ2562" s="1">
        <v>1910</v>
      </c>
      <c r="AK2562" s="1" t="s">
        <v>202</v>
      </c>
      <c r="AL2562" s="1">
        <v>99</v>
      </c>
    </row>
    <row r="2563" spans="1:38" x14ac:dyDescent="0.2">
      <c r="A2563" s="2" t="str">
        <f>HYPERLINK("https://www.compass.com/listing/49-chambers-street-unit-11c-manhattan-ny-10007/194077241607538897/","49 Chambers St, Unit 11C")</f>
        <v>49 Chambers St, Unit 11C</v>
      </c>
      <c r="B2563" s="2" t="str">
        <f t="shared" si="418"/>
        <v>49 Chambers</v>
      </c>
      <c r="C2563" s="1" t="s">
        <v>113</v>
      </c>
      <c r="D2563" s="1" t="s">
        <v>41</v>
      </c>
      <c r="E2563" s="3">
        <v>2325000</v>
      </c>
      <c r="F2563" s="1">
        <v>1802.3255813953399</v>
      </c>
      <c r="G2563" s="1">
        <v>4.5</v>
      </c>
      <c r="H2563" s="1">
        <v>1</v>
      </c>
      <c r="I2563" s="1">
        <v>2</v>
      </c>
      <c r="J2563" s="1">
        <v>1.5</v>
      </c>
      <c r="K2563" s="1">
        <v>1</v>
      </c>
      <c r="L2563" s="1">
        <v>1</v>
      </c>
      <c r="M2563" s="4">
        <v>1290</v>
      </c>
      <c r="N2563" s="1">
        <v>954</v>
      </c>
      <c r="O2563" s="1">
        <v>3060</v>
      </c>
      <c r="P2563" s="1">
        <v>2106</v>
      </c>
      <c r="Q2563" s="1" t="s">
        <v>42</v>
      </c>
      <c r="S2563" s="1" t="s">
        <v>42</v>
      </c>
      <c r="T2563" s="1" t="s">
        <v>273</v>
      </c>
      <c r="U2563" s="1">
        <v>28</v>
      </c>
      <c r="V2563" s="5">
        <v>43932</v>
      </c>
      <c r="W2563" s="5">
        <v>43518</v>
      </c>
      <c r="X2563" s="1">
        <v>2325000</v>
      </c>
      <c r="Y2563" s="1">
        <v>2325000</v>
      </c>
      <c r="Z2563" s="5">
        <v>43546</v>
      </c>
      <c r="AA2563" s="1">
        <v>2325000</v>
      </c>
      <c r="AB2563" s="1" t="s">
        <v>275</v>
      </c>
      <c r="AC2563" s="5">
        <v>43571</v>
      </c>
      <c r="AF2563" s="1">
        <v>10007</v>
      </c>
      <c r="AI2563" s="1" t="s">
        <v>114</v>
      </c>
      <c r="AJ2563" s="1">
        <v>1910</v>
      </c>
      <c r="AK2563" s="1" t="s">
        <v>202</v>
      </c>
      <c r="AL2563" s="1">
        <v>99</v>
      </c>
    </row>
    <row r="2564" spans="1:38" x14ac:dyDescent="0.2">
      <c r="A2564" s="2" t="str">
        <f>HYPERLINK("https://www.compass.com/listing/49-chambers-street-unit-16c-manhattan-ny-10007/597954500810384953/","49 Chambers St, Unit 16C")</f>
        <v>49 Chambers St, Unit 16C</v>
      </c>
      <c r="B2564" s="2" t="str">
        <f t="shared" si="418"/>
        <v>49 Chambers</v>
      </c>
      <c r="C2564" s="1" t="s">
        <v>113</v>
      </c>
      <c r="D2564" s="1" t="s">
        <v>41</v>
      </c>
      <c r="E2564" s="3">
        <v>2445000</v>
      </c>
      <c r="F2564" s="1">
        <v>1895.3488372093</v>
      </c>
      <c r="G2564" s="1">
        <v>4.5</v>
      </c>
      <c r="H2564" s="1">
        <v>1</v>
      </c>
      <c r="I2564" s="1">
        <v>2</v>
      </c>
      <c r="J2564" s="1">
        <v>1.5</v>
      </c>
      <c r="K2564" s="1">
        <v>1</v>
      </c>
      <c r="L2564" s="1">
        <v>1</v>
      </c>
      <c r="M2564" s="4">
        <v>1290</v>
      </c>
      <c r="N2564" s="1">
        <v>932</v>
      </c>
      <c r="O2564" s="1">
        <v>3519</v>
      </c>
      <c r="P2564" s="1">
        <v>2587</v>
      </c>
      <c r="Q2564" s="1" t="s">
        <v>42</v>
      </c>
      <c r="S2564" s="1" t="s">
        <v>42</v>
      </c>
      <c r="T2564" s="1" t="s">
        <v>273</v>
      </c>
      <c r="U2564" s="1">
        <v>21</v>
      </c>
      <c r="V2564" s="5">
        <v>44314</v>
      </c>
      <c r="W2564" s="5">
        <v>44055</v>
      </c>
      <c r="Y2564" s="1">
        <v>2445000</v>
      </c>
      <c r="Z2564" s="5">
        <v>44077</v>
      </c>
      <c r="AA2564" s="1">
        <v>2445000</v>
      </c>
      <c r="AB2564" s="1" t="s">
        <v>275</v>
      </c>
      <c r="AC2564" s="5">
        <v>44154</v>
      </c>
      <c r="AF2564" s="1">
        <v>10007</v>
      </c>
      <c r="AI2564" s="1" t="s">
        <v>114</v>
      </c>
      <c r="AJ2564" s="1">
        <v>1910</v>
      </c>
      <c r="AK2564" s="1" t="s">
        <v>49</v>
      </c>
      <c r="AL2564" s="1">
        <v>99</v>
      </c>
    </row>
    <row r="2565" spans="1:38" x14ac:dyDescent="0.2">
      <c r="A2565" s="2" t="str">
        <f>HYPERLINK("https://www.compass.com/listing/49-chambers-street-unit-6h-manhattan-ny-10007/29513623546198769/","49 Chambers St, Unit 6H")</f>
        <v>49 Chambers St, Unit 6H</v>
      </c>
      <c r="B2565" s="2" t="str">
        <f t="shared" si="418"/>
        <v>49 Chambers</v>
      </c>
      <c r="C2565" s="1" t="s">
        <v>113</v>
      </c>
      <c r="D2565" s="1" t="s">
        <v>41</v>
      </c>
      <c r="E2565" s="3">
        <v>2270000</v>
      </c>
      <c r="F2565" s="1">
        <v>1555.8601782042399</v>
      </c>
      <c r="G2565" s="1">
        <v>4</v>
      </c>
      <c r="H2565" s="1">
        <v>1</v>
      </c>
      <c r="I2565" s="1">
        <v>2</v>
      </c>
      <c r="J2565" s="1">
        <v>2</v>
      </c>
      <c r="K2565" s="1">
        <v>2</v>
      </c>
      <c r="M2565" s="4">
        <v>1459</v>
      </c>
      <c r="N2565" s="1">
        <v>915</v>
      </c>
      <c r="O2565" s="1">
        <v>2933</v>
      </c>
      <c r="P2565" s="1">
        <v>2018</v>
      </c>
      <c r="Q2565" s="1" t="s">
        <v>42</v>
      </c>
      <c r="S2565" s="1" t="s">
        <v>42</v>
      </c>
      <c r="T2565" s="1" t="s">
        <v>273</v>
      </c>
      <c r="U2565" s="1">
        <v>120</v>
      </c>
      <c r="V2565" s="5">
        <v>44314</v>
      </c>
      <c r="W2565" s="5">
        <v>43026</v>
      </c>
      <c r="X2565" s="1">
        <v>2270000</v>
      </c>
      <c r="Y2565" s="1">
        <v>2270000</v>
      </c>
      <c r="Z2565" s="5">
        <v>43795</v>
      </c>
      <c r="AA2565" s="1">
        <v>2270000</v>
      </c>
      <c r="AB2565" s="1" t="s">
        <v>275</v>
      </c>
      <c r="AC2565" s="5">
        <v>44133</v>
      </c>
      <c r="AF2565" s="1">
        <v>10007</v>
      </c>
      <c r="AI2565" s="1" t="s">
        <v>114</v>
      </c>
      <c r="AJ2565" s="1">
        <v>1910</v>
      </c>
      <c r="AK2565" s="1" t="s">
        <v>49</v>
      </c>
      <c r="AL2565" s="1">
        <v>99</v>
      </c>
    </row>
    <row r="2566" spans="1:38" x14ac:dyDescent="0.2">
      <c r="A2566" s="2" t="str">
        <f>HYPERLINK("https://www.compass.com/listing/49-chambers-street-unit-11f-manhattan-ny-10007/222312286382029777/","49 Chambers St, Unit 11F")</f>
        <v>49 Chambers St, Unit 11F</v>
      </c>
      <c r="B2566" s="2" t="str">
        <f t="shared" si="418"/>
        <v>49 Chambers</v>
      </c>
      <c r="C2566" s="1" t="s">
        <v>113</v>
      </c>
      <c r="D2566" s="1" t="s">
        <v>41</v>
      </c>
      <c r="E2566" s="3">
        <v>1750000</v>
      </c>
      <c r="F2566" s="1">
        <v>1807.85123966942</v>
      </c>
      <c r="G2566" s="1">
        <v>3</v>
      </c>
      <c r="H2566" s="1">
        <v>1</v>
      </c>
      <c r="I2566" s="1">
        <v>2</v>
      </c>
      <c r="J2566" s="1">
        <v>1.5</v>
      </c>
      <c r="K2566" s="1">
        <v>1</v>
      </c>
      <c r="L2566" s="1">
        <v>1</v>
      </c>
      <c r="M2566" s="1">
        <v>968</v>
      </c>
      <c r="N2566" s="1">
        <v>609</v>
      </c>
      <c r="O2566" s="1">
        <v>2132</v>
      </c>
      <c r="P2566" s="1">
        <v>1523</v>
      </c>
      <c r="Q2566" s="1" t="s">
        <v>42</v>
      </c>
      <c r="S2566" s="1" t="s">
        <v>42</v>
      </c>
      <c r="T2566" s="1" t="s">
        <v>273</v>
      </c>
      <c r="V2566" s="5">
        <v>44225</v>
      </c>
      <c r="W2566" s="5">
        <v>43558</v>
      </c>
      <c r="X2566" s="1">
        <v>1750000</v>
      </c>
      <c r="Y2566" s="1">
        <v>1750000</v>
      </c>
      <c r="Z2566" s="5">
        <v>43559</v>
      </c>
      <c r="AA2566" s="1">
        <v>1750000</v>
      </c>
      <c r="AB2566" s="1" t="s">
        <v>275</v>
      </c>
      <c r="AC2566" s="5">
        <v>43585</v>
      </c>
      <c r="AF2566" s="1">
        <v>10007</v>
      </c>
      <c r="AI2566" s="1" t="s">
        <v>114</v>
      </c>
      <c r="AJ2566" s="1">
        <v>1910</v>
      </c>
      <c r="AK2566" s="1" t="s">
        <v>49</v>
      </c>
      <c r="AL2566" s="1">
        <v>99</v>
      </c>
    </row>
    <row r="2567" spans="1:38" x14ac:dyDescent="0.2">
      <c r="A2567" s="2" t="str">
        <f>HYPERLINK("https://www.compass.com/listing/77-charlton-street-unit-n10c-manhattan-ny-10014/638360625191683305/","77 Charlton St, Unit N10C")</f>
        <v>77 Charlton St, Unit N10C</v>
      </c>
      <c r="B2567" s="2" t="str">
        <f t="shared" ref="B2567:B2570" si="419">HYPERLINK("https://www.compass.com/building/77-charlton-st-manhattan-ny-10014/282058735872933093/","77 Charlton St")</f>
        <v>77 Charlton St</v>
      </c>
      <c r="C2567" s="1" t="s">
        <v>53</v>
      </c>
      <c r="D2567" s="1" t="s">
        <v>41</v>
      </c>
      <c r="E2567" s="3">
        <v>2070000</v>
      </c>
      <c r="F2567" s="1">
        <v>1920.22263450834</v>
      </c>
      <c r="G2567" s="1">
        <v>4</v>
      </c>
      <c r="H2567" s="1">
        <v>2</v>
      </c>
      <c r="I2567" s="1">
        <v>2</v>
      </c>
      <c r="J2567" s="1">
        <v>2</v>
      </c>
      <c r="K2567" s="1">
        <v>2</v>
      </c>
      <c r="M2567" s="4">
        <v>1078</v>
      </c>
      <c r="N2567" s="1">
        <v>1284</v>
      </c>
      <c r="O2567" s="1">
        <v>3119</v>
      </c>
      <c r="P2567" s="1">
        <v>1835</v>
      </c>
      <c r="Q2567" s="1" t="s">
        <v>42</v>
      </c>
      <c r="S2567" s="1" t="s">
        <v>42</v>
      </c>
      <c r="T2567" s="1" t="s">
        <v>273</v>
      </c>
      <c r="U2567" s="1">
        <v>83</v>
      </c>
      <c r="V2567" s="5">
        <v>44373</v>
      </c>
      <c r="W2567" s="5">
        <v>44133</v>
      </c>
      <c r="X2567" s="1">
        <v>2230000</v>
      </c>
      <c r="Y2567" s="1">
        <v>2230000</v>
      </c>
      <c r="Z2567" s="5">
        <v>44217</v>
      </c>
      <c r="AA2567" s="1">
        <v>2070000</v>
      </c>
      <c r="AB2567" s="1" t="s">
        <v>295</v>
      </c>
      <c r="AC2567" s="5">
        <v>44316</v>
      </c>
      <c r="AF2567" s="1">
        <v>10014</v>
      </c>
      <c r="AI2567" s="1" t="s">
        <v>48</v>
      </c>
      <c r="AJ2567" s="1">
        <v>2019</v>
      </c>
      <c r="AK2567" s="1" t="s">
        <v>46</v>
      </c>
      <c r="AL2567" s="1">
        <v>161</v>
      </c>
    </row>
    <row r="2568" spans="1:38" x14ac:dyDescent="0.2">
      <c r="A2568" s="2" t="str">
        <f>HYPERLINK("https://www.compass.com/listing/77-charlton-street-unit-s8c-manhattan-ny-10014/333276914441138065/","77 Charlton St, Unit S8C")</f>
        <v>77 Charlton St, Unit S8C</v>
      </c>
      <c r="B2568" s="2" t="str">
        <f t="shared" si="419"/>
        <v>77 Charlton St</v>
      </c>
      <c r="C2568" s="1" t="s">
        <v>53</v>
      </c>
      <c r="D2568" s="1" t="s">
        <v>41</v>
      </c>
      <c r="E2568" s="3">
        <v>2158249</v>
      </c>
      <c r="F2568" s="1">
        <v>2002.0863636363599</v>
      </c>
      <c r="G2568" s="1">
        <v>4</v>
      </c>
      <c r="H2568" s="1">
        <v>2</v>
      </c>
      <c r="I2568" s="1">
        <v>2</v>
      </c>
      <c r="J2568" s="1">
        <v>2</v>
      </c>
      <c r="K2568" s="1">
        <v>2</v>
      </c>
      <c r="M2568" s="4">
        <v>1078</v>
      </c>
      <c r="N2568" s="1">
        <v>1260</v>
      </c>
      <c r="O2568" s="1">
        <v>3061</v>
      </c>
      <c r="P2568" s="1">
        <v>1801</v>
      </c>
      <c r="Q2568" s="1" t="s">
        <v>42</v>
      </c>
      <c r="S2568" s="1" t="s">
        <v>42</v>
      </c>
      <c r="T2568" s="1" t="s">
        <v>273</v>
      </c>
      <c r="V2568" s="5">
        <v>44373</v>
      </c>
      <c r="W2568" s="5">
        <v>43712</v>
      </c>
      <c r="X2568" s="1">
        <v>2190000</v>
      </c>
      <c r="Y2568" s="1">
        <v>2190000</v>
      </c>
      <c r="Z2568" s="5">
        <v>43712</v>
      </c>
      <c r="AA2568" s="1">
        <v>2158249.1</v>
      </c>
      <c r="AB2568" s="1" t="s">
        <v>1500</v>
      </c>
      <c r="AC2568" s="5">
        <v>44314</v>
      </c>
      <c r="AF2568" s="1">
        <v>10014</v>
      </c>
      <c r="AI2568" s="1" t="s">
        <v>48</v>
      </c>
      <c r="AJ2568" s="1">
        <v>2019</v>
      </c>
      <c r="AK2568" s="1" t="s">
        <v>46</v>
      </c>
      <c r="AL2568" s="1">
        <v>161</v>
      </c>
    </row>
    <row r="2569" spans="1:38" x14ac:dyDescent="0.2">
      <c r="A2569" s="2" t="str">
        <f>HYPERLINK("https://www.compass.com/listing/77-charlton-street-unit-n12d-manhattan-ny-10014/576802046882436753/","77 Charlton St, Unit N12D")</f>
        <v>77 Charlton St, Unit N12D</v>
      </c>
      <c r="B2569" s="2" t="str">
        <f t="shared" si="419"/>
        <v>77 Charlton St</v>
      </c>
      <c r="C2569" s="1" t="s">
        <v>53</v>
      </c>
      <c r="D2569" s="1" t="s">
        <v>41</v>
      </c>
      <c r="E2569" s="3">
        <v>2006200</v>
      </c>
      <c r="F2569" s="1">
        <v>2055.5327151639299</v>
      </c>
      <c r="G2569" s="1">
        <v>4</v>
      </c>
      <c r="H2569" s="1">
        <v>2</v>
      </c>
      <c r="I2569" s="1">
        <v>2</v>
      </c>
      <c r="J2569" s="1">
        <v>2</v>
      </c>
      <c r="K2569" s="1">
        <v>2</v>
      </c>
      <c r="M2569" s="1">
        <v>976</v>
      </c>
      <c r="N2569" s="1">
        <v>1184</v>
      </c>
      <c r="O2569" s="1">
        <v>2876</v>
      </c>
      <c r="P2569" s="1">
        <v>1692</v>
      </c>
      <c r="Q2569" s="1" t="s">
        <v>42</v>
      </c>
      <c r="S2569" s="1" t="s">
        <v>42</v>
      </c>
      <c r="T2569" s="1" t="s">
        <v>273</v>
      </c>
      <c r="V2569" s="5">
        <v>44404</v>
      </c>
      <c r="W2569" s="5">
        <v>44048</v>
      </c>
      <c r="X2569" s="1">
        <v>2025000</v>
      </c>
      <c r="Y2569" s="1">
        <v>2025000</v>
      </c>
      <c r="Z2569" s="5">
        <v>44048</v>
      </c>
      <c r="AA2569" s="1">
        <v>2006199.93</v>
      </c>
      <c r="AB2569" s="1" t="s">
        <v>1501</v>
      </c>
      <c r="AC2569" s="5">
        <v>44378</v>
      </c>
      <c r="AF2569" s="1">
        <v>10014</v>
      </c>
      <c r="AI2569" s="1" t="s">
        <v>48</v>
      </c>
      <c r="AJ2569" s="1">
        <v>2019</v>
      </c>
      <c r="AK2569" s="1" t="s">
        <v>46</v>
      </c>
      <c r="AL2569" s="1">
        <v>161</v>
      </c>
    </row>
    <row r="2570" spans="1:38" x14ac:dyDescent="0.2">
      <c r="A2570" s="2" t="str">
        <f>HYPERLINK("https://www.compass.com/listing/77-charlton-street-unit-s5g-manhattan-ny-10014/555766602116019153/","77 Charlton St, Unit S5G")</f>
        <v>77 Charlton St, Unit S5G</v>
      </c>
      <c r="B2570" s="2" t="str">
        <f t="shared" si="419"/>
        <v>77 Charlton St</v>
      </c>
      <c r="C2570" s="1" t="s">
        <v>53</v>
      </c>
      <c r="D2570" s="1" t="s">
        <v>41</v>
      </c>
      <c r="E2570" s="3">
        <v>1275867</v>
      </c>
      <c r="F2570" s="1">
        <v>1887.37758875739</v>
      </c>
      <c r="G2570" s="1">
        <v>3</v>
      </c>
      <c r="H2570" s="1">
        <v>1</v>
      </c>
      <c r="I2570" s="1">
        <v>1</v>
      </c>
      <c r="J2570" s="1">
        <v>1</v>
      </c>
      <c r="K2570" s="1">
        <v>1</v>
      </c>
      <c r="M2570" s="1">
        <v>676</v>
      </c>
      <c r="N2570" s="1">
        <v>768</v>
      </c>
      <c r="O2570" s="1">
        <v>1865</v>
      </c>
      <c r="P2570" s="1">
        <v>1097</v>
      </c>
      <c r="Q2570" s="1" t="s">
        <v>42</v>
      </c>
      <c r="S2570" s="1" t="s">
        <v>42</v>
      </c>
      <c r="T2570" s="1" t="s">
        <v>273</v>
      </c>
      <c r="V2570" s="5">
        <v>44373</v>
      </c>
      <c r="W2570" s="5">
        <v>44019</v>
      </c>
      <c r="X2570" s="1">
        <v>1315000</v>
      </c>
      <c r="Y2570" s="1">
        <v>1315000</v>
      </c>
      <c r="Z2570" s="5">
        <v>44019</v>
      </c>
      <c r="AA2570" s="1">
        <v>1275867.25</v>
      </c>
      <c r="AB2570" s="1" t="s">
        <v>1502</v>
      </c>
      <c r="AC2570" s="5">
        <v>44306</v>
      </c>
      <c r="AF2570" s="1">
        <v>10014</v>
      </c>
      <c r="AI2570" s="1" t="s">
        <v>48</v>
      </c>
      <c r="AJ2570" s="1">
        <v>2019</v>
      </c>
      <c r="AK2570" s="1" t="s">
        <v>46</v>
      </c>
      <c r="AL2570" s="1">
        <v>161</v>
      </c>
    </row>
    <row r="2571" spans="1:38" x14ac:dyDescent="0.2">
      <c r="A2571" s="2" t="str">
        <f>HYPERLINK("https://www.compass.com/listing/49-chambers-street-unit-7f-manhattan-ny-10007/117328987428062625/","49 Chambers St, Unit 7F")</f>
        <v>49 Chambers St, Unit 7F</v>
      </c>
      <c r="B2571" s="2" t="str">
        <f>HYPERLINK("https://www.compass.com/building/49-chambers-manhattan-ny/282058733280852725/","49 Chambers")</f>
        <v>49 Chambers</v>
      </c>
      <c r="C2571" s="1" t="s">
        <v>113</v>
      </c>
      <c r="D2571" s="1" t="s">
        <v>41</v>
      </c>
      <c r="E2571" s="3">
        <v>1650000</v>
      </c>
      <c r="F2571" s="1">
        <v>1704.54545454545</v>
      </c>
      <c r="G2571" s="1">
        <v>3</v>
      </c>
      <c r="H2571" s="1">
        <v>1</v>
      </c>
      <c r="I2571" s="1">
        <v>2</v>
      </c>
      <c r="J2571" s="1">
        <v>1.5</v>
      </c>
      <c r="K2571" s="1">
        <v>1</v>
      </c>
      <c r="L2571" s="1">
        <v>1</v>
      </c>
      <c r="M2571" s="1">
        <v>968</v>
      </c>
      <c r="N2571" s="1">
        <v>675</v>
      </c>
      <c r="O2571" s="1">
        <v>2164</v>
      </c>
      <c r="P2571" s="1">
        <v>1489</v>
      </c>
      <c r="Q2571" s="1" t="s">
        <v>42</v>
      </c>
      <c r="S2571" s="1" t="s">
        <v>42</v>
      </c>
      <c r="T2571" s="1" t="s">
        <v>273</v>
      </c>
      <c r="U2571" s="1">
        <v>32</v>
      </c>
      <c r="V2571" s="5">
        <v>43932</v>
      </c>
      <c r="W2571" s="5">
        <v>43413</v>
      </c>
      <c r="X2571" s="1">
        <v>1670000</v>
      </c>
      <c r="Y2571" s="1">
        <v>1670000</v>
      </c>
      <c r="Z2571" s="5">
        <v>43445</v>
      </c>
      <c r="AA2571" s="1">
        <v>1650000</v>
      </c>
      <c r="AB2571" s="1" t="s">
        <v>275</v>
      </c>
      <c r="AC2571" s="5">
        <v>43593</v>
      </c>
      <c r="AF2571" s="1">
        <v>10007</v>
      </c>
      <c r="AI2571" s="1" t="s">
        <v>114</v>
      </c>
      <c r="AJ2571" s="1">
        <v>1910</v>
      </c>
      <c r="AK2571" s="1" t="s">
        <v>202</v>
      </c>
      <c r="AL2571" s="1">
        <v>99</v>
      </c>
    </row>
    <row r="2572" spans="1:38" x14ac:dyDescent="0.2">
      <c r="A2572" s="2" t="str">
        <f>HYPERLINK("https://www.compass.com/listing/235-west-75th-street-unit-307-manhattan-ny-10023/29395864812333073/","235 W 75th St, Unit 307")</f>
        <v>235 W 75th St, Unit 307</v>
      </c>
      <c r="B2572" s="2" t="str">
        <f t="shared" ref="B2572:B2573" si="420">HYPERLINK("https://www.compass.com/building/the-astor-manhattan-ny/281958704155269925/","The Astor")</f>
        <v>The Astor</v>
      </c>
      <c r="C2572" s="1" t="s">
        <v>57</v>
      </c>
      <c r="D2572" s="1" t="s">
        <v>41</v>
      </c>
      <c r="E2572" s="3">
        <v>3262158</v>
      </c>
      <c r="F2572" s="1">
        <v>2105.9767591994801</v>
      </c>
      <c r="G2572" s="1">
        <v>3</v>
      </c>
      <c r="H2572" s="1">
        <v>2</v>
      </c>
      <c r="I2572" s="1">
        <v>1</v>
      </c>
      <c r="J2572" s="1">
        <v>1.5</v>
      </c>
      <c r="K2572" s="1">
        <v>1</v>
      </c>
      <c r="L2572" s="1">
        <v>1</v>
      </c>
      <c r="M2572" s="4">
        <v>1549</v>
      </c>
      <c r="N2572" s="1">
        <v>1986</v>
      </c>
      <c r="O2572" s="1">
        <v>4161</v>
      </c>
      <c r="P2572" s="1">
        <v>2175</v>
      </c>
      <c r="Q2572" s="1" t="s">
        <v>42</v>
      </c>
      <c r="S2572" s="1" t="s">
        <v>42</v>
      </c>
      <c r="T2572" s="1" t="s">
        <v>273</v>
      </c>
      <c r="U2572" s="1">
        <v>8</v>
      </c>
      <c r="V2572" s="5">
        <v>43654</v>
      </c>
      <c r="W2572" s="5">
        <v>42123</v>
      </c>
      <c r="X2572" s="1">
        <v>3178000</v>
      </c>
      <c r="Y2572" s="1">
        <v>3178000</v>
      </c>
      <c r="Z2572" s="5">
        <v>42131</v>
      </c>
      <c r="AA2572" s="1">
        <v>3262158</v>
      </c>
      <c r="AB2572" s="1" t="s">
        <v>1503</v>
      </c>
      <c r="AC2572" s="5">
        <v>42439</v>
      </c>
      <c r="AF2572" s="1">
        <v>10023</v>
      </c>
      <c r="AJ2572" s="1">
        <v>2018</v>
      </c>
      <c r="AK2572" s="1" t="s">
        <v>46</v>
      </c>
      <c r="AL2572" s="1">
        <v>98</v>
      </c>
    </row>
    <row r="2573" spans="1:38" x14ac:dyDescent="0.2">
      <c r="A2573" s="2" t="str">
        <f>HYPERLINK("https://www.compass.com/listing/235-west-75th-street-unit-620-manhattan-ny-10023/238927443409252465/","235 W 75th St, Unit 620")</f>
        <v>235 W 75th St, Unit 620</v>
      </c>
      <c r="B2573" s="2" t="str">
        <f t="shared" si="420"/>
        <v>The Astor</v>
      </c>
      <c r="C2573" s="1" t="s">
        <v>57</v>
      </c>
      <c r="D2573" s="1" t="s">
        <v>41</v>
      </c>
      <c r="E2573" s="3">
        <v>1337999</v>
      </c>
      <c r="F2573" s="1">
        <v>1579.69232585596</v>
      </c>
      <c r="G2573" s="1">
        <v>3</v>
      </c>
      <c r="H2573" s="1">
        <v>1</v>
      </c>
      <c r="I2573" s="1">
        <v>1</v>
      </c>
      <c r="J2573" s="1">
        <v>1</v>
      </c>
      <c r="K2573" s="1">
        <v>1</v>
      </c>
      <c r="M2573" s="1">
        <v>847</v>
      </c>
      <c r="N2573" s="1">
        <v>1095</v>
      </c>
      <c r="O2573" s="1">
        <v>2483</v>
      </c>
      <c r="P2573" s="1">
        <v>1388</v>
      </c>
      <c r="Q2573" s="1" t="s">
        <v>42</v>
      </c>
      <c r="S2573" s="1" t="s">
        <v>42</v>
      </c>
      <c r="T2573" s="1" t="s">
        <v>273</v>
      </c>
      <c r="U2573" s="1">
        <v>140</v>
      </c>
      <c r="V2573" s="5">
        <v>43857</v>
      </c>
      <c r="W2573" s="5">
        <v>43580</v>
      </c>
      <c r="X2573" s="1">
        <v>1500000</v>
      </c>
      <c r="Y2573" s="1">
        <v>1500000</v>
      </c>
      <c r="Z2573" s="5">
        <v>43721</v>
      </c>
      <c r="AA2573" s="1">
        <v>1337999.3999999999</v>
      </c>
      <c r="AB2573" s="1" t="s">
        <v>1504</v>
      </c>
      <c r="AC2573" s="5">
        <v>43843</v>
      </c>
      <c r="AF2573" s="1">
        <v>10023</v>
      </c>
      <c r="AJ2573" s="1">
        <v>2018</v>
      </c>
      <c r="AK2573" s="1" t="s">
        <v>46</v>
      </c>
      <c r="AL2573" s="1">
        <v>98</v>
      </c>
    </row>
    <row r="2574" spans="1:38" x14ac:dyDescent="0.2">
      <c r="A2574" s="2" t="str">
        <f>HYPERLINK("https://www.compass.com/listing/70-charlton-street-unit-3e-manhattan-ny-10014/188824480749987105/","70 Charlton St, Unit 3E")</f>
        <v>70 Charlton St, Unit 3E</v>
      </c>
      <c r="B2574" s="2" t="str">
        <f>HYPERLINK("https://www.compass.com/building/70-charlton-street-manhattan-ny/292835639240484293/","70 Charlton Street")</f>
        <v>70 Charlton Street</v>
      </c>
      <c r="C2574" s="1" t="s">
        <v>53</v>
      </c>
      <c r="D2574" s="1" t="s">
        <v>41</v>
      </c>
      <c r="E2574" s="3">
        <v>1989588</v>
      </c>
      <c r="F2574" s="1">
        <v>1857.69140989729</v>
      </c>
      <c r="H2574" s="1">
        <v>2</v>
      </c>
      <c r="J2574" s="1">
        <v>2</v>
      </c>
      <c r="M2574" s="4">
        <v>1071</v>
      </c>
      <c r="N2574" s="1">
        <v>2256</v>
      </c>
      <c r="O2574" s="1">
        <v>2256</v>
      </c>
      <c r="Q2574" s="1" t="s">
        <v>271</v>
      </c>
      <c r="S2574" s="1" t="s">
        <v>271</v>
      </c>
      <c r="T2574" s="1" t="s">
        <v>273</v>
      </c>
      <c r="AA2574" s="1">
        <v>1989587.5</v>
      </c>
      <c r="AB2574" s="1" t="s">
        <v>1505</v>
      </c>
      <c r="AC2574" s="5">
        <v>43503</v>
      </c>
      <c r="AF2574" s="1">
        <v>10014</v>
      </c>
      <c r="AI2574" s="1" t="s">
        <v>80</v>
      </c>
      <c r="AJ2574" s="1">
        <v>2016</v>
      </c>
      <c r="AK2574" s="1" t="s">
        <v>49</v>
      </c>
      <c r="AL2574" s="1">
        <v>92</v>
      </c>
    </row>
    <row r="2575" spans="1:38" x14ac:dyDescent="0.2">
      <c r="A2575" s="2" t="str">
        <f>HYPERLINK("https://www.compass.com/listing/49-chambers-street-unit-10d-manhattan-ny-10007/29513617632229841/","49 Chambers St, Unit 10D")</f>
        <v>49 Chambers St, Unit 10D</v>
      </c>
      <c r="B2575" s="2" t="str">
        <f>HYPERLINK("https://www.compass.com/building/49-chambers-manhattan-ny/282058733280852725/","49 Chambers")</f>
        <v>49 Chambers</v>
      </c>
      <c r="C2575" s="1" t="s">
        <v>113</v>
      </c>
      <c r="D2575" s="1" t="s">
        <v>41</v>
      </c>
      <c r="E2575" s="3">
        <v>3900000</v>
      </c>
      <c r="F2575" s="1">
        <v>1728.72340425531</v>
      </c>
      <c r="G2575" s="1">
        <v>6</v>
      </c>
      <c r="H2575" s="1">
        <v>3</v>
      </c>
      <c r="I2575" s="1">
        <v>3</v>
      </c>
      <c r="J2575" s="1">
        <v>2.5</v>
      </c>
      <c r="K2575" s="1">
        <v>2</v>
      </c>
      <c r="L2575" s="1">
        <v>1</v>
      </c>
      <c r="M2575" s="4">
        <v>2256</v>
      </c>
      <c r="N2575" s="1">
        <v>1598</v>
      </c>
      <c r="O2575" s="1">
        <v>5125</v>
      </c>
      <c r="P2575" s="1">
        <v>3527</v>
      </c>
      <c r="Q2575" s="1" t="s">
        <v>105</v>
      </c>
      <c r="S2575" s="1" t="s">
        <v>105</v>
      </c>
      <c r="T2575" s="1" t="s">
        <v>273</v>
      </c>
      <c r="U2575" s="1">
        <v>25</v>
      </c>
      <c r="V2575" s="5">
        <v>43932</v>
      </c>
      <c r="W2575" s="5">
        <v>43259</v>
      </c>
      <c r="X2575" s="1">
        <v>4025000</v>
      </c>
      <c r="Y2575" s="1">
        <v>4025000</v>
      </c>
      <c r="Z2575" s="5">
        <v>43285</v>
      </c>
      <c r="AA2575" s="1">
        <v>3900000</v>
      </c>
      <c r="AB2575" s="1" t="s">
        <v>275</v>
      </c>
      <c r="AC2575" s="5">
        <v>43598</v>
      </c>
      <c r="AF2575" s="1">
        <v>10007</v>
      </c>
      <c r="AI2575" s="1" t="s">
        <v>114</v>
      </c>
      <c r="AJ2575" s="1">
        <v>1910</v>
      </c>
      <c r="AK2575" s="1" t="s">
        <v>202</v>
      </c>
      <c r="AL2575" s="1">
        <v>99</v>
      </c>
    </row>
    <row r="2576" spans="1:38" x14ac:dyDescent="0.2">
      <c r="A2576" s="2" t="str">
        <f>HYPERLINK("https://www.compass.com/listing/77-charlton-street-unit-n2a-manhattan-ny-10014/430423326784152753/","77 Charlton St, Unit N2A")</f>
        <v>77 Charlton St, Unit N2A</v>
      </c>
      <c r="B2576" s="2" t="str">
        <f t="shared" ref="B2576:B2577" si="421">HYPERLINK("https://www.compass.com/building/77-charlton-st-manhattan-ny-10014/282058735872933093/","77 Charlton St")</f>
        <v>77 Charlton St</v>
      </c>
      <c r="C2576" s="1" t="s">
        <v>53</v>
      </c>
      <c r="D2576" s="1" t="s">
        <v>41</v>
      </c>
      <c r="E2576" s="3">
        <v>2156199</v>
      </c>
      <c r="F2576" s="1">
        <v>1961.96463148316</v>
      </c>
      <c r="G2576" s="1">
        <v>4</v>
      </c>
      <c r="H2576" s="1">
        <v>2</v>
      </c>
      <c r="I2576" s="1">
        <v>2</v>
      </c>
      <c r="J2576" s="1">
        <v>2</v>
      </c>
      <c r="K2576" s="1">
        <v>2</v>
      </c>
      <c r="M2576" s="4">
        <v>1099</v>
      </c>
      <c r="N2576" s="1">
        <v>1342</v>
      </c>
      <c r="O2576" s="1">
        <v>3260</v>
      </c>
      <c r="P2576" s="1">
        <v>1918</v>
      </c>
      <c r="Q2576" s="1" t="s">
        <v>42</v>
      </c>
      <c r="S2576" s="1" t="s">
        <v>42</v>
      </c>
      <c r="T2576" s="1" t="s">
        <v>273</v>
      </c>
      <c r="V2576" s="5">
        <v>44404</v>
      </c>
      <c r="W2576" s="5">
        <v>43846</v>
      </c>
      <c r="X2576" s="1">
        <v>2155000</v>
      </c>
      <c r="Y2576" s="1">
        <v>2155000</v>
      </c>
      <c r="Z2576" s="5">
        <v>43846</v>
      </c>
      <c r="AA2576" s="1">
        <v>2156199.13</v>
      </c>
      <c r="AB2576" s="1" t="s">
        <v>1506</v>
      </c>
      <c r="AC2576" s="5">
        <v>44342</v>
      </c>
      <c r="AF2576" s="1">
        <v>10014</v>
      </c>
      <c r="AI2576" s="1" t="s">
        <v>211</v>
      </c>
      <c r="AJ2576" s="1">
        <v>2019</v>
      </c>
      <c r="AK2576" s="1" t="s">
        <v>46</v>
      </c>
      <c r="AL2576" s="1">
        <v>161</v>
      </c>
    </row>
    <row r="2577" spans="1:38" x14ac:dyDescent="0.2">
      <c r="A2577" s="2" t="str">
        <f>HYPERLINK("https://www.compass.com/listing/77-charlton-street-unit-n7c-manhattan-ny-10014/430427632220797217/","77 Charlton St, Unit N7C")</f>
        <v>77 Charlton St, Unit N7C</v>
      </c>
      <c r="B2577" s="2" t="str">
        <f t="shared" si="421"/>
        <v>77 Charlton St</v>
      </c>
      <c r="C2577" s="1" t="s">
        <v>53</v>
      </c>
      <c r="D2577" s="1" t="s">
        <v>41</v>
      </c>
      <c r="E2577" s="3">
        <v>1937730</v>
      </c>
      <c r="F2577" s="1">
        <v>1797.5229591836701</v>
      </c>
      <c r="G2577" s="1">
        <v>4</v>
      </c>
      <c r="H2577" s="1">
        <v>2</v>
      </c>
      <c r="I2577" s="1">
        <v>2</v>
      </c>
      <c r="J2577" s="1">
        <v>2</v>
      </c>
      <c r="K2577" s="1">
        <v>2</v>
      </c>
      <c r="M2577" s="4">
        <v>1078</v>
      </c>
      <c r="N2577" s="1">
        <v>1248</v>
      </c>
      <c r="O2577" s="1">
        <v>3032</v>
      </c>
      <c r="P2577" s="1">
        <v>1784</v>
      </c>
      <c r="Q2577" s="1" t="s">
        <v>42</v>
      </c>
      <c r="S2577" s="1" t="s">
        <v>42</v>
      </c>
      <c r="T2577" s="1" t="s">
        <v>273</v>
      </c>
      <c r="V2577" s="5">
        <v>44404</v>
      </c>
      <c r="W2577" s="5">
        <v>43846</v>
      </c>
      <c r="X2577" s="1">
        <v>2140000</v>
      </c>
      <c r="Y2577" s="1">
        <v>2140000</v>
      </c>
      <c r="Z2577" s="5">
        <v>43846</v>
      </c>
      <c r="AA2577" s="1">
        <v>1937729.75</v>
      </c>
      <c r="AB2577" s="1" t="s">
        <v>1507</v>
      </c>
      <c r="AC2577" s="5">
        <v>44368</v>
      </c>
      <c r="AF2577" s="1">
        <v>10014</v>
      </c>
      <c r="AI2577" s="1" t="s">
        <v>48</v>
      </c>
      <c r="AJ2577" s="1">
        <v>2019</v>
      </c>
      <c r="AK2577" s="1" t="s">
        <v>46</v>
      </c>
      <c r="AL2577" s="1">
        <v>161</v>
      </c>
    </row>
    <row r="2578" spans="1:38" x14ac:dyDescent="0.2">
      <c r="A2578" s="2" t="str">
        <f>HYPERLINK("https://www.compass.com/listing/108-leonard-street-unit-2e-manhattan-ny-10013/246345782377165889/","108 Leonard St, Unit 2E")</f>
        <v>108 Leonard St, Unit 2E</v>
      </c>
      <c r="B2578" s="2" t="str">
        <f>HYPERLINK("https://www.compass.com/building/108-leonard-st-manhattan-ny-10013/307456049610778277/","108 Leonard St")</f>
        <v>108 Leonard St</v>
      </c>
      <c r="C2578" s="1" t="s">
        <v>50</v>
      </c>
      <c r="D2578" s="1" t="s">
        <v>41</v>
      </c>
      <c r="E2578" s="3">
        <v>1213529</v>
      </c>
      <c r="F2578" s="1">
        <v>1784.6021176470499</v>
      </c>
      <c r="G2578" s="1">
        <v>2</v>
      </c>
      <c r="H2578" s="1" t="s">
        <v>99</v>
      </c>
      <c r="I2578" s="1">
        <v>1</v>
      </c>
      <c r="J2578" s="1">
        <v>1</v>
      </c>
      <c r="K2578" s="1">
        <v>1</v>
      </c>
      <c r="M2578" s="1">
        <v>680</v>
      </c>
      <c r="N2578" s="1">
        <v>808</v>
      </c>
      <c r="O2578" s="1">
        <v>1905</v>
      </c>
      <c r="P2578" s="1">
        <v>1097</v>
      </c>
      <c r="Q2578" s="1" t="s">
        <v>42</v>
      </c>
      <c r="S2578" s="1" t="s">
        <v>42</v>
      </c>
      <c r="T2578" s="1" t="s">
        <v>273</v>
      </c>
      <c r="U2578" s="1">
        <v>115</v>
      </c>
      <c r="V2578" s="5">
        <v>43743</v>
      </c>
      <c r="W2578" s="5">
        <v>43592</v>
      </c>
      <c r="X2578" s="1">
        <v>1240000</v>
      </c>
      <c r="Y2578" s="1">
        <v>1240000</v>
      </c>
      <c r="AA2578" s="1">
        <v>1213529.44</v>
      </c>
      <c r="AB2578" s="1" t="s">
        <v>1508</v>
      </c>
      <c r="AC2578" s="5">
        <v>43801</v>
      </c>
      <c r="AF2578" s="1">
        <v>10013</v>
      </c>
      <c r="AI2578" s="1" t="s">
        <v>78</v>
      </c>
      <c r="AJ2578" s="1">
        <v>1899</v>
      </c>
      <c r="AK2578" s="1" t="s">
        <v>115</v>
      </c>
      <c r="AL2578" s="1">
        <v>167</v>
      </c>
    </row>
    <row r="2579" spans="1:38" x14ac:dyDescent="0.2">
      <c r="A2579" s="2" t="str">
        <f>HYPERLINK("https://www.compass.com/listing/77-charlton-street-unit-s9b-manhattan-ny-10014/555766610680838481/","77 Charlton St, Unit S9B")</f>
        <v>77 Charlton St, Unit S9B</v>
      </c>
      <c r="B2579" s="2" t="str">
        <f>HYPERLINK("https://www.compass.com/building/77-charlton-st-manhattan-ny-10014/282058735872933093/","77 Charlton St")</f>
        <v>77 Charlton St</v>
      </c>
      <c r="C2579" s="1" t="s">
        <v>53</v>
      </c>
      <c r="D2579" s="1" t="s">
        <v>41</v>
      </c>
      <c r="E2579" s="3">
        <v>1513000</v>
      </c>
      <c r="F2579" s="1">
        <v>2006.63129973474</v>
      </c>
      <c r="G2579" s="1">
        <v>3</v>
      </c>
      <c r="H2579" s="1">
        <v>1</v>
      </c>
      <c r="I2579" s="1">
        <v>1</v>
      </c>
      <c r="J2579" s="1">
        <v>1</v>
      </c>
      <c r="K2579" s="1">
        <v>1</v>
      </c>
      <c r="M2579" s="1">
        <v>754</v>
      </c>
      <c r="N2579" s="1">
        <v>890</v>
      </c>
      <c r="O2579" s="1">
        <v>2162</v>
      </c>
      <c r="P2579" s="1">
        <v>1272</v>
      </c>
      <c r="Q2579" s="1" t="s">
        <v>42</v>
      </c>
      <c r="S2579" s="1" t="s">
        <v>42</v>
      </c>
      <c r="T2579" s="1" t="s">
        <v>273</v>
      </c>
      <c r="V2579" s="5">
        <v>44404</v>
      </c>
      <c r="W2579" s="5">
        <v>44019</v>
      </c>
      <c r="X2579" s="1">
        <v>1545000</v>
      </c>
      <c r="Y2579" s="1">
        <v>1545000</v>
      </c>
      <c r="Z2579" s="5">
        <v>44019</v>
      </c>
      <c r="AA2579" s="1">
        <v>1513000</v>
      </c>
      <c r="AB2579" s="1" t="s">
        <v>1509</v>
      </c>
      <c r="AC2579" s="5">
        <v>44337</v>
      </c>
      <c r="AF2579" s="1">
        <v>10014</v>
      </c>
      <c r="AI2579" s="1" t="s">
        <v>48</v>
      </c>
      <c r="AJ2579" s="1">
        <v>2019</v>
      </c>
      <c r="AK2579" s="1" t="s">
        <v>46</v>
      </c>
      <c r="AL2579" s="1">
        <v>161</v>
      </c>
    </row>
    <row r="2580" spans="1:38" x14ac:dyDescent="0.2">
      <c r="A2580" s="2" t="str">
        <f>HYPERLINK("https://www.compass.com/listing/152-elizabeth-street-unit-3w-manhattan-ny-10013/664294085866021305/","152 Elizabeth St, Unit 3W")</f>
        <v>152 Elizabeth St, Unit 3W</v>
      </c>
      <c r="B2580" s="2" t="str">
        <f>HYPERLINK("https://www.compass.com/building/152-elizabeth-st-manhattan-ny-10013/455668986164976365/","152 Elizabeth St")</f>
        <v>152 Elizabeth St</v>
      </c>
      <c r="C2580" s="1" t="s">
        <v>79</v>
      </c>
      <c r="D2580" s="1" t="s">
        <v>41</v>
      </c>
      <c r="E2580" s="3">
        <v>4995000</v>
      </c>
      <c r="F2580" s="1">
        <v>2566.8036998972202</v>
      </c>
      <c r="G2580" s="1">
        <v>5</v>
      </c>
      <c r="H2580" s="1">
        <v>3</v>
      </c>
      <c r="I2580" s="1">
        <v>3</v>
      </c>
      <c r="J2580" s="1">
        <v>3</v>
      </c>
      <c r="K2580" s="1">
        <v>3</v>
      </c>
      <c r="M2580" s="4">
        <v>1946</v>
      </c>
      <c r="N2580" s="1">
        <v>4396</v>
      </c>
      <c r="O2580" s="1">
        <v>6282</v>
      </c>
      <c r="P2580" s="1">
        <v>1886</v>
      </c>
      <c r="Q2580" s="1" t="s">
        <v>42</v>
      </c>
      <c r="S2580" s="1" t="s">
        <v>42</v>
      </c>
      <c r="T2580" s="1" t="s">
        <v>273</v>
      </c>
      <c r="U2580" s="1">
        <v>84</v>
      </c>
      <c r="V2580" s="5">
        <v>44314</v>
      </c>
      <c r="W2580" s="5">
        <v>44168</v>
      </c>
      <c r="X2580" s="1">
        <v>5995000</v>
      </c>
      <c r="Y2580" s="1">
        <v>5995000</v>
      </c>
      <c r="Z2580" s="5">
        <v>44253</v>
      </c>
      <c r="AA2580" s="1">
        <v>4995000</v>
      </c>
      <c r="AB2580" s="1" t="s">
        <v>1510</v>
      </c>
      <c r="AC2580" s="5">
        <v>44291</v>
      </c>
      <c r="AF2580" s="1">
        <v>10013</v>
      </c>
      <c r="AI2580" s="1" t="s">
        <v>78</v>
      </c>
      <c r="AK2580" s="1" t="s">
        <v>49</v>
      </c>
      <c r="AL2580" s="1">
        <v>7</v>
      </c>
    </row>
    <row r="2581" spans="1:38" x14ac:dyDescent="0.2">
      <c r="A2581" s="2" t="str">
        <f>HYPERLINK("https://www.compass.com/listing/49-chambers-street-unit-7a-manhattan-ny-10007/802609671856806921/","49 Chambers St, Unit 7A")</f>
        <v>49 Chambers St, Unit 7A</v>
      </c>
      <c r="B2581" s="2" t="str">
        <f>HYPERLINK("https://www.compass.com/building/49-chambers-manhattan-ny/282058733280852725/","49 Chambers")</f>
        <v>49 Chambers</v>
      </c>
      <c r="C2581" s="1" t="s">
        <v>113</v>
      </c>
      <c r="D2581" s="1" t="s">
        <v>41</v>
      </c>
      <c r="E2581" s="3">
        <v>3200000</v>
      </c>
      <c r="F2581" s="1">
        <v>1754.3859649122801</v>
      </c>
      <c r="G2581" s="1">
        <v>4</v>
      </c>
      <c r="H2581" s="1">
        <v>2</v>
      </c>
      <c r="I2581" s="1">
        <v>2</v>
      </c>
      <c r="J2581" s="1">
        <v>2</v>
      </c>
      <c r="K2581" s="1">
        <v>2</v>
      </c>
      <c r="M2581" s="4">
        <v>1824</v>
      </c>
      <c r="N2581" s="1">
        <v>1307</v>
      </c>
      <c r="O2581" s="1">
        <v>4192</v>
      </c>
      <c r="P2581" s="1">
        <v>2885</v>
      </c>
      <c r="Q2581" s="1" t="s">
        <v>181</v>
      </c>
      <c r="S2581" s="1" t="s">
        <v>181</v>
      </c>
      <c r="T2581" s="1" t="s">
        <v>273</v>
      </c>
      <c r="U2581" s="1">
        <v>63</v>
      </c>
      <c r="V2581" s="5">
        <v>43592</v>
      </c>
      <c r="W2581" s="5">
        <v>43188</v>
      </c>
      <c r="X2581" s="1">
        <v>3375000</v>
      </c>
      <c r="Y2581" s="1">
        <v>3375000</v>
      </c>
      <c r="Z2581" s="5">
        <v>43252</v>
      </c>
      <c r="AA2581" s="1">
        <v>3200000</v>
      </c>
      <c r="AB2581" s="1" t="s">
        <v>275</v>
      </c>
      <c r="AC2581" s="5">
        <v>43280</v>
      </c>
      <c r="AF2581" s="1">
        <v>10007</v>
      </c>
      <c r="AI2581" s="1" t="s">
        <v>114</v>
      </c>
      <c r="AJ2581" s="1">
        <v>1910</v>
      </c>
      <c r="AK2581" s="1" t="s">
        <v>202</v>
      </c>
      <c r="AL2581" s="1">
        <v>99</v>
      </c>
    </row>
    <row r="2582" spans="1:38" x14ac:dyDescent="0.2">
      <c r="A2582" s="2" t="str">
        <f>HYPERLINK("https://www.compass.com/listing/77-charlton-street-unit-n7f-manhattan-ny-10014/430427632891730361/","77 Charlton St, Unit N7F")</f>
        <v>77 Charlton St, Unit N7F</v>
      </c>
      <c r="B2582" s="2" t="str">
        <f t="shared" ref="B2582:B2588" si="422">HYPERLINK("https://www.compass.com/building/77-charlton-st-manhattan-ny-10014/282058735872933093/","77 Charlton St")</f>
        <v>77 Charlton St</v>
      </c>
      <c r="C2582" s="1" t="s">
        <v>53</v>
      </c>
      <c r="D2582" s="1" t="s">
        <v>41</v>
      </c>
      <c r="E2582" s="3">
        <v>1198480</v>
      </c>
      <c r="F2582" s="1">
        <v>1908.4080414012701</v>
      </c>
      <c r="G2582" s="1">
        <v>3</v>
      </c>
      <c r="H2582" s="1">
        <v>1</v>
      </c>
      <c r="I2582" s="1">
        <v>1</v>
      </c>
      <c r="J2582" s="1">
        <v>1</v>
      </c>
      <c r="K2582" s="1">
        <v>1</v>
      </c>
      <c r="M2582" s="1">
        <v>628</v>
      </c>
      <c r="N2582" s="1">
        <v>740</v>
      </c>
      <c r="O2582" s="1">
        <v>1798</v>
      </c>
      <c r="P2582" s="1">
        <v>1058</v>
      </c>
      <c r="Q2582" s="1" t="s">
        <v>42</v>
      </c>
      <c r="S2582" s="1" t="s">
        <v>42</v>
      </c>
      <c r="T2582" s="1" t="s">
        <v>273</v>
      </c>
      <c r="V2582" s="5">
        <v>44373</v>
      </c>
      <c r="W2582" s="5">
        <v>43846</v>
      </c>
      <c r="X2582" s="1">
        <v>1250000</v>
      </c>
      <c r="Y2582" s="1">
        <v>1250000</v>
      </c>
      <c r="Z2582" s="5">
        <v>43846</v>
      </c>
      <c r="AA2582" s="1">
        <v>1198480.25</v>
      </c>
      <c r="AB2582" s="1" t="s">
        <v>1511</v>
      </c>
      <c r="AC2582" s="5">
        <v>44305</v>
      </c>
      <c r="AF2582" s="1">
        <v>10014</v>
      </c>
      <c r="AI2582" s="1" t="s">
        <v>179</v>
      </c>
      <c r="AJ2582" s="1">
        <v>2019</v>
      </c>
      <c r="AK2582" s="1" t="s">
        <v>46</v>
      </c>
      <c r="AL2582" s="1">
        <v>161</v>
      </c>
    </row>
    <row r="2583" spans="1:38" x14ac:dyDescent="0.2">
      <c r="A2583" s="2" t="str">
        <f>HYPERLINK("https://www.compass.com/listing/77-charlton-street-unit-n3f-manhattan-ny-10014/430427633495441273/","77 Charlton St, Unit N3F")</f>
        <v>77 Charlton St, Unit N3F</v>
      </c>
      <c r="B2583" s="2" t="str">
        <f t="shared" si="422"/>
        <v>77 Charlton St</v>
      </c>
      <c r="C2583" s="1" t="s">
        <v>53</v>
      </c>
      <c r="D2583" s="1" t="s">
        <v>41</v>
      </c>
      <c r="E2583" s="3">
        <v>1245320</v>
      </c>
      <c r="F2583" s="1">
        <v>1982.9932324840699</v>
      </c>
      <c r="G2583" s="1">
        <v>3</v>
      </c>
      <c r="H2583" s="1">
        <v>1</v>
      </c>
      <c r="I2583" s="1">
        <v>1</v>
      </c>
      <c r="J2583" s="1">
        <v>1</v>
      </c>
      <c r="K2583" s="1">
        <v>1</v>
      </c>
      <c r="M2583" s="1">
        <v>628</v>
      </c>
      <c r="N2583" s="1">
        <v>712</v>
      </c>
      <c r="O2583" s="1">
        <v>1730</v>
      </c>
      <c r="P2583" s="1">
        <v>1018</v>
      </c>
      <c r="Q2583" s="1" t="s">
        <v>42</v>
      </c>
      <c r="S2583" s="1" t="s">
        <v>42</v>
      </c>
      <c r="T2583" s="1" t="s">
        <v>273</v>
      </c>
      <c r="V2583" s="5">
        <v>44404</v>
      </c>
      <c r="W2583" s="5">
        <v>43846</v>
      </c>
      <c r="X2583" s="1">
        <v>1170000</v>
      </c>
      <c r="Y2583" s="1">
        <v>1170000</v>
      </c>
      <c r="Z2583" s="5">
        <v>43846</v>
      </c>
      <c r="AA2583" s="1">
        <v>1245319.75</v>
      </c>
      <c r="AB2583" s="1" t="s">
        <v>1512</v>
      </c>
      <c r="AC2583" s="5">
        <v>44362</v>
      </c>
      <c r="AF2583" s="1">
        <v>10014</v>
      </c>
      <c r="AI2583" s="1" t="s">
        <v>238</v>
      </c>
      <c r="AJ2583" s="1">
        <v>2019</v>
      </c>
      <c r="AK2583" s="1" t="s">
        <v>46</v>
      </c>
      <c r="AL2583" s="1">
        <v>161</v>
      </c>
    </row>
    <row r="2584" spans="1:38" x14ac:dyDescent="0.2">
      <c r="A2584" s="2" t="str">
        <f>HYPERLINK("https://www.compass.com/listing/77-charlton-street-unit-n10g-manhattan-ny-10014/430442293376697641/","77 Charlton St, Unit N10G")</f>
        <v>77 Charlton St, Unit N10G</v>
      </c>
      <c r="B2584" s="2" t="str">
        <f t="shared" si="422"/>
        <v>77 Charlton St</v>
      </c>
      <c r="C2584" s="1" t="s">
        <v>53</v>
      </c>
      <c r="D2584" s="1" t="s">
        <v>41</v>
      </c>
      <c r="E2584" s="3">
        <v>1336962</v>
      </c>
      <c r="F2584" s="1">
        <v>1977.7548076922999</v>
      </c>
      <c r="G2584" s="1">
        <v>3</v>
      </c>
      <c r="H2584" s="1">
        <v>1</v>
      </c>
      <c r="I2584" s="1">
        <v>1</v>
      </c>
      <c r="J2584" s="1">
        <v>1</v>
      </c>
      <c r="K2584" s="1">
        <v>1</v>
      </c>
      <c r="M2584" s="1">
        <v>676</v>
      </c>
      <c r="N2584" s="1">
        <v>805</v>
      </c>
      <c r="O2584" s="1">
        <v>1956</v>
      </c>
      <c r="P2584" s="1">
        <v>1151</v>
      </c>
      <c r="Q2584" s="1" t="s">
        <v>42</v>
      </c>
      <c r="S2584" s="1" t="s">
        <v>42</v>
      </c>
      <c r="T2584" s="1" t="s">
        <v>273</v>
      </c>
      <c r="V2584" s="5">
        <v>44404</v>
      </c>
      <c r="W2584" s="5">
        <v>43846</v>
      </c>
      <c r="X2584" s="1">
        <v>1365000</v>
      </c>
      <c r="Y2584" s="1">
        <v>1365000</v>
      </c>
      <c r="Z2584" s="5">
        <v>43846</v>
      </c>
      <c r="AA2584" s="1">
        <v>1336962.25</v>
      </c>
      <c r="AB2584" s="1" t="s">
        <v>1513</v>
      </c>
      <c r="AC2584" s="5">
        <v>44361</v>
      </c>
      <c r="AF2584" s="1">
        <v>10014</v>
      </c>
      <c r="AI2584" s="1" t="s">
        <v>48</v>
      </c>
      <c r="AJ2584" s="1">
        <v>2019</v>
      </c>
      <c r="AK2584" s="1" t="s">
        <v>46</v>
      </c>
      <c r="AL2584" s="1">
        <v>161</v>
      </c>
    </row>
    <row r="2585" spans="1:38" x14ac:dyDescent="0.2">
      <c r="A2585" s="2" t="str">
        <f>HYPERLINK("https://www.compass.com/listing/77-charlton-street-unit-s4g-manhattan-ny-10014/430453007801702137/","77 Charlton St, Unit S4G")</f>
        <v>77 Charlton St, Unit S4G</v>
      </c>
      <c r="B2585" s="2" t="str">
        <f t="shared" si="422"/>
        <v>77 Charlton St</v>
      </c>
      <c r="C2585" s="1" t="s">
        <v>53</v>
      </c>
      <c r="D2585" s="1" t="s">
        <v>41</v>
      </c>
      <c r="E2585" s="3">
        <v>1245320</v>
      </c>
      <c r="F2585" s="1">
        <v>1842.1889792899401</v>
      </c>
      <c r="G2585" s="1">
        <v>3</v>
      </c>
      <c r="H2585" s="1">
        <v>1</v>
      </c>
      <c r="I2585" s="1">
        <v>1</v>
      </c>
      <c r="J2585" s="1">
        <v>1</v>
      </c>
      <c r="K2585" s="1">
        <v>1</v>
      </c>
      <c r="M2585" s="1">
        <v>676</v>
      </c>
      <c r="N2585" s="1">
        <v>759</v>
      </c>
      <c r="O2585" s="1">
        <v>1844</v>
      </c>
      <c r="P2585" s="1">
        <v>1085</v>
      </c>
      <c r="Q2585" s="1" t="s">
        <v>42</v>
      </c>
      <c r="S2585" s="1" t="s">
        <v>42</v>
      </c>
      <c r="T2585" s="1" t="s">
        <v>273</v>
      </c>
      <c r="V2585" s="5">
        <v>44373</v>
      </c>
      <c r="W2585" s="5">
        <v>43846</v>
      </c>
      <c r="X2585" s="1">
        <v>1245000</v>
      </c>
      <c r="Y2585" s="1">
        <v>1245000</v>
      </c>
      <c r="Z2585" s="5">
        <v>43846</v>
      </c>
      <c r="AA2585" s="1">
        <v>1245319.75</v>
      </c>
      <c r="AB2585" s="1" t="s">
        <v>1514</v>
      </c>
      <c r="AC2585" s="5">
        <v>44328</v>
      </c>
      <c r="AF2585" s="1">
        <v>10014</v>
      </c>
      <c r="AI2585" s="1" t="s">
        <v>48</v>
      </c>
      <c r="AJ2585" s="1">
        <v>2019</v>
      </c>
      <c r="AK2585" s="1" t="s">
        <v>46</v>
      </c>
      <c r="AL2585" s="1">
        <v>161</v>
      </c>
    </row>
    <row r="2586" spans="1:38" x14ac:dyDescent="0.2">
      <c r="A2586" s="2" t="str">
        <f>HYPERLINK("https://www.compass.com/listing/77-charlton-street-unit-s5f-manhattan-ny-10014/430453008279697969/","77 Charlton St, Unit S5F")</f>
        <v>77 Charlton St, Unit S5F</v>
      </c>
      <c r="B2586" s="2" t="str">
        <f t="shared" si="422"/>
        <v>77 Charlton St</v>
      </c>
      <c r="C2586" s="1" t="s">
        <v>53</v>
      </c>
      <c r="D2586" s="1" t="s">
        <v>41</v>
      </c>
      <c r="E2586" s="3">
        <v>1235137</v>
      </c>
      <c r="F2586" s="1">
        <v>1966.7790605095499</v>
      </c>
      <c r="G2586" s="1">
        <v>3</v>
      </c>
      <c r="H2586" s="1">
        <v>1</v>
      </c>
      <c r="I2586" s="1">
        <v>1</v>
      </c>
      <c r="J2586" s="1">
        <v>1</v>
      </c>
      <c r="K2586" s="1">
        <v>1</v>
      </c>
      <c r="M2586" s="1">
        <v>628</v>
      </c>
      <c r="N2586" s="1">
        <v>728</v>
      </c>
      <c r="O2586" s="1">
        <v>1769</v>
      </c>
      <c r="P2586" s="1">
        <v>1041</v>
      </c>
      <c r="Q2586" s="1" t="s">
        <v>42</v>
      </c>
      <c r="S2586" s="1" t="s">
        <v>42</v>
      </c>
      <c r="T2586" s="1" t="s">
        <v>273</v>
      </c>
      <c r="V2586" s="5">
        <v>44404</v>
      </c>
      <c r="W2586" s="5">
        <v>43846</v>
      </c>
      <c r="X2586" s="1">
        <v>1210000</v>
      </c>
      <c r="Y2586" s="1">
        <v>1210000</v>
      </c>
      <c r="Z2586" s="5">
        <v>43846</v>
      </c>
      <c r="AA2586" s="1">
        <v>1235137.25</v>
      </c>
      <c r="AB2586" s="1" t="s">
        <v>1515</v>
      </c>
      <c r="AC2586" s="5">
        <v>44348</v>
      </c>
      <c r="AF2586" s="1">
        <v>10014</v>
      </c>
      <c r="AI2586" s="1" t="s">
        <v>238</v>
      </c>
      <c r="AJ2586" s="1">
        <v>2019</v>
      </c>
      <c r="AK2586" s="1" t="s">
        <v>46</v>
      </c>
      <c r="AL2586" s="1">
        <v>161</v>
      </c>
    </row>
    <row r="2587" spans="1:38" x14ac:dyDescent="0.2">
      <c r="A2587" s="2" t="str">
        <f>HYPERLINK("https://www.compass.com/listing/77-charlton-street-unit-s8f-manhattan-ny-10014/430453011727788697/","77 Charlton St, Unit S8F")</f>
        <v>77 Charlton St, Unit S8F</v>
      </c>
      <c r="B2587" s="2" t="str">
        <f t="shared" si="422"/>
        <v>77 Charlton St</v>
      </c>
      <c r="C2587" s="1" t="s">
        <v>53</v>
      </c>
      <c r="D2587" s="1" t="s">
        <v>41</v>
      </c>
      <c r="E2587" s="3">
        <v>1231573</v>
      </c>
      <c r="F2587" s="1">
        <v>1961.1041082802501</v>
      </c>
      <c r="G2587" s="1">
        <v>3</v>
      </c>
      <c r="H2587" s="1">
        <v>1</v>
      </c>
      <c r="I2587" s="1">
        <v>1</v>
      </c>
      <c r="J2587" s="1">
        <v>1</v>
      </c>
      <c r="K2587" s="1">
        <v>1</v>
      </c>
      <c r="M2587" s="1">
        <v>628</v>
      </c>
      <c r="N2587" s="1">
        <v>748</v>
      </c>
      <c r="O2587" s="1">
        <v>1817</v>
      </c>
      <c r="P2587" s="1">
        <v>1069</v>
      </c>
      <c r="Q2587" s="1" t="s">
        <v>42</v>
      </c>
      <c r="S2587" s="1" t="s">
        <v>42</v>
      </c>
      <c r="T2587" s="1" t="s">
        <v>273</v>
      </c>
      <c r="V2587" s="5">
        <v>44404</v>
      </c>
      <c r="W2587" s="5">
        <v>43846</v>
      </c>
      <c r="X2587" s="1">
        <v>1270000</v>
      </c>
      <c r="Y2587" s="1">
        <v>1270000</v>
      </c>
      <c r="Z2587" s="5">
        <v>43846</v>
      </c>
      <c r="AA2587" s="1">
        <v>1231573.3799999999</v>
      </c>
      <c r="AB2587" s="1" t="s">
        <v>1516</v>
      </c>
      <c r="AC2587" s="5">
        <v>44370</v>
      </c>
      <c r="AF2587" s="1">
        <v>10014</v>
      </c>
      <c r="AI2587" s="1" t="s">
        <v>238</v>
      </c>
      <c r="AJ2587" s="1">
        <v>2019</v>
      </c>
      <c r="AK2587" s="1" t="s">
        <v>46</v>
      </c>
      <c r="AL2587" s="1">
        <v>161</v>
      </c>
    </row>
    <row r="2588" spans="1:38" x14ac:dyDescent="0.2">
      <c r="A2588" s="2" t="str">
        <f>HYPERLINK("https://www.compass.com/listing/77-charlton-street-unit-s10f-manhattan-ny-10014/430459297982808249/","77 Charlton St, Unit S10F")</f>
        <v>77 Charlton St, Unit S10F</v>
      </c>
      <c r="B2588" s="2" t="str">
        <f t="shared" si="422"/>
        <v>77 Charlton St</v>
      </c>
      <c r="C2588" s="1" t="s">
        <v>53</v>
      </c>
      <c r="D2588" s="1" t="s">
        <v>41</v>
      </c>
      <c r="E2588" s="3">
        <v>1306415</v>
      </c>
      <c r="F2588" s="1">
        <v>2080.2782643312098</v>
      </c>
      <c r="G2588" s="1">
        <v>3</v>
      </c>
      <c r="H2588" s="1">
        <v>1</v>
      </c>
      <c r="I2588" s="1">
        <v>1</v>
      </c>
      <c r="J2588" s="1">
        <v>1</v>
      </c>
      <c r="K2588" s="1">
        <v>1</v>
      </c>
      <c r="M2588" s="1">
        <v>628</v>
      </c>
      <c r="N2588" s="1">
        <v>762</v>
      </c>
      <c r="O2588" s="1">
        <v>1851</v>
      </c>
      <c r="P2588" s="1">
        <v>1089</v>
      </c>
      <c r="Q2588" s="1" t="s">
        <v>42</v>
      </c>
      <c r="S2588" s="1" t="s">
        <v>42</v>
      </c>
      <c r="T2588" s="1" t="s">
        <v>273</v>
      </c>
      <c r="V2588" s="5">
        <v>44404</v>
      </c>
      <c r="W2588" s="5">
        <v>43846</v>
      </c>
      <c r="X2588" s="1">
        <v>1310000</v>
      </c>
      <c r="Y2588" s="1">
        <v>1310000</v>
      </c>
      <c r="Z2588" s="5">
        <v>43846</v>
      </c>
      <c r="AA2588" s="1">
        <v>1306414.75</v>
      </c>
      <c r="AB2588" s="1" t="s">
        <v>1517</v>
      </c>
      <c r="AC2588" s="5">
        <v>44348</v>
      </c>
      <c r="AF2588" s="1">
        <v>10014</v>
      </c>
      <c r="AI2588" s="1" t="s">
        <v>238</v>
      </c>
      <c r="AJ2588" s="1">
        <v>2019</v>
      </c>
      <c r="AK2588" s="1" t="s">
        <v>46</v>
      </c>
      <c r="AL2588" s="1">
        <v>161</v>
      </c>
    </row>
    <row r="2589" spans="1:38" x14ac:dyDescent="0.2">
      <c r="A2589" s="2" t="str">
        <f>HYPERLINK("https://www.compass.com/listing/527-west-27th-street-unit-5b-manhattan-ny-10001/786379129379049769/","527 W 27th St, Unit 5B")</f>
        <v>527 W 27th St, Unit 5B</v>
      </c>
      <c r="B2589" s="2" t="str">
        <f>HYPERLINK("https://www.compass.com/building/jardim-manhattan-ny/282062246220171157/","Jardim")</f>
        <v>Jardim</v>
      </c>
      <c r="C2589" s="1" t="s">
        <v>62</v>
      </c>
      <c r="D2589" s="1" t="s">
        <v>41</v>
      </c>
      <c r="E2589" s="3">
        <v>1550000</v>
      </c>
      <c r="F2589" s="1">
        <v>2036.79369250985</v>
      </c>
      <c r="G2589" s="1">
        <v>3</v>
      </c>
      <c r="H2589" s="1">
        <v>1</v>
      </c>
      <c r="I2589" s="1">
        <v>1</v>
      </c>
      <c r="J2589" s="1">
        <v>1</v>
      </c>
      <c r="K2589" s="1">
        <v>1</v>
      </c>
      <c r="M2589" s="1">
        <v>761</v>
      </c>
      <c r="N2589" s="1">
        <v>842</v>
      </c>
      <c r="O2589" s="1">
        <v>2105</v>
      </c>
      <c r="P2589" s="1">
        <v>1263</v>
      </c>
      <c r="Q2589" s="1" t="s">
        <v>42</v>
      </c>
      <c r="S2589" s="1" t="s">
        <v>42</v>
      </c>
      <c r="T2589" s="1" t="s">
        <v>273</v>
      </c>
      <c r="V2589" s="5">
        <v>44405</v>
      </c>
      <c r="W2589" s="5">
        <v>44336</v>
      </c>
      <c r="X2589" s="1">
        <v>1695000</v>
      </c>
      <c r="Y2589" s="1">
        <v>1695000</v>
      </c>
      <c r="Z2589" s="5">
        <v>44337</v>
      </c>
      <c r="AA2589" s="1">
        <v>1550000</v>
      </c>
      <c r="AB2589" s="1" t="s">
        <v>1518</v>
      </c>
      <c r="AC2589" s="5">
        <v>44391</v>
      </c>
      <c r="AF2589" s="1">
        <v>10001</v>
      </c>
      <c r="AI2589" s="1" t="s">
        <v>65</v>
      </c>
      <c r="AJ2589" s="1">
        <v>2017</v>
      </c>
      <c r="AK2589" s="1" t="s">
        <v>49</v>
      </c>
      <c r="AL2589" s="1">
        <v>36</v>
      </c>
    </row>
    <row r="2590" spans="1:38" x14ac:dyDescent="0.2">
      <c r="A2590" s="2" t="str">
        <f>HYPERLINK("https://www.compass.com/listing/77-charlton-street-unit-s14a-manhattan-ny-10014/700154041419769921/","77 Charlton St, Unit S14A")</f>
        <v>77 Charlton St, Unit S14A</v>
      </c>
      <c r="B2590" s="2" t="str">
        <f t="shared" ref="B2590:B2600" si="423">HYPERLINK("https://www.compass.com/building/77-charlton-st-manhattan-ny-10014/282058735872933093/","77 Charlton St")</f>
        <v>77 Charlton St</v>
      </c>
      <c r="C2590" s="1" t="s">
        <v>53</v>
      </c>
      <c r="D2590" s="1" t="s">
        <v>41</v>
      </c>
      <c r="E2590" s="3">
        <v>2329756</v>
      </c>
      <c r="F2590" s="1">
        <v>2157.1814814814802</v>
      </c>
      <c r="G2590" s="1">
        <v>4</v>
      </c>
      <c r="H2590" s="1">
        <v>2</v>
      </c>
      <c r="I2590" s="1">
        <v>2</v>
      </c>
      <c r="J2590" s="1">
        <v>2</v>
      </c>
      <c r="K2590" s="1">
        <v>2</v>
      </c>
      <c r="M2590" s="4">
        <v>1080</v>
      </c>
      <c r="N2590" s="1">
        <v>1337</v>
      </c>
      <c r="O2590" s="1">
        <v>3248</v>
      </c>
      <c r="P2590" s="1">
        <v>1911</v>
      </c>
      <c r="Q2590" s="1" t="s">
        <v>42</v>
      </c>
      <c r="S2590" s="1" t="s">
        <v>42</v>
      </c>
      <c r="T2590" s="1" t="s">
        <v>273</v>
      </c>
      <c r="V2590" s="5">
        <v>44405</v>
      </c>
      <c r="W2590" s="5">
        <v>44218</v>
      </c>
      <c r="X2590" s="1">
        <v>2295000</v>
      </c>
      <c r="Y2590" s="1">
        <v>2295000</v>
      </c>
      <c r="Z2590" s="5">
        <v>44218</v>
      </c>
      <c r="AA2590" s="1">
        <v>2329756</v>
      </c>
      <c r="AB2590" s="1" t="s">
        <v>1519</v>
      </c>
      <c r="AC2590" s="5">
        <v>44377</v>
      </c>
      <c r="AF2590" s="1">
        <v>10014</v>
      </c>
      <c r="AI2590" s="1" t="s">
        <v>48</v>
      </c>
      <c r="AJ2590" s="1">
        <v>2019</v>
      </c>
      <c r="AK2590" s="1" t="s">
        <v>46</v>
      </c>
      <c r="AL2590" s="1">
        <v>161</v>
      </c>
    </row>
    <row r="2591" spans="1:38" x14ac:dyDescent="0.2">
      <c r="A2591" s="2" t="str">
        <f>HYPERLINK("https://www.compass.com/listing/77-charlton-street-unit-s7b-manhattan-ny-10014/407267579239388545/","77 Charlton St, Unit S7B")</f>
        <v>77 Charlton St, Unit S7B</v>
      </c>
      <c r="B2591" s="2" t="str">
        <f t="shared" si="423"/>
        <v>77 Charlton St</v>
      </c>
      <c r="C2591" s="1" t="s">
        <v>53</v>
      </c>
      <c r="D2591" s="1" t="s">
        <v>41</v>
      </c>
      <c r="E2591" s="3">
        <v>1553617</v>
      </c>
      <c r="F2591" s="1">
        <v>2060.5</v>
      </c>
      <c r="G2591" s="1">
        <v>2</v>
      </c>
      <c r="H2591" s="1">
        <v>1</v>
      </c>
      <c r="I2591" s="1">
        <v>1</v>
      </c>
      <c r="J2591" s="1">
        <v>1</v>
      </c>
      <c r="K2591" s="1">
        <v>1</v>
      </c>
      <c r="M2591" s="1">
        <v>754</v>
      </c>
      <c r="N2591" s="1">
        <v>873</v>
      </c>
      <c r="O2591" s="1">
        <v>2121</v>
      </c>
      <c r="P2591" s="1">
        <v>1248</v>
      </c>
      <c r="Q2591" s="1" t="s">
        <v>42</v>
      </c>
      <c r="S2591" s="1" t="s">
        <v>42</v>
      </c>
      <c r="T2591" s="1" t="s">
        <v>273</v>
      </c>
      <c r="V2591" s="5">
        <v>44404</v>
      </c>
      <c r="W2591" s="5">
        <v>43814</v>
      </c>
      <c r="X2591" s="1">
        <v>1505000</v>
      </c>
      <c r="Y2591" s="1">
        <v>1505000</v>
      </c>
      <c r="Z2591" s="5">
        <v>43814</v>
      </c>
      <c r="AA2591" s="1">
        <v>1553617</v>
      </c>
      <c r="AB2591" s="1" t="s">
        <v>1520</v>
      </c>
      <c r="AC2591" s="5">
        <v>44372</v>
      </c>
      <c r="AF2591" s="1">
        <v>10014</v>
      </c>
      <c r="AI2591" s="1" t="s">
        <v>48</v>
      </c>
      <c r="AJ2591" s="1">
        <v>2019</v>
      </c>
      <c r="AK2591" s="1" t="s">
        <v>46</v>
      </c>
      <c r="AL2591" s="1">
        <v>161</v>
      </c>
    </row>
    <row r="2592" spans="1:38" x14ac:dyDescent="0.2">
      <c r="A2592" s="2" t="str">
        <f>HYPERLINK("https://www.compass.com/listing/77-charlton-street-unit-n9g-manhattan-ny-10014/430442291606943905/","77 Charlton St, Unit N9G")</f>
        <v>77 Charlton St, Unit N9G</v>
      </c>
      <c r="B2592" s="2" t="str">
        <f t="shared" si="423"/>
        <v>77 Charlton St</v>
      </c>
      <c r="C2592" s="1" t="s">
        <v>53</v>
      </c>
      <c r="D2592" s="1" t="s">
        <v>41</v>
      </c>
      <c r="E2592" s="3">
        <v>1416386</v>
      </c>
      <c r="F2592" s="1">
        <v>2095.2451923076901</v>
      </c>
      <c r="G2592" s="1">
        <v>3</v>
      </c>
      <c r="H2592" s="1">
        <v>1</v>
      </c>
      <c r="I2592" s="1">
        <v>1</v>
      </c>
      <c r="J2592" s="1">
        <v>1</v>
      </c>
      <c r="K2592" s="1">
        <v>1</v>
      </c>
      <c r="M2592" s="1">
        <v>676</v>
      </c>
      <c r="N2592" s="1">
        <v>798</v>
      </c>
      <c r="O2592" s="1">
        <v>1938</v>
      </c>
      <c r="P2592" s="1">
        <v>1140</v>
      </c>
      <c r="Q2592" s="1" t="s">
        <v>42</v>
      </c>
      <c r="S2592" s="1" t="s">
        <v>42</v>
      </c>
      <c r="T2592" s="1" t="s">
        <v>273</v>
      </c>
      <c r="V2592" s="5">
        <v>44404</v>
      </c>
      <c r="W2592" s="5">
        <v>43846</v>
      </c>
      <c r="X2592" s="1">
        <v>1395000</v>
      </c>
      <c r="Y2592" s="1">
        <v>1395000</v>
      </c>
      <c r="Z2592" s="5">
        <v>43846</v>
      </c>
      <c r="AA2592" s="1">
        <v>1416385.75</v>
      </c>
      <c r="AB2592" s="1" t="s">
        <v>1521</v>
      </c>
      <c r="AC2592" s="5">
        <v>44356</v>
      </c>
      <c r="AF2592" s="1">
        <v>10014</v>
      </c>
      <c r="AI2592" s="1" t="s">
        <v>48</v>
      </c>
      <c r="AJ2592" s="1">
        <v>2019</v>
      </c>
      <c r="AK2592" s="1" t="s">
        <v>46</v>
      </c>
      <c r="AL2592" s="1">
        <v>161</v>
      </c>
    </row>
    <row r="2593" spans="1:38" x14ac:dyDescent="0.2">
      <c r="A2593" s="2" t="str">
        <f>HYPERLINK("https://www.compass.com/listing/77-charlton-street-unit-s4b-manhattan-ny-10014/430453007265154937/","77 Charlton St, Unit S4B")</f>
        <v>77 Charlton St, Unit S4B</v>
      </c>
      <c r="B2593" s="2" t="str">
        <f t="shared" si="423"/>
        <v>77 Charlton St</v>
      </c>
      <c r="C2593" s="1" t="s">
        <v>53</v>
      </c>
      <c r="D2593" s="1" t="s">
        <v>41</v>
      </c>
      <c r="E2593" s="3">
        <v>1438207</v>
      </c>
      <c r="F2593" s="1">
        <v>1907.43567639257</v>
      </c>
      <c r="G2593" s="1">
        <v>3</v>
      </c>
      <c r="H2593" s="1">
        <v>1</v>
      </c>
      <c r="I2593" s="1">
        <v>1</v>
      </c>
      <c r="J2593" s="1">
        <v>1</v>
      </c>
      <c r="K2593" s="1">
        <v>1</v>
      </c>
      <c r="M2593" s="1">
        <v>754</v>
      </c>
      <c r="N2593" s="1">
        <v>849</v>
      </c>
      <c r="O2593" s="1">
        <v>2063</v>
      </c>
      <c r="P2593" s="1">
        <v>1214</v>
      </c>
      <c r="Q2593" s="1" t="s">
        <v>42</v>
      </c>
      <c r="S2593" s="1" t="s">
        <v>42</v>
      </c>
      <c r="T2593" s="1" t="s">
        <v>273</v>
      </c>
      <c r="V2593" s="5">
        <v>44404</v>
      </c>
      <c r="W2593" s="5">
        <v>43846</v>
      </c>
      <c r="X2593" s="1">
        <v>1445000</v>
      </c>
      <c r="Y2593" s="1">
        <v>1445000</v>
      </c>
      <c r="Z2593" s="5">
        <v>43846</v>
      </c>
      <c r="AA2593" s="1">
        <v>1438206.5</v>
      </c>
      <c r="AB2593" s="1" t="s">
        <v>1522</v>
      </c>
      <c r="AC2593" s="5">
        <v>44405</v>
      </c>
      <c r="AF2593" s="1">
        <v>10014</v>
      </c>
      <c r="AI2593" s="1" t="s">
        <v>48</v>
      </c>
      <c r="AJ2593" s="1">
        <v>2019</v>
      </c>
      <c r="AK2593" s="1" t="s">
        <v>46</v>
      </c>
      <c r="AL2593" s="1">
        <v>161</v>
      </c>
    </row>
    <row r="2594" spans="1:38" x14ac:dyDescent="0.2">
      <c r="A2594" s="2" t="str">
        <f>HYPERLINK("https://www.compass.com/listing/77-charlton-street-unit-s11b-manhattan-ny-10014/430459298989199497/","77 Charlton St, Unit S11B")</f>
        <v>77 Charlton St, Unit S11B</v>
      </c>
      <c r="B2594" s="2" t="str">
        <f t="shared" si="423"/>
        <v>77 Charlton St</v>
      </c>
      <c r="C2594" s="1" t="s">
        <v>53</v>
      </c>
      <c r="D2594" s="1" t="s">
        <v>41</v>
      </c>
      <c r="E2594" s="3">
        <v>1576251</v>
      </c>
      <c r="F2594" s="1">
        <v>2090.5185676392498</v>
      </c>
      <c r="G2594" s="1">
        <v>3</v>
      </c>
      <c r="H2594" s="1">
        <v>1</v>
      </c>
      <c r="I2594" s="1">
        <v>1</v>
      </c>
      <c r="J2594" s="1">
        <v>1</v>
      </c>
      <c r="K2594" s="1">
        <v>1</v>
      </c>
      <c r="M2594" s="1">
        <v>754</v>
      </c>
      <c r="N2594" s="1">
        <v>906</v>
      </c>
      <c r="O2594" s="1">
        <v>2201</v>
      </c>
      <c r="P2594" s="1">
        <v>1295</v>
      </c>
      <c r="Q2594" s="1" t="s">
        <v>42</v>
      </c>
      <c r="S2594" s="1" t="s">
        <v>42</v>
      </c>
      <c r="T2594" s="1" t="s">
        <v>273</v>
      </c>
      <c r="V2594" s="5">
        <v>44404</v>
      </c>
      <c r="W2594" s="5">
        <v>43846</v>
      </c>
      <c r="X2594" s="1">
        <v>1585000</v>
      </c>
      <c r="Y2594" s="1">
        <v>1585000</v>
      </c>
      <c r="Z2594" s="5">
        <v>43846</v>
      </c>
      <c r="AA2594" s="1">
        <v>1576251</v>
      </c>
      <c r="AB2594" s="1" t="s">
        <v>1523</v>
      </c>
      <c r="AC2594" s="5">
        <v>44370</v>
      </c>
      <c r="AF2594" s="1">
        <v>10014</v>
      </c>
      <c r="AI2594" s="1" t="s">
        <v>48</v>
      </c>
      <c r="AJ2594" s="1">
        <v>2019</v>
      </c>
      <c r="AK2594" s="1" t="s">
        <v>46</v>
      </c>
      <c r="AL2594" s="1">
        <v>161</v>
      </c>
    </row>
    <row r="2595" spans="1:38" x14ac:dyDescent="0.2">
      <c r="A2595" s="2" t="str">
        <f>HYPERLINK("https://www.compass.com/listing/77-charlton-street-unit-n2f-manhattan-ny-10014/430424853854857489/","77 Charlton St, Unit N2F")</f>
        <v>77 Charlton St, Unit N2F</v>
      </c>
      <c r="B2595" s="2" t="str">
        <f t="shared" si="423"/>
        <v>77 Charlton St</v>
      </c>
      <c r="C2595" s="1" t="s">
        <v>53</v>
      </c>
      <c r="D2595" s="1" t="s">
        <v>41</v>
      </c>
      <c r="E2595" s="3">
        <v>1282995</v>
      </c>
      <c r="F2595" s="1">
        <v>1917.7802690582901</v>
      </c>
      <c r="G2595" s="1">
        <v>3</v>
      </c>
      <c r="H2595" s="1">
        <v>1</v>
      </c>
      <c r="I2595" s="1">
        <v>1</v>
      </c>
      <c r="J2595" s="1">
        <v>1</v>
      </c>
      <c r="K2595" s="1">
        <v>1</v>
      </c>
      <c r="M2595" s="1">
        <v>669</v>
      </c>
      <c r="N2595" s="1">
        <v>766</v>
      </c>
      <c r="O2595" s="1">
        <v>1860</v>
      </c>
      <c r="P2595" s="1">
        <v>1094</v>
      </c>
      <c r="Q2595" s="1" t="s">
        <v>42</v>
      </c>
      <c r="S2595" s="1" t="s">
        <v>42</v>
      </c>
      <c r="T2595" s="1" t="s">
        <v>273</v>
      </c>
      <c r="V2595" s="5">
        <v>44404</v>
      </c>
      <c r="W2595" s="5">
        <v>43846</v>
      </c>
      <c r="X2595" s="1">
        <v>1295000</v>
      </c>
      <c r="Y2595" s="1">
        <v>1295000</v>
      </c>
      <c r="Z2595" s="5">
        <v>43846</v>
      </c>
      <c r="AA2595" s="1">
        <v>1282995</v>
      </c>
      <c r="AB2595" s="1" t="s">
        <v>1524</v>
      </c>
      <c r="AC2595" s="5">
        <v>44343</v>
      </c>
      <c r="AF2595" s="1">
        <v>10014</v>
      </c>
      <c r="AI2595" s="1" t="s">
        <v>211</v>
      </c>
      <c r="AJ2595" s="1">
        <v>2019</v>
      </c>
      <c r="AK2595" s="1" t="s">
        <v>46</v>
      </c>
      <c r="AL2595" s="1">
        <v>161</v>
      </c>
    </row>
    <row r="2596" spans="1:38" x14ac:dyDescent="0.2">
      <c r="A2596" s="2" t="str">
        <f>HYPERLINK("https://www.compass.com/listing/77-charlton-street-unit-n4f-manhattan-ny-10014/430427634645202665/","77 Charlton St, Unit N4F")</f>
        <v>77 Charlton St, Unit N4F</v>
      </c>
      <c r="B2596" s="2" t="str">
        <f t="shared" si="423"/>
        <v>77 Charlton St</v>
      </c>
      <c r="C2596" s="1" t="s">
        <v>53</v>
      </c>
      <c r="D2596" s="1" t="s">
        <v>41</v>
      </c>
      <c r="E2596" s="3">
        <v>1214772</v>
      </c>
      <c r="F2596" s="1">
        <v>1934.3507165604999</v>
      </c>
      <c r="G2596" s="1">
        <v>3</v>
      </c>
      <c r="H2596" s="1">
        <v>1</v>
      </c>
      <c r="I2596" s="1">
        <v>1</v>
      </c>
      <c r="J2596" s="1">
        <v>1</v>
      </c>
      <c r="K2596" s="1">
        <v>1</v>
      </c>
      <c r="M2596" s="1">
        <v>628</v>
      </c>
      <c r="N2596" s="1">
        <v>719</v>
      </c>
      <c r="O2596" s="1">
        <v>1747</v>
      </c>
      <c r="P2596" s="1">
        <v>1028</v>
      </c>
      <c r="Q2596" s="1" t="s">
        <v>42</v>
      </c>
      <c r="S2596" s="1" t="s">
        <v>42</v>
      </c>
      <c r="T2596" s="1" t="s">
        <v>273</v>
      </c>
      <c r="V2596" s="5">
        <v>44404</v>
      </c>
      <c r="W2596" s="5">
        <v>43846</v>
      </c>
      <c r="X2596" s="1">
        <v>1190000</v>
      </c>
      <c r="Y2596" s="1">
        <v>1190000</v>
      </c>
      <c r="Z2596" s="5">
        <v>43846</v>
      </c>
      <c r="AA2596" s="1">
        <v>1214772.25</v>
      </c>
      <c r="AB2596" s="1" t="s">
        <v>1525</v>
      </c>
      <c r="AC2596" s="5">
        <v>44336</v>
      </c>
      <c r="AF2596" s="1">
        <v>10014</v>
      </c>
      <c r="AI2596" s="1" t="s">
        <v>238</v>
      </c>
      <c r="AJ2596" s="1">
        <v>2019</v>
      </c>
      <c r="AK2596" s="1" t="s">
        <v>46</v>
      </c>
      <c r="AL2596" s="1">
        <v>161</v>
      </c>
    </row>
    <row r="2597" spans="1:38" x14ac:dyDescent="0.2">
      <c r="A2597" s="2" t="str">
        <f>HYPERLINK("https://www.compass.com/listing/77-charlton-street-unit-n7g-manhattan-ny-10014/430427635324295721/","77 Charlton St, Unit N7G")</f>
        <v>77 Charlton St, Unit N7G</v>
      </c>
      <c r="B2597" s="2" t="str">
        <f t="shared" si="423"/>
        <v>77 Charlton St</v>
      </c>
      <c r="C2597" s="1" t="s">
        <v>53</v>
      </c>
      <c r="D2597" s="1" t="s">
        <v>41</v>
      </c>
      <c r="E2597" s="3">
        <v>1265000</v>
      </c>
      <c r="F2597" s="1">
        <v>1871.3017751479199</v>
      </c>
      <c r="G2597" s="1">
        <v>3</v>
      </c>
      <c r="H2597" s="1">
        <v>1</v>
      </c>
      <c r="I2597" s="1">
        <v>1</v>
      </c>
      <c r="J2597" s="1">
        <v>1</v>
      </c>
      <c r="K2597" s="1">
        <v>1</v>
      </c>
      <c r="M2597" s="1">
        <v>676</v>
      </c>
      <c r="N2597" s="1">
        <v>783</v>
      </c>
      <c r="O2597" s="1">
        <v>1902</v>
      </c>
      <c r="P2597" s="1">
        <v>1119</v>
      </c>
      <c r="Q2597" s="1" t="s">
        <v>42</v>
      </c>
      <c r="S2597" s="1" t="s">
        <v>42</v>
      </c>
      <c r="T2597" s="1" t="s">
        <v>273</v>
      </c>
      <c r="V2597" s="5">
        <v>44373</v>
      </c>
      <c r="W2597" s="5">
        <v>43846</v>
      </c>
      <c r="X2597" s="1">
        <v>1305000</v>
      </c>
      <c r="Y2597" s="1">
        <v>1305000</v>
      </c>
      <c r="Z2597" s="5">
        <v>43846</v>
      </c>
      <c r="AA2597" s="1">
        <v>1265000</v>
      </c>
      <c r="AB2597" s="1" t="s">
        <v>275</v>
      </c>
      <c r="AC2597" s="5">
        <v>44336</v>
      </c>
      <c r="AF2597" s="1">
        <v>10014</v>
      </c>
      <c r="AI2597" s="1" t="s">
        <v>48</v>
      </c>
      <c r="AJ2597" s="1">
        <v>2019</v>
      </c>
      <c r="AK2597" s="1" t="s">
        <v>46</v>
      </c>
      <c r="AL2597" s="1">
        <v>161</v>
      </c>
    </row>
    <row r="2598" spans="1:38" x14ac:dyDescent="0.2">
      <c r="A2598" s="2" t="str">
        <f>HYPERLINK("https://www.compass.com/listing/77-charlton-street-unit-n10f-manhattan-ny-10014/430442292814426193/","77 Charlton St, Unit N10F")</f>
        <v>77 Charlton St, Unit N10F</v>
      </c>
      <c r="B2598" s="2" t="str">
        <f t="shared" si="423"/>
        <v>77 Charlton St</v>
      </c>
      <c r="C2598" s="1" t="s">
        <v>53</v>
      </c>
      <c r="D2598" s="1" t="s">
        <v>41</v>
      </c>
      <c r="E2598" s="3">
        <v>1336962</v>
      </c>
      <c r="F2598" s="1">
        <v>2128.9207802547699</v>
      </c>
      <c r="G2598" s="1">
        <v>3</v>
      </c>
      <c r="H2598" s="1">
        <v>1</v>
      </c>
      <c r="I2598" s="1">
        <v>1</v>
      </c>
      <c r="J2598" s="1">
        <v>1</v>
      </c>
      <c r="K2598" s="1">
        <v>1</v>
      </c>
      <c r="M2598" s="1">
        <v>628</v>
      </c>
      <c r="N2598" s="1">
        <v>764</v>
      </c>
      <c r="O2598" s="1">
        <v>1856</v>
      </c>
      <c r="P2598" s="1">
        <v>1092</v>
      </c>
      <c r="Q2598" s="1" t="s">
        <v>42</v>
      </c>
      <c r="S2598" s="1" t="s">
        <v>42</v>
      </c>
      <c r="T2598" s="1" t="s">
        <v>273</v>
      </c>
      <c r="V2598" s="5">
        <v>44404</v>
      </c>
      <c r="W2598" s="5">
        <v>43846</v>
      </c>
      <c r="X2598" s="1">
        <v>1310000</v>
      </c>
      <c r="Y2598" s="1">
        <v>1310000</v>
      </c>
      <c r="Z2598" s="5">
        <v>43846</v>
      </c>
      <c r="AA2598" s="1">
        <v>1336962.25</v>
      </c>
      <c r="AB2598" s="1" t="s">
        <v>1526</v>
      </c>
      <c r="AC2598" s="5">
        <v>44351</v>
      </c>
      <c r="AF2598" s="1">
        <v>10014</v>
      </c>
      <c r="AI2598" s="1" t="s">
        <v>238</v>
      </c>
      <c r="AJ2598" s="1">
        <v>2019</v>
      </c>
      <c r="AK2598" s="1" t="s">
        <v>46</v>
      </c>
      <c r="AL2598" s="1">
        <v>161</v>
      </c>
    </row>
    <row r="2599" spans="1:38" x14ac:dyDescent="0.2">
      <c r="A2599" s="2" t="str">
        <f>HYPERLINK("https://www.compass.com/listing/77-charlton-street-unit-n6g-manhattan-ny-10014/430442294114979793/","77 Charlton St, Unit N6G")</f>
        <v>77 Charlton St, Unit N6G</v>
      </c>
      <c r="B2599" s="2" t="str">
        <f t="shared" si="423"/>
        <v>77 Charlton St</v>
      </c>
      <c r="C2599" s="1" t="s">
        <v>53</v>
      </c>
      <c r="D2599" s="1" t="s">
        <v>41</v>
      </c>
      <c r="E2599" s="3">
        <v>1281712</v>
      </c>
      <c r="F2599" s="1">
        <v>1896.0236834319501</v>
      </c>
      <c r="G2599" s="1">
        <v>3</v>
      </c>
      <c r="H2599" s="1">
        <v>1</v>
      </c>
      <c r="I2599" s="1">
        <v>1</v>
      </c>
      <c r="J2599" s="1">
        <v>1</v>
      </c>
      <c r="K2599" s="1">
        <v>1</v>
      </c>
      <c r="M2599" s="1">
        <v>676</v>
      </c>
      <c r="N2599" s="1">
        <v>775</v>
      </c>
      <c r="O2599" s="1">
        <v>1883</v>
      </c>
      <c r="P2599" s="1">
        <v>1108</v>
      </c>
      <c r="Q2599" s="1" t="s">
        <v>42</v>
      </c>
      <c r="S2599" s="1" t="s">
        <v>42</v>
      </c>
      <c r="T2599" s="1" t="s">
        <v>273</v>
      </c>
      <c r="V2599" s="5">
        <v>44404</v>
      </c>
      <c r="W2599" s="5">
        <v>43846</v>
      </c>
      <c r="X2599" s="1">
        <v>1285000</v>
      </c>
      <c r="Y2599" s="1">
        <v>1285000</v>
      </c>
      <c r="Z2599" s="5">
        <v>43846</v>
      </c>
      <c r="AA2599" s="1">
        <v>1281712.01</v>
      </c>
      <c r="AB2599" s="1" t="s">
        <v>1527</v>
      </c>
      <c r="AC2599" s="5">
        <v>44376</v>
      </c>
      <c r="AF2599" s="1">
        <v>10014</v>
      </c>
      <c r="AI2599" s="1" t="s">
        <v>179</v>
      </c>
      <c r="AJ2599" s="1">
        <v>2019</v>
      </c>
      <c r="AK2599" s="1" t="s">
        <v>46</v>
      </c>
      <c r="AL2599" s="1">
        <v>161</v>
      </c>
    </row>
    <row r="2600" spans="1:38" x14ac:dyDescent="0.2">
      <c r="A2600" s="2" t="str">
        <f>HYPERLINK("https://www.compass.com/listing/77-charlton-street-unit-s6f-manhattan-ny-10014/430453011064793665/","77 Charlton St, Unit S6F")</f>
        <v>77 Charlton St, Unit S6F</v>
      </c>
      <c r="B2600" s="2" t="str">
        <f t="shared" si="423"/>
        <v>77 Charlton St</v>
      </c>
      <c r="C2600" s="1" t="s">
        <v>53</v>
      </c>
      <c r="D2600" s="1" t="s">
        <v>41</v>
      </c>
      <c r="E2600" s="3">
        <v>1224955</v>
      </c>
      <c r="F2600" s="1">
        <v>1950.5648885350299</v>
      </c>
      <c r="G2600" s="1">
        <v>3</v>
      </c>
      <c r="H2600" s="1">
        <v>1</v>
      </c>
      <c r="I2600" s="1">
        <v>1</v>
      </c>
      <c r="J2600" s="1">
        <v>1</v>
      </c>
      <c r="K2600" s="1">
        <v>1</v>
      </c>
      <c r="M2600" s="1">
        <v>628</v>
      </c>
      <c r="N2600" s="1">
        <v>734</v>
      </c>
      <c r="O2600" s="1">
        <v>1782</v>
      </c>
      <c r="P2600" s="1">
        <v>1048</v>
      </c>
      <c r="Q2600" s="1" t="s">
        <v>42</v>
      </c>
      <c r="S2600" s="1" t="s">
        <v>42</v>
      </c>
      <c r="T2600" s="1" t="s">
        <v>273</v>
      </c>
      <c r="V2600" s="5">
        <v>44404</v>
      </c>
      <c r="W2600" s="5">
        <v>43846</v>
      </c>
      <c r="X2600" s="1">
        <v>1230000</v>
      </c>
      <c r="Y2600" s="1">
        <v>1230000</v>
      </c>
      <c r="Z2600" s="5">
        <v>43846</v>
      </c>
      <c r="AA2600" s="1">
        <v>1224954.75</v>
      </c>
      <c r="AB2600" s="1" t="s">
        <v>1528</v>
      </c>
      <c r="AC2600" s="5">
        <v>44344</v>
      </c>
      <c r="AF2600" s="1">
        <v>10014</v>
      </c>
      <c r="AI2600" s="1" t="s">
        <v>238</v>
      </c>
      <c r="AJ2600" s="1">
        <v>2019</v>
      </c>
      <c r="AK2600" s="1" t="s">
        <v>46</v>
      </c>
      <c r="AL2600" s="1">
        <v>161</v>
      </c>
    </row>
    <row r="2601" spans="1:38" x14ac:dyDescent="0.2">
      <c r="A2601" s="2" t="str">
        <f>HYPERLINK("https://www.compass.com/listing/70-charlton-street-unit-20a-manhattan-ny-10014/29366259661502721/","70 Charlton St, Unit 20A")</f>
        <v>70 Charlton St, Unit 20A</v>
      </c>
      <c r="B2601" s="2" t="str">
        <f>HYPERLINK("https://www.compass.com/building/70-charlton-street-manhattan-ny/292835639240484293/","70 Charlton Street")</f>
        <v>70 Charlton Street</v>
      </c>
      <c r="C2601" s="1" t="s">
        <v>53</v>
      </c>
      <c r="D2601" s="1" t="s">
        <v>41</v>
      </c>
      <c r="E2601" s="3">
        <v>3277674</v>
      </c>
      <c r="H2601" s="1">
        <v>2</v>
      </c>
      <c r="J2601" s="1">
        <v>2.5</v>
      </c>
      <c r="N2601" s="1">
        <v>3997</v>
      </c>
      <c r="O2601" s="1">
        <v>3997</v>
      </c>
      <c r="Q2601" s="1" t="s">
        <v>271</v>
      </c>
      <c r="S2601" s="1" t="s">
        <v>271</v>
      </c>
      <c r="T2601" s="1" t="s">
        <v>273</v>
      </c>
      <c r="AA2601" s="1">
        <v>3277673.75</v>
      </c>
      <c r="AB2601" s="1" t="s">
        <v>1529</v>
      </c>
      <c r="AC2601" s="5">
        <v>42941</v>
      </c>
      <c r="AF2601" s="1">
        <v>10014</v>
      </c>
      <c r="AI2601" s="1" t="s">
        <v>80</v>
      </c>
      <c r="AJ2601" s="1">
        <v>2016</v>
      </c>
      <c r="AK2601" s="1" t="s">
        <v>49</v>
      </c>
      <c r="AL2601" s="1">
        <v>92</v>
      </c>
    </row>
    <row r="2602" spans="1:38" x14ac:dyDescent="0.2">
      <c r="A2602" s="2" t="str">
        <f>HYPERLINK("https://www.compass.com/listing/77-charlton-street-unit-s14c-manhattan-ny-10014/576815039091327929/","77 Charlton St, Unit S14C")</f>
        <v>77 Charlton St, Unit S14C</v>
      </c>
      <c r="B2602" s="2" t="str">
        <f>HYPERLINK("https://www.compass.com/building/77-charlton-st-manhattan-ny-10014/282058735872933093/","77 Charlton St")</f>
        <v>77 Charlton St</v>
      </c>
      <c r="C2602" s="1" t="s">
        <v>53</v>
      </c>
      <c r="D2602" s="1" t="s">
        <v>41</v>
      </c>
      <c r="E2602" s="3">
        <v>2370486</v>
      </c>
      <c r="F2602" s="1">
        <v>2095.9204244031798</v>
      </c>
      <c r="G2602" s="1">
        <v>4.5</v>
      </c>
      <c r="H2602" s="1">
        <v>2</v>
      </c>
      <c r="I2602" s="1">
        <v>3</v>
      </c>
      <c r="J2602" s="1">
        <v>2.5</v>
      </c>
      <c r="K2602" s="1">
        <v>2</v>
      </c>
      <c r="L2602" s="1">
        <v>1</v>
      </c>
      <c r="M2602" s="4">
        <v>1131</v>
      </c>
      <c r="N2602" s="1">
        <v>1400</v>
      </c>
      <c r="O2602" s="1">
        <v>3401</v>
      </c>
      <c r="P2602" s="1">
        <v>2001</v>
      </c>
      <c r="Q2602" s="1" t="s">
        <v>42</v>
      </c>
      <c r="S2602" s="1" t="s">
        <v>42</v>
      </c>
      <c r="T2602" s="1" t="s">
        <v>273</v>
      </c>
      <c r="V2602" s="5">
        <v>44404</v>
      </c>
      <c r="W2602" s="5">
        <v>44048</v>
      </c>
      <c r="X2602" s="1">
        <v>2395000</v>
      </c>
      <c r="Y2602" s="1">
        <v>2395000</v>
      </c>
      <c r="Z2602" s="5">
        <v>44048</v>
      </c>
      <c r="AA2602" s="1">
        <v>2370486</v>
      </c>
      <c r="AB2602" s="1" t="s">
        <v>1530</v>
      </c>
      <c r="AC2602" s="5">
        <v>44384</v>
      </c>
      <c r="AF2602" s="1">
        <v>10014</v>
      </c>
      <c r="AI2602" s="1" t="s">
        <v>48</v>
      </c>
      <c r="AJ2602" s="1">
        <v>2019</v>
      </c>
      <c r="AK2602" s="1" t="s">
        <v>46</v>
      </c>
      <c r="AL2602" s="1">
        <v>161</v>
      </c>
    </row>
    <row r="2603" spans="1:38" x14ac:dyDescent="0.2">
      <c r="A2603" s="2" t="str">
        <f>HYPERLINK("https://www.compass.com/listing/100-west-80th-street-unit-9b-manhattan-ny-10024/29399453785994977/","100 W 80th St, Unit 9B")</f>
        <v>100 W 80th St, Unit 9B</v>
      </c>
      <c r="B2603" s="2" t="str">
        <f>HYPERLINK("https://www.compass.com/building/the-orleans-manhattan-ny/281961359686577973/","The Orleans")</f>
        <v>The Orleans</v>
      </c>
      <c r="C2603" s="1" t="s">
        <v>57</v>
      </c>
      <c r="D2603" s="1" t="s">
        <v>41</v>
      </c>
      <c r="E2603" s="3">
        <v>4551022</v>
      </c>
      <c r="F2603" s="1">
        <v>2066.7673705722</v>
      </c>
      <c r="M2603" s="4">
        <v>2202</v>
      </c>
      <c r="Q2603" s="1" t="s">
        <v>42</v>
      </c>
      <c r="S2603" s="1" t="s">
        <v>42</v>
      </c>
      <c r="T2603" s="1" t="s">
        <v>273</v>
      </c>
      <c r="AA2603" s="1">
        <v>4551021.75</v>
      </c>
      <c r="AB2603" s="1" t="s">
        <v>1531</v>
      </c>
      <c r="AC2603" s="5">
        <v>42207</v>
      </c>
      <c r="AF2603" s="1">
        <v>10024</v>
      </c>
      <c r="AJ2603" s="1">
        <v>1900</v>
      </c>
      <c r="AK2603" s="1" t="s">
        <v>55</v>
      </c>
      <c r="AL2603" s="1">
        <v>24</v>
      </c>
    </row>
    <row r="2604" spans="1:38" x14ac:dyDescent="0.2">
      <c r="A2604" s="2" t="str">
        <f>HYPERLINK("https://www.compass.com/listing/70-charlton-street-unit-7f-manhattan-ny-10014/182304013922970369/","70 Charlton St, Unit 7F")</f>
        <v>70 Charlton St, Unit 7F</v>
      </c>
      <c r="B2604" s="2" t="str">
        <f t="shared" ref="B2604:B2606" si="424">HYPERLINK("https://www.compass.com/building/70-charlton-street-manhattan-ny/292835639240484293/","70 Charlton Street")</f>
        <v>70 Charlton Street</v>
      </c>
      <c r="C2604" s="1" t="s">
        <v>53</v>
      </c>
      <c r="D2604" s="1" t="s">
        <v>41</v>
      </c>
      <c r="E2604" s="3">
        <v>2788914</v>
      </c>
      <c r="F2604" s="1">
        <v>1892.07174355495</v>
      </c>
      <c r="H2604" s="1">
        <v>2</v>
      </c>
      <c r="J2604" s="1">
        <v>2</v>
      </c>
      <c r="M2604" s="4">
        <v>1474</v>
      </c>
      <c r="N2604" s="1">
        <v>3201</v>
      </c>
      <c r="O2604" s="1">
        <v>3201</v>
      </c>
      <c r="Q2604" s="1" t="s">
        <v>271</v>
      </c>
      <c r="S2604" s="1" t="s">
        <v>271</v>
      </c>
      <c r="T2604" s="1" t="s">
        <v>273</v>
      </c>
      <c r="AA2604" s="1">
        <v>2788913.75</v>
      </c>
      <c r="AB2604" s="1" t="s">
        <v>1532</v>
      </c>
      <c r="AC2604" s="5">
        <v>43490</v>
      </c>
      <c r="AF2604" s="1">
        <v>10014</v>
      </c>
      <c r="AI2604" s="1" t="s">
        <v>80</v>
      </c>
      <c r="AJ2604" s="1">
        <v>2016</v>
      </c>
      <c r="AK2604" s="1" t="s">
        <v>49</v>
      </c>
      <c r="AL2604" s="1">
        <v>92</v>
      </c>
    </row>
    <row r="2605" spans="1:38" x14ac:dyDescent="0.2">
      <c r="A2605" s="2" t="str">
        <f>HYPERLINK("https://www.compass.com/listing/70-charlton-street-unit-2c-manhattan-ny-10014/29366260013776753/","70 Charlton St, Unit 2C")</f>
        <v>70 Charlton St, Unit 2C</v>
      </c>
      <c r="B2605" s="2" t="str">
        <f t="shared" si="424"/>
        <v>70 Charlton Street</v>
      </c>
      <c r="C2605" s="1" t="s">
        <v>53</v>
      </c>
      <c r="D2605" s="1" t="s">
        <v>41</v>
      </c>
      <c r="E2605" s="3">
        <v>2569990</v>
      </c>
      <c r="F2605" s="1">
        <v>1930.8715251690401</v>
      </c>
      <c r="H2605" s="1">
        <v>2</v>
      </c>
      <c r="J2605" s="1">
        <v>2.5</v>
      </c>
      <c r="K2605" s="1">
        <v>2</v>
      </c>
      <c r="L2605" s="1">
        <v>1</v>
      </c>
      <c r="M2605" s="4">
        <v>1331</v>
      </c>
      <c r="N2605" s="1">
        <v>2774</v>
      </c>
      <c r="O2605" s="1">
        <v>2774</v>
      </c>
      <c r="Q2605" s="1" t="s">
        <v>271</v>
      </c>
      <c r="S2605" s="1" t="s">
        <v>271</v>
      </c>
      <c r="T2605" s="1" t="s">
        <v>273</v>
      </c>
      <c r="AA2605" s="1">
        <v>2569990</v>
      </c>
      <c r="AB2605" s="1" t="s">
        <v>1533</v>
      </c>
      <c r="AC2605" s="5">
        <v>42853</v>
      </c>
      <c r="AF2605" s="1">
        <v>10014</v>
      </c>
      <c r="AI2605" s="1" t="s">
        <v>80</v>
      </c>
      <c r="AJ2605" s="1">
        <v>2016</v>
      </c>
      <c r="AK2605" s="1" t="s">
        <v>49</v>
      </c>
      <c r="AL2605" s="1">
        <v>92</v>
      </c>
    </row>
    <row r="2606" spans="1:38" x14ac:dyDescent="0.2">
      <c r="A2606" s="2" t="str">
        <f>HYPERLINK("https://www.compass.com/listing/70-charlton-street-unit-9f-manhattan-ny-10014/45455895009766849/","70 Charlton St, Unit 9F")</f>
        <v>70 Charlton St, Unit 9F</v>
      </c>
      <c r="B2606" s="2" t="str">
        <f t="shared" si="424"/>
        <v>70 Charlton Street</v>
      </c>
      <c r="C2606" s="1" t="s">
        <v>53</v>
      </c>
      <c r="D2606" s="1" t="s">
        <v>41</v>
      </c>
      <c r="E2606" s="3">
        <v>2604000</v>
      </c>
      <c r="F2606" s="1">
        <v>1766.6214382632199</v>
      </c>
      <c r="G2606" s="1">
        <v>5</v>
      </c>
      <c r="H2606" s="1">
        <v>2</v>
      </c>
      <c r="I2606" s="1">
        <v>2</v>
      </c>
      <c r="J2606" s="1">
        <v>2</v>
      </c>
      <c r="M2606" s="4">
        <v>1474</v>
      </c>
      <c r="N2606" s="1">
        <v>3262</v>
      </c>
      <c r="O2606" s="1">
        <v>3262</v>
      </c>
      <c r="Q2606" s="1" t="s">
        <v>505</v>
      </c>
      <c r="S2606" s="1" t="s">
        <v>505</v>
      </c>
      <c r="T2606" s="1" t="s">
        <v>273</v>
      </c>
      <c r="V2606" s="5">
        <v>43661</v>
      </c>
      <c r="W2606" s="5">
        <v>43315</v>
      </c>
      <c r="X2606" s="1">
        <v>3010000</v>
      </c>
      <c r="Y2606" s="1">
        <v>3010000</v>
      </c>
      <c r="Z2606" s="5">
        <v>43315</v>
      </c>
      <c r="AA2606" s="1">
        <v>2604000</v>
      </c>
      <c r="AB2606" s="1" t="s">
        <v>1534</v>
      </c>
      <c r="AC2606" s="5">
        <v>43339</v>
      </c>
      <c r="AF2606" s="1">
        <v>10014</v>
      </c>
      <c r="AI2606" s="1" t="s">
        <v>80</v>
      </c>
      <c r="AJ2606" s="1">
        <v>2016</v>
      </c>
      <c r="AK2606" s="1" t="s">
        <v>46</v>
      </c>
      <c r="AL2606" s="1">
        <v>92</v>
      </c>
    </row>
    <row r="2607" spans="1:38" x14ac:dyDescent="0.2">
      <c r="A2607" s="2" t="str">
        <f>HYPERLINK("https://www.compass.com/listing/235-west-75th-street-unit-610-manhattan-ny-10023/29395873494501313/","235 W 75th St, Unit 610")</f>
        <v>235 W 75th St, Unit 610</v>
      </c>
      <c r="B2607" s="2" t="str">
        <f>HYPERLINK("https://www.compass.com/building/the-astor-manhattan-ny/281958704155269925/","The Astor")</f>
        <v>The Astor</v>
      </c>
      <c r="C2607" s="1" t="s">
        <v>57</v>
      </c>
      <c r="D2607" s="1" t="s">
        <v>41</v>
      </c>
      <c r="E2607" s="3">
        <v>2151352</v>
      </c>
      <c r="F2607" s="1">
        <v>2033.41398865784</v>
      </c>
      <c r="G2607" s="1">
        <v>3</v>
      </c>
      <c r="H2607" s="1">
        <v>2</v>
      </c>
      <c r="I2607" s="1">
        <v>2</v>
      </c>
      <c r="J2607" s="1">
        <v>2</v>
      </c>
      <c r="K2607" s="1">
        <v>2</v>
      </c>
      <c r="M2607" s="4">
        <v>1058</v>
      </c>
      <c r="N2607" s="1">
        <v>1386</v>
      </c>
      <c r="O2607" s="1">
        <v>2894</v>
      </c>
      <c r="P2607" s="1">
        <v>1508</v>
      </c>
      <c r="Q2607" s="1" t="s">
        <v>42</v>
      </c>
      <c r="S2607" s="1" t="s">
        <v>42</v>
      </c>
      <c r="T2607" s="1" t="s">
        <v>273</v>
      </c>
      <c r="U2607" s="1">
        <v>230</v>
      </c>
      <c r="V2607" s="5">
        <v>43649</v>
      </c>
      <c r="W2607" s="5">
        <v>42622</v>
      </c>
      <c r="X2607" s="1">
        <v>2160000</v>
      </c>
      <c r="Y2607" s="1">
        <v>2160000</v>
      </c>
      <c r="Z2607" s="5">
        <v>42852</v>
      </c>
      <c r="AA2607" s="1">
        <v>2151352</v>
      </c>
      <c r="AB2607" s="1" t="s">
        <v>1535</v>
      </c>
      <c r="AC2607" s="5">
        <v>43007</v>
      </c>
      <c r="AF2607" s="1">
        <v>10023</v>
      </c>
      <c r="AJ2607" s="1">
        <v>2018</v>
      </c>
      <c r="AK2607" s="1" t="s">
        <v>46</v>
      </c>
      <c r="AL2607" s="1">
        <v>98</v>
      </c>
    </row>
    <row r="2608" spans="1:38" x14ac:dyDescent="0.2">
      <c r="A2608" s="2" t="str">
        <f>HYPERLINK("https://www.compass.com/listing/70-charlton-street-unit-21d-manhattan-ny-10014/29366245258255745/","70 Charlton St, Unit 21D")</f>
        <v>70 Charlton St, Unit 21D</v>
      </c>
      <c r="B2608" s="2" t="str">
        <f t="shared" ref="B2608:B2609" si="425">HYPERLINK("https://www.compass.com/building/70-charlton-street-manhattan-ny/292835639240484293/","70 Charlton Street")</f>
        <v>70 Charlton Street</v>
      </c>
      <c r="C2608" s="1" t="s">
        <v>53</v>
      </c>
      <c r="D2608" s="1" t="s">
        <v>41</v>
      </c>
      <c r="E2608" s="3">
        <v>1881653</v>
      </c>
      <c r="F2608" s="1">
        <v>2264.3237063778502</v>
      </c>
      <c r="H2608" s="1">
        <v>1</v>
      </c>
      <c r="J2608" s="1">
        <v>1</v>
      </c>
      <c r="K2608" s="1">
        <v>1</v>
      </c>
      <c r="M2608" s="1">
        <v>831</v>
      </c>
      <c r="N2608" s="1">
        <v>1990</v>
      </c>
      <c r="O2608" s="1">
        <v>1990</v>
      </c>
      <c r="Q2608" s="1" t="s">
        <v>271</v>
      </c>
      <c r="S2608" s="1" t="s">
        <v>271</v>
      </c>
      <c r="T2608" s="1" t="s">
        <v>273</v>
      </c>
      <c r="AA2608" s="1">
        <v>1881653</v>
      </c>
      <c r="AB2608" s="1" t="s">
        <v>1536</v>
      </c>
      <c r="AC2608" s="5">
        <v>42968</v>
      </c>
      <c r="AF2608" s="1">
        <v>10014</v>
      </c>
      <c r="AI2608" s="1" t="s">
        <v>80</v>
      </c>
      <c r="AJ2608" s="1">
        <v>2016</v>
      </c>
      <c r="AK2608" s="1" t="s">
        <v>49</v>
      </c>
      <c r="AL2608" s="1">
        <v>92</v>
      </c>
    </row>
    <row r="2609" spans="1:38" x14ac:dyDescent="0.2">
      <c r="A2609" s="2" t="str">
        <f>HYPERLINK("https://www.compass.com/listing/70-charlton-street-unit-21d-manhattan-ny-10014/775804231552820673/","70 Charlton St, Unit 21D")</f>
        <v>70 Charlton St, Unit 21D</v>
      </c>
      <c r="B2609" s="2" t="str">
        <f t="shared" si="425"/>
        <v>70 Charlton Street</v>
      </c>
      <c r="C2609" s="1" t="s">
        <v>53</v>
      </c>
      <c r="D2609" s="1" t="s">
        <v>41</v>
      </c>
      <c r="E2609" s="3">
        <v>1795000</v>
      </c>
      <c r="F2609" s="1">
        <v>2160.0481347773698</v>
      </c>
      <c r="H2609" s="1">
        <v>1</v>
      </c>
      <c r="J2609" s="1">
        <v>1</v>
      </c>
      <c r="M2609" s="1">
        <v>831</v>
      </c>
      <c r="N2609" s="1">
        <v>2045</v>
      </c>
      <c r="O2609" s="1">
        <v>2045</v>
      </c>
      <c r="Q2609" s="1" t="s">
        <v>271</v>
      </c>
      <c r="S2609" s="1" t="s">
        <v>271</v>
      </c>
      <c r="T2609" s="1" t="s">
        <v>273</v>
      </c>
      <c r="AA2609" s="1">
        <v>1795000</v>
      </c>
      <c r="AB2609" s="1" t="s">
        <v>1537</v>
      </c>
      <c r="AC2609" s="5">
        <v>44308</v>
      </c>
      <c r="AF2609" s="1">
        <v>10014</v>
      </c>
      <c r="AI2609" s="1" t="s">
        <v>80</v>
      </c>
      <c r="AJ2609" s="1">
        <v>2016</v>
      </c>
      <c r="AK2609" s="1" t="s">
        <v>49</v>
      </c>
      <c r="AL2609" s="1">
        <v>92</v>
      </c>
    </row>
    <row r="2610" spans="1:38" x14ac:dyDescent="0.2">
      <c r="A2610" s="2" t="str">
        <f>HYPERLINK("https://www.compass.com/listing/77-charlton-street-unit-s9c-manhattan-ny-10014/430453012465900361/","77 Charlton St, Unit S9C")</f>
        <v>77 Charlton St, Unit S9C</v>
      </c>
      <c r="B2610" s="2" t="str">
        <f t="shared" ref="B2610:B2611" si="426">HYPERLINK("https://www.compass.com/building/77-charlton-st-manhattan-ny-10014/282058735872933093/","77 Charlton St")</f>
        <v>77 Charlton St</v>
      </c>
      <c r="C2610" s="1" t="s">
        <v>53</v>
      </c>
      <c r="D2610" s="1" t="s">
        <v>41</v>
      </c>
      <c r="E2610" s="3">
        <v>2177519</v>
      </c>
      <c r="F2610" s="1">
        <v>2019.96150278293</v>
      </c>
      <c r="G2610" s="1">
        <v>4</v>
      </c>
      <c r="H2610" s="1">
        <v>2</v>
      </c>
      <c r="I2610" s="1">
        <v>2</v>
      </c>
      <c r="J2610" s="1">
        <v>2</v>
      </c>
      <c r="K2610" s="1">
        <v>2</v>
      </c>
      <c r="M2610" s="4">
        <v>1078</v>
      </c>
      <c r="N2610" s="1">
        <v>1272</v>
      </c>
      <c r="O2610" s="1">
        <v>3090</v>
      </c>
      <c r="P2610" s="1">
        <v>1818</v>
      </c>
      <c r="Q2610" s="1" t="s">
        <v>42</v>
      </c>
      <c r="S2610" s="1" t="s">
        <v>42</v>
      </c>
      <c r="T2610" s="1" t="s">
        <v>273</v>
      </c>
      <c r="V2610" s="5">
        <v>44404</v>
      </c>
      <c r="W2610" s="5">
        <v>43846</v>
      </c>
      <c r="X2610" s="1">
        <v>2220000</v>
      </c>
      <c r="Y2610" s="1">
        <v>2220000</v>
      </c>
      <c r="Z2610" s="5">
        <v>43846</v>
      </c>
      <c r="AA2610" s="1">
        <v>2177518.5</v>
      </c>
      <c r="AB2610" s="1" t="s">
        <v>1538</v>
      </c>
      <c r="AC2610" s="5">
        <v>44356</v>
      </c>
      <c r="AF2610" s="1">
        <v>10014</v>
      </c>
      <c r="AI2610" s="1" t="s">
        <v>48</v>
      </c>
      <c r="AJ2610" s="1">
        <v>2019</v>
      </c>
      <c r="AK2610" s="1" t="s">
        <v>46</v>
      </c>
      <c r="AL2610" s="1">
        <v>161</v>
      </c>
    </row>
    <row r="2611" spans="1:38" x14ac:dyDescent="0.2">
      <c r="A2611" s="2" t="str">
        <f>HYPERLINK("https://www.compass.com/listing/77-charlton-street-unit-s10c-manhattan-ny-10014/430453013682440233/","77 Charlton St, Unit S10C")</f>
        <v>77 Charlton St, Unit S10C</v>
      </c>
      <c r="B2611" s="2" t="str">
        <f t="shared" si="426"/>
        <v>77 Charlton St</v>
      </c>
      <c r="C2611" s="1" t="s">
        <v>53</v>
      </c>
      <c r="D2611" s="1" t="s">
        <v>41</v>
      </c>
      <c r="E2611" s="3">
        <v>2179766</v>
      </c>
      <c r="F2611" s="1">
        <v>2022.0461410018499</v>
      </c>
      <c r="G2611" s="1">
        <v>4</v>
      </c>
      <c r="H2611" s="1">
        <v>2</v>
      </c>
      <c r="I2611" s="1">
        <v>2</v>
      </c>
      <c r="J2611" s="1">
        <v>2</v>
      </c>
      <c r="K2611" s="1">
        <v>2</v>
      </c>
      <c r="M2611" s="4">
        <v>1078</v>
      </c>
      <c r="N2611" s="1">
        <v>1284</v>
      </c>
      <c r="O2611" s="1">
        <v>3119</v>
      </c>
      <c r="P2611" s="1">
        <v>1835</v>
      </c>
      <c r="Q2611" s="1" t="s">
        <v>42</v>
      </c>
      <c r="S2611" s="1" t="s">
        <v>42</v>
      </c>
      <c r="T2611" s="1" t="s">
        <v>273</v>
      </c>
      <c r="V2611" s="5">
        <v>44373</v>
      </c>
      <c r="W2611" s="5">
        <v>43846</v>
      </c>
      <c r="X2611" s="1">
        <v>2225000</v>
      </c>
      <c r="Y2611" s="1">
        <v>2225000</v>
      </c>
      <c r="Z2611" s="5">
        <v>43846</v>
      </c>
      <c r="AA2611" s="1">
        <v>2179765.7400000002</v>
      </c>
      <c r="AB2611" s="1" t="s">
        <v>1539</v>
      </c>
      <c r="AC2611" s="5">
        <v>44313</v>
      </c>
      <c r="AF2611" s="1">
        <v>10014</v>
      </c>
      <c r="AI2611" s="1" t="s">
        <v>48</v>
      </c>
      <c r="AJ2611" s="1">
        <v>2019</v>
      </c>
      <c r="AK2611" s="1" t="s">
        <v>46</v>
      </c>
      <c r="AL2611" s="1">
        <v>161</v>
      </c>
    </row>
    <row r="2612" spans="1:38" x14ac:dyDescent="0.2">
      <c r="A2612" s="2" t="str">
        <f>HYPERLINK("https://www.compass.com/listing/70-charlton-street-unit-2b-manhattan-ny-10014/29366263142775089/","70 Charlton St, Unit 2B")</f>
        <v>70 Charlton St, Unit 2B</v>
      </c>
      <c r="B2612" s="2" t="str">
        <f>HYPERLINK("https://www.compass.com/building/70-charlton-street-manhattan-ny/292835639240484293/","70 Charlton Street")</f>
        <v>70 Charlton Street</v>
      </c>
      <c r="C2612" s="1" t="s">
        <v>53</v>
      </c>
      <c r="D2612" s="1" t="s">
        <v>41</v>
      </c>
      <c r="E2612" s="3">
        <v>1225900</v>
      </c>
      <c r="F2612" s="1">
        <v>1480.55555555555</v>
      </c>
      <c r="H2612" s="1">
        <v>1</v>
      </c>
      <c r="J2612" s="1">
        <v>1</v>
      </c>
      <c r="K2612" s="1">
        <v>1</v>
      </c>
      <c r="M2612" s="1">
        <v>828</v>
      </c>
      <c r="N2612" s="1">
        <v>1639</v>
      </c>
      <c r="O2612" s="1">
        <v>1639</v>
      </c>
      <c r="Q2612" s="1" t="s">
        <v>271</v>
      </c>
      <c r="S2612" s="1" t="s">
        <v>271</v>
      </c>
      <c r="T2612" s="1" t="s">
        <v>273</v>
      </c>
      <c r="AA2612" s="1">
        <v>1225900</v>
      </c>
      <c r="AB2612" s="1" t="s">
        <v>1540</v>
      </c>
      <c r="AC2612" s="5">
        <v>42926</v>
      </c>
      <c r="AF2612" s="1">
        <v>10014</v>
      </c>
      <c r="AI2612" s="1" t="s">
        <v>80</v>
      </c>
      <c r="AJ2612" s="1">
        <v>2016</v>
      </c>
      <c r="AK2612" s="1" t="s">
        <v>49</v>
      </c>
      <c r="AL2612" s="1">
        <v>92</v>
      </c>
    </row>
    <row r="2613" spans="1:38" x14ac:dyDescent="0.2">
      <c r="A2613" s="2" t="str">
        <f>HYPERLINK("https://www.compass.com/listing/261-west-25th-street-unit-3a-manhattan-ny-10001/29372517244329921/","261 W 25th St, Unit 3A")</f>
        <v>261 W 25th St, Unit 3A</v>
      </c>
      <c r="B2613" s="2" t="str">
        <f>HYPERLINK("https://www.compass.com/building/the-seymour-manhattan-ny/281883155990840165/","The Seymour")</f>
        <v>The Seymour</v>
      </c>
      <c r="C2613" s="1" t="s">
        <v>62</v>
      </c>
      <c r="D2613" s="1" t="s">
        <v>41</v>
      </c>
      <c r="E2613" s="3">
        <v>1232083</v>
      </c>
      <c r="F2613" s="1">
        <v>1711.2263888888799</v>
      </c>
      <c r="G2613" s="1">
        <v>3</v>
      </c>
      <c r="H2613" s="1">
        <v>1</v>
      </c>
      <c r="I2613" s="1">
        <v>1</v>
      </c>
      <c r="J2613" s="1">
        <v>1</v>
      </c>
      <c r="M2613" s="1">
        <v>720</v>
      </c>
      <c r="N2613" s="1">
        <v>835</v>
      </c>
      <c r="O2613" s="1">
        <v>1750</v>
      </c>
      <c r="P2613" s="1">
        <v>915</v>
      </c>
      <c r="Q2613" s="1" t="s">
        <v>42</v>
      </c>
      <c r="S2613" s="1" t="s">
        <v>42</v>
      </c>
      <c r="T2613" s="1" t="s">
        <v>273</v>
      </c>
      <c r="U2613" s="1">
        <v>14</v>
      </c>
      <c r="V2613" s="5">
        <v>43650</v>
      </c>
      <c r="W2613" s="5">
        <v>41828</v>
      </c>
      <c r="X2613" s="1">
        <v>1210000</v>
      </c>
      <c r="Y2613" s="1">
        <v>1240000</v>
      </c>
      <c r="Z2613" s="5">
        <v>41842</v>
      </c>
      <c r="AA2613" s="1">
        <v>1232083</v>
      </c>
      <c r="AB2613" s="1" t="s">
        <v>1541</v>
      </c>
      <c r="AC2613" s="5">
        <v>42402</v>
      </c>
      <c r="AF2613" s="1">
        <v>10001</v>
      </c>
      <c r="AI2613" s="1" t="s">
        <v>185</v>
      </c>
      <c r="AJ2613" s="1">
        <v>2015</v>
      </c>
      <c r="AK2613" s="1" t="s">
        <v>49</v>
      </c>
      <c r="AL2613" s="1">
        <v>49</v>
      </c>
    </row>
    <row r="2614" spans="1:38" x14ac:dyDescent="0.2">
      <c r="A2614" s="2" t="str">
        <f>HYPERLINK("https://www.compass.com/listing/100-west-80th-street-unit-9b-manhattan-ny-10024/380738351318649297/","100 W 80th St, Unit 9B")</f>
        <v>100 W 80th St, Unit 9B</v>
      </c>
      <c r="B2614" s="2" t="str">
        <f t="shared" ref="B2614:B2615" si="427">HYPERLINK("https://www.compass.com/building/the-orleans-manhattan-ny/281961359686577973/","The Orleans")</f>
        <v>The Orleans</v>
      </c>
      <c r="C2614" s="1" t="s">
        <v>57</v>
      </c>
      <c r="D2614" s="1" t="s">
        <v>41</v>
      </c>
      <c r="E2614" s="3">
        <v>4950000</v>
      </c>
      <c r="F2614" s="1">
        <v>11098.6547085201</v>
      </c>
      <c r="M2614" s="1">
        <v>446</v>
      </c>
      <c r="Q2614" s="1" t="s">
        <v>42</v>
      </c>
      <c r="S2614" s="1" t="s">
        <v>42</v>
      </c>
      <c r="T2614" s="1" t="s">
        <v>273</v>
      </c>
      <c r="AA2614" s="1">
        <v>4950000</v>
      </c>
      <c r="AB2614" s="1" t="s">
        <v>1542</v>
      </c>
      <c r="AC2614" s="5">
        <v>43206</v>
      </c>
      <c r="AF2614" s="1">
        <v>10024</v>
      </c>
      <c r="AJ2614" s="1">
        <v>1900</v>
      </c>
      <c r="AK2614" s="1" t="s">
        <v>55</v>
      </c>
      <c r="AL2614" s="1">
        <v>24</v>
      </c>
    </row>
    <row r="2615" spans="1:38" x14ac:dyDescent="0.2">
      <c r="A2615" s="2" t="str">
        <f>HYPERLINK("https://www.compass.com/listing/100-west-80th-street-unit-9b-manhattan-ny-10024/700227603572866329/","100 W 80th St, Unit 9B")</f>
        <v>100 W 80th St, Unit 9B</v>
      </c>
      <c r="B2615" s="2" t="str">
        <f t="shared" si="427"/>
        <v>The Orleans</v>
      </c>
      <c r="C2615" s="1" t="s">
        <v>57</v>
      </c>
      <c r="D2615" s="1" t="s">
        <v>41</v>
      </c>
      <c r="E2615" s="3">
        <v>9200000</v>
      </c>
      <c r="F2615" s="1">
        <v>20627.802690582899</v>
      </c>
      <c r="M2615" s="1">
        <v>446</v>
      </c>
      <c r="Q2615" s="1" t="s">
        <v>42</v>
      </c>
      <c r="S2615" s="1" t="s">
        <v>42</v>
      </c>
      <c r="T2615" s="1" t="s">
        <v>273</v>
      </c>
      <c r="AA2615" s="1">
        <v>9200000</v>
      </c>
      <c r="AB2615" s="1" t="s">
        <v>1543</v>
      </c>
      <c r="AC2615" s="5">
        <v>44180</v>
      </c>
      <c r="AF2615" s="1">
        <v>10024</v>
      </c>
      <c r="AJ2615" s="1">
        <v>1900</v>
      </c>
      <c r="AK2615" s="1" t="s">
        <v>55</v>
      </c>
      <c r="AL2615" s="1">
        <v>24</v>
      </c>
    </row>
    <row r="2616" spans="1:38" x14ac:dyDescent="0.2">
      <c r="A2616" s="2" t="str">
        <f>HYPERLINK("https://www.compass.com/listing/77-charlton-street-unit-s11c-manhattan-ny-10014/638384593278151665/","77 Charlton St, Unit S11C")</f>
        <v>77 Charlton St, Unit S11C</v>
      </c>
      <c r="B2616" s="2" t="str">
        <f t="shared" ref="B2616:B2621" si="428">HYPERLINK("https://www.compass.com/building/77-charlton-st-manhattan-ny-10014/282058735872933093/","77 Charlton St")</f>
        <v>77 Charlton St</v>
      </c>
      <c r="C2616" s="1" t="s">
        <v>53</v>
      </c>
      <c r="D2616" s="1" t="s">
        <v>41</v>
      </c>
      <c r="E2616" s="3">
        <v>2253387</v>
      </c>
      <c r="F2616" s="1">
        <v>2090.34067717996</v>
      </c>
      <c r="G2616" s="1">
        <v>4</v>
      </c>
      <c r="H2616" s="1">
        <v>2</v>
      </c>
      <c r="I2616" s="1">
        <v>2</v>
      </c>
      <c r="J2616" s="1">
        <v>2</v>
      </c>
      <c r="K2616" s="1">
        <v>2</v>
      </c>
      <c r="M2616" s="4">
        <v>1078</v>
      </c>
      <c r="N2616" s="1">
        <v>1296</v>
      </c>
      <c r="O2616" s="1">
        <v>3148</v>
      </c>
      <c r="P2616" s="1">
        <v>1852</v>
      </c>
      <c r="Q2616" s="1" t="s">
        <v>42</v>
      </c>
      <c r="S2616" s="1" t="s">
        <v>42</v>
      </c>
      <c r="T2616" s="1" t="s">
        <v>273</v>
      </c>
      <c r="V2616" s="5">
        <v>44404</v>
      </c>
      <c r="W2616" s="5">
        <v>44133</v>
      </c>
      <c r="X2616" s="1">
        <v>2280000</v>
      </c>
      <c r="Y2616" s="1">
        <v>2280000</v>
      </c>
      <c r="Z2616" s="5">
        <v>44133</v>
      </c>
      <c r="AA2616" s="1">
        <v>2253387.25</v>
      </c>
      <c r="AB2616" s="1" t="s">
        <v>1544</v>
      </c>
      <c r="AC2616" s="5">
        <v>44392</v>
      </c>
      <c r="AF2616" s="1">
        <v>10014</v>
      </c>
      <c r="AI2616" s="1" t="s">
        <v>48</v>
      </c>
      <c r="AJ2616" s="1">
        <v>2019</v>
      </c>
      <c r="AK2616" s="1" t="s">
        <v>46</v>
      </c>
      <c r="AL2616" s="1">
        <v>161</v>
      </c>
    </row>
    <row r="2617" spans="1:38" x14ac:dyDescent="0.2">
      <c r="A2617" s="2" t="str">
        <f>HYPERLINK("https://www.compass.com/listing/77-charlton-street-unit-n6f-manhattan-ny-10014/430442298376233033/","77 Charlton St, Unit N6F")</f>
        <v>77 Charlton St, Unit N6F</v>
      </c>
      <c r="B2617" s="2" t="str">
        <f t="shared" si="428"/>
        <v>77 Charlton St</v>
      </c>
      <c r="C2617" s="1" t="s">
        <v>53</v>
      </c>
      <c r="D2617" s="1" t="s">
        <v>41</v>
      </c>
      <c r="E2617" s="3">
        <v>1224955</v>
      </c>
      <c r="F2617" s="1">
        <v>1950.5648885350299</v>
      </c>
      <c r="G2617" s="1">
        <v>3</v>
      </c>
      <c r="H2617" s="1">
        <v>1</v>
      </c>
      <c r="I2617" s="1">
        <v>1</v>
      </c>
      <c r="J2617" s="1">
        <v>1</v>
      </c>
      <c r="K2617" s="1">
        <v>1</v>
      </c>
      <c r="M2617" s="1">
        <v>628</v>
      </c>
      <c r="N2617" s="1">
        <v>733</v>
      </c>
      <c r="O2617" s="1">
        <v>1781</v>
      </c>
      <c r="P2617" s="1">
        <v>1048</v>
      </c>
      <c r="Q2617" s="1" t="s">
        <v>42</v>
      </c>
      <c r="S2617" s="1" t="s">
        <v>42</v>
      </c>
      <c r="T2617" s="1" t="s">
        <v>273</v>
      </c>
      <c r="V2617" s="5">
        <v>44404</v>
      </c>
      <c r="W2617" s="5">
        <v>43846</v>
      </c>
      <c r="X2617" s="1">
        <v>1230000</v>
      </c>
      <c r="Y2617" s="1">
        <v>1230000</v>
      </c>
      <c r="Z2617" s="5">
        <v>43846</v>
      </c>
      <c r="AA2617" s="1">
        <v>1224954.75</v>
      </c>
      <c r="AB2617" s="1" t="s">
        <v>1545</v>
      </c>
      <c r="AC2617" s="5">
        <v>44363</v>
      </c>
      <c r="AF2617" s="1">
        <v>10014</v>
      </c>
      <c r="AI2617" s="1" t="s">
        <v>238</v>
      </c>
      <c r="AJ2617" s="1">
        <v>2019</v>
      </c>
      <c r="AK2617" s="1" t="s">
        <v>46</v>
      </c>
      <c r="AL2617" s="1">
        <v>161</v>
      </c>
    </row>
    <row r="2618" spans="1:38" x14ac:dyDescent="0.2">
      <c r="A2618" s="2" t="str">
        <f>HYPERLINK("https://www.compass.com/listing/77-charlton-street-unit-s3f-manhattan-ny-10014/430453014730537697/","77 Charlton St, Unit S3F")</f>
        <v>77 Charlton St, Unit S3F</v>
      </c>
      <c r="B2618" s="2" t="str">
        <f t="shared" si="428"/>
        <v>77 Charlton St</v>
      </c>
      <c r="C2618" s="1" t="s">
        <v>53</v>
      </c>
      <c r="D2618" s="1" t="s">
        <v>41</v>
      </c>
      <c r="E2618" s="3">
        <v>1194407</v>
      </c>
      <c r="F2618" s="1">
        <v>1901.9223726114601</v>
      </c>
      <c r="G2618" s="1">
        <v>3</v>
      </c>
      <c r="H2618" s="1">
        <v>1</v>
      </c>
      <c r="I2618" s="1">
        <v>1</v>
      </c>
      <c r="J2618" s="1">
        <v>1</v>
      </c>
      <c r="K2618" s="1">
        <v>1</v>
      </c>
      <c r="M2618" s="1">
        <v>628</v>
      </c>
      <c r="N2618" s="1">
        <v>714</v>
      </c>
      <c r="O2618" s="1">
        <v>1735</v>
      </c>
      <c r="P2618" s="1">
        <v>1021</v>
      </c>
      <c r="Q2618" s="1" t="s">
        <v>42</v>
      </c>
      <c r="S2618" s="1" t="s">
        <v>42</v>
      </c>
      <c r="T2618" s="1" t="s">
        <v>273</v>
      </c>
      <c r="V2618" s="5">
        <v>44373</v>
      </c>
      <c r="W2618" s="5">
        <v>43846</v>
      </c>
      <c r="X2618" s="1">
        <v>1170000</v>
      </c>
      <c r="Y2618" s="1">
        <v>1170000</v>
      </c>
      <c r="Z2618" s="5">
        <v>43846</v>
      </c>
      <c r="AA2618" s="1">
        <v>1194407.25</v>
      </c>
      <c r="AB2618" s="1" t="s">
        <v>1546</v>
      </c>
      <c r="AC2618" s="5">
        <v>44315</v>
      </c>
      <c r="AF2618" s="1">
        <v>10014</v>
      </c>
      <c r="AI2618" s="1" t="s">
        <v>238</v>
      </c>
      <c r="AJ2618" s="1">
        <v>2019</v>
      </c>
      <c r="AK2618" s="1" t="s">
        <v>46</v>
      </c>
      <c r="AL2618" s="1">
        <v>161</v>
      </c>
    </row>
    <row r="2619" spans="1:38" x14ac:dyDescent="0.2">
      <c r="A2619" s="2" t="str">
        <f>HYPERLINK("https://www.compass.com/listing/77-charlton-street-unit-s3g-manhattan-ny-10014/430453015284358849/","77 Charlton St, Unit S3G")</f>
        <v>77 Charlton St, Unit S3G</v>
      </c>
      <c r="B2619" s="2" t="str">
        <f t="shared" si="428"/>
        <v>77 Charlton St</v>
      </c>
      <c r="C2619" s="1" t="s">
        <v>53</v>
      </c>
      <c r="D2619" s="1" t="s">
        <v>41</v>
      </c>
      <c r="E2619" s="3">
        <v>1250411</v>
      </c>
      <c r="F2619" s="1">
        <v>1849.7204142011799</v>
      </c>
      <c r="G2619" s="1">
        <v>2</v>
      </c>
      <c r="H2619" s="1">
        <v>1</v>
      </c>
      <c r="I2619" s="1">
        <v>1</v>
      </c>
      <c r="J2619" s="1">
        <v>1</v>
      </c>
      <c r="K2619" s="1">
        <v>1</v>
      </c>
      <c r="M2619" s="1">
        <v>676</v>
      </c>
      <c r="N2619" s="1">
        <v>752</v>
      </c>
      <c r="O2619" s="1">
        <v>1826</v>
      </c>
      <c r="P2619" s="1">
        <v>1074</v>
      </c>
      <c r="Q2619" s="1" t="s">
        <v>42</v>
      </c>
      <c r="S2619" s="1" t="s">
        <v>42</v>
      </c>
      <c r="T2619" s="1" t="s">
        <v>273</v>
      </c>
      <c r="V2619" s="5">
        <v>44373</v>
      </c>
      <c r="W2619" s="5">
        <v>43846</v>
      </c>
      <c r="X2619" s="1">
        <v>1225000</v>
      </c>
      <c r="Y2619" s="1">
        <v>1225000</v>
      </c>
      <c r="Z2619" s="5">
        <v>43846</v>
      </c>
      <c r="AA2619" s="1">
        <v>1250411</v>
      </c>
      <c r="AB2619" s="1" t="s">
        <v>1547</v>
      </c>
      <c r="AC2619" s="5">
        <v>44315</v>
      </c>
      <c r="AF2619" s="1">
        <v>10014</v>
      </c>
      <c r="AI2619" s="1" t="s">
        <v>48</v>
      </c>
      <c r="AJ2619" s="1">
        <v>2019</v>
      </c>
      <c r="AK2619" s="1" t="s">
        <v>46</v>
      </c>
      <c r="AL2619" s="1">
        <v>161</v>
      </c>
    </row>
    <row r="2620" spans="1:38" x14ac:dyDescent="0.2">
      <c r="A2620" s="2" t="str">
        <f>HYPERLINK("https://www.compass.com/listing/77-charlton-street-unit-s2e-manhattan-ny-10014/800029302279024137/","77 Charlton St, Unit S2E")</f>
        <v>77 Charlton St, Unit S2E</v>
      </c>
      <c r="B2620" s="2" t="str">
        <f t="shared" si="428"/>
        <v>77 Charlton St</v>
      </c>
      <c r="C2620" s="1" t="s">
        <v>53</v>
      </c>
      <c r="D2620" s="1" t="s">
        <v>41</v>
      </c>
      <c r="E2620" s="3">
        <v>1326780</v>
      </c>
      <c r="F2620" s="1">
        <v>1853.04434357541</v>
      </c>
      <c r="G2620" s="1">
        <v>2</v>
      </c>
      <c r="H2620" s="1">
        <v>1</v>
      </c>
      <c r="I2620" s="1">
        <v>1</v>
      </c>
      <c r="J2620" s="1">
        <v>1</v>
      </c>
      <c r="K2620" s="1">
        <v>1</v>
      </c>
      <c r="M2620" s="1">
        <v>716</v>
      </c>
      <c r="N2620" s="1">
        <v>822</v>
      </c>
      <c r="O2620" s="1">
        <v>1996</v>
      </c>
      <c r="P2620" s="1">
        <v>1174</v>
      </c>
      <c r="Q2620" s="1" t="s">
        <v>42</v>
      </c>
      <c r="S2620" s="1" t="s">
        <v>42</v>
      </c>
      <c r="T2620" s="1" t="s">
        <v>273</v>
      </c>
      <c r="V2620" s="5">
        <v>44373</v>
      </c>
      <c r="W2620" s="5">
        <v>43846</v>
      </c>
      <c r="X2620" s="1">
        <v>1325000</v>
      </c>
      <c r="Y2620" s="1">
        <v>1325000</v>
      </c>
      <c r="Z2620" s="5">
        <v>43846</v>
      </c>
      <c r="AA2620" s="1">
        <v>1326779.75</v>
      </c>
      <c r="AB2620" s="1" t="s">
        <v>1548</v>
      </c>
      <c r="AC2620" s="5">
        <v>44308</v>
      </c>
      <c r="AF2620" s="1">
        <v>10014</v>
      </c>
      <c r="AI2620" s="1" t="s">
        <v>211</v>
      </c>
      <c r="AJ2620" s="1">
        <v>2019</v>
      </c>
      <c r="AK2620" s="1" t="s">
        <v>46</v>
      </c>
      <c r="AL2620" s="1">
        <v>161</v>
      </c>
    </row>
    <row r="2621" spans="1:38" x14ac:dyDescent="0.2">
      <c r="A2621" s="2" t="str">
        <f>HYPERLINK("https://www.compass.com/listing/77-charlton-street-unit-s4g-manhattan-ny-10014/803431797836749241/","77 Charlton St, Unit S4G")</f>
        <v>77 Charlton St, Unit S4G</v>
      </c>
      <c r="B2621" s="2" t="str">
        <f t="shared" si="428"/>
        <v>77 Charlton St</v>
      </c>
      <c r="C2621" s="1" t="s">
        <v>53</v>
      </c>
      <c r="D2621" s="1" t="s">
        <v>41</v>
      </c>
      <c r="E2621" s="3">
        <v>1245320</v>
      </c>
      <c r="F2621" s="1">
        <v>1842.1889792899401</v>
      </c>
      <c r="G2621" s="1">
        <v>3</v>
      </c>
      <c r="H2621" s="1">
        <v>1</v>
      </c>
      <c r="I2621" s="1">
        <v>1</v>
      </c>
      <c r="J2621" s="1">
        <v>1</v>
      </c>
      <c r="K2621" s="1">
        <v>1</v>
      </c>
      <c r="M2621" s="1">
        <v>676</v>
      </c>
      <c r="N2621" s="1">
        <v>759</v>
      </c>
      <c r="O2621" s="1">
        <v>1844</v>
      </c>
      <c r="P2621" s="1">
        <v>1085</v>
      </c>
      <c r="Q2621" s="1" t="s">
        <v>42</v>
      </c>
      <c r="S2621" s="1" t="s">
        <v>42</v>
      </c>
      <c r="T2621" s="1" t="s">
        <v>273</v>
      </c>
      <c r="V2621" s="5">
        <v>44373</v>
      </c>
      <c r="W2621" s="5">
        <v>43846</v>
      </c>
      <c r="X2621" s="1">
        <v>1245000</v>
      </c>
      <c r="Y2621" s="1">
        <v>1245000</v>
      </c>
      <c r="Z2621" s="5">
        <v>43846</v>
      </c>
      <c r="AA2621" s="1">
        <v>1245319.75</v>
      </c>
      <c r="AB2621" s="1" t="s">
        <v>1514</v>
      </c>
      <c r="AC2621" s="5">
        <v>44328</v>
      </c>
      <c r="AF2621" s="1">
        <v>10014</v>
      </c>
      <c r="AI2621" s="1" t="s">
        <v>48</v>
      </c>
      <c r="AJ2621" s="1">
        <v>2019</v>
      </c>
      <c r="AK2621" s="1" t="s">
        <v>46</v>
      </c>
      <c r="AL2621" s="1">
        <v>161</v>
      </c>
    </row>
    <row r="2622" spans="1:38" x14ac:dyDescent="0.2">
      <c r="A2622" s="2" t="str">
        <f>HYPERLINK("https://www.compass.com/listing/88-lexington-avenue-unit-1b-brooklyn-ny-11238/536955784658509193/","88 Lexington Ave, Unit 1B")</f>
        <v>88 Lexington Ave, Unit 1B</v>
      </c>
      <c r="B2622" s="2" t="str">
        <f>HYPERLINK("https://www.compass.com/building/88-lexington-ave-brooklyn-ny-11238/293534270968904021/","88 Lexington Ave")</f>
        <v>88 Lexington Ave</v>
      </c>
      <c r="C2622" s="1" t="s">
        <v>1549</v>
      </c>
      <c r="D2622" s="1" t="s">
        <v>1550</v>
      </c>
      <c r="E2622" s="3">
        <v>1196444</v>
      </c>
      <c r="F2622" s="1">
        <v>882.33314896755098</v>
      </c>
      <c r="G2622" s="1">
        <v>5</v>
      </c>
      <c r="H2622" s="1">
        <v>1</v>
      </c>
      <c r="I2622" s="1">
        <v>2</v>
      </c>
      <c r="J2622" s="1">
        <v>1.5</v>
      </c>
      <c r="K2622" s="1">
        <v>1</v>
      </c>
      <c r="L2622" s="1">
        <v>1</v>
      </c>
      <c r="M2622" s="4">
        <v>1356</v>
      </c>
      <c r="N2622" s="1">
        <v>750</v>
      </c>
      <c r="O2622" s="1">
        <v>750</v>
      </c>
      <c r="Q2622" s="1" t="s">
        <v>42</v>
      </c>
      <c r="S2622" s="1" t="s">
        <v>42</v>
      </c>
      <c r="T2622" s="1" t="s">
        <v>273</v>
      </c>
      <c r="U2622" s="1">
        <v>3</v>
      </c>
      <c r="V2622" s="5">
        <v>44182</v>
      </c>
      <c r="W2622" s="5">
        <v>43992</v>
      </c>
      <c r="X2622" s="1">
        <v>1175000</v>
      </c>
      <c r="Y2622" s="1">
        <v>1175000</v>
      </c>
      <c r="Z2622" s="5">
        <v>44007</v>
      </c>
      <c r="AA2622" s="1">
        <v>1196443.75</v>
      </c>
      <c r="AB2622" s="1" t="s">
        <v>1551</v>
      </c>
      <c r="AC2622" s="5">
        <v>44113</v>
      </c>
      <c r="AF2622" s="1">
        <v>11238</v>
      </c>
      <c r="AI2622" s="1" t="s">
        <v>177</v>
      </c>
      <c r="AJ2622" s="1">
        <v>1930</v>
      </c>
      <c r="AL2622" s="1">
        <v>4</v>
      </c>
    </row>
    <row r="2623" spans="1:38" x14ac:dyDescent="0.2">
      <c r="A2623" s="2" t="str">
        <f>HYPERLINK("https://www.compass.com/listing/77-charlton-street-unit-s2d-manhattan-ny-10014/430453005570464449/","77 Charlton St, Unit S2D")</f>
        <v>77 Charlton St, Unit S2D</v>
      </c>
      <c r="B2623" s="2" t="str">
        <f t="shared" ref="B2623:B2624" si="429">HYPERLINK("https://www.compass.com/building/77-charlton-st-manhattan-ny-10014/282058735872933093/","77 Charlton St")</f>
        <v>77 Charlton St</v>
      </c>
      <c r="C2623" s="1" t="s">
        <v>53</v>
      </c>
      <c r="D2623" s="1" t="s">
        <v>41</v>
      </c>
      <c r="E2623" s="3">
        <v>2248805</v>
      </c>
      <c r="F2623" s="1">
        <v>1923.69985457656</v>
      </c>
      <c r="G2623" s="1">
        <v>4.5</v>
      </c>
      <c r="H2623" s="1">
        <v>2</v>
      </c>
      <c r="I2623" s="1">
        <v>3</v>
      </c>
      <c r="J2623" s="1">
        <v>2.5</v>
      </c>
      <c r="K2623" s="1">
        <v>2</v>
      </c>
      <c r="L2623" s="1">
        <v>1</v>
      </c>
      <c r="M2623" s="4">
        <v>1169</v>
      </c>
      <c r="N2623" s="1">
        <v>1442</v>
      </c>
      <c r="O2623" s="1">
        <v>3503</v>
      </c>
      <c r="P2623" s="1">
        <v>2061</v>
      </c>
      <c r="Q2623" s="1" t="s">
        <v>42</v>
      </c>
      <c r="S2623" s="1" t="s">
        <v>42</v>
      </c>
      <c r="T2623" s="1" t="s">
        <v>273</v>
      </c>
      <c r="V2623" s="5">
        <v>44404</v>
      </c>
      <c r="W2623" s="5">
        <v>43846</v>
      </c>
      <c r="X2623" s="1">
        <v>2225000</v>
      </c>
      <c r="Y2623" s="1">
        <v>2225000</v>
      </c>
      <c r="Z2623" s="5">
        <v>43846</v>
      </c>
      <c r="AA2623" s="1">
        <v>2248805.13</v>
      </c>
      <c r="AB2623" s="1" t="s">
        <v>1552</v>
      </c>
      <c r="AC2623" s="5">
        <v>44362</v>
      </c>
      <c r="AF2623" s="1">
        <v>10014</v>
      </c>
      <c r="AI2623" s="1" t="s">
        <v>211</v>
      </c>
      <c r="AJ2623" s="1">
        <v>2019</v>
      </c>
      <c r="AK2623" s="1" t="s">
        <v>46</v>
      </c>
      <c r="AL2623" s="1">
        <v>161</v>
      </c>
    </row>
    <row r="2624" spans="1:38" x14ac:dyDescent="0.2">
      <c r="A2624" s="2" t="str">
        <f>HYPERLINK("https://www.compass.com/listing/77-charlton-street-unit-s10d-manhattan-ny-10014/430459297462567337/","77 Charlton St, Unit S10D")</f>
        <v>77 Charlton St, Unit S10D</v>
      </c>
      <c r="B2624" s="2" t="str">
        <f t="shared" si="429"/>
        <v>77 Charlton St</v>
      </c>
      <c r="C2624" s="1" t="s">
        <v>53</v>
      </c>
      <c r="D2624" s="1" t="s">
        <v>41</v>
      </c>
      <c r="E2624" s="3">
        <v>2432180</v>
      </c>
      <c r="F2624" s="1">
        <v>2098.5157290767902</v>
      </c>
      <c r="G2624" s="1">
        <v>4.5</v>
      </c>
      <c r="H2624" s="1">
        <v>2</v>
      </c>
      <c r="I2624" s="1">
        <v>3</v>
      </c>
      <c r="J2624" s="1">
        <v>2.5</v>
      </c>
      <c r="K2624" s="1">
        <v>2</v>
      </c>
      <c r="L2624" s="1">
        <v>1</v>
      </c>
      <c r="M2624" s="4">
        <v>1159</v>
      </c>
      <c r="N2624" s="1">
        <v>1386</v>
      </c>
      <c r="O2624" s="1">
        <v>3367</v>
      </c>
      <c r="P2624" s="1">
        <v>1981</v>
      </c>
      <c r="Q2624" s="1" t="s">
        <v>42</v>
      </c>
      <c r="S2624" s="1" t="s">
        <v>42</v>
      </c>
      <c r="T2624" s="1" t="s">
        <v>273</v>
      </c>
      <c r="V2624" s="5">
        <v>44404</v>
      </c>
      <c r="W2624" s="5">
        <v>43846</v>
      </c>
      <c r="X2624" s="1">
        <v>2440000</v>
      </c>
      <c r="Y2624" s="1">
        <v>2440000</v>
      </c>
      <c r="Z2624" s="5">
        <v>43846</v>
      </c>
      <c r="AA2624" s="1">
        <v>2432179.73</v>
      </c>
      <c r="AB2624" s="1" t="s">
        <v>1553</v>
      </c>
      <c r="AC2624" s="5">
        <v>44370</v>
      </c>
      <c r="AF2624" s="1">
        <v>10014</v>
      </c>
      <c r="AI2624" s="1" t="s">
        <v>48</v>
      </c>
      <c r="AJ2624" s="1">
        <v>2019</v>
      </c>
      <c r="AK2624" s="1" t="s">
        <v>46</v>
      </c>
      <c r="AL2624" s="1">
        <v>161</v>
      </c>
    </row>
    <row r="2625" spans="1:38" x14ac:dyDescent="0.2">
      <c r="A2625" s="2" t="str">
        <f>HYPERLINK("https://www.compass.com/listing/261-west-25th-street-unit-4e-manhattan-ny-10001/29372521086312465/","261 W 25th St, Unit 4E")</f>
        <v>261 W 25th St, Unit 4E</v>
      </c>
      <c r="B2625" s="2" t="str">
        <f t="shared" ref="B2625:B2632" si="430">HYPERLINK("https://www.compass.com/building/the-seymour-manhattan-ny/281883155990840165/","The Seymour")</f>
        <v>The Seymour</v>
      </c>
      <c r="C2625" s="1" t="s">
        <v>62</v>
      </c>
      <c r="D2625" s="1" t="s">
        <v>41</v>
      </c>
      <c r="E2625" s="3">
        <v>1400094</v>
      </c>
      <c r="F2625" s="1">
        <v>1788.1149425287299</v>
      </c>
      <c r="G2625" s="1">
        <v>3</v>
      </c>
      <c r="H2625" s="1">
        <v>1</v>
      </c>
      <c r="I2625" s="1">
        <v>1</v>
      </c>
      <c r="J2625" s="1">
        <v>1</v>
      </c>
      <c r="M2625" s="1">
        <v>783</v>
      </c>
      <c r="N2625" s="1">
        <v>920</v>
      </c>
      <c r="O2625" s="1">
        <v>1928</v>
      </c>
      <c r="P2625" s="1">
        <v>1008</v>
      </c>
      <c r="Q2625" s="1" t="s">
        <v>42</v>
      </c>
      <c r="S2625" s="1" t="s">
        <v>42</v>
      </c>
      <c r="T2625" s="1" t="s">
        <v>273</v>
      </c>
      <c r="U2625" s="1">
        <v>36</v>
      </c>
      <c r="V2625" s="5">
        <v>43650</v>
      </c>
      <c r="W2625" s="5">
        <v>41828</v>
      </c>
      <c r="X2625" s="1">
        <v>1375000</v>
      </c>
      <c r="Y2625" s="1">
        <v>1375000</v>
      </c>
      <c r="Z2625" s="5">
        <v>41864</v>
      </c>
      <c r="AA2625" s="1">
        <v>1400094</v>
      </c>
      <c r="AB2625" s="1" t="s">
        <v>1554</v>
      </c>
      <c r="AC2625" s="5">
        <v>42405</v>
      </c>
      <c r="AF2625" s="1">
        <v>10001</v>
      </c>
      <c r="AI2625" s="1" t="s">
        <v>1555</v>
      </c>
      <c r="AJ2625" s="1">
        <v>2015</v>
      </c>
      <c r="AK2625" s="1" t="s">
        <v>49</v>
      </c>
      <c r="AL2625" s="1">
        <v>49</v>
      </c>
    </row>
    <row r="2626" spans="1:38" x14ac:dyDescent="0.2">
      <c r="A2626" s="2" t="str">
        <f>HYPERLINK("https://www.compass.com/listing/261-west-25th-street-unit-6c-manhattan-ny-10001/29372524911517825/","261 W 25th St, Unit 6C")</f>
        <v>261 W 25th St, Unit 6C</v>
      </c>
      <c r="B2626" s="2" t="str">
        <f t="shared" si="430"/>
        <v>The Seymour</v>
      </c>
      <c r="C2626" s="1" t="s">
        <v>62</v>
      </c>
      <c r="D2626" s="1" t="s">
        <v>41</v>
      </c>
      <c r="E2626" s="3">
        <v>2562500</v>
      </c>
      <c r="F2626" s="1">
        <v>2228.2608695652102</v>
      </c>
      <c r="G2626" s="1">
        <v>4</v>
      </c>
      <c r="H2626" s="1">
        <v>2</v>
      </c>
      <c r="I2626" s="1">
        <v>2</v>
      </c>
      <c r="J2626" s="1">
        <v>2</v>
      </c>
      <c r="M2626" s="4">
        <v>1150</v>
      </c>
      <c r="N2626" s="1">
        <v>1282</v>
      </c>
      <c r="O2626" s="1">
        <v>3722</v>
      </c>
      <c r="P2626" s="1">
        <v>2440</v>
      </c>
      <c r="Q2626" s="1" t="s">
        <v>42</v>
      </c>
      <c r="S2626" s="1" t="s">
        <v>42</v>
      </c>
      <c r="T2626" s="1" t="s">
        <v>273</v>
      </c>
      <c r="U2626" s="1">
        <v>40</v>
      </c>
      <c r="V2626" s="5">
        <v>43662</v>
      </c>
      <c r="W2626" s="5">
        <v>42860</v>
      </c>
      <c r="X2626" s="1">
        <v>2695000</v>
      </c>
      <c r="Y2626" s="1">
        <v>2695000</v>
      </c>
      <c r="Z2626" s="5">
        <v>42900</v>
      </c>
      <c r="AA2626" s="1">
        <v>2562500</v>
      </c>
      <c r="AB2626" s="1" t="s">
        <v>1556</v>
      </c>
      <c r="AC2626" s="5">
        <v>42934</v>
      </c>
      <c r="AF2626" s="1">
        <v>10001</v>
      </c>
      <c r="AI2626" s="1" t="s">
        <v>185</v>
      </c>
      <c r="AJ2626" s="1">
        <v>2015</v>
      </c>
      <c r="AK2626" s="1" t="s">
        <v>49</v>
      </c>
      <c r="AL2626" s="1">
        <v>49</v>
      </c>
    </row>
    <row r="2627" spans="1:38" x14ac:dyDescent="0.2">
      <c r="A2627" s="2" t="str">
        <f>HYPERLINK("https://www.compass.com/listing/261-west-25th-street-unit-6e-manhattan-ny-10001/29372525683182177/","261 W 25th St, Unit 6E")</f>
        <v>261 W 25th St, Unit 6E</v>
      </c>
      <c r="B2627" s="2" t="str">
        <f t="shared" si="430"/>
        <v>The Seymour</v>
      </c>
      <c r="C2627" s="1" t="s">
        <v>62</v>
      </c>
      <c r="D2627" s="1" t="s">
        <v>41</v>
      </c>
      <c r="E2627" s="3">
        <v>1430641</v>
      </c>
      <c r="F2627" s="1">
        <v>1827.12771392081</v>
      </c>
      <c r="G2627" s="1">
        <v>3</v>
      </c>
      <c r="H2627" s="1">
        <v>1</v>
      </c>
      <c r="I2627" s="1">
        <v>1</v>
      </c>
      <c r="J2627" s="1">
        <v>1</v>
      </c>
      <c r="M2627" s="1">
        <v>783</v>
      </c>
      <c r="N2627" s="1">
        <v>920</v>
      </c>
      <c r="O2627" s="1">
        <v>1928</v>
      </c>
      <c r="P2627" s="1">
        <v>1008</v>
      </c>
      <c r="Q2627" s="1" t="s">
        <v>42</v>
      </c>
      <c r="S2627" s="1" t="s">
        <v>42</v>
      </c>
      <c r="T2627" s="1" t="s">
        <v>273</v>
      </c>
      <c r="U2627" s="1">
        <v>64</v>
      </c>
      <c r="V2627" s="5">
        <v>43654</v>
      </c>
      <c r="W2627" s="5">
        <v>41866</v>
      </c>
      <c r="X2627" s="1">
        <v>1405000</v>
      </c>
      <c r="Y2627" s="1">
        <v>1405000</v>
      </c>
      <c r="Z2627" s="5">
        <v>41930</v>
      </c>
      <c r="AA2627" s="1">
        <v>1430641</v>
      </c>
      <c r="AB2627" s="1" t="s">
        <v>1557</v>
      </c>
      <c r="AC2627" s="5">
        <v>42432</v>
      </c>
      <c r="AF2627" s="1">
        <v>10001</v>
      </c>
      <c r="AI2627" s="1" t="s">
        <v>1555</v>
      </c>
      <c r="AJ2627" s="1">
        <v>2015</v>
      </c>
      <c r="AK2627" s="1" t="s">
        <v>49</v>
      </c>
      <c r="AL2627" s="1">
        <v>49</v>
      </c>
    </row>
    <row r="2628" spans="1:38" x14ac:dyDescent="0.2">
      <c r="A2628" s="2" t="str">
        <f>HYPERLINK("https://www.compass.com/listing/261-west-25th-street-unit-7a-manhattan-ny-10001/29372527042224273/","261 W 25th St, Unit 7A")</f>
        <v>261 W 25th St, Unit 7A</v>
      </c>
      <c r="B2628" s="2" t="str">
        <f t="shared" si="430"/>
        <v>The Seymour</v>
      </c>
      <c r="C2628" s="1" t="s">
        <v>62</v>
      </c>
      <c r="D2628" s="1" t="s">
        <v>41</v>
      </c>
      <c r="E2628" s="3">
        <v>1344090</v>
      </c>
      <c r="F2628" s="1">
        <v>1866.7916666666599</v>
      </c>
      <c r="G2628" s="1">
        <v>3</v>
      </c>
      <c r="H2628" s="1">
        <v>1</v>
      </c>
      <c r="I2628" s="1">
        <v>1</v>
      </c>
      <c r="J2628" s="1">
        <v>1</v>
      </c>
      <c r="M2628" s="1">
        <v>720</v>
      </c>
      <c r="N2628" s="1">
        <v>835</v>
      </c>
      <c r="O2628" s="1">
        <v>1750</v>
      </c>
      <c r="P2628" s="1">
        <v>915</v>
      </c>
      <c r="Q2628" s="1" t="s">
        <v>42</v>
      </c>
      <c r="S2628" s="1" t="s">
        <v>42</v>
      </c>
      <c r="T2628" s="1" t="s">
        <v>273</v>
      </c>
      <c r="U2628" s="1">
        <v>49</v>
      </c>
      <c r="V2628" s="5">
        <v>43654</v>
      </c>
      <c r="W2628" s="5">
        <v>41844</v>
      </c>
      <c r="X2628" s="1">
        <v>1300000</v>
      </c>
      <c r="Y2628" s="1">
        <v>1320000</v>
      </c>
      <c r="Z2628" s="5">
        <v>41893</v>
      </c>
      <c r="AA2628" s="1">
        <v>1344090</v>
      </c>
      <c r="AB2628" s="1" t="s">
        <v>1558</v>
      </c>
      <c r="AC2628" s="5">
        <v>42422</v>
      </c>
      <c r="AF2628" s="1">
        <v>10001</v>
      </c>
      <c r="AI2628" s="1" t="s">
        <v>185</v>
      </c>
      <c r="AJ2628" s="1">
        <v>2015</v>
      </c>
      <c r="AK2628" s="1" t="s">
        <v>49</v>
      </c>
      <c r="AL2628" s="1">
        <v>49</v>
      </c>
    </row>
    <row r="2629" spans="1:38" x14ac:dyDescent="0.2">
      <c r="A2629" s="2" t="str">
        <f>HYPERLINK("https://www.compass.com/listing/261-west-25th-street-unit-7e-manhattan-ny-10001/29511918762909585/","261 W 25th St, Unit 7E")</f>
        <v>261 W 25th St, Unit 7E</v>
      </c>
      <c r="B2629" s="2" t="str">
        <f t="shared" si="430"/>
        <v>The Seymour</v>
      </c>
      <c r="C2629" s="1" t="s">
        <v>62</v>
      </c>
      <c r="D2629" s="1" t="s">
        <v>41</v>
      </c>
      <c r="E2629" s="3">
        <v>1620000</v>
      </c>
      <c r="F2629" s="1">
        <v>2068.96551724137</v>
      </c>
      <c r="G2629" s="1">
        <v>3</v>
      </c>
      <c r="H2629" s="1">
        <v>1</v>
      </c>
      <c r="I2629" s="1">
        <v>1</v>
      </c>
      <c r="J2629" s="1">
        <v>1</v>
      </c>
      <c r="M2629" s="1">
        <v>783</v>
      </c>
      <c r="N2629" s="1">
        <v>909</v>
      </c>
      <c r="O2629" s="1">
        <v>2151</v>
      </c>
      <c r="P2629" s="1">
        <v>1242</v>
      </c>
      <c r="Q2629" s="1" t="s">
        <v>42</v>
      </c>
      <c r="S2629" s="1" t="s">
        <v>42</v>
      </c>
      <c r="T2629" s="1" t="s">
        <v>273</v>
      </c>
      <c r="U2629" s="1">
        <v>70</v>
      </c>
      <c r="V2629" s="5">
        <v>43642</v>
      </c>
      <c r="W2629" s="5">
        <v>43167</v>
      </c>
      <c r="X2629" s="1">
        <v>1675000</v>
      </c>
      <c r="Y2629" s="1">
        <v>1675000</v>
      </c>
      <c r="Z2629" s="5">
        <v>43237</v>
      </c>
      <c r="AA2629" s="1">
        <v>1620000</v>
      </c>
      <c r="AB2629" s="1" t="s">
        <v>1559</v>
      </c>
      <c r="AC2629" s="5">
        <v>43339</v>
      </c>
      <c r="AF2629" s="1">
        <v>10001</v>
      </c>
      <c r="AI2629" s="1" t="s">
        <v>1555</v>
      </c>
      <c r="AJ2629" s="1">
        <v>2015</v>
      </c>
      <c r="AK2629" s="1" t="s">
        <v>49</v>
      </c>
      <c r="AL2629" s="1">
        <v>49</v>
      </c>
    </row>
    <row r="2630" spans="1:38" x14ac:dyDescent="0.2">
      <c r="A2630" s="2" t="str">
        <f>HYPERLINK("https://www.compass.com/listing/261-west-25th-street-unit-3c-manhattan-ny-10001/29580285599285553/","261 W 25th St, Unit 3C")</f>
        <v>261 W 25th St, Unit 3C</v>
      </c>
      <c r="B2630" s="2" t="str">
        <f t="shared" si="430"/>
        <v>The Seymour</v>
      </c>
      <c r="C2630" s="1" t="s">
        <v>62</v>
      </c>
      <c r="D2630" s="1" t="s">
        <v>41</v>
      </c>
      <c r="E2630" s="3">
        <v>2045000</v>
      </c>
      <c r="F2630" s="1">
        <v>1822.6381461675501</v>
      </c>
      <c r="G2630" s="1">
        <v>4</v>
      </c>
      <c r="H2630" s="1">
        <v>2</v>
      </c>
      <c r="I2630" s="1">
        <v>2</v>
      </c>
      <c r="J2630" s="1">
        <v>2</v>
      </c>
      <c r="K2630" s="1">
        <v>2</v>
      </c>
      <c r="M2630" s="4">
        <v>1122</v>
      </c>
      <c r="N2630" s="1">
        <v>1309</v>
      </c>
      <c r="O2630" s="1">
        <v>3505</v>
      </c>
      <c r="P2630" s="1">
        <v>2196</v>
      </c>
      <c r="Q2630" s="1" t="s">
        <v>42</v>
      </c>
      <c r="S2630" s="1" t="s">
        <v>42</v>
      </c>
      <c r="T2630" s="1" t="s">
        <v>273</v>
      </c>
      <c r="U2630" s="1">
        <v>150</v>
      </c>
      <c r="V2630" s="5">
        <v>44040</v>
      </c>
      <c r="W2630" s="5">
        <v>43197</v>
      </c>
      <c r="X2630" s="1">
        <v>2468000</v>
      </c>
      <c r="Y2630" s="1">
        <v>2190000</v>
      </c>
      <c r="AA2630" s="1">
        <v>2045000</v>
      </c>
      <c r="AB2630" s="1" t="s">
        <v>1560</v>
      </c>
      <c r="AC2630" s="5">
        <v>43416</v>
      </c>
      <c r="AF2630" s="1">
        <v>10001</v>
      </c>
      <c r="AI2630" s="1" t="s">
        <v>1561</v>
      </c>
      <c r="AJ2630" s="1">
        <v>2015</v>
      </c>
      <c r="AK2630" s="1" t="s">
        <v>46</v>
      </c>
      <c r="AL2630" s="1">
        <v>49</v>
      </c>
    </row>
    <row r="2631" spans="1:38" x14ac:dyDescent="0.2">
      <c r="A2631" s="2" t="str">
        <f>HYPERLINK("https://www.compass.com/listing/261-west-25th-street-unit-8c-manhattan-ny-10001/29676903388438401/","261 W 25th St, Unit 8C")</f>
        <v>261 W 25th St, Unit 8C</v>
      </c>
      <c r="B2631" s="2" t="str">
        <f t="shared" si="430"/>
        <v>The Seymour</v>
      </c>
      <c r="C2631" s="1" t="s">
        <v>62</v>
      </c>
      <c r="D2631" s="1" t="s">
        <v>41</v>
      </c>
      <c r="E2631" s="3">
        <v>2550000</v>
      </c>
      <c r="F2631" s="1">
        <v>2272.7272727272698</v>
      </c>
      <c r="G2631" s="1">
        <v>4</v>
      </c>
      <c r="H2631" s="1">
        <v>2</v>
      </c>
      <c r="I2631" s="1">
        <v>2</v>
      </c>
      <c r="J2631" s="1">
        <v>2</v>
      </c>
      <c r="K2631" s="1">
        <v>2</v>
      </c>
      <c r="M2631" s="4">
        <v>1122</v>
      </c>
      <c r="N2631" s="1">
        <v>1306</v>
      </c>
      <c r="O2631" s="1">
        <v>3525</v>
      </c>
      <c r="P2631" s="1">
        <v>2219</v>
      </c>
      <c r="Q2631" s="1" t="s">
        <v>42</v>
      </c>
      <c r="S2631" s="1" t="s">
        <v>42</v>
      </c>
      <c r="T2631" s="1" t="s">
        <v>273</v>
      </c>
      <c r="U2631" s="1">
        <v>101</v>
      </c>
      <c r="V2631" s="5">
        <v>43678</v>
      </c>
      <c r="W2631" s="5">
        <v>43233</v>
      </c>
      <c r="X2631" s="1">
        <v>2690000</v>
      </c>
      <c r="Y2631" s="1">
        <v>2690000</v>
      </c>
      <c r="Z2631" s="5">
        <v>43334</v>
      </c>
      <c r="AA2631" s="1">
        <v>2550000</v>
      </c>
      <c r="AB2631" s="1" t="s">
        <v>1562</v>
      </c>
      <c r="AC2631" s="5">
        <v>43349</v>
      </c>
      <c r="AF2631" s="1">
        <v>10001</v>
      </c>
      <c r="AI2631" s="1" t="s">
        <v>180</v>
      </c>
      <c r="AJ2631" s="1">
        <v>2015</v>
      </c>
      <c r="AK2631" s="1" t="s">
        <v>46</v>
      </c>
      <c r="AL2631" s="1">
        <v>49</v>
      </c>
    </row>
    <row r="2632" spans="1:38" x14ac:dyDescent="0.2">
      <c r="A2632" s="2" t="str">
        <f>HYPERLINK("https://www.compass.com/listing/261-west-25th-street-unit-3c-manhattan-ny-10001/803390029497590873/","261 W 25th St, Unit 3C")</f>
        <v>261 W 25th St, Unit 3C</v>
      </c>
      <c r="B2632" s="2" t="str">
        <f t="shared" si="430"/>
        <v>The Seymour</v>
      </c>
      <c r="C2632" s="1" t="s">
        <v>62</v>
      </c>
      <c r="D2632" s="1" t="s">
        <v>41</v>
      </c>
      <c r="E2632" s="3">
        <v>2045000</v>
      </c>
      <c r="F2632" s="1">
        <v>1822.6381461675501</v>
      </c>
      <c r="G2632" s="1">
        <v>4</v>
      </c>
      <c r="H2632" s="1">
        <v>2</v>
      </c>
      <c r="I2632" s="1">
        <v>2</v>
      </c>
      <c r="J2632" s="1">
        <v>2</v>
      </c>
      <c r="K2632" s="1">
        <v>2</v>
      </c>
      <c r="M2632" s="4">
        <v>1122</v>
      </c>
      <c r="N2632" s="1">
        <v>1309</v>
      </c>
      <c r="O2632" s="1">
        <v>3505</v>
      </c>
      <c r="P2632" s="1">
        <v>2196</v>
      </c>
      <c r="Q2632" s="1" t="s">
        <v>42</v>
      </c>
      <c r="S2632" s="1" t="s">
        <v>42</v>
      </c>
      <c r="T2632" s="1" t="s">
        <v>273</v>
      </c>
      <c r="U2632" s="1">
        <v>32</v>
      </c>
      <c r="V2632" s="5">
        <v>44040</v>
      </c>
      <c r="W2632" s="5">
        <v>43351</v>
      </c>
      <c r="X2632" s="1">
        <v>2190000</v>
      </c>
      <c r="Y2632" s="1">
        <v>2150000</v>
      </c>
      <c r="Z2632" s="5">
        <v>43383</v>
      </c>
      <c r="AA2632" s="1">
        <v>2045000</v>
      </c>
      <c r="AB2632" s="1" t="s">
        <v>1560</v>
      </c>
      <c r="AC2632" s="5">
        <v>43416</v>
      </c>
      <c r="AF2632" s="1">
        <v>10001</v>
      </c>
      <c r="AI2632" s="1" t="s">
        <v>1561</v>
      </c>
      <c r="AJ2632" s="1">
        <v>2015</v>
      </c>
      <c r="AK2632" s="1" t="s">
        <v>46</v>
      </c>
      <c r="AL2632" s="1">
        <v>49</v>
      </c>
    </row>
    <row r="2633" spans="1:38" x14ac:dyDescent="0.2">
      <c r="A2633" s="2" t="str">
        <f>HYPERLINK("https://www.compass.com/listing/70-charlton-street-unit-phd-manhattan-ny-10014/29514146945027041/","70 Charlton St, Unit PHD")</f>
        <v>70 Charlton St, Unit PHD</v>
      </c>
      <c r="B2633" s="2" t="str">
        <f>HYPERLINK("https://www.compass.com/building/70-charlton-street-manhattan-ny/292835639240484293/","70 Charlton Street")</f>
        <v>70 Charlton Street</v>
      </c>
      <c r="C2633" s="1" t="s">
        <v>53</v>
      </c>
      <c r="D2633" s="1" t="s">
        <v>41</v>
      </c>
      <c r="E2633" s="3">
        <v>8495000</v>
      </c>
      <c r="F2633" s="1">
        <v>2660.5073598496701</v>
      </c>
      <c r="G2633" s="1">
        <v>6</v>
      </c>
      <c r="H2633" s="1">
        <v>4</v>
      </c>
      <c r="I2633" s="1">
        <v>5</v>
      </c>
      <c r="J2633" s="1">
        <v>4.5</v>
      </c>
      <c r="K2633" s="1">
        <v>4</v>
      </c>
      <c r="L2633" s="1">
        <v>1</v>
      </c>
      <c r="M2633" s="4">
        <v>3193</v>
      </c>
      <c r="N2633" s="1">
        <v>9345</v>
      </c>
      <c r="O2633" s="1">
        <v>9345</v>
      </c>
      <c r="Q2633" s="1" t="s">
        <v>181</v>
      </c>
      <c r="S2633" s="1" t="s">
        <v>181</v>
      </c>
      <c r="T2633" s="1" t="s">
        <v>273</v>
      </c>
      <c r="U2633" s="1">
        <v>100</v>
      </c>
      <c r="V2633" s="5">
        <v>43642</v>
      </c>
      <c r="W2633" s="5">
        <v>43229</v>
      </c>
      <c r="X2633" s="1">
        <v>8495000</v>
      </c>
      <c r="Y2633" s="1">
        <v>8495000</v>
      </c>
      <c r="Z2633" s="5">
        <v>43330</v>
      </c>
      <c r="AA2633" s="1">
        <v>8495000</v>
      </c>
      <c r="AB2633" s="1" t="s">
        <v>275</v>
      </c>
      <c r="AC2633" s="5">
        <v>43384</v>
      </c>
      <c r="AF2633" s="1">
        <v>10014</v>
      </c>
      <c r="AI2633" s="1" t="s">
        <v>1563</v>
      </c>
      <c r="AJ2633" s="1">
        <v>2016</v>
      </c>
      <c r="AK2633" s="1" t="s">
        <v>49</v>
      </c>
      <c r="AL2633" s="1">
        <v>92</v>
      </c>
    </row>
    <row r="2634" spans="1:38" x14ac:dyDescent="0.2">
      <c r="A2634" s="2" t="str">
        <f>HYPERLINK("https://www.compass.com/listing/77-charlton-street-unit-s9f-manhattan-ny-10014/430453016542554897/","77 Charlton St, Unit S9F")</f>
        <v>77 Charlton St, Unit S9F</v>
      </c>
      <c r="B2634" s="2" t="str">
        <f t="shared" ref="B2634:B2635" si="431">HYPERLINK("https://www.compass.com/building/77-charlton-st-manhattan-ny-10014/282058735872933093/","77 Charlton St")</f>
        <v>77 Charlton St</v>
      </c>
      <c r="C2634" s="1" t="s">
        <v>53</v>
      </c>
      <c r="D2634" s="1" t="s">
        <v>41</v>
      </c>
      <c r="E2634" s="3">
        <v>1367510</v>
      </c>
      <c r="F2634" s="1">
        <v>2177.5632961783399</v>
      </c>
      <c r="G2634" s="1">
        <v>3</v>
      </c>
      <c r="H2634" s="1">
        <v>1</v>
      </c>
      <c r="I2634" s="1">
        <v>1</v>
      </c>
      <c r="J2634" s="1">
        <v>1</v>
      </c>
      <c r="K2634" s="1">
        <v>1</v>
      </c>
      <c r="M2634" s="1">
        <v>628</v>
      </c>
      <c r="N2634" s="1">
        <v>755</v>
      </c>
      <c r="O2634" s="1">
        <v>1832</v>
      </c>
      <c r="P2634" s="1">
        <v>1077</v>
      </c>
      <c r="Q2634" s="1" t="s">
        <v>42</v>
      </c>
      <c r="S2634" s="1" t="s">
        <v>42</v>
      </c>
      <c r="T2634" s="1" t="s">
        <v>273</v>
      </c>
      <c r="V2634" s="5">
        <v>44404</v>
      </c>
      <c r="W2634" s="5">
        <v>43846</v>
      </c>
      <c r="X2634" s="1">
        <v>1340000</v>
      </c>
      <c r="Y2634" s="1">
        <v>1340000</v>
      </c>
      <c r="Z2634" s="5">
        <v>43846</v>
      </c>
      <c r="AA2634" s="1">
        <v>1367509.75</v>
      </c>
      <c r="AB2634" s="1" t="s">
        <v>1564</v>
      </c>
      <c r="AC2634" s="5">
        <v>44315</v>
      </c>
      <c r="AF2634" s="1">
        <v>10014</v>
      </c>
      <c r="AI2634" s="1" t="s">
        <v>238</v>
      </c>
      <c r="AJ2634" s="1">
        <v>2019</v>
      </c>
      <c r="AK2634" s="1" t="s">
        <v>46</v>
      </c>
      <c r="AL2634" s="1">
        <v>161</v>
      </c>
    </row>
    <row r="2635" spans="1:38" x14ac:dyDescent="0.2">
      <c r="A2635" s="2" t="str">
        <f>HYPERLINK("https://www.compass.com/listing/77-charlton-street-unit-s11f-manhattan-ny-10014/430453017247492865/","77 Charlton St, Unit S11F")</f>
        <v>77 Charlton St, Unit S11F</v>
      </c>
      <c r="B2635" s="2" t="str">
        <f t="shared" si="431"/>
        <v>77 Charlton St</v>
      </c>
      <c r="C2635" s="1" t="s">
        <v>53</v>
      </c>
      <c r="D2635" s="1" t="s">
        <v>41</v>
      </c>
      <c r="E2635" s="3">
        <v>1408240</v>
      </c>
      <c r="F2635" s="1">
        <v>2242.41998407643</v>
      </c>
      <c r="G2635" s="1">
        <v>3</v>
      </c>
      <c r="H2635" s="1">
        <v>1</v>
      </c>
      <c r="I2635" s="1">
        <v>1</v>
      </c>
      <c r="J2635" s="1">
        <v>1</v>
      </c>
      <c r="K2635" s="1">
        <v>1</v>
      </c>
      <c r="M2635" s="1">
        <v>628</v>
      </c>
      <c r="N2635" s="1">
        <v>768</v>
      </c>
      <c r="O2635" s="1">
        <v>1867</v>
      </c>
      <c r="P2635" s="1">
        <v>1099</v>
      </c>
      <c r="Q2635" s="1" t="s">
        <v>42</v>
      </c>
      <c r="S2635" s="1" t="s">
        <v>42</v>
      </c>
      <c r="T2635" s="1" t="s">
        <v>273</v>
      </c>
      <c r="V2635" s="5">
        <v>44404</v>
      </c>
      <c r="W2635" s="5">
        <v>43846</v>
      </c>
      <c r="X2635" s="1">
        <v>1380000</v>
      </c>
      <c r="Y2635" s="1">
        <v>1380000</v>
      </c>
      <c r="Z2635" s="5">
        <v>43846</v>
      </c>
      <c r="AA2635" s="1">
        <v>1408239.75</v>
      </c>
      <c r="AB2635" s="1" t="s">
        <v>1565</v>
      </c>
      <c r="AC2635" s="5">
        <v>44370</v>
      </c>
      <c r="AF2635" s="1">
        <v>10014</v>
      </c>
      <c r="AI2635" s="1" t="s">
        <v>179</v>
      </c>
      <c r="AJ2635" s="1">
        <v>2019</v>
      </c>
      <c r="AK2635" s="1" t="s">
        <v>46</v>
      </c>
      <c r="AL2635" s="1">
        <v>161</v>
      </c>
    </row>
    <row r="2636" spans="1:38" x14ac:dyDescent="0.2">
      <c r="A2636" s="2" t="str">
        <f>HYPERLINK("https://www.compass.com/listing/261-west-25th-street-unit-grdnc-manhattan-ny-10001/206494800059416577/","261 W 25th St, Unit GRDNC")</f>
        <v>261 W 25th St, Unit GRDNC</v>
      </c>
      <c r="B2636" s="2" t="str">
        <f>HYPERLINK("https://www.compass.com/building/the-seymour-manhattan-ny/281883155990840165/","The Seymour")</f>
        <v>The Seymour</v>
      </c>
      <c r="C2636" s="1" t="s">
        <v>62</v>
      </c>
      <c r="D2636" s="1" t="s">
        <v>41</v>
      </c>
      <c r="E2636" s="3">
        <v>1325000</v>
      </c>
      <c r="F2636" s="1">
        <v>1692.20945083014</v>
      </c>
      <c r="G2636" s="1">
        <v>5</v>
      </c>
      <c r="H2636" s="1">
        <v>2</v>
      </c>
      <c r="I2636" s="1">
        <v>1</v>
      </c>
      <c r="J2636" s="1">
        <v>1</v>
      </c>
      <c r="K2636" s="1">
        <v>1</v>
      </c>
      <c r="M2636" s="1">
        <v>783</v>
      </c>
      <c r="N2636" s="1">
        <v>885</v>
      </c>
      <c r="O2636" s="1">
        <v>2284</v>
      </c>
      <c r="P2636" s="1">
        <v>1399</v>
      </c>
      <c r="Q2636" s="1" t="s">
        <v>42</v>
      </c>
      <c r="S2636" s="1" t="s">
        <v>42</v>
      </c>
      <c r="T2636" s="1" t="s">
        <v>273</v>
      </c>
      <c r="U2636" s="1">
        <v>271</v>
      </c>
      <c r="V2636" s="5">
        <v>43647</v>
      </c>
      <c r="W2636" s="5">
        <v>42979</v>
      </c>
      <c r="X2636" s="1">
        <v>1495000</v>
      </c>
      <c r="Y2636" s="1">
        <v>1395000</v>
      </c>
      <c r="Z2636" s="5">
        <v>43251</v>
      </c>
      <c r="AA2636" s="1">
        <v>1325000</v>
      </c>
      <c r="AB2636" s="1" t="s">
        <v>1566</v>
      </c>
      <c r="AC2636" s="5">
        <v>43314</v>
      </c>
      <c r="AF2636" s="1">
        <v>10001</v>
      </c>
      <c r="AI2636" s="1" t="s">
        <v>185</v>
      </c>
      <c r="AJ2636" s="1">
        <v>2015</v>
      </c>
      <c r="AK2636" s="1" t="s">
        <v>46</v>
      </c>
      <c r="AL2636" s="1">
        <v>49</v>
      </c>
    </row>
    <row r="2637" spans="1:38" x14ac:dyDescent="0.2">
      <c r="A2637" s="2" t="str">
        <f>HYPERLINK("https://www.compass.com/listing/77-charlton-street-unit-s6d-manhattan-ny-10014/430453010075178177/","77 Charlton St, Unit S6D")</f>
        <v>77 Charlton St, Unit S6D</v>
      </c>
      <c r="B2637" s="2" t="str">
        <f t="shared" ref="B2637:B2638" si="432">HYPERLINK("https://www.compass.com/building/77-charlton-st-manhattan-ny-10014/282058735872933093/","77 Charlton St")</f>
        <v>77 Charlton St</v>
      </c>
      <c r="C2637" s="1" t="s">
        <v>53</v>
      </c>
      <c r="D2637" s="1" t="s">
        <v>41</v>
      </c>
      <c r="E2637" s="3">
        <v>2289026</v>
      </c>
      <c r="F2637" s="1">
        <v>1975.00086281276</v>
      </c>
      <c r="G2637" s="1">
        <v>4</v>
      </c>
      <c r="H2637" s="1">
        <v>2</v>
      </c>
      <c r="I2637" s="1">
        <v>3</v>
      </c>
      <c r="J2637" s="1">
        <v>2.5</v>
      </c>
      <c r="K2637" s="1">
        <v>2</v>
      </c>
      <c r="L2637" s="1">
        <v>1</v>
      </c>
      <c r="M2637" s="4">
        <v>1159</v>
      </c>
      <c r="N2637" s="1">
        <v>1329</v>
      </c>
      <c r="O2637" s="1">
        <v>3219</v>
      </c>
      <c r="P2637" s="1">
        <v>1890</v>
      </c>
      <c r="Q2637" s="1" t="s">
        <v>42</v>
      </c>
      <c r="S2637" s="1" t="s">
        <v>42</v>
      </c>
      <c r="T2637" s="1" t="s">
        <v>273</v>
      </c>
      <c r="V2637" s="5">
        <v>44404</v>
      </c>
      <c r="W2637" s="5">
        <v>43846</v>
      </c>
      <c r="X2637" s="1">
        <v>2320000</v>
      </c>
      <c r="Y2637" s="1">
        <v>2320000</v>
      </c>
      <c r="Z2637" s="5">
        <v>43846</v>
      </c>
      <c r="AA2637" s="1">
        <v>2289026</v>
      </c>
      <c r="AB2637" s="1" t="s">
        <v>1567</v>
      </c>
      <c r="AC2637" s="5">
        <v>44372</v>
      </c>
      <c r="AF2637" s="1">
        <v>10014</v>
      </c>
      <c r="AI2637" s="1" t="s">
        <v>179</v>
      </c>
      <c r="AJ2637" s="1">
        <v>2019</v>
      </c>
      <c r="AK2637" s="1" t="s">
        <v>46</v>
      </c>
      <c r="AL2637" s="1">
        <v>161</v>
      </c>
    </row>
    <row r="2638" spans="1:38" x14ac:dyDescent="0.2">
      <c r="A2638" s="2" t="str">
        <f>HYPERLINK("https://www.compass.com/listing/77-charlton-street-unit-n13b-manhattan-ny-10014/699317971484355113/","77 Charlton St, Unit N13B")</f>
        <v>77 Charlton St, Unit N13B</v>
      </c>
      <c r="B2638" s="2" t="str">
        <f t="shared" si="432"/>
        <v>77 Charlton St</v>
      </c>
      <c r="C2638" s="1" t="s">
        <v>53</v>
      </c>
      <c r="D2638" s="1" t="s">
        <v>41</v>
      </c>
      <c r="E2638" s="3">
        <v>2825644</v>
      </c>
      <c r="F2638" s="1">
        <v>2287.9706477732698</v>
      </c>
      <c r="G2638" s="1">
        <v>4.5</v>
      </c>
      <c r="H2638" s="1">
        <v>2</v>
      </c>
      <c r="I2638" s="1">
        <v>3</v>
      </c>
      <c r="J2638" s="1">
        <v>2.5</v>
      </c>
      <c r="K2638" s="1">
        <v>2</v>
      </c>
      <c r="L2638" s="1">
        <v>1</v>
      </c>
      <c r="M2638" s="4">
        <v>1235</v>
      </c>
      <c r="N2638" s="1">
        <v>1512</v>
      </c>
      <c r="O2638" s="1">
        <v>3673</v>
      </c>
      <c r="P2638" s="1">
        <v>2161</v>
      </c>
      <c r="Q2638" s="1" t="s">
        <v>42</v>
      </c>
      <c r="S2638" s="1" t="s">
        <v>42</v>
      </c>
      <c r="T2638" s="1" t="s">
        <v>273</v>
      </c>
      <c r="V2638" s="5">
        <v>44405</v>
      </c>
      <c r="W2638" s="5">
        <v>44217</v>
      </c>
      <c r="X2638" s="1">
        <v>2650000</v>
      </c>
      <c r="Y2638" s="1">
        <v>2650000</v>
      </c>
      <c r="Z2638" s="5">
        <v>44217</v>
      </c>
      <c r="AA2638" s="1">
        <v>2825643.75</v>
      </c>
      <c r="AB2638" s="1" t="s">
        <v>1568</v>
      </c>
      <c r="AC2638" s="5">
        <v>44399</v>
      </c>
      <c r="AF2638" s="1">
        <v>10014</v>
      </c>
      <c r="AI2638" s="1" t="s">
        <v>48</v>
      </c>
      <c r="AJ2638" s="1">
        <v>2019</v>
      </c>
      <c r="AK2638" s="1" t="s">
        <v>46</v>
      </c>
      <c r="AL2638" s="1">
        <v>161</v>
      </c>
    </row>
    <row r="2639" spans="1:38" x14ac:dyDescent="0.2">
      <c r="A2639" s="2" t="str">
        <f>HYPERLINK("https://www.compass.com/listing/88-lexington-avenue-unit-pha-brooklyn-ny-11238/455512204591655577/","88 Lexington Ave, Unit PHA")</f>
        <v>88 Lexington Ave, Unit PHA</v>
      </c>
      <c r="B2639" s="2" t="str">
        <f t="shared" ref="B2639:B2640" si="433">HYPERLINK("https://www.compass.com/building/88-lexington-ave-brooklyn-ny-11238/293534270968904021/","88 Lexington Ave")</f>
        <v>88 Lexington Ave</v>
      </c>
      <c r="C2639" s="1" t="s">
        <v>1549</v>
      </c>
      <c r="D2639" s="1" t="s">
        <v>1550</v>
      </c>
      <c r="E2639" s="3">
        <v>975000</v>
      </c>
      <c r="F2639" s="1">
        <v>1183.25242718446</v>
      </c>
      <c r="G2639" s="1">
        <v>4</v>
      </c>
      <c r="H2639" s="1">
        <v>1</v>
      </c>
      <c r="I2639" s="1">
        <v>1</v>
      </c>
      <c r="J2639" s="1">
        <v>1</v>
      </c>
      <c r="K2639" s="1">
        <v>1</v>
      </c>
      <c r="M2639" s="1">
        <v>824</v>
      </c>
      <c r="N2639" s="1">
        <v>613</v>
      </c>
      <c r="O2639" s="1">
        <v>736</v>
      </c>
      <c r="P2639" s="1">
        <v>123</v>
      </c>
      <c r="Q2639" s="1" t="s">
        <v>42</v>
      </c>
      <c r="S2639" s="1" t="s">
        <v>42</v>
      </c>
      <c r="T2639" s="1" t="s">
        <v>273</v>
      </c>
      <c r="U2639" s="1">
        <v>67</v>
      </c>
      <c r="V2639" s="5">
        <v>44333</v>
      </c>
      <c r="W2639" s="5">
        <v>43879</v>
      </c>
      <c r="X2639" s="1">
        <v>945000</v>
      </c>
      <c r="Y2639" s="1">
        <v>975000</v>
      </c>
      <c r="Z2639" s="5">
        <v>44040</v>
      </c>
      <c r="AA2639" s="1">
        <v>975000</v>
      </c>
      <c r="AB2639" s="1" t="s">
        <v>1569</v>
      </c>
      <c r="AC2639" s="5">
        <v>44123</v>
      </c>
      <c r="AF2639" s="1">
        <v>11238</v>
      </c>
      <c r="AI2639" s="1" t="s">
        <v>767</v>
      </c>
      <c r="AJ2639" s="1">
        <v>1930</v>
      </c>
      <c r="AL2639" s="1">
        <v>4</v>
      </c>
    </row>
    <row r="2640" spans="1:38" x14ac:dyDescent="0.2">
      <c r="A2640" s="2" t="str">
        <f>HYPERLINK("https://www.compass.com/listing/88-lexington-avenue-unit-phb-brooklyn-ny-11238/514729258554963777/","88 Lexington Ave, Unit PHB")</f>
        <v>88 Lexington Ave, Unit PHB</v>
      </c>
      <c r="B2640" s="2" t="str">
        <f t="shared" si="433"/>
        <v>88 Lexington Ave</v>
      </c>
      <c r="C2640" s="1" t="s">
        <v>1549</v>
      </c>
      <c r="D2640" s="1" t="s">
        <v>1550</v>
      </c>
      <c r="E2640" s="3">
        <v>995000</v>
      </c>
      <c r="F2640" s="1">
        <v>1198.7951807228901</v>
      </c>
      <c r="G2640" s="1">
        <v>4</v>
      </c>
      <c r="H2640" s="1">
        <v>1</v>
      </c>
      <c r="I2640" s="1">
        <v>1</v>
      </c>
      <c r="J2640" s="1">
        <v>1</v>
      </c>
      <c r="K2640" s="1">
        <v>1</v>
      </c>
      <c r="M2640" s="1">
        <v>830</v>
      </c>
      <c r="Q2640" s="1" t="s">
        <v>42</v>
      </c>
      <c r="S2640" s="1" t="s">
        <v>42</v>
      </c>
      <c r="T2640" s="1" t="s">
        <v>273</v>
      </c>
      <c r="U2640" s="1">
        <v>120</v>
      </c>
      <c r="V2640" s="5">
        <v>44333</v>
      </c>
      <c r="W2640" s="5">
        <v>43962</v>
      </c>
      <c r="X2640" s="1">
        <v>995000</v>
      </c>
      <c r="Y2640" s="1">
        <v>995000</v>
      </c>
      <c r="Z2640" s="5">
        <v>43962</v>
      </c>
      <c r="AA2640" s="1">
        <v>995000</v>
      </c>
      <c r="AB2640" s="1" t="s">
        <v>1570</v>
      </c>
      <c r="AC2640" s="5">
        <v>44124</v>
      </c>
      <c r="AF2640" s="1">
        <v>11238</v>
      </c>
      <c r="AI2640" s="1" t="s">
        <v>780</v>
      </c>
      <c r="AJ2640" s="1">
        <v>1930</v>
      </c>
      <c r="AL2640" s="1">
        <v>4</v>
      </c>
    </row>
    <row r="2641" spans="1:38" x14ac:dyDescent="0.2">
      <c r="A2641" s="2" t="str">
        <f>HYPERLINK("https://www.compass.com/listing/235-west-75th-street-unit-210-manhattan-ny-10023/29395861280728785/","235 W 75th St, Unit 210")</f>
        <v>235 W 75th St, Unit 210</v>
      </c>
      <c r="B2641" s="2" t="str">
        <f>HYPERLINK("https://www.compass.com/building/the-astor-manhattan-ny/281958704155269925/","The Astor")</f>
        <v>The Astor</v>
      </c>
      <c r="C2641" s="1" t="s">
        <v>57</v>
      </c>
      <c r="D2641" s="1" t="s">
        <v>41</v>
      </c>
      <c r="E2641" s="3">
        <v>2598633</v>
      </c>
      <c r="F2641" s="1">
        <v>1821.0462508759599</v>
      </c>
      <c r="G2641" s="1">
        <v>4</v>
      </c>
      <c r="H2641" s="1">
        <v>2</v>
      </c>
      <c r="I2641" s="1">
        <v>2</v>
      </c>
      <c r="J2641" s="1">
        <v>2.5</v>
      </c>
      <c r="K2641" s="1">
        <v>2</v>
      </c>
      <c r="L2641" s="1">
        <v>1</v>
      </c>
      <c r="M2641" s="4">
        <v>1427</v>
      </c>
      <c r="N2641" s="1">
        <v>1846</v>
      </c>
      <c r="O2641" s="1">
        <v>3854</v>
      </c>
      <c r="P2641" s="1">
        <v>2008</v>
      </c>
      <c r="Q2641" s="1" t="s">
        <v>42</v>
      </c>
      <c r="S2641" s="1" t="s">
        <v>42</v>
      </c>
      <c r="T2641" s="1" t="s">
        <v>273</v>
      </c>
      <c r="U2641" s="1">
        <v>118</v>
      </c>
      <c r="V2641" s="5">
        <v>43662</v>
      </c>
      <c r="W2641" s="5">
        <v>42559</v>
      </c>
      <c r="X2641" s="1">
        <v>2600000</v>
      </c>
      <c r="Y2641" s="1">
        <v>2600000</v>
      </c>
      <c r="Z2641" s="5">
        <v>42677</v>
      </c>
      <c r="AA2641" s="1">
        <v>2598633</v>
      </c>
      <c r="AB2641" s="1" t="s">
        <v>1571</v>
      </c>
      <c r="AC2641" s="5">
        <v>42943</v>
      </c>
      <c r="AF2641" s="1">
        <v>10023</v>
      </c>
      <c r="AJ2641" s="1">
        <v>2018</v>
      </c>
      <c r="AK2641" s="1" t="s">
        <v>46</v>
      </c>
      <c r="AL2641" s="1">
        <v>98</v>
      </c>
    </row>
    <row r="2642" spans="1:38" x14ac:dyDescent="0.2">
      <c r="A2642" s="2" t="str">
        <f>HYPERLINK("https://www.compass.com/listing/15-west-61st-street-unit-26c-manhattan-ny-10023/408666596158881777/","15 W 61st St, Unit 26C")</f>
        <v>15 W 61st St, Unit 26C</v>
      </c>
      <c r="B2642" s="2" t="str">
        <f>HYPERLINK("https://www.compass.com/building/the-park-loggia-manhattan-ny/292861833130357557/","The Park Loggia")</f>
        <v>The Park Loggia</v>
      </c>
      <c r="C2642" s="1" t="s">
        <v>57</v>
      </c>
      <c r="D2642" s="1" t="s">
        <v>41</v>
      </c>
      <c r="E2642" s="3">
        <v>1900000</v>
      </c>
      <c r="F2642" s="1">
        <v>2272.7272727272698</v>
      </c>
      <c r="G2642" s="1">
        <v>3</v>
      </c>
      <c r="H2642" s="1">
        <v>1</v>
      </c>
      <c r="I2642" s="1">
        <v>1</v>
      </c>
      <c r="J2642" s="1">
        <v>1</v>
      </c>
      <c r="K2642" s="1">
        <v>1</v>
      </c>
      <c r="M2642" s="1">
        <v>836</v>
      </c>
      <c r="N2642" s="1">
        <v>860</v>
      </c>
      <c r="O2642" s="1">
        <v>1687</v>
      </c>
      <c r="P2642" s="1">
        <v>827</v>
      </c>
      <c r="Q2642" s="1" t="s">
        <v>42</v>
      </c>
      <c r="S2642" s="1" t="s">
        <v>42</v>
      </c>
      <c r="T2642" s="1" t="s">
        <v>273</v>
      </c>
      <c r="U2642" s="1">
        <v>98</v>
      </c>
      <c r="V2642" s="5">
        <v>44062</v>
      </c>
      <c r="W2642" s="5">
        <v>43811</v>
      </c>
      <c r="X2642" s="1">
        <v>2075000</v>
      </c>
      <c r="Y2642" s="1">
        <v>2075000</v>
      </c>
      <c r="Z2642" s="5">
        <v>43987</v>
      </c>
      <c r="AA2642" s="1">
        <v>1900000</v>
      </c>
      <c r="AB2642" s="1" t="s">
        <v>1572</v>
      </c>
      <c r="AC2642" s="5">
        <v>44061</v>
      </c>
      <c r="AF2642" s="1">
        <v>10023</v>
      </c>
      <c r="AI2642" s="1" t="s">
        <v>65</v>
      </c>
      <c r="AJ2642" s="1">
        <v>2019</v>
      </c>
      <c r="AK2642" s="1" t="s">
        <v>108</v>
      </c>
      <c r="AL2642" s="1">
        <v>172</v>
      </c>
    </row>
    <row r="2643" spans="1:38" x14ac:dyDescent="0.2">
      <c r="A2643" s="2" t="str">
        <f>HYPERLINK("https://www.compass.com/listing/88-lexington-avenue-unit-2a-brooklyn-ny-11238/455521401829547441/","88 Lexington Ave, Unit 2A")</f>
        <v>88 Lexington Ave, Unit 2A</v>
      </c>
      <c r="B2643" s="2" t="str">
        <f t="shared" ref="B2643:B2646" si="434">HYPERLINK("https://www.compass.com/building/88-lexington-ave-brooklyn-ny-11238/293534270968904021/","88 Lexington Ave")</f>
        <v>88 Lexington Ave</v>
      </c>
      <c r="C2643" s="1" t="s">
        <v>1549</v>
      </c>
      <c r="D2643" s="1" t="s">
        <v>1550</v>
      </c>
      <c r="E2643" s="3">
        <v>783034</v>
      </c>
      <c r="F2643" s="1">
        <v>1016.92759740259</v>
      </c>
      <c r="G2643" s="1">
        <v>3</v>
      </c>
      <c r="H2643" s="1">
        <v>1</v>
      </c>
      <c r="I2643" s="1">
        <v>1</v>
      </c>
      <c r="J2643" s="1">
        <v>1</v>
      </c>
      <c r="K2643" s="1">
        <v>1</v>
      </c>
      <c r="M2643" s="1">
        <v>770</v>
      </c>
      <c r="Q2643" s="1" t="s">
        <v>42</v>
      </c>
      <c r="S2643" s="1" t="s">
        <v>42</v>
      </c>
      <c r="T2643" s="1" t="s">
        <v>273</v>
      </c>
      <c r="U2643" s="1">
        <v>16</v>
      </c>
      <c r="V2643" s="5">
        <v>44127</v>
      </c>
      <c r="W2643" s="5">
        <v>43880</v>
      </c>
      <c r="X2643" s="1">
        <v>769000</v>
      </c>
      <c r="Y2643" s="1">
        <v>769000</v>
      </c>
      <c r="Z2643" s="5">
        <v>43896</v>
      </c>
      <c r="AA2643" s="1">
        <v>783034.25</v>
      </c>
      <c r="AB2643" s="1" t="s">
        <v>1573</v>
      </c>
      <c r="AC2643" s="5">
        <v>44104</v>
      </c>
      <c r="AF2643" s="1">
        <v>11238</v>
      </c>
      <c r="AI2643" s="1" t="s">
        <v>540</v>
      </c>
      <c r="AJ2643" s="1">
        <v>1930</v>
      </c>
      <c r="AL2643" s="1">
        <v>4</v>
      </c>
    </row>
    <row r="2644" spans="1:38" x14ac:dyDescent="0.2">
      <c r="A2644" s="2" t="str">
        <f>HYPERLINK("https://www.compass.com/listing/88-lexington-avenue-unit-3a-brooklyn-ny-11238/464409373125611081/","88 Lexington Ave, Unit 3A")</f>
        <v>88 Lexington Ave, Unit 3A</v>
      </c>
      <c r="B2644" s="2" t="str">
        <f t="shared" si="434"/>
        <v>88 Lexington Ave</v>
      </c>
      <c r="C2644" s="1" t="s">
        <v>1549</v>
      </c>
      <c r="D2644" s="1" t="s">
        <v>1550</v>
      </c>
      <c r="E2644" s="3">
        <v>911334</v>
      </c>
      <c r="F2644" s="1">
        <v>1104.6469090909</v>
      </c>
      <c r="G2644" s="1">
        <v>3</v>
      </c>
      <c r="H2644" s="1">
        <v>1</v>
      </c>
      <c r="I2644" s="1">
        <v>1</v>
      </c>
      <c r="J2644" s="1">
        <v>1</v>
      </c>
      <c r="K2644" s="1">
        <v>1</v>
      </c>
      <c r="M2644" s="1">
        <v>825</v>
      </c>
      <c r="N2644" s="1">
        <v>612.5</v>
      </c>
      <c r="O2644" s="1">
        <v>735.5</v>
      </c>
      <c r="P2644" s="1">
        <v>123</v>
      </c>
      <c r="Q2644" s="1" t="s">
        <v>42</v>
      </c>
      <c r="S2644" s="1" t="s">
        <v>42</v>
      </c>
      <c r="T2644" s="1" t="s">
        <v>273</v>
      </c>
      <c r="U2644" s="1">
        <v>25</v>
      </c>
      <c r="V2644" s="5">
        <v>44333</v>
      </c>
      <c r="W2644" s="5">
        <v>43892</v>
      </c>
      <c r="X2644" s="1">
        <v>895000</v>
      </c>
      <c r="Y2644" s="1">
        <v>895000</v>
      </c>
      <c r="Z2644" s="5">
        <v>44012</v>
      </c>
      <c r="AA2644" s="1">
        <v>911333.7</v>
      </c>
      <c r="AB2644" s="1" t="s">
        <v>1574</v>
      </c>
      <c r="AC2644" s="5">
        <v>44106</v>
      </c>
      <c r="AF2644" s="1">
        <v>11238</v>
      </c>
      <c r="AI2644" s="1" t="s">
        <v>176</v>
      </c>
      <c r="AJ2644" s="1">
        <v>1930</v>
      </c>
      <c r="AL2644" s="1">
        <v>4</v>
      </c>
    </row>
    <row r="2645" spans="1:38" x14ac:dyDescent="0.2">
      <c r="A2645" s="2" t="str">
        <f>HYPERLINK("https://www.compass.com/listing/88-lexington-avenue-unit-3b-brooklyn-ny-11238/532338351719230977/","88 Lexington Ave, Unit 3B")</f>
        <v>88 Lexington Ave, Unit 3B</v>
      </c>
      <c r="B2645" s="2" t="str">
        <f t="shared" si="434"/>
        <v>88 Lexington Ave</v>
      </c>
      <c r="C2645" s="1" t="s">
        <v>1549</v>
      </c>
      <c r="D2645" s="1" t="s">
        <v>1550</v>
      </c>
      <c r="E2645" s="3">
        <v>920000</v>
      </c>
      <c r="F2645" s="1">
        <v>1108.4337349397499</v>
      </c>
      <c r="G2645" s="1">
        <v>3</v>
      </c>
      <c r="H2645" s="1">
        <v>1</v>
      </c>
      <c r="I2645" s="1">
        <v>1</v>
      </c>
      <c r="J2645" s="1">
        <v>1</v>
      </c>
      <c r="K2645" s="1">
        <v>1</v>
      </c>
      <c r="M2645" s="1">
        <v>830</v>
      </c>
      <c r="Q2645" s="1" t="s">
        <v>42</v>
      </c>
      <c r="S2645" s="1" t="s">
        <v>42</v>
      </c>
      <c r="T2645" s="1" t="s">
        <v>273</v>
      </c>
      <c r="U2645" s="1">
        <v>100</v>
      </c>
      <c r="V2645" s="5">
        <v>44333</v>
      </c>
      <c r="W2645" s="5">
        <v>43986</v>
      </c>
      <c r="X2645" s="1">
        <v>920000</v>
      </c>
      <c r="Y2645" s="1">
        <v>920000</v>
      </c>
      <c r="Z2645" s="5">
        <v>43986</v>
      </c>
      <c r="AA2645" s="1">
        <v>920000</v>
      </c>
      <c r="AB2645" s="1" t="s">
        <v>1575</v>
      </c>
      <c r="AC2645" s="5">
        <v>44104</v>
      </c>
      <c r="AF2645" s="1">
        <v>11238</v>
      </c>
      <c r="AI2645" s="1" t="s">
        <v>216</v>
      </c>
      <c r="AJ2645" s="1">
        <v>1930</v>
      </c>
      <c r="AL2645" s="1">
        <v>4</v>
      </c>
    </row>
    <row r="2646" spans="1:38" x14ac:dyDescent="0.2">
      <c r="A2646" s="2" t="str">
        <f>HYPERLINK("https://www.compass.com/listing/88-lexington-avenue-unit-2b-brooklyn-ny-11238/553392842612050465/","88 Lexington Ave, Unit 2B")</f>
        <v>88 Lexington Ave, Unit 2B</v>
      </c>
      <c r="B2646" s="2" t="str">
        <f t="shared" si="434"/>
        <v>88 Lexington Ave</v>
      </c>
      <c r="C2646" s="1" t="s">
        <v>1549</v>
      </c>
      <c r="D2646" s="1" t="s">
        <v>1550</v>
      </c>
      <c r="E2646" s="3">
        <v>925000</v>
      </c>
      <c r="F2646" s="1">
        <v>1088.23529411764</v>
      </c>
      <c r="G2646" s="1">
        <v>4</v>
      </c>
      <c r="H2646" s="1">
        <v>1</v>
      </c>
      <c r="I2646" s="1">
        <v>1</v>
      </c>
      <c r="J2646" s="1">
        <v>1</v>
      </c>
      <c r="K2646" s="1">
        <v>1</v>
      </c>
      <c r="M2646" s="1">
        <v>850</v>
      </c>
      <c r="N2646" s="1">
        <v>550</v>
      </c>
      <c r="O2646" s="1">
        <v>550</v>
      </c>
      <c r="Q2646" s="1" t="s">
        <v>42</v>
      </c>
      <c r="S2646" s="1" t="s">
        <v>42</v>
      </c>
      <c r="T2646" s="1" t="s">
        <v>273</v>
      </c>
      <c r="U2646" s="1">
        <v>69</v>
      </c>
      <c r="V2646" s="5">
        <v>44333</v>
      </c>
      <c r="W2646" s="5">
        <v>44015</v>
      </c>
      <c r="Z2646" s="5">
        <v>44084</v>
      </c>
      <c r="AA2646" s="1">
        <v>925000</v>
      </c>
      <c r="AB2646" s="1" t="s">
        <v>1576</v>
      </c>
      <c r="AC2646" s="5">
        <v>44126</v>
      </c>
      <c r="AF2646" s="1">
        <v>11238</v>
      </c>
      <c r="AI2646" s="1" t="s">
        <v>540</v>
      </c>
      <c r="AJ2646" s="1">
        <v>1930</v>
      </c>
      <c r="AL2646" s="1">
        <v>4</v>
      </c>
    </row>
    <row r="2647" spans="1:38" x14ac:dyDescent="0.2">
      <c r="A2647" s="2" t="str">
        <f>HYPERLINK("https://www.compass.com/listing/77-charlton-street-unit-s14b-manhattan-ny-10014/435472288683766657/","77 Charlton St, Unit S14B")</f>
        <v>77 Charlton St, Unit S14B</v>
      </c>
      <c r="B2647" s="2" t="str">
        <f t="shared" ref="B2647:B2648" si="435">HYPERLINK("https://www.compass.com/building/77-charlton-st-manhattan-ny-10014/282058735872933093/","77 Charlton St")</f>
        <v>77 Charlton St</v>
      </c>
      <c r="C2647" s="1" t="s">
        <v>53</v>
      </c>
      <c r="D2647" s="1" t="s">
        <v>41</v>
      </c>
      <c r="E2647" s="3">
        <v>3535000</v>
      </c>
      <c r="F2647" s="1">
        <v>1888.3547008547</v>
      </c>
      <c r="G2647" s="1">
        <v>5</v>
      </c>
      <c r="H2647" s="1">
        <v>3</v>
      </c>
      <c r="I2647" s="1">
        <v>4</v>
      </c>
      <c r="J2647" s="1">
        <v>3.5</v>
      </c>
      <c r="K2647" s="1">
        <v>3</v>
      </c>
      <c r="L2647" s="1">
        <v>1</v>
      </c>
      <c r="M2647" s="4">
        <v>1872</v>
      </c>
      <c r="N2647" s="1">
        <v>2317</v>
      </c>
      <c r="O2647" s="1">
        <v>5629</v>
      </c>
      <c r="P2647" s="1">
        <v>3312</v>
      </c>
      <c r="Q2647" s="1" t="s">
        <v>42</v>
      </c>
      <c r="S2647" s="1" t="s">
        <v>42</v>
      </c>
      <c r="T2647" s="1" t="s">
        <v>273</v>
      </c>
      <c r="U2647" s="1">
        <v>139</v>
      </c>
      <c r="V2647" s="5">
        <v>44405</v>
      </c>
      <c r="W2647" s="5">
        <v>44126</v>
      </c>
      <c r="Y2647" s="1">
        <v>3995000</v>
      </c>
      <c r="Z2647" s="5">
        <v>44266</v>
      </c>
      <c r="AA2647" s="1">
        <v>3535000</v>
      </c>
      <c r="AB2647" s="1" t="s">
        <v>295</v>
      </c>
      <c r="AC2647" s="5">
        <v>44399</v>
      </c>
      <c r="AF2647" s="1">
        <v>10014</v>
      </c>
      <c r="AI2647" s="1" t="s">
        <v>48</v>
      </c>
      <c r="AJ2647" s="1">
        <v>2019</v>
      </c>
      <c r="AK2647" s="1" t="s">
        <v>46</v>
      </c>
      <c r="AL2647" s="1">
        <v>161</v>
      </c>
    </row>
    <row r="2648" spans="1:38" x14ac:dyDescent="0.2">
      <c r="A2648" s="2" t="str">
        <f>HYPERLINK("https://www.compass.com/listing/77-charlton-street-unit-n14a-manhattan-ny-10014/333303295648582929/","77 Charlton St, Unit N14A")</f>
        <v>77 Charlton St, Unit N14A</v>
      </c>
      <c r="B2648" s="2" t="str">
        <f t="shared" si="435"/>
        <v>77 Charlton St</v>
      </c>
      <c r="C2648" s="1" t="s">
        <v>53</v>
      </c>
      <c r="D2648" s="1" t="s">
        <v>41</v>
      </c>
      <c r="E2648" s="3">
        <v>4213656</v>
      </c>
      <c r="F2648" s="1">
        <v>2136.7423935091201</v>
      </c>
      <c r="G2648" s="1">
        <v>5</v>
      </c>
      <c r="H2648" s="1">
        <v>3</v>
      </c>
      <c r="I2648" s="1">
        <v>4</v>
      </c>
      <c r="J2648" s="1">
        <v>3.5</v>
      </c>
      <c r="K2648" s="1">
        <v>3</v>
      </c>
      <c r="L2648" s="1">
        <v>1</v>
      </c>
      <c r="M2648" s="4">
        <v>1972</v>
      </c>
      <c r="N2648" s="1">
        <v>2476</v>
      </c>
      <c r="O2648" s="1">
        <v>6014</v>
      </c>
      <c r="P2648" s="1">
        <v>3538</v>
      </c>
      <c r="Q2648" s="1" t="s">
        <v>42</v>
      </c>
      <c r="S2648" s="1" t="s">
        <v>42</v>
      </c>
      <c r="T2648" s="1" t="s">
        <v>273</v>
      </c>
      <c r="V2648" s="5">
        <v>44404</v>
      </c>
      <c r="W2648" s="5">
        <v>43712</v>
      </c>
      <c r="X2648" s="1">
        <v>4425000</v>
      </c>
      <c r="Y2648" s="1">
        <v>4425000</v>
      </c>
      <c r="Z2648" s="5">
        <v>43712</v>
      </c>
      <c r="AA2648" s="1">
        <v>4213656</v>
      </c>
      <c r="AB2648" s="1" t="s">
        <v>1577</v>
      </c>
      <c r="AC2648" s="5">
        <v>44375</v>
      </c>
      <c r="AF2648" s="1">
        <v>10014</v>
      </c>
      <c r="AI2648" s="1" t="s">
        <v>211</v>
      </c>
      <c r="AJ2648" s="1">
        <v>2019</v>
      </c>
      <c r="AK2648" s="1" t="s">
        <v>46</v>
      </c>
      <c r="AL2648" s="1">
        <v>161</v>
      </c>
    </row>
    <row r="2649" spans="1:38" x14ac:dyDescent="0.2">
      <c r="A2649" s="2" t="str">
        <f>HYPERLINK("https://www.compass.com/listing/261-west-25th-street-unit-5c-manhattan-ny-10001/29372522319437857/","261 W 25th St, Unit 5C")</f>
        <v>261 W 25th St, Unit 5C</v>
      </c>
      <c r="B2649" s="2" t="str">
        <f t="shared" ref="B2649:B2650" si="436">HYPERLINK("https://www.compass.com/building/the-seymour-manhattan-ny/281883155990840165/","The Seymour")</f>
        <v>The Seymour</v>
      </c>
      <c r="C2649" s="1" t="s">
        <v>62</v>
      </c>
      <c r="D2649" s="1" t="s">
        <v>41</v>
      </c>
      <c r="E2649" s="3">
        <v>2184146</v>
      </c>
      <c r="F2649" s="1">
        <v>1946.6541889483001</v>
      </c>
      <c r="G2649" s="1">
        <v>4</v>
      </c>
      <c r="H2649" s="1">
        <v>2</v>
      </c>
      <c r="I2649" s="1">
        <v>2</v>
      </c>
      <c r="J2649" s="1">
        <v>2</v>
      </c>
      <c r="M2649" s="4">
        <v>1122</v>
      </c>
      <c r="N2649" s="1">
        <v>1301</v>
      </c>
      <c r="O2649" s="1">
        <v>2726</v>
      </c>
      <c r="P2649" s="1">
        <v>1425</v>
      </c>
      <c r="Q2649" s="1" t="s">
        <v>42</v>
      </c>
      <c r="S2649" s="1" t="s">
        <v>42</v>
      </c>
      <c r="T2649" s="1" t="s">
        <v>273</v>
      </c>
      <c r="U2649" s="1">
        <v>21</v>
      </c>
      <c r="V2649" s="5">
        <v>43654</v>
      </c>
      <c r="W2649" s="5">
        <v>41828</v>
      </c>
      <c r="X2649" s="1">
        <v>2145000</v>
      </c>
      <c r="Y2649" s="1">
        <v>2145000</v>
      </c>
      <c r="Z2649" s="5">
        <v>41849</v>
      </c>
      <c r="AA2649" s="1">
        <v>2184146</v>
      </c>
      <c r="AB2649" s="1" t="s">
        <v>1578</v>
      </c>
      <c r="AC2649" s="5">
        <v>42427</v>
      </c>
      <c r="AF2649" s="1">
        <v>10001</v>
      </c>
      <c r="AI2649" s="1" t="s">
        <v>185</v>
      </c>
      <c r="AJ2649" s="1">
        <v>2015</v>
      </c>
      <c r="AK2649" s="1" t="s">
        <v>49</v>
      </c>
      <c r="AL2649" s="1">
        <v>49</v>
      </c>
    </row>
    <row r="2650" spans="1:38" x14ac:dyDescent="0.2">
      <c r="A2650" s="2" t="str">
        <f>HYPERLINK("https://www.compass.com/listing/261-west-25th-street-unit-7c-manhattan-ny-10001/29372528652837025/","261 W 25th St, Unit 7C")</f>
        <v>261 W 25th St, Unit 7C</v>
      </c>
      <c r="B2650" s="2" t="str">
        <f t="shared" si="436"/>
        <v>The Seymour</v>
      </c>
      <c r="C2650" s="1" t="s">
        <v>62</v>
      </c>
      <c r="D2650" s="1" t="s">
        <v>41</v>
      </c>
      <c r="E2650" s="3">
        <v>2357249</v>
      </c>
      <c r="F2650" s="1">
        <v>2100.9349376114001</v>
      </c>
      <c r="G2650" s="1">
        <v>4</v>
      </c>
      <c r="H2650" s="1">
        <v>2</v>
      </c>
      <c r="I2650" s="1">
        <v>2</v>
      </c>
      <c r="J2650" s="1">
        <v>2</v>
      </c>
      <c r="M2650" s="4">
        <v>1122</v>
      </c>
      <c r="N2650" s="1">
        <v>1301</v>
      </c>
      <c r="O2650" s="1">
        <v>2726</v>
      </c>
      <c r="P2650" s="1">
        <v>1425</v>
      </c>
      <c r="Q2650" s="1" t="s">
        <v>42</v>
      </c>
      <c r="S2650" s="1" t="s">
        <v>42</v>
      </c>
      <c r="T2650" s="1" t="s">
        <v>273</v>
      </c>
      <c r="U2650" s="1">
        <v>49</v>
      </c>
      <c r="V2650" s="5">
        <v>43650</v>
      </c>
      <c r="W2650" s="5">
        <v>41844</v>
      </c>
      <c r="X2650" s="1">
        <v>2315000</v>
      </c>
      <c r="Y2650" s="1">
        <v>2315000</v>
      </c>
      <c r="Z2650" s="5">
        <v>41893</v>
      </c>
      <c r="AA2650" s="1">
        <v>2357249</v>
      </c>
      <c r="AB2650" s="1" t="s">
        <v>1579</v>
      </c>
      <c r="AC2650" s="5">
        <v>42423</v>
      </c>
      <c r="AF2650" s="1">
        <v>10001</v>
      </c>
      <c r="AI2650" s="1" t="s">
        <v>185</v>
      </c>
      <c r="AJ2650" s="1">
        <v>2015</v>
      </c>
      <c r="AK2650" s="1" t="s">
        <v>49</v>
      </c>
      <c r="AL2650" s="1">
        <v>49</v>
      </c>
    </row>
    <row r="2651" spans="1:38" x14ac:dyDescent="0.2">
      <c r="A2651" s="2" t="str">
        <f>HYPERLINK("https://www.compass.com/listing/70-charlton-street-unit-2d-manhattan-ny-10014/29366256264116401/","70 Charlton St, Unit 2D")</f>
        <v>70 Charlton St, Unit 2D</v>
      </c>
      <c r="B2651" s="2" t="str">
        <f>HYPERLINK("https://www.compass.com/building/70-charlton-street-manhattan-ny/292835639240484293/","70 Charlton Street")</f>
        <v>70 Charlton Street</v>
      </c>
      <c r="C2651" s="1" t="s">
        <v>53</v>
      </c>
      <c r="D2651" s="1" t="s">
        <v>41</v>
      </c>
      <c r="E2651" s="3">
        <v>1017159</v>
      </c>
      <c r="F2651" s="1">
        <v>1345.44808201058</v>
      </c>
      <c r="H2651" s="1">
        <v>1</v>
      </c>
      <c r="J2651" s="1">
        <v>1</v>
      </c>
      <c r="K2651" s="1">
        <v>1</v>
      </c>
      <c r="M2651" s="1">
        <v>756</v>
      </c>
      <c r="N2651" s="1">
        <v>1583</v>
      </c>
      <c r="O2651" s="1">
        <v>1583</v>
      </c>
      <c r="Q2651" s="1" t="s">
        <v>271</v>
      </c>
      <c r="S2651" s="1" t="s">
        <v>271</v>
      </c>
      <c r="T2651" s="1" t="s">
        <v>273</v>
      </c>
      <c r="AA2651" s="1">
        <v>1017158.75</v>
      </c>
      <c r="AB2651" s="1" t="s">
        <v>1580</v>
      </c>
      <c r="AC2651" s="5">
        <v>42972</v>
      </c>
      <c r="AF2651" s="1">
        <v>10014</v>
      </c>
      <c r="AI2651" s="1" t="s">
        <v>80</v>
      </c>
      <c r="AJ2651" s="1">
        <v>2016</v>
      </c>
      <c r="AK2651" s="1" t="s">
        <v>49</v>
      </c>
      <c r="AL2651" s="1">
        <v>92</v>
      </c>
    </row>
    <row r="2652" spans="1:38" x14ac:dyDescent="0.2">
      <c r="A2652" s="2" t="str">
        <f>HYPERLINK("https://www.compass.com/listing/77-charlton-street-unit-nphb-manhattan-ny-10014/557850801098351641/","77 Charlton St, Unit NPHB")</f>
        <v>77 Charlton St, Unit NPHB</v>
      </c>
      <c r="B2652" s="2" t="str">
        <f>HYPERLINK("https://www.compass.com/building/77-charlton-st-manhattan-ny-10014/282058735872933093/","77 Charlton St")</f>
        <v>77 Charlton St</v>
      </c>
      <c r="C2652" s="1" t="s">
        <v>53</v>
      </c>
      <c r="D2652" s="1" t="s">
        <v>41</v>
      </c>
      <c r="E2652" s="3">
        <v>5255331</v>
      </c>
      <c r="F2652" s="1">
        <v>2404.0857182067698</v>
      </c>
      <c r="G2652" s="1">
        <v>5.5</v>
      </c>
      <c r="H2652" s="1">
        <v>3</v>
      </c>
      <c r="I2652" s="1">
        <v>4</v>
      </c>
      <c r="J2652" s="1">
        <v>3.5</v>
      </c>
      <c r="K2652" s="1">
        <v>3</v>
      </c>
      <c r="L2652" s="1">
        <v>1</v>
      </c>
      <c r="M2652" s="4">
        <v>2186</v>
      </c>
      <c r="N2652" s="1">
        <v>2971</v>
      </c>
      <c r="O2652" s="1">
        <v>7217</v>
      </c>
      <c r="P2652" s="1">
        <v>4246</v>
      </c>
      <c r="Q2652" s="1" t="s">
        <v>42</v>
      </c>
      <c r="S2652" s="1" t="s">
        <v>42</v>
      </c>
      <c r="T2652" s="1" t="s">
        <v>273</v>
      </c>
      <c r="V2652" s="5">
        <v>44411</v>
      </c>
      <c r="W2652" s="5">
        <v>44022</v>
      </c>
      <c r="X2652" s="1">
        <v>5495000</v>
      </c>
      <c r="Y2652" s="1">
        <v>5495000</v>
      </c>
      <c r="Z2652" s="5">
        <v>44022</v>
      </c>
      <c r="AA2652" s="1">
        <v>5255331.38</v>
      </c>
      <c r="AB2652" s="1" t="s">
        <v>1581</v>
      </c>
      <c r="AC2652" s="5">
        <v>44405</v>
      </c>
      <c r="AF2652" s="1">
        <v>10014</v>
      </c>
      <c r="AI2652" s="1" t="s">
        <v>240</v>
      </c>
      <c r="AJ2652" s="1">
        <v>2019</v>
      </c>
      <c r="AK2652" s="1" t="s">
        <v>46</v>
      </c>
      <c r="AL2652" s="1">
        <v>161</v>
      </c>
    </row>
    <row r="2653" spans="1:38" x14ac:dyDescent="0.2">
      <c r="A2653" s="2" t="str">
        <f>HYPERLINK("https://www.compass.com/listing/235-west-75th-street-unit-710-manhattan-ny-10023/29395876120177041/","235 W 75th St, Unit 710")</f>
        <v>235 W 75th St, Unit 710</v>
      </c>
      <c r="B2653" s="2" t="str">
        <f>HYPERLINK("https://www.compass.com/building/the-astor-manhattan-ny/281958704155269925/","The Astor")</f>
        <v>The Astor</v>
      </c>
      <c r="C2653" s="1" t="s">
        <v>57</v>
      </c>
      <c r="D2653" s="1" t="s">
        <v>41</v>
      </c>
      <c r="E2653" s="3">
        <v>2167886</v>
      </c>
      <c r="F2653" s="1">
        <v>2054.8682464454901</v>
      </c>
      <c r="G2653" s="1">
        <v>3</v>
      </c>
      <c r="H2653" s="1">
        <v>2</v>
      </c>
      <c r="I2653" s="1">
        <v>2</v>
      </c>
      <c r="J2653" s="1">
        <v>2</v>
      </c>
      <c r="K2653" s="1">
        <v>2</v>
      </c>
      <c r="M2653" s="4">
        <v>1055</v>
      </c>
      <c r="N2653" s="1">
        <v>1393</v>
      </c>
      <c r="O2653" s="1">
        <v>2909</v>
      </c>
      <c r="P2653" s="1">
        <v>1516</v>
      </c>
      <c r="Q2653" s="1" t="s">
        <v>42</v>
      </c>
      <c r="S2653" s="1" t="s">
        <v>42</v>
      </c>
      <c r="T2653" s="1" t="s">
        <v>273</v>
      </c>
      <c r="V2653" s="5">
        <v>43662</v>
      </c>
      <c r="W2653" s="5">
        <v>42817</v>
      </c>
      <c r="X2653" s="1">
        <v>2150000</v>
      </c>
      <c r="Y2653" s="1">
        <v>2250000</v>
      </c>
      <c r="Z2653" s="5">
        <v>42817</v>
      </c>
      <c r="AA2653" s="1">
        <v>2167886</v>
      </c>
      <c r="AB2653" s="1" t="s">
        <v>1582</v>
      </c>
      <c r="AC2653" s="5">
        <v>42938</v>
      </c>
      <c r="AF2653" s="1">
        <v>10023</v>
      </c>
      <c r="AJ2653" s="1">
        <v>2018</v>
      </c>
      <c r="AK2653" s="1" t="s">
        <v>46</v>
      </c>
      <c r="AL2653" s="1">
        <v>98</v>
      </c>
    </row>
    <row r="2654" spans="1:38" x14ac:dyDescent="0.2">
      <c r="A2654" s="2" t="str">
        <f>HYPERLINK("https://www.compass.com/listing/77-charlton-street-unit-nphc-manhattan-ny-10014/430442296648307737/","77 Charlton St, Unit NPHC")</f>
        <v>77 Charlton St, Unit NPHC</v>
      </c>
      <c r="B2654" s="2" t="str">
        <f>HYPERLINK("https://www.compass.com/building/77-charlton-st-manhattan-ny-10014/282058735872933093/","77 Charlton St")</f>
        <v>77 Charlton St</v>
      </c>
      <c r="C2654" s="1" t="s">
        <v>53</v>
      </c>
      <c r="D2654" s="1" t="s">
        <v>41</v>
      </c>
      <c r="E2654" s="3">
        <v>2686144</v>
      </c>
      <c r="F2654" s="1">
        <v>2253.4760906040201</v>
      </c>
      <c r="G2654" s="1">
        <v>4.5</v>
      </c>
      <c r="H2654" s="1">
        <v>2</v>
      </c>
      <c r="I2654" s="1">
        <v>3</v>
      </c>
      <c r="J2654" s="1">
        <v>2.5</v>
      </c>
      <c r="K2654" s="1">
        <v>2</v>
      </c>
      <c r="L2654" s="1">
        <v>1</v>
      </c>
      <c r="M2654" s="4">
        <v>1192</v>
      </c>
      <c r="N2654" s="1">
        <v>1584</v>
      </c>
      <c r="O2654" s="1">
        <v>3848</v>
      </c>
      <c r="P2654" s="1">
        <v>2264</v>
      </c>
      <c r="Q2654" s="1" t="s">
        <v>42</v>
      </c>
      <c r="S2654" s="1" t="s">
        <v>42</v>
      </c>
      <c r="T2654" s="1" t="s">
        <v>273</v>
      </c>
      <c r="V2654" s="5">
        <v>44404</v>
      </c>
      <c r="W2654" s="5">
        <v>43846</v>
      </c>
      <c r="X2654" s="1">
        <v>2750000</v>
      </c>
      <c r="Y2654" s="1">
        <v>2750000</v>
      </c>
      <c r="Z2654" s="5">
        <v>43846</v>
      </c>
      <c r="AA2654" s="1">
        <v>2686143.5</v>
      </c>
      <c r="AB2654" s="1" t="s">
        <v>1583</v>
      </c>
      <c r="AC2654" s="5">
        <v>44398</v>
      </c>
      <c r="AF2654" s="1">
        <v>10014</v>
      </c>
      <c r="AI2654" s="1" t="s">
        <v>211</v>
      </c>
      <c r="AJ2654" s="1">
        <v>2019</v>
      </c>
      <c r="AK2654" s="1" t="s">
        <v>46</v>
      </c>
      <c r="AL2654" s="1">
        <v>161</v>
      </c>
    </row>
    <row r="2655" spans="1:38" x14ac:dyDescent="0.2">
      <c r="A2655" s="2" t="str">
        <f>HYPERLINK("https://www.compass.com/listing/261-west-25th-street-unit-1d-manhattan-ny-10001/4852273381787045857/","261 W 25th St, Unit 1D")</f>
        <v>261 W 25th St, Unit 1D</v>
      </c>
      <c r="B2655" s="2" t="str">
        <f t="shared" ref="B2655:B2657" si="437">HYPERLINK("https://www.compass.com/building/the-seymour-manhattan-ny/281883155990840165/","The Seymour")</f>
        <v>The Seymour</v>
      </c>
      <c r="C2655" s="1" t="s">
        <v>62</v>
      </c>
      <c r="D2655" s="1" t="s">
        <v>41</v>
      </c>
      <c r="E2655" s="3">
        <v>2545000</v>
      </c>
      <c r="F2655" s="1">
        <v>1914.97366440933</v>
      </c>
      <c r="G2655" s="1">
        <v>4</v>
      </c>
      <c r="H2655" s="1">
        <v>2</v>
      </c>
      <c r="I2655" s="1">
        <v>3</v>
      </c>
      <c r="J2655" s="1">
        <v>2.5</v>
      </c>
      <c r="M2655" s="4">
        <v>1329</v>
      </c>
      <c r="N2655" s="1">
        <v>1665</v>
      </c>
      <c r="O2655" s="1">
        <v>3488</v>
      </c>
      <c r="P2655" s="1">
        <v>1823</v>
      </c>
      <c r="Q2655" s="1" t="s">
        <v>42</v>
      </c>
      <c r="S2655" s="1" t="s">
        <v>42</v>
      </c>
      <c r="T2655" s="1" t="s">
        <v>273</v>
      </c>
      <c r="U2655" s="1">
        <v>36</v>
      </c>
      <c r="V2655" s="5">
        <v>43678</v>
      </c>
      <c r="W2655" s="5">
        <v>41828</v>
      </c>
      <c r="X2655" s="1">
        <v>2545000</v>
      </c>
      <c r="Y2655" s="1">
        <v>2545000</v>
      </c>
      <c r="Z2655" s="5">
        <v>41864</v>
      </c>
      <c r="AA2655" s="1">
        <v>2545000</v>
      </c>
      <c r="AB2655" s="1" t="s">
        <v>275</v>
      </c>
      <c r="AC2655" s="5">
        <v>42505</v>
      </c>
      <c r="AF2655" s="1">
        <v>10001</v>
      </c>
      <c r="AI2655" s="1" t="s">
        <v>1584</v>
      </c>
      <c r="AJ2655" s="1">
        <v>2015</v>
      </c>
      <c r="AK2655" s="1" t="s">
        <v>46</v>
      </c>
      <c r="AL2655" s="1">
        <v>49</v>
      </c>
    </row>
    <row r="2656" spans="1:38" x14ac:dyDescent="0.2">
      <c r="A2656" s="2" t="str">
        <f>HYPERLINK("https://www.compass.com/listing/261-west-25th-street-unit-2e-manhattan-ny-10001/29372516631873969/","261 W 25th St, Unit 2E")</f>
        <v>261 W 25th St, Unit 2E</v>
      </c>
      <c r="B2656" s="2" t="str">
        <f t="shared" si="437"/>
        <v>The Seymour</v>
      </c>
      <c r="C2656" s="1" t="s">
        <v>62</v>
      </c>
      <c r="D2656" s="1" t="s">
        <v>41</v>
      </c>
      <c r="E2656" s="3">
        <v>1295000</v>
      </c>
      <c r="F2656" s="1">
        <v>1653.8952745849199</v>
      </c>
      <c r="G2656" s="1">
        <v>3</v>
      </c>
      <c r="H2656" s="1">
        <v>1</v>
      </c>
      <c r="I2656" s="1">
        <v>1</v>
      </c>
      <c r="J2656" s="1">
        <v>1</v>
      </c>
      <c r="M2656" s="1">
        <v>783</v>
      </c>
      <c r="N2656" s="1">
        <v>886</v>
      </c>
      <c r="O2656" s="1">
        <v>1881</v>
      </c>
      <c r="P2656" s="1">
        <v>995</v>
      </c>
      <c r="Q2656" s="1" t="s">
        <v>42</v>
      </c>
      <c r="S2656" s="1" t="s">
        <v>42</v>
      </c>
      <c r="T2656" s="1" t="s">
        <v>273</v>
      </c>
      <c r="U2656" s="1">
        <v>51</v>
      </c>
      <c r="V2656" s="5">
        <v>43654</v>
      </c>
      <c r="W2656" s="5">
        <v>41942</v>
      </c>
      <c r="X2656" s="1">
        <v>1295000</v>
      </c>
      <c r="Y2656" s="1">
        <v>1295000</v>
      </c>
      <c r="Z2656" s="5">
        <v>41993</v>
      </c>
      <c r="AA2656" s="1">
        <v>1295000</v>
      </c>
      <c r="AB2656" s="1" t="s">
        <v>1585</v>
      </c>
      <c r="AC2656" s="5">
        <v>42397</v>
      </c>
      <c r="AF2656" s="1">
        <v>10001</v>
      </c>
      <c r="AI2656" s="1" t="s">
        <v>185</v>
      </c>
      <c r="AJ2656" s="1">
        <v>2015</v>
      </c>
      <c r="AK2656" s="1" t="s">
        <v>49</v>
      </c>
      <c r="AL2656" s="1">
        <v>49</v>
      </c>
    </row>
    <row r="2657" spans="1:38" x14ac:dyDescent="0.2">
      <c r="A2657" s="2" t="str">
        <f>HYPERLINK("https://www.compass.com/listing/261-west-25th-street-unit-3e-manhattan-ny-10001/29372518863246849/","261 W 25th St, Unit 3E")</f>
        <v>261 W 25th St, Unit 3E</v>
      </c>
      <c r="B2657" s="2" t="str">
        <f t="shared" si="437"/>
        <v>The Seymour</v>
      </c>
      <c r="C2657" s="1" t="s">
        <v>62</v>
      </c>
      <c r="D2657" s="1" t="s">
        <v>41</v>
      </c>
      <c r="E2657" s="3">
        <v>1333908</v>
      </c>
      <c r="F2657" s="1">
        <v>1703.58620689655</v>
      </c>
      <c r="G2657" s="1">
        <v>3</v>
      </c>
      <c r="H2657" s="1">
        <v>1</v>
      </c>
      <c r="I2657" s="1">
        <v>1</v>
      </c>
      <c r="J2657" s="1">
        <v>1</v>
      </c>
      <c r="M2657" s="1">
        <v>783</v>
      </c>
      <c r="N2657" s="1">
        <v>886</v>
      </c>
      <c r="O2657" s="1">
        <v>1881</v>
      </c>
      <c r="P2657" s="1">
        <v>995</v>
      </c>
      <c r="Q2657" s="1" t="s">
        <v>42</v>
      </c>
      <c r="S2657" s="1" t="s">
        <v>42</v>
      </c>
      <c r="T2657" s="1" t="s">
        <v>273</v>
      </c>
      <c r="U2657" s="1">
        <v>12</v>
      </c>
      <c r="V2657" s="5">
        <v>43650</v>
      </c>
      <c r="W2657" s="5">
        <v>41979</v>
      </c>
      <c r="X2657" s="1">
        <v>1310000</v>
      </c>
      <c r="Y2657" s="1">
        <v>1310000</v>
      </c>
      <c r="Z2657" s="5">
        <v>41991</v>
      </c>
      <c r="AA2657" s="1">
        <v>1333908</v>
      </c>
      <c r="AB2657" s="1" t="s">
        <v>1586</v>
      </c>
      <c r="AC2657" s="5">
        <v>42417</v>
      </c>
      <c r="AF2657" s="1">
        <v>10001</v>
      </c>
      <c r="AI2657" s="1" t="s">
        <v>185</v>
      </c>
      <c r="AJ2657" s="1">
        <v>2015</v>
      </c>
      <c r="AK2657" s="1" t="s">
        <v>49</v>
      </c>
      <c r="AL2657" s="1">
        <v>49</v>
      </c>
    </row>
    <row r="2658" spans="1:38" x14ac:dyDescent="0.2">
      <c r="A2658" s="2" t="str">
        <f>HYPERLINK("https://www.compass.com/listing/77-charlton-street-unit-npha-manhattan-ny-10014/430442299525547353/","77 Charlton St, Unit NPHA")</f>
        <v>77 Charlton St, Unit NPHA</v>
      </c>
      <c r="B2658" s="2" t="str">
        <f>HYPERLINK("https://www.compass.com/building/77-charlton-st-manhattan-ny-10014/282058735872933093/","77 Charlton St")</f>
        <v>77 Charlton St</v>
      </c>
      <c r="C2658" s="1" t="s">
        <v>53</v>
      </c>
      <c r="D2658" s="1" t="s">
        <v>41</v>
      </c>
      <c r="E2658" s="3">
        <v>3319479</v>
      </c>
      <c r="F2658" s="1">
        <v>2381.26183644189</v>
      </c>
      <c r="G2658" s="1">
        <v>4.5</v>
      </c>
      <c r="H2658" s="1">
        <v>2</v>
      </c>
      <c r="I2658" s="1">
        <v>3</v>
      </c>
      <c r="J2658" s="1">
        <v>2.5</v>
      </c>
      <c r="K2658" s="1">
        <v>2</v>
      </c>
      <c r="L2658" s="1">
        <v>1</v>
      </c>
      <c r="M2658" s="4">
        <v>1394</v>
      </c>
      <c r="N2658" s="1">
        <v>1822</v>
      </c>
      <c r="O2658" s="1">
        <v>4425</v>
      </c>
      <c r="P2658" s="1">
        <v>2603</v>
      </c>
      <c r="Q2658" s="1" t="s">
        <v>42</v>
      </c>
      <c r="S2658" s="1" t="s">
        <v>42</v>
      </c>
      <c r="T2658" s="1" t="s">
        <v>273</v>
      </c>
      <c r="V2658" s="5">
        <v>44404</v>
      </c>
      <c r="W2658" s="5">
        <v>43846</v>
      </c>
      <c r="X2658" s="1">
        <v>3249000</v>
      </c>
      <c r="Y2658" s="1">
        <v>3249000</v>
      </c>
      <c r="Z2658" s="5">
        <v>43846</v>
      </c>
      <c r="AA2658" s="1">
        <v>3319479</v>
      </c>
      <c r="AB2658" s="1" t="s">
        <v>1587</v>
      </c>
      <c r="AC2658" s="5">
        <v>44400</v>
      </c>
      <c r="AF2658" s="1">
        <v>10014</v>
      </c>
      <c r="AI2658" s="1" t="s">
        <v>211</v>
      </c>
      <c r="AJ2658" s="1">
        <v>2019</v>
      </c>
      <c r="AK2658" s="1" t="s">
        <v>46</v>
      </c>
      <c r="AL2658" s="1">
        <v>161</v>
      </c>
    </row>
    <row r="2659" spans="1:38" x14ac:dyDescent="0.2">
      <c r="A2659" s="2" t="str">
        <f>HYPERLINK("https://www.compass.com/listing/261-west-25th-street-unit-6c-manhattan-ny-10001/29372524911517809/","261 W 25th St, Unit 6C")</f>
        <v>261 W 25th St, Unit 6C</v>
      </c>
      <c r="B2659" s="2" t="str">
        <f>HYPERLINK("https://www.compass.com/building/the-seymour-manhattan-ny/281883155990840165/","The Seymour")</f>
        <v>The Seymour</v>
      </c>
      <c r="C2659" s="1" t="s">
        <v>62</v>
      </c>
      <c r="D2659" s="1" t="s">
        <v>41</v>
      </c>
      <c r="E2659" s="3">
        <v>2562500</v>
      </c>
      <c r="F2659" s="1">
        <v>2228.2608695652102</v>
      </c>
      <c r="G2659" s="1">
        <v>4</v>
      </c>
      <c r="H2659" s="1">
        <v>2</v>
      </c>
      <c r="I2659" s="1">
        <v>2</v>
      </c>
      <c r="M2659" s="4">
        <v>1150</v>
      </c>
      <c r="N2659" s="1">
        <v>1282</v>
      </c>
      <c r="O2659" s="1">
        <v>3722</v>
      </c>
      <c r="P2659" s="1">
        <v>2440</v>
      </c>
      <c r="Q2659" s="1" t="s">
        <v>42</v>
      </c>
      <c r="S2659" s="1" t="s">
        <v>42</v>
      </c>
      <c r="T2659" s="1" t="s">
        <v>273</v>
      </c>
      <c r="U2659" s="1">
        <v>40</v>
      </c>
      <c r="V2659" s="5">
        <v>43661</v>
      </c>
      <c r="W2659" s="5">
        <v>42860</v>
      </c>
      <c r="X2659" s="1">
        <v>2695000</v>
      </c>
      <c r="Y2659" s="1">
        <v>2695000</v>
      </c>
      <c r="Z2659" s="5">
        <v>42900</v>
      </c>
      <c r="AA2659" s="1">
        <v>2562500</v>
      </c>
      <c r="AB2659" s="1" t="s">
        <v>1556</v>
      </c>
      <c r="AC2659" s="5">
        <v>42934</v>
      </c>
      <c r="AF2659" s="1">
        <v>10001</v>
      </c>
      <c r="AI2659" s="1" t="s">
        <v>180</v>
      </c>
      <c r="AJ2659" s="1">
        <v>2015</v>
      </c>
      <c r="AK2659" s="1" t="s">
        <v>46</v>
      </c>
      <c r="AL2659" s="1">
        <v>49</v>
      </c>
    </row>
    <row r="2660" spans="1:38" x14ac:dyDescent="0.2">
      <c r="A2660" s="2" t="str">
        <f>HYPERLINK("https://www.compass.com/listing/77-charlton-street-unit-n12c-manhattan-ny-10014/430442295305925953/","77 Charlton St, Unit N12C")</f>
        <v>77 Charlton St, Unit N12C</v>
      </c>
      <c r="B2660" s="2" t="str">
        <f t="shared" ref="B2660:B2661" si="438">HYPERLINK("https://www.compass.com/building/77-charlton-st-manhattan-ny-10014/282058735872933093/","77 Charlton St")</f>
        <v>77 Charlton St</v>
      </c>
      <c r="C2660" s="1" t="s">
        <v>53</v>
      </c>
      <c r="D2660" s="1" t="s">
        <v>41</v>
      </c>
      <c r="E2660" s="3">
        <v>3570584</v>
      </c>
      <c r="F2660" s="1">
        <v>2213.6289522628599</v>
      </c>
      <c r="G2660" s="1">
        <v>5.5</v>
      </c>
      <c r="H2660" s="1">
        <v>3</v>
      </c>
      <c r="I2660" s="1">
        <v>4</v>
      </c>
      <c r="J2660" s="1">
        <v>3.5</v>
      </c>
      <c r="K2660" s="1">
        <v>3</v>
      </c>
      <c r="L2660" s="1">
        <v>1</v>
      </c>
      <c r="M2660" s="4">
        <v>1613</v>
      </c>
      <c r="N2660" s="1">
        <v>2004</v>
      </c>
      <c r="O2660" s="1">
        <v>4868</v>
      </c>
      <c r="P2660" s="1">
        <v>2864</v>
      </c>
      <c r="Q2660" s="1" t="s">
        <v>42</v>
      </c>
      <c r="S2660" s="1" t="s">
        <v>42</v>
      </c>
      <c r="T2660" s="1" t="s">
        <v>273</v>
      </c>
      <c r="V2660" s="5">
        <v>44404</v>
      </c>
      <c r="W2660" s="5">
        <v>43846</v>
      </c>
      <c r="X2660" s="1">
        <v>3495000</v>
      </c>
      <c r="Y2660" s="1">
        <v>3495000</v>
      </c>
      <c r="Z2660" s="5">
        <v>43846</v>
      </c>
      <c r="AA2660" s="1">
        <v>3570583.5</v>
      </c>
      <c r="AB2660" s="1" t="s">
        <v>1588</v>
      </c>
      <c r="AC2660" s="5">
        <v>44377</v>
      </c>
      <c r="AF2660" s="1">
        <v>10014</v>
      </c>
      <c r="AI2660" s="1" t="s">
        <v>211</v>
      </c>
      <c r="AJ2660" s="1">
        <v>2019</v>
      </c>
      <c r="AK2660" s="1" t="s">
        <v>46</v>
      </c>
      <c r="AL2660" s="1">
        <v>161</v>
      </c>
    </row>
    <row r="2661" spans="1:38" x14ac:dyDescent="0.2">
      <c r="A2661" s="2" t="str">
        <f>HYPERLINK("https://www.compass.com/listing/77-charlton-street-unit-sphc-manhattan-ny-10014/430459299534752881/","77 Charlton St, Unit SPHC")</f>
        <v>77 Charlton St, Unit SPHC</v>
      </c>
      <c r="B2661" s="2" t="str">
        <f t="shared" si="438"/>
        <v>77 Charlton St</v>
      </c>
      <c r="C2661" s="1" t="s">
        <v>53</v>
      </c>
      <c r="D2661" s="1" t="s">
        <v>41</v>
      </c>
      <c r="E2661" s="3">
        <v>2707018</v>
      </c>
      <c r="F2661" s="1">
        <v>2270.9879446308701</v>
      </c>
      <c r="G2661" s="1">
        <v>3.5</v>
      </c>
      <c r="H2661" s="1">
        <v>2</v>
      </c>
      <c r="I2661" s="1">
        <v>3</v>
      </c>
      <c r="J2661" s="1">
        <v>2.5</v>
      </c>
      <c r="K2661" s="1">
        <v>2</v>
      </c>
      <c r="L2661" s="1">
        <v>1</v>
      </c>
      <c r="M2661" s="4">
        <v>1192</v>
      </c>
      <c r="N2661" s="1">
        <v>1622</v>
      </c>
      <c r="O2661" s="1">
        <v>3940</v>
      </c>
      <c r="P2661" s="1">
        <v>2318</v>
      </c>
      <c r="Q2661" s="1" t="s">
        <v>42</v>
      </c>
      <c r="S2661" s="1" t="s">
        <v>42</v>
      </c>
      <c r="T2661" s="1" t="s">
        <v>273</v>
      </c>
      <c r="V2661" s="5">
        <v>44404</v>
      </c>
      <c r="W2661" s="5">
        <v>43846</v>
      </c>
      <c r="X2661" s="1">
        <v>2825000</v>
      </c>
      <c r="Y2661" s="1">
        <v>2825000</v>
      </c>
      <c r="Z2661" s="5">
        <v>43846</v>
      </c>
      <c r="AA2661" s="1">
        <v>2707017.63</v>
      </c>
      <c r="AB2661" s="1" t="s">
        <v>1589</v>
      </c>
      <c r="AC2661" s="5">
        <v>44375</v>
      </c>
      <c r="AF2661" s="1">
        <v>10014</v>
      </c>
      <c r="AI2661" s="1" t="s">
        <v>211</v>
      </c>
      <c r="AJ2661" s="1">
        <v>2019</v>
      </c>
      <c r="AK2661" s="1" t="s">
        <v>46</v>
      </c>
      <c r="AL2661" s="1">
        <v>161</v>
      </c>
    </row>
    <row r="2662" spans="1:38" x14ac:dyDescent="0.2">
      <c r="A2662" s="2" t="str">
        <f>HYPERLINK("https://www.compass.com/listing/527-west-27th-street-unit-3b-manhattan-ny-10001/29514172261791777/","527 W 27th St, Unit 3B")</f>
        <v>527 W 27th St, Unit 3B</v>
      </c>
      <c r="B2662" s="2" t="str">
        <f>HYPERLINK("https://www.compass.com/building/jardim-manhattan-ny/282062246220171157/","Jardim")</f>
        <v>Jardim</v>
      </c>
      <c r="C2662" s="1" t="s">
        <v>62</v>
      </c>
      <c r="D2662" s="1" t="s">
        <v>41</v>
      </c>
      <c r="E2662" s="3">
        <v>1960000</v>
      </c>
      <c r="F2662" s="1">
        <v>2585.7519788918198</v>
      </c>
      <c r="G2662" s="1">
        <v>3</v>
      </c>
      <c r="H2662" s="1">
        <v>1</v>
      </c>
      <c r="I2662" s="1">
        <v>1</v>
      </c>
      <c r="J2662" s="1">
        <v>1</v>
      </c>
      <c r="K2662" s="1">
        <v>1</v>
      </c>
      <c r="M2662" s="1">
        <v>758</v>
      </c>
      <c r="N2662" s="1">
        <v>1148</v>
      </c>
      <c r="O2662" s="1">
        <v>2520</v>
      </c>
      <c r="P2662" s="1">
        <v>1372</v>
      </c>
      <c r="Q2662" s="1" t="s">
        <v>42</v>
      </c>
      <c r="S2662" s="1" t="s">
        <v>42</v>
      </c>
      <c r="T2662" s="1" t="s">
        <v>273</v>
      </c>
      <c r="U2662" s="1">
        <v>170</v>
      </c>
      <c r="V2662" s="5">
        <v>44225</v>
      </c>
      <c r="W2662" s="5">
        <v>42746</v>
      </c>
      <c r="X2662" s="1">
        <v>1960000</v>
      </c>
      <c r="Y2662" s="1">
        <v>1960000</v>
      </c>
      <c r="Z2662" s="5">
        <v>42917</v>
      </c>
      <c r="AA2662" s="1">
        <v>1960000</v>
      </c>
      <c r="AB2662" s="1" t="s">
        <v>1590</v>
      </c>
      <c r="AC2662" s="5">
        <v>43685</v>
      </c>
      <c r="AF2662" s="1">
        <v>10001</v>
      </c>
      <c r="AI2662" s="1" t="s">
        <v>1071</v>
      </c>
      <c r="AJ2662" s="1">
        <v>2017</v>
      </c>
      <c r="AK2662" s="1" t="s">
        <v>49</v>
      </c>
      <c r="AL2662" s="1">
        <v>36</v>
      </c>
    </row>
    <row r="2663" spans="1:38" x14ac:dyDescent="0.2">
      <c r="A2663" s="2" t="str">
        <f>HYPERLINK("https://www.compass.com/listing/235-west-75th-street-unit-211-manhattan-ny-10023/29395881899948897/","235 W 75th St, Unit 211")</f>
        <v>235 W 75th St, Unit 211</v>
      </c>
      <c r="B2663" s="2" t="str">
        <f t="shared" ref="B2663:B2665" si="439">HYPERLINK("https://www.compass.com/building/the-astor-manhattan-ny/281958704155269925/","The Astor")</f>
        <v>The Astor</v>
      </c>
      <c r="C2663" s="1" t="s">
        <v>57</v>
      </c>
      <c r="D2663" s="1" t="s">
        <v>41</v>
      </c>
      <c r="E2663" s="3">
        <v>1815987</v>
      </c>
      <c r="F2663" s="1">
        <v>1877.95966907962</v>
      </c>
      <c r="G2663" s="1">
        <v>2</v>
      </c>
      <c r="H2663" s="1">
        <v>1</v>
      </c>
      <c r="I2663" s="1">
        <v>1</v>
      </c>
      <c r="J2663" s="1">
        <v>1.5</v>
      </c>
      <c r="K2663" s="1">
        <v>1</v>
      </c>
      <c r="L2663" s="1">
        <v>1</v>
      </c>
      <c r="M2663" s="1">
        <v>967</v>
      </c>
      <c r="N2663" s="1">
        <v>1282</v>
      </c>
      <c r="O2663" s="1">
        <v>2677</v>
      </c>
      <c r="P2663" s="1">
        <v>1395</v>
      </c>
      <c r="Q2663" s="1" t="s">
        <v>42</v>
      </c>
      <c r="S2663" s="1" t="s">
        <v>42</v>
      </c>
      <c r="T2663" s="1" t="s">
        <v>273</v>
      </c>
      <c r="U2663" s="1">
        <v>301</v>
      </c>
      <c r="V2663" s="5">
        <v>43638</v>
      </c>
      <c r="W2663" s="5">
        <v>42621</v>
      </c>
      <c r="X2663" s="1">
        <v>1950000</v>
      </c>
      <c r="Y2663" s="1">
        <v>1950000</v>
      </c>
      <c r="Z2663" s="5">
        <v>42922</v>
      </c>
      <c r="AA2663" s="1">
        <v>1815987</v>
      </c>
      <c r="AB2663" s="1" t="s">
        <v>1591</v>
      </c>
      <c r="AC2663" s="5">
        <v>43197</v>
      </c>
      <c r="AF2663" s="1">
        <v>10023</v>
      </c>
      <c r="AJ2663" s="1">
        <v>2018</v>
      </c>
      <c r="AK2663" s="1" t="s">
        <v>46</v>
      </c>
      <c r="AL2663" s="1">
        <v>98</v>
      </c>
    </row>
    <row r="2664" spans="1:38" x14ac:dyDescent="0.2">
      <c r="A2664" s="2" t="str">
        <f>HYPERLINK("https://www.compass.com/listing/235-west-75th-street-unit-813-manhattan-ny-10023/29509622322748737/","235 W 75th St, Unit 813")</f>
        <v>235 W 75th St, Unit 813</v>
      </c>
      <c r="B2664" s="2" t="str">
        <f t="shared" si="439"/>
        <v>The Astor</v>
      </c>
      <c r="C2664" s="1" t="s">
        <v>57</v>
      </c>
      <c r="D2664" s="1" t="s">
        <v>41</v>
      </c>
      <c r="E2664" s="3">
        <v>1986243</v>
      </c>
      <c r="F2664" s="1">
        <v>2082.01572327044</v>
      </c>
      <c r="G2664" s="1">
        <v>2</v>
      </c>
      <c r="H2664" s="1">
        <v>1</v>
      </c>
      <c r="I2664" s="1">
        <v>1</v>
      </c>
      <c r="J2664" s="1">
        <v>1.5</v>
      </c>
      <c r="K2664" s="1">
        <v>1</v>
      </c>
      <c r="L2664" s="1">
        <v>1</v>
      </c>
      <c r="M2664" s="1">
        <v>954</v>
      </c>
      <c r="N2664" s="1">
        <v>1247</v>
      </c>
      <c r="O2664" s="1">
        <v>2605</v>
      </c>
      <c r="P2664" s="1">
        <v>1358</v>
      </c>
      <c r="Q2664" s="1" t="s">
        <v>42</v>
      </c>
      <c r="S2664" s="1" t="s">
        <v>42</v>
      </c>
      <c r="T2664" s="1" t="s">
        <v>273</v>
      </c>
      <c r="U2664" s="1">
        <v>481</v>
      </c>
      <c r="V2664" s="5">
        <v>43384</v>
      </c>
      <c r="W2664" s="5">
        <v>42831</v>
      </c>
      <c r="X2664" s="1">
        <v>2010000</v>
      </c>
      <c r="Y2664" s="1">
        <v>2010000</v>
      </c>
      <c r="Z2664" s="5">
        <v>42833</v>
      </c>
      <c r="AA2664" s="1">
        <v>1986243</v>
      </c>
      <c r="AB2664" s="1" t="s">
        <v>1592</v>
      </c>
      <c r="AC2664" s="5">
        <v>43382</v>
      </c>
      <c r="AF2664" s="1">
        <v>10023</v>
      </c>
      <c r="AJ2664" s="1">
        <v>2018</v>
      </c>
      <c r="AK2664" s="1" t="s">
        <v>46</v>
      </c>
      <c r="AL2664" s="1">
        <v>98</v>
      </c>
    </row>
    <row r="2665" spans="1:38" x14ac:dyDescent="0.2">
      <c r="A2665" s="2" t="str">
        <f>HYPERLINK("https://www.compass.com/listing/235-west-75th-street-unit-507-manhattan-ny-10023/29395870508198177/","235 W 75th St, Unit 507")</f>
        <v>235 W 75th St, Unit 507</v>
      </c>
      <c r="B2665" s="2" t="str">
        <f t="shared" si="439"/>
        <v>The Astor</v>
      </c>
      <c r="C2665" s="1" t="s">
        <v>57</v>
      </c>
      <c r="D2665" s="1" t="s">
        <v>41</v>
      </c>
      <c r="E2665" s="3">
        <v>3409045</v>
      </c>
      <c r="F2665" s="1">
        <v>2200.8037443511898</v>
      </c>
      <c r="G2665" s="1">
        <v>3</v>
      </c>
      <c r="H2665" s="1">
        <v>2</v>
      </c>
      <c r="I2665" s="1">
        <v>2</v>
      </c>
      <c r="J2665" s="1">
        <v>2.5</v>
      </c>
      <c r="K2665" s="1">
        <v>2</v>
      </c>
      <c r="L2665" s="1">
        <v>1</v>
      </c>
      <c r="M2665" s="4">
        <v>1549</v>
      </c>
      <c r="N2665" s="1">
        <v>2006</v>
      </c>
      <c r="O2665" s="1">
        <v>4203</v>
      </c>
      <c r="P2665" s="1">
        <v>2197</v>
      </c>
      <c r="Q2665" s="1" t="s">
        <v>42</v>
      </c>
      <c r="S2665" s="1" t="s">
        <v>42</v>
      </c>
      <c r="T2665" s="1" t="s">
        <v>273</v>
      </c>
      <c r="U2665" s="1">
        <v>41</v>
      </c>
      <c r="V2665" s="5">
        <v>43650</v>
      </c>
      <c r="W2665" s="5">
        <v>42123</v>
      </c>
      <c r="X2665" s="1">
        <v>3322000</v>
      </c>
      <c r="Y2665" s="1">
        <v>3322000</v>
      </c>
      <c r="Z2665" s="5">
        <v>42164</v>
      </c>
      <c r="AA2665" s="1">
        <v>3409045</v>
      </c>
      <c r="AB2665" s="1" t="s">
        <v>1593</v>
      </c>
      <c r="AC2665" s="5">
        <v>42420</v>
      </c>
      <c r="AF2665" s="1">
        <v>10023</v>
      </c>
      <c r="AJ2665" s="1">
        <v>2018</v>
      </c>
      <c r="AK2665" s="1" t="s">
        <v>46</v>
      </c>
      <c r="AL2665" s="1">
        <v>98</v>
      </c>
    </row>
    <row r="2666" spans="1:38" x14ac:dyDescent="0.2">
      <c r="A2666" s="2" t="str">
        <f>HYPERLINK("https://www.compass.com/listing/261-west-25th-street-unit-6e-manhattan-ny-10001/803316718667416697/","261 W 25th St, Unit 6E")</f>
        <v>261 W 25th St, Unit 6E</v>
      </c>
      <c r="B2666" s="2" t="str">
        <f t="shared" ref="B2666:B2669" si="440">HYPERLINK("https://www.compass.com/building/the-seymour-manhattan-ny/281883155990840165/","The Seymour")</f>
        <v>The Seymour</v>
      </c>
      <c r="C2666" s="1" t="s">
        <v>62</v>
      </c>
      <c r="D2666" s="1" t="s">
        <v>41</v>
      </c>
      <c r="E2666" s="3">
        <v>1405000</v>
      </c>
      <c r="F2666" s="1">
        <v>1794.38058748403</v>
      </c>
      <c r="G2666" s="1">
        <v>3</v>
      </c>
      <c r="H2666" s="1">
        <v>1</v>
      </c>
      <c r="I2666" s="1">
        <v>1</v>
      </c>
      <c r="J2666" s="1">
        <v>1</v>
      </c>
      <c r="K2666" s="1">
        <v>1</v>
      </c>
      <c r="M2666" s="1">
        <v>783</v>
      </c>
      <c r="N2666" s="1">
        <v>968</v>
      </c>
      <c r="O2666" s="1">
        <v>968</v>
      </c>
      <c r="Q2666" s="1" t="s">
        <v>42</v>
      </c>
      <c r="S2666" s="1" t="s">
        <v>42</v>
      </c>
      <c r="T2666" s="1" t="s">
        <v>273</v>
      </c>
      <c r="U2666" s="1">
        <v>96</v>
      </c>
      <c r="V2666" s="5">
        <v>44106</v>
      </c>
      <c r="W2666" s="5">
        <v>43892</v>
      </c>
      <c r="X2666" s="1">
        <v>1525000</v>
      </c>
      <c r="Y2666" s="1">
        <v>1525000</v>
      </c>
      <c r="AA2666" s="1">
        <v>1405000</v>
      </c>
      <c r="AB2666" s="1" t="s">
        <v>1594</v>
      </c>
      <c r="AC2666" s="5">
        <v>44083</v>
      </c>
      <c r="AF2666" s="1">
        <v>10001</v>
      </c>
      <c r="AI2666" s="1" t="s">
        <v>130</v>
      </c>
      <c r="AJ2666" s="1">
        <v>2015</v>
      </c>
      <c r="AK2666" s="1" t="s">
        <v>49</v>
      </c>
      <c r="AL2666" s="1">
        <v>49</v>
      </c>
    </row>
    <row r="2667" spans="1:38" x14ac:dyDescent="0.2">
      <c r="A2667" s="2" t="str">
        <f>HYPERLINK("https://www.compass.com/listing/261-west-25th-street-unit-7b-manhattan-ny-10001/29372528149432945/","261 W 25th St, Unit 7B")</f>
        <v>261 W 25th St, Unit 7B</v>
      </c>
      <c r="B2667" s="2" t="str">
        <f t="shared" si="440"/>
        <v>The Seymour</v>
      </c>
      <c r="C2667" s="1" t="s">
        <v>62</v>
      </c>
      <c r="D2667" s="1" t="s">
        <v>41</v>
      </c>
      <c r="E2667" s="3">
        <v>2947834</v>
      </c>
      <c r="F2667" s="1">
        <v>2020.44825222755</v>
      </c>
      <c r="G2667" s="1">
        <v>4</v>
      </c>
      <c r="H2667" s="1">
        <v>2</v>
      </c>
      <c r="I2667" s="1">
        <v>3</v>
      </c>
      <c r="J2667" s="1">
        <v>2.5</v>
      </c>
      <c r="M2667" s="4">
        <v>1459</v>
      </c>
      <c r="N2667" s="1">
        <v>1692</v>
      </c>
      <c r="O2667" s="1">
        <v>3546</v>
      </c>
      <c r="P2667" s="1">
        <v>1854</v>
      </c>
      <c r="Q2667" s="1" t="s">
        <v>42</v>
      </c>
      <c r="S2667" s="1" t="s">
        <v>42</v>
      </c>
      <c r="T2667" s="1" t="s">
        <v>273</v>
      </c>
      <c r="U2667" s="1">
        <v>78</v>
      </c>
      <c r="V2667" s="5">
        <v>43650</v>
      </c>
      <c r="W2667" s="5">
        <v>41947</v>
      </c>
      <c r="X2667" s="1">
        <v>2770000</v>
      </c>
      <c r="Y2667" s="1">
        <v>2770000</v>
      </c>
      <c r="Z2667" s="5">
        <v>42025</v>
      </c>
      <c r="AA2667" s="1">
        <v>2947834</v>
      </c>
      <c r="AB2667" s="1" t="s">
        <v>1595</v>
      </c>
      <c r="AC2667" s="5">
        <v>42417</v>
      </c>
      <c r="AF2667" s="1">
        <v>10001</v>
      </c>
      <c r="AI2667" s="1" t="s">
        <v>185</v>
      </c>
      <c r="AJ2667" s="1">
        <v>2015</v>
      </c>
      <c r="AK2667" s="1" t="s">
        <v>46</v>
      </c>
      <c r="AL2667" s="1">
        <v>49</v>
      </c>
    </row>
    <row r="2668" spans="1:38" x14ac:dyDescent="0.2">
      <c r="A2668" s="2" t="str">
        <f>HYPERLINK("https://www.compass.com/listing/261-west-25th-street-unit-4b-manhattan-ny-10001/70924612426338369/","261 W 25th St, Unit 4B")</f>
        <v>261 W 25th St, Unit 4B</v>
      </c>
      <c r="B2668" s="2" t="str">
        <f t="shared" si="440"/>
        <v>The Seymour</v>
      </c>
      <c r="C2668" s="1" t="s">
        <v>62</v>
      </c>
      <c r="D2668" s="1" t="s">
        <v>41</v>
      </c>
      <c r="E2668" s="3">
        <v>2576173</v>
      </c>
      <c r="F2668" s="1">
        <v>1765.71144619602</v>
      </c>
      <c r="G2668" s="1">
        <v>4</v>
      </c>
      <c r="H2668" s="1">
        <v>2</v>
      </c>
      <c r="I2668" s="1">
        <v>3</v>
      </c>
      <c r="J2668" s="1">
        <v>2.5</v>
      </c>
      <c r="M2668" s="4">
        <v>1459</v>
      </c>
      <c r="N2668" s="1">
        <v>1692</v>
      </c>
      <c r="O2668" s="1">
        <v>3546</v>
      </c>
      <c r="P2668" s="1">
        <v>1854</v>
      </c>
      <c r="Q2668" s="1" t="s">
        <v>42</v>
      </c>
      <c r="S2668" s="1" t="s">
        <v>42</v>
      </c>
      <c r="T2668" s="1" t="s">
        <v>273</v>
      </c>
      <c r="U2668" s="1">
        <v>103</v>
      </c>
      <c r="V2668" s="5">
        <v>43643</v>
      </c>
      <c r="W2668" s="5">
        <v>41844</v>
      </c>
      <c r="X2668" s="1">
        <v>2530000</v>
      </c>
      <c r="Y2668" s="1">
        <v>2530000</v>
      </c>
      <c r="Z2668" s="5">
        <v>41947</v>
      </c>
      <c r="AA2668" s="1">
        <v>2576173</v>
      </c>
      <c r="AB2668" s="1" t="s">
        <v>1596</v>
      </c>
      <c r="AC2668" s="5">
        <v>42434</v>
      </c>
      <c r="AF2668" s="1">
        <v>10001</v>
      </c>
      <c r="AI2668" s="1" t="s">
        <v>185</v>
      </c>
      <c r="AJ2668" s="1">
        <v>2015</v>
      </c>
      <c r="AK2668" s="1" t="s">
        <v>46</v>
      </c>
      <c r="AL2668" s="1">
        <v>49</v>
      </c>
    </row>
    <row r="2669" spans="1:38" x14ac:dyDescent="0.2">
      <c r="A2669" s="2" t="str">
        <f>HYPERLINK("https://www.compass.com/listing/261-west-25th-street-unit-6a-manhattan-ny-10001/79386699339224289/","261 W 25th St, Unit 6A")</f>
        <v>261 W 25th St, Unit 6A</v>
      </c>
      <c r="B2669" s="2" t="str">
        <f t="shared" si="440"/>
        <v>The Seymour</v>
      </c>
      <c r="C2669" s="1" t="s">
        <v>62</v>
      </c>
      <c r="D2669" s="1" t="s">
        <v>41</v>
      </c>
      <c r="E2669" s="3">
        <v>1420000</v>
      </c>
      <c r="F2669" s="1">
        <v>1972.2222222222199</v>
      </c>
      <c r="G2669" s="1">
        <v>5</v>
      </c>
      <c r="H2669" s="1">
        <v>1</v>
      </c>
      <c r="I2669" s="1">
        <v>1</v>
      </c>
      <c r="J2669" s="1">
        <v>1</v>
      </c>
      <c r="M2669" s="1">
        <v>720</v>
      </c>
      <c r="N2669" s="1">
        <v>1193</v>
      </c>
      <c r="O2669" s="1">
        <v>2028</v>
      </c>
      <c r="P2669" s="1">
        <v>835</v>
      </c>
      <c r="Q2669" s="1" t="s">
        <v>42</v>
      </c>
      <c r="S2669" s="1" t="s">
        <v>100</v>
      </c>
      <c r="T2669" s="1" t="s">
        <v>273</v>
      </c>
      <c r="U2669" s="1">
        <v>68</v>
      </c>
      <c r="V2669" s="5">
        <v>43285</v>
      </c>
      <c r="W2669" s="5">
        <v>43210</v>
      </c>
      <c r="Y2669" s="1">
        <v>1460000</v>
      </c>
      <c r="AA2669" s="1">
        <v>1420000</v>
      </c>
      <c r="AB2669" s="1" t="s">
        <v>1597</v>
      </c>
      <c r="AC2669" s="5">
        <v>43278</v>
      </c>
      <c r="AF2669" s="1">
        <v>10001</v>
      </c>
      <c r="AI2669" s="1" t="s">
        <v>1598</v>
      </c>
      <c r="AJ2669" s="1">
        <v>2015</v>
      </c>
      <c r="AK2669" s="1" t="s">
        <v>49</v>
      </c>
      <c r="AL2669" s="1">
        <v>49</v>
      </c>
    </row>
    <row r="2670" spans="1:38" x14ac:dyDescent="0.2">
      <c r="A2670" s="2" t="str">
        <f>HYPERLINK("https://www.compass.com/listing/235-west-75th-street-unit-1020-manhattan-ny-10023/29395879182019009/","235 W 75th St, Unit 1020")</f>
        <v>235 W 75th St, Unit 1020</v>
      </c>
      <c r="B2670" s="2" t="str">
        <f>HYPERLINK("https://www.compass.com/building/the-astor-manhattan-ny/281958704155269925/","The Astor")</f>
        <v>The Astor</v>
      </c>
      <c r="C2670" s="1" t="s">
        <v>57</v>
      </c>
      <c r="D2670" s="1" t="s">
        <v>41</v>
      </c>
      <c r="E2670" s="3">
        <v>5124460</v>
      </c>
      <c r="F2670" s="1">
        <v>2681.5593929879601</v>
      </c>
      <c r="G2670" s="1">
        <v>4</v>
      </c>
      <c r="H2670" s="1">
        <v>3</v>
      </c>
      <c r="I2670" s="1">
        <v>3</v>
      </c>
      <c r="J2670" s="1">
        <v>3</v>
      </c>
      <c r="K2670" s="1">
        <v>3</v>
      </c>
      <c r="M2670" s="4">
        <v>1911</v>
      </c>
      <c r="N2670" s="1">
        <v>2547</v>
      </c>
      <c r="O2670" s="1">
        <v>5319</v>
      </c>
      <c r="P2670" s="1">
        <v>2772</v>
      </c>
      <c r="Q2670" s="1" t="s">
        <v>42</v>
      </c>
      <c r="S2670" s="1" t="s">
        <v>42</v>
      </c>
      <c r="T2670" s="1" t="s">
        <v>273</v>
      </c>
      <c r="U2670" s="1">
        <v>90</v>
      </c>
      <c r="V2670" s="5">
        <v>43675</v>
      </c>
      <c r="W2670" s="5">
        <v>42455</v>
      </c>
      <c r="X2670" s="1">
        <v>5099000</v>
      </c>
      <c r="Y2670" s="1">
        <v>5000000</v>
      </c>
      <c r="Z2670" s="5">
        <v>42545</v>
      </c>
      <c r="AA2670" s="1">
        <v>5124460</v>
      </c>
      <c r="AB2670" s="1" t="s">
        <v>1599</v>
      </c>
      <c r="AC2670" s="5">
        <v>42563</v>
      </c>
      <c r="AF2670" s="1">
        <v>10023</v>
      </c>
      <c r="AJ2670" s="1">
        <v>2018</v>
      </c>
      <c r="AK2670" s="1" t="s">
        <v>46</v>
      </c>
      <c r="AL2670" s="1">
        <v>98</v>
      </c>
    </row>
    <row r="2671" spans="1:38" x14ac:dyDescent="0.2">
      <c r="A2671" s="2" t="str">
        <f>HYPERLINK("https://www.compass.com/listing/261-west-25th-street-unit-4b-manhattan-ny-10001/29372519760912353/","261 W 25th St, Unit 4B")</f>
        <v>261 W 25th St, Unit 4B</v>
      </c>
      <c r="B2671" s="2" t="str">
        <f t="shared" ref="B2671:B2674" si="441">HYPERLINK("https://www.compass.com/building/the-seymour-manhattan-ny/281883155990840165/","The Seymour")</f>
        <v>The Seymour</v>
      </c>
      <c r="C2671" s="1" t="s">
        <v>62</v>
      </c>
      <c r="D2671" s="1" t="s">
        <v>41</v>
      </c>
      <c r="E2671" s="3">
        <v>2576172</v>
      </c>
      <c r="F2671" s="1">
        <v>1765.71076079506</v>
      </c>
      <c r="G2671" s="1">
        <v>4</v>
      </c>
      <c r="H2671" s="1">
        <v>2</v>
      </c>
      <c r="I2671" s="1">
        <v>3</v>
      </c>
      <c r="J2671" s="1">
        <v>0.5</v>
      </c>
      <c r="L2671" s="1">
        <v>1</v>
      </c>
      <c r="M2671" s="4">
        <v>1459</v>
      </c>
      <c r="N2671" s="1">
        <v>1692</v>
      </c>
      <c r="O2671" s="1">
        <v>3546</v>
      </c>
      <c r="P2671" s="1">
        <v>1854</v>
      </c>
      <c r="Q2671" s="1" t="s">
        <v>42</v>
      </c>
      <c r="S2671" s="1" t="s">
        <v>42</v>
      </c>
      <c r="T2671" s="1" t="s">
        <v>273</v>
      </c>
      <c r="U2671" s="1">
        <v>103</v>
      </c>
      <c r="V2671" s="5">
        <v>43650</v>
      </c>
      <c r="W2671" s="5">
        <v>41844</v>
      </c>
      <c r="X2671" s="1">
        <v>2530000</v>
      </c>
      <c r="Y2671" s="1">
        <v>2530000</v>
      </c>
      <c r="Z2671" s="5">
        <v>41947</v>
      </c>
      <c r="AA2671" s="1">
        <v>2576172</v>
      </c>
      <c r="AB2671" s="1" t="s">
        <v>1596</v>
      </c>
      <c r="AC2671" s="5">
        <v>42434</v>
      </c>
      <c r="AF2671" s="1">
        <v>10001</v>
      </c>
      <c r="AI2671" s="1" t="s">
        <v>180</v>
      </c>
      <c r="AJ2671" s="1">
        <v>2015</v>
      </c>
      <c r="AK2671" s="1" t="s">
        <v>46</v>
      </c>
      <c r="AL2671" s="1">
        <v>49</v>
      </c>
    </row>
    <row r="2672" spans="1:38" x14ac:dyDescent="0.2">
      <c r="A2672" s="2" t="str">
        <f>HYPERLINK("https://www.compass.com/listing/261-west-25th-street-unit-3b-manhattan-ny-10001/29372517638510065/","261 W 25th St, Unit 3B")</f>
        <v>261 W 25th St, Unit 3B</v>
      </c>
      <c r="B2672" s="2" t="str">
        <f t="shared" si="441"/>
        <v>The Seymour</v>
      </c>
      <c r="C2672" s="1" t="s">
        <v>62</v>
      </c>
      <c r="D2672" s="1" t="s">
        <v>41</v>
      </c>
      <c r="E2672" s="3">
        <v>2545625</v>
      </c>
      <c r="F2672" s="1">
        <v>1744.77381768334</v>
      </c>
      <c r="G2672" s="1">
        <v>4</v>
      </c>
      <c r="H2672" s="1">
        <v>2</v>
      </c>
      <c r="I2672" s="1">
        <v>3</v>
      </c>
      <c r="J2672" s="1">
        <v>2.5</v>
      </c>
      <c r="M2672" s="4">
        <v>1459</v>
      </c>
      <c r="N2672" s="1">
        <v>1652</v>
      </c>
      <c r="O2672" s="1">
        <v>3506</v>
      </c>
      <c r="P2672" s="1">
        <v>1854</v>
      </c>
      <c r="Q2672" s="1" t="s">
        <v>42</v>
      </c>
      <c r="S2672" s="1" t="s">
        <v>42</v>
      </c>
      <c r="T2672" s="1" t="s">
        <v>273</v>
      </c>
      <c r="U2672" s="1">
        <v>119</v>
      </c>
      <c r="V2672" s="5">
        <v>43634</v>
      </c>
      <c r="W2672" s="5">
        <v>41947</v>
      </c>
      <c r="X2672" s="1">
        <v>2500000</v>
      </c>
      <c r="Y2672" s="1">
        <v>2500000</v>
      </c>
      <c r="Z2672" s="5">
        <v>42066</v>
      </c>
      <c r="AA2672" s="1">
        <v>2545625</v>
      </c>
      <c r="AB2672" s="1" t="s">
        <v>1600</v>
      </c>
      <c r="AC2672" s="5">
        <v>42429</v>
      </c>
      <c r="AF2672" s="1">
        <v>10001</v>
      </c>
      <c r="AI2672" s="1" t="s">
        <v>185</v>
      </c>
      <c r="AJ2672" s="1">
        <v>2015</v>
      </c>
      <c r="AK2672" s="1" t="s">
        <v>49</v>
      </c>
      <c r="AL2672" s="1">
        <v>49</v>
      </c>
    </row>
    <row r="2673" spans="1:38" x14ac:dyDescent="0.2">
      <c r="A2673" s="2" t="str">
        <f>HYPERLINK("https://www.compass.com/listing/261-west-25th-street-unit-1a-manhattan-ny-10001/4852272896883568545/","261 W 25th St, Unit 1A")</f>
        <v>261 W 25th St, Unit 1A</v>
      </c>
      <c r="B2673" s="2" t="str">
        <f t="shared" si="441"/>
        <v>The Seymour</v>
      </c>
      <c r="C2673" s="1" t="s">
        <v>62</v>
      </c>
      <c r="D2673" s="1" t="s">
        <v>41</v>
      </c>
      <c r="E2673" s="3">
        <v>2575000</v>
      </c>
      <c r="F2673" s="1">
        <v>1910.2373887240301</v>
      </c>
      <c r="G2673" s="1">
        <v>4</v>
      </c>
      <c r="H2673" s="1">
        <v>2</v>
      </c>
      <c r="I2673" s="1">
        <v>3</v>
      </c>
      <c r="J2673" s="1">
        <v>2.5</v>
      </c>
      <c r="M2673" s="4">
        <v>1348</v>
      </c>
      <c r="N2673" s="1">
        <v>1683</v>
      </c>
      <c r="O2673" s="1">
        <v>3526</v>
      </c>
      <c r="P2673" s="1">
        <v>1843</v>
      </c>
      <c r="Q2673" s="1" t="s">
        <v>42</v>
      </c>
      <c r="S2673" s="1" t="s">
        <v>42</v>
      </c>
      <c r="T2673" s="1" t="s">
        <v>273</v>
      </c>
      <c r="U2673" s="1">
        <v>127</v>
      </c>
      <c r="V2673" s="5">
        <v>43663</v>
      </c>
      <c r="W2673" s="5">
        <v>41866</v>
      </c>
      <c r="X2673" s="1">
        <v>2575000</v>
      </c>
      <c r="Y2673" s="1">
        <v>2575000</v>
      </c>
      <c r="Z2673" s="5">
        <v>41993</v>
      </c>
      <c r="AA2673" s="1">
        <v>2575000</v>
      </c>
      <c r="AB2673" s="1" t="s">
        <v>275</v>
      </c>
      <c r="AC2673" s="5">
        <v>42505</v>
      </c>
      <c r="AF2673" s="1">
        <v>10001</v>
      </c>
      <c r="AI2673" s="1" t="s">
        <v>185</v>
      </c>
      <c r="AJ2673" s="1">
        <v>2015</v>
      </c>
      <c r="AK2673" s="1" t="s">
        <v>49</v>
      </c>
      <c r="AL2673" s="1">
        <v>49</v>
      </c>
    </row>
    <row r="2674" spans="1:38" x14ac:dyDescent="0.2">
      <c r="A2674" s="2" t="str">
        <f>HYPERLINK("https://www.compass.com/listing/261-west-25th-street-unit-7b-manhattan-ny-10001/29372528157821617/","261 W 25th St, Unit 7B")</f>
        <v>261 W 25th St, Unit 7B</v>
      </c>
      <c r="B2674" s="2" t="str">
        <f t="shared" si="441"/>
        <v>The Seymour</v>
      </c>
      <c r="C2674" s="1" t="s">
        <v>62</v>
      </c>
      <c r="D2674" s="1" t="s">
        <v>41</v>
      </c>
      <c r="E2674" s="3">
        <v>2877000</v>
      </c>
      <c r="F2674" s="1">
        <v>1971.8985606579799</v>
      </c>
      <c r="G2674" s="1">
        <v>3</v>
      </c>
      <c r="H2674" s="1">
        <v>2</v>
      </c>
      <c r="I2674" s="1">
        <v>3</v>
      </c>
      <c r="J2674" s="1">
        <v>2.5</v>
      </c>
      <c r="K2674" s="1">
        <v>2</v>
      </c>
      <c r="L2674" s="1">
        <v>1</v>
      </c>
      <c r="M2674" s="4">
        <v>1459</v>
      </c>
      <c r="N2674" s="1">
        <v>1718</v>
      </c>
      <c r="O2674" s="1">
        <v>3911</v>
      </c>
      <c r="P2674" s="1">
        <v>2193</v>
      </c>
      <c r="Q2674" s="1" t="s">
        <v>42</v>
      </c>
      <c r="S2674" s="1" t="s">
        <v>42</v>
      </c>
      <c r="T2674" s="1" t="s">
        <v>273</v>
      </c>
      <c r="U2674" s="1">
        <v>130</v>
      </c>
      <c r="V2674" s="5">
        <v>43946</v>
      </c>
      <c r="W2674" s="5">
        <v>42916</v>
      </c>
      <c r="X2674" s="1">
        <v>2995000</v>
      </c>
      <c r="Y2674" s="1">
        <v>2877000</v>
      </c>
      <c r="Z2674" s="5">
        <v>43046</v>
      </c>
      <c r="AA2674" s="1">
        <v>2877000</v>
      </c>
      <c r="AB2674" s="1" t="s">
        <v>1601</v>
      </c>
      <c r="AC2674" s="5">
        <v>43089</v>
      </c>
      <c r="AF2674" s="1">
        <v>10001</v>
      </c>
      <c r="AI2674" s="1" t="s">
        <v>1602</v>
      </c>
      <c r="AJ2674" s="1">
        <v>2015</v>
      </c>
      <c r="AK2674" s="1" t="s">
        <v>46</v>
      </c>
      <c r="AL2674" s="1">
        <v>49</v>
      </c>
    </row>
    <row r="2675" spans="1:38" x14ac:dyDescent="0.2">
      <c r="A2675" s="2" t="str">
        <f>HYPERLINK("https://www.compass.com/listing/235-west-75th-street-unit-222-manhattan-ny-10023/29395862002108161/","235 W 75th St, Unit 222")</f>
        <v>235 W 75th St, Unit 222</v>
      </c>
      <c r="B2675" s="2" t="str">
        <f>HYPERLINK("https://www.compass.com/building/the-astor-manhattan-ny/281958704155269925/","The Astor")</f>
        <v>The Astor</v>
      </c>
      <c r="C2675" s="1" t="s">
        <v>57</v>
      </c>
      <c r="D2675" s="1" t="s">
        <v>41</v>
      </c>
      <c r="E2675" s="3">
        <v>1538652</v>
      </c>
      <c r="F2675" s="1">
        <v>1887.9165644171701</v>
      </c>
      <c r="G2675" s="1">
        <v>3</v>
      </c>
      <c r="H2675" s="1">
        <v>1</v>
      </c>
      <c r="I2675" s="1">
        <v>1</v>
      </c>
      <c r="J2675" s="1">
        <v>1</v>
      </c>
      <c r="K2675" s="1">
        <v>1</v>
      </c>
      <c r="M2675" s="1">
        <v>815</v>
      </c>
      <c r="N2675" s="1">
        <v>1047</v>
      </c>
      <c r="O2675" s="1">
        <v>2186</v>
      </c>
      <c r="P2675" s="1">
        <v>1139</v>
      </c>
      <c r="Q2675" s="1" t="s">
        <v>42</v>
      </c>
      <c r="S2675" s="1" t="s">
        <v>42</v>
      </c>
      <c r="T2675" s="1" t="s">
        <v>273</v>
      </c>
      <c r="U2675" s="1">
        <v>104</v>
      </c>
      <c r="V2675" s="5">
        <v>43678</v>
      </c>
      <c r="W2675" s="5">
        <v>42123</v>
      </c>
      <c r="X2675" s="1">
        <v>1525000</v>
      </c>
      <c r="Y2675" s="1">
        <v>1525000</v>
      </c>
      <c r="Z2675" s="5">
        <v>42227</v>
      </c>
      <c r="AA2675" s="1">
        <v>1538652</v>
      </c>
      <c r="AB2675" s="1" t="s">
        <v>1603</v>
      </c>
      <c r="AC2675" s="5">
        <v>42671</v>
      </c>
      <c r="AF2675" s="1">
        <v>10023</v>
      </c>
      <c r="AJ2675" s="1">
        <v>2018</v>
      </c>
      <c r="AK2675" s="1" t="s">
        <v>46</v>
      </c>
      <c r="AL2675" s="1">
        <v>98</v>
      </c>
    </row>
    <row r="2676" spans="1:38" x14ac:dyDescent="0.2">
      <c r="A2676" s="2" t="str">
        <f>HYPERLINK("https://www.compass.com/listing/221-west-77th-street-unit-3s-manhattan-ny-10024/29514357599666801/","221 W 77th St, Unit 3S")</f>
        <v>221 W 77th St, Unit 3S</v>
      </c>
      <c r="B2676" s="2" t="str">
        <f>HYPERLINK("https://www.compass.com/building/221-west-77th-street-manhattan-ny/292869344491294229/","221 West 77th Street")</f>
        <v>221 West 77th Street</v>
      </c>
      <c r="C2676" s="1" t="s">
        <v>57</v>
      </c>
      <c r="D2676" s="1" t="s">
        <v>41</v>
      </c>
      <c r="E2676" s="3">
        <v>5903381</v>
      </c>
      <c r="F2676" s="1">
        <v>2592.61352657004</v>
      </c>
      <c r="G2676" s="1">
        <v>5</v>
      </c>
      <c r="H2676" s="1">
        <v>3</v>
      </c>
      <c r="I2676" s="1">
        <v>4</v>
      </c>
      <c r="J2676" s="1">
        <v>0.5</v>
      </c>
      <c r="L2676" s="1">
        <v>1</v>
      </c>
      <c r="M2676" s="4">
        <v>2277</v>
      </c>
      <c r="N2676" s="1">
        <v>2276</v>
      </c>
      <c r="O2676" s="1">
        <v>5212</v>
      </c>
      <c r="P2676" s="1">
        <v>2936</v>
      </c>
      <c r="Q2676" s="1" t="s">
        <v>42</v>
      </c>
      <c r="S2676" s="1" t="s">
        <v>42</v>
      </c>
      <c r="T2676" s="1" t="s">
        <v>273</v>
      </c>
      <c r="V2676" s="5">
        <v>43657</v>
      </c>
      <c r="W2676" s="5">
        <v>42320</v>
      </c>
      <c r="X2676" s="1">
        <v>5850000</v>
      </c>
      <c r="Y2676" s="1">
        <v>5850000</v>
      </c>
      <c r="Z2676" s="5">
        <v>42320</v>
      </c>
      <c r="AA2676" s="1">
        <v>5903381</v>
      </c>
      <c r="AB2676" s="1" t="s">
        <v>1604</v>
      </c>
      <c r="AC2676" s="5">
        <v>42997</v>
      </c>
      <c r="AF2676" s="1">
        <v>10024</v>
      </c>
      <c r="AI2676" s="1" t="s">
        <v>179</v>
      </c>
      <c r="AJ2676" s="1">
        <v>2017</v>
      </c>
      <c r="AK2676" s="1" t="s">
        <v>108</v>
      </c>
      <c r="AL2676" s="1">
        <v>26</v>
      </c>
    </row>
    <row r="2677" spans="1:38" x14ac:dyDescent="0.2">
      <c r="A2677" s="2" t="str">
        <f>HYPERLINK("https://www.compass.com/listing/7-harrison-street-unit-7n-manhattan-ny-10013/167797228289707713/","7 Harrison St, Unit 7N")</f>
        <v>7 Harrison St, Unit 7N</v>
      </c>
      <c r="B2677" s="2" t="str">
        <f t="shared" ref="B2677:B2678" si="442">HYPERLINK("https://www.compass.com/building/7-harrison-st-manhattan-ny-10013/281921095324439429/","7 Harrison St")</f>
        <v>7 Harrison St</v>
      </c>
      <c r="C2677" s="1" t="s">
        <v>50</v>
      </c>
      <c r="D2677" s="1" t="s">
        <v>41</v>
      </c>
      <c r="E2677" s="3">
        <v>7081929</v>
      </c>
      <c r="F2677" s="1">
        <v>3211.75918367346</v>
      </c>
      <c r="G2677" s="1">
        <v>6</v>
      </c>
      <c r="H2677" s="1">
        <v>3</v>
      </c>
      <c r="I2677" s="1">
        <v>3</v>
      </c>
      <c r="J2677" s="1">
        <v>3</v>
      </c>
      <c r="M2677" s="4">
        <v>2205</v>
      </c>
      <c r="Q2677" s="1" t="s">
        <v>42</v>
      </c>
      <c r="S2677" s="1" t="s">
        <v>42</v>
      </c>
      <c r="T2677" s="1" t="s">
        <v>273</v>
      </c>
      <c r="U2677" s="1">
        <v>112</v>
      </c>
      <c r="V2677" s="5">
        <v>43726</v>
      </c>
      <c r="W2677" s="5">
        <v>42208</v>
      </c>
      <c r="X2677" s="1">
        <v>7250000</v>
      </c>
      <c r="Y2677" s="1">
        <v>6750000</v>
      </c>
      <c r="Z2677" s="5">
        <v>42320</v>
      </c>
      <c r="AA2677" s="1">
        <v>7081929</v>
      </c>
      <c r="AB2677" s="1" t="s">
        <v>1605</v>
      </c>
      <c r="AC2677" s="5">
        <v>42339</v>
      </c>
      <c r="AF2677" s="1">
        <v>10013</v>
      </c>
      <c r="AJ2677" s="1">
        <v>1900</v>
      </c>
      <c r="AK2677" s="1" t="s">
        <v>108</v>
      </c>
      <c r="AL2677" s="1">
        <v>12</v>
      </c>
    </row>
    <row r="2678" spans="1:38" x14ac:dyDescent="0.2">
      <c r="A2678" s="2" t="str">
        <f>HYPERLINK("https://www.compass.com/listing/7-harrison-street-unit-5n-manhattan-ny-10013/79371000243854289/","7 Harrison St, Unit 5N")</f>
        <v>7 Harrison St, Unit 5N</v>
      </c>
      <c r="B2678" s="2" t="str">
        <f t="shared" si="442"/>
        <v>7 Harrison St</v>
      </c>
      <c r="C2678" s="1" t="s">
        <v>50</v>
      </c>
      <c r="D2678" s="1" t="s">
        <v>41</v>
      </c>
      <c r="E2678" s="3">
        <v>6364063</v>
      </c>
      <c r="F2678" s="1">
        <v>2886.1961451247098</v>
      </c>
      <c r="H2678" s="1">
        <v>3</v>
      </c>
      <c r="J2678" s="1">
        <v>3</v>
      </c>
      <c r="M2678" s="4">
        <v>2205</v>
      </c>
      <c r="N2678" s="1">
        <v>3026</v>
      </c>
      <c r="O2678" s="1">
        <v>4867</v>
      </c>
      <c r="P2678" s="1">
        <v>1841</v>
      </c>
      <c r="Q2678" s="1" t="s">
        <v>42</v>
      </c>
      <c r="S2678" s="1" t="s">
        <v>42</v>
      </c>
      <c r="T2678" s="1" t="s">
        <v>273</v>
      </c>
      <c r="AA2678" s="1">
        <v>6364062.5</v>
      </c>
      <c r="AB2678" s="1" t="s">
        <v>1606</v>
      </c>
      <c r="AC2678" s="5">
        <v>42018</v>
      </c>
      <c r="AF2678" s="1">
        <v>10013</v>
      </c>
      <c r="AJ2678" s="1">
        <v>1900</v>
      </c>
      <c r="AK2678" s="1" t="s">
        <v>55</v>
      </c>
      <c r="AL2678" s="1">
        <v>12</v>
      </c>
    </row>
    <row r="2679" spans="1:38" x14ac:dyDescent="0.2">
      <c r="A2679" s="2" t="str">
        <f>HYPERLINK("https://www.compass.com/listing/261-west-25th-street-unit-1d-manhattan-ny-10001/4852273381795434481/","261 W 25th St, Unit 1D")</f>
        <v>261 W 25th St, Unit 1D</v>
      </c>
      <c r="B2679" s="2" t="str">
        <f t="shared" ref="B2679:B2684" si="443">HYPERLINK("https://www.compass.com/building/the-seymour-manhattan-ny/281883155990840165/","The Seymour")</f>
        <v>The Seymour</v>
      </c>
      <c r="C2679" s="1" t="s">
        <v>62</v>
      </c>
      <c r="D2679" s="1" t="s">
        <v>41</v>
      </c>
      <c r="E2679" s="3">
        <v>3200000</v>
      </c>
      <c r="F2679" s="1">
        <v>1431.7673378075999</v>
      </c>
      <c r="G2679" s="1">
        <v>4.5</v>
      </c>
      <c r="H2679" s="1">
        <v>2</v>
      </c>
      <c r="I2679" s="1">
        <v>3</v>
      </c>
      <c r="J2679" s="1">
        <v>2.5</v>
      </c>
      <c r="K2679" s="1">
        <v>2</v>
      </c>
      <c r="L2679" s="1">
        <v>1</v>
      </c>
      <c r="M2679" s="4">
        <v>2235</v>
      </c>
      <c r="N2679" s="1">
        <v>1624.56</v>
      </c>
      <c r="O2679" s="1">
        <v>4707.5599999999904</v>
      </c>
      <c r="P2679" s="1">
        <v>3083</v>
      </c>
      <c r="Q2679" s="1" t="s">
        <v>42</v>
      </c>
      <c r="S2679" s="1" t="s">
        <v>42</v>
      </c>
      <c r="T2679" s="1" t="s">
        <v>273</v>
      </c>
      <c r="U2679" s="1">
        <v>139</v>
      </c>
      <c r="V2679" s="5">
        <v>43668</v>
      </c>
      <c r="W2679" s="5">
        <v>42539</v>
      </c>
      <c r="X2679" s="1">
        <v>3550000</v>
      </c>
      <c r="Y2679" s="1">
        <v>3200000</v>
      </c>
      <c r="Z2679" s="5">
        <v>42678</v>
      </c>
      <c r="AA2679" s="1">
        <v>3200000</v>
      </c>
      <c r="AB2679" s="1" t="s">
        <v>275</v>
      </c>
      <c r="AC2679" s="5">
        <v>42760</v>
      </c>
      <c r="AF2679" s="1">
        <v>10001</v>
      </c>
      <c r="AI2679" s="1" t="s">
        <v>1607</v>
      </c>
      <c r="AJ2679" s="1">
        <v>2015</v>
      </c>
      <c r="AK2679" s="1" t="s">
        <v>46</v>
      </c>
      <c r="AL2679" s="1">
        <v>49</v>
      </c>
    </row>
    <row r="2680" spans="1:38" x14ac:dyDescent="0.2">
      <c r="A2680" s="2" t="str">
        <f>HYPERLINK("https://www.compass.com/listing/261-west-25th-street-unit-6d-manhattan-ny-10001/29511919140437521/","261 W 25th St, Unit 6D")</f>
        <v>261 W 25th St, Unit 6D</v>
      </c>
      <c r="B2680" s="2" t="str">
        <f t="shared" si="443"/>
        <v>The Seymour</v>
      </c>
      <c r="C2680" s="1" t="s">
        <v>62</v>
      </c>
      <c r="D2680" s="1" t="s">
        <v>41</v>
      </c>
      <c r="E2680" s="3">
        <v>3455000</v>
      </c>
      <c r="F2680" s="1">
        <v>1868.57760951865</v>
      </c>
      <c r="G2680" s="1">
        <v>5</v>
      </c>
      <c r="H2680" s="1">
        <v>3</v>
      </c>
      <c r="I2680" s="1">
        <v>3</v>
      </c>
      <c r="J2680" s="1">
        <v>2.5</v>
      </c>
      <c r="M2680" s="4">
        <v>1849</v>
      </c>
      <c r="N2680" s="1">
        <v>2093</v>
      </c>
      <c r="O2680" s="1">
        <v>4988</v>
      </c>
      <c r="P2680" s="1">
        <v>2895</v>
      </c>
      <c r="Q2680" s="1" t="s">
        <v>42</v>
      </c>
      <c r="S2680" s="1" t="s">
        <v>42</v>
      </c>
      <c r="T2680" s="1" t="s">
        <v>273</v>
      </c>
      <c r="U2680" s="1">
        <v>65</v>
      </c>
      <c r="V2680" s="5">
        <v>43350</v>
      </c>
      <c r="W2680" s="5">
        <v>43185</v>
      </c>
      <c r="X2680" s="1">
        <v>3975000</v>
      </c>
      <c r="Y2680" s="1">
        <v>3975000</v>
      </c>
      <c r="AA2680" s="1">
        <v>3455000</v>
      </c>
      <c r="AB2680" s="1" t="s">
        <v>1608</v>
      </c>
      <c r="AC2680" s="5">
        <v>43339</v>
      </c>
      <c r="AF2680" s="1">
        <v>10001</v>
      </c>
      <c r="AI2680" s="1" t="s">
        <v>185</v>
      </c>
      <c r="AJ2680" s="1">
        <v>2015</v>
      </c>
      <c r="AK2680" s="1" t="s">
        <v>49</v>
      </c>
      <c r="AL2680" s="1">
        <v>49</v>
      </c>
    </row>
    <row r="2681" spans="1:38" x14ac:dyDescent="0.2">
      <c r="A2681" s="2" t="str">
        <f>HYPERLINK("https://www.compass.com/listing/261-west-25th-street-unit-5e-manhattan-ny-10001/29372523091102241/","261 W 25th St, Unit 5E")</f>
        <v>261 W 25th St, Unit 5E</v>
      </c>
      <c r="B2681" s="2" t="str">
        <f t="shared" si="443"/>
        <v>The Seymour</v>
      </c>
      <c r="C2681" s="1" t="s">
        <v>62</v>
      </c>
      <c r="D2681" s="1" t="s">
        <v>41</v>
      </c>
      <c r="E2681" s="3">
        <v>1415368</v>
      </c>
      <c r="F2681" s="1">
        <v>1807.6219667943799</v>
      </c>
      <c r="G2681" s="1">
        <v>3</v>
      </c>
      <c r="H2681" s="1">
        <v>1</v>
      </c>
      <c r="I2681" s="1">
        <v>1</v>
      </c>
      <c r="J2681" s="1">
        <v>1</v>
      </c>
      <c r="M2681" s="1">
        <v>783</v>
      </c>
      <c r="N2681" s="1">
        <v>920</v>
      </c>
      <c r="O2681" s="1">
        <v>1928</v>
      </c>
      <c r="P2681" s="1">
        <v>1008</v>
      </c>
      <c r="Q2681" s="1" t="s">
        <v>42</v>
      </c>
      <c r="S2681" s="1" t="s">
        <v>42</v>
      </c>
      <c r="T2681" s="1" t="s">
        <v>273</v>
      </c>
      <c r="V2681" s="5">
        <v>43650</v>
      </c>
      <c r="W2681" s="5">
        <v>41857</v>
      </c>
      <c r="X2681" s="1">
        <v>1390000</v>
      </c>
      <c r="Y2681" s="1">
        <v>1390000</v>
      </c>
      <c r="Z2681" s="5">
        <v>41857</v>
      </c>
      <c r="AA2681" s="1">
        <v>1415368</v>
      </c>
      <c r="AB2681" s="1" t="s">
        <v>1609</v>
      </c>
      <c r="AC2681" s="5">
        <v>42410</v>
      </c>
      <c r="AF2681" s="1">
        <v>10001</v>
      </c>
      <c r="AI2681" s="1" t="s">
        <v>1555</v>
      </c>
      <c r="AJ2681" s="1">
        <v>2015</v>
      </c>
      <c r="AK2681" s="1" t="s">
        <v>49</v>
      </c>
      <c r="AL2681" s="1">
        <v>49</v>
      </c>
    </row>
    <row r="2682" spans="1:38" x14ac:dyDescent="0.2">
      <c r="A2682" s="2" t="str">
        <f>HYPERLINK("https://www.compass.com/listing/261-west-25th-street-unit-6a-manhattan-ny-10001/29372523544174641/","261 W 25th St, Unit 6A")</f>
        <v>261 W 25th St, Unit 6A</v>
      </c>
      <c r="B2682" s="2" t="str">
        <f t="shared" si="443"/>
        <v>The Seymour</v>
      </c>
      <c r="C2682" s="1" t="s">
        <v>62</v>
      </c>
      <c r="D2682" s="1" t="s">
        <v>41</v>
      </c>
      <c r="E2682" s="3">
        <v>1308451</v>
      </c>
      <c r="F2682" s="1">
        <v>1817.2930555555499</v>
      </c>
      <c r="G2682" s="1">
        <v>3</v>
      </c>
      <c r="H2682" s="1">
        <v>1</v>
      </c>
      <c r="I2682" s="1">
        <v>1</v>
      </c>
      <c r="J2682" s="1">
        <v>1</v>
      </c>
      <c r="M2682" s="1">
        <v>720</v>
      </c>
      <c r="N2682" s="1">
        <v>835</v>
      </c>
      <c r="O2682" s="1">
        <v>1750</v>
      </c>
      <c r="P2682" s="1">
        <v>915</v>
      </c>
      <c r="Q2682" s="1" t="s">
        <v>42</v>
      </c>
      <c r="S2682" s="1" t="s">
        <v>42</v>
      </c>
      <c r="T2682" s="1" t="s">
        <v>273</v>
      </c>
      <c r="V2682" s="5">
        <v>43654</v>
      </c>
      <c r="W2682" s="5">
        <v>41850</v>
      </c>
      <c r="X2682" s="1">
        <v>1285000</v>
      </c>
      <c r="Y2682" s="1">
        <v>1285000</v>
      </c>
      <c r="Z2682" s="5">
        <v>41850</v>
      </c>
      <c r="AA2682" s="1">
        <v>1308451</v>
      </c>
      <c r="AB2682" s="1" t="s">
        <v>1610</v>
      </c>
      <c r="AC2682" s="5">
        <v>42425</v>
      </c>
      <c r="AF2682" s="1">
        <v>10001</v>
      </c>
      <c r="AI2682" s="1" t="s">
        <v>185</v>
      </c>
      <c r="AJ2682" s="1">
        <v>2015</v>
      </c>
      <c r="AK2682" s="1" t="s">
        <v>49</v>
      </c>
      <c r="AL2682" s="1">
        <v>49</v>
      </c>
    </row>
    <row r="2683" spans="1:38" x14ac:dyDescent="0.2">
      <c r="A2683" s="2" t="str">
        <f>HYPERLINK("https://www.compass.com/listing/261-west-25th-street-unit-9a-manhattan-ny-10001/783435993049032993/","261 W 25th St, Unit 9A")</f>
        <v>261 W 25th St, Unit 9A</v>
      </c>
      <c r="B2683" s="2" t="str">
        <f t="shared" si="443"/>
        <v>The Seymour</v>
      </c>
      <c r="C2683" s="1" t="s">
        <v>62</v>
      </c>
      <c r="D2683" s="1" t="s">
        <v>41</v>
      </c>
      <c r="E2683" s="3">
        <v>1695000</v>
      </c>
      <c r="F2683" s="1">
        <v>2164.7509578544</v>
      </c>
      <c r="G2683" s="1">
        <v>3</v>
      </c>
      <c r="H2683" s="1">
        <v>1</v>
      </c>
      <c r="I2683" s="1">
        <v>1</v>
      </c>
      <c r="J2683" s="1">
        <v>1</v>
      </c>
      <c r="M2683" s="1">
        <v>783</v>
      </c>
      <c r="N2683" s="1">
        <v>920</v>
      </c>
      <c r="O2683" s="1">
        <v>1928</v>
      </c>
      <c r="P2683" s="1">
        <v>1008</v>
      </c>
      <c r="Q2683" s="1" t="s">
        <v>42</v>
      </c>
      <c r="S2683" s="1" t="s">
        <v>42</v>
      </c>
      <c r="T2683" s="1" t="s">
        <v>273</v>
      </c>
      <c r="V2683" s="5">
        <v>42879</v>
      </c>
      <c r="W2683" s="5">
        <v>41894</v>
      </c>
      <c r="X2683" s="1">
        <v>1485000</v>
      </c>
      <c r="Y2683" s="1">
        <v>1485000</v>
      </c>
      <c r="Z2683" s="5">
        <v>41895</v>
      </c>
      <c r="AA2683" s="1">
        <v>1695000</v>
      </c>
      <c r="AB2683" s="1" t="s">
        <v>1611</v>
      </c>
      <c r="AC2683" s="5">
        <v>42444</v>
      </c>
      <c r="AF2683" s="1">
        <v>10001</v>
      </c>
      <c r="AI2683" s="1" t="s">
        <v>1555</v>
      </c>
      <c r="AJ2683" s="1">
        <v>2015</v>
      </c>
      <c r="AK2683" s="1" t="s">
        <v>49</v>
      </c>
      <c r="AL2683" s="1">
        <v>49</v>
      </c>
    </row>
    <row r="2684" spans="1:38" x14ac:dyDescent="0.2">
      <c r="A2684" s="2" t="str">
        <f>HYPERLINK("https://www.compass.com/listing/261-west-25th-street-unit-3b-manhattan-ny-10001/29372517638510049/","261 W 25th St, Unit 3B")</f>
        <v>261 W 25th St, Unit 3B</v>
      </c>
      <c r="B2684" s="2" t="str">
        <f t="shared" si="443"/>
        <v>The Seymour</v>
      </c>
      <c r="C2684" s="1" t="s">
        <v>62</v>
      </c>
      <c r="D2684" s="1" t="s">
        <v>41</v>
      </c>
      <c r="E2684" s="3">
        <v>2545625</v>
      </c>
      <c r="F2684" s="1">
        <v>1744.77381768334</v>
      </c>
      <c r="G2684" s="1">
        <v>4</v>
      </c>
      <c r="H2684" s="1">
        <v>2</v>
      </c>
      <c r="I2684" s="1">
        <v>3</v>
      </c>
      <c r="J2684" s="1">
        <v>0.5</v>
      </c>
      <c r="L2684" s="1">
        <v>1</v>
      </c>
      <c r="M2684" s="4">
        <v>1459</v>
      </c>
      <c r="N2684" s="1">
        <v>1652</v>
      </c>
      <c r="O2684" s="1">
        <v>3506</v>
      </c>
      <c r="P2684" s="1">
        <v>1854</v>
      </c>
      <c r="Q2684" s="1" t="s">
        <v>42</v>
      </c>
      <c r="S2684" s="1" t="s">
        <v>42</v>
      </c>
      <c r="T2684" s="1" t="s">
        <v>273</v>
      </c>
      <c r="U2684" s="1">
        <v>119</v>
      </c>
      <c r="V2684" s="5">
        <v>43661</v>
      </c>
      <c r="W2684" s="5">
        <v>41947</v>
      </c>
      <c r="X2684" s="1">
        <v>2500000</v>
      </c>
      <c r="Y2684" s="1">
        <v>2500000</v>
      </c>
      <c r="Z2684" s="5">
        <v>42066</v>
      </c>
      <c r="AA2684" s="1">
        <v>2545625</v>
      </c>
      <c r="AB2684" s="1" t="s">
        <v>1600</v>
      </c>
      <c r="AC2684" s="5">
        <v>42429</v>
      </c>
      <c r="AF2684" s="1">
        <v>10001</v>
      </c>
      <c r="AI2684" s="1" t="s">
        <v>180</v>
      </c>
      <c r="AJ2684" s="1">
        <v>2015</v>
      </c>
      <c r="AK2684" s="1" t="s">
        <v>46</v>
      </c>
      <c r="AL2684" s="1">
        <v>49</v>
      </c>
    </row>
    <row r="2685" spans="1:38" x14ac:dyDescent="0.2">
      <c r="A2685" s="2" t="str">
        <f>HYPERLINK("https://www.compass.com/listing/570-broome-street-unit-4a-manhattan-ny-10013/803357102869028681/","570 Broome St, Unit 4A")</f>
        <v>570 Broome St, Unit 4A</v>
      </c>
      <c r="B2685" s="2" t="str">
        <f>HYPERLINK("https://www.compass.com/building/570-broome-manhattan-ny/292818583757562981/","570 Broome")</f>
        <v>570 Broome</v>
      </c>
      <c r="C2685" s="1" t="s">
        <v>53</v>
      </c>
      <c r="D2685" s="1" t="s">
        <v>41</v>
      </c>
      <c r="E2685" s="3">
        <v>1950000</v>
      </c>
      <c r="F2685" s="1">
        <v>1713.53251318101</v>
      </c>
      <c r="G2685" s="1">
        <v>4</v>
      </c>
      <c r="H2685" s="1">
        <v>2</v>
      </c>
      <c r="I2685" s="1">
        <v>2</v>
      </c>
      <c r="J2685" s="1">
        <v>2</v>
      </c>
      <c r="K2685" s="1">
        <v>2</v>
      </c>
      <c r="M2685" s="4">
        <v>1138</v>
      </c>
      <c r="N2685" s="1">
        <v>1213</v>
      </c>
      <c r="O2685" s="1">
        <v>3080</v>
      </c>
      <c r="P2685" s="1">
        <v>1867</v>
      </c>
      <c r="Q2685" s="1" t="s">
        <v>42</v>
      </c>
      <c r="S2685" s="1" t="s">
        <v>42</v>
      </c>
      <c r="T2685" s="1" t="s">
        <v>273</v>
      </c>
      <c r="U2685" s="1">
        <v>254</v>
      </c>
      <c r="V2685" s="5">
        <v>43678</v>
      </c>
      <c r="W2685" s="5">
        <v>43290</v>
      </c>
      <c r="X2685" s="1">
        <v>1995000</v>
      </c>
      <c r="Y2685" s="1">
        <v>1995000</v>
      </c>
      <c r="Z2685" s="5">
        <v>43544</v>
      </c>
      <c r="AA2685" s="1">
        <v>1950000</v>
      </c>
      <c r="AB2685" s="1" t="s">
        <v>307</v>
      </c>
      <c r="AC2685" s="5">
        <v>43804</v>
      </c>
      <c r="AF2685" s="1">
        <v>10013</v>
      </c>
      <c r="AI2685" s="1" t="s">
        <v>1612</v>
      </c>
      <c r="AJ2685" s="1">
        <v>2019</v>
      </c>
      <c r="AK2685" s="1" t="s">
        <v>108</v>
      </c>
      <c r="AL2685" s="1">
        <v>54</v>
      </c>
    </row>
    <row r="2686" spans="1:38" x14ac:dyDescent="0.2">
      <c r="A2686" s="2" t="str">
        <f>HYPERLINK("https://www.compass.com/listing/221-west-77th-street-unit-12e-manhattan-ny-10024/8743039254155441/","221 W 77th St, Unit 12E")</f>
        <v>221 W 77th St, Unit 12E</v>
      </c>
      <c r="B2686" s="2" t="str">
        <f>HYPERLINK("https://www.compass.com/building/221-west-77th-street-manhattan-ny/292869344491294229/","221 West 77th Street")</f>
        <v>221 West 77th Street</v>
      </c>
      <c r="C2686" s="1" t="s">
        <v>57</v>
      </c>
      <c r="D2686" s="1" t="s">
        <v>41</v>
      </c>
      <c r="E2686" s="3">
        <v>5498550</v>
      </c>
      <c r="F2686" s="1">
        <v>2660.1596516690802</v>
      </c>
      <c r="G2686" s="1">
        <v>5</v>
      </c>
      <c r="H2686" s="1">
        <v>3</v>
      </c>
      <c r="I2686" s="1">
        <v>4</v>
      </c>
      <c r="J2686" s="1">
        <v>0.5</v>
      </c>
      <c r="L2686" s="1">
        <v>1</v>
      </c>
      <c r="M2686" s="4">
        <v>2067</v>
      </c>
      <c r="N2686" s="1">
        <v>2066</v>
      </c>
      <c r="O2686" s="1">
        <v>4731</v>
      </c>
      <c r="P2686" s="1">
        <v>2665</v>
      </c>
      <c r="Q2686" s="1" t="s">
        <v>42</v>
      </c>
      <c r="S2686" s="1" t="s">
        <v>42</v>
      </c>
      <c r="T2686" s="1" t="s">
        <v>273</v>
      </c>
      <c r="V2686" s="5">
        <v>43661</v>
      </c>
      <c r="W2686" s="5">
        <v>42333</v>
      </c>
      <c r="X2686" s="1">
        <v>5400000</v>
      </c>
      <c r="Y2686" s="1">
        <v>5400000</v>
      </c>
      <c r="Z2686" s="5">
        <v>42333</v>
      </c>
      <c r="AA2686" s="1">
        <v>5498550</v>
      </c>
      <c r="AB2686" s="1" t="s">
        <v>1613</v>
      </c>
      <c r="AC2686" s="5">
        <v>42927</v>
      </c>
      <c r="AF2686" s="1">
        <v>10024</v>
      </c>
      <c r="AI2686" s="1" t="s">
        <v>179</v>
      </c>
      <c r="AJ2686" s="1">
        <v>2017</v>
      </c>
      <c r="AK2686" s="1" t="s">
        <v>108</v>
      </c>
      <c r="AL2686" s="1">
        <v>26</v>
      </c>
    </row>
    <row r="2687" spans="1:38" x14ac:dyDescent="0.2">
      <c r="A2687" s="2" t="str">
        <f>HYPERLINK("https://www.compass.com/listing/235-west-75th-street-unit-802-manhattan-ny-10023/29509622029091617/","235 W 75th St, Unit 802")</f>
        <v>235 W 75th St, Unit 802</v>
      </c>
      <c r="B2687" s="2" t="str">
        <f>HYPERLINK("https://www.compass.com/building/the-astor-manhattan-ny/281958704155269925/","The Astor")</f>
        <v>The Astor</v>
      </c>
      <c r="C2687" s="1" t="s">
        <v>57</v>
      </c>
      <c r="D2687" s="1" t="s">
        <v>41</v>
      </c>
      <c r="E2687" s="3">
        <v>3487750</v>
      </c>
      <c r="F2687" s="1">
        <v>2614.5050974512701</v>
      </c>
      <c r="G2687" s="1">
        <v>3</v>
      </c>
      <c r="H2687" s="1">
        <v>2</v>
      </c>
      <c r="I2687" s="1">
        <v>2</v>
      </c>
      <c r="J2687" s="1">
        <v>2</v>
      </c>
      <c r="K2687" s="1">
        <v>2</v>
      </c>
      <c r="M2687" s="4">
        <v>1334</v>
      </c>
      <c r="N2687" s="1">
        <v>1745</v>
      </c>
      <c r="O2687" s="1">
        <v>3644</v>
      </c>
      <c r="P2687" s="1">
        <v>1899</v>
      </c>
      <c r="Q2687" s="1" t="s">
        <v>42</v>
      </c>
      <c r="S2687" s="1" t="s">
        <v>42</v>
      </c>
      <c r="T2687" s="1" t="s">
        <v>273</v>
      </c>
      <c r="U2687" s="1">
        <v>120</v>
      </c>
      <c r="V2687" s="5">
        <v>43707</v>
      </c>
      <c r="W2687" s="5">
        <v>42689</v>
      </c>
      <c r="X2687" s="1">
        <v>3520000</v>
      </c>
      <c r="Y2687" s="1">
        <v>3465000</v>
      </c>
      <c r="Z2687" s="5">
        <v>42809</v>
      </c>
      <c r="AA2687" s="1">
        <v>3487749.8</v>
      </c>
      <c r="AB2687" s="1" t="s">
        <v>1614</v>
      </c>
      <c r="AC2687" s="5">
        <v>43656</v>
      </c>
      <c r="AF2687" s="1">
        <v>10023</v>
      </c>
      <c r="AJ2687" s="1">
        <v>2018</v>
      </c>
      <c r="AK2687" s="1" t="s">
        <v>46</v>
      </c>
      <c r="AL2687" s="1">
        <v>98</v>
      </c>
    </row>
    <row r="2688" spans="1:38" x14ac:dyDescent="0.2">
      <c r="A2688" s="2" t="str">
        <f>HYPERLINK("https://www.compass.com/listing/570-broome-street-unit-19a-manhattan-ny-10013/803318539054295345/","570 Broome St, Unit 19A")</f>
        <v>570 Broome St, Unit 19A</v>
      </c>
      <c r="B2688" s="2" t="str">
        <f>HYPERLINK("https://www.compass.com/building/570-broome-manhattan-ny/292818583757562981/","570 Broome")</f>
        <v>570 Broome</v>
      </c>
      <c r="C2688" s="1" t="s">
        <v>53</v>
      </c>
      <c r="D2688" s="1" t="s">
        <v>41</v>
      </c>
      <c r="E2688" s="3">
        <v>3227853</v>
      </c>
      <c r="F2688" s="1">
        <v>2586.4206730769201</v>
      </c>
      <c r="G2688" s="1">
        <v>4</v>
      </c>
      <c r="H2688" s="1">
        <v>2</v>
      </c>
      <c r="I2688" s="1">
        <v>3</v>
      </c>
      <c r="J2688" s="1">
        <v>2.5</v>
      </c>
      <c r="K2688" s="1">
        <v>2</v>
      </c>
      <c r="L2688" s="1">
        <v>1</v>
      </c>
      <c r="M2688" s="4">
        <v>1248</v>
      </c>
      <c r="N2688" s="1">
        <v>1326</v>
      </c>
      <c r="O2688" s="1">
        <v>3368</v>
      </c>
      <c r="P2688" s="1">
        <v>2042</v>
      </c>
      <c r="Q2688" s="1" t="s">
        <v>42</v>
      </c>
      <c r="S2688" s="1" t="s">
        <v>42</v>
      </c>
      <c r="T2688" s="1" t="s">
        <v>273</v>
      </c>
      <c r="V2688" s="5">
        <v>43678</v>
      </c>
      <c r="W2688" s="5">
        <v>43483</v>
      </c>
      <c r="X2688" s="1">
        <v>3345000</v>
      </c>
      <c r="Y2688" s="1">
        <v>3345000</v>
      </c>
      <c r="Z2688" s="5">
        <v>43483</v>
      </c>
      <c r="AA2688" s="1">
        <v>3227853</v>
      </c>
      <c r="AB2688" s="1" t="s">
        <v>314</v>
      </c>
      <c r="AC2688" s="5">
        <v>43817</v>
      </c>
      <c r="AF2688" s="1">
        <v>10013</v>
      </c>
      <c r="AI2688" s="1" t="s">
        <v>1615</v>
      </c>
      <c r="AJ2688" s="1">
        <v>2019</v>
      </c>
      <c r="AK2688" s="1" t="s">
        <v>108</v>
      </c>
      <c r="AL2688" s="1">
        <v>54</v>
      </c>
    </row>
    <row r="2689" spans="1:38" x14ac:dyDescent="0.2">
      <c r="A2689" s="2" t="str">
        <f>HYPERLINK("https://www.compass.com/listing/565-broome-street-unit-n10e-manhattan-ny-10013/757297729009709865/","565 Broome St, Unit N10E")</f>
        <v>565 Broome St, Unit N10E</v>
      </c>
      <c r="B2689" s="2" t="str">
        <f>HYPERLINK("https://www.compass.com/building/565-broome-soho-manhattan-ny/292813251698267109/","565 Broome Soho")</f>
        <v>565 Broome Soho</v>
      </c>
      <c r="C2689" s="1" t="s">
        <v>53</v>
      </c>
      <c r="D2689" s="1" t="s">
        <v>41</v>
      </c>
      <c r="E2689" s="3">
        <v>4925000</v>
      </c>
      <c r="F2689" s="1">
        <v>2081.57227387996</v>
      </c>
      <c r="G2689" s="1">
        <v>5</v>
      </c>
      <c r="H2689" s="1">
        <v>3</v>
      </c>
      <c r="I2689" s="1">
        <v>3</v>
      </c>
      <c r="J2689" s="1">
        <v>3</v>
      </c>
      <c r="K2689" s="1">
        <v>3</v>
      </c>
      <c r="M2689" s="4">
        <v>2366</v>
      </c>
      <c r="N2689" s="1">
        <v>3510</v>
      </c>
      <c r="O2689" s="1">
        <v>6620</v>
      </c>
      <c r="P2689" s="1">
        <v>3110</v>
      </c>
      <c r="Q2689" s="1" t="s">
        <v>42</v>
      </c>
      <c r="S2689" s="1" t="s">
        <v>42</v>
      </c>
      <c r="T2689" s="1" t="s">
        <v>273</v>
      </c>
      <c r="U2689" s="1">
        <v>3</v>
      </c>
      <c r="V2689" s="5">
        <v>44413</v>
      </c>
      <c r="W2689" s="5">
        <v>44309</v>
      </c>
      <c r="X2689" s="1">
        <v>5800000</v>
      </c>
      <c r="Y2689" s="1">
        <v>5800000</v>
      </c>
      <c r="Z2689" s="5">
        <v>44313</v>
      </c>
      <c r="AA2689" s="1">
        <v>4925000</v>
      </c>
      <c r="AB2689" s="1" t="s">
        <v>1616</v>
      </c>
      <c r="AC2689" s="5">
        <v>44361</v>
      </c>
      <c r="AF2689" s="1">
        <v>10013</v>
      </c>
      <c r="AI2689" s="1" t="s">
        <v>242</v>
      </c>
      <c r="AJ2689" s="1">
        <v>2019</v>
      </c>
      <c r="AK2689" s="1" t="s">
        <v>46</v>
      </c>
      <c r="AL2689" s="1">
        <v>115</v>
      </c>
    </row>
    <row r="2690" spans="1:38" x14ac:dyDescent="0.2">
      <c r="A2690" s="2" t="str">
        <f>HYPERLINK("https://www.compass.com/listing/235-west-75th-street-unit-423-manhattan-ny-10023/29395869224741137/","235 W 75th St, Unit 423")</f>
        <v>235 W 75th St, Unit 423</v>
      </c>
      <c r="B2690" s="2" t="str">
        <f>HYPERLINK("https://www.compass.com/building/the-astor-manhattan-ny/281958704155269925/","The Astor")</f>
        <v>The Astor</v>
      </c>
      <c r="C2690" s="1" t="s">
        <v>57</v>
      </c>
      <c r="D2690" s="1" t="s">
        <v>41</v>
      </c>
      <c r="E2690" s="3">
        <v>7537835</v>
      </c>
      <c r="F2690" s="1">
        <v>2534.57800941492</v>
      </c>
      <c r="G2690" s="1">
        <v>6</v>
      </c>
      <c r="H2690" s="1">
        <v>4</v>
      </c>
      <c r="I2690" s="1">
        <v>5</v>
      </c>
      <c r="J2690" s="1">
        <v>4.5</v>
      </c>
      <c r="M2690" s="4">
        <v>2974</v>
      </c>
      <c r="N2690" s="1">
        <v>3864</v>
      </c>
      <c r="O2690" s="1">
        <v>8074</v>
      </c>
      <c r="P2690" s="1">
        <v>4210</v>
      </c>
      <c r="Q2690" s="1" t="s">
        <v>42</v>
      </c>
      <c r="S2690" s="1" t="s">
        <v>42</v>
      </c>
      <c r="T2690" s="1" t="s">
        <v>273</v>
      </c>
      <c r="U2690" s="1">
        <v>65</v>
      </c>
      <c r="V2690" s="5">
        <v>43649</v>
      </c>
      <c r="W2690" s="5">
        <v>42955</v>
      </c>
      <c r="X2690" s="1">
        <v>7488000</v>
      </c>
      <c r="Y2690" s="1">
        <v>7488000</v>
      </c>
      <c r="Z2690" s="5">
        <v>43020</v>
      </c>
      <c r="AA2690" s="1">
        <v>7537835</v>
      </c>
      <c r="AB2690" s="1" t="s">
        <v>1617</v>
      </c>
      <c r="AC2690" s="5">
        <v>43041</v>
      </c>
      <c r="AF2690" s="1">
        <v>10023</v>
      </c>
      <c r="AI2690" s="1" t="s">
        <v>182</v>
      </c>
      <c r="AJ2690" s="1">
        <v>2018</v>
      </c>
      <c r="AK2690" s="1" t="s">
        <v>115</v>
      </c>
      <c r="AL2690" s="1">
        <v>98</v>
      </c>
    </row>
    <row r="2691" spans="1:38" x14ac:dyDescent="0.2">
      <c r="A2691" s="2" t="str">
        <f>HYPERLINK("https://www.compass.com/listing/15-hudson-yards-unit-74c-manhattan-ny-10001/772024061478335233/","15 Hudson Yards, Unit 74C")</f>
        <v>15 Hudson Yards, Unit 74C</v>
      </c>
      <c r="B2691" s="2" t="str">
        <f>HYPERLINK("https://www.compass.com/building/fifteen-hudson-yards-manhattan-ny/282058587512011909/","Fifteen Hudson Yards")</f>
        <v>Fifteen Hudson Yards</v>
      </c>
      <c r="C2691" s="1" t="s">
        <v>77</v>
      </c>
      <c r="D2691" s="1" t="s">
        <v>41</v>
      </c>
      <c r="E2691" s="3">
        <v>2680000</v>
      </c>
      <c r="F2691" s="1">
        <v>2334.4947735191599</v>
      </c>
      <c r="G2691" s="1">
        <v>4.5</v>
      </c>
      <c r="H2691" s="1">
        <v>1</v>
      </c>
      <c r="I2691" s="1">
        <v>2</v>
      </c>
      <c r="J2691" s="1">
        <v>1.5</v>
      </c>
      <c r="K2691" s="1">
        <v>1</v>
      </c>
      <c r="L2691" s="1">
        <v>1</v>
      </c>
      <c r="M2691" s="4">
        <v>1148</v>
      </c>
      <c r="N2691" s="1">
        <v>2847</v>
      </c>
      <c r="O2691" s="1">
        <v>2883</v>
      </c>
      <c r="P2691" s="1">
        <v>36</v>
      </c>
      <c r="Q2691" s="1" t="s">
        <v>42</v>
      </c>
      <c r="S2691" s="1" t="s">
        <v>42</v>
      </c>
      <c r="T2691" s="1" t="s">
        <v>273</v>
      </c>
      <c r="U2691" s="1">
        <v>11</v>
      </c>
      <c r="V2691" s="5">
        <v>44375</v>
      </c>
      <c r="W2691" s="5">
        <v>44316</v>
      </c>
      <c r="X2691" s="1">
        <v>2950000</v>
      </c>
      <c r="Y2691" s="1">
        <v>2950000</v>
      </c>
      <c r="Z2691" s="5">
        <v>44328</v>
      </c>
      <c r="AA2691" s="1">
        <v>2680000</v>
      </c>
      <c r="AB2691" s="1" t="s">
        <v>275</v>
      </c>
      <c r="AC2691" s="5">
        <v>44364</v>
      </c>
      <c r="AF2691" s="1">
        <v>10001</v>
      </c>
      <c r="AJ2691" s="1">
        <v>2018</v>
      </c>
      <c r="AK2691" s="1" t="s">
        <v>46</v>
      </c>
      <c r="AL2691" s="1">
        <v>285</v>
      </c>
    </row>
    <row r="2692" spans="1:38" x14ac:dyDescent="0.2">
      <c r="A2692" s="2" t="str">
        <f>HYPERLINK("https://www.compass.com/listing/235-west-75th-street-unit-803-manhattan-ny-10023/29509621752348929/","235 W 75th St, Unit 803")</f>
        <v>235 W 75th St, Unit 803</v>
      </c>
      <c r="B2692" s="2" t="str">
        <f>HYPERLINK("https://www.compass.com/building/the-astor-manhattan-ny/281958704155269925/","The Astor")</f>
        <v>The Astor</v>
      </c>
      <c r="C2692" s="1" t="s">
        <v>57</v>
      </c>
      <c r="D2692" s="1" t="s">
        <v>41</v>
      </c>
      <c r="E2692" s="3">
        <v>2997613</v>
      </c>
      <c r="F2692" s="1">
        <v>2260.64328808446</v>
      </c>
      <c r="G2692" s="1">
        <v>3</v>
      </c>
      <c r="H2692" s="1">
        <v>2</v>
      </c>
      <c r="I2692" s="1">
        <v>3</v>
      </c>
      <c r="J2692" s="1">
        <v>2.5</v>
      </c>
      <c r="K2692" s="1">
        <v>2</v>
      </c>
      <c r="L2692" s="1">
        <v>1</v>
      </c>
      <c r="M2692" s="4">
        <v>1326</v>
      </c>
      <c r="N2692" s="1">
        <v>1679</v>
      </c>
      <c r="O2692" s="1">
        <v>3506</v>
      </c>
      <c r="P2692" s="1">
        <v>1827</v>
      </c>
      <c r="Q2692" s="1" t="s">
        <v>42</v>
      </c>
      <c r="S2692" s="1" t="s">
        <v>42</v>
      </c>
      <c r="T2692" s="1" t="s">
        <v>273</v>
      </c>
      <c r="V2692" s="5">
        <v>43642</v>
      </c>
      <c r="W2692" s="5">
        <v>42721</v>
      </c>
      <c r="X2692" s="1">
        <v>2975000</v>
      </c>
      <c r="Y2692" s="1">
        <v>3200000</v>
      </c>
      <c r="Z2692" s="5">
        <v>42721</v>
      </c>
      <c r="AA2692" s="1">
        <v>2997613</v>
      </c>
      <c r="AB2692" s="1" t="s">
        <v>1618</v>
      </c>
      <c r="AC2692" s="5">
        <v>43468</v>
      </c>
      <c r="AF2692" s="1">
        <v>10023</v>
      </c>
      <c r="AJ2692" s="1">
        <v>2018</v>
      </c>
      <c r="AK2692" s="1" t="s">
        <v>46</v>
      </c>
      <c r="AL2692" s="1">
        <v>98</v>
      </c>
    </row>
    <row r="2693" spans="1:38" x14ac:dyDescent="0.2">
      <c r="A2693" s="2" t="str">
        <f>HYPERLINK("https://www.compass.com/listing/261-west-25th-street-unit-4d-manhattan-ny-10001/29372520608074241/","261 W 25th St, Unit 4D")</f>
        <v>261 W 25th St, Unit 4D</v>
      </c>
      <c r="B2693" s="2" t="str">
        <f t="shared" ref="B2693:B2694" si="444">HYPERLINK("https://www.compass.com/building/the-seymour-manhattan-ny/281883155990840165/","The Seymour")</f>
        <v>The Seymour</v>
      </c>
      <c r="C2693" s="1" t="s">
        <v>62</v>
      </c>
      <c r="D2693" s="1" t="s">
        <v>41</v>
      </c>
      <c r="E2693" s="3">
        <v>3553693</v>
      </c>
      <c r="F2693" s="1">
        <v>1921.9540292049701</v>
      </c>
      <c r="G2693" s="1">
        <v>5</v>
      </c>
      <c r="H2693" s="1">
        <v>3</v>
      </c>
      <c r="I2693" s="1">
        <v>3</v>
      </c>
      <c r="J2693" s="1">
        <v>2.5</v>
      </c>
      <c r="M2693" s="4">
        <v>1849</v>
      </c>
      <c r="N2693" s="1">
        <v>2145</v>
      </c>
      <c r="O2693" s="1">
        <v>4494</v>
      </c>
      <c r="P2693" s="1">
        <v>2349</v>
      </c>
      <c r="Q2693" s="1" t="s">
        <v>42</v>
      </c>
      <c r="S2693" s="1" t="s">
        <v>42</v>
      </c>
      <c r="T2693" s="1" t="s">
        <v>273</v>
      </c>
      <c r="U2693" s="1">
        <v>109</v>
      </c>
      <c r="V2693" s="5">
        <v>43654</v>
      </c>
      <c r="W2693" s="5">
        <v>41828</v>
      </c>
      <c r="X2693" s="1">
        <v>3490000</v>
      </c>
      <c r="Y2693" s="1">
        <v>3490000</v>
      </c>
      <c r="Z2693" s="5">
        <v>41937</v>
      </c>
      <c r="AA2693" s="1">
        <v>3553693</v>
      </c>
      <c r="AB2693" s="1" t="s">
        <v>1619</v>
      </c>
      <c r="AC2693" s="5">
        <v>42424</v>
      </c>
      <c r="AF2693" s="1">
        <v>10001</v>
      </c>
      <c r="AI2693" s="1" t="s">
        <v>185</v>
      </c>
      <c r="AJ2693" s="1">
        <v>2015</v>
      </c>
      <c r="AK2693" s="1" t="s">
        <v>49</v>
      </c>
      <c r="AL2693" s="1">
        <v>49</v>
      </c>
    </row>
    <row r="2694" spans="1:38" x14ac:dyDescent="0.2">
      <c r="A2694" s="2" t="str">
        <f>HYPERLINK("https://www.compass.com/listing/261-west-25th-street-unit-4c-manhattan-ny-10001/29372520205424145/","261 W 25th St, Unit 4C")</f>
        <v>261 W 25th St, Unit 4C</v>
      </c>
      <c r="B2694" s="2" t="str">
        <f t="shared" si="444"/>
        <v>The Seymour</v>
      </c>
      <c r="C2694" s="1" t="s">
        <v>62</v>
      </c>
      <c r="D2694" s="1" t="s">
        <v>41</v>
      </c>
      <c r="E2694" s="3">
        <v>2158690</v>
      </c>
      <c r="F2694" s="1">
        <v>1923.9661319073</v>
      </c>
      <c r="G2694" s="1">
        <v>4</v>
      </c>
      <c r="H2694" s="1">
        <v>2</v>
      </c>
      <c r="I2694" s="1">
        <v>2</v>
      </c>
      <c r="J2694" s="1">
        <v>2</v>
      </c>
      <c r="M2694" s="4">
        <v>1122</v>
      </c>
      <c r="N2694" s="1">
        <v>1301</v>
      </c>
      <c r="O2694" s="1">
        <v>2726</v>
      </c>
      <c r="P2694" s="1">
        <v>1425</v>
      </c>
      <c r="Q2694" s="1" t="s">
        <v>42</v>
      </c>
      <c r="S2694" s="1" t="s">
        <v>42</v>
      </c>
      <c r="T2694" s="1" t="s">
        <v>273</v>
      </c>
      <c r="V2694" s="5">
        <v>43650</v>
      </c>
      <c r="W2694" s="5">
        <v>41874</v>
      </c>
      <c r="X2694" s="1">
        <v>2120000</v>
      </c>
      <c r="Y2694" s="1">
        <v>2120000</v>
      </c>
      <c r="Z2694" s="5">
        <v>41874</v>
      </c>
      <c r="AA2694" s="1">
        <v>2158690</v>
      </c>
      <c r="AB2694" s="1" t="s">
        <v>1620</v>
      </c>
      <c r="AC2694" s="5">
        <v>42418</v>
      </c>
      <c r="AF2694" s="1">
        <v>10001</v>
      </c>
      <c r="AI2694" s="1" t="s">
        <v>185</v>
      </c>
      <c r="AJ2694" s="1">
        <v>2015</v>
      </c>
      <c r="AK2694" s="1" t="s">
        <v>49</v>
      </c>
      <c r="AL2694" s="1">
        <v>49</v>
      </c>
    </row>
    <row r="2695" spans="1:38" x14ac:dyDescent="0.2">
      <c r="A2695" s="2" t="str">
        <f>HYPERLINK("https://www.compass.com/listing/56-walker-street-unit-3-manhattan-ny-10013/29358998079713489/","56 Walker St, Unit 3")</f>
        <v>56 Walker St, Unit 3</v>
      </c>
      <c r="B2695" s="2" t="str">
        <f>HYPERLINK("https://www.compass.com/building/walker-house-manhattan-ny/281920827333577653/","Walker House")</f>
        <v>Walker House</v>
      </c>
      <c r="C2695" s="1" t="s">
        <v>50</v>
      </c>
      <c r="D2695" s="1" t="s">
        <v>41</v>
      </c>
      <c r="E2695" s="3">
        <v>5200000</v>
      </c>
      <c r="F2695" s="1">
        <v>1731.0252996005299</v>
      </c>
      <c r="H2695" s="1">
        <v>3</v>
      </c>
      <c r="J2695" s="1">
        <v>3.5</v>
      </c>
      <c r="M2695" s="4">
        <v>3004</v>
      </c>
      <c r="N2695" s="1">
        <v>1284</v>
      </c>
      <c r="O2695" s="1">
        <v>4415</v>
      </c>
      <c r="P2695" s="1">
        <v>3131</v>
      </c>
      <c r="Q2695" s="1" t="s">
        <v>42</v>
      </c>
      <c r="S2695" s="1" t="s">
        <v>42</v>
      </c>
      <c r="T2695" s="1" t="s">
        <v>273</v>
      </c>
      <c r="AA2695" s="1">
        <v>5200000</v>
      </c>
      <c r="AB2695" s="1" t="s">
        <v>1621</v>
      </c>
      <c r="AC2695" s="5">
        <v>42887</v>
      </c>
      <c r="AF2695" s="1">
        <v>10013</v>
      </c>
      <c r="AJ2695" s="1">
        <v>2015</v>
      </c>
      <c r="AL2695" s="1">
        <v>4</v>
      </c>
    </row>
    <row r="2696" spans="1:38" x14ac:dyDescent="0.2">
      <c r="A2696" s="2" t="str">
        <f>HYPERLINK("https://www.compass.com/listing/527-west-27th-street-unit-3c-manhattan-ny-10001/718779437083977385/","527 W 27th St, Unit 3C")</f>
        <v>527 W 27th St, Unit 3C</v>
      </c>
      <c r="B2696" s="2" t="str">
        <f t="shared" ref="B2696:B2697" si="445">HYPERLINK("https://www.compass.com/building/jardim-manhattan-ny/282062246220171157/","Jardim")</f>
        <v>Jardim</v>
      </c>
      <c r="C2696" s="1" t="s">
        <v>62</v>
      </c>
      <c r="D2696" s="1" t="s">
        <v>41</v>
      </c>
      <c r="E2696" s="3">
        <v>2950000</v>
      </c>
      <c r="F2696" s="1">
        <v>2005.43847722637</v>
      </c>
      <c r="G2696" s="1">
        <v>4.5</v>
      </c>
      <c r="H2696" s="1">
        <v>2</v>
      </c>
      <c r="I2696" s="1">
        <v>3</v>
      </c>
      <c r="J2696" s="1">
        <v>2.5</v>
      </c>
      <c r="K2696" s="1">
        <v>2</v>
      </c>
      <c r="L2696" s="1">
        <v>1</v>
      </c>
      <c r="M2696" s="4">
        <v>1471</v>
      </c>
      <c r="N2696" s="1">
        <v>1630</v>
      </c>
      <c r="O2696" s="1">
        <v>4076</v>
      </c>
      <c r="P2696" s="1">
        <v>2446</v>
      </c>
      <c r="Q2696" s="1" t="s">
        <v>42</v>
      </c>
      <c r="S2696" s="1" t="s">
        <v>42</v>
      </c>
      <c r="T2696" s="1" t="s">
        <v>273</v>
      </c>
      <c r="U2696" s="1">
        <v>339</v>
      </c>
      <c r="V2696" s="5">
        <v>44384</v>
      </c>
      <c r="W2696" s="5">
        <v>43866</v>
      </c>
      <c r="Z2696" s="5">
        <v>44300</v>
      </c>
      <c r="AA2696" s="1">
        <v>2950000</v>
      </c>
      <c r="AB2696" s="1" t="s">
        <v>1622</v>
      </c>
      <c r="AC2696" s="5">
        <v>44341</v>
      </c>
      <c r="AF2696" s="1">
        <v>10001</v>
      </c>
      <c r="AI2696" s="1" t="s">
        <v>1071</v>
      </c>
      <c r="AJ2696" s="1">
        <v>2017</v>
      </c>
      <c r="AK2696" s="1" t="s">
        <v>49</v>
      </c>
      <c r="AL2696" s="1">
        <v>36</v>
      </c>
    </row>
    <row r="2697" spans="1:38" x14ac:dyDescent="0.2">
      <c r="A2697" s="2" t="str">
        <f>HYPERLINK("https://www.compass.com/listing/527-west-27th-street-unit-4b-manhattan-ny-10001/607996889910118665/","527 W 27th St, Unit 4B")</f>
        <v>527 W 27th St, Unit 4B</v>
      </c>
      <c r="B2697" s="2" t="str">
        <f t="shared" si="445"/>
        <v>Jardim</v>
      </c>
      <c r="C2697" s="1" t="s">
        <v>62</v>
      </c>
      <c r="D2697" s="1" t="s">
        <v>41</v>
      </c>
      <c r="E2697" s="3">
        <v>1420000</v>
      </c>
      <c r="F2697" s="1">
        <v>1863.5170603674501</v>
      </c>
      <c r="G2697" s="1">
        <v>3</v>
      </c>
      <c r="H2697" s="1">
        <v>1</v>
      </c>
      <c r="I2697" s="1">
        <v>1</v>
      </c>
      <c r="J2697" s="1">
        <v>1</v>
      </c>
      <c r="K2697" s="1">
        <v>1</v>
      </c>
      <c r="M2697" s="1">
        <v>762</v>
      </c>
      <c r="N2697" s="1">
        <v>824</v>
      </c>
      <c r="O2697" s="1">
        <v>2089</v>
      </c>
      <c r="P2697" s="1">
        <v>1265</v>
      </c>
      <c r="Q2697" s="1" t="s">
        <v>42</v>
      </c>
      <c r="S2697" s="1" t="s">
        <v>42</v>
      </c>
      <c r="T2697" s="1" t="s">
        <v>273</v>
      </c>
      <c r="U2697" s="1">
        <v>44</v>
      </c>
      <c r="V2697" s="5">
        <v>44225</v>
      </c>
      <c r="W2697" s="5">
        <v>44046</v>
      </c>
      <c r="X2697" s="1">
        <v>1680000</v>
      </c>
      <c r="Y2697" s="1">
        <v>1680000</v>
      </c>
      <c r="AA2697" s="1">
        <v>1420000</v>
      </c>
      <c r="AB2697" s="1" t="s">
        <v>1623</v>
      </c>
      <c r="AC2697" s="5">
        <v>44090</v>
      </c>
      <c r="AF2697" s="1">
        <v>10001</v>
      </c>
      <c r="AI2697" s="1" t="s">
        <v>65</v>
      </c>
      <c r="AJ2697" s="1">
        <v>2017</v>
      </c>
      <c r="AK2697" s="1" t="s">
        <v>49</v>
      </c>
      <c r="AL2697" s="1">
        <v>36</v>
      </c>
    </row>
    <row r="2698" spans="1:38" x14ac:dyDescent="0.2">
      <c r="A2698" s="2" t="str">
        <f>HYPERLINK("https://www.compass.com/listing/56-walker-street-unit-4-manhattan-ny-10013/29358998415225249/","56 Walker St, Unit 4")</f>
        <v>56 Walker St, Unit 4</v>
      </c>
      <c r="B2698" s="2" t="str">
        <f>HYPERLINK("https://www.compass.com/building/walker-house-manhattan-ny/281920827333577653/","Walker House")</f>
        <v>Walker House</v>
      </c>
      <c r="C2698" s="1" t="s">
        <v>50</v>
      </c>
      <c r="D2698" s="1" t="s">
        <v>41</v>
      </c>
      <c r="E2698" s="3">
        <v>6602500</v>
      </c>
      <c r="F2698" s="1">
        <v>2035.2959309494399</v>
      </c>
      <c r="H2698" s="1">
        <v>2</v>
      </c>
      <c r="J2698" s="1">
        <v>3</v>
      </c>
      <c r="M2698" s="4">
        <v>3244</v>
      </c>
      <c r="N2698" s="1">
        <v>1140</v>
      </c>
      <c r="O2698" s="1">
        <v>2166</v>
      </c>
      <c r="P2698" s="1">
        <v>1026</v>
      </c>
      <c r="Q2698" s="1" t="s">
        <v>42</v>
      </c>
      <c r="S2698" s="1" t="s">
        <v>42</v>
      </c>
      <c r="T2698" s="1" t="s">
        <v>273</v>
      </c>
      <c r="AA2698" s="1">
        <v>6602500</v>
      </c>
      <c r="AB2698" s="1" t="s">
        <v>1624</v>
      </c>
      <c r="AC2698" s="5">
        <v>42881</v>
      </c>
      <c r="AF2698" s="1">
        <v>10013</v>
      </c>
      <c r="AJ2698" s="1">
        <v>2015</v>
      </c>
      <c r="AL2698" s="1">
        <v>4</v>
      </c>
    </row>
    <row r="2699" spans="1:38" x14ac:dyDescent="0.2">
      <c r="A2699" s="2" t="str">
        <f>HYPERLINK("https://www.compass.com/listing/221-west-77th-street-unit-12e-manhattan-ny-10024/8743039254155457/","221 W 77th St, Unit 12E")</f>
        <v>221 W 77th St, Unit 12E</v>
      </c>
      <c r="B2699" s="2" t="str">
        <f t="shared" ref="B2699:B2700" si="446">HYPERLINK("https://www.compass.com/building/221-west-77th-street-manhattan-ny/292869344491294229/","221 West 77th Street")</f>
        <v>221 West 77th Street</v>
      </c>
      <c r="C2699" s="1" t="s">
        <v>57</v>
      </c>
      <c r="D2699" s="1" t="s">
        <v>41</v>
      </c>
      <c r="E2699" s="3">
        <v>5498550</v>
      </c>
      <c r="F2699" s="1">
        <v>2660.1596516690802</v>
      </c>
      <c r="G2699" s="1">
        <v>5</v>
      </c>
      <c r="H2699" s="1">
        <v>3</v>
      </c>
      <c r="I2699" s="1">
        <v>4</v>
      </c>
      <c r="J2699" s="1">
        <v>3.5</v>
      </c>
      <c r="M2699" s="4">
        <v>2067</v>
      </c>
      <c r="N2699" s="1">
        <v>2066</v>
      </c>
      <c r="O2699" s="1">
        <v>4731</v>
      </c>
      <c r="P2699" s="1">
        <v>2665</v>
      </c>
      <c r="Q2699" s="1" t="s">
        <v>42</v>
      </c>
      <c r="S2699" s="1" t="s">
        <v>42</v>
      </c>
      <c r="T2699" s="1" t="s">
        <v>273</v>
      </c>
      <c r="V2699" s="5">
        <v>43664</v>
      </c>
      <c r="W2699" s="5">
        <v>42333</v>
      </c>
      <c r="X2699" s="1">
        <v>5400000</v>
      </c>
      <c r="Y2699" s="1">
        <v>5400000</v>
      </c>
      <c r="Z2699" s="5">
        <v>42333</v>
      </c>
      <c r="AA2699" s="1">
        <v>5498550</v>
      </c>
      <c r="AB2699" s="1" t="s">
        <v>1613</v>
      </c>
      <c r="AC2699" s="5">
        <v>42927</v>
      </c>
      <c r="AF2699" s="1">
        <v>10024</v>
      </c>
      <c r="AI2699" s="1" t="s">
        <v>236</v>
      </c>
      <c r="AJ2699" s="1">
        <v>2017</v>
      </c>
      <c r="AK2699" s="1" t="s">
        <v>55</v>
      </c>
      <c r="AL2699" s="1">
        <v>26</v>
      </c>
    </row>
    <row r="2700" spans="1:38" x14ac:dyDescent="0.2">
      <c r="A2700" s="2" t="str">
        <f>HYPERLINK("https://www.compass.com/listing/221-west-77th-street-unit-17-manhattan-ny-10024/8743035185722849/","221 W 77th St, Unit 17")</f>
        <v>221 W 77th St, Unit 17</v>
      </c>
      <c r="B2700" s="2" t="str">
        <f t="shared" si="446"/>
        <v>221 West 77th Street</v>
      </c>
      <c r="C2700" s="1" t="s">
        <v>57</v>
      </c>
      <c r="D2700" s="1" t="s">
        <v>41</v>
      </c>
      <c r="E2700" s="3">
        <v>10500000</v>
      </c>
      <c r="F2700" s="1">
        <v>3561.7367706919899</v>
      </c>
      <c r="G2700" s="1">
        <v>6</v>
      </c>
      <c r="H2700" s="1">
        <v>4</v>
      </c>
      <c r="I2700" s="1">
        <v>5</v>
      </c>
      <c r="J2700" s="1">
        <v>0.5</v>
      </c>
      <c r="L2700" s="1">
        <v>1</v>
      </c>
      <c r="M2700" s="4">
        <v>2948</v>
      </c>
      <c r="N2700" s="1">
        <v>3041</v>
      </c>
      <c r="O2700" s="1">
        <v>6964</v>
      </c>
      <c r="P2700" s="1">
        <v>3923</v>
      </c>
      <c r="Q2700" s="1" t="s">
        <v>42</v>
      </c>
      <c r="S2700" s="1" t="s">
        <v>42</v>
      </c>
      <c r="T2700" s="1" t="s">
        <v>273</v>
      </c>
      <c r="V2700" s="5">
        <v>43657</v>
      </c>
      <c r="W2700" s="5">
        <v>42328</v>
      </c>
      <c r="X2700" s="1">
        <v>10500000</v>
      </c>
      <c r="Y2700" s="1">
        <v>10500000</v>
      </c>
      <c r="Z2700" s="5">
        <v>42328</v>
      </c>
      <c r="AA2700" s="1">
        <v>10500000</v>
      </c>
      <c r="AB2700" s="1" t="s">
        <v>275</v>
      </c>
      <c r="AC2700" s="5">
        <v>42993</v>
      </c>
      <c r="AF2700" s="1">
        <v>10024</v>
      </c>
      <c r="AI2700" s="1" t="s">
        <v>179</v>
      </c>
      <c r="AJ2700" s="1">
        <v>2017</v>
      </c>
      <c r="AK2700" s="1" t="s">
        <v>108</v>
      </c>
      <c r="AL2700" s="1">
        <v>26</v>
      </c>
    </row>
    <row r="2701" spans="1:38" x14ac:dyDescent="0.2">
      <c r="A2701" s="2" t="str">
        <f>HYPERLINK("https://www.compass.com/listing/261-west-25th-street-unit-2d-manhattan-ny-10001/29372516204058065/","261 W 25th St, Unit 2D")</f>
        <v>261 W 25th St, Unit 2D</v>
      </c>
      <c r="B2701" s="2" t="str">
        <f>HYPERLINK("https://www.compass.com/building/the-seymour-manhattan-ny/281883155990840165/","The Seymour")</f>
        <v>The Seymour</v>
      </c>
      <c r="C2701" s="1" t="s">
        <v>62</v>
      </c>
      <c r="D2701" s="1" t="s">
        <v>41</v>
      </c>
      <c r="E2701" s="3">
        <v>3253309</v>
      </c>
      <c r="F2701" s="1">
        <v>1912.5861258083401</v>
      </c>
      <c r="G2701" s="1">
        <v>5</v>
      </c>
      <c r="H2701" s="1">
        <v>3</v>
      </c>
      <c r="I2701" s="1">
        <v>3</v>
      </c>
      <c r="J2701" s="1">
        <v>2.5</v>
      </c>
      <c r="M2701" s="4">
        <v>1701</v>
      </c>
      <c r="N2701" s="1">
        <v>1925</v>
      </c>
      <c r="O2701" s="1">
        <v>4086</v>
      </c>
      <c r="P2701" s="1">
        <v>2161</v>
      </c>
      <c r="Q2701" s="1" t="s">
        <v>42</v>
      </c>
      <c r="S2701" s="1" t="s">
        <v>42</v>
      </c>
      <c r="T2701" s="1" t="s">
        <v>273</v>
      </c>
      <c r="U2701" s="1">
        <v>159</v>
      </c>
      <c r="V2701" s="5">
        <v>43654</v>
      </c>
      <c r="W2701" s="5">
        <v>41942</v>
      </c>
      <c r="X2701" s="1">
        <v>3195000</v>
      </c>
      <c r="Y2701" s="1">
        <v>3195000</v>
      </c>
      <c r="Z2701" s="5">
        <v>42101</v>
      </c>
      <c r="AA2701" s="1">
        <v>3253309</v>
      </c>
      <c r="AB2701" s="1" t="s">
        <v>1625</v>
      </c>
      <c r="AC2701" s="5">
        <v>42424</v>
      </c>
      <c r="AF2701" s="1">
        <v>10001</v>
      </c>
      <c r="AI2701" s="1" t="s">
        <v>185</v>
      </c>
      <c r="AJ2701" s="1">
        <v>2015</v>
      </c>
      <c r="AK2701" s="1" t="s">
        <v>49</v>
      </c>
      <c r="AL2701" s="1">
        <v>49</v>
      </c>
    </row>
    <row r="2702" spans="1:38" x14ac:dyDescent="0.2">
      <c r="A2702" s="2" t="str">
        <f>HYPERLINK("https://www.compass.com/listing/565-broome-street-unit-n7c-manhattan-ny-10013/29514988532059969/","565 Broome St, Unit N7C")</f>
        <v>565 Broome St, Unit N7C</v>
      </c>
      <c r="B2702" s="2" t="str">
        <f t="shared" ref="B2702:B2704" si="447">HYPERLINK("https://www.compass.com/building/565-broome-soho-manhattan-ny/292813251698267109/","565 Broome Soho")</f>
        <v>565 Broome Soho</v>
      </c>
      <c r="C2702" s="1" t="s">
        <v>53</v>
      </c>
      <c r="D2702" s="1" t="s">
        <v>41</v>
      </c>
      <c r="E2702" s="3">
        <v>3590000</v>
      </c>
      <c r="F2702" s="1">
        <v>2135.6335514574598</v>
      </c>
      <c r="G2702" s="1">
        <v>4</v>
      </c>
      <c r="H2702" s="1">
        <v>2</v>
      </c>
      <c r="I2702" s="1">
        <v>3</v>
      </c>
      <c r="J2702" s="1">
        <v>2.5</v>
      </c>
      <c r="K2702" s="1">
        <v>2</v>
      </c>
      <c r="L2702" s="1">
        <v>1</v>
      </c>
      <c r="M2702" s="4">
        <v>1681</v>
      </c>
      <c r="N2702" s="1">
        <v>2466</v>
      </c>
      <c r="O2702" s="1">
        <v>5186</v>
      </c>
      <c r="P2702" s="1">
        <v>2720</v>
      </c>
      <c r="Q2702" s="1" t="s">
        <v>42</v>
      </c>
      <c r="S2702" s="1" t="s">
        <v>42</v>
      </c>
      <c r="T2702" s="1" t="s">
        <v>273</v>
      </c>
      <c r="V2702" s="5">
        <v>44331</v>
      </c>
      <c r="W2702" s="5">
        <v>43252</v>
      </c>
      <c r="X2702" s="1">
        <v>4025000</v>
      </c>
      <c r="Y2702" s="1">
        <v>4025000</v>
      </c>
      <c r="Z2702" s="5">
        <v>43252</v>
      </c>
      <c r="AA2702" s="1">
        <v>3590000</v>
      </c>
      <c r="AB2702" s="1" t="s">
        <v>1626</v>
      </c>
      <c r="AC2702" s="5">
        <v>43559</v>
      </c>
      <c r="AF2702" s="1">
        <v>10013</v>
      </c>
      <c r="AI2702" s="1" t="s">
        <v>48</v>
      </c>
      <c r="AJ2702" s="1">
        <v>2019</v>
      </c>
      <c r="AK2702" s="1" t="s">
        <v>46</v>
      </c>
      <c r="AL2702" s="1">
        <v>115</v>
      </c>
    </row>
    <row r="2703" spans="1:38" x14ac:dyDescent="0.2">
      <c r="A2703" s="2" t="str">
        <f>HYPERLINK("https://www.compass.com/listing/565-broome-street-unit-n10c-manhattan-ny-10013/29515000854925697/","565 Broome St, Unit N10C")</f>
        <v>565 Broome St, Unit N10C</v>
      </c>
      <c r="B2703" s="2" t="str">
        <f t="shared" si="447"/>
        <v>565 Broome Soho</v>
      </c>
      <c r="C2703" s="1" t="s">
        <v>53</v>
      </c>
      <c r="D2703" s="1" t="s">
        <v>41</v>
      </c>
      <c r="E2703" s="3">
        <v>3792486</v>
      </c>
      <c r="F2703" s="1">
        <v>2256.0892325996401</v>
      </c>
      <c r="G2703" s="1">
        <v>4</v>
      </c>
      <c r="H2703" s="1">
        <v>2</v>
      </c>
      <c r="I2703" s="1">
        <v>3</v>
      </c>
      <c r="J2703" s="1">
        <v>2.5</v>
      </c>
      <c r="K2703" s="1">
        <v>2</v>
      </c>
      <c r="L2703" s="1">
        <v>1</v>
      </c>
      <c r="M2703" s="4">
        <v>1681</v>
      </c>
      <c r="N2703" s="1">
        <v>2503</v>
      </c>
      <c r="O2703" s="1">
        <v>5264</v>
      </c>
      <c r="P2703" s="1">
        <v>2761</v>
      </c>
      <c r="Q2703" s="1" t="s">
        <v>42</v>
      </c>
      <c r="S2703" s="1" t="s">
        <v>42</v>
      </c>
      <c r="T2703" s="1" t="s">
        <v>273</v>
      </c>
      <c r="V2703" s="5">
        <v>44327</v>
      </c>
      <c r="W2703" s="5">
        <v>43155</v>
      </c>
      <c r="X2703" s="1">
        <v>4225000</v>
      </c>
      <c r="Y2703" s="1">
        <v>4225000</v>
      </c>
      <c r="Z2703" s="5">
        <v>43155</v>
      </c>
      <c r="AA2703" s="1">
        <v>3792486</v>
      </c>
      <c r="AB2703" s="1" t="s">
        <v>1627</v>
      </c>
      <c r="AC2703" s="5">
        <v>43568</v>
      </c>
      <c r="AF2703" s="1">
        <v>10013</v>
      </c>
      <c r="AI2703" s="1" t="s">
        <v>48</v>
      </c>
      <c r="AJ2703" s="1">
        <v>2019</v>
      </c>
      <c r="AK2703" s="1" t="s">
        <v>46</v>
      </c>
      <c r="AL2703" s="1">
        <v>115</v>
      </c>
    </row>
    <row r="2704" spans="1:38" x14ac:dyDescent="0.2">
      <c r="A2704" s="2" t="str">
        <f>HYPERLINK("https://www.compass.com/listing/565-broome-street-unit-s7c-manhattan-ny-10013/29515002591340465/","565 Broome St, Unit S7C")</f>
        <v>565 Broome St, Unit S7C</v>
      </c>
      <c r="B2704" s="2" t="str">
        <f t="shared" si="447"/>
        <v>565 Broome Soho</v>
      </c>
      <c r="C2704" s="1" t="s">
        <v>53</v>
      </c>
      <c r="D2704" s="1" t="s">
        <v>41</v>
      </c>
      <c r="E2704" s="3">
        <v>3750000</v>
      </c>
      <c r="F2704" s="1">
        <v>2230.8149910767402</v>
      </c>
      <c r="G2704" s="1">
        <v>4</v>
      </c>
      <c r="H2704" s="1">
        <v>2</v>
      </c>
      <c r="I2704" s="1">
        <v>3</v>
      </c>
      <c r="J2704" s="1">
        <v>2.5</v>
      </c>
      <c r="K2704" s="1">
        <v>2</v>
      </c>
      <c r="L2704" s="1">
        <v>1</v>
      </c>
      <c r="M2704" s="4">
        <v>1681</v>
      </c>
      <c r="N2704" s="1">
        <v>2454</v>
      </c>
      <c r="O2704" s="1">
        <v>5161</v>
      </c>
      <c r="P2704" s="1">
        <v>2707</v>
      </c>
      <c r="Q2704" s="1" t="s">
        <v>42</v>
      </c>
      <c r="S2704" s="1" t="s">
        <v>42</v>
      </c>
      <c r="T2704" s="1" t="s">
        <v>273</v>
      </c>
      <c r="U2704" s="1">
        <v>615</v>
      </c>
      <c r="V2704" s="5">
        <v>44344</v>
      </c>
      <c r="W2704" s="5">
        <v>43230</v>
      </c>
      <c r="X2704" s="1">
        <v>3925000</v>
      </c>
      <c r="Y2704" s="1">
        <v>3925000</v>
      </c>
      <c r="Z2704" s="5">
        <v>43845</v>
      </c>
      <c r="AA2704" s="1">
        <v>3750000</v>
      </c>
      <c r="AB2704" s="1" t="s">
        <v>1628</v>
      </c>
      <c r="AC2704" s="5">
        <v>43852</v>
      </c>
      <c r="AF2704" s="1">
        <v>10013</v>
      </c>
      <c r="AI2704" s="1" t="s">
        <v>48</v>
      </c>
      <c r="AJ2704" s="1">
        <v>2019</v>
      </c>
      <c r="AK2704" s="1" t="s">
        <v>46</v>
      </c>
      <c r="AL2704" s="1">
        <v>115</v>
      </c>
    </row>
    <row r="2705" spans="1:38" x14ac:dyDescent="0.2">
      <c r="A2705" s="2" t="str">
        <f>HYPERLINK("https://www.compass.com/listing/225-east-81st-street-unit-4-manhattan-ny-10028/157041481780141665/","225 E 81st St, Unit 4")</f>
        <v>225 E 81st St, Unit 4</v>
      </c>
      <c r="B2705" s="2" t="str">
        <f>HYPERLINK("https://www.compass.com/building/the-justin-manhattan-ny/282057109682552965/","The Justin")</f>
        <v>The Justin</v>
      </c>
      <c r="C2705" s="1" t="s">
        <v>82</v>
      </c>
      <c r="D2705" s="1" t="s">
        <v>41</v>
      </c>
      <c r="E2705" s="3">
        <v>2925000</v>
      </c>
      <c r="G2705" s="1">
        <v>5</v>
      </c>
      <c r="H2705" s="1">
        <v>3</v>
      </c>
      <c r="I2705" s="1">
        <v>3</v>
      </c>
      <c r="J2705" s="1">
        <v>2.5</v>
      </c>
      <c r="K2705" s="1">
        <v>2</v>
      </c>
      <c r="L2705" s="1">
        <v>1</v>
      </c>
      <c r="N2705" s="1">
        <v>2400.5100000000002</v>
      </c>
      <c r="O2705" s="1">
        <v>3162.93</v>
      </c>
      <c r="P2705" s="1">
        <v>762.41666666666595</v>
      </c>
      <c r="Q2705" s="1" t="s">
        <v>42</v>
      </c>
      <c r="S2705" s="1" t="s">
        <v>42</v>
      </c>
      <c r="T2705" s="1" t="s">
        <v>273</v>
      </c>
      <c r="U2705" s="1">
        <v>116</v>
      </c>
      <c r="V2705" s="5">
        <v>43694</v>
      </c>
      <c r="W2705" s="5">
        <v>43469</v>
      </c>
      <c r="X2705" s="1">
        <v>3295000</v>
      </c>
      <c r="Y2705" s="1">
        <v>2995000</v>
      </c>
      <c r="Z2705" s="5">
        <v>43585</v>
      </c>
      <c r="AA2705" s="1">
        <v>2925000</v>
      </c>
      <c r="AB2705" s="1" t="s">
        <v>1629</v>
      </c>
      <c r="AC2705" s="5">
        <v>43628</v>
      </c>
      <c r="AF2705" s="1">
        <v>10028</v>
      </c>
      <c r="AI2705" s="1" t="s">
        <v>1630</v>
      </c>
      <c r="AJ2705" s="1">
        <v>1920</v>
      </c>
      <c r="AK2705" s="1" t="s">
        <v>143</v>
      </c>
      <c r="AL2705" s="1">
        <v>5</v>
      </c>
    </row>
    <row r="2706" spans="1:38" x14ac:dyDescent="0.2">
      <c r="A2706" s="2" t="str">
        <f>HYPERLINK("https://www.compass.com/listing/565-broome-street-unit-n7e-manhattan-ny-10013/370143580325576353/","565 Broome St, Unit N7E")</f>
        <v>565 Broome St, Unit N7E</v>
      </c>
      <c r="B2706" s="2" t="str">
        <f>HYPERLINK("https://www.compass.com/building/565-broome-soho-manhattan-ny/292813251698267109/","565 Broome Soho")</f>
        <v>565 Broome Soho</v>
      </c>
      <c r="C2706" s="1" t="s">
        <v>53</v>
      </c>
      <c r="D2706" s="1" t="s">
        <v>41</v>
      </c>
      <c r="E2706" s="3">
        <v>4550000</v>
      </c>
      <c r="F2706" s="1">
        <v>1930.4200254560801</v>
      </c>
      <c r="G2706" s="1">
        <v>6</v>
      </c>
      <c r="H2706" s="1">
        <v>3</v>
      </c>
      <c r="I2706" s="1">
        <v>4</v>
      </c>
      <c r="J2706" s="1">
        <v>3.5</v>
      </c>
      <c r="K2706" s="1">
        <v>3</v>
      </c>
      <c r="L2706" s="1">
        <v>1</v>
      </c>
      <c r="M2706" s="4">
        <v>2357</v>
      </c>
      <c r="N2706" s="1">
        <v>3459</v>
      </c>
      <c r="O2706" s="1">
        <v>3459</v>
      </c>
      <c r="Q2706" s="1" t="s">
        <v>42</v>
      </c>
      <c r="S2706" s="1" t="s">
        <v>42</v>
      </c>
      <c r="T2706" s="1" t="s">
        <v>273</v>
      </c>
      <c r="U2706" s="1">
        <v>43</v>
      </c>
      <c r="V2706" s="5">
        <v>44323</v>
      </c>
      <c r="W2706" s="5">
        <v>43759</v>
      </c>
      <c r="AA2706" s="1">
        <v>4550000</v>
      </c>
      <c r="AB2706" s="1" t="s">
        <v>1631</v>
      </c>
      <c r="AC2706" s="5">
        <v>43802</v>
      </c>
      <c r="AF2706" s="1">
        <v>10013</v>
      </c>
      <c r="AI2706" s="1" t="s">
        <v>48</v>
      </c>
      <c r="AJ2706" s="1">
        <v>2019</v>
      </c>
      <c r="AK2706" s="1" t="s">
        <v>46</v>
      </c>
      <c r="AL2706" s="1">
        <v>115</v>
      </c>
    </row>
    <row r="2707" spans="1:38" x14ac:dyDescent="0.2">
      <c r="A2707" s="2" t="str">
        <f>HYPERLINK("https://www.compass.com/listing/570-broome-street-unit-pha-manhattan-ny-10013/803388195983139105/","570 Broome St, Unit PHA")</f>
        <v>570 Broome St, Unit PHA</v>
      </c>
      <c r="B2707" s="2" t="str">
        <f>HYPERLINK("https://www.compass.com/building/570-broome-manhattan-ny/292818583757562981/","570 Broome")</f>
        <v>570 Broome</v>
      </c>
      <c r="C2707" s="1" t="s">
        <v>53</v>
      </c>
      <c r="D2707" s="1" t="s">
        <v>41</v>
      </c>
      <c r="E2707" s="3">
        <v>5815000</v>
      </c>
      <c r="F2707" s="1">
        <v>2992.7946474523901</v>
      </c>
      <c r="G2707" s="1">
        <v>6</v>
      </c>
      <c r="H2707" s="1">
        <v>3</v>
      </c>
      <c r="I2707" s="1">
        <v>3</v>
      </c>
      <c r="J2707" s="1">
        <v>3</v>
      </c>
      <c r="K2707" s="1">
        <v>3</v>
      </c>
      <c r="M2707" s="4">
        <v>1943</v>
      </c>
      <c r="N2707" s="1">
        <v>2278</v>
      </c>
      <c r="O2707" s="1">
        <v>5784</v>
      </c>
      <c r="P2707" s="1">
        <v>3506</v>
      </c>
      <c r="Q2707" s="1" t="s">
        <v>42</v>
      </c>
      <c r="S2707" s="1" t="s">
        <v>42</v>
      </c>
      <c r="T2707" s="1" t="s">
        <v>273</v>
      </c>
      <c r="V2707" s="5">
        <v>43678</v>
      </c>
      <c r="W2707" s="5">
        <v>43364</v>
      </c>
      <c r="X2707" s="1">
        <v>6250000</v>
      </c>
      <c r="Y2707" s="1">
        <v>6250000</v>
      </c>
      <c r="Z2707" s="5">
        <v>43364</v>
      </c>
      <c r="AA2707" s="1">
        <v>5815000</v>
      </c>
      <c r="AB2707" s="1" t="s">
        <v>330</v>
      </c>
      <c r="AC2707" s="5">
        <v>43818</v>
      </c>
      <c r="AF2707" s="1">
        <v>10013</v>
      </c>
      <c r="AI2707" s="1" t="s">
        <v>1612</v>
      </c>
      <c r="AJ2707" s="1">
        <v>2019</v>
      </c>
      <c r="AK2707" s="1" t="s">
        <v>108</v>
      </c>
      <c r="AL2707" s="1">
        <v>54</v>
      </c>
    </row>
    <row r="2708" spans="1:38" x14ac:dyDescent="0.2">
      <c r="A2708" s="2" t="str">
        <f>HYPERLINK("https://www.compass.com/listing/235-west-75th-street-unit-823-manhattan-ny-10023/29395877386877713/","235 W 75th St, Unit 823")</f>
        <v>235 W 75th St, Unit 823</v>
      </c>
      <c r="B2708" s="2" t="str">
        <f>HYPERLINK("https://www.compass.com/building/the-astor-manhattan-ny/281958704155269925/","The Astor")</f>
        <v>The Astor</v>
      </c>
      <c r="C2708" s="1" t="s">
        <v>57</v>
      </c>
      <c r="D2708" s="1" t="s">
        <v>41</v>
      </c>
      <c r="E2708" s="3">
        <v>2337165</v>
      </c>
      <c r="F2708" s="1">
        <v>2172.0864312267599</v>
      </c>
      <c r="G2708" s="1">
        <v>2</v>
      </c>
      <c r="H2708" s="1">
        <v>1</v>
      </c>
      <c r="I2708" s="1">
        <v>1</v>
      </c>
      <c r="J2708" s="1">
        <v>1.5</v>
      </c>
      <c r="K2708" s="1">
        <v>1</v>
      </c>
      <c r="L2708" s="1">
        <v>1</v>
      </c>
      <c r="M2708" s="4">
        <v>1076</v>
      </c>
      <c r="N2708" s="1">
        <v>1427</v>
      </c>
      <c r="O2708" s="1">
        <v>2980</v>
      </c>
      <c r="P2708" s="1">
        <v>1553</v>
      </c>
      <c r="Q2708" s="1" t="s">
        <v>42</v>
      </c>
      <c r="S2708" s="1" t="s">
        <v>42</v>
      </c>
      <c r="T2708" s="1" t="s">
        <v>273</v>
      </c>
      <c r="V2708" s="5">
        <v>43673</v>
      </c>
      <c r="W2708" s="5">
        <v>42378</v>
      </c>
      <c r="X2708" s="1">
        <v>2465000</v>
      </c>
      <c r="Y2708" s="1">
        <v>2277000</v>
      </c>
      <c r="Z2708" s="5">
        <v>42378</v>
      </c>
      <c r="AA2708" s="1">
        <v>2337165</v>
      </c>
      <c r="AB2708" s="1" t="s">
        <v>1632</v>
      </c>
      <c r="AC2708" s="5">
        <v>42727</v>
      </c>
      <c r="AF2708" s="1">
        <v>10023</v>
      </c>
      <c r="AJ2708" s="1">
        <v>2018</v>
      </c>
      <c r="AK2708" s="1" t="s">
        <v>46</v>
      </c>
      <c r="AL2708" s="1">
        <v>98</v>
      </c>
    </row>
    <row r="2709" spans="1:38" x14ac:dyDescent="0.2">
      <c r="A2709" s="2" t="str">
        <f>HYPERLINK("https://www.compass.com/listing/565-broome-street-unit-n11a-manhattan-ny-10013/633071385524694289/","565 Broome St, Unit N11A")</f>
        <v>565 Broome St, Unit N11A</v>
      </c>
      <c r="B2709" s="2" t="str">
        <f t="shared" ref="B2709:B2713" si="448">HYPERLINK("https://www.compass.com/building/565-broome-soho-manhattan-ny/292813251698267109/","565 Broome Soho")</f>
        <v>565 Broome Soho</v>
      </c>
      <c r="C2709" s="1" t="s">
        <v>53</v>
      </c>
      <c r="D2709" s="1" t="s">
        <v>41</v>
      </c>
      <c r="E2709" s="3">
        <v>3100000</v>
      </c>
      <c r="F2709" s="1">
        <v>2142.3635107118098</v>
      </c>
      <c r="G2709" s="1">
        <v>4</v>
      </c>
      <c r="H2709" s="1">
        <v>2</v>
      </c>
      <c r="I2709" s="1">
        <v>3</v>
      </c>
      <c r="J2709" s="1">
        <v>2.5</v>
      </c>
      <c r="K2709" s="1">
        <v>2</v>
      </c>
      <c r="L2709" s="1">
        <v>1</v>
      </c>
      <c r="M2709" s="4">
        <v>1447</v>
      </c>
      <c r="N2709" s="1">
        <v>2165</v>
      </c>
      <c r="O2709" s="1">
        <v>4084</v>
      </c>
      <c r="P2709" s="1">
        <v>1919</v>
      </c>
      <c r="Q2709" s="1" t="s">
        <v>42</v>
      </c>
      <c r="S2709" s="1" t="s">
        <v>42</v>
      </c>
      <c r="T2709" s="1" t="s">
        <v>273</v>
      </c>
      <c r="U2709" s="1">
        <v>287</v>
      </c>
      <c r="V2709" s="5">
        <v>44327</v>
      </c>
      <c r="W2709" s="5">
        <v>43717</v>
      </c>
      <c r="X2709" s="1">
        <v>3700000</v>
      </c>
      <c r="Y2709" s="1">
        <v>3700000</v>
      </c>
      <c r="Z2709" s="5">
        <v>44099</v>
      </c>
      <c r="AA2709" s="1">
        <v>3100000</v>
      </c>
      <c r="AB2709" s="1" t="s">
        <v>1633</v>
      </c>
      <c r="AC2709" s="5">
        <v>44133</v>
      </c>
      <c r="AF2709" s="1">
        <v>10013</v>
      </c>
      <c r="AI2709" s="1" t="s">
        <v>48</v>
      </c>
      <c r="AJ2709" s="1">
        <v>2019</v>
      </c>
      <c r="AK2709" s="1" t="s">
        <v>46</v>
      </c>
      <c r="AL2709" s="1">
        <v>115</v>
      </c>
    </row>
    <row r="2710" spans="1:38" x14ac:dyDescent="0.2">
      <c r="A2710" s="2" t="str">
        <f>HYPERLINK("https://www.compass.com/listing/565-broome-street-unit-s12a-manhattan-ny-10013/29514994261520433/","565 Broome St, Unit S12A")</f>
        <v>565 Broome St, Unit S12A</v>
      </c>
      <c r="B2710" s="2" t="str">
        <f t="shared" si="448"/>
        <v>565 Broome Soho</v>
      </c>
      <c r="C2710" s="1" t="s">
        <v>53</v>
      </c>
      <c r="D2710" s="1" t="s">
        <v>41</v>
      </c>
      <c r="E2710" s="3">
        <v>3600000</v>
      </c>
      <c r="F2710" s="1">
        <v>2487.9060124395301</v>
      </c>
      <c r="G2710" s="1">
        <v>4</v>
      </c>
      <c r="H2710" s="1">
        <v>2</v>
      </c>
      <c r="I2710" s="1">
        <v>3</v>
      </c>
      <c r="J2710" s="1">
        <v>2.5</v>
      </c>
      <c r="K2710" s="1">
        <v>2</v>
      </c>
      <c r="L2710" s="1">
        <v>1</v>
      </c>
      <c r="M2710" s="4">
        <v>1447</v>
      </c>
      <c r="N2710" s="1">
        <v>2165</v>
      </c>
      <c r="O2710" s="1">
        <v>4553</v>
      </c>
      <c r="P2710" s="1">
        <v>2388</v>
      </c>
      <c r="Q2710" s="1" t="s">
        <v>42</v>
      </c>
      <c r="S2710" s="1" t="s">
        <v>42</v>
      </c>
      <c r="T2710" s="1" t="s">
        <v>273</v>
      </c>
      <c r="U2710" s="1">
        <v>46</v>
      </c>
      <c r="V2710" s="5">
        <v>44337</v>
      </c>
      <c r="W2710" s="5">
        <v>42611</v>
      </c>
      <c r="X2710" s="1">
        <v>3600000</v>
      </c>
      <c r="Y2710" s="1">
        <v>3600000</v>
      </c>
      <c r="Z2710" s="5">
        <v>42658</v>
      </c>
      <c r="AA2710" s="1">
        <v>3600000</v>
      </c>
      <c r="AB2710" s="1" t="s">
        <v>1634</v>
      </c>
      <c r="AC2710" s="5">
        <v>43585</v>
      </c>
      <c r="AF2710" s="1">
        <v>10013</v>
      </c>
      <c r="AI2710" s="1" t="s">
        <v>242</v>
      </c>
      <c r="AJ2710" s="1">
        <v>2019</v>
      </c>
      <c r="AK2710" s="1" t="s">
        <v>46</v>
      </c>
      <c r="AL2710" s="1">
        <v>115</v>
      </c>
    </row>
    <row r="2711" spans="1:38" x14ac:dyDescent="0.2">
      <c r="A2711" s="2" t="str">
        <f>HYPERLINK("https://www.compass.com/listing/565-broome-street-unit-s11a-manhattan-ny-10013/29514988876033937/","565 Broome St, Unit S11A")</f>
        <v>565 Broome St, Unit S11A</v>
      </c>
      <c r="B2711" s="2" t="str">
        <f t="shared" si="448"/>
        <v>565 Broome Soho</v>
      </c>
      <c r="C2711" s="1" t="s">
        <v>53</v>
      </c>
      <c r="D2711" s="1" t="s">
        <v>41</v>
      </c>
      <c r="E2711" s="3">
        <v>3636274</v>
      </c>
      <c r="F2711" s="1">
        <v>2512.97454733932</v>
      </c>
      <c r="G2711" s="1">
        <v>4</v>
      </c>
      <c r="H2711" s="1">
        <v>2</v>
      </c>
      <c r="I2711" s="1">
        <v>3</v>
      </c>
      <c r="J2711" s="1">
        <v>2.5</v>
      </c>
      <c r="K2711" s="1">
        <v>2</v>
      </c>
      <c r="L2711" s="1">
        <v>1</v>
      </c>
      <c r="M2711" s="4">
        <v>1447</v>
      </c>
      <c r="N2711" s="1">
        <v>2155</v>
      </c>
      <c r="O2711" s="1">
        <v>4532</v>
      </c>
      <c r="P2711" s="1">
        <v>2377</v>
      </c>
      <c r="Q2711" s="1" t="s">
        <v>42</v>
      </c>
      <c r="S2711" s="1" t="s">
        <v>42</v>
      </c>
      <c r="T2711" s="1" t="s">
        <v>273</v>
      </c>
      <c r="U2711" s="1">
        <v>317</v>
      </c>
      <c r="V2711" s="5">
        <v>44337</v>
      </c>
      <c r="W2711" s="5">
        <v>42612</v>
      </c>
      <c r="X2711" s="1">
        <v>3550000</v>
      </c>
      <c r="Y2711" s="1">
        <v>3550000</v>
      </c>
      <c r="Z2711" s="5">
        <v>42930</v>
      </c>
      <c r="AA2711" s="1">
        <v>3636274.17</v>
      </c>
      <c r="AB2711" s="1" t="s">
        <v>1635</v>
      </c>
      <c r="AC2711" s="5">
        <v>43621</v>
      </c>
      <c r="AF2711" s="1">
        <v>10013</v>
      </c>
      <c r="AI2711" s="1" t="s">
        <v>242</v>
      </c>
      <c r="AJ2711" s="1">
        <v>2019</v>
      </c>
      <c r="AK2711" s="1" t="s">
        <v>46</v>
      </c>
      <c r="AL2711" s="1">
        <v>115</v>
      </c>
    </row>
    <row r="2712" spans="1:38" x14ac:dyDescent="0.2">
      <c r="A2712" s="2" t="str">
        <f>HYPERLINK("https://www.compass.com/listing/565-broome-street-unit-s11c-manhattan-ny-10013/211514869856455441/","565 Broome St, Unit S11C")</f>
        <v>565 Broome St, Unit S11C</v>
      </c>
      <c r="B2712" s="2" t="str">
        <f t="shared" si="448"/>
        <v>565 Broome Soho</v>
      </c>
      <c r="C2712" s="1" t="s">
        <v>53</v>
      </c>
      <c r="D2712" s="1" t="s">
        <v>41</v>
      </c>
      <c r="E2712" s="3">
        <v>4025000</v>
      </c>
      <c r="F2712" s="1">
        <v>2394.4080904223601</v>
      </c>
      <c r="G2712" s="1">
        <v>4</v>
      </c>
      <c r="H2712" s="1">
        <v>2</v>
      </c>
      <c r="I2712" s="1">
        <v>3</v>
      </c>
      <c r="J2712" s="1">
        <v>2.5</v>
      </c>
      <c r="K2712" s="1">
        <v>2</v>
      </c>
      <c r="L2712" s="1">
        <v>1</v>
      </c>
      <c r="M2712" s="4">
        <v>1681</v>
      </c>
      <c r="N2712" s="1">
        <v>2503</v>
      </c>
      <c r="O2712" s="1">
        <v>2503</v>
      </c>
      <c r="Q2712" s="1" t="s">
        <v>42</v>
      </c>
      <c r="S2712" s="1" t="s">
        <v>42</v>
      </c>
      <c r="T2712" s="1" t="s">
        <v>273</v>
      </c>
      <c r="U2712" s="1">
        <v>931</v>
      </c>
      <c r="V2712" s="5">
        <v>44337</v>
      </c>
      <c r="W2712" s="5">
        <v>42612</v>
      </c>
      <c r="X2712" s="1">
        <v>4175000</v>
      </c>
      <c r="Y2712" s="1">
        <v>4175000</v>
      </c>
      <c r="Z2712" s="5">
        <v>43544</v>
      </c>
      <c r="AA2712" s="1">
        <v>4025000</v>
      </c>
      <c r="AB2712" s="1" t="s">
        <v>1636</v>
      </c>
      <c r="AC2712" s="5">
        <v>43608</v>
      </c>
      <c r="AF2712" s="1">
        <v>10013</v>
      </c>
      <c r="AI2712" s="1" t="s">
        <v>48</v>
      </c>
      <c r="AJ2712" s="1">
        <v>2019</v>
      </c>
      <c r="AK2712" s="1" t="s">
        <v>46</v>
      </c>
      <c r="AL2712" s="1">
        <v>115</v>
      </c>
    </row>
    <row r="2713" spans="1:38" x14ac:dyDescent="0.2">
      <c r="A2713" s="2" t="str">
        <f>HYPERLINK("https://www.compass.com/listing/565-broome-street-unit-n9c-manhattan-ny-10013/29514987584147217/","565 Broome St, Unit N9C")</f>
        <v>565 Broome St, Unit N9C</v>
      </c>
      <c r="B2713" s="2" t="str">
        <f t="shared" si="448"/>
        <v>565 Broome Soho</v>
      </c>
      <c r="C2713" s="1" t="s">
        <v>53</v>
      </c>
      <c r="D2713" s="1" t="s">
        <v>41</v>
      </c>
      <c r="E2713" s="3">
        <v>4024393</v>
      </c>
      <c r="F2713" s="1">
        <v>2394.0469958358099</v>
      </c>
      <c r="G2713" s="1">
        <v>4</v>
      </c>
      <c r="H2713" s="1">
        <v>2</v>
      </c>
      <c r="I2713" s="1">
        <v>3</v>
      </c>
      <c r="J2713" s="1">
        <v>2.5</v>
      </c>
      <c r="K2713" s="1">
        <v>2</v>
      </c>
      <c r="L2713" s="1">
        <v>1</v>
      </c>
      <c r="M2713" s="4">
        <v>1681</v>
      </c>
      <c r="N2713" s="1">
        <v>2492</v>
      </c>
      <c r="O2713" s="1">
        <v>5240</v>
      </c>
      <c r="P2713" s="1">
        <v>2748</v>
      </c>
      <c r="Q2713" s="1" t="s">
        <v>42</v>
      </c>
      <c r="S2713" s="1" t="s">
        <v>42</v>
      </c>
      <c r="T2713" s="1" t="s">
        <v>273</v>
      </c>
      <c r="U2713" s="1">
        <v>653</v>
      </c>
      <c r="V2713" s="5">
        <v>43684</v>
      </c>
      <c r="W2713" s="5">
        <v>42612</v>
      </c>
      <c r="X2713" s="1">
        <v>4175000</v>
      </c>
      <c r="Y2713" s="1">
        <v>4175000</v>
      </c>
      <c r="Z2713" s="5">
        <v>43266</v>
      </c>
      <c r="AA2713" s="1">
        <v>4024393</v>
      </c>
      <c r="AB2713" s="1" t="s">
        <v>1637</v>
      </c>
      <c r="AC2713" s="5">
        <v>43636</v>
      </c>
      <c r="AF2713" s="1">
        <v>10013</v>
      </c>
      <c r="AI2713" s="1" t="s">
        <v>48</v>
      </c>
      <c r="AJ2713" s="1">
        <v>2019</v>
      </c>
      <c r="AK2713" s="1" t="s">
        <v>46</v>
      </c>
      <c r="AL2713" s="1">
        <v>115</v>
      </c>
    </row>
    <row r="2714" spans="1:38" x14ac:dyDescent="0.2">
      <c r="A2714" s="2" t="str">
        <f>HYPERLINK("https://www.compass.com/listing/527-west-27th-street-unit-2b-manhattan-ny-10001/446234427145138601/","527 W 27th St, Unit 2B")</f>
        <v>527 W 27th St, Unit 2B</v>
      </c>
      <c r="B2714" s="2" t="str">
        <f t="shared" ref="B2714:B2715" si="449">HYPERLINK("https://www.compass.com/building/jardim-manhattan-ny/282062246220171157/","Jardim")</f>
        <v>Jardim</v>
      </c>
      <c r="C2714" s="1" t="s">
        <v>62</v>
      </c>
      <c r="D2714" s="1" t="s">
        <v>41</v>
      </c>
      <c r="E2714" s="3">
        <v>1650000</v>
      </c>
      <c r="F2714" s="1">
        <v>2176.78100263852</v>
      </c>
      <c r="G2714" s="1">
        <v>3</v>
      </c>
      <c r="H2714" s="1">
        <v>1</v>
      </c>
      <c r="I2714" s="1">
        <v>1</v>
      </c>
      <c r="J2714" s="1">
        <v>1</v>
      </c>
      <c r="K2714" s="1">
        <v>1</v>
      </c>
      <c r="M2714" s="1">
        <v>758</v>
      </c>
      <c r="N2714" s="1">
        <v>840</v>
      </c>
      <c r="O2714" s="1">
        <v>2100</v>
      </c>
      <c r="P2714" s="1">
        <v>1260</v>
      </c>
      <c r="Q2714" s="1" t="s">
        <v>42</v>
      </c>
      <c r="S2714" s="1" t="s">
        <v>42</v>
      </c>
      <c r="T2714" s="1" t="s">
        <v>273</v>
      </c>
      <c r="U2714" s="1">
        <v>1760</v>
      </c>
      <c r="V2714" s="5">
        <v>44370</v>
      </c>
      <c r="W2714" s="5">
        <v>42473</v>
      </c>
      <c r="Z2714" s="5">
        <v>44328</v>
      </c>
      <c r="AA2714" s="1">
        <v>1650000</v>
      </c>
      <c r="AB2714" s="1" t="s">
        <v>1638</v>
      </c>
      <c r="AC2714" s="5">
        <v>44358</v>
      </c>
      <c r="AF2714" s="1">
        <v>10001</v>
      </c>
      <c r="AI2714" s="1" t="s">
        <v>187</v>
      </c>
      <c r="AJ2714" s="1">
        <v>2017</v>
      </c>
      <c r="AK2714" s="1" t="s">
        <v>49</v>
      </c>
      <c r="AL2714" s="1">
        <v>36</v>
      </c>
    </row>
    <row r="2715" spans="1:38" x14ac:dyDescent="0.2">
      <c r="A2715" s="2" t="str">
        <f>HYPERLINK("https://www.compass.com/listing/527-west-27th-street-unit-5d-manhattan-ny-10001/739886416132803473/","527 W 27th St, Unit 5D")</f>
        <v>527 W 27th St, Unit 5D</v>
      </c>
      <c r="B2715" s="2" t="str">
        <f t="shared" si="449"/>
        <v>Jardim</v>
      </c>
      <c r="C2715" s="1" t="s">
        <v>62</v>
      </c>
      <c r="D2715" s="1" t="s">
        <v>41</v>
      </c>
      <c r="E2715" s="3">
        <v>3600000</v>
      </c>
      <c r="F2715" s="1">
        <v>1848.04928131416</v>
      </c>
      <c r="G2715" s="1">
        <v>6</v>
      </c>
      <c r="H2715" s="1">
        <v>3</v>
      </c>
      <c r="I2715" s="1">
        <v>3</v>
      </c>
      <c r="J2715" s="1">
        <v>3</v>
      </c>
      <c r="K2715" s="1">
        <v>3</v>
      </c>
      <c r="M2715" s="4">
        <v>1948</v>
      </c>
      <c r="N2715" s="1">
        <v>2174</v>
      </c>
      <c r="O2715" s="1">
        <v>5436</v>
      </c>
      <c r="P2715" s="1">
        <v>3262</v>
      </c>
      <c r="Q2715" s="1" t="s">
        <v>42</v>
      </c>
      <c r="S2715" s="1" t="s">
        <v>42</v>
      </c>
      <c r="T2715" s="1" t="s">
        <v>273</v>
      </c>
      <c r="U2715" s="1">
        <v>20</v>
      </c>
      <c r="V2715" s="5">
        <v>44414</v>
      </c>
      <c r="W2715" s="5">
        <v>44271</v>
      </c>
      <c r="X2715" s="1">
        <v>3975000</v>
      </c>
      <c r="Y2715" s="1">
        <v>3975000</v>
      </c>
      <c r="Z2715" s="5">
        <v>44291</v>
      </c>
      <c r="AA2715" s="1">
        <v>3600000</v>
      </c>
      <c r="AB2715" s="1" t="s">
        <v>1639</v>
      </c>
      <c r="AC2715" s="5">
        <v>44355</v>
      </c>
      <c r="AF2715" s="1">
        <v>10001</v>
      </c>
      <c r="AI2715" s="1" t="s">
        <v>178</v>
      </c>
      <c r="AJ2715" s="1">
        <v>2017</v>
      </c>
      <c r="AK2715" s="1" t="s">
        <v>49</v>
      </c>
      <c r="AL2715" s="1">
        <v>36</v>
      </c>
    </row>
    <row r="2716" spans="1:38" x14ac:dyDescent="0.2">
      <c r="A2716" s="2" t="str">
        <f>HYPERLINK("https://www.compass.com/listing/565-broome-street-unit-s21a-manhattan-ny-10013/226207071257880145/","565 Broome St, Unit S21A")</f>
        <v>565 Broome St, Unit S21A</v>
      </c>
      <c r="B2716" s="2" t="str">
        <f t="shared" ref="B2716:B2717" si="450">HYPERLINK("https://www.compass.com/building/565-broome-soho-manhattan-ny/292813251698267109/","565 Broome Soho")</f>
        <v>565 Broome Soho</v>
      </c>
      <c r="C2716" s="1" t="s">
        <v>53</v>
      </c>
      <c r="D2716" s="1" t="s">
        <v>41</v>
      </c>
      <c r="E2716" s="3">
        <v>4700000</v>
      </c>
      <c r="F2716" s="1">
        <v>2308.4479371316302</v>
      </c>
      <c r="G2716" s="1">
        <v>4</v>
      </c>
      <c r="H2716" s="1">
        <v>2</v>
      </c>
      <c r="I2716" s="1">
        <v>3</v>
      </c>
      <c r="J2716" s="1">
        <v>2.5</v>
      </c>
      <c r="K2716" s="1">
        <v>2</v>
      </c>
      <c r="L2716" s="1">
        <v>1</v>
      </c>
      <c r="M2716" s="4">
        <v>2036</v>
      </c>
      <c r="N2716" s="1">
        <v>3150</v>
      </c>
      <c r="O2716" s="1">
        <v>6624</v>
      </c>
      <c r="P2716" s="1">
        <v>3474</v>
      </c>
      <c r="Q2716" s="1" t="s">
        <v>42</v>
      </c>
      <c r="S2716" s="1" t="s">
        <v>42</v>
      </c>
      <c r="T2716" s="1" t="s">
        <v>273</v>
      </c>
      <c r="U2716" s="1">
        <v>427</v>
      </c>
      <c r="V2716" s="5">
        <v>44323</v>
      </c>
      <c r="W2716" s="5">
        <v>43279</v>
      </c>
      <c r="Z2716" s="5">
        <v>43707</v>
      </c>
      <c r="AA2716" s="1">
        <v>4700000</v>
      </c>
      <c r="AB2716" s="1" t="s">
        <v>1640</v>
      </c>
      <c r="AC2716" s="5">
        <v>43763</v>
      </c>
      <c r="AF2716" s="1">
        <v>10013</v>
      </c>
      <c r="AI2716" s="1" t="s">
        <v>48</v>
      </c>
      <c r="AJ2716" s="1">
        <v>2019</v>
      </c>
      <c r="AK2716" s="1" t="s">
        <v>46</v>
      </c>
      <c r="AL2716" s="1">
        <v>115</v>
      </c>
    </row>
    <row r="2717" spans="1:38" x14ac:dyDescent="0.2">
      <c r="A2717" s="2" t="str">
        <f>HYPERLINK("https://www.compass.com/listing/565-broome-street-unit-n8e-manhattan-ny-10013/29514997860192481/","565 Broome St, Unit N8E")</f>
        <v>565 Broome St, Unit N8E</v>
      </c>
      <c r="B2717" s="2" t="str">
        <f t="shared" si="450"/>
        <v>565 Broome Soho</v>
      </c>
      <c r="C2717" s="1" t="s">
        <v>53</v>
      </c>
      <c r="D2717" s="1" t="s">
        <v>41</v>
      </c>
      <c r="E2717" s="3">
        <v>4350000</v>
      </c>
      <c r="F2717" s="1">
        <v>1845.5663979635101</v>
      </c>
      <c r="G2717" s="1">
        <v>6</v>
      </c>
      <c r="H2717" s="1">
        <v>3</v>
      </c>
      <c r="I2717" s="1">
        <v>4</v>
      </c>
      <c r="J2717" s="1">
        <v>3.5</v>
      </c>
      <c r="K2717" s="1">
        <v>3</v>
      </c>
      <c r="L2717" s="1">
        <v>1</v>
      </c>
      <c r="M2717" s="4">
        <v>2357</v>
      </c>
      <c r="N2717" s="1">
        <v>3476</v>
      </c>
      <c r="O2717" s="1">
        <v>7310</v>
      </c>
      <c r="P2717" s="1">
        <v>3834</v>
      </c>
      <c r="Q2717" s="1" t="s">
        <v>42</v>
      </c>
      <c r="S2717" s="1" t="s">
        <v>42</v>
      </c>
      <c r="T2717" s="1" t="s">
        <v>273</v>
      </c>
      <c r="U2717" s="1">
        <v>1289</v>
      </c>
      <c r="V2717" s="5">
        <v>44334</v>
      </c>
      <c r="W2717" s="5">
        <v>42612</v>
      </c>
      <c r="X2717" s="1">
        <v>4850000</v>
      </c>
      <c r="Y2717" s="1">
        <v>4500000</v>
      </c>
      <c r="Z2717" s="5">
        <v>43944</v>
      </c>
      <c r="AA2717" s="1">
        <v>4350000</v>
      </c>
      <c r="AB2717" s="1" t="s">
        <v>1641</v>
      </c>
      <c r="AC2717" s="5">
        <v>44014</v>
      </c>
      <c r="AF2717" s="1">
        <v>10013</v>
      </c>
      <c r="AI2717" s="1" t="s">
        <v>48</v>
      </c>
      <c r="AJ2717" s="1">
        <v>2019</v>
      </c>
      <c r="AK2717" s="1" t="s">
        <v>46</v>
      </c>
      <c r="AL2717" s="1">
        <v>115</v>
      </c>
    </row>
    <row r="2718" spans="1:38" x14ac:dyDescent="0.2">
      <c r="A2718" s="2" t="str">
        <f>HYPERLINK("https://www.compass.com/listing/221-west-77th-street-unit-3s-manhattan-ny-10024/70926394586081617/","221 W 77th St, Unit 3S")</f>
        <v>221 W 77th St, Unit 3S</v>
      </c>
      <c r="B2718" s="2" t="str">
        <f>HYPERLINK("https://www.compass.com/building/221-west-77th-street-manhattan-ny/292869344491294229/","221 West 77th Street")</f>
        <v>221 West 77th Street</v>
      </c>
      <c r="C2718" s="1" t="s">
        <v>57</v>
      </c>
      <c r="D2718" s="1" t="s">
        <v>41</v>
      </c>
      <c r="E2718" s="3">
        <v>5903381</v>
      </c>
      <c r="F2718" s="1">
        <v>2592.61352657004</v>
      </c>
      <c r="G2718" s="1">
        <v>5</v>
      </c>
      <c r="H2718" s="1">
        <v>3</v>
      </c>
      <c r="I2718" s="1">
        <v>4</v>
      </c>
      <c r="J2718" s="1">
        <v>3.5</v>
      </c>
      <c r="M2718" s="4">
        <v>2277</v>
      </c>
      <c r="N2718" s="1">
        <v>2276</v>
      </c>
      <c r="O2718" s="1">
        <v>5212</v>
      </c>
      <c r="P2718" s="1">
        <v>2936</v>
      </c>
      <c r="Q2718" s="1" t="s">
        <v>42</v>
      </c>
      <c r="S2718" s="1" t="s">
        <v>42</v>
      </c>
      <c r="T2718" s="1" t="s">
        <v>273</v>
      </c>
      <c r="V2718" s="5">
        <v>43650</v>
      </c>
      <c r="W2718" s="5">
        <v>42320</v>
      </c>
      <c r="X2718" s="1">
        <v>5850000</v>
      </c>
      <c r="Y2718" s="1">
        <v>5850000</v>
      </c>
      <c r="Z2718" s="5">
        <v>42320</v>
      </c>
      <c r="AA2718" s="1">
        <v>5903381</v>
      </c>
      <c r="AB2718" s="1" t="s">
        <v>1604</v>
      </c>
      <c r="AC2718" s="5">
        <v>42997</v>
      </c>
      <c r="AF2718" s="1">
        <v>10024</v>
      </c>
      <c r="AI2718" s="1" t="s">
        <v>48</v>
      </c>
      <c r="AJ2718" s="1">
        <v>2017</v>
      </c>
      <c r="AK2718" s="1" t="s">
        <v>55</v>
      </c>
      <c r="AL2718" s="1">
        <v>26</v>
      </c>
    </row>
    <row r="2719" spans="1:38" x14ac:dyDescent="0.2">
      <c r="A2719" s="2" t="str">
        <f>HYPERLINK("https://www.compass.com/listing/565-broome-street-unit-n18b-manhattan-ny-10013/29514998170611937/","565 Broome St, Unit N18B")</f>
        <v>565 Broome St, Unit N18B</v>
      </c>
      <c r="B2719" s="2" t="str">
        <f>HYPERLINK("https://www.compass.com/building/565-broome-soho-manhattan-ny/292813251698267109/","565 Broome Soho")</f>
        <v>565 Broome Soho</v>
      </c>
      <c r="C2719" s="1" t="s">
        <v>53</v>
      </c>
      <c r="D2719" s="1" t="s">
        <v>41</v>
      </c>
      <c r="E2719" s="3">
        <v>5700000</v>
      </c>
      <c r="F2719" s="1">
        <v>2375.98999583159</v>
      </c>
      <c r="G2719" s="1">
        <v>6</v>
      </c>
      <c r="H2719" s="1">
        <v>3</v>
      </c>
      <c r="I2719" s="1">
        <v>4</v>
      </c>
      <c r="J2719" s="1">
        <v>3.5</v>
      </c>
      <c r="K2719" s="1">
        <v>3</v>
      </c>
      <c r="L2719" s="1">
        <v>1</v>
      </c>
      <c r="M2719" s="4">
        <v>2399</v>
      </c>
      <c r="N2719" s="1">
        <v>3659</v>
      </c>
      <c r="O2719" s="1">
        <v>7695</v>
      </c>
      <c r="P2719" s="1">
        <v>4036</v>
      </c>
      <c r="Q2719" s="1" t="s">
        <v>42</v>
      </c>
      <c r="S2719" s="1" t="s">
        <v>42</v>
      </c>
      <c r="T2719" s="1" t="s">
        <v>273</v>
      </c>
      <c r="U2719" s="1">
        <v>977</v>
      </c>
      <c r="V2719" s="5">
        <v>44344</v>
      </c>
      <c r="W2719" s="5">
        <v>42612</v>
      </c>
      <c r="X2719" s="1">
        <v>5700000</v>
      </c>
      <c r="Y2719" s="1">
        <v>5700000</v>
      </c>
      <c r="Z2719" s="5">
        <v>43599</v>
      </c>
      <c r="AA2719" s="1">
        <v>5700000</v>
      </c>
      <c r="AB2719" s="1" t="s">
        <v>1642</v>
      </c>
      <c r="AC2719" s="5">
        <v>43644</v>
      </c>
      <c r="AF2719" s="1">
        <v>10013</v>
      </c>
      <c r="AI2719" s="1" t="s">
        <v>48</v>
      </c>
      <c r="AJ2719" s="1">
        <v>2019</v>
      </c>
      <c r="AK2719" s="1" t="s">
        <v>46</v>
      </c>
      <c r="AL2719" s="1">
        <v>115</v>
      </c>
    </row>
    <row r="2720" spans="1:38" x14ac:dyDescent="0.2">
      <c r="A2720" s="2" t="str">
        <f>HYPERLINK("https://www.compass.com/listing/87-leonard-street-unit-phb-manhattan-ny-10013/167796979223606081/","87 Leonard St, Unit PHB")</f>
        <v>87 Leonard St, Unit PHB</v>
      </c>
      <c r="B2720" s="2" t="str">
        <f>HYPERLINK("https://www.compass.com/building/87-leonard-st-manhattan-ny-10013/281921482316090549/","87 Leonard St")</f>
        <v>87 Leonard St</v>
      </c>
      <c r="C2720" s="1" t="s">
        <v>50</v>
      </c>
      <c r="D2720" s="1" t="s">
        <v>41</v>
      </c>
      <c r="E2720" s="3">
        <v>11711875</v>
      </c>
      <c r="F2720" s="1">
        <v>3242.49031007751</v>
      </c>
      <c r="H2720" s="1">
        <v>3</v>
      </c>
      <c r="J2720" s="1">
        <v>4.5</v>
      </c>
      <c r="M2720" s="4">
        <v>3612</v>
      </c>
      <c r="N2720" s="1">
        <v>3445</v>
      </c>
      <c r="O2720" s="1">
        <v>9183</v>
      </c>
      <c r="P2720" s="1">
        <v>5738</v>
      </c>
      <c r="Q2720" s="1" t="s">
        <v>42</v>
      </c>
      <c r="S2720" s="1" t="s">
        <v>42</v>
      </c>
      <c r="T2720" s="1" t="s">
        <v>273</v>
      </c>
      <c r="AA2720" s="1">
        <v>11711875</v>
      </c>
      <c r="AB2720" s="1" t="s">
        <v>1643</v>
      </c>
      <c r="AC2720" s="5">
        <v>43041</v>
      </c>
      <c r="AF2720" s="1">
        <v>10013</v>
      </c>
      <c r="AI2720" s="1" t="s">
        <v>177</v>
      </c>
      <c r="AJ2720" s="1">
        <v>1860</v>
      </c>
      <c r="AK2720" s="1" t="s">
        <v>73</v>
      </c>
      <c r="AL2720" s="1">
        <v>7</v>
      </c>
    </row>
    <row r="2721" spans="1:38" x14ac:dyDescent="0.2">
      <c r="A2721" s="2" t="str">
        <f>HYPERLINK("https://www.compass.com/listing/77-charlton-street-unit-s11e-manhattan-ny-10014/570986606889602137/","77 Charlton St, Unit S11E")</f>
        <v>77 Charlton St, Unit S11E</v>
      </c>
      <c r="B2721" s="2" t="str">
        <f>HYPERLINK("https://www.compass.com/building/77-charlton-st-manhattan-ny-10014/282058735872933093/","77 Charlton St")</f>
        <v>77 Charlton St</v>
      </c>
      <c r="C2721" s="1" t="s">
        <v>53</v>
      </c>
      <c r="D2721" s="1" t="s">
        <v>41</v>
      </c>
      <c r="E2721" s="3">
        <v>1115493</v>
      </c>
      <c r="F2721" s="1">
        <v>1957.0050526315699</v>
      </c>
      <c r="G2721" s="1">
        <v>1</v>
      </c>
      <c r="H2721" s="1" t="s">
        <v>99</v>
      </c>
      <c r="I2721" s="1">
        <v>1</v>
      </c>
      <c r="J2721" s="1">
        <v>1</v>
      </c>
      <c r="K2721" s="1">
        <v>1</v>
      </c>
      <c r="M2721" s="1">
        <v>570</v>
      </c>
      <c r="N2721" s="1">
        <v>693</v>
      </c>
      <c r="O2721" s="1">
        <v>1792</v>
      </c>
      <c r="P2721" s="1">
        <v>1099</v>
      </c>
      <c r="Q2721" s="1" t="s">
        <v>42</v>
      </c>
      <c r="S2721" s="1" t="s">
        <v>42</v>
      </c>
      <c r="T2721" s="1" t="s">
        <v>273</v>
      </c>
      <c r="V2721" s="5">
        <v>44405</v>
      </c>
      <c r="W2721" s="5">
        <v>44040</v>
      </c>
      <c r="X2721" s="1">
        <v>1115000</v>
      </c>
      <c r="Y2721" s="1">
        <v>1115000</v>
      </c>
      <c r="Z2721" s="5">
        <v>44040</v>
      </c>
      <c r="AA2721" s="1">
        <v>1115492.8799999999</v>
      </c>
      <c r="AB2721" s="1" t="s">
        <v>1644</v>
      </c>
      <c r="AC2721" s="5">
        <v>44386</v>
      </c>
      <c r="AF2721" s="1">
        <v>10014</v>
      </c>
      <c r="AI2721" s="1" t="s">
        <v>238</v>
      </c>
      <c r="AJ2721" s="1">
        <v>2019</v>
      </c>
      <c r="AK2721" s="1" t="s">
        <v>46</v>
      </c>
      <c r="AL2721" s="1">
        <v>161</v>
      </c>
    </row>
    <row r="2722" spans="1:38" x14ac:dyDescent="0.2">
      <c r="A2722" s="2" t="str">
        <f>HYPERLINK("https://www.compass.com/listing/261-west-25th-street-unit-6d-manhattan-ny-10001/803344059724556625/","261 W 25th St, Unit 6D")</f>
        <v>261 W 25th St, Unit 6D</v>
      </c>
      <c r="B2722" s="2" t="str">
        <f>HYPERLINK("https://www.compass.com/building/the-seymour-manhattan-ny/281883155990840165/","The Seymour")</f>
        <v>The Seymour</v>
      </c>
      <c r="C2722" s="1" t="s">
        <v>62</v>
      </c>
      <c r="D2722" s="1" t="s">
        <v>41</v>
      </c>
      <c r="E2722" s="3">
        <v>3455000</v>
      </c>
      <c r="F2722" s="1">
        <v>1868.57760951865</v>
      </c>
      <c r="G2722" s="1">
        <v>5</v>
      </c>
      <c r="H2722" s="1">
        <v>3</v>
      </c>
      <c r="I2722" s="1">
        <v>2</v>
      </c>
      <c r="J2722" s="1">
        <v>2.5</v>
      </c>
      <c r="K2722" s="1">
        <v>2</v>
      </c>
      <c r="L2722" s="1">
        <v>1</v>
      </c>
      <c r="M2722" s="4">
        <v>1849</v>
      </c>
      <c r="N2722" s="1">
        <v>2093</v>
      </c>
      <c r="O2722" s="1">
        <v>4988</v>
      </c>
      <c r="P2722" s="1">
        <v>2895</v>
      </c>
      <c r="Q2722" s="1" t="s">
        <v>42</v>
      </c>
      <c r="S2722" s="1" t="s">
        <v>42</v>
      </c>
      <c r="T2722" s="1" t="s">
        <v>273</v>
      </c>
      <c r="U2722" s="1">
        <v>55</v>
      </c>
      <c r="V2722" s="5">
        <v>43340</v>
      </c>
      <c r="W2722" s="5">
        <v>43235</v>
      </c>
      <c r="X2722" s="1">
        <v>3975000</v>
      </c>
      <c r="Y2722" s="1">
        <v>3795000</v>
      </c>
      <c r="Z2722" s="5">
        <v>43291</v>
      </c>
      <c r="AA2722" s="1">
        <v>3455000</v>
      </c>
      <c r="AB2722" s="1" t="s">
        <v>1608</v>
      </c>
      <c r="AC2722" s="5">
        <v>43339</v>
      </c>
      <c r="AF2722" s="1">
        <v>10001</v>
      </c>
      <c r="AI2722" s="1" t="s">
        <v>185</v>
      </c>
      <c r="AJ2722" s="1">
        <v>2015</v>
      </c>
      <c r="AK2722" s="1" t="s">
        <v>46</v>
      </c>
      <c r="AL2722" s="1">
        <v>49</v>
      </c>
    </row>
    <row r="2723" spans="1:38" x14ac:dyDescent="0.2">
      <c r="A2723" s="2" t="str">
        <f>HYPERLINK("https://www.compass.com/listing/221-west-77th-street-unit-17-manhattan-ny-10024/8743035185722865/","221 W 77th St, Unit 17")</f>
        <v>221 W 77th St, Unit 17</v>
      </c>
      <c r="B2723" s="2" t="str">
        <f>HYPERLINK("https://www.compass.com/building/221-west-77th-street-manhattan-ny/292869344491294229/","221 West 77th Street")</f>
        <v>221 West 77th Street</v>
      </c>
      <c r="C2723" s="1" t="s">
        <v>57</v>
      </c>
      <c r="D2723" s="1" t="s">
        <v>41</v>
      </c>
      <c r="E2723" s="3">
        <v>10500000</v>
      </c>
      <c r="F2723" s="1">
        <v>3561.7367706919899</v>
      </c>
      <c r="G2723" s="1">
        <v>6</v>
      </c>
      <c r="H2723" s="1">
        <v>4</v>
      </c>
      <c r="I2723" s="1">
        <v>5</v>
      </c>
      <c r="J2723" s="1">
        <v>4.5</v>
      </c>
      <c r="M2723" s="4">
        <v>2948</v>
      </c>
      <c r="N2723" s="1">
        <v>3041</v>
      </c>
      <c r="O2723" s="1">
        <v>6964</v>
      </c>
      <c r="P2723" s="1">
        <v>3923</v>
      </c>
      <c r="Q2723" s="1" t="s">
        <v>42</v>
      </c>
      <c r="S2723" s="1" t="s">
        <v>42</v>
      </c>
      <c r="T2723" s="1" t="s">
        <v>273</v>
      </c>
      <c r="V2723" s="5">
        <v>43650</v>
      </c>
      <c r="W2723" s="5">
        <v>42328</v>
      </c>
      <c r="X2723" s="1">
        <v>10500000</v>
      </c>
      <c r="Y2723" s="1">
        <v>10500000</v>
      </c>
      <c r="Z2723" s="5">
        <v>42328</v>
      </c>
      <c r="AA2723" s="1">
        <v>10500000</v>
      </c>
      <c r="AB2723" s="1" t="s">
        <v>275</v>
      </c>
      <c r="AC2723" s="5">
        <v>42993</v>
      </c>
      <c r="AF2723" s="1">
        <v>10024</v>
      </c>
      <c r="AI2723" s="1" t="s">
        <v>265</v>
      </c>
      <c r="AJ2723" s="1">
        <v>2017</v>
      </c>
      <c r="AK2723" s="1" t="s">
        <v>49</v>
      </c>
      <c r="AL2723" s="1">
        <v>26</v>
      </c>
    </row>
    <row r="2724" spans="1:38" x14ac:dyDescent="0.2">
      <c r="A2724" s="2" t="str">
        <f>HYPERLINK("https://www.compass.com/listing/565-broome-street-unit-s18a-manhattan-ny-10013/29514990075604913/","565 Broome St, Unit S18A")</f>
        <v>565 Broome St, Unit S18A</v>
      </c>
      <c r="B2724" s="2" t="str">
        <f t="shared" ref="B2724:B2729" si="451">HYPERLINK("https://www.compass.com/building/565-broome-soho-manhattan-ny/292813251698267109/","565 Broome Soho")</f>
        <v>565 Broome Soho</v>
      </c>
      <c r="C2724" s="1" t="s">
        <v>53</v>
      </c>
      <c r="D2724" s="1" t="s">
        <v>41</v>
      </c>
      <c r="E2724" s="3">
        <v>5093057</v>
      </c>
      <c r="F2724" s="1">
        <v>2501.5014734773999</v>
      </c>
      <c r="G2724" s="1">
        <v>4</v>
      </c>
      <c r="H2724" s="1">
        <v>2</v>
      </c>
      <c r="I2724" s="1">
        <v>3</v>
      </c>
      <c r="J2724" s="1">
        <v>2.5</v>
      </c>
      <c r="K2724" s="1">
        <v>2</v>
      </c>
      <c r="L2724" s="1">
        <v>1</v>
      </c>
      <c r="M2724" s="4">
        <v>2036</v>
      </c>
      <c r="N2724" s="1">
        <v>3106</v>
      </c>
      <c r="O2724" s="1">
        <v>6531</v>
      </c>
      <c r="P2724" s="1">
        <v>3425</v>
      </c>
      <c r="Q2724" s="1" t="s">
        <v>42</v>
      </c>
      <c r="S2724" s="1" t="s">
        <v>42</v>
      </c>
      <c r="T2724" s="1" t="s">
        <v>273</v>
      </c>
      <c r="V2724" s="5">
        <v>44337</v>
      </c>
      <c r="W2724" s="5">
        <v>42754</v>
      </c>
      <c r="X2724" s="1">
        <v>5460000</v>
      </c>
      <c r="Y2724" s="1">
        <v>5460000</v>
      </c>
      <c r="Z2724" s="5">
        <v>42754</v>
      </c>
      <c r="AA2724" s="1">
        <v>5093057</v>
      </c>
      <c r="AB2724" s="1" t="s">
        <v>1645</v>
      </c>
      <c r="AC2724" s="5">
        <v>43574</v>
      </c>
      <c r="AF2724" s="1">
        <v>10013</v>
      </c>
      <c r="AI2724" s="1" t="s">
        <v>242</v>
      </c>
      <c r="AJ2724" s="1">
        <v>2019</v>
      </c>
      <c r="AK2724" s="1" t="s">
        <v>46</v>
      </c>
      <c r="AL2724" s="1">
        <v>115</v>
      </c>
    </row>
    <row r="2725" spans="1:38" x14ac:dyDescent="0.2">
      <c r="A2725" s="2" t="str">
        <f>HYPERLINK("https://www.compass.com/listing/565-broome-street-unit-n18a-manhattan-ny-10013/29514990402692481/","565 Broome St, Unit N18A")</f>
        <v>565 Broome St, Unit N18A</v>
      </c>
      <c r="B2725" s="2" t="str">
        <f t="shared" si="451"/>
        <v>565 Broome Soho</v>
      </c>
      <c r="C2725" s="1" t="s">
        <v>53</v>
      </c>
      <c r="D2725" s="1" t="s">
        <v>41</v>
      </c>
      <c r="E2725" s="3">
        <v>5185780</v>
      </c>
      <c r="F2725" s="1">
        <v>2547.0432220039202</v>
      </c>
      <c r="G2725" s="1">
        <v>4</v>
      </c>
      <c r="H2725" s="1">
        <v>2</v>
      </c>
      <c r="I2725" s="1">
        <v>3</v>
      </c>
      <c r="J2725" s="1">
        <v>2.5</v>
      </c>
      <c r="K2725" s="1">
        <v>2</v>
      </c>
      <c r="L2725" s="1">
        <v>1</v>
      </c>
      <c r="M2725" s="4">
        <v>2036</v>
      </c>
      <c r="N2725" s="1">
        <v>3106</v>
      </c>
      <c r="O2725" s="1">
        <v>6531</v>
      </c>
      <c r="P2725" s="1">
        <v>3425</v>
      </c>
      <c r="Q2725" s="1" t="s">
        <v>42</v>
      </c>
      <c r="S2725" s="1" t="s">
        <v>42</v>
      </c>
      <c r="T2725" s="1" t="s">
        <v>273</v>
      </c>
      <c r="V2725" s="5">
        <v>44328</v>
      </c>
      <c r="W2725" s="5">
        <v>42754</v>
      </c>
      <c r="X2725" s="1">
        <v>5560000</v>
      </c>
      <c r="Y2725" s="1">
        <v>5560000</v>
      </c>
      <c r="Z2725" s="5">
        <v>42754</v>
      </c>
      <c r="AA2725" s="1">
        <v>5185780</v>
      </c>
      <c r="AB2725" s="1" t="s">
        <v>1646</v>
      </c>
      <c r="AC2725" s="5">
        <v>43573</v>
      </c>
      <c r="AF2725" s="1">
        <v>10013</v>
      </c>
      <c r="AI2725" s="1" t="s">
        <v>242</v>
      </c>
      <c r="AJ2725" s="1">
        <v>2019</v>
      </c>
      <c r="AK2725" s="1" t="s">
        <v>46</v>
      </c>
      <c r="AL2725" s="1">
        <v>115</v>
      </c>
    </row>
    <row r="2726" spans="1:38" x14ac:dyDescent="0.2">
      <c r="A2726" s="2" t="str">
        <f>HYPERLINK("https://www.compass.com/listing/565-broome-street-unit-n21a-manhattan-ny-10013/594215197332372305/","565 Broome St, Unit N21A")</f>
        <v>565 Broome St, Unit N21A</v>
      </c>
      <c r="B2726" s="2" t="str">
        <f t="shared" si="451"/>
        <v>565 Broome Soho</v>
      </c>
      <c r="C2726" s="1" t="s">
        <v>53</v>
      </c>
      <c r="D2726" s="1" t="s">
        <v>41</v>
      </c>
      <c r="E2726" s="3">
        <v>5050000</v>
      </c>
      <c r="F2726" s="1">
        <v>2480.3536345776001</v>
      </c>
      <c r="G2726" s="1">
        <v>4.5</v>
      </c>
      <c r="H2726" s="1">
        <v>2</v>
      </c>
      <c r="I2726" s="1">
        <v>3</v>
      </c>
      <c r="J2726" s="1">
        <v>2.5</v>
      </c>
      <c r="K2726" s="1">
        <v>2</v>
      </c>
      <c r="L2726" s="1">
        <v>1</v>
      </c>
      <c r="M2726" s="4">
        <v>2036</v>
      </c>
      <c r="N2726" s="1">
        <v>3150</v>
      </c>
      <c r="O2726" s="1">
        <v>5929</v>
      </c>
      <c r="P2726" s="1">
        <v>2779</v>
      </c>
      <c r="Q2726" s="1" t="s">
        <v>42</v>
      </c>
      <c r="S2726" s="1" t="s">
        <v>42</v>
      </c>
      <c r="T2726" s="1" t="s">
        <v>273</v>
      </c>
      <c r="U2726" s="1">
        <v>2</v>
      </c>
      <c r="V2726" s="5">
        <v>44331</v>
      </c>
      <c r="W2726" s="5">
        <v>44069</v>
      </c>
      <c r="X2726" s="1">
        <v>5860000</v>
      </c>
      <c r="Y2726" s="1">
        <v>5860000</v>
      </c>
      <c r="Z2726" s="5">
        <v>44072</v>
      </c>
      <c r="AA2726" s="1">
        <v>5050000</v>
      </c>
      <c r="AB2726" s="1" t="s">
        <v>1647</v>
      </c>
      <c r="AC2726" s="5">
        <v>44091</v>
      </c>
      <c r="AF2726" s="1">
        <v>10013</v>
      </c>
      <c r="AI2726" s="1" t="s">
        <v>48</v>
      </c>
      <c r="AJ2726" s="1">
        <v>2019</v>
      </c>
      <c r="AK2726" s="1" t="s">
        <v>46</v>
      </c>
      <c r="AL2726" s="1">
        <v>115</v>
      </c>
    </row>
    <row r="2727" spans="1:38" x14ac:dyDescent="0.2">
      <c r="A2727" s="2" t="str">
        <f>HYPERLINK("https://www.compass.com/listing/565-broome-street-unit-s20a-manhattan-ny-10013/142270287130396321/","565 Broome St, Unit S20A")</f>
        <v>565 Broome St, Unit S20A</v>
      </c>
      <c r="B2727" s="2" t="str">
        <f t="shared" si="451"/>
        <v>565 Broome Soho</v>
      </c>
      <c r="C2727" s="1" t="s">
        <v>53</v>
      </c>
      <c r="D2727" s="1" t="s">
        <v>41</v>
      </c>
      <c r="E2727" s="3">
        <v>5330697</v>
      </c>
      <c r="F2727" s="1">
        <v>2618.2205304518602</v>
      </c>
      <c r="G2727" s="1">
        <v>4</v>
      </c>
      <c r="H2727" s="1">
        <v>2</v>
      </c>
      <c r="I2727" s="1">
        <v>3</v>
      </c>
      <c r="J2727" s="1">
        <v>2.5</v>
      </c>
      <c r="K2727" s="1">
        <v>2</v>
      </c>
      <c r="L2727" s="1">
        <v>1</v>
      </c>
      <c r="M2727" s="4">
        <v>2036</v>
      </c>
      <c r="N2727" s="1">
        <v>3135</v>
      </c>
      <c r="O2727" s="1">
        <v>3135</v>
      </c>
      <c r="Q2727" s="1" t="s">
        <v>42</v>
      </c>
      <c r="S2727" s="1" t="s">
        <v>42</v>
      </c>
      <c r="T2727" s="1" t="s">
        <v>273</v>
      </c>
      <c r="U2727" s="1">
        <v>1</v>
      </c>
      <c r="V2727" s="5">
        <v>44337</v>
      </c>
      <c r="W2727" s="5">
        <v>43447</v>
      </c>
      <c r="X2727" s="1">
        <v>5660000</v>
      </c>
      <c r="Y2727" s="1">
        <v>5660000</v>
      </c>
      <c r="Z2727" s="5">
        <v>43449</v>
      </c>
      <c r="AA2727" s="1">
        <v>5330697</v>
      </c>
      <c r="AB2727" s="1" t="s">
        <v>1648</v>
      </c>
      <c r="AC2727" s="5">
        <v>43588</v>
      </c>
      <c r="AF2727" s="1">
        <v>10013</v>
      </c>
      <c r="AI2727" s="1" t="s">
        <v>48</v>
      </c>
      <c r="AJ2727" s="1">
        <v>2019</v>
      </c>
      <c r="AK2727" s="1" t="s">
        <v>46</v>
      </c>
      <c r="AL2727" s="1">
        <v>115</v>
      </c>
    </row>
    <row r="2728" spans="1:38" x14ac:dyDescent="0.2">
      <c r="A2728" s="2" t="str">
        <f>HYPERLINK("https://www.compass.com/listing/565-broome-street-unit-n19a-manhattan-ny-10013/29514998581585665/","565 Broome St, Unit N19A")</f>
        <v>565 Broome St, Unit N19A</v>
      </c>
      <c r="B2728" s="2" t="str">
        <f t="shared" si="451"/>
        <v>565 Broome Soho</v>
      </c>
      <c r="C2728" s="1" t="s">
        <v>53</v>
      </c>
      <c r="D2728" s="1" t="s">
        <v>41</v>
      </c>
      <c r="E2728" s="3">
        <v>4830553</v>
      </c>
      <c r="F2728" s="1">
        <v>2372.57023575638</v>
      </c>
      <c r="G2728" s="1">
        <v>4</v>
      </c>
      <c r="H2728" s="1">
        <v>2</v>
      </c>
      <c r="I2728" s="1">
        <v>3</v>
      </c>
      <c r="J2728" s="1">
        <v>2.5</v>
      </c>
      <c r="K2728" s="1">
        <v>2</v>
      </c>
      <c r="L2728" s="1">
        <v>1</v>
      </c>
      <c r="M2728" s="4">
        <v>2036</v>
      </c>
      <c r="N2728" s="1">
        <v>3120</v>
      </c>
      <c r="O2728" s="1">
        <v>6562</v>
      </c>
      <c r="P2728" s="1">
        <v>3442</v>
      </c>
      <c r="Q2728" s="1" t="s">
        <v>42</v>
      </c>
      <c r="S2728" s="1" t="s">
        <v>42</v>
      </c>
      <c r="T2728" s="1" t="s">
        <v>273</v>
      </c>
      <c r="U2728" s="1">
        <v>779</v>
      </c>
      <c r="V2728" s="5">
        <v>44344</v>
      </c>
      <c r="W2728" s="5">
        <v>42612</v>
      </c>
      <c r="X2728" s="1">
        <v>4900000</v>
      </c>
      <c r="Y2728" s="1">
        <v>4900000</v>
      </c>
      <c r="Z2728" s="5">
        <v>43391</v>
      </c>
      <c r="AA2728" s="1">
        <v>4830553</v>
      </c>
      <c r="AB2728" s="1" t="s">
        <v>1649</v>
      </c>
      <c r="AC2728" s="5">
        <v>43648</v>
      </c>
      <c r="AF2728" s="1">
        <v>10013</v>
      </c>
      <c r="AI2728" s="1" t="s">
        <v>48</v>
      </c>
      <c r="AJ2728" s="1">
        <v>2019</v>
      </c>
      <c r="AK2728" s="1" t="s">
        <v>46</v>
      </c>
      <c r="AL2728" s="1">
        <v>115</v>
      </c>
    </row>
    <row r="2729" spans="1:38" x14ac:dyDescent="0.2">
      <c r="A2729" s="2" t="str">
        <f>HYPERLINK("https://www.compass.com/listing/565-broome-street-unit-n22b-manhattan-ny-10013/29514998917157153/","565 Broome St, Unit N22B")</f>
        <v>565 Broome St, Unit N22B</v>
      </c>
      <c r="B2729" s="2" t="str">
        <f t="shared" si="451"/>
        <v>565 Broome Soho</v>
      </c>
      <c r="C2729" s="1" t="s">
        <v>53</v>
      </c>
      <c r="D2729" s="1" t="s">
        <v>41</v>
      </c>
      <c r="E2729" s="3">
        <v>4836265</v>
      </c>
      <c r="F2729" s="1">
        <v>2514.9583983359298</v>
      </c>
      <c r="G2729" s="1">
        <v>4</v>
      </c>
      <c r="H2729" s="1">
        <v>2</v>
      </c>
      <c r="I2729" s="1">
        <v>3</v>
      </c>
      <c r="J2729" s="1">
        <v>2.5</v>
      </c>
      <c r="K2729" s="1">
        <v>2</v>
      </c>
      <c r="L2729" s="1">
        <v>1</v>
      </c>
      <c r="M2729" s="4">
        <v>1923</v>
      </c>
      <c r="N2729" s="1">
        <v>2989</v>
      </c>
      <c r="O2729" s="1">
        <v>6286</v>
      </c>
      <c r="P2729" s="1">
        <v>3297</v>
      </c>
      <c r="Q2729" s="1" t="s">
        <v>42</v>
      </c>
      <c r="S2729" s="1" t="s">
        <v>42</v>
      </c>
      <c r="T2729" s="1" t="s">
        <v>273</v>
      </c>
      <c r="U2729" s="1">
        <v>987</v>
      </c>
      <c r="V2729" s="5">
        <v>44338</v>
      </c>
      <c r="W2729" s="5">
        <v>42612</v>
      </c>
      <c r="AA2729" s="1">
        <v>4836265</v>
      </c>
      <c r="AB2729" s="1" t="s">
        <v>1650</v>
      </c>
      <c r="AC2729" s="5">
        <v>43599</v>
      </c>
      <c r="AF2729" s="1">
        <v>10013</v>
      </c>
      <c r="AI2729" s="1" t="s">
        <v>48</v>
      </c>
      <c r="AJ2729" s="1">
        <v>2019</v>
      </c>
      <c r="AK2729" s="1" t="s">
        <v>46</v>
      </c>
      <c r="AL2729" s="1">
        <v>115</v>
      </c>
    </row>
    <row r="2730" spans="1:38" x14ac:dyDescent="0.2">
      <c r="A2730" s="2" t="str">
        <f>HYPERLINK("https://www.compass.com/listing/235-west-75th-street-unit-505-manhattan-ny-10023/34108200060037521/","235 W 75th St, Unit 505")</f>
        <v>235 W 75th St, Unit 505</v>
      </c>
      <c r="B2730" s="2" t="str">
        <f>HYPERLINK("https://www.compass.com/building/the-astor-manhattan-ny/281958704155269925/","The Astor")</f>
        <v>The Astor</v>
      </c>
      <c r="C2730" s="1" t="s">
        <v>57</v>
      </c>
      <c r="D2730" s="1" t="s">
        <v>41</v>
      </c>
      <c r="E2730" s="3">
        <v>4985073</v>
      </c>
      <c r="F2730" s="1">
        <v>2056.5483704620401</v>
      </c>
      <c r="G2730" s="1">
        <v>5</v>
      </c>
      <c r="H2730" s="1">
        <v>4</v>
      </c>
      <c r="I2730" s="1">
        <v>4</v>
      </c>
      <c r="J2730" s="1">
        <v>3.5</v>
      </c>
      <c r="K2730" s="1">
        <v>3</v>
      </c>
      <c r="L2730" s="1">
        <v>1</v>
      </c>
      <c r="M2730" s="4">
        <v>2424</v>
      </c>
      <c r="N2730" s="1">
        <v>3130</v>
      </c>
      <c r="O2730" s="1">
        <v>7083</v>
      </c>
      <c r="P2730" s="1">
        <v>3953</v>
      </c>
      <c r="Q2730" s="1" t="s">
        <v>42</v>
      </c>
      <c r="S2730" s="1" t="s">
        <v>42</v>
      </c>
      <c r="T2730" s="1" t="s">
        <v>273</v>
      </c>
      <c r="U2730" s="1">
        <v>785</v>
      </c>
      <c r="V2730" s="5">
        <v>43773</v>
      </c>
      <c r="W2730" s="5">
        <v>42943</v>
      </c>
      <c r="X2730" s="1">
        <v>5887000</v>
      </c>
      <c r="Y2730" s="1">
        <v>5450000</v>
      </c>
      <c r="Z2730" s="5">
        <v>43728</v>
      </c>
      <c r="AA2730" s="1">
        <v>4985073.25</v>
      </c>
      <c r="AB2730" s="1" t="s">
        <v>1651</v>
      </c>
      <c r="AC2730" s="5">
        <v>43756</v>
      </c>
      <c r="AF2730" s="1">
        <v>10023</v>
      </c>
      <c r="AI2730" s="1" t="s">
        <v>182</v>
      </c>
      <c r="AJ2730" s="1">
        <v>2018</v>
      </c>
      <c r="AK2730" s="1" t="s">
        <v>49</v>
      </c>
      <c r="AL2730" s="1">
        <v>98</v>
      </c>
    </row>
    <row r="2731" spans="1:38" x14ac:dyDescent="0.2">
      <c r="A2731" s="2" t="str">
        <f>HYPERLINK("https://www.compass.com/listing/261-west-25th-street-unit-11b-manhattan-ny-10001/29372535254587185/","261 W 25th St, Unit 11B")</f>
        <v>261 W 25th St, Unit 11B</v>
      </c>
      <c r="B2731" s="2" t="str">
        <f>HYPERLINK("https://www.compass.com/building/the-seymour-manhattan-ny/281883155990840165/","The Seymour")</f>
        <v>The Seymour</v>
      </c>
      <c r="C2731" s="1" t="s">
        <v>62</v>
      </c>
      <c r="D2731" s="1" t="s">
        <v>41</v>
      </c>
      <c r="E2731" s="3">
        <v>4073000</v>
      </c>
      <c r="F2731" s="1">
        <v>2297.2363226170301</v>
      </c>
      <c r="G2731" s="1">
        <v>5</v>
      </c>
      <c r="H2731" s="1">
        <v>3</v>
      </c>
      <c r="I2731" s="1">
        <v>3</v>
      </c>
      <c r="J2731" s="1">
        <v>3</v>
      </c>
      <c r="M2731" s="4">
        <v>1773</v>
      </c>
      <c r="N2731" s="1">
        <v>2057</v>
      </c>
      <c r="O2731" s="1">
        <v>4310</v>
      </c>
      <c r="P2731" s="1">
        <v>2253</v>
      </c>
      <c r="Q2731" s="1" t="s">
        <v>42</v>
      </c>
      <c r="S2731" s="1" t="s">
        <v>42</v>
      </c>
      <c r="T2731" s="1" t="s">
        <v>273</v>
      </c>
      <c r="U2731" s="1">
        <v>119</v>
      </c>
      <c r="V2731" s="5">
        <v>43663</v>
      </c>
      <c r="W2731" s="5">
        <v>41829</v>
      </c>
      <c r="X2731" s="1">
        <v>4000000</v>
      </c>
      <c r="Y2731" s="1">
        <v>4000000</v>
      </c>
      <c r="Z2731" s="5">
        <v>41948</v>
      </c>
      <c r="AA2731" s="1">
        <v>4073000</v>
      </c>
      <c r="AB2731" s="1" t="s">
        <v>1652</v>
      </c>
      <c r="AC2731" s="5">
        <v>42467</v>
      </c>
      <c r="AF2731" s="1">
        <v>10001</v>
      </c>
      <c r="AI2731" s="1" t="s">
        <v>185</v>
      </c>
      <c r="AJ2731" s="1">
        <v>2015</v>
      </c>
      <c r="AK2731" s="1" t="s">
        <v>49</v>
      </c>
      <c r="AL2731" s="1">
        <v>49</v>
      </c>
    </row>
    <row r="2732" spans="1:38" x14ac:dyDescent="0.2">
      <c r="A2732" s="2" t="str">
        <f>HYPERLINK("https://www.compass.com/listing/67-69-franklin-street-unit-2c-manhattan-ny-10013/785348356603366849/","67-69 Franklin St, Unit 2C")</f>
        <v>67-69 Franklin St, Unit 2C</v>
      </c>
      <c r="B2732" s="2" t="str">
        <f>HYPERLINK("https://www.compass.com/building/cast-iron-house-manhattan-ny/567514773896133269/","Cast Iron House")</f>
        <v>Cast Iron House</v>
      </c>
      <c r="C2732" s="1" t="s">
        <v>50</v>
      </c>
      <c r="D2732" s="1" t="s">
        <v>41</v>
      </c>
      <c r="E2732" s="3">
        <v>4686700</v>
      </c>
      <c r="F2732" s="1">
        <v>1639.27946834557</v>
      </c>
      <c r="H2732" s="1">
        <v>3</v>
      </c>
      <c r="J2732" s="1">
        <v>3</v>
      </c>
      <c r="M2732" s="4">
        <v>2859</v>
      </c>
      <c r="N2732" s="1">
        <v>2604</v>
      </c>
      <c r="O2732" s="1">
        <v>6626</v>
      </c>
      <c r="P2732" s="1">
        <v>4022</v>
      </c>
      <c r="Q2732" s="1" t="s">
        <v>42</v>
      </c>
      <c r="S2732" s="1" t="s">
        <v>42</v>
      </c>
      <c r="T2732" s="1" t="s">
        <v>273</v>
      </c>
      <c r="AA2732" s="1">
        <v>4686700</v>
      </c>
      <c r="AB2732" s="1" t="s">
        <v>1653</v>
      </c>
      <c r="AC2732" s="5">
        <v>43089</v>
      </c>
      <c r="AF2732" s="1">
        <v>10013</v>
      </c>
      <c r="AI2732" s="1" t="s">
        <v>177</v>
      </c>
      <c r="AJ2732" s="1">
        <v>1881</v>
      </c>
      <c r="AK2732" s="1" t="s">
        <v>49</v>
      </c>
      <c r="AL2732" s="1">
        <v>13</v>
      </c>
    </row>
    <row r="2733" spans="1:38" x14ac:dyDescent="0.2">
      <c r="A2733" s="2" t="str">
        <f>HYPERLINK("https://www.compass.com/listing/565-broome-street-unit-n24a-manhattan-ny-10013/226207070528030209/","565 Broome St, Unit N24A")</f>
        <v>565 Broome St, Unit N24A</v>
      </c>
      <c r="B2733" s="2" t="str">
        <f t="shared" ref="B2733:B2734" si="452">HYPERLINK("https://www.compass.com/building/565-broome-soho-manhattan-ny/292813251698267109/","565 Broome Soho")</f>
        <v>565 Broome Soho</v>
      </c>
      <c r="C2733" s="1" t="s">
        <v>53</v>
      </c>
      <c r="D2733" s="1" t="s">
        <v>41</v>
      </c>
      <c r="E2733" s="3">
        <v>6995000</v>
      </c>
      <c r="F2733" s="1">
        <v>2784.6337579617798</v>
      </c>
      <c r="G2733" s="1">
        <v>6.5</v>
      </c>
      <c r="H2733" s="1">
        <v>3</v>
      </c>
      <c r="I2733" s="1">
        <v>4</v>
      </c>
      <c r="J2733" s="1">
        <v>3.5</v>
      </c>
      <c r="K2733" s="1">
        <v>3</v>
      </c>
      <c r="L2733" s="1">
        <v>1</v>
      </c>
      <c r="M2733" s="4">
        <v>2512</v>
      </c>
      <c r="N2733" s="1">
        <v>3941</v>
      </c>
      <c r="O2733" s="1">
        <v>8287</v>
      </c>
      <c r="P2733" s="1">
        <v>4346</v>
      </c>
      <c r="Q2733" s="1" t="s">
        <v>42</v>
      </c>
      <c r="S2733" s="1" t="s">
        <v>42</v>
      </c>
      <c r="T2733" s="1" t="s">
        <v>273</v>
      </c>
      <c r="U2733" s="1">
        <v>1206</v>
      </c>
      <c r="V2733" s="5">
        <v>44328</v>
      </c>
      <c r="W2733" s="5">
        <v>42612</v>
      </c>
      <c r="X2733" s="1">
        <v>8450000</v>
      </c>
      <c r="Y2733" s="1">
        <v>6995000</v>
      </c>
      <c r="Z2733" s="5">
        <v>43819</v>
      </c>
      <c r="AA2733" s="1">
        <v>6995000</v>
      </c>
      <c r="AB2733" s="1" t="s">
        <v>1654</v>
      </c>
      <c r="AC2733" s="5">
        <v>44180</v>
      </c>
      <c r="AF2733" s="1">
        <v>10013</v>
      </c>
      <c r="AI2733" s="1" t="s">
        <v>48</v>
      </c>
      <c r="AJ2733" s="1">
        <v>2019</v>
      </c>
      <c r="AK2733" s="1" t="s">
        <v>46</v>
      </c>
      <c r="AL2733" s="1">
        <v>115</v>
      </c>
    </row>
    <row r="2734" spans="1:38" x14ac:dyDescent="0.2">
      <c r="A2734" s="2" t="str">
        <f>HYPERLINK("https://www.compass.com/listing/565-broome-street-unit-n16a-manhattan-ny-10013/29515001156956545/","565 Broome St, Unit N16A")</f>
        <v>565 Broome St, Unit N16A</v>
      </c>
      <c r="B2734" s="2" t="str">
        <f t="shared" si="452"/>
        <v>565 Broome Soho</v>
      </c>
      <c r="C2734" s="1" t="s">
        <v>53</v>
      </c>
      <c r="D2734" s="1" t="s">
        <v>41</v>
      </c>
      <c r="E2734" s="3">
        <v>11500000</v>
      </c>
      <c r="F2734" s="1">
        <v>3385.34000588754</v>
      </c>
      <c r="G2734" s="1">
        <v>5</v>
      </c>
      <c r="H2734" s="1">
        <v>3</v>
      </c>
      <c r="I2734" s="1">
        <v>4</v>
      </c>
      <c r="J2734" s="1">
        <v>3.5</v>
      </c>
      <c r="K2734" s="1">
        <v>3</v>
      </c>
      <c r="L2734" s="1">
        <v>1</v>
      </c>
      <c r="M2734" s="4">
        <v>3397</v>
      </c>
      <c r="N2734" s="1">
        <v>5992</v>
      </c>
      <c r="O2734" s="1">
        <v>12601</v>
      </c>
      <c r="P2734" s="1">
        <v>6609</v>
      </c>
      <c r="Q2734" s="1" t="s">
        <v>42</v>
      </c>
      <c r="S2734" s="1" t="s">
        <v>42</v>
      </c>
      <c r="T2734" s="1" t="s">
        <v>273</v>
      </c>
      <c r="U2734" s="1">
        <v>1271</v>
      </c>
      <c r="V2734" s="5">
        <v>44328</v>
      </c>
      <c r="W2734" s="5">
        <v>42612</v>
      </c>
      <c r="X2734" s="1">
        <v>14500000</v>
      </c>
      <c r="Y2734" s="1">
        <v>12995000</v>
      </c>
      <c r="Z2734" s="5">
        <v>43886</v>
      </c>
      <c r="AA2734" s="1">
        <v>11500000</v>
      </c>
      <c r="AB2734" s="1" t="s">
        <v>275</v>
      </c>
      <c r="AC2734" s="5">
        <v>44020</v>
      </c>
      <c r="AF2734" s="1">
        <v>10013</v>
      </c>
      <c r="AI2734" s="1" t="s">
        <v>61</v>
      </c>
      <c r="AJ2734" s="1">
        <v>2019</v>
      </c>
      <c r="AK2734" s="1" t="s">
        <v>46</v>
      </c>
      <c r="AL2734" s="1">
        <v>115</v>
      </c>
    </row>
    <row r="2735" spans="1:38" x14ac:dyDescent="0.2">
      <c r="A2735" s="2" t="str">
        <f>HYPERLINK("https://www.compass.com/listing/391-broadway-unit-loftb-manhattan-ny-10013/441738180224466201/","391 Broadway, Unit LOFTB")</f>
        <v>391 Broadway, Unit LOFTB</v>
      </c>
      <c r="B2735" s="2" t="str">
        <f>HYPERLINK("https://www.compass.com/building/391-broadway-manhattan-ny-10013/281919434489105749/","391 Broadway")</f>
        <v>391 Broadway</v>
      </c>
      <c r="C2735" s="1" t="s">
        <v>50</v>
      </c>
      <c r="D2735" s="1" t="s">
        <v>41</v>
      </c>
      <c r="E2735" s="3">
        <v>2935040</v>
      </c>
      <c r="F2735" s="1">
        <v>1438.7451323529399</v>
      </c>
      <c r="H2735" s="1">
        <v>2</v>
      </c>
      <c r="J2735" s="1">
        <v>2.5</v>
      </c>
      <c r="K2735" s="1">
        <v>2</v>
      </c>
      <c r="L2735" s="1">
        <v>1</v>
      </c>
      <c r="M2735" s="4">
        <v>2040</v>
      </c>
      <c r="N2735" s="1">
        <v>1639</v>
      </c>
      <c r="O2735" s="1">
        <v>4557</v>
      </c>
      <c r="P2735" s="1">
        <v>2918</v>
      </c>
      <c r="Q2735" s="1" t="s">
        <v>42</v>
      </c>
      <c r="S2735" s="1" t="s">
        <v>42</v>
      </c>
      <c r="T2735" s="1" t="s">
        <v>273</v>
      </c>
      <c r="AA2735" s="1">
        <v>2935040.07</v>
      </c>
      <c r="AB2735" s="1" t="s">
        <v>1655</v>
      </c>
      <c r="AC2735" s="5">
        <v>43847</v>
      </c>
      <c r="AF2735" s="1">
        <v>10013</v>
      </c>
      <c r="AI2735" s="1" t="s">
        <v>177</v>
      </c>
      <c r="AJ2735" s="1">
        <v>1915</v>
      </c>
      <c r="AL2735" s="1">
        <v>4</v>
      </c>
    </row>
    <row r="2736" spans="1:38" x14ac:dyDescent="0.2">
      <c r="A2736" s="2" t="str">
        <f>HYPERLINK("https://www.compass.com/listing/565-broome-street-unit-n21b-manhattan-ny-10013/465070480991737953/","565 Broome St, Unit N21B")</f>
        <v>565 Broome St, Unit N21B</v>
      </c>
      <c r="B2736" s="2" t="str">
        <f t="shared" ref="B2736:B2737" si="453">HYPERLINK("https://www.compass.com/building/565-broome-soho-manhattan-ny/292813251698267109/","565 Broome Soho")</f>
        <v>565 Broome Soho</v>
      </c>
      <c r="C2736" s="1" t="s">
        <v>53</v>
      </c>
      <c r="D2736" s="1" t="s">
        <v>41</v>
      </c>
      <c r="E2736" s="3">
        <v>6495000</v>
      </c>
      <c r="F2736" s="1">
        <v>2707.3780741975802</v>
      </c>
      <c r="G2736" s="1">
        <v>6.5</v>
      </c>
      <c r="H2736" s="1">
        <v>3</v>
      </c>
      <c r="I2736" s="1">
        <v>4</v>
      </c>
      <c r="J2736" s="1">
        <v>3.5</v>
      </c>
      <c r="K2736" s="1">
        <v>3</v>
      </c>
      <c r="L2736" s="1">
        <v>1</v>
      </c>
      <c r="M2736" s="4">
        <v>2399</v>
      </c>
      <c r="N2736" s="1">
        <v>3711</v>
      </c>
      <c r="O2736" s="1">
        <v>7804</v>
      </c>
      <c r="P2736" s="1">
        <v>4093</v>
      </c>
      <c r="Q2736" s="1" t="s">
        <v>42</v>
      </c>
      <c r="S2736" s="1" t="s">
        <v>42</v>
      </c>
      <c r="T2736" s="1" t="s">
        <v>273</v>
      </c>
      <c r="V2736" s="5">
        <v>44316</v>
      </c>
      <c r="W2736" s="5">
        <v>43893</v>
      </c>
      <c r="Y2736" s="1">
        <v>7050000</v>
      </c>
      <c r="Z2736" s="5">
        <v>43894</v>
      </c>
      <c r="AA2736" s="1">
        <v>6495000</v>
      </c>
      <c r="AB2736" s="1" t="s">
        <v>1656</v>
      </c>
      <c r="AC2736" s="5">
        <v>43986</v>
      </c>
      <c r="AF2736" s="1">
        <v>10013</v>
      </c>
      <c r="AI2736" s="1" t="s">
        <v>48</v>
      </c>
      <c r="AJ2736" s="1">
        <v>2019</v>
      </c>
      <c r="AK2736" s="1" t="s">
        <v>46</v>
      </c>
      <c r="AL2736" s="1">
        <v>115</v>
      </c>
    </row>
    <row r="2737" spans="1:38" x14ac:dyDescent="0.2">
      <c r="A2737" s="2" t="str">
        <f>HYPERLINK("https://www.compass.com/listing/565-broome-street-unit-s23a-manhattan-ny-10013/700877458993345249/","565 Broome St, Unit S23A")</f>
        <v>565 Broome St, Unit S23A</v>
      </c>
      <c r="B2737" s="2" t="str">
        <f t="shared" si="453"/>
        <v>565 Broome Soho</v>
      </c>
      <c r="C2737" s="1" t="s">
        <v>53</v>
      </c>
      <c r="D2737" s="1" t="s">
        <v>41</v>
      </c>
      <c r="E2737" s="3">
        <v>7125000</v>
      </c>
      <c r="F2737" s="1">
        <v>2836.38535031847</v>
      </c>
      <c r="G2737" s="1">
        <v>6</v>
      </c>
      <c r="H2737" s="1">
        <v>3</v>
      </c>
      <c r="I2737" s="1">
        <v>4</v>
      </c>
      <c r="J2737" s="1">
        <v>3.5</v>
      </c>
      <c r="K2737" s="1">
        <v>3</v>
      </c>
      <c r="L2737" s="1">
        <v>1</v>
      </c>
      <c r="M2737" s="4">
        <v>2512</v>
      </c>
      <c r="N2737" s="1">
        <v>3923</v>
      </c>
      <c r="O2737" s="1">
        <v>7399</v>
      </c>
      <c r="P2737" s="1">
        <v>3476</v>
      </c>
      <c r="Q2737" s="1" t="s">
        <v>42</v>
      </c>
      <c r="S2737" s="1" t="s">
        <v>42</v>
      </c>
      <c r="T2737" s="1" t="s">
        <v>273</v>
      </c>
      <c r="U2737" s="1">
        <v>1345</v>
      </c>
      <c r="V2737" s="5">
        <v>44314</v>
      </c>
      <c r="W2737" s="5">
        <v>42779</v>
      </c>
      <c r="Y2737" s="1">
        <v>8600000</v>
      </c>
      <c r="Z2737" s="5">
        <v>44219</v>
      </c>
      <c r="AA2737" s="1">
        <v>7125000</v>
      </c>
      <c r="AB2737" s="1" t="s">
        <v>1657</v>
      </c>
      <c r="AC2737" s="5">
        <v>44256</v>
      </c>
      <c r="AF2737" s="1">
        <v>10013</v>
      </c>
      <c r="AI2737" s="1" t="s">
        <v>48</v>
      </c>
      <c r="AJ2737" s="1">
        <v>2019</v>
      </c>
      <c r="AK2737" s="1" t="s">
        <v>46</v>
      </c>
      <c r="AL2737" s="1">
        <v>115</v>
      </c>
    </row>
    <row r="2738" spans="1:38" x14ac:dyDescent="0.2">
      <c r="A2738" s="2" t="str">
        <f>HYPERLINK("https://www.compass.com/listing/15-hudson-yards-unit-39h-manhattan-ny-10001/789790455707610073/","15 Hudson Yards, Unit 39H")</f>
        <v>15 Hudson Yards, Unit 39H</v>
      </c>
      <c r="B2738" s="2" t="str">
        <f>HYPERLINK("https://www.compass.com/building/fifteen-hudson-yards-manhattan-ny/282058587512011909/","Fifteen Hudson Yards")</f>
        <v>Fifteen Hudson Yards</v>
      </c>
      <c r="C2738" s="1" t="s">
        <v>77</v>
      </c>
      <c r="D2738" s="1" t="s">
        <v>41</v>
      </c>
      <c r="E2738" s="3">
        <v>5500000</v>
      </c>
      <c r="F2738" s="1">
        <v>2489.8143956541398</v>
      </c>
      <c r="G2738" s="1">
        <v>5</v>
      </c>
      <c r="H2738" s="1">
        <v>3</v>
      </c>
      <c r="I2738" s="1">
        <v>3</v>
      </c>
      <c r="J2738" s="1">
        <v>3</v>
      </c>
      <c r="K2738" s="1">
        <v>3</v>
      </c>
      <c r="M2738" s="4">
        <v>2209</v>
      </c>
      <c r="N2738" s="1">
        <v>5313</v>
      </c>
      <c r="O2738" s="1">
        <v>5380</v>
      </c>
      <c r="P2738" s="1">
        <v>67</v>
      </c>
      <c r="Q2738" s="1" t="s">
        <v>42</v>
      </c>
      <c r="S2738" s="1" t="s">
        <v>42</v>
      </c>
      <c r="T2738" s="1" t="s">
        <v>273</v>
      </c>
      <c r="U2738" s="1">
        <v>1</v>
      </c>
      <c r="V2738" s="5">
        <v>44418</v>
      </c>
      <c r="W2738" s="5">
        <v>44340</v>
      </c>
      <c r="X2738" s="1">
        <v>6650000</v>
      </c>
      <c r="Y2738" s="1">
        <v>6650000</v>
      </c>
      <c r="Z2738" s="5">
        <v>44342</v>
      </c>
      <c r="AA2738" s="1">
        <v>5500000</v>
      </c>
      <c r="AB2738" s="1" t="s">
        <v>275</v>
      </c>
      <c r="AC2738" s="5">
        <v>44414</v>
      </c>
      <c r="AF2738" s="1">
        <v>10001</v>
      </c>
      <c r="AJ2738" s="1">
        <v>2018</v>
      </c>
      <c r="AK2738" s="1" t="s">
        <v>46</v>
      </c>
      <c r="AL2738" s="1">
        <v>285</v>
      </c>
    </row>
    <row r="2739" spans="1:38" x14ac:dyDescent="0.2">
      <c r="A2739" s="2" t="str">
        <f>HYPERLINK("https://www.compass.com/listing/565-broome-street-unit-s26a-manhattan-ny-10013/29514987861012337/","565 Broome St, Unit S26A")</f>
        <v>565 Broome St, Unit S26A</v>
      </c>
      <c r="B2739" s="2" t="str">
        <f t="shared" ref="B2739:B2741" si="454">HYPERLINK("https://www.compass.com/building/565-broome-soho-manhattan-ny/292813251698267109/","565 Broome Soho")</f>
        <v>565 Broome Soho</v>
      </c>
      <c r="C2739" s="1" t="s">
        <v>53</v>
      </c>
      <c r="D2739" s="1" t="s">
        <v>41</v>
      </c>
      <c r="E2739" s="3">
        <v>7716081</v>
      </c>
      <c r="F2739" s="1">
        <v>3438.5387700534702</v>
      </c>
      <c r="G2739" s="1">
        <v>6</v>
      </c>
      <c r="H2739" s="1">
        <v>3</v>
      </c>
      <c r="I2739" s="1">
        <v>4</v>
      </c>
      <c r="J2739" s="1">
        <v>3.5</v>
      </c>
      <c r="K2739" s="1">
        <v>3</v>
      </c>
      <c r="L2739" s="1">
        <v>1</v>
      </c>
      <c r="M2739" s="4">
        <v>2244</v>
      </c>
      <c r="N2739" s="1">
        <v>3553</v>
      </c>
      <c r="O2739" s="1">
        <v>7472</v>
      </c>
      <c r="P2739" s="1">
        <v>3919</v>
      </c>
      <c r="Q2739" s="1" t="s">
        <v>42</v>
      </c>
      <c r="S2739" s="1" t="s">
        <v>42</v>
      </c>
      <c r="T2739" s="1" t="s">
        <v>273</v>
      </c>
      <c r="U2739" s="1">
        <v>667</v>
      </c>
      <c r="V2739" s="5">
        <v>44323</v>
      </c>
      <c r="W2739" s="5">
        <v>42612</v>
      </c>
      <c r="Y2739" s="1">
        <v>7940000</v>
      </c>
      <c r="Z2739" s="5">
        <v>43280</v>
      </c>
      <c r="AA2739" s="1">
        <v>7716081</v>
      </c>
      <c r="AB2739" s="1" t="s">
        <v>1658</v>
      </c>
      <c r="AC2739" s="5">
        <v>43648</v>
      </c>
      <c r="AF2739" s="1">
        <v>10013</v>
      </c>
      <c r="AI2739" s="1" t="s">
        <v>48</v>
      </c>
      <c r="AJ2739" s="1">
        <v>2019</v>
      </c>
      <c r="AK2739" s="1" t="s">
        <v>46</v>
      </c>
      <c r="AL2739" s="1">
        <v>115</v>
      </c>
    </row>
    <row r="2740" spans="1:38" x14ac:dyDescent="0.2">
      <c r="A2740" s="2" t="str">
        <f>HYPERLINK("https://www.compass.com/listing/565-broome-street-unit-n23a-manhattan-ny-10013/29514999269519633/","565 Broome St, Unit N23A")</f>
        <v>565 Broome St, Unit N23A</v>
      </c>
      <c r="B2740" s="2" t="str">
        <f t="shared" si="454"/>
        <v>565 Broome Soho</v>
      </c>
      <c r="C2740" s="1" t="s">
        <v>53</v>
      </c>
      <c r="D2740" s="1" t="s">
        <v>41</v>
      </c>
      <c r="E2740" s="3">
        <v>7150000</v>
      </c>
      <c r="F2740" s="1">
        <v>2846.3375796178302</v>
      </c>
      <c r="G2740" s="1">
        <v>6</v>
      </c>
      <c r="H2740" s="1">
        <v>3</v>
      </c>
      <c r="I2740" s="1">
        <v>4</v>
      </c>
      <c r="J2740" s="1">
        <v>3.5</v>
      </c>
      <c r="K2740" s="1">
        <v>3</v>
      </c>
      <c r="L2740" s="1">
        <v>1</v>
      </c>
      <c r="M2740" s="4">
        <v>2512</v>
      </c>
      <c r="N2740" s="1">
        <v>3922</v>
      </c>
      <c r="O2740" s="1">
        <v>8248</v>
      </c>
      <c r="P2740" s="1">
        <v>4326</v>
      </c>
      <c r="Q2740" s="1" t="s">
        <v>42</v>
      </c>
      <c r="S2740" s="1" t="s">
        <v>42</v>
      </c>
      <c r="T2740" s="1" t="s">
        <v>273</v>
      </c>
      <c r="U2740" s="1">
        <v>622</v>
      </c>
      <c r="V2740" s="5">
        <v>44338</v>
      </c>
      <c r="W2740" s="5">
        <v>42612</v>
      </c>
      <c r="Z2740" s="5">
        <v>43235</v>
      </c>
      <c r="AA2740" s="1">
        <v>7150000</v>
      </c>
      <c r="AB2740" s="1" t="s">
        <v>1659</v>
      </c>
      <c r="AC2740" s="5">
        <v>43648</v>
      </c>
      <c r="AF2740" s="1">
        <v>10013</v>
      </c>
      <c r="AI2740" s="1" t="s">
        <v>48</v>
      </c>
      <c r="AJ2740" s="1">
        <v>2019</v>
      </c>
      <c r="AK2740" s="1" t="s">
        <v>46</v>
      </c>
      <c r="AL2740" s="1">
        <v>115</v>
      </c>
    </row>
    <row r="2741" spans="1:38" x14ac:dyDescent="0.2">
      <c r="A2741" s="2" t="str">
        <f>HYPERLINK("https://www.compass.com/listing/565-broome-street-unit-s27a-manhattan-ny-10013/48347064492485233/","565 Broome St, Unit S27A")</f>
        <v>565 Broome St, Unit S27A</v>
      </c>
      <c r="B2741" s="2" t="str">
        <f t="shared" si="454"/>
        <v>565 Broome Soho</v>
      </c>
      <c r="C2741" s="1" t="s">
        <v>53</v>
      </c>
      <c r="D2741" s="1" t="s">
        <v>41</v>
      </c>
      <c r="E2741" s="3">
        <v>8090000</v>
      </c>
      <c r="F2741" s="1">
        <v>3605.1693404634502</v>
      </c>
      <c r="G2741" s="1">
        <v>6</v>
      </c>
      <c r="H2741" s="1">
        <v>3</v>
      </c>
      <c r="I2741" s="1">
        <v>4</v>
      </c>
      <c r="J2741" s="1">
        <v>3.5</v>
      </c>
      <c r="K2741" s="1">
        <v>3</v>
      </c>
      <c r="L2741" s="1">
        <v>1</v>
      </c>
      <c r="M2741" s="4">
        <v>2244</v>
      </c>
      <c r="N2741" s="1">
        <v>3567</v>
      </c>
      <c r="O2741" s="1">
        <v>3567</v>
      </c>
      <c r="Q2741" s="1" t="s">
        <v>42</v>
      </c>
      <c r="S2741" s="1" t="s">
        <v>42</v>
      </c>
      <c r="T2741" s="1" t="s">
        <v>273</v>
      </c>
      <c r="U2741" s="1">
        <v>341</v>
      </c>
      <c r="V2741" s="5">
        <v>44337</v>
      </c>
      <c r="W2741" s="5">
        <v>42977</v>
      </c>
      <c r="X2741" s="1">
        <v>8090000</v>
      </c>
      <c r="Y2741" s="1">
        <v>8090000</v>
      </c>
      <c r="Z2741" s="5">
        <v>43319</v>
      </c>
      <c r="AA2741" s="1">
        <v>8090000</v>
      </c>
      <c r="AB2741" s="1" t="s">
        <v>1660</v>
      </c>
      <c r="AC2741" s="5">
        <v>43605</v>
      </c>
      <c r="AF2741" s="1">
        <v>10013</v>
      </c>
      <c r="AI2741" s="1" t="s">
        <v>48</v>
      </c>
      <c r="AJ2741" s="1">
        <v>2019</v>
      </c>
      <c r="AK2741" s="1" t="s">
        <v>46</v>
      </c>
      <c r="AL2741" s="1">
        <v>115</v>
      </c>
    </row>
    <row r="2742" spans="1:38" x14ac:dyDescent="0.2">
      <c r="A2742" s="2" t="str">
        <f>HYPERLINK("https://www.compass.com/listing/235-west-75th-street-unit-226-manhattan-ny-10023/29395863184901905/","235 W 75th St, Unit 226")</f>
        <v>235 W 75th St, Unit 226</v>
      </c>
      <c r="B2742" s="2" t="str">
        <f>HYPERLINK("https://www.compass.com/building/the-astor-manhattan-ny/281958704155269925/","The Astor")</f>
        <v>The Astor</v>
      </c>
      <c r="C2742" s="1" t="s">
        <v>57</v>
      </c>
      <c r="D2742" s="1" t="s">
        <v>41</v>
      </c>
      <c r="E2742" s="3">
        <v>3804765</v>
      </c>
      <c r="F2742" s="1">
        <v>2118.4660356347399</v>
      </c>
      <c r="G2742" s="1">
        <v>4</v>
      </c>
      <c r="H2742" s="1">
        <v>3</v>
      </c>
      <c r="I2742" s="1">
        <v>3</v>
      </c>
      <c r="J2742" s="1">
        <v>3.5</v>
      </c>
      <c r="K2742" s="1">
        <v>3</v>
      </c>
      <c r="L2742" s="1">
        <v>1</v>
      </c>
      <c r="M2742" s="4">
        <v>1796</v>
      </c>
      <c r="N2742" s="1">
        <v>2286</v>
      </c>
      <c r="O2742" s="1">
        <v>4774</v>
      </c>
      <c r="P2742" s="1">
        <v>2488</v>
      </c>
      <c r="Q2742" s="1" t="s">
        <v>42</v>
      </c>
      <c r="S2742" s="1" t="s">
        <v>42</v>
      </c>
      <c r="T2742" s="1" t="s">
        <v>273</v>
      </c>
      <c r="U2742" s="1">
        <v>160</v>
      </c>
      <c r="V2742" s="5">
        <v>43638</v>
      </c>
      <c r="W2742" s="5">
        <v>42123</v>
      </c>
      <c r="X2742" s="1">
        <v>3944000</v>
      </c>
      <c r="Y2742" s="1">
        <v>3944000</v>
      </c>
      <c r="Z2742" s="5">
        <v>42283</v>
      </c>
      <c r="AA2742" s="1">
        <v>3804765</v>
      </c>
      <c r="AB2742" s="1" t="s">
        <v>1661</v>
      </c>
      <c r="AC2742" s="5">
        <v>43125</v>
      </c>
      <c r="AF2742" s="1">
        <v>10023</v>
      </c>
      <c r="AJ2742" s="1">
        <v>2018</v>
      </c>
      <c r="AK2742" s="1" t="s">
        <v>46</v>
      </c>
      <c r="AL2742" s="1">
        <v>98</v>
      </c>
    </row>
    <row r="2743" spans="1:38" x14ac:dyDescent="0.2">
      <c r="A2743" s="2" t="str">
        <f>HYPERLINK("https://www.compass.com/listing/261-west-25th-street-unit-7b-manhattan-ny-10001/803361110165654529/","261 W 25th St, Unit 7B")</f>
        <v>261 W 25th St, Unit 7B</v>
      </c>
      <c r="B2743" s="2" t="str">
        <f t="shared" ref="B2743:B2745" si="455">HYPERLINK("https://www.compass.com/building/the-seymour-manhattan-ny/281883155990840165/","The Seymour")</f>
        <v>The Seymour</v>
      </c>
      <c r="C2743" s="1" t="s">
        <v>62</v>
      </c>
      <c r="D2743" s="1" t="s">
        <v>41</v>
      </c>
      <c r="E2743" s="3">
        <v>2877000</v>
      </c>
      <c r="F2743" s="1">
        <v>1971.8985606579799</v>
      </c>
      <c r="G2743" s="1">
        <v>3</v>
      </c>
      <c r="H2743" s="1">
        <v>2</v>
      </c>
      <c r="I2743" s="1">
        <v>3</v>
      </c>
      <c r="J2743" s="1">
        <v>2.5</v>
      </c>
      <c r="M2743" s="4">
        <v>1459</v>
      </c>
      <c r="N2743" s="1">
        <v>1718</v>
      </c>
      <c r="O2743" s="1">
        <v>3911</v>
      </c>
      <c r="P2743" s="1">
        <v>2193</v>
      </c>
      <c r="Q2743" s="1" t="s">
        <v>42</v>
      </c>
      <c r="S2743" s="1" t="s">
        <v>42</v>
      </c>
      <c r="T2743" s="1" t="s">
        <v>273</v>
      </c>
      <c r="U2743" s="1">
        <v>71</v>
      </c>
      <c r="V2743" s="5">
        <v>42987</v>
      </c>
      <c r="W2743" s="5">
        <v>42915</v>
      </c>
      <c r="X2743" s="1">
        <v>3175000</v>
      </c>
      <c r="Y2743" s="1">
        <v>3175000</v>
      </c>
      <c r="AA2743" s="1">
        <v>2877000</v>
      </c>
      <c r="AB2743" s="1" t="s">
        <v>1601</v>
      </c>
      <c r="AC2743" s="5">
        <v>43089</v>
      </c>
      <c r="AF2743" s="1">
        <v>10001</v>
      </c>
      <c r="AI2743" s="1" t="s">
        <v>163</v>
      </c>
      <c r="AJ2743" s="1">
        <v>2015</v>
      </c>
      <c r="AK2743" s="1" t="s">
        <v>49</v>
      </c>
      <c r="AL2743" s="1">
        <v>49</v>
      </c>
    </row>
    <row r="2744" spans="1:38" x14ac:dyDescent="0.2">
      <c r="A2744" s="2" t="str">
        <f>HYPERLINK("https://www.compass.com/listing/261-west-25th-street-unit-7b-manhattan-ny-10001/803361110165654537/","261 W 25th St, Unit 7B")</f>
        <v>261 W 25th St, Unit 7B</v>
      </c>
      <c r="B2744" s="2" t="str">
        <f t="shared" si="455"/>
        <v>The Seymour</v>
      </c>
      <c r="C2744" s="1" t="s">
        <v>62</v>
      </c>
      <c r="D2744" s="1" t="s">
        <v>41</v>
      </c>
      <c r="E2744" s="3">
        <v>2877000</v>
      </c>
      <c r="F2744" s="1">
        <v>1971.8985606579799</v>
      </c>
      <c r="G2744" s="1">
        <v>3</v>
      </c>
      <c r="H2744" s="1">
        <v>2</v>
      </c>
      <c r="I2744" s="1">
        <v>3</v>
      </c>
      <c r="J2744" s="1">
        <v>2.5</v>
      </c>
      <c r="M2744" s="4">
        <v>1459</v>
      </c>
      <c r="N2744" s="1">
        <v>1718</v>
      </c>
      <c r="O2744" s="1">
        <v>3911</v>
      </c>
      <c r="P2744" s="1">
        <v>2193</v>
      </c>
      <c r="Q2744" s="1" t="s">
        <v>42</v>
      </c>
      <c r="S2744" s="1" t="s">
        <v>42</v>
      </c>
      <c r="T2744" s="1" t="s">
        <v>273</v>
      </c>
      <c r="U2744" s="1">
        <v>63</v>
      </c>
      <c r="V2744" s="5">
        <v>42979</v>
      </c>
      <c r="W2744" s="5">
        <v>42915</v>
      </c>
      <c r="X2744" s="1">
        <v>3175000</v>
      </c>
      <c r="Y2744" s="1">
        <v>2995000</v>
      </c>
      <c r="AA2744" s="1">
        <v>2877000</v>
      </c>
      <c r="AB2744" s="1" t="s">
        <v>1601</v>
      </c>
      <c r="AC2744" s="5">
        <v>43089</v>
      </c>
      <c r="AF2744" s="1">
        <v>10001</v>
      </c>
      <c r="AI2744" s="1" t="s">
        <v>163</v>
      </c>
      <c r="AJ2744" s="1">
        <v>2015</v>
      </c>
      <c r="AK2744" s="1" t="s">
        <v>49</v>
      </c>
      <c r="AL2744" s="1">
        <v>49</v>
      </c>
    </row>
    <row r="2745" spans="1:38" x14ac:dyDescent="0.2">
      <c r="A2745" s="2" t="str">
        <f>HYPERLINK("https://www.compass.com/listing/261-west-25th-street-unit-10b-manhattan-ny-10001/29372534096959265/","261 W 25th St, Unit 10B")</f>
        <v>261 W 25th St, Unit 10B</v>
      </c>
      <c r="B2745" s="2" t="str">
        <f t="shared" si="455"/>
        <v>The Seymour</v>
      </c>
      <c r="C2745" s="1" t="s">
        <v>62</v>
      </c>
      <c r="D2745" s="1" t="s">
        <v>41</v>
      </c>
      <c r="E2745" s="3">
        <v>4022088</v>
      </c>
      <c r="F2745" s="1">
        <v>2297.0234151913101</v>
      </c>
      <c r="G2745" s="1">
        <v>5</v>
      </c>
      <c r="H2745" s="1">
        <v>3</v>
      </c>
      <c r="I2745" s="1">
        <v>3</v>
      </c>
      <c r="J2745" s="1">
        <v>2.5</v>
      </c>
      <c r="M2745" s="4">
        <v>1751</v>
      </c>
      <c r="N2745" s="1">
        <v>1982</v>
      </c>
      <c r="O2745" s="1">
        <v>4207</v>
      </c>
      <c r="P2745" s="1">
        <v>2225</v>
      </c>
      <c r="Q2745" s="1" t="s">
        <v>42</v>
      </c>
      <c r="S2745" s="1" t="s">
        <v>42</v>
      </c>
      <c r="T2745" s="1" t="s">
        <v>273</v>
      </c>
      <c r="U2745" s="1">
        <v>127</v>
      </c>
      <c r="V2745" s="5">
        <v>43678</v>
      </c>
      <c r="W2745" s="5">
        <v>41948</v>
      </c>
      <c r="X2745" s="1">
        <v>3950000</v>
      </c>
      <c r="Y2745" s="1">
        <v>3950000</v>
      </c>
      <c r="Z2745" s="5">
        <v>42075</v>
      </c>
      <c r="AA2745" s="1">
        <v>4022088</v>
      </c>
      <c r="AB2745" s="1" t="s">
        <v>1662</v>
      </c>
      <c r="AC2745" s="5">
        <v>42454</v>
      </c>
      <c r="AF2745" s="1">
        <v>10001</v>
      </c>
      <c r="AI2745" s="1" t="s">
        <v>185</v>
      </c>
      <c r="AJ2745" s="1">
        <v>2015</v>
      </c>
      <c r="AK2745" s="1" t="s">
        <v>49</v>
      </c>
      <c r="AL2745" s="1">
        <v>49</v>
      </c>
    </row>
    <row r="2746" spans="1:38" x14ac:dyDescent="0.2">
      <c r="A2746" s="2" t="str">
        <f>HYPERLINK("https://www.compass.com/listing/565-broome-street-unit-spha-manhattan-ny-10013/718954236204632945/","565 Broome St, Unit SPHA")</f>
        <v>565 Broome St, Unit SPHA</v>
      </c>
      <c r="B2746" s="2" t="str">
        <f t="shared" ref="B2746:B2747" si="456">HYPERLINK("https://www.compass.com/building/565-broome-soho-manhattan-ny/292813251698267109/","565 Broome Soho")</f>
        <v>565 Broome Soho</v>
      </c>
      <c r="C2746" s="1" t="s">
        <v>53</v>
      </c>
      <c r="D2746" s="1" t="s">
        <v>41</v>
      </c>
      <c r="E2746" s="3">
        <v>12500000</v>
      </c>
      <c r="F2746" s="1">
        <v>6103.515625</v>
      </c>
      <c r="G2746" s="1">
        <v>5</v>
      </c>
      <c r="H2746" s="1">
        <v>2</v>
      </c>
      <c r="I2746" s="1">
        <v>3</v>
      </c>
      <c r="J2746" s="1">
        <v>2.5</v>
      </c>
      <c r="K2746" s="1">
        <v>2</v>
      </c>
      <c r="L2746" s="1">
        <v>1</v>
      </c>
      <c r="M2746" s="4">
        <v>2048</v>
      </c>
      <c r="N2746" s="1">
        <v>3302</v>
      </c>
      <c r="O2746" s="1">
        <v>6228</v>
      </c>
      <c r="P2746" s="1">
        <v>2926</v>
      </c>
      <c r="Q2746" s="1" t="s">
        <v>42</v>
      </c>
      <c r="S2746" s="1" t="s">
        <v>42</v>
      </c>
      <c r="T2746" s="1" t="s">
        <v>273</v>
      </c>
      <c r="U2746" s="1">
        <v>1599</v>
      </c>
      <c r="V2746" s="5">
        <v>44323</v>
      </c>
      <c r="W2746" s="5">
        <v>42612</v>
      </c>
      <c r="X2746" s="1">
        <v>12500000</v>
      </c>
      <c r="Y2746" s="1">
        <v>12500000</v>
      </c>
      <c r="AA2746" s="1">
        <v>12500000</v>
      </c>
      <c r="AB2746" s="1" t="s">
        <v>275</v>
      </c>
      <c r="AC2746" s="5">
        <v>44305</v>
      </c>
      <c r="AF2746" s="1">
        <v>10013</v>
      </c>
      <c r="AI2746" s="1" t="s">
        <v>48</v>
      </c>
      <c r="AJ2746" s="1">
        <v>2019</v>
      </c>
      <c r="AK2746" s="1" t="s">
        <v>46</v>
      </c>
      <c r="AL2746" s="1">
        <v>115</v>
      </c>
    </row>
    <row r="2747" spans="1:38" x14ac:dyDescent="0.2">
      <c r="A2747" s="2" t="str">
        <f>HYPERLINK("https://www.compass.com/listing/565-broome-street-unit-s21a-manhattan-ny-10013/841578231543160977/","565 Broome St, Unit S21A")</f>
        <v>565 Broome St, Unit S21A</v>
      </c>
      <c r="B2747" s="2" t="str">
        <f t="shared" si="456"/>
        <v>565 Broome Soho</v>
      </c>
      <c r="C2747" s="1" t="s">
        <v>53</v>
      </c>
      <c r="D2747" s="1" t="s">
        <v>41</v>
      </c>
      <c r="E2747" s="3">
        <v>5760000</v>
      </c>
      <c r="F2747" s="1">
        <v>2829.0766208251398</v>
      </c>
      <c r="G2747" s="1">
        <v>4</v>
      </c>
      <c r="H2747" s="1">
        <v>2</v>
      </c>
      <c r="I2747" s="1">
        <v>3</v>
      </c>
      <c r="J2747" s="1">
        <v>2.5</v>
      </c>
      <c r="K2747" s="1">
        <v>2</v>
      </c>
      <c r="L2747" s="1">
        <v>1</v>
      </c>
      <c r="M2747" s="4">
        <v>2036</v>
      </c>
      <c r="N2747" s="1">
        <v>3150</v>
      </c>
      <c r="O2747" s="1">
        <v>6624</v>
      </c>
      <c r="P2747" s="1">
        <v>3474</v>
      </c>
      <c r="S2747" s="1" t="s">
        <v>42</v>
      </c>
      <c r="T2747" s="1" t="s">
        <v>273</v>
      </c>
      <c r="U2747" s="1">
        <v>143</v>
      </c>
      <c r="V2747" s="5">
        <v>44414</v>
      </c>
      <c r="W2747" s="5">
        <v>43563</v>
      </c>
      <c r="X2747" s="1">
        <v>5760000</v>
      </c>
      <c r="Y2747" s="1">
        <v>5760000</v>
      </c>
      <c r="Z2747" s="5">
        <v>43706</v>
      </c>
      <c r="AA2747" s="1">
        <v>5760000</v>
      </c>
      <c r="AB2747" s="1" t="s">
        <v>275</v>
      </c>
      <c r="AC2747" s="5">
        <v>44411</v>
      </c>
      <c r="AF2747" s="1">
        <v>10013</v>
      </c>
      <c r="AI2747" s="1" t="s">
        <v>48</v>
      </c>
      <c r="AJ2747" s="1">
        <v>2019</v>
      </c>
      <c r="AK2747" s="1" t="s">
        <v>46</v>
      </c>
      <c r="AL2747" s="1">
        <v>115</v>
      </c>
    </row>
    <row r="2748" spans="1:38" x14ac:dyDescent="0.2">
      <c r="A2748" s="2" t="str">
        <f>HYPERLINK("https://www.compass.com/listing/77-charlton-street-unit-n8e-manhattan-ny-10014/333259664854390913/","77 Charlton St, Unit N8E")</f>
        <v>77 Charlton St, Unit N8E</v>
      </c>
      <c r="B2748" s="2" t="str">
        <f t="shared" ref="B2748:B2749" si="457">HYPERLINK("https://www.compass.com/building/77-charlton-st-manhattan-ny-10014/282058735872933093/","77 Charlton St")</f>
        <v>77 Charlton St</v>
      </c>
      <c r="C2748" s="1" t="s">
        <v>53</v>
      </c>
      <c r="D2748" s="1" t="s">
        <v>41</v>
      </c>
      <c r="E2748" s="3">
        <v>998000</v>
      </c>
      <c r="F2748" s="1">
        <v>1744.75524475524</v>
      </c>
      <c r="G2748" s="1">
        <v>2</v>
      </c>
      <c r="H2748" s="1" t="s">
        <v>99</v>
      </c>
      <c r="I2748" s="1">
        <v>1</v>
      </c>
      <c r="J2748" s="1">
        <v>1</v>
      </c>
      <c r="K2748" s="1">
        <v>1</v>
      </c>
      <c r="M2748" s="1">
        <v>572</v>
      </c>
      <c r="N2748" s="1">
        <v>677</v>
      </c>
      <c r="O2748" s="1">
        <v>1645</v>
      </c>
      <c r="P2748" s="1">
        <v>968</v>
      </c>
      <c r="Q2748" s="1" t="s">
        <v>42</v>
      </c>
      <c r="S2748" s="1" t="s">
        <v>42</v>
      </c>
      <c r="T2748" s="1" t="s">
        <v>273</v>
      </c>
      <c r="V2748" s="5">
        <v>44373</v>
      </c>
      <c r="W2748" s="5">
        <v>43712</v>
      </c>
      <c r="X2748" s="1">
        <v>1070000</v>
      </c>
      <c r="Y2748" s="1">
        <v>1070000</v>
      </c>
      <c r="Z2748" s="5">
        <v>43712</v>
      </c>
      <c r="AA2748" s="1">
        <v>998000</v>
      </c>
      <c r="AB2748" s="1" t="s">
        <v>1663</v>
      </c>
      <c r="AC2748" s="5">
        <v>44330</v>
      </c>
      <c r="AF2748" s="1">
        <v>10014</v>
      </c>
      <c r="AI2748" s="1" t="s">
        <v>238</v>
      </c>
      <c r="AJ2748" s="1">
        <v>2019</v>
      </c>
      <c r="AK2748" s="1" t="s">
        <v>46</v>
      </c>
      <c r="AL2748" s="1">
        <v>161</v>
      </c>
    </row>
    <row r="2749" spans="1:38" x14ac:dyDescent="0.2">
      <c r="A2749" s="2" t="str">
        <f>HYPERLINK("https://www.compass.com/listing/77-charlton-street-unit-s5e-manhattan-ny-10014/333259665181477873/","77 Charlton St, Unit S5E")</f>
        <v>77 Charlton St, Unit S5E</v>
      </c>
      <c r="B2749" s="2" t="str">
        <f t="shared" si="457"/>
        <v>77 Charlton St</v>
      </c>
      <c r="C2749" s="1" t="s">
        <v>53</v>
      </c>
      <c r="D2749" s="1" t="s">
        <v>41</v>
      </c>
      <c r="E2749" s="3">
        <v>982000</v>
      </c>
      <c r="F2749" s="1">
        <v>1722.80701754385</v>
      </c>
      <c r="G2749" s="1">
        <v>2</v>
      </c>
      <c r="H2749" s="1" t="s">
        <v>99</v>
      </c>
      <c r="I2749" s="1">
        <v>1</v>
      </c>
      <c r="J2749" s="1">
        <v>1</v>
      </c>
      <c r="K2749" s="1">
        <v>1</v>
      </c>
      <c r="M2749" s="1">
        <v>570</v>
      </c>
      <c r="N2749" s="1">
        <v>658</v>
      </c>
      <c r="O2749" s="1">
        <v>1598</v>
      </c>
      <c r="P2749" s="1">
        <v>940</v>
      </c>
      <c r="Q2749" s="1" t="s">
        <v>42</v>
      </c>
      <c r="S2749" s="1" t="s">
        <v>42</v>
      </c>
      <c r="T2749" s="1" t="s">
        <v>273</v>
      </c>
      <c r="V2749" s="5">
        <v>44404</v>
      </c>
      <c r="W2749" s="5">
        <v>43712</v>
      </c>
      <c r="X2749" s="1">
        <v>1025000</v>
      </c>
      <c r="Y2749" s="1">
        <v>1025000</v>
      </c>
      <c r="Z2749" s="5">
        <v>43712</v>
      </c>
      <c r="AA2749" s="1">
        <v>982000</v>
      </c>
      <c r="AB2749" s="1" t="s">
        <v>1664</v>
      </c>
      <c r="AC2749" s="5">
        <v>44341</v>
      </c>
      <c r="AF2749" s="1">
        <v>10014</v>
      </c>
      <c r="AI2749" s="1" t="s">
        <v>238</v>
      </c>
      <c r="AJ2749" s="1">
        <v>2019</v>
      </c>
      <c r="AK2749" s="1" t="s">
        <v>46</v>
      </c>
      <c r="AL2749" s="1">
        <v>161</v>
      </c>
    </row>
    <row r="2750" spans="1:38" x14ac:dyDescent="0.2">
      <c r="A2750" s="2" t="str">
        <f>HYPERLINK("https://www.compass.com/listing/261-west-25th-street-unit-7d-manhattan-ny-10001/29372529122514657/","261 W 25th St, Unit 7D")</f>
        <v>261 W 25th St, Unit 7D</v>
      </c>
      <c r="B2750" s="2" t="str">
        <f>HYPERLINK("https://www.compass.com/building/the-seymour-manhattan-ny/281883155990840165/","The Seymour")</f>
        <v>The Seymour</v>
      </c>
      <c r="C2750" s="1" t="s">
        <v>62</v>
      </c>
      <c r="D2750" s="1" t="s">
        <v>41</v>
      </c>
      <c r="E2750" s="3">
        <v>3904989</v>
      </c>
      <c r="F2750" s="1">
        <v>2111.94645754461</v>
      </c>
      <c r="G2750" s="1">
        <v>5</v>
      </c>
      <c r="H2750" s="1">
        <v>3</v>
      </c>
      <c r="I2750" s="1">
        <v>3</v>
      </c>
      <c r="J2750" s="1">
        <v>3</v>
      </c>
      <c r="M2750" s="4">
        <v>1849</v>
      </c>
      <c r="N2750" s="1">
        <v>2145</v>
      </c>
      <c r="O2750" s="1">
        <v>4494</v>
      </c>
      <c r="P2750" s="1">
        <v>2349</v>
      </c>
      <c r="Q2750" s="1" t="s">
        <v>42</v>
      </c>
      <c r="S2750" s="1" t="s">
        <v>42</v>
      </c>
      <c r="T2750" s="1" t="s">
        <v>273</v>
      </c>
      <c r="U2750" s="1">
        <v>104</v>
      </c>
      <c r="V2750" s="5">
        <v>43654</v>
      </c>
      <c r="W2750" s="5">
        <v>41907</v>
      </c>
      <c r="X2750" s="1">
        <v>3835000</v>
      </c>
      <c r="Y2750" s="1">
        <v>3835000</v>
      </c>
      <c r="Z2750" s="5">
        <v>42011</v>
      </c>
      <c r="AA2750" s="1">
        <v>3904989</v>
      </c>
      <c r="AB2750" s="1" t="s">
        <v>1665</v>
      </c>
      <c r="AC2750" s="5">
        <v>42440</v>
      </c>
      <c r="AF2750" s="1">
        <v>10001</v>
      </c>
      <c r="AI2750" s="1" t="s">
        <v>185</v>
      </c>
      <c r="AJ2750" s="1">
        <v>2015</v>
      </c>
      <c r="AK2750" s="1" t="s">
        <v>49</v>
      </c>
      <c r="AL2750" s="1">
        <v>49</v>
      </c>
    </row>
    <row r="2751" spans="1:38" x14ac:dyDescent="0.2">
      <c r="A2751" s="2" t="str">
        <f>HYPERLINK("https://www.compass.com/listing/391-broadway-unit-lofta-manhattan-ny-10013/657717066523890401/","391 Broadway, Unit LOFTA")</f>
        <v>391 Broadway, Unit LOFTA</v>
      </c>
      <c r="B2751" s="2" t="str">
        <f>HYPERLINK("https://www.compass.com/building/391-broadway-manhattan-ny-10013/281919434489105749/","391 Broadway")</f>
        <v>391 Broadway</v>
      </c>
      <c r="C2751" s="1" t="s">
        <v>50</v>
      </c>
      <c r="D2751" s="1" t="s">
        <v>41</v>
      </c>
      <c r="E2751" s="3">
        <v>4300000</v>
      </c>
      <c r="F2751" s="1">
        <v>1442.4689701442401</v>
      </c>
      <c r="H2751" s="1">
        <v>4</v>
      </c>
      <c r="J2751" s="1">
        <v>4.5</v>
      </c>
      <c r="K2751" s="1">
        <v>4</v>
      </c>
      <c r="L2751" s="1">
        <v>1</v>
      </c>
      <c r="M2751" s="4">
        <v>2981</v>
      </c>
      <c r="N2751" s="1">
        <v>2458</v>
      </c>
      <c r="O2751" s="1">
        <v>7154</v>
      </c>
      <c r="P2751" s="1">
        <v>4696</v>
      </c>
      <c r="Q2751" s="1" t="s">
        <v>42</v>
      </c>
      <c r="S2751" s="1" t="s">
        <v>42</v>
      </c>
      <c r="T2751" s="1" t="s">
        <v>273</v>
      </c>
      <c r="AA2751" s="1">
        <v>4300000</v>
      </c>
      <c r="AB2751" s="1" t="s">
        <v>1666</v>
      </c>
      <c r="AC2751" s="5">
        <v>44125</v>
      </c>
      <c r="AF2751" s="1">
        <v>10013</v>
      </c>
      <c r="AI2751" s="1" t="s">
        <v>177</v>
      </c>
      <c r="AJ2751" s="1">
        <v>1915</v>
      </c>
      <c r="AL2751" s="1">
        <v>4</v>
      </c>
    </row>
    <row r="2752" spans="1:38" x14ac:dyDescent="0.2">
      <c r="A2752" s="2" t="str">
        <f>HYPERLINK("https://www.compass.com/listing/15-hudson-yards-unit-25e-manhattan-ny-10001/207120602950009313/","15 Hudson Yards, Unit 25E")</f>
        <v>15 Hudson Yards, Unit 25E</v>
      </c>
      <c r="B2752" s="2" t="str">
        <f t="shared" ref="B2752:B2756" si="458">HYPERLINK("https://www.compass.com/building/fifteen-hudson-yards-manhattan-ny/282058587512011909/","Fifteen Hudson Yards")</f>
        <v>Fifteen Hudson Yards</v>
      </c>
      <c r="C2752" s="1" t="s">
        <v>77</v>
      </c>
      <c r="D2752" s="1" t="s">
        <v>41</v>
      </c>
      <c r="E2752" s="3">
        <v>2265000</v>
      </c>
      <c r="F2752" s="1">
        <v>2285.5701311806201</v>
      </c>
      <c r="G2752" s="1">
        <v>3</v>
      </c>
      <c r="H2752" s="1">
        <v>1</v>
      </c>
      <c r="I2752" s="1">
        <v>2</v>
      </c>
      <c r="J2752" s="1">
        <v>1.5</v>
      </c>
      <c r="K2752" s="1">
        <v>1</v>
      </c>
      <c r="L2752" s="1">
        <v>1</v>
      </c>
      <c r="M2752" s="1">
        <v>991</v>
      </c>
      <c r="N2752" s="1">
        <v>2138</v>
      </c>
      <c r="O2752" s="1">
        <v>2168</v>
      </c>
      <c r="P2752" s="1">
        <v>30</v>
      </c>
      <c r="Q2752" s="1" t="s">
        <v>42</v>
      </c>
      <c r="S2752" s="1" t="s">
        <v>42</v>
      </c>
      <c r="T2752" s="1" t="s">
        <v>273</v>
      </c>
      <c r="U2752" s="1">
        <v>875</v>
      </c>
      <c r="V2752" s="5">
        <v>43538</v>
      </c>
      <c r="W2752" s="5">
        <v>42660</v>
      </c>
      <c r="X2752" s="1">
        <v>2265000</v>
      </c>
      <c r="Y2752" s="1">
        <v>2265000</v>
      </c>
      <c r="AA2752" s="1">
        <v>2265000</v>
      </c>
      <c r="AB2752" s="1" t="s">
        <v>275</v>
      </c>
      <c r="AC2752" s="5">
        <v>43535</v>
      </c>
      <c r="AF2752" s="1">
        <v>10001</v>
      </c>
      <c r="AJ2752" s="1">
        <v>2018</v>
      </c>
      <c r="AK2752" s="1" t="s">
        <v>46</v>
      </c>
      <c r="AL2752" s="1">
        <v>285</v>
      </c>
    </row>
    <row r="2753" spans="1:38" x14ac:dyDescent="0.2">
      <c r="A2753" s="2" t="str">
        <f>HYPERLINK("https://www.compass.com/listing/15-hudson-yards-unit-26e-manhattan-ny-10001/207137206052063393/","15 Hudson Yards, Unit 26E")</f>
        <v>15 Hudson Yards, Unit 26E</v>
      </c>
      <c r="B2753" s="2" t="str">
        <f t="shared" si="458"/>
        <v>Fifteen Hudson Yards</v>
      </c>
      <c r="C2753" s="1" t="s">
        <v>77</v>
      </c>
      <c r="D2753" s="1" t="s">
        <v>41</v>
      </c>
      <c r="E2753" s="3">
        <v>2463097</v>
      </c>
      <c r="F2753" s="1">
        <v>2485.46619576185</v>
      </c>
      <c r="G2753" s="1">
        <v>3</v>
      </c>
      <c r="H2753" s="1">
        <v>1</v>
      </c>
      <c r="I2753" s="1">
        <v>2</v>
      </c>
      <c r="J2753" s="1">
        <v>1.5</v>
      </c>
      <c r="K2753" s="1">
        <v>1</v>
      </c>
      <c r="L2753" s="1">
        <v>1</v>
      </c>
      <c r="M2753" s="1">
        <v>991</v>
      </c>
      <c r="N2753" s="1">
        <v>2149</v>
      </c>
      <c r="O2753" s="1">
        <v>2179</v>
      </c>
      <c r="P2753" s="1">
        <v>30</v>
      </c>
      <c r="Q2753" s="1" t="s">
        <v>42</v>
      </c>
      <c r="S2753" s="1" t="s">
        <v>42</v>
      </c>
      <c r="T2753" s="1" t="s">
        <v>273</v>
      </c>
      <c r="U2753" s="1">
        <v>719</v>
      </c>
      <c r="V2753" s="5">
        <v>43579</v>
      </c>
      <c r="W2753" s="5">
        <v>42816</v>
      </c>
      <c r="AA2753" s="1">
        <v>2463097</v>
      </c>
      <c r="AB2753" s="1" t="s">
        <v>275</v>
      </c>
      <c r="AC2753" s="5">
        <v>43535</v>
      </c>
      <c r="AF2753" s="1">
        <v>10001</v>
      </c>
      <c r="AJ2753" s="1">
        <v>2018</v>
      </c>
      <c r="AK2753" s="1" t="s">
        <v>46</v>
      </c>
      <c r="AL2753" s="1">
        <v>285</v>
      </c>
    </row>
    <row r="2754" spans="1:38" x14ac:dyDescent="0.2">
      <c r="A2754" s="2" t="str">
        <f>HYPERLINK("https://www.compass.com/listing/15-hudson-yards-unit-70c-manhattan-ny-10001/360752281944679473/","15 Hudson Yards, Unit 70C")</f>
        <v>15 Hudson Yards, Unit 70C</v>
      </c>
      <c r="B2754" s="2" t="str">
        <f t="shared" si="458"/>
        <v>Fifteen Hudson Yards</v>
      </c>
      <c r="C2754" s="1" t="s">
        <v>77</v>
      </c>
      <c r="D2754" s="1" t="s">
        <v>41</v>
      </c>
      <c r="E2754" s="3">
        <v>2675000</v>
      </c>
      <c r="F2754" s="1">
        <v>2288.2805816937498</v>
      </c>
      <c r="G2754" s="1">
        <v>3.5</v>
      </c>
      <c r="H2754" s="1">
        <v>1</v>
      </c>
      <c r="I2754" s="1">
        <v>2</v>
      </c>
      <c r="J2754" s="1">
        <v>1.5</v>
      </c>
      <c r="K2754" s="1">
        <v>1</v>
      </c>
      <c r="L2754" s="1">
        <v>1</v>
      </c>
      <c r="M2754" s="4">
        <v>1169</v>
      </c>
      <c r="N2754" s="1">
        <v>2796</v>
      </c>
      <c r="O2754" s="1">
        <v>2832</v>
      </c>
      <c r="P2754" s="1">
        <v>36</v>
      </c>
      <c r="Q2754" s="1" t="s">
        <v>42</v>
      </c>
      <c r="S2754" s="1" t="s">
        <v>42</v>
      </c>
      <c r="T2754" s="1" t="s">
        <v>273</v>
      </c>
      <c r="U2754" s="1">
        <v>329</v>
      </c>
      <c r="V2754" s="5">
        <v>44201</v>
      </c>
      <c r="W2754" s="5">
        <v>43749</v>
      </c>
      <c r="X2754" s="1">
        <v>3375000</v>
      </c>
      <c r="Y2754" s="1">
        <v>2950000</v>
      </c>
      <c r="Z2754" s="5">
        <v>44173</v>
      </c>
      <c r="AA2754" s="1">
        <v>2675000</v>
      </c>
      <c r="AB2754" s="1" t="s">
        <v>275</v>
      </c>
      <c r="AC2754" s="5">
        <v>44187</v>
      </c>
      <c r="AF2754" s="1">
        <v>10001</v>
      </c>
      <c r="AI2754" s="1" t="s">
        <v>177</v>
      </c>
      <c r="AJ2754" s="1">
        <v>2018</v>
      </c>
      <c r="AK2754" s="1" t="s">
        <v>46</v>
      </c>
      <c r="AL2754" s="1">
        <v>285</v>
      </c>
    </row>
    <row r="2755" spans="1:38" x14ac:dyDescent="0.2">
      <c r="A2755" s="2" t="str">
        <f>HYPERLINK("https://www.compass.com/listing/15-hudson-yards-unit-24f-manhattan-ny-10001/380390071890175585/","15 Hudson Yards, Unit 24F")</f>
        <v>15 Hudson Yards, Unit 24F</v>
      </c>
      <c r="B2755" s="2" t="str">
        <f t="shared" si="458"/>
        <v>Fifteen Hudson Yards</v>
      </c>
      <c r="C2755" s="1" t="s">
        <v>77</v>
      </c>
      <c r="D2755" s="1" t="s">
        <v>41</v>
      </c>
      <c r="E2755" s="3">
        <v>2345000</v>
      </c>
      <c r="F2755" s="1">
        <v>2246.1685823754701</v>
      </c>
      <c r="G2755" s="1">
        <v>3</v>
      </c>
      <c r="H2755" s="1">
        <v>1</v>
      </c>
      <c r="I2755" s="1">
        <v>1</v>
      </c>
      <c r="J2755" s="1">
        <v>1</v>
      </c>
      <c r="K2755" s="1">
        <v>1</v>
      </c>
      <c r="M2755" s="4">
        <v>1044</v>
      </c>
      <c r="N2755" s="1">
        <v>2217</v>
      </c>
      <c r="O2755" s="1">
        <v>2248</v>
      </c>
      <c r="P2755" s="1">
        <v>31</v>
      </c>
      <c r="Q2755" s="1" t="s">
        <v>42</v>
      </c>
      <c r="S2755" s="1" t="s">
        <v>42</v>
      </c>
      <c r="T2755" s="1" t="s">
        <v>273</v>
      </c>
      <c r="U2755" s="1">
        <v>610</v>
      </c>
      <c r="V2755" s="5">
        <v>43777</v>
      </c>
      <c r="W2755" s="5">
        <v>43165</v>
      </c>
      <c r="AA2755" s="1">
        <v>2345000</v>
      </c>
      <c r="AB2755" s="1" t="s">
        <v>275</v>
      </c>
      <c r="AC2755" s="5">
        <v>43775</v>
      </c>
      <c r="AF2755" s="1">
        <v>10001</v>
      </c>
      <c r="AJ2755" s="1">
        <v>2018</v>
      </c>
      <c r="AK2755" s="1" t="s">
        <v>49</v>
      </c>
      <c r="AL2755" s="1">
        <v>285</v>
      </c>
    </row>
    <row r="2756" spans="1:38" x14ac:dyDescent="0.2">
      <c r="A2756" s="2" t="str">
        <f>HYPERLINK("https://www.compass.com/listing/15-hudson-yards-unit-25b-manhattan-ny-10001/403524872184744113/","15 Hudson Yards, Unit 25B")</f>
        <v>15 Hudson Yards, Unit 25B</v>
      </c>
      <c r="B2756" s="2" t="str">
        <f t="shared" si="458"/>
        <v>Fifteen Hudson Yards</v>
      </c>
      <c r="C2756" s="1" t="s">
        <v>77</v>
      </c>
      <c r="D2756" s="1" t="s">
        <v>41</v>
      </c>
      <c r="E2756" s="3">
        <v>1945000</v>
      </c>
      <c r="F2756" s="1">
        <v>2285.54641598119</v>
      </c>
      <c r="G2756" s="1">
        <v>3</v>
      </c>
      <c r="H2756" s="1">
        <v>1</v>
      </c>
      <c r="I2756" s="1">
        <v>1</v>
      </c>
      <c r="J2756" s="1">
        <v>1</v>
      </c>
      <c r="K2756" s="1">
        <v>1</v>
      </c>
      <c r="M2756" s="1">
        <v>851</v>
      </c>
      <c r="N2756" s="1">
        <v>1850</v>
      </c>
      <c r="O2756" s="1">
        <v>1876</v>
      </c>
      <c r="P2756" s="1">
        <v>26</v>
      </c>
      <c r="Q2756" s="1" t="s">
        <v>42</v>
      </c>
      <c r="S2756" s="1" t="s">
        <v>42</v>
      </c>
      <c r="T2756" s="1" t="s">
        <v>273</v>
      </c>
      <c r="U2756" s="1">
        <v>1127</v>
      </c>
      <c r="V2756" s="5">
        <v>43809</v>
      </c>
      <c r="W2756" s="5">
        <v>42678</v>
      </c>
      <c r="AA2756" s="1">
        <v>1945000</v>
      </c>
      <c r="AB2756" s="1" t="s">
        <v>275</v>
      </c>
      <c r="AC2756" s="5">
        <v>43805</v>
      </c>
      <c r="AF2756" s="1">
        <v>10001</v>
      </c>
      <c r="AJ2756" s="1">
        <v>2018</v>
      </c>
      <c r="AK2756" s="1" t="s">
        <v>46</v>
      </c>
      <c r="AL2756" s="1">
        <v>285</v>
      </c>
    </row>
    <row r="2757" spans="1:38" x14ac:dyDescent="0.2">
      <c r="A2757" s="2" t="str">
        <f>HYPERLINK("https://www.compass.com/listing/565-broome-street-unit-n6e-manhattan-ny-10013/29514989714853745/","565 Broome St, Unit N6E")</f>
        <v>565 Broome St, Unit N6E</v>
      </c>
      <c r="B2757" s="2" t="str">
        <f>HYPERLINK("https://www.compass.com/building/565-broome-soho-manhattan-ny/292813251698267109/","565 Broome Soho")</f>
        <v>565 Broome Soho</v>
      </c>
      <c r="C2757" s="1" t="s">
        <v>53</v>
      </c>
      <c r="D2757" s="1" t="s">
        <v>41</v>
      </c>
      <c r="E2757" s="3">
        <v>1532528</v>
      </c>
      <c r="F2757" s="1">
        <v>2167.6493493634998</v>
      </c>
      <c r="G2757" s="1">
        <v>3</v>
      </c>
      <c r="H2757" s="1">
        <v>1</v>
      </c>
      <c r="I2757" s="1">
        <v>1</v>
      </c>
      <c r="J2757" s="1">
        <v>1</v>
      </c>
      <c r="K2757" s="1">
        <v>1</v>
      </c>
      <c r="M2757" s="1">
        <v>707</v>
      </c>
      <c r="N2757" s="1">
        <v>1027</v>
      </c>
      <c r="O2757" s="1">
        <v>2160</v>
      </c>
      <c r="P2757" s="1">
        <v>1133</v>
      </c>
      <c r="Q2757" s="1" t="s">
        <v>42</v>
      </c>
      <c r="S2757" s="1" t="s">
        <v>42</v>
      </c>
      <c r="T2757" s="1" t="s">
        <v>273</v>
      </c>
      <c r="U2757" s="1">
        <v>101</v>
      </c>
      <c r="V2757" s="5">
        <v>44331</v>
      </c>
      <c r="W2757" s="5">
        <v>42612</v>
      </c>
      <c r="X2757" s="1">
        <v>1625000</v>
      </c>
      <c r="Y2757" s="1">
        <v>1625000</v>
      </c>
      <c r="Z2757" s="5">
        <v>42714</v>
      </c>
      <c r="AA2757" s="1">
        <v>1532528.09</v>
      </c>
      <c r="AB2757" s="1" t="s">
        <v>1667</v>
      </c>
      <c r="AC2757" s="5">
        <v>43587</v>
      </c>
      <c r="AF2757" s="1">
        <v>10013</v>
      </c>
      <c r="AI2757" s="1" t="s">
        <v>48</v>
      </c>
      <c r="AJ2757" s="1">
        <v>2019</v>
      </c>
      <c r="AK2757" s="1" t="s">
        <v>46</v>
      </c>
      <c r="AL2757" s="1">
        <v>115</v>
      </c>
    </row>
    <row r="2758" spans="1:38" x14ac:dyDescent="0.2">
      <c r="A2758" s="2" t="str">
        <f>HYPERLINK("https://www.compass.com/listing/235-west-75th-street-unit-204-manhattan-ny-10023/29395881413388785/","235 W 75th St, Unit 204")</f>
        <v>235 W 75th St, Unit 204</v>
      </c>
      <c r="B2758" s="2" t="str">
        <f t="shared" ref="B2758:B2759" si="459">HYPERLINK("https://www.compass.com/building/the-astor-manhattan-ny/281958704155269925/","The Astor")</f>
        <v>The Astor</v>
      </c>
      <c r="C2758" s="1" t="s">
        <v>57</v>
      </c>
      <c r="D2758" s="1" t="s">
        <v>41</v>
      </c>
      <c r="E2758" s="3">
        <v>2342471</v>
      </c>
      <c r="F2758" s="1">
        <v>1726.2129697862899</v>
      </c>
      <c r="G2758" s="1">
        <v>3</v>
      </c>
      <c r="H2758" s="1">
        <v>2</v>
      </c>
      <c r="I2758" s="1">
        <v>2</v>
      </c>
      <c r="J2758" s="1">
        <v>2.5</v>
      </c>
      <c r="K2758" s="1">
        <v>2</v>
      </c>
      <c r="L2758" s="1">
        <v>1</v>
      </c>
      <c r="M2758" s="4">
        <v>1357</v>
      </c>
      <c r="N2758" s="1">
        <v>1729</v>
      </c>
      <c r="O2758" s="1">
        <v>3610</v>
      </c>
      <c r="P2758" s="1">
        <v>1881</v>
      </c>
      <c r="Q2758" s="1" t="s">
        <v>42</v>
      </c>
      <c r="S2758" s="1" t="s">
        <v>42</v>
      </c>
      <c r="T2758" s="1" t="s">
        <v>273</v>
      </c>
      <c r="V2758" s="5">
        <v>43663</v>
      </c>
      <c r="W2758" s="5">
        <v>42496</v>
      </c>
      <c r="X2758" s="1">
        <v>2400000</v>
      </c>
      <c r="Y2758" s="1">
        <v>2400000</v>
      </c>
      <c r="Z2758" s="5">
        <v>42496</v>
      </c>
      <c r="AA2758" s="1">
        <v>2342471</v>
      </c>
      <c r="AB2758" s="1" t="s">
        <v>1668</v>
      </c>
      <c r="AC2758" s="5">
        <v>42913</v>
      </c>
      <c r="AF2758" s="1">
        <v>10023</v>
      </c>
      <c r="AJ2758" s="1">
        <v>2018</v>
      </c>
      <c r="AK2758" s="1" t="s">
        <v>46</v>
      </c>
      <c r="AL2758" s="1">
        <v>98</v>
      </c>
    </row>
    <row r="2759" spans="1:38" x14ac:dyDescent="0.2">
      <c r="A2759" s="2" t="str">
        <f>HYPERLINK("https://www.compass.com/listing/235-west-75th-street-unit-1123-manhattan-ny-10023/29395880658434897/","235 W 75th St, Unit 1123")</f>
        <v>235 W 75th St, Unit 1123</v>
      </c>
      <c r="B2759" s="2" t="str">
        <f t="shared" si="459"/>
        <v>The Astor</v>
      </c>
      <c r="C2759" s="1" t="s">
        <v>57</v>
      </c>
      <c r="D2759" s="1" t="s">
        <v>41</v>
      </c>
      <c r="E2759" s="3">
        <v>5993560</v>
      </c>
      <c r="F2759" s="1">
        <v>2902.4503631961202</v>
      </c>
      <c r="G2759" s="1">
        <v>4</v>
      </c>
      <c r="H2759" s="1">
        <v>3</v>
      </c>
      <c r="I2759" s="1">
        <v>3</v>
      </c>
      <c r="J2759" s="1">
        <v>3</v>
      </c>
      <c r="K2759" s="1">
        <v>3</v>
      </c>
      <c r="M2759" s="4">
        <v>2065</v>
      </c>
      <c r="N2759" s="1">
        <v>2752</v>
      </c>
      <c r="O2759" s="1">
        <v>5747</v>
      </c>
      <c r="P2759" s="1">
        <v>2995</v>
      </c>
      <c r="Q2759" s="1" t="s">
        <v>42</v>
      </c>
      <c r="S2759" s="1" t="s">
        <v>42</v>
      </c>
      <c r="T2759" s="1" t="s">
        <v>273</v>
      </c>
      <c r="U2759" s="1">
        <v>285</v>
      </c>
      <c r="V2759" s="5">
        <v>43663</v>
      </c>
      <c r="W2759" s="5">
        <v>42188</v>
      </c>
      <c r="X2759" s="1">
        <v>5989000</v>
      </c>
      <c r="Y2759" s="1">
        <v>5900000</v>
      </c>
      <c r="Z2759" s="5">
        <v>42473</v>
      </c>
      <c r="AA2759" s="1">
        <v>5993560</v>
      </c>
      <c r="AB2759" s="1" t="s">
        <v>1669</v>
      </c>
      <c r="AC2759" s="5">
        <v>42802</v>
      </c>
      <c r="AF2759" s="1">
        <v>10023</v>
      </c>
      <c r="AJ2759" s="1">
        <v>2018</v>
      </c>
      <c r="AK2759" s="1" t="s">
        <v>46</v>
      </c>
      <c r="AL2759" s="1">
        <v>98</v>
      </c>
    </row>
    <row r="2760" spans="1:38" x14ac:dyDescent="0.2">
      <c r="A2760" s="2" t="str">
        <f>HYPERLINK("https://www.compass.com/listing/570-broome-street-unit-20a-manhattan-ny-10013/803430635334954489/","570 Broome St, Unit 20A")</f>
        <v>570 Broome St, Unit 20A</v>
      </c>
      <c r="B2760" s="2" t="str">
        <f>HYPERLINK("https://www.compass.com/building/570-broome-manhattan-ny/292818583757562981/","570 Broome")</f>
        <v>570 Broome</v>
      </c>
      <c r="C2760" s="1" t="s">
        <v>53</v>
      </c>
      <c r="D2760" s="1" t="s">
        <v>41</v>
      </c>
      <c r="E2760" s="3">
        <v>3035000</v>
      </c>
      <c r="F2760" s="1">
        <v>2431.89102564102</v>
      </c>
      <c r="G2760" s="1">
        <v>4</v>
      </c>
      <c r="H2760" s="1">
        <v>2</v>
      </c>
      <c r="I2760" s="1">
        <v>3</v>
      </c>
      <c r="J2760" s="1">
        <v>2.5</v>
      </c>
      <c r="K2760" s="1">
        <v>2</v>
      </c>
      <c r="L2760" s="1">
        <v>1</v>
      </c>
      <c r="M2760" s="4">
        <v>1248</v>
      </c>
      <c r="N2760" s="1">
        <v>1327</v>
      </c>
      <c r="O2760" s="1">
        <v>3369</v>
      </c>
      <c r="P2760" s="1">
        <v>2042</v>
      </c>
      <c r="Q2760" s="1" t="s">
        <v>42</v>
      </c>
      <c r="S2760" s="1" t="s">
        <v>42</v>
      </c>
      <c r="T2760" s="1" t="s">
        <v>273</v>
      </c>
      <c r="V2760" s="5">
        <v>43678</v>
      </c>
      <c r="W2760" s="5">
        <v>43403</v>
      </c>
      <c r="X2760" s="1">
        <v>3385000</v>
      </c>
      <c r="Y2760" s="1">
        <v>3385000</v>
      </c>
      <c r="Z2760" s="5">
        <v>43403</v>
      </c>
      <c r="AA2760" s="1">
        <v>3035000</v>
      </c>
      <c r="AB2760" s="1" t="s">
        <v>327</v>
      </c>
      <c r="AC2760" s="5">
        <v>43795</v>
      </c>
      <c r="AF2760" s="1">
        <v>10013</v>
      </c>
      <c r="AI2760" s="1" t="s">
        <v>1612</v>
      </c>
      <c r="AJ2760" s="1">
        <v>2019</v>
      </c>
      <c r="AK2760" s="1" t="s">
        <v>108</v>
      </c>
      <c r="AL2760" s="1">
        <v>54</v>
      </c>
    </row>
    <row r="2761" spans="1:38" x14ac:dyDescent="0.2">
      <c r="A2761" s="2" t="str">
        <f>HYPERLINK("https://www.compass.com/listing/261-west-25th-street-unit-7d-manhattan-ny-10001/29372529114126033/","261 W 25th St, Unit 7D")</f>
        <v>261 W 25th St, Unit 7D</v>
      </c>
      <c r="B2761" s="2" t="str">
        <f>HYPERLINK("https://www.compass.com/building/the-seymour-manhattan-ny/281883155990840165/","The Seymour")</f>
        <v>The Seymour</v>
      </c>
      <c r="C2761" s="1" t="s">
        <v>62</v>
      </c>
      <c r="D2761" s="1" t="s">
        <v>41</v>
      </c>
      <c r="E2761" s="3">
        <v>3904988</v>
      </c>
      <c r="F2761" s="1">
        <v>2111.9459167117302</v>
      </c>
      <c r="G2761" s="1">
        <v>5</v>
      </c>
      <c r="H2761" s="1">
        <v>3</v>
      </c>
      <c r="I2761" s="1">
        <v>3</v>
      </c>
      <c r="M2761" s="4">
        <v>1849</v>
      </c>
      <c r="N2761" s="1">
        <v>2145</v>
      </c>
      <c r="O2761" s="1">
        <v>4494</v>
      </c>
      <c r="P2761" s="1">
        <v>2349</v>
      </c>
      <c r="Q2761" s="1" t="s">
        <v>42</v>
      </c>
      <c r="S2761" s="1" t="s">
        <v>42</v>
      </c>
      <c r="T2761" s="1" t="s">
        <v>273</v>
      </c>
      <c r="U2761" s="1">
        <v>104</v>
      </c>
      <c r="V2761" s="5">
        <v>43661</v>
      </c>
      <c r="W2761" s="5">
        <v>41907</v>
      </c>
      <c r="X2761" s="1">
        <v>3835000</v>
      </c>
      <c r="Y2761" s="1">
        <v>3835000</v>
      </c>
      <c r="Z2761" s="5">
        <v>42011</v>
      </c>
      <c r="AA2761" s="1">
        <v>3904988</v>
      </c>
      <c r="AB2761" s="1" t="s">
        <v>1665</v>
      </c>
      <c r="AC2761" s="5">
        <v>42440</v>
      </c>
      <c r="AF2761" s="1">
        <v>10001</v>
      </c>
      <c r="AI2761" s="1" t="s">
        <v>180</v>
      </c>
      <c r="AJ2761" s="1">
        <v>2015</v>
      </c>
      <c r="AK2761" s="1" t="s">
        <v>46</v>
      </c>
      <c r="AL2761" s="1">
        <v>49</v>
      </c>
    </row>
    <row r="2762" spans="1:38" x14ac:dyDescent="0.2">
      <c r="A2762" s="2" t="str">
        <f>HYPERLINK("https://www.compass.com/listing/565-broome-street-unit-n7d-manhattan-ny-10013/29514992105648113/","565 Broome St, Unit N7D")</f>
        <v>565 Broome St, Unit N7D</v>
      </c>
      <c r="B2762" s="2" t="str">
        <f>HYPERLINK("https://www.compass.com/building/565-broome-soho-manhattan-ny/292813251698267109/","565 Broome Soho")</f>
        <v>565 Broome Soho</v>
      </c>
      <c r="C2762" s="1" t="s">
        <v>53</v>
      </c>
      <c r="D2762" s="1" t="s">
        <v>41</v>
      </c>
      <c r="E2762" s="3">
        <v>2197536</v>
      </c>
      <c r="F2762" s="1">
        <v>2401.67826229508</v>
      </c>
      <c r="G2762" s="1">
        <v>3</v>
      </c>
      <c r="H2762" s="1">
        <v>1</v>
      </c>
      <c r="I2762" s="1">
        <v>2</v>
      </c>
      <c r="J2762" s="1">
        <v>1.5</v>
      </c>
      <c r="K2762" s="1">
        <v>1</v>
      </c>
      <c r="L2762" s="1">
        <v>1</v>
      </c>
      <c r="M2762" s="1">
        <v>915</v>
      </c>
      <c r="Q2762" s="1" t="s">
        <v>42</v>
      </c>
      <c r="S2762" s="1" t="s">
        <v>42</v>
      </c>
      <c r="T2762" s="1" t="s">
        <v>273</v>
      </c>
      <c r="U2762" s="1">
        <v>63</v>
      </c>
      <c r="V2762" s="5">
        <v>44331</v>
      </c>
      <c r="W2762" s="5">
        <v>42612</v>
      </c>
      <c r="X2762" s="1">
        <v>2145000</v>
      </c>
      <c r="Y2762" s="1">
        <v>2145000</v>
      </c>
      <c r="Z2762" s="5">
        <v>42676</v>
      </c>
      <c r="AA2762" s="1">
        <v>2197535.61</v>
      </c>
      <c r="AB2762" s="1" t="s">
        <v>1670</v>
      </c>
      <c r="AC2762" s="5">
        <v>43586</v>
      </c>
      <c r="AF2762" s="1">
        <v>10013</v>
      </c>
      <c r="AI2762" s="1" t="s">
        <v>242</v>
      </c>
      <c r="AJ2762" s="1">
        <v>2019</v>
      </c>
      <c r="AK2762" s="1" t="s">
        <v>46</v>
      </c>
      <c r="AL2762" s="1">
        <v>115</v>
      </c>
    </row>
    <row r="2763" spans="1:38" x14ac:dyDescent="0.2">
      <c r="A2763" s="2" t="str">
        <f>HYPERLINK("https://www.compass.com/listing/77-charlton-street-unit-n3e-manhattan-ny-10014/430423327329580929/","77 Charlton St, Unit N3E")</f>
        <v>77 Charlton St, Unit N3E</v>
      </c>
      <c r="B2763" s="2" t="str">
        <f>HYPERLINK("https://www.compass.com/building/77-charlton-st-manhattan-ny-10014/282058735872933093/","77 Charlton St")</f>
        <v>77 Charlton St</v>
      </c>
      <c r="C2763" s="1" t="s">
        <v>53</v>
      </c>
      <c r="D2763" s="1" t="s">
        <v>41</v>
      </c>
      <c r="E2763" s="3">
        <v>995849</v>
      </c>
      <c r="F2763" s="1">
        <v>1740.9938811188799</v>
      </c>
      <c r="G2763" s="1">
        <v>1</v>
      </c>
      <c r="H2763" s="1" t="s">
        <v>99</v>
      </c>
      <c r="I2763" s="1">
        <v>1</v>
      </c>
      <c r="J2763" s="1">
        <v>1</v>
      </c>
      <c r="K2763" s="1">
        <v>1</v>
      </c>
      <c r="M2763" s="1">
        <v>572</v>
      </c>
      <c r="N2763" s="1">
        <v>645</v>
      </c>
      <c r="O2763" s="1">
        <v>1567</v>
      </c>
      <c r="P2763" s="1">
        <v>922</v>
      </c>
      <c r="Q2763" s="1" t="s">
        <v>42</v>
      </c>
      <c r="S2763" s="1" t="s">
        <v>42</v>
      </c>
      <c r="T2763" s="1" t="s">
        <v>273</v>
      </c>
      <c r="V2763" s="5">
        <v>44404</v>
      </c>
      <c r="W2763" s="5">
        <v>43846</v>
      </c>
      <c r="X2763" s="1">
        <v>995000</v>
      </c>
      <c r="Y2763" s="1">
        <v>995000</v>
      </c>
      <c r="Z2763" s="5">
        <v>43846</v>
      </c>
      <c r="AA2763" s="1">
        <v>995848.5</v>
      </c>
      <c r="AB2763" s="1" t="s">
        <v>1671</v>
      </c>
      <c r="AC2763" s="5">
        <v>44336</v>
      </c>
      <c r="AF2763" s="1">
        <v>10014</v>
      </c>
      <c r="AI2763" s="1" t="s">
        <v>238</v>
      </c>
      <c r="AJ2763" s="1">
        <v>2019</v>
      </c>
      <c r="AK2763" s="1" t="s">
        <v>46</v>
      </c>
      <c r="AL2763" s="1">
        <v>161</v>
      </c>
    </row>
    <row r="2764" spans="1:38" x14ac:dyDescent="0.2">
      <c r="A2764" s="2" t="str">
        <f>HYPERLINK("https://www.compass.com/listing/108-leonard-street-unit-11n-manhattan-ny-10013/613179299754943313/","108 Leonard St, Unit 11N")</f>
        <v>108 Leonard St, Unit 11N</v>
      </c>
      <c r="B2764" s="2" t="str">
        <f t="shared" ref="B2764:B2765" si="460">HYPERLINK("https://www.compass.com/building/108-leonard-st-manhattan-ny-10013/307456049610778277/","108 Leonard St")</f>
        <v>108 Leonard St</v>
      </c>
      <c r="C2764" s="1" t="s">
        <v>113</v>
      </c>
      <c r="D2764" s="1" t="s">
        <v>41</v>
      </c>
      <c r="E2764" s="3">
        <v>6426357</v>
      </c>
      <c r="F2764" s="1">
        <v>2604.92796108633</v>
      </c>
      <c r="G2764" s="1">
        <v>9</v>
      </c>
      <c r="H2764" s="1">
        <v>4</v>
      </c>
      <c r="I2764" s="1">
        <v>4</v>
      </c>
      <c r="J2764" s="1">
        <v>4</v>
      </c>
      <c r="K2764" s="1">
        <v>4</v>
      </c>
      <c r="M2764" s="4">
        <v>2467</v>
      </c>
      <c r="N2764" s="1">
        <v>2924</v>
      </c>
      <c r="O2764" s="1">
        <v>6881</v>
      </c>
      <c r="P2764" s="1">
        <v>3957</v>
      </c>
      <c r="Q2764" s="1" t="s">
        <v>42</v>
      </c>
      <c r="S2764" s="1" t="s">
        <v>42</v>
      </c>
      <c r="T2764" s="1" t="s">
        <v>273</v>
      </c>
      <c r="U2764" s="1">
        <v>738</v>
      </c>
      <c r="V2764" s="5">
        <v>44089</v>
      </c>
      <c r="W2764" s="5">
        <v>43251</v>
      </c>
      <c r="AA2764" s="1">
        <v>6426357.2800000003</v>
      </c>
      <c r="AB2764" s="1" t="s">
        <v>1672</v>
      </c>
      <c r="AC2764" s="5">
        <v>44083</v>
      </c>
      <c r="AF2764" s="1">
        <v>10013</v>
      </c>
      <c r="AI2764" s="1" t="s">
        <v>78</v>
      </c>
      <c r="AJ2764" s="1">
        <v>1899</v>
      </c>
      <c r="AK2764" s="1" t="s">
        <v>239</v>
      </c>
      <c r="AL2764" s="1">
        <v>167</v>
      </c>
    </row>
    <row r="2765" spans="1:38" x14ac:dyDescent="0.2">
      <c r="A2765" s="2" t="str">
        <f>HYPERLINK("https://www.compass.com/listing/108-leonard-street-unit-8l-manhattan-ny-10013/345327392515628913/","108 Leonard St, Unit 8L")</f>
        <v>108 Leonard St, Unit 8L</v>
      </c>
      <c r="B2765" s="2" t="str">
        <f t="shared" si="460"/>
        <v>108 Leonard St</v>
      </c>
      <c r="C2765" s="1" t="s">
        <v>113</v>
      </c>
      <c r="D2765" s="1" t="s">
        <v>41</v>
      </c>
      <c r="E2765" s="3">
        <v>2896627</v>
      </c>
      <c r="F2765" s="1">
        <v>1959.8289512855199</v>
      </c>
      <c r="H2765" s="1">
        <v>2</v>
      </c>
      <c r="J2765" s="1">
        <v>2.5</v>
      </c>
      <c r="K2765" s="1">
        <v>2</v>
      </c>
      <c r="L2765" s="1">
        <v>1</v>
      </c>
      <c r="M2765" s="4">
        <v>1478</v>
      </c>
      <c r="N2765" s="1">
        <v>1752</v>
      </c>
      <c r="O2765" s="1">
        <v>3506</v>
      </c>
      <c r="P2765" s="1">
        <v>1754</v>
      </c>
      <c r="Q2765" s="1" t="s">
        <v>42</v>
      </c>
      <c r="S2765" s="1" t="s">
        <v>42</v>
      </c>
      <c r="T2765" s="1" t="s">
        <v>273</v>
      </c>
      <c r="AA2765" s="1">
        <v>2896627.19</v>
      </c>
      <c r="AB2765" s="1" t="s">
        <v>1673</v>
      </c>
      <c r="AC2765" s="5">
        <v>43717</v>
      </c>
      <c r="AF2765" s="1">
        <v>10013</v>
      </c>
      <c r="AI2765" s="1" t="s">
        <v>78</v>
      </c>
      <c r="AJ2765" s="1">
        <v>1899</v>
      </c>
      <c r="AK2765" s="1" t="s">
        <v>55</v>
      </c>
      <c r="AL2765" s="1">
        <v>167</v>
      </c>
    </row>
    <row r="2766" spans="1:38" x14ac:dyDescent="0.2">
      <c r="A2766" s="2" t="str">
        <f>HYPERLINK("https://www.compass.com/listing/565-broome-street-unit-s9a-manhattan-ny-10013/55775842764082433/","565 Broome St, Unit S9A")</f>
        <v>565 Broome St, Unit S9A</v>
      </c>
      <c r="B2766" s="2" t="str">
        <f>HYPERLINK("https://www.compass.com/building/565-broome-soho-manhattan-ny/292813251698267109/","565 Broome Soho")</f>
        <v>565 Broome Soho</v>
      </c>
      <c r="C2766" s="1" t="s">
        <v>53</v>
      </c>
      <c r="D2766" s="1" t="s">
        <v>41</v>
      </c>
      <c r="E2766" s="3">
        <v>2481737</v>
      </c>
      <c r="F2766" s="1">
        <v>2506.8055353535301</v>
      </c>
      <c r="G2766" s="1">
        <v>3</v>
      </c>
      <c r="H2766" s="1">
        <v>1</v>
      </c>
      <c r="I2766" s="1">
        <v>2</v>
      </c>
      <c r="J2766" s="1">
        <v>1.5</v>
      </c>
      <c r="K2766" s="1">
        <v>1</v>
      </c>
      <c r="L2766" s="1">
        <v>1</v>
      </c>
      <c r="M2766" s="1">
        <v>990</v>
      </c>
      <c r="N2766" s="1">
        <v>1460</v>
      </c>
      <c r="O2766" s="1">
        <v>3070</v>
      </c>
      <c r="P2766" s="1">
        <v>1610</v>
      </c>
      <c r="Q2766" s="1" t="s">
        <v>42</v>
      </c>
      <c r="S2766" s="1" t="s">
        <v>42</v>
      </c>
      <c r="T2766" s="1" t="s">
        <v>273</v>
      </c>
      <c r="U2766" s="1">
        <v>721</v>
      </c>
      <c r="V2766" s="5">
        <v>44337</v>
      </c>
      <c r="W2766" s="5">
        <v>42612</v>
      </c>
      <c r="X2766" s="1">
        <v>2445000</v>
      </c>
      <c r="Y2766" s="1">
        <v>2445000</v>
      </c>
      <c r="Z2766" s="5">
        <v>43333</v>
      </c>
      <c r="AA2766" s="1">
        <v>2481737.48</v>
      </c>
      <c r="AB2766" s="1" t="s">
        <v>1674</v>
      </c>
      <c r="AC2766" s="5">
        <v>43585</v>
      </c>
      <c r="AF2766" s="1">
        <v>10013</v>
      </c>
      <c r="AI2766" s="1" t="s">
        <v>48</v>
      </c>
      <c r="AJ2766" s="1">
        <v>2019</v>
      </c>
      <c r="AK2766" s="1" t="s">
        <v>46</v>
      </c>
      <c r="AL2766" s="1">
        <v>115</v>
      </c>
    </row>
    <row r="2767" spans="1:38" x14ac:dyDescent="0.2">
      <c r="A2767" s="2" t="str">
        <f>HYPERLINK("https://www.compass.com/listing/527-west-27th-street-unit-4d-manhattan-ny-10001/700031763146816497/","527 W 27th St, Unit 4D")</f>
        <v>527 W 27th St, Unit 4D</v>
      </c>
      <c r="B2767" s="2" t="str">
        <f t="shared" ref="B2767:B2768" si="461">HYPERLINK("https://www.compass.com/building/jardim-manhattan-ny/282062246220171157/","Jardim")</f>
        <v>Jardim</v>
      </c>
      <c r="C2767" s="1" t="s">
        <v>62</v>
      </c>
      <c r="D2767" s="1" t="s">
        <v>41</v>
      </c>
      <c r="E2767" s="3">
        <v>3500000</v>
      </c>
      <c r="F2767" s="1">
        <v>1802.2657054582901</v>
      </c>
      <c r="G2767" s="1">
        <v>6</v>
      </c>
      <c r="H2767" s="1">
        <v>3</v>
      </c>
      <c r="I2767" s="1">
        <v>4</v>
      </c>
      <c r="J2767" s="1">
        <v>3.5</v>
      </c>
      <c r="K2767" s="1">
        <v>3</v>
      </c>
      <c r="L2767" s="1">
        <v>1</v>
      </c>
      <c r="M2767" s="4">
        <v>1942</v>
      </c>
      <c r="N2767" s="1">
        <v>2125</v>
      </c>
      <c r="O2767" s="1">
        <v>5386</v>
      </c>
      <c r="P2767" s="1">
        <v>3261</v>
      </c>
      <c r="Q2767" s="1" t="s">
        <v>42</v>
      </c>
      <c r="S2767" s="1" t="s">
        <v>42</v>
      </c>
      <c r="T2767" s="1" t="s">
        <v>273</v>
      </c>
      <c r="U2767" s="1">
        <v>703</v>
      </c>
      <c r="V2767" s="5">
        <v>44314</v>
      </c>
      <c r="W2767" s="5">
        <v>43420</v>
      </c>
      <c r="X2767" s="1">
        <v>3900000</v>
      </c>
      <c r="Y2767" s="1">
        <v>3900000</v>
      </c>
      <c r="Z2767" s="5">
        <v>44218</v>
      </c>
      <c r="AA2767" s="1">
        <v>3500000</v>
      </c>
      <c r="AB2767" s="1" t="s">
        <v>1675</v>
      </c>
      <c r="AC2767" s="5">
        <v>44281</v>
      </c>
      <c r="AF2767" s="1">
        <v>10001</v>
      </c>
      <c r="AI2767" s="1" t="s">
        <v>178</v>
      </c>
      <c r="AJ2767" s="1">
        <v>2017</v>
      </c>
      <c r="AK2767" s="1" t="s">
        <v>49</v>
      </c>
      <c r="AL2767" s="1">
        <v>36</v>
      </c>
    </row>
    <row r="2768" spans="1:38" x14ac:dyDescent="0.2">
      <c r="A2768" s="2" t="str">
        <f>HYPERLINK("https://www.compass.com/listing/527-west-27th-street-unit-5c-manhattan-ny-10001/445628191210673577/","527 W 27th St, Unit 5C")</f>
        <v>527 W 27th St, Unit 5C</v>
      </c>
      <c r="B2768" s="2" t="str">
        <f t="shared" si="461"/>
        <v>Jardim</v>
      </c>
      <c r="C2768" s="1" t="s">
        <v>62</v>
      </c>
      <c r="D2768" s="1" t="s">
        <v>41</v>
      </c>
      <c r="E2768" s="3">
        <v>3089701</v>
      </c>
      <c r="F2768" s="1">
        <v>2162.14193142057</v>
      </c>
      <c r="G2768" s="1">
        <v>4.5</v>
      </c>
      <c r="H2768" s="1">
        <v>2</v>
      </c>
      <c r="I2768" s="1">
        <v>3</v>
      </c>
      <c r="J2768" s="1">
        <v>2.5</v>
      </c>
      <c r="K2768" s="1">
        <v>2</v>
      </c>
      <c r="L2768" s="1">
        <v>1</v>
      </c>
      <c r="M2768" s="4">
        <v>1429</v>
      </c>
      <c r="N2768" s="1">
        <v>1562</v>
      </c>
      <c r="O2768" s="1">
        <v>3413</v>
      </c>
      <c r="P2768" s="1">
        <v>1851</v>
      </c>
      <c r="Q2768" s="1" t="s">
        <v>42</v>
      </c>
      <c r="S2768" s="1" t="s">
        <v>42</v>
      </c>
      <c r="T2768" s="1" t="s">
        <v>273</v>
      </c>
      <c r="U2768" s="1">
        <v>1713</v>
      </c>
      <c r="V2768" s="5">
        <v>44341</v>
      </c>
      <c r="W2768" s="5">
        <v>42480</v>
      </c>
      <c r="AA2768" s="1">
        <v>3089700.82</v>
      </c>
      <c r="AB2768" s="1" t="s">
        <v>1676</v>
      </c>
      <c r="AC2768" s="5">
        <v>44287</v>
      </c>
      <c r="AF2768" s="1">
        <v>10001</v>
      </c>
      <c r="AI2768" s="1" t="s">
        <v>159</v>
      </c>
      <c r="AJ2768" s="1">
        <v>2017</v>
      </c>
      <c r="AK2768" s="1" t="s">
        <v>49</v>
      </c>
      <c r="AL2768" s="1">
        <v>36</v>
      </c>
    </row>
    <row r="2769" spans="1:38" x14ac:dyDescent="0.2">
      <c r="A2769" s="2" t="str">
        <f>HYPERLINK("https://www.compass.com/listing/1-west-end-avenue-unit-20c-manhattan-ny-10023/179911554005764513/","1 W End Ave, Unit 20C")</f>
        <v>1 W End Ave, Unit 20C</v>
      </c>
      <c r="B2769" s="2" t="str">
        <f>HYPERLINK("https://www.compass.com/building/1-w-end-ave-manhattan-ny-10023/455676159137755317/","1 W End Ave")</f>
        <v>1 W End Ave</v>
      </c>
      <c r="C2769" s="1" t="s">
        <v>57</v>
      </c>
      <c r="D2769" s="1" t="s">
        <v>41</v>
      </c>
      <c r="E2769" s="3">
        <v>1715000</v>
      </c>
      <c r="F2769" s="1">
        <v>2176.3959390862901</v>
      </c>
      <c r="G2769" s="1">
        <v>3</v>
      </c>
      <c r="H2769" s="1">
        <v>1</v>
      </c>
      <c r="I2769" s="1">
        <v>1</v>
      </c>
      <c r="J2769" s="1">
        <v>1</v>
      </c>
      <c r="M2769" s="1">
        <v>788</v>
      </c>
      <c r="N2769" s="1">
        <v>884</v>
      </c>
      <c r="O2769" s="1">
        <v>937</v>
      </c>
      <c r="P2769" s="1">
        <v>53</v>
      </c>
      <c r="S2769" s="1" t="s">
        <v>42</v>
      </c>
      <c r="T2769" s="1" t="s">
        <v>273</v>
      </c>
      <c r="V2769" s="5">
        <v>44247</v>
      </c>
      <c r="AA2769" s="1">
        <v>1715000</v>
      </c>
      <c r="AB2769" s="1" t="s">
        <v>275</v>
      </c>
      <c r="AC2769" s="5">
        <v>43496</v>
      </c>
      <c r="AF2769" s="1">
        <v>10023</v>
      </c>
      <c r="AI2769" s="1" t="s">
        <v>76</v>
      </c>
      <c r="AJ2769" s="1">
        <v>2017</v>
      </c>
      <c r="AK2769" s="1" t="s">
        <v>108</v>
      </c>
      <c r="AL2769" s="1">
        <v>246</v>
      </c>
    </row>
    <row r="2770" spans="1:38" x14ac:dyDescent="0.2">
      <c r="A2770" s="2" t="str">
        <f>HYPERLINK("https://www.compass.com/listing/261-west-25th-street-unit-pha-manhattan-ny-10001/29372535615294321/","261 W 25th St, Unit PHA")</f>
        <v>261 W 25th St, Unit PHA</v>
      </c>
      <c r="B2770" s="2" t="str">
        <f>HYPERLINK("https://www.compass.com/building/the-seymour-manhattan-ny/281883155990840165/","The Seymour")</f>
        <v>The Seymour</v>
      </c>
      <c r="C2770" s="1" t="s">
        <v>62</v>
      </c>
      <c r="D2770" s="1" t="s">
        <v>41</v>
      </c>
      <c r="E2770" s="3">
        <v>4953786</v>
      </c>
      <c r="F2770" s="1">
        <v>2441.4913750616001</v>
      </c>
      <c r="G2770" s="1">
        <v>5</v>
      </c>
      <c r="H2770" s="1">
        <v>3</v>
      </c>
      <c r="I2770" s="1">
        <v>4</v>
      </c>
      <c r="J2770" s="1">
        <v>3.5</v>
      </c>
      <c r="M2770" s="4">
        <v>2029</v>
      </c>
      <c r="N2770" s="1">
        <v>2460</v>
      </c>
      <c r="O2770" s="1">
        <v>5154</v>
      </c>
      <c r="P2770" s="1">
        <v>2694</v>
      </c>
      <c r="Q2770" s="1" t="s">
        <v>42</v>
      </c>
      <c r="S2770" s="1" t="s">
        <v>42</v>
      </c>
      <c r="T2770" s="1" t="s">
        <v>273</v>
      </c>
      <c r="U2770" s="1">
        <v>121</v>
      </c>
      <c r="V2770" s="5">
        <v>43678</v>
      </c>
      <c r="W2770" s="5">
        <v>41829</v>
      </c>
      <c r="X2770" s="1">
        <v>4865000</v>
      </c>
      <c r="Y2770" s="1">
        <v>4865000</v>
      </c>
      <c r="Z2770" s="5">
        <v>41950</v>
      </c>
      <c r="AA2770" s="1">
        <v>4953786</v>
      </c>
      <c r="AB2770" s="1" t="s">
        <v>1677</v>
      </c>
      <c r="AC2770" s="5">
        <v>42467</v>
      </c>
      <c r="AF2770" s="1">
        <v>10001</v>
      </c>
      <c r="AI2770" s="1" t="s">
        <v>1678</v>
      </c>
      <c r="AJ2770" s="1">
        <v>2015</v>
      </c>
      <c r="AK2770" s="1" t="s">
        <v>49</v>
      </c>
      <c r="AL2770" s="1">
        <v>49</v>
      </c>
    </row>
    <row r="2771" spans="1:38" x14ac:dyDescent="0.2">
      <c r="A2771" s="2" t="str">
        <f>HYPERLINK("https://www.compass.com/listing/77-charlton-street-unit-n4e-manhattan-ny-10014/430423326062826449/","77 Charlton St, Unit N4E")</f>
        <v>77 Charlton St, Unit N4E</v>
      </c>
      <c r="B2771" s="2" t="str">
        <f>HYPERLINK("https://www.compass.com/building/77-charlton-st-manhattan-ny-10014/282058735872933093/","77 Charlton St")</f>
        <v>77 Charlton St</v>
      </c>
      <c r="C2771" s="1" t="s">
        <v>53</v>
      </c>
      <c r="D2771" s="1" t="s">
        <v>41</v>
      </c>
      <c r="E2771" s="3">
        <v>945000</v>
      </c>
      <c r="F2771" s="1">
        <v>1652.0979020979</v>
      </c>
      <c r="G2771" s="1">
        <v>2</v>
      </c>
      <c r="H2771" s="1" t="s">
        <v>99</v>
      </c>
      <c r="I2771" s="1">
        <v>1</v>
      </c>
      <c r="J2771" s="1">
        <v>1</v>
      </c>
      <c r="K2771" s="1">
        <v>1</v>
      </c>
      <c r="M2771" s="1">
        <v>572</v>
      </c>
      <c r="N2771" s="1">
        <v>652</v>
      </c>
      <c r="O2771" s="1">
        <v>1583</v>
      </c>
      <c r="P2771" s="1">
        <v>931</v>
      </c>
      <c r="Q2771" s="1" t="s">
        <v>42</v>
      </c>
      <c r="S2771" s="1" t="s">
        <v>42</v>
      </c>
      <c r="T2771" s="1" t="s">
        <v>273</v>
      </c>
      <c r="V2771" s="5">
        <v>44404</v>
      </c>
      <c r="W2771" s="5">
        <v>43846</v>
      </c>
      <c r="X2771" s="1">
        <v>1010000</v>
      </c>
      <c r="Y2771" s="1">
        <v>1010000</v>
      </c>
      <c r="Z2771" s="5">
        <v>43846</v>
      </c>
      <c r="AA2771" s="1">
        <v>995848.5</v>
      </c>
      <c r="AB2771" s="1" t="s">
        <v>1679</v>
      </c>
      <c r="AC2771" s="5">
        <v>44314</v>
      </c>
      <c r="AF2771" s="1">
        <v>10014</v>
      </c>
      <c r="AI2771" s="1" t="s">
        <v>238</v>
      </c>
      <c r="AJ2771" s="1">
        <v>2019</v>
      </c>
      <c r="AK2771" s="1" t="s">
        <v>46</v>
      </c>
      <c r="AL2771" s="1">
        <v>161</v>
      </c>
    </row>
    <row r="2772" spans="1:38" x14ac:dyDescent="0.2">
      <c r="A2772" s="2" t="str">
        <f>HYPERLINK("https://www.compass.com/listing/565-broome-street-unit-s16b-manhattan-ny-10013/703001586165265825/","565 Broome St, Unit S16B")</f>
        <v>565 Broome St, Unit S16B</v>
      </c>
      <c r="B2772" s="2" t="str">
        <f>HYPERLINK("https://www.compass.com/building/565-broome-soho-manhattan-ny/292813251698267109/","565 Broome Soho")</f>
        <v>565 Broome Soho</v>
      </c>
      <c r="C2772" s="1" t="s">
        <v>53</v>
      </c>
      <c r="D2772" s="1" t="s">
        <v>41</v>
      </c>
      <c r="E2772" s="3">
        <v>12453150</v>
      </c>
      <c r="F2772" s="1">
        <v>3482.4244966442898</v>
      </c>
      <c r="G2772" s="1">
        <v>6</v>
      </c>
      <c r="H2772" s="1">
        <v>4</v>
      </c>
      <c r="I2772" s="1">
        <v>4</v>
      </c>
      <c r="J2772" s="1">
        <v>3.5</v>
      </c>
      <c r="K2772" s="1">
        <v>3</v>
      </c>
      <c r="L2772" s="1">
        <v>1</v>
      </c>
      <c r="M2772" s="4">
        <v>3576</v>
      </c>
      <c r="N2772" s="1">
        <v>6264</v>
      </c>
      <c r="O2772" s="1">
        <v>11815</v>
      </c>
      <c r="P2772" s="1">
        <v>5551</v>
      </c>
      <c r="Q2772" s="1" t="s">
        <v>42</v>
      </c>
      <c r="S2772" s="1" t="s">
        <v>42</v>
      </c>
      <c r="T2772" s="1" t="s">
        <v>273</v>
      </c>
      <c r="U2772" s="1">
        <v>1257</v>
      </c>
      <c r="V2772" s="5">
        <v>44395</v>
      </c>
      <c r="W2772" s="5">
        <v>42954</v>
      </c>
      <c r="X2772" s="1">
        <v>14000000</v>
      </c>
      <c r="Y2772" s="1">
        <v>14000000</v>
      </c>
      <c r="Z2772" s="5">
        <v>44306</v>
      </c>
      <c r="AA2772" s="1">
        <v>12453150</v>
      </c>
      <c r="AB2772" s="1" t="s">
        <v>1680</v>
      </c>
      <c r="AC2772" s="5">
        <v>44357</v>
      </c>
      <c r="AF2772" s="1">
        <v>10013</v>
      </c>
      <c r="AI2772" s="1" t="s">
        <v>1681</v>
      </c>
      <c r="AJ2772" s="1">
        <v>2019</v>
      </c>
      <c r="AK2772" s="1" t="s">
        <v>155</v>
      </c>
      <c r="AL2772" s="1">
        <v>115</v>
      </c>
    </row>
    <row r="2773" spans="1:38" x14ac:dyDescent="0.2">
      <c r="A2773" s="2" t="str">
        <f>HYPERLINK("https://www.compass.com/listing/1-west-end-avenue-unit-11c-manhattan-ny-10023/95426762376238209/","1 W End Ave, Unit 11C")</f>
        <v>1 W End Ave, Unit 11C</v>
      </c>
      <c r="B2773" s="2" t="str">
        <f>HYPERLINK("https://www.compass.com/building/1-w-end-ave-manhattan-ny-10023/455676159137755317/","1 W End Ave")</f>
        <v>1 W End Ave</v>
      </c>
      <c r="C2773" s="1" t="s">
        <v>57</v>
      </c>
      <c r="D2773" s="1" t="s">
        <v>41</v>
      </c>
      <c r="E2773" s="3">
        <v>1515000</v>
      </c>
      <c r="F2773" s="1">
        <v>1922.5888324872999</v>
      </c>
      <c r="G2773" s="1">
        <v>3</v>
      </c>
      <c r="H2773" s="1">
        <v>1</v>
      </c>
      <c r="I2773" s="1">
        <v>1</v>
      </c>
      <c r="J2773" s="1">
        <v>1</v>
      </c>
      <c r="K2773" s="1">
        <v>1</v>
      </c>
      <c r="M2773" s="1">
        <v>788</v>
      </c>
      <c r="N2773" s="1">
        <v>914</v>
      </c>
      <c r="O2773" s="1">
        <v>964</v>
      </c>
      <c r="P2773" s="1">
        <v>50</v>
      </c>
      <c r="Q2773" s="1" t="s">
        <v>42</v>
      </c>
      <c r="S2773" s="1" t="s">
        <v>42</v>
      </c>
      <c r="T2773" s="1" t="s">
        <v>273</v>
      </c>
      <c r="U2773" s="1">
        <v>24</v>
      </c>
      <c r="V2773" s="5">
        <v>44225</v>
      </c>
      <c r="W2773" s="5">
        <v>43539</v>
      </c>
      <c r="X2773" s="1">
        <v>1550000</v>
      </c>
      <c r="Y2773" s="1">
        <v>1550000</v>
      </c>
      <c r="Z2773" s="5">
        <v>43564</v>
      </c>
      <c r="AA2773" s="1">
        <v>1515000</v>
      </c>
      <c r="AB2773" s="1" t="s">
        <v>1682</v>
      </c>
      <c r="AC2773" s="5">
        <v>43602</v>
      </c>
      <c r="AF2773" s="1">
        <v>10023</v>
      </c>
      <c r="AI2773" s="1" t="s">
        <v>1683</v>
      </c>
      <c r="AJ2773" s="1">
        <v>2017</v>
      </c>
      <c r="AK2773" s="1" t="s">
        <v>55</v>
      </c>
      <c r="AL2773" s="1">
        <v>246</v>
      </c>
    </row>
    <row r="2774" spans="1:38" x14ac:dyDescent="0.2">
      <c r="A2774" s="2" t="str">
        <f>HYPERLINK("https://www.compass.com/listing/565-broome-street-unit-s12c-manhattan-ny-10013/29514991132569553/","565 Broome St, Unit S12C")</f>
        <v>565 Broome St, Unit S12C</v>
      </c>
      <c r="B2774" s="2" t="str">
        <f>HYPERLINK("https://www.compass.com/building/565-broome-soho-manhattan-ny/292813251698267109/","565 Broome Soho")</f>
        <v>565 Broome Soho</v>
      </c>
      <c r="C2774" s="1" t="s">
        <v>53</v>
      </c>
      <c r="D2774" s="1" t="s">
        <v>41</v>
      </c>
      <c r="E2774" s="3">
        <v>3983020</v>
      </c>
      <c r="F2774" s="1">
        <v>2369.4347055324201</v>
      </c>
      <c r="G2774" s="1">
        <v>4</v>
      </c>
      <c r="H2774" s="1">
        <v>2</v>
      </c>
      <c r="I2774" s="1">
        <v>2</v>
      </c>
      <c r="J2774" s="1">
        <v>2</v>
      </c>
      <c r="K2774" s="1">
        <v>2</v>
      </c>
      <c r="M2774" s="4">
        <v>1681</v>
      </c>
      <c r="N2774" s="1">
        <v>2515</v>
      </c>
      <c r="O2774" s="1">
        <v>5290</v>
      </c>
      <c r="P2774" s="1">
        <v>2775</v>
      </c>
      <c r="Q2774" s="1" t="s">
        <v>42</v>
      </c>
      <c r="S2774" s="1" t="s">
        <v>42</v>
      </c>
      <c r="T2774" s="1" t="s">
        <v>273</v>
      </c>
      <c r="U2774" s="1">
        <v>993</v>
      </c>
      <c r="V2774" s="5">
        <v>44323</v>
      </c>
      <c r="W2774" s="5">
        <v>42612</v>
      </c>
      <c r="AA2774" s="1">
        <v>3983019.74</v>
      </c>
      <c r="AB2774" s="1" t="s">
        <v>1684</v>
      </c>
      <c r="AC2774" s="5">
        <v>43605</v>
      </c>
      <c r="AF2774" s="1">
        <v>10013</v>
      </c>
      <c r="AI2774" s="1" t="s">
        <v>242</v>
      </c>
      <c r="AJ2774" s="1">
        <v>2019</v>
      </c>
      <c r="AK2774" s="1" t="s">
        <v>46</v>
      </c>
      <c r="AL2774" s="1">
        <v>115</v>
      </c>
    </row>
    <row r="2775" spans="1:38" x14ac:dyDescent="0.2">
      <c r="A2775" s="2" t="str">
        <f>HYPERLINK("https://www.compass.com/listing/527-west-27th-street-unit-4c-manhattan-ny-10001/29514171641090865/","527 W 27th St, Unit 4C")</f>
        <v>527 W 27th St, Unit 4C</v>
      </c>
      <c r="B2775" s="2" t="str">
        <f t="shared" ref="B2775:B2776" si="462">HYPERLINK("https://www.compass.com/building/jardim-manhattan-ny/282062246220171157/","Jardim")</f>
        <v>Jardim</v>
      </c>
      <c r="C2775" s="1" t="s">
        <v>62</v>
      </c>
      <c r="D2775" s="1" t="s">
        <v>41</v>
      </c>
      <c r="E2775" s="3">
        <v>3770025</v>
      </c>
      <c r="F2775" s="1">
        <v>2643.7762973352001</v>
      </c>
      <c r="G2775" s="1">
        <v>4</v>
      </c>
      <c r="H2775" s="1">
        <v>2</v>
      </c>
      <c r="I2775" s="1">
        <v>3</v>
      </c>
      <c r="J2775" s="1">
        <v>2.5</v>
      </c>
      <c r="K2775" s="1">
        <v>2</v>
      </c>
      <c r="L2775" s="1">
        <v>1</v>
      </c>
      <c r="M2775" s="4">
        <v>1426</v>
      </c>
      <c r="N2775" s="1">
        <v>2177</v>
      </c>
      <c r="O2775" s="1">
        <v>4779</v>
      </c>
      <c r="P2775" s="1">
        <v>2602</v>
      </c>
      <c r="Q2775" s="1" t="s">
        <v>42</v>
      </c>
      <c r="S2775" s="1" t="s">
        <v>42</v>
      </c>
      <c r="T2775" s="1" t="s">
        <v>273</v>
      </c>
      <c r="V2775" s="5">
        <v>43768</v>
      </c>
      <c r="W2775" s="5">
        <v>42755</v>
      </c>
      <c r="X2775" s="1">
        <v>3700000</v>
      </c>
      <c r="Y2775" s="1">
        <v>3700000</v>
      </c>
      <c r="Z2775" s="5">
        <v>42756</v>
      </c>
      <c r="AA2775" s="1">
        <v>3770025</v>
      </c>
      <c r="AB2775" s="1" t="s">
        <v>1685</v>
      </c>
      <c r="AC2775" s="5">
        <v>43717</v>
      </c>
      <c r="AF2775" s="1">
        <v>10001</v>
      </c>
      <c r="AI2775" s="1" t="s">
        <v>65</v>
      </c>
      <c r="AJ2775" s="1">
        <v>2017</v>
      </c>
      <c r="AK2775" s="1" t="s">
        <v>202</v>
      </c>
      <c r="AL2775" s="1">
        <v>36</v>
      </c>
    </row>
    <row r="2776" spans="1:38" x14ac:dyDescent="0.2">
      <c r="A2776" s="2" t="str">
        <f>HYPERLINK("https://www.compass.com/listing/527-west-27th-street-unit-4a-manhattan-ny-10001/781343945231606089/","527 W 27th St, Unit 4A")</f>
        <v>527 W 27th St, Unit 4A</v>
      </c>
      <c r="B2776" s="2" t="str">
        <f t="shared" si="462"/>
        <v>Jardim</v>
      </c>
      <c r="C2776" s="1" t="s">
        <v>62</v>
      </c>
      <c r="D2776" s="1" t="s">
        <v>41</v>
      </c>
      <c r="E2776" s="3">
        <v>4200000</v>
      </c>
      <c r="F2776" s="1">
        <v>1916.93290734824</v>
      </c>
      <c r="G2776" s="1">
        <v>6</v>
      </c>
      <c r="H2776" s="1">
        <v>3</v>
      </c>
      <c r="I2776" s="1">
        <v>4</v>
      </c>
      <c r="J2776" s="1">
        <v>3.5</v>
      </c>
      <c r="K2776" s="1">
        <v>3</v>
      </c>
      <c r="L2776" s="1">
        <v>1</v>
      </c>
      <c r="M2776" s="4">
        <v>2191</v>
      </c>
      <c r="N2776" s="1">
        <v>2383</v>
      </c>
      <c r="O2776" s="1">
        <v>6040</v>
      </c>
      <c r="P2776" s="1">
        <v>3657</v>
      </c>
      <c r="Q2776" s="1" t="s">
        <v>42</v>
      </c>
      <c r="S2776" s="1" t="s">
        <v>42</v>
      </c>
      <c r="T2776" s="1" t="s">
        <v>273</v>
      </c>
      <c r="U2776" s="1">
        <v>910</v>
      </c>
      <c r="V2776" s="5">
        <v>44427</v>
      </c>
      <c r="W2776" s="5">
        <v>43129</v>
      </c>
      <c r="AA2776" s="1">
        <v>4200000</v>
      </c>
      <c r="AB2776" s="1" t="s">
        <v>1686</v>
      </c>
      <c r="AC2776" s="5">
        <v>44134</v>
      </c>
      <c r="AF2776" s="1">
        <v>10001</v>
      </c>
      <c r="AI2776" s="1" t="s">
        <v>243</v>
      </c>
      <c r="AJ2776" s="1">
        <v>2017</v>
      </c>
      <c r="AK2776" s="1" t="s">
        <v>49</v>
      </c>
      <c r="AL2776" s="1">
        <v>36</v>
      </c>
    </row>
    <row r="2777" spans="1:38" x14ac:dyDescent="0.2">
      <c r="A2777" s="2" t="str">
        <f>HYPERLINK("https://www.compass.com/listing/235-west-75th-street-unit-423-manhattan-ny-10023/29395869216352513/","235 W 75th St, Unit 423")</f>
        <v>235 W 75th St, Unit 423</v>
      </c>
      <c r="B2777" s="2" t="str">
        <f t="shared" ref="B2777:B2778" si="463">HYPERLINK("https://www.compass.com/building/the-astor-manhattan-ny/281958704155269925/","The Astor")</f>
        <v>The Astor</v>
      </c>
      <c r="C2777" s="1" t="s">
        <v>57</v>
      </c>
      <c r="D2777" s="1" t="s">
        <v>41</v>
      </c>
      <c r="E2777" s="3">
        <v>7537835</v>
      </c>
      <c r="F2777" s="1">
        <v>2534.5781405514399</v>
      </c>
      <c r="G2777" s="1">
        <v>6</v>
      </c>
      <c r="H2777" s="1">
        <v>4</v>
      </c>
      <c r="I2777" s="1">
        <v>4</v>
      </c>
      <c r="J2777" s="1">
        <v>4.5</v>
      </c>
      <c r="K2777" s="1">
        <v>4</v>
      </c>
      <c r="L2777" s="1">
        <v>1</v>
      </c>
      <c r="M2777" s="4">
        <v>2974</v>
      </c>
      <c r="N2777" s="1">
        <v>3868</v>
      </c>
      <c r="O2777" s="1">
        <v>8078</v>
      </c>
      <c r="P2777" s="1">
        <v>4210</v>
      </c>
      <c r="Q2777" s="1" t="s">
        <v>42</v>
      </c>
      <c r="S2777" s="1" t="s">
        <v>42</v>
      </c>
      <c r="T2777" s="1" t="s">
        <v>273</v>
      </c>
      <c r="U2777" s="1">
        <v>823</v>
      </c>
      <c r="V2777" s="5">
        <v>42934</v>
      </c>
      <c r="W2777" s="5">
        <v>42110</v>
      </c>
      <c r="X2777" s="1">
        <v>7488000</v>
      </c>
      <c r="Y2777" s="1">
        <v>7488000</v>
      </c>
      <c r="AA2777" s="1">
        <v>7537835.3899999997</v>
      </c>
      <c r="AB2777" s="1" t="s">
        <v>1617</v>
      </c>
      <c r="AC2777" s="5">
        <v>43040</v>
      </c>
      <c r="AF2777" s="1">
        <v>10023</v>
      </c>
      <c r="AJ2777" s="1">
        <v>2018</v>
      </c>
      <c r="AK2777" s="1" t="s">
        <v>46</v>
      </c>
      <c r="AL2777" s="1">
        <v>98</v>
      </c>
    </row>
    <row r="2778" spans="1:38" x14ac:dyDescent="0.2">
      <c r="A2778" s="2" t="str">
        <f>HYPERLINK("https://www.compass.com/listing/235-west-75th-street-unit-201-manhattan-ny-10023/29395859477199361/","235 W 75th St, Unit 201")</f>
        <v>235 W 75th St, Unit 201</v>
      </c>
      <c r="B2778" s="2" t="str">
        <f t="shared" si="463"/>
        <v>The Astor</v>
      </c>
      <c r="C2778" s="1" t="s">
        <v>57</v>
      </c>
      <c r="D2778" s="1" t="s">
        <v>41</v>
      </c>
      <c r="E2778" s="3">
        <v>4707774</v>
      </c>
      <c r="F2778" s="1">
        <v>2381.2716236722299</v>
      </c>
      <c r="G2778" s="1">
        <v>4</v>
      </c>
      <c r="H2778" s="1">
        <v>3</v>
      </c>
      <c r="I2778" s="1">
        <v>2</v>
      </c>
      <c r="J2778" s="1">
        <v>2.5</v>
      </c>
      <c r="K2778" s="1">
        <v>2</v>
      </c>
      <c r="L2778" s="1">
        <v>1</v>
      </c>
      <c r="M2778" s="4">
        <v>1977</v>
      </c>
      <c r="N2778" s="1">
        <v>2612</v>
      </c>
      <c r="O2778" s="1">
        <v>5455</v>
      </c>
      <c r="P2778" s="1">
        <v>2843</v>
      </c>
      <c r="Q2778" s="1" t="s">
        <v>42</v>
      </c>
      <c r="S2778" s="1" t="s">
        <v>42</v>
      </c>
      <c r="T2778" s="1" t="s">
        <v>273</v>
      </c>
      <c r="V2778" s="5">
        <v>43662</v>
      </c>
      <c r="W2778" s="5">
        <v>42522</v>
      </c>
      <c r="X2778" s="1">
        <v>4675000</v>
      </c>
      <c r="Y2778" s="1">
        <v>4675000</v>
      </c>
      <c r="Z2778" s="5">
        <v>42522</v>
      </c>
      <c r="AA2778" s="1">
        <v>4707774</v>
      </c>
      <c r="AB2778" s="1" t="s">
        <v>1687</v>
      </c>
      <c r="AC2778" s="5">
        <v>42906</v>
      </c>
      <c r="AF2778" s="1">
        <v>10023</v>
      </c>
      <c r="AJ2778" s="1">
        <v>2018</v>
      </c>
      <c r="AK2778" s="1" t="s">
        <v>46</v>
      </c>
      <c r="AL2778" s="1">
        <v>98</v>
      </c>
    </row>
    <row r="2779" spans="1:38" x14ac:dyDescent="0.2">
      <c r="A2779" s="2" t="str">
        <f>HYPERLINK("https://www.compass.com/listing/15-hudson-yards-unit-77c-manhattan-ny-10001/317874221958864417/","15 Hudson Yards, Unit 77C")</f>
        <v>15 Hudson Yards, Unit 77C</v>
      </c>
      <c r="B2779" s="2" t="str">
        <f t="shared" ref="B2779:B2780" si="464">HYPERLINK("https://www.compass.com/building/fifteen-hudson-yards-manhattan-ny/282058587512011909/","Fifteen Hudson Yards")</f>
        <v>Fifteen Hudson Yards</v>
      </c>
      <c r="C2779" s="1" t="s">
        <v>77</v>
      </c>
      <c r="D2779" s="1" t="s">
        <v>41</v>
      </c>
      <c r="E2779" s="3">
        <v>3480000</v>
      </c>
      <c r="F2779" s="1">
        <v>3079.64601769911</v>
      </c>
      <c r="G2779" s="1">
        <v>3</v>
      </c>
      <c r="H2779" s="1">
        <v>1</v>
      </c>
      <c r="I2779" s="1">
        <v>2</v>
      </c>
      <c r="J2779" s="1">
        <v>1.5</v>
      </c>
      <c r="K2779" s="1">
        <v>1</v>
      </c>
      <c r="L2779" s="1">
        <v>1</v>
      </c>
      <c r="M2779" s="4">
        <v>1130</v>
      </c>
      <c r="N2779" s="1">
        <v>2651</v>
      </c>
      <c r="O2779" s="1">
        <v>2688</v>
      </c>
      <c r="P2779" s="1">
        <v>37</v>
      </c>
      <c r="Q2779" s="1" t="s">
        <v>42</v>
      </c>
      <c r="S2779" s="1" t="s">
        <v>42</v>
      </c>
      <c r="T2779" s="1" t="s">
        <v>273</v>
      </c>
      <c r="U2779" s="1">
        <v>1034</v>
      </c>
      <c r="V2779" s="5">
        <v>43690</v>
      </c>
      <c r="W2779" s="5">
        <v>42655</v>
      </c>
      <c r="X2779" s="1">
        <v>3480000</v>
      </c>
      <c r="Y2779" s="1">
        <v>3480000</v>
      </c>
      <c r="AA2779" s="1">
        <v>3480000</v>
      </c>
      <c r="AB2779" s="1" t="s">
        <v>275</v>
      </c>
      <c r="AC2779" s="5">
        <v>43689</v>
      </c>
      <c r="AF2779" s="1">
        <v>10001</v>
      </c>
      <c r="AJ2779" s="1">
        <v>2018</v>
      </c>
      <c r="AK2779" s="1" t="s">
        <v>49</v>
      </c>
      <c r="AL2779" s="1">
        <v>285</v>
      </c>
    </row>
    <row r="2780" spans="1:38" x14ac:dyDescent="0.2">
      <c r="A2780" s="2" t="str">
        <f>HYPERLINK("https://www.compass.com/listing/15-hudson-yards-unit-78c-manhattan-ny-10001/339657058084817089/","15 Hudson Yards, Unit 78C")</f>
        <v>15 Hudson Yards, Unit 78C</v>
      </c>
      <c r="B2780" s="2" t="str">
        <f t="shared" si="464"/>
        <v>Fifteen Hudson Yards</v>
      </c>
      <c r="C2780" s="1" t="s">
        <v>77</v>
      </c>
      <c r="D2780" s="1" t="s">
        <v>41</v>
      </c>
      <c r="E2780" s="3">
        <v>3450000</v>
      </c>
      <c r="F2780" s="1">
        <v>3069.3950177935899</v>
      </c>
      <c r="G2780" s="1">
        <v>3</v>
      </c>
      <c r="H2780" s="1">
        <v>1</v>
      </c>
      <c r="I2780" s="1">
        <v>2</v>
      </c>
      <c r="J2780" s="1">
        <v>1.5</v>
      </c>
      <c r="K2780" s="1">
        <v>1</v>
      </c>
      <c r="L2780" s="1">
        <v>1</v>
      </c>
      <c r="M2780" s="4">
        <v>1124</v>
      </c>
      <c r="N2780" s="1">
        <v>2638</v>
      </c>
      <c r="O2780" s="1">
        <v>2675</v>
      </c>
      <c r="P2780" s="1">
        <v>37</v>
      </c>
      <c r="Q2780" s="1" t="s">
        <v>42</v>
      </c>
      <c r="S2780" s="1" t="s">
        <v>42</v>
      </c>
      <c r="T2780" s="1" t="s">
        <v>273</v>
      </c>
      <c r="U2780" s="1">
        <v>1069</v>
      </c>
      <c r="V2780" s="5">
        <v>43721</v>
      </c>
      <c r="W2780" s="5">
        <v>42648</v>
      </c>
      <c r="X2780" s="1">
        <v>3450000</v>
      </c>
      <c r="Y2780" s="1">
        <v>3450000</v>
      </c>
      <c r="AA2780" s="1">
        <v>3450000</v>
      </c>
      <c r="AB2780" s="1" t="s">
        <v>275</v>
      </c>
      <c r="AC2780" s="5">
        <v>43717</v>
      </c>
      <c r="AF2780" s="1">
        <v>10001</v>
      </c>
      <c r="AJ2780" s="1">
        <v>2018</v>
      </c>
      <c r="AK2780" s="1" t="s">
        <v>49</v>
      </c>
      <c r="AL2780" s="1">
        <v>285</v>
      </c>
    </row>
    <row r="2781" spans="1:38" x14ac:dyDescent="0.2">
      <c r="A2781" s="2" t="str">
        <f>HYPERLINK("https://www.compass.com/listing/565-broome-street-unit-n12a-manhattan-ny-10013/653593220245825417/","565 Broome St, Unit N12A")</f>
        <v>565 Broome St, Unit N12A</v>
      </c>
      <c r="B2781" s="2" t="str">
        <f>HYPERLINK("https://www.compass.com/building/565-broome-soho-manhattan-ny/292813251698267109/","565 Broome Soho")</f>
        <v>565 Broome Soho</v>
      </c>
      <c r="C2781" s="1" t="s">
        <v>53</v>
      </c>
      <c r="D2781" s="1" t="s">
        <v>41</v>
      </c>
      <c r="E2781" s="3">
        <v>3200000</v>
      </c>
      <c r="F2781" s="1">
        <v>2211.4720110573599</v>
      </c>
      <c r="G2781" s="1">
        <v>4</v>
      </c>
      <c r="H2781" s="1">
        <v>2</v>
      </c>
      <c r="I2781" s="1">
        <v>3</v>
      </c>
      <c r="J2781" s="1">
        <v>2.5</v>
      </c>
      <c r="K2781" s="1">
        <v>2</v>
      </c>
      <c r="L2781" s="1">
        <v>1</v>
      </c>
      <c r="M2781" s="4">
        <v>1447</v>
      </c>
      <c r="N2781" s="1">
        <v>2176</v>
      </c>
      <c r="O2781" s="1">
        <v>4104</v>
      </c>
      <c r="P2781" s="1">
        <v>1928</v>
      </c>
      <c r="Q2781" s="1" t="s">
        <v>42</v>
      </c>
      <c r="S2781" s="1" t="s">
        <v>42</v>
      </c>
      <c r="T2781" s="1" t="s">
        <v>273</v>
      </c>
      <c r="U2781" s="1">
        <v>22</v>
      </c>
      <c r="V2781" s="5">
        <v>44196</v>
      </c>
      <c r="W2781" s="5">
        <v>44112</v>
      </c>
      <c r="X2781" s="1">
        <v>3750000</v>
      </c>
      <c r="Y2781" s="1">
        <v>3750000</v>
      </c>
      <c r="AA2781" s="1">
        <v>3200000</v>
      </c>
      <c r="AB2781" s="1" t="s">
        <v>1688</v>
      </c>
      <c r="AC2781" s="5">
        <v>44134</v>
      </c>
      <c r="AF2781" s="1">
        <v>10013</v>
      </c>
      <c r="AI2781" s="1" t="s">
        <v>48</v>
      </c>
      <c r="AJ2781" s="1">
        <v>2019</v>
      </c>
      <c r="AK2781" s="1" t="s">
        <v>49</v>
      </c>
      <c r="AL2781" s="1">
        <v>115</v>
      </c>
    </row>
    <row r="2782" spans="1:38" x14ac:dyDescent="0.2">
      <c r="A2782" s="2" t="str">
        <f>HYPERLINK("https://www.compass.com/listing/225-east-81st-street-unit-3-manhattan-ny-10028/29422589893966897/","225 E 81st St, Unit 3")</f>
        <v>225 E 81st St, Unit 3</v>
      </c>
      <c r="B2782" s="2" t="str">
        <f t="shared" ref="B2782:B2783" si="465">HYPERLINK("https://www.compass.com/building/the-justin-manhattan-ny/282057109682552965/","The Justin")</f>
        <v>The Justin</v>
      </c>
      <c r="C2782" s="1" t="s">
        <v>82</v>
      </c>
      <c r="D2782" s="1" t="s">
        <v>41</v>
      </c>
      <c r="E2782" s="3">
        <v>3500000</v>
      </c>
      <c r="F2782" s="1">
        <v>1981.87995469988</v>
      </c>
      <c r="G2782" s="1">
        <v>6</v>
      </c>
      <c r="H2782" s="1">
        <v>3</v>
      </c>
      <c r="I2782" s="1">
        <v>3</v>
      </c>
      <c r="J2782" s="1">
        <v>2.5</v>
      </c>
      <c r="K2782" s="1">
        <v>2</v>
      </c>
      <c r="L2782" s="1">
        <v>1</v>
      </c>
      <c r="M2782" s="4">
        <v>1766</v>
      </c>
      <c r="N2782" s="1">
        <v>2375.11</v>
      </c>
      <c r="O2782" s="1">
        <v>3296.11</v>
      </c>
      <c r="P2782" s="1">
        <v>921</v>
      </c>
      <c r="Q2782" s="1" t="s">
        <v>42</v>
      </c>
      <c r="S2782" s="1" t="s">
        <v>42</v>
      </c>
      <c r="T2782" s="1" t="s">
        <v>273</v>
      </c>
      <c r="U2782" s="1">
        <v>6</v>
      </c>
      <c r="V2782" s="5">
        <v>43650</v>
      </c>
      <c r="W2782" s="5">
        <v>42140</v>
      </c>
      <c r="X2782" s="1">
        <v>3750000</v>
      </c>
      <c r="Y2782" s="1">
        <v>3750000</v>
      </c>
      <c r="Z2782" s="5">
        <v>42146</v>
      </c>
      <c r="AA2782" s="1">
        <v>3500000</v>
      </c>
      <c r="AB2782" s="1" t="s">
        <v>1689</v>
      </c>
      <c r="AC2782" s="5">
        <v>42285</v>
      </c>
      <c r="AF2782" s="1">
        <v>10028</v>
      </c>
      <c r="AI2782" s="1" t="s">
        <v>103</v>
      </c>
      <c r="AJ2782" s="1">
        <v>1920</v>
      </c>
      <c r="AK2782" s="1" t="s">
        <v>143</v>
      </c>
      <c r="AL2782" s="1">
        <v>5</v>
      </c>
    </row>
    <row r="2783" spans="1:38" x14ac:dyDescent="0.2">
      <c r="A2783" s="2" t="str">
        <f>HYPERLINK("https://www.compass.com/listing/225-east-81st-street-unit-4-manhattan-ny-10028/29513489471070801/","225 E 81st St, Unit 4")</f>
        <v>225 E 81st St, Unit 4</v>
      </c>
      <c r="B2783" s="2" t="str">
        <f t="shared" si="465"/>
        <v>The Justin</v>
      </c>
      <c r="C2783" s="1" t="s">
        <v>82</v>
      </c>
      <c r="D2783" s="1" t="s">
        <v>41</v>
      </c>
      <c r="E2783" s="3">
        <v>3563875</v>
      </c>
      <c r="F2783" s="1">
        <v>2018.04926387315</v>
      </c>
      <c r="G2783" s="1">
        <v>5</v>
      </c>
      <c r="H2783" s="1">
        <v>3</v>
      </c>
      <c r="I2783" s="1">
        <v>3</v>
      </c>
      <c r="J2783" s="1">
        <v>2.5</v>
      </c>
      <c r="M2783" s="4">
        <v>1766</v>
      </c>
      <c r="N2783" s="1">
        <v>2400.5100000000002</v>
      </c>
      <c r="O2783" s="1">
        <v>3331.33</v>
      </c>
      <c r="P2783" s="1">
        <v>930.83333333333303</v>
      </c>
      <c r="Q2783" s="1" t="s">
        <v>42</v>
      </c>
      <c r="S2783" s="1" t="s">
        <v>42</v>
      </c>
      <c r="T2783" s="1" t="s">
        <v>273</v>
      </c>
      <c r="U2783" s="1">
        <v>106</v>
      </c>
      <c r="V2783" s="5">
        <v>41640</v>
      </c>
      <c r="W2783" s="5">
        <v>42140</v>
      </c>
      <c r="X2783" s="1">
        <v>3850000</v>
      </c>
      <c r="Y2783" s="1">
        <v>3850000</v>
      </c>
      <c r="Z2783" s="5">
        <v>42247</v>
      </c>
      <c r="AA2783" s="1">
        <v>3563875</v>
      </c>
      <c r="AB2783" s="1" t="s">
        <v>1690</v>
      </c>
      <c r="AC2783" s="5">
        <v>42312</v>
      </c>
      <c r="AF2783" s="1">
        <v>10028</v>
      </c>
      <c r="AI2783" s="1" t="s">
        <v>133</v>
      </c>
      <c r="AJ2783" s="1">
        <v>1920</v>
      </c>
      <c r="AK2783" s="1" t="s">
        <v>73</v>
      </c>
      <c r="AL2783" s="1">
        <v>5</v>
      </c>
    </row>
    <row r="2784" spans="1:38" x14ac:dyDescent="0.2">
      <c r="A2784" s="2" t="str">
        <f>HYPERLINK("https://www.compass.com/listing/235-west-75th-street-unit-323-manhattan-ny-10023/29395866473298545/","235 W 75th St, Unit 323")</f>
        <v>235 W 75th St, Unit 323</v>
      </c>
      <c r="B2784" s="2" t="str">
        <f t="shared" ref="B2784:B2787" si="466">HYPERLINK("https://www.compass.com/building/the-astor-manhattan-ny/281958704155269925/","The Astor")</f>
        <v>The Astor</v>
      </c>
      <c r="C2784" s="1" t="s">
        <v>57</v>
      </c>
      <c r="D2784" s="1" t="s">
        <v>41</v>
      </c>
      <c r="E2784" s="3">
        <v>6977318</v>
      </c>
      <c r="F2784" s="1">
        <v>2357.99864819195</v>
      </c>
      <c r="G2784" s="1">
        <v>6</v>
      </c>
      <c r="H2784" s="1">
        <v>4</v>
      </c>
      <c r="I2784" s="1">
        <v>4</v>
      </c>
      <c r="J2784" s="1">
        <v>4.5</v>
      </c>
      <c r="K2784" s="1">
        <v>4</v>
      </c>
      <c r="L2784" s="1">
        <v>1</v>
      </c>
      <c r="M2784" s="4">
        <v>2959</v>
      </c>
      <c r="N2784" s="1">
        <v>3806</v>
      </c>
      <c r="O2784" s="1">
        <v>7974</v>
      </c>
      <c r="P2784" s="1">
        <v>4168</v>
      </c>
      <c r="Q2784" s="1" t="s">
        <v>42</v>
      </c>
      <c r="S2784" s="1" t="s">
        <v>42</v>
      </c>
      <c r="T2784" s="1" t="s">
        <v>273</v>
      </c>
      <c r="V2784" s="5">
        <v>43654</v>
      </c>
      <c r="W2784" s="5">
        <v>42293</v>
      </c>
      <c r="X2784" s="1">
        <v>7318000</v>
      </c>
      <c r="Y2784" s="1">
        <v>7318000</v>
      </c>
      <c r="Z2784" s="5">
        <v>42293</v>
      </c>
      <c r="AA2784" s="1">
        <v>6977318</v>
      </c>
      <c r="AB2784" s="1" t="s">
        <v>1691</v>
      </c>
      <c r="AC2784" s="5">
        <v>42437</v>
      </c>
      <c r="AF2784" s="1">
        <v>10023</v>
      </c>
      <c r="AJ2784" s="1">
        <v>2018</v>
      </c>
      <c r="AK2784" s="1" t="s">
        <v>46</v>
      </c>
      <c r="AL2784" s="1">
        <v>98</v>
      </c>
    </row>
    <row r="2785" spans="1:38" x14ac:dyDescent="0.2">
      <c r="A2785" s="2" t="str">
        <f>HYPERLINK("https://www.compass.com/listing/235-west-75th-street-unit-523-manhattan-ny-10023/29395872722790737/","235 W 75th St, Unit 523")</f>
        <v>235 W 75th St, Unit 523</v>
      </c>
      <c r="B2785" s="2" t="str">
        <f t="shared" si="466"/>
        <v>The Astor</v>
      </c>
      <c r="C2785" s="1" t="s">
        <v>57</v>
      </c>
      <c r="D2785" s="1" t="s">
        <v>41</v>
      </c>
      <c r="E2785" s="3">
        <v>7500468</v>
      </c>
      <c r="F2785" s="1">
        <v>2533.0861195542002</v>
      </c>
      <c r="G2785" s="1">
        <v>6</v>
      </c>
      <c r="H2785" s="1">
        <v>4</v>
      </c>
      <c r="I2785" s="1">
        <v>4</v>
      </c>
      <c r="J2785" s="1">
        <v>4</v>
      </c>
      <c r="K2785" s="1">
        <v>4</v>
      </c>
      <c r="M2785" s="4">
        <v>2961</v>
      </c>
      <c r="N2785" s="1">
        <v>3871</v>
      </c>
      <c r="O2785" s="1">
        <v>8083</v>
      </c>
      <c r="P2785" s="1">
        <v>4212</v>
      </c>
      <c r="Q2785" s="1" t="s">
        <v>42</v>
      </c>
      <c r="S2785" s="1" t="s">
        <v>42</v>
      </c>
      <c r="T2785" s="1" t="s">
        <v>273</v>
      </c>
      <c r="U2785" s="1">
        <v>281</v>
      </c>
      <c r="V2785" s="5">
        <v>43663</v>
      </c>
      <c r="W2785" s="5">
        <v>42445</v>
      </c>
      <c r="X2785" s="1">
        <v>7589000</v>
      </c>
      <c r="Y2785" s="1">
        <v>7450000</v>
      </c>
      <c r="Z2785" s="5">
        <v>42726</v>
      </c>
      <c r="AA2785" s="1">
        <v>7500468</v>
      </c>
      <c r="AB2785" s="1" t="s">
        <v>1692</v>
      </c>
      <c r="AC2785" s="5">
        <v>42782</v>
      </c>
      <c r="AF2785" s="1">
        <v>10023</v>
      </c>
      <c r="AJ2785" s="1">
        <v>2018</v>
      </c>
      <c r="AK2785" s="1" t="s">
        <v>46</v>
      </c>
      <c r="AL2785" s="1">
        <v>98</v>
      </c>
    </row>
    <row r="2786" spans="1:38" x14ac:dyDescent="0.2">
      <c r="A2786" s="2" t="str">
        <f>HYPERLINK("https://www.compass.com/listing/235-west-75th-street-unit-701-manhattan-ny-10023/29395875012880769/","235 W 75th St, Unit 701")</f>
        <v>235 W 75th St, Unit 701</v>
      </c>
      <c r="B2786" s="2" t="str">
        <f t="shared" si="466"/>
        <v>The Astor</v>
      </c>
      <c r="C2786" s="1" t="s">
        <v>57</v>
      </c>
      <c r="D2786" s="1" t="s">
        <v>41</v>
      </c>
      <c r="E2786" s="3">
        <v>13009475</v>
      </c>
      <c r="F2786" s="1">
        <v>3816.2144323848602</v>
      </c>
      <c r="G2786" s="1">
        <v>5</v>
      </c>
      <c r="H2786" s="1">
        <v>4</v>
      </c>
      <c r="I2786" s="1">
        <v>4</v>
      </c>
      <c r="J2786" s="1">
        <v>4.5</v>
      </c>
      <c r="K2786" s="1">
        <v>4</v>
      </c>
      <c r="L2786" s="1">
        <v>1</v>
      </c>
      <c r="M2786" s="4">
        <v>3409</v>
      </c>
      <c r="N2786" s="1">
        <v>4458</v>
      </c>
      <c r="O2786" s="1">
        <v>9340</v>
      </c>
      <c r="P2786" s="1">
        <v>4882</v>
      </c>
      <c r="Q2786" s="1" t="s">
        <v>42</v>
      </c>
      <c r="S2786" s="1" t="s">
        <v>42</v>
      </c>
      <c r="T2786" s="1" t="s">
        <v>273</v>
      </c>
      <c r="U2786" s="1">
        <v>59</v>
      </c>
      <c r="V2786" s="5">
        <v>43654</v>
      </c>
      <c r="W2786" s="5">
        <v>42123</v>
      </c>
      <c r="X2786" s="1">
        <v>9204000</v>
      </c>
      <c r="Y2786" s="1">
        <v>9401114</v>
      </c>
      <c r="Z2786" s="5">
        <v>42182</v>
      </c>
      <c r="AA2786" s="1">
        <v>13009475</v>
      </c>
      <c r="AB2786" s="1" t="s">
        <v>275</v>
      </c>
      <c r="AC2786" s="5">
        <v>42444</v>
      </c>
      <c r="AF2786" s="1">
        <v>10023</v>
      </c>
      <c r="AJ2786" s="1">
        <v>2018</v>
      </c>
      <c r="AK2786" s="1" t="s">
        <v>46</v>
      </c>
      <c r="AL2786" s="1">
        <v>98</v>
      </c>
    </row>
    <row r="2787" spans="1:38" x14ac:dyDescent="0.2">
      <c r="A2787" s="2" t="str">
        <f>HYPERLINK("https://www.compass.com/listing/235-west-75th-street-unit-320-manhattan-ny-10023/29509619671948513/","235 W 75th St, Unit 320")</f>
        <v>235 W 75th St, Unit 320</v>
      </c>
      <c r="B2787" s="2" t="str">
        <f t="shared" si="466"/>
        <v>The Astor</v>
      </c>
      <c r="C2787" s="1" t="s">
        <v>57</v>
      </c>
      <c r="D2787" s="1" t="s">
        <v>41</v>
      </c>
      <c r="E2787" s="3">
        <v>6370541</v>
      </c>
      <c r="F2787" s="1">
        <v>2261.46290379836</v>
      </c>
      <c r="G2787" s="1">
        <v>5</v>
      </c>
      <c r="H2787" s="1">
        <v>4</v>
      </c>
      <c r="I2787" s="1">
        <v>4</v>
      </c>
      <c r="J2787" s="1">
        <v>4.5</v>
      </c>
      <c r="K2787" s="1">
        <v>4</v>
      </c>
      <c r="L2787" s="1">
        <v>1</v>
      </c>
      <c r="M2787" s="4">
        <v>2817</v>
      </c>
      <c r="N2787" s="1">
        <v>3612</v>
      </c>
      <c r="O2787" s="1">
        <v>7568</v>
      </c>
      <c r="P2787" s="1">
        <v>3956</v>
      </c>
      <c r="Q2787" s="1" t="s">
        <v>42</v>
      </c>
      <c r="S2787" s="1" t="s">
        <v>42</v>
      </c>
      <c r="T2787" s="1" t="s">
        <v>273</v>
      </c>
      <c r="V2787" s="5">
        <v>43650</v>
      </c>
      <c r="W2787" s="5">
        <v>42192</v>
      </c>
      <c r="X2787" s="1">
        <v>6323000</v>
      </c>
      <c r="Y2787" s="1">
        <v>6323000</v>
      </c>
      <c r="Z2787" s="5">
        <v>42192</v>
      </c>
      <c r="AA2787" s="1">
        <v>6370541</v>
      </c>
      <c r="AB2787" s="1" t="s">
        <v>1693</v>
      </c>
      <c r="AC2787" s="5">
        <v>42418</v>
      </c>
      <c r="AF2787" s="1">
        <v>10023</v>
      </c>
      <c r="AJ2787" s="1">
        <v>2018</v>
      </c>
      <c r="AK2787" s="1" t="s">
        <v>46</v>
      </c>
      <c r="AL2787" s="1">
        <v>98</v>
      </c>
    </row>
    <row r="2788" spans="1:38" x14ac:dyDescent="0.2">
      <c r="A2788" s="2" t="str">
        <f>HYPERLINK("https://www.compass.com/listing/527-west-27th-street-unit-3d-manhattan-ny-10001/801631029676280873/","527 W 27th St, Unit 3D")</f>
        <v>527 W 27th St, Unit 3D</v>
      </c>
      <c r="B2788" s="2" t="str">
        <f>HYPERLINK("https://www.compass.com/building/jardim-manhattan-ny/282062246220171157/","Jardim")</f>
        <v>Jardim</v>
      </c>
      <c r="C2788" s="1" t="s">
        <v>62</v>
      </c>
      <c r="D2788" s="1" t="s">
        <v>41</v>
      </c>
      <c r="E2788" s="3">
        <v>3825000</v>
      </c>
      <c r="F2788" s="1">
        <v>1945.57477110885</v>
      </c>
      <c r="G2788" s="1">
        <v>6</v>
      </c>
      <c r="H2788" s="1">
        <v>3</v>
      </c>
      <c r="I2788" s="1">
        <v>4</v>
      </c>
      <c r="J2788" s="1">
        <v>3.5</v>
      </c>
      <c r="K2788" s="1">
        <v>3</v>
      </c>
      <c r="L2788" s="1">
        <v>1</v>
      </c>
      <c r="M2788" s="4">
        <v>1966</v>
      </c>
      <c r="N2788" s="1">
        <v>2193</v>
      </c>
      <c r="O2788" s="1">
        <v>5526</v>
      </c>
      <c r="P2788" s="1">
        <v>3333</v>
      </c>
      <c r="Q2788" s="1" t="s">
        <v>42</v>
      </c>
      <c r="S2788" s="1" t="s">
        <v>42</v>
      </c>
      <c r="T2788" s="1" t="s">
        <v>273</v>
      </c>
      <c r="V2788" s="5">
        <v>44425</v>
      </c>
      <c r="W2788" s="5">
        <v>43129</v>
      </c>
      <c r="X2788" s="1">
        <v>3825000</v>
      </c>
      <c r="Y2788" s="1">
        <v>3825000</v>
      </c>
      <c r="Z2788" s="5">
        <v>43129</v>
      </c>
      <c r="AA2788" s="1">
        <v>3825000</v>
      </c>
      <c r="AB2788" s="1" t="s">
        <v>275</v>
      </c>
      <c r="AC2788" s="5">
        <v>44403</v>
      </c>
      <c r="AF2788" s="1">
        <v>10001</v>
      </c>
      <c r="AI2788" s="1" t="s">
        <v>243</v>
      </c>
      <c r="AJ2788" s="1">
        <v>2017</v>
      </c>
      <c r="AK2788" s="1" t="s">
        <v>49</v>
      </c>
      <c r="AL2788" s="1">
        <v>36</v>
      </c>
    </row>
    <row r="2789" spans="1:38" x14ac:dyDescent="0.2">
      <c r="A2789" s="2" t="str">
        <f>HYPERLINK("https://www.compass.com/listing/565-broome-street-unit-n6f-manhattan-ny-10013/29514991837171665/","565 Broome St, Unit N6F")</f>
        <v>565 Broome St, Unit N6F</v>
      </c>
      <c r="B2789" s="2" t="str">
        <f t="shared" ref="B2789:B2790" si="467">HYPERLINK("https://www.compass.com/building/565-broome-soho-manhattan-ny/292813251698267109/","565 Broome Soho")</f>
        <v>565 Broome Soho</v>
      </c>
      <c r="C2789" s="1" t="s">
        <v>53</v>
      </c>
      <c r="D2789" s="1" t="s">
        <v>41</v>
      </c>
      <c r="E2789" s="3">
        <v>1680304</v>
      </c>
      <c r="F2789" s="1">
        <v>2346.79329608938</v>
      </c>
      <c r="G2789" s="1">
        <v>3</v>
      </c>
      <c r="H2789" s="1">
        <v>1</v>
      </c>
      <c r="I2789" s="1">
        <v>1</v>
      </c>
      <c r="J2789" s="1">
        <v>1</v>
      </c>
      <c r="K2789" s="1">
        <v>1</v>
      </c>
      <c r="M2789" s="1">
        <v>716</v>
      </c>
      <c r="N2789" s="1">
        <v>1040</v>
      </c>
      <c r="O2789" s="1">
        <v>2188</v>
      </c>
      <c r="P2789" s="1">
        <v>1148</v>
      </c>
      <c r="Q2789" s="1" t="s">
        <v>42</v>
      </c>
      <c r="S2789" s="1" t="s">
        <v>42</v>
      </c>
      <c r="T2789" s="1" t="s">
        <v>273</v>
      </c>
      <c r="U2789" s="1">
        <v>69</v>
      </c>
      <c r="V2789" s="5">
        <v>44331</v>
      </c>
      <c r="W2789" s="5">
        <v>42612</v>
      </c>
      <c r="X2789" s="1">
        <v>1640000</v>
      </c>
      <c r="Y2789" s="1">
        <v>1640000</v>
      </c>
      <c r="Z2789" s="5">
        <v>42682</v>
      </c>
      <c r="AA2789" s="1">
        <v>1680304</v>
      </c>
      <c r="AB2789" s="1" t="s">
        <v>1694</v>
      </c>
      <c r="AC2789" s="5">
        <v>43684</v>
      </c>
      <c r="AF2789" s="1">
        <v>10013</v>
      </c>
      <c r="AI2789" s="1" t="s">
        <v>242</v>
      </c>
      <c r="AJ2789" s="1">
        <v>2019</v>
      </c>
      <c r="AK2789" s="1" t="s">
        <v>46</v>
      </c>
      <c r="AL2789" s="1">
        <v>115</v>
      </c>
    </row>
    <row r="2790" spans="1:38" x14ac:dyDescent="0.2">
      <c r="A2790" s="2" t="str">
        <f>HYPERLINK("https://www.compass.com/listing/565-broome-street-unit-n5f-manhattan-ny-10013/803303430180948057/","565 Broome St, Unit N5F")</f>
        <v>565 Broome St, Unit N5F</v>
      </c>
      <c r="B2790" s="2" t="str">
        <f t="shared" si="467"/>
        <v>565 Broome Soho</v>
      </c>
      <c r="C2790" s="1" t="s">
        <v>53</v>
      </c>
      <c r="D2790" s="1" t="s">
        <v>41</v>
      </c>
      <c r="E2790" s="3">
        <v>1664979</v>
      </c>
      <c r="F2790" s="1">
        <v>2325.3892318435701</v>
      </c>
      <c r="G2790" s="1">
        <v>3</v>
      </c>
      <c r="H2790" s="1">
        <v>1</v>
      </c>
      <c r="I2790" s="1">
        <v>1</v>
      </c>
      <c r="J2790" s="1">
        <v>1</v>
      </c>
      <c r="K2790" s="1">
        <v>1</v>
      </c>
      <c r="M2790" s="1">
        <v>716</v>
      </c>
      <c r="N2790" s="1">
        <v>1035</v>
      </c>
      <c r="O2790" s="1">
        <v>2177</v>
      </c>
      <c r="P2790" s="1">
        <v>1142</v>
      </c>
      <c r="Q2790" s="1" t="s">
        <v>42</v>
      </c>
      <c r="S2790" s="1" t="s">
        <v>42</v>
      </c>
      <c r="T2790" s="1" t="s">
        <v>273</v>
      </c>
      <c r="U2790" s="1">
        <v>40</v>
      </c>
      <c r="V2790" s="5">
        <v>44427</v>
      </c>
      <c r="W2790" s="5">
        <v>42611</v>
      </c>
      <c r="X2790" s="1">
        <v>1625000</v>
      </c>
      <c r="Y2790" s="1">
        <v>1625000</v>
      </c>
      <c r="Z2790" s="5">
        <v>42652</v>
      </c>
      <c r="AA2790" s="1">
        <v>1664978.69</v>
      </c>
      <c r="AB2790" s="1" t="s">
        <v>1695</v>
      </c>
      <c r="AC2790" s="5">
        <v>43601</v>
      </c>
      <c r="AF2790" s="1">
        <v>10013</v>
      </c>
      <c r="AI2790" s="1" t="s">
        <v>242</v>
      </c>
      <c r="AJ2790" s="1">
        <v>2019</v>
      </c>
      <c r="AK2790" s="1" t="s">
        <v>46</v>
      </c>
      <c r="AL2790" s="1">
        <v>115</v>
      </c>
    </row>
    <row r="2791" spans="1:38" x14ac:dyDescent="0.2">
      <c r="A2791" s="2" t="str">
        <f>HYPERLINK("https://www.compass.com/listing/527-west-27th-street-unit-6c-manhattan-ny-10001/687729593285023025/","527 W 27th St, Unit 6C")</f>
        <v>527 W 27th St, Unit 6C</v>
      </c>
      <c r="B2791" s="2" t="str">
        <f t="shared" ref="B2791:B2793" si="468">HYPERLINK("https://www.compass.com/building/jardim-manhattan-ny/282062246220171157/","Jardim")</f>
        <v>Jardim</v>
      </c>
      <c r="C2791" s="1" t="s">
        <v>62</v>
      </c>
      <c r="D2791" s="1" t="s">
        <v>41</v>
      </c>
      <c r="E2791" s="3">
        <v>3725500</v>
      </c>
      <c r="F2791" s="1">
        <v>1851.6401590457201</v>
      </c>
      <c r="G2791" s="1">
        <v>6</v>
      </c>
      <c r="H2791" s="1">
        <v>3</v>
      </c>
      <c r="I2791" s="1">
        <v>4</v>
      </c>
      <c r="J2791" s="1">
        <v>3.5</v>
      </c>
      <c r="K2791" s="1">
        <v>3</v>
      </c>
      <c r="L2791" s="1">
        <v>1</v>
      </c>
      <c r="M2791" s="4">
        <v>2012</v>
      </c>
      <c r="N2791" s="1">
        <v>2198</v>
      </c>
      <c r="O2791" s="1">
        <v>5571</v>
      </c>
      <c r="P2791" s="1">
        <v>3373</v>
      </c>
      <c r="Q2791" s="1" t="s">
        <v>42</v>
      </c>
      <c r="S2791" s="1" t="s">
        <v>42</v>
      </c>
      <c r="T2791" s="1" t="s">
        <v>273</v>
      </c>
      <c r="U2791" s="1">
        <v>1619</v>
      </c>
      <c r="V2791" s="5">
        <v>44314</v>
      </c>
      <c r="W2791" s="5">
        <v>42487</v>
      </c>
      <c r="X2791" s="1">
        <v>4375000</v>
      </c>
      <c r="Y2791" s="1">
        <v>4375000</v>
      </c>
      <c r="Z2791" s="5">
        <v>44201</v>
      </c>
      <c r="AA2791" s="1">
        <v>3725500</v>
      </c>
      <c r="AB2791" s="1" t="s">
        <v>1696</v>
      </c>
      <c r="AC2791" s="5">
        <v>44249</v>
      </c>
      <c r="AF2791" s="1">
        <v>10001</v>
      </c>
      <c r="AI2791" s="1" t="s">
        <v>1071</v>
      </c>
      <c r="AJ2791" s="1">
        <v>2017</v>
      </c>
      <c r="AK2791" s="1" t="s">
        <v>49</v>
      </c>
      <c r="AL2791" s="1">
        <v>36</v>
      </c>
    </row>
    <row r="2792" spans="1:38" x14ac:dyDescent="0.2">
      <c r="A2792" s="2" t="str">
        <f>HYPERLINK("https://www.compass.com/listing/527-west-27th-street-unit-6c-manhattan-ny-10001/784839904080340209/","527 W 27th St, Unit 6C")</f>
        <v>527 W 27th St, Unit 6C</v>
      </c>
      <c r="B2792" s="2" t="str">
        <f t="shared" si="468"/>
        <v>Jardim</v>
      </c>
      <c r="C2792" s="1" t="s">
        <v>62</v>
      </c>
      <c r="D2792" s="1" t="s">
        <v>41</v>
      </c>
      <c r="E2792" s="3">
        <v>3725500</v>
      </c>
      <c r="F2792" s="1">
        <v>1851.6401590457201</v>
      </c>
      <c r="G2792" s="1">
        <v>5</v>
      </c>
      <c r="H2792" s="1">
        <v>3</v>
      </c>
      <c r="I2792" s="1">
        <v>4</v>
      </c>
      <c r="J2792" s="1">
        <v>3.5</v>
      </c>
      <c r="M2792" s="4">
        <v>2012</v>
      </c>
      <c r="N2792" s="1">
        <v>2198</v>
      </c>
      <c r="O2792" s="1">
        <v>5571</v>
      </c>
      <c r="P2792" s="1">
        <v>3373</v>
      </c>
      <c r="Q2792" s="1" t="s">
        <v>42</v>
      </c>
      <c r="S2792" s="1" t="s">
        <v>42</v>
      </c>
      <c r="T2792" s="1" t="s">
        <v>273</v>
      </c>
      <c r="V2792" s="5">
        <v>44265</v>
      </c>
      <c r="Y2792" s="1">
        <v>4375000</v>
      </c>
      <c r="Z2792" s="5">
        <v>44201</v>
      </c>
      <c r="AA2792" s="1">
        <v>3725500</v>
      </c>
      <c r="AB2792" s="1" t="s">
        <v>1696</v>
      </c>
      <c r="AC2792" s="5">
        <v>44249</v>
      </c>
      <c r="AF2792" s="1">
        <v>10001</v>
      </c>
      <c r="AI2792" s="1" t="s">
        <v>1074</v>
      </c>
      <c r="AJ2792" s="1">
        <v>2017</v>
      </c>
      <c r="AK2792" s="1" t="s">
        <v>202</v>
      </c>
      <c r="AL2792" s="1">
        <v>36</v>
      </c>
    </row>
    <row r="2793" spans="1:38" x14ac:dyDescent="0.2">
      <c r="A2793" s="2" t="str">
        <f>HYPERLINK("https://www.compass.com/listing/527-west-27th-street-unit-5a-manhattan-ny-10001/803316400596551537/","527 W 27th St, Unit 5A")</f>
        <v>527 W 27th St, Unit 5A</v>
      </c>
      <c r="B2793" s="2" t="str">
        <f t="shared" si="468"/>
        <v>Jardim</v>
      </c>
      <c r="C2793" s="1" t="s">
        <v>62</v>
      </c>
      <c r="D2793" s="1" t="s">
        <v>41</v>
      </c>
      <c r="E2793" s="3">
        <v>5155000</v>
      </c>
      <c r="F2793" s="1">
        <v>2371.2051517939199</v>
      </c>
      <c r="G2793" s="1">
        <v>6</v>
      </c>
      <c r="H2793" s="1">
        <v>3</v>
      </c>
      <c r="I2793" s="1">
        <v>4</v>
      </c>
      <c r="J2793" s="1">
        <v>3.5</v>
      </c>
      <c r="K2793" s="1">
        <v>3</v>
      </c>
      <c r="L2793" s="1">
        <v>1</v>
      </c>
      <c r="M2793" s="4">
        <v>2174</v>
      </c>
      <c r="N2793" s="1">
        <v>3315</v>
      </c>
      <c r="O2793" s="1">
        <v>7277</v>
      </c>
      <c r="P2793" s="1">
        <v>3962</v>
      </c>
      <c r="Q2793" s="1" t="s">
        <v>42</v>
      </c>
      <c r="S2793" s="1" t="s">
        <v>42</v>
      </c>
      <c r="T2793" s="1" t="s">
        <v>273</v>
      </c>
      <c r="V2793" s="5">
        <v>44225</v>
      </c>
      <c r="W2793" s="5">
        <v>42898</v>
      </c>
      <c r="X2793" s="1">
        <v>5575000</v>
      </c>
      <c r="Y2793" s="1">
        <v>5575000</v>
      </c>
      <c r="Z2793" s="5">
        <v>42899</v>
      </c>
      <c r="AA2793" s="1">
        <v>5155000</v>
      </c>
      <c r="AB2793" s="1" t="s">
        <v>1697</v>
      </c>
      <c r="AC2793" s="5">
        <v>43845</v>
      </c>
      <c r="AF2793" s="1">
        <v>10001</v>
      </c>
      <c r="AI2793" s="1" t="s">
        <v>1698</v>
      </c>
      <c r="AJ2793" s="1">
        <v>2017</v>
      </c>
      <c r="AK2793" s="1" t="s">
        <v>49</v>
      </c>
      <c r="AL2793" s="1">
        <v>36</v>
      </c>
    </row>
    <row r="2794" spans="1:38" x14ac:dyDescent="0.2">
      <c r="A2794" s="2" t="str">
        <f>HYPERLINK("https://www.compass.com/listing/225-east-81st-street-unit-3-manhattan-ny-10028/29422589902355521/","225 E 81st St, Unit 3")</f>
        <v>225 E 81st St, Unit 3</v>
      </c>
      <c r="B2794" s="2" t="str">
        <f>HYPERLINK("https://www.compass.com/building/the-justin-manhattan-ny/282057109682552965/","The Justin")</f>
        <v>The Justin</v>
      </c>
      <c r="C2794" s="1" t="s">
        <v>82</v>
      </c>
      <c r="D2794" s="1" t="s">
        <v>41</v>
      </c>
      <c r="E2794" s="3">
        <v>3175000</v>
      </c>
      <c r="F2794" s="1">
        <v>1797.8482446206101</v>
      </c>
      <c r="G2794" s="1">
        <v>6</v>
      </c>
      <c r="H2794" s="1">
        <v>2</v>
      </c>
      <c r="I2794" s="1">
        <v>3</v>
      </c>
      <c r="J2794" s="1">
        <v>2.5</v>
      </c>
      <c r="M2794" s="4">
        <v>1766</v>
      </c>
      <c r="N2794" s="1">
        <v>2353</v>
      </c>
      <c r="O2794" s="1">
        <v>3265</v>
      </c>
      <c r="P2794" s="1">
        <v>912</v>
      </c>
      <c r="Q2794" s="1" t="s">
        <v>42</v>
      </c>
      <c r="S2794" s="1" t="s">
        <v>42</v>
      </c>
      <c r="T2794" s="1" t="s">
        <v>273</v>
      </c>
      <c r="U2794" s="1">
        <v>16</v>
      </c>
      <c r="V2794" s="5">
        <v>43665</v>
      </c>
      <c r="W2794" s="5">
        <v>42622</v>
      </c>
      <c r="X2794" s="1">
        <v>3175000</v>
      </c>
      <c r="Y2794" s="1">
        <v>3175000</v>
      </c>
      <c r="Z2794" s="5">
        <v>42638</v>
      </c>
      <c r="AA2794" s="1">
        <v>3175000</v>
      </c>
      <c r="AB2794" s="1" t="s">
        <v>275</v>
      </c>
      <c r="AC2794" s="5">
        <v>42676</v>
      </c>
      <c r="AF2794" s="1">
        <v>10028</v>
      </c>
      <c r="AI2794" s="1" t="s">
        <v>460</v>
      </c>
      <c r="AJ2794" s="1">
        <v>1920</v>
      </c>
      <c r="AK2794" s="1" t="s">
        <v>73</v>
      </c>
      <c r="AL2794" s="1">
        <v>5</v>
      </c>
    </row>
    <row r="2795" spans="1:38" x14ac:dyDescent="0.2">
      <c r="A2795" s="2" t="str">
        <f>HYPERLINK("https://www.compass.com/listing/527-west-27th-street-unit-2d-manhattan-ny-10001/682566555980236689/","527 W 27th St, Unit 2D")</f>
        <v>527 W 27th St, Unit 2D</v>
      </c>
      <c r="B2795" s="2" t="str">
        <f>HYPERLINK("https://www.compass.com/building/jardim-manhattan-ny/282062246220171157/","Jardim")</f>
        <v>Jardim</v>
      </c>
      <c r="C2795" s="1" t="s">
        <v>62</v>
      </c>
      <c r="D2795" s="1" t="s">
        <v>41</v>
      </c>
      <c r="E2795" s="3">
        <v>3100000</v>
      </c>
      <c r="F2795" s="1">
        <v>1593.0113052415199</v>
      </c>
      <c r="G2795" s="1">
        <v>6</v>
      </c>
      <c r="H2795" s="1">
        <v>3</v>
      </c>
      <c r="I2795" s="1">
        <v>4</v>
      </c>
      <c r="J2795" s="1">
        <v>3.5</v>
      </c>
      <c r="K2795" s="1">
        <v>3</v>
      </c>
      <c r="L2795" s="1">
        <v>1</v>
      </c>
      <c r="M2795" s="4">
        <v>1946</v>
      </c>
      <c r="N2795" s="1">
        <v>2178</v>
      </c>
      <c r="O2795" s="1">
        <v>5444</v>
      </c>
      <c r="P2795" s="1">
        <v>3266</v>
      </c>
      <c r="Q2795" s="1" t="s">
        <v>42</v>
      </c>
      <c r="S2795" s="1" t="s">
        <v>42</v>
      </c>
      <c r="T2795" s="1" t="s">
        <v>273</v>
      </c>
      <c r="U2795" s="1">
        <v>233</v>
      </c>
      <c r="V2795" s="5">
        <v>44314</v>
      </c>
      <c r="W2795" s="5">
        <v>43866</v>
      </c>
      <c r="Y2795" s="1">
        <v>3750000</v>
      </c>
      <c r="Z2795" s="5">
        <v>44194</v>
      </c>
      <c r="AA2795" s="1">
        <v>3100000</v>
      </c>
      <c r="AB2795" s="1" t="s">
        <v>1699</v>
      </c>
      <c r="AC2795" s="5">
        <v>44286</v>
      </c>
      <c r="AF2795" s="1">
        <v>10001</v>
      </c>
      <c r="AI2795" s="1" t="s">
        <v>154</v>
      </c>
      <c r="AJ2795" s="1">
        <v>2017</v>
      </c>
      <c r="AK2795" s="1" t="s">
        <v>49</v>
      </c>
      <c r="AL2795" s="1">
        <v>36</v>
      </c>
    </row>
    <row r="2796" spans="1:38" x14ac:dyDescent="0.2">
      <c r="A2796" s="2" t="str">
        <f>HYPERLINK("https://www.compass.com/listing/570-broome-street-unit-12a-manhattan-ny-10013/803304830743171097/","570 Broome St, Unit 12A")</f>
        <v>570 Broome St, Unit 12A</v>
      </c>
      <c r="B2796" s="2" t="str">
        <f>HYPERLINK("https://www.compass.com/building/570-broome-manhattan-ny/292818583757562981/","570 Broome")</f>
        <v>570 Broome</v>
      </c>
      <c r="C2796" s="1" t="s">
        <v>53</v>
      </c>
      <c r="D2796" s="1" t="s">
        <v>41</v>
      </c>
      <c r="E2796" s="3">
        <v>1690284</v>
      </c>
      <c r="F2796" s="1">
        <v>2107.58650872817</v>
      </c>
      <c r="G2796" s="1">
        <v>3</v>
      </c>
      <c r="H2796" s="1">
        <v>1</v>
      </c>
      <c r="I2796" s="1">
        <v>1</v>
      </c>
      <c r="J2796" s="1">
        <v>1</v>
      </c>
      <c r="K2796" s="1">
        <v>1</v>
      </c>
      <c r="M2796" s="1">
        <v>802</v>
      </c>
      <c r="N2796" s="1">
        <v>858</v>
      </c>
      <c r="O2796" s="1">
        <v>2178</v>
      </c>
      <c r="P2796" s="1">
        <v>1320</v>
      </c>
      <c r="Q2796" s="1" t="s">
        <v>42</v>
      </c>
      <c r="S2796" s="1" t="s">
        <v>42</v>
      </c>
      <c r="T2796" s="1" t="s">
        <v>273</v>
      </c>
      <c r="U2796" s="1">
        <v>143</v>
      </c>
      <c r="V2796" s="5">
        <v>43678</v>
      </c>
      <c r="W2796" s="5">
        <v>43447</v>
      </c>
      <c r="X2796" s="1">
        <v>1850000</v>
      </c>
      <c r="Y2796" s="1">
        <v>1850000</v>
      </c>
      <c r="Z2796" s="5">
        <v>43591</v>
      </c>
      <c r="AA2796" s="1">
        <v>1690284.38</v>
      </c>
      <c r="AB2796" s="1" t="s">
        <v>337</v>
      </c>
      <c r="AC2796" s="5">
        <v>43837</v>
      </c>
      <c r="AF2796" s="1">
        <v>10013</v>
      </c>
      <c r="AI2796" s="1" t="s">
        <v>1612</v>
      </c>
      <c r="AJ2796" s="1">
        <v>2019</v>
      </c>
      <c r="AK2796" s="1" t="s">
        <v>108</v>
      </c>
      <c r="AL2796" s="1">
        <v>54</v>
      </c>
    </row>
    <row r="2797" spans="1:38" x14ac:dyDescent="0.2">
      <c r="A2797" s="2" t="str">
        <f>HYPERLINK("https://www.compass.com/listing/15-hudson-yards-unit-75e-manhattan-ny-10001/776940423842354977/","15 Hudson Yards, Unit 75E")</f>
        <v>15 Hudson Yards, Unit 75E</v>
      </c>
      <c r="B2797" s="2" t="str">
        <f>HYPERLINK("https://www.compass.com/building/fifteen-hudson-yards-manhattan-ny/282058587512011909/","Fifteen Hudson Yards")</f>
        <v>Fifteen Hudson Yards</v>
      </c>
      <c r="C2797" s="1" t="s">
        <v>77</v>
      </c>
      <c r="D2797" s="1" t="s">
        <v>41</v>
      </c>
      <c r="E2797" s="3">
        <v>7650000</v>
      </c>
      <c r="F2797" s="1">
        <v>3378.9752650176601</v>
      </c>
      <c r="G2797" s="1">
        <v>5</v>
      </c>
      <c r="H2797" s="1">
        <v>3</v>
      </c>
      <c r="I2797" s="1">
        <v>4</v>
      </c>
      <c r="J2797" s="1">
        <v>3.5</v>
      </c>
      <c r="K2797" s="1">
        <v>3</v>
      </c>
      <c r="L2797" s="1">
        <v>1</v>
      </c>
      <c r="M2797" s="4">
        <v>2264</v>
      </c>
      <c r="N2797" s="1">
        <v>5642</v>
      </c>
      <c r="O2797" s="1">
        <v>5713</v>
      </c>
      <c r="P2797" s="1">
        <v>71</v>
      </c>
      <c r="Q2797" s="1" t="s">
        <v>42</v>
      </c>
      <c r="S2797" s="1" t="s">
        <v>42</v>
      </c>
      <c r="T2797" s="1" t="s">
        <v>273</v>
      </c>
      <c r="U2797" s="1">
        <v>1</v>
      </c>
      <c r="V2797" s="5">
        <v>44356</v>
      </c>
      <c r="W2797" s="5">
        <v>44323</v>
      </c>
      <c r="X2797" s="1">
        <v>7650000</v>
      </c>
      <c r="Y2797" s="1">
        <v>7650000</v>
      </c>
      <c r="Z2797" s="5">
        <v>44324</v>
      </c>
      <c r="AA2797" s="1">
        <v>7650000</v>
      </c>
      <c r="AB2797" s="1" t="s">
        <v>275</v>
      </c>
      <c r="AC2797" s="5">
        <v>44355</v>
      </c>
      <c r="AF2797" s="1">
        <v>10001</v>
      </c>
      <c r="AJ2797" s="1">
        <v>2018</v>
      </c>
      <c r="AK2797" s="1" t="s">
        <v>46</v>
      </c>
      <c r="AL2797" s="1">
        <v>285</v>
      </c>
    </row>
    <row r="2798" spans="1:38" x14ac:dyDescent="0.2">
      <c r="A2798" s="2" t="str">
        <f>HYPERLINK("https://www.compass.com/listing/565-broome-street-unit-n10a-manhattan-ny-10013/29514993976266801/","565 Broome St, Unit N10A")</f>
        <v>565 Broome St, Unit N10A</v>
      </c>
      <c r="B2798" s="2" t="str">
        <f t="shared" ref="B2798:B2800" si="469">HYPERLINK("https://www.compass.com/building/565-broome-soho-manhattan-ny/292813251698267109/","565 Broome Soho")</f>
        <v>565 Broome Soho</v>
      </c>
      <c r="C2798" s="1" t="s">
        <v>53</v>
      </c>
      <c r="D2798" s="1" t="s">
        <v>41</v>
      </c>
      <c r="E2798" s="3">
        <v>2239576</v>
      </c>
      <c r="F2798" s="1">
        <v>2262.19793939393</v>
      </c>
      <c r="G2798" s="1">
        <v>3</v>
      </c>
      <c r="H2798" s="1">
        <v>1</v>
      </c>
      <c r="I2798" s="1">
        <v>2</v>
      </c>
      <c r="J2798" s="1">
        <v>1.5</v>
      </c>
      <c r="K2798" s="1">
        <v>1</v>
      </c>
      <c r="L2798" s="1">
        <v>1</v>
      </c>
      <c r="M2798" s="1">
        <v>990</v>
      </c>
      <c r="N2798" s="1">
        <v>1474</v>
      </c>
      <c r="O2798" s="1">
        <v>3100</v>
      </c>
      <c r="P2798" s="1">
        <v>1626</v>
      </c>
      <c r="Q2798" s="1" t="s">
        <v>42</v>
      </c>
      <c r="S2798" s="1" t="s">
        <v>42</v>
      </c>
      <c r="T2798" s="1" t="s">
        <v>273</v>
      </c>
      <c r="U2798" s="1">
        <v>44</v>
      </c>
      <c r="V2798" s="5">
        <v>44327</v>
      </c>
      <c r="W2798" s="5">
        <v>42612</v>
      </c>
      <c r="X2798" s="1">
        <v>2375000</v>
      </c>
      <c r="Y2798" s="1">
        <v>2375000</v>
      </c>
      <c r="Z2798" s="5">
        <v>42656</v>
      </c>
      <c r="AA2798" s="1">
        <v>2239575.96</v>
      </c>
      <c r="AB2798" s="1" t="s">
        <v>1700</v>
      </c>
      <c r="AC2798" s="5">
        <v>43600</v>
      </c>
      <c r="AF2798" s="1">
        <v>10013</v>
      </c>
      <c r="AI2798" s="1" t="s">
        <v>242</v>
      </c>
      <c r="AJ2798" s="1">
        <v>2019</v>
      </c>
      <c r="AK2798" s="1" t="s">
        <v>46</v>
      </c>
      <c r="AL2798" s="1">
        <v>115</v>
      </c>
    </row>
    <row r="2799" spans="1:38" x14ac:dyDescent="0.2">
      <c r="A2799" s="2" t="str">
        <f>HYPERLINK("https://www.compass.com/listing/565-broome-street-unit-n12d-manhattan-ny-10013/29514996534765233/","565 Broome St, Unit N12D")</f>
        <v>565 Broome St, Unit N12D</v>
      </c>
      <c r="B2799" s="2" t="str">
        <f t="shared" si="469"/>
        <v>565 Broome Soho</v>
      </c>
      <c r="C2799" s="1" t="s">
        <v>53</v>
      </c>
      <c r="D2799" s="1" t="s">
        <v>41</v>
      </c>
      <c r="E2799" s="3">
        <v>2405221</v>
      </c>
      <c r="F2799" s="1">
        <v>2628.65683060109</v>
      </c>
      <c r="G2799" s="1">
        <v>3</v>
      </c>
      <c r="H2799" s="1">
        <v>1</v>
      </c>
      <c r="I2799" s="1">
        <v>2</v>
      </c>
      <c r="J2799" s="1">
        <v>1.5</v>
      </c>
      <c r="K2799" s="1">
        <v>1</v>
      </c>
      <c r="L2799" s="1">
        <v>1</v>
      </c>
      <c r="M2799" s="1">
        <v>915</v>
      </c>
      <c r="N2799" s="1">
        <v>1376</v>
      </c>
      <c r="O2799" s="1">
        <v>2894</v>
      </c>
      <c r="P2799" s="1">
        <v>1518</v>
      </c>
      <c r="Q2799" s="1" t="s">
        <v>42</v>
      </c>
      <c r="S2799" s="1" t="s">
        <v>42</v>
      </c>
      <c r="T2799" s="1" t="s">
        <v>273</v>
      </c>
      <c r="U2799" s="1">
        <v>243</v>
      </c>
      <c r="V2799" s="5">
        <v>44327</v>
      </c>
      <c r="W2799" s="5">
        <v>42636</v>
      </c>
      <c r="X2799" s="1">
        <v>2370000</v>
      </c>
      <c r="Y2799" s="1">
        <v>2370000</v>
      </c>
      <c r="Z2799" s="5">
        <v>42879</v>
      </c>
      <c r="AA2799" s="1">
        <v>2405221</v>
      </c>
      <c r="AB2799" s="1" t="s">
        <v>1701</v>
      </c>
      <c r="AC2799" s="5">
        <v>43567</v>
      </c>
      <c r="AF2799" s="1">
        <v>10013</v>
      </c>
      <c r="AI2799" s="1" t="s">
        <v>242</v>
      </c>
      <c r="AJ2799" s="1">
        <v>2019</v>
      </c>
      <c r="AK2799" s="1" t="s">
        <v>46</v>
      </c>
      <c r="AL2799" s="1">
        <v>115</v>
      </c>
    </row>
    <row r="2800" spans="1:38" x14ac:dyDescent="0.2">
      <c r="A2800" s="2" t="str">
        <f>HYPERLINK("https://www.compass.com/listing/565-broome-street-unit-s11d-manhattan-ny-10013/29515002213921185/","565 Broome St, Unit S11D")</f>
        <v>565 Broome St, Unit S11D</v>
      </c>
      <c r="B2800" s="2" t="str">
        <f t="shared" si="469"/>
        <v>565 Broome Soho</v>
      </c>
      <c r="C2800" s="1" t="s">
        <v>53</v>
      </c>
      <c r="D2800" s="1" t="s">
        <v>41</v>
      </c>
      <c r="E2800" s="3">
        <v>2304649</v>
      </c>
      <c r="F2800" s="1">
        <v>2518.7416721311401</v>
      </c>
      <c r="G2800" s="1">
        <v>3</v>
      </c>
      <c r="H2800" s="1">
        <v>1</v>
      </c>
      <c r="I2800" s="1">
        <v>2</v>
      </c>
      <c r="J2800" s="1">
        <v>1.5</v>
      </c>
      <c r="K2800" s="1">
        <v>1</v>
      </c>
      <c r="L2800" s="1">
        <v>1</v>
      </c>
      <c r="M2800" s="1">
        <v>915</v>
      </c>
      <c r="N2800" s="1">
        <v>1362</v>
      </c>
      <c r="O2800" s="1">
        <v>2864</v>
      </c>
      <c r="P2800" s="1">
        <v>1502</v>
      </c>
      <c r="Q2800" s="1" t="s">
        <v>42</v>
      </c>
      <c r="S2800" s="1" t="s">
        <v>42</v>
      </c>
      <c r="T2800" s="1" t="s">
        <v>273</v>
      </c>
      <c r="U2800" s="1">
        <v>315</v>
      </c>
      <c r="V2800" s="5">
        <v>44342</v>
      </c>
      <c r="W2800" s="5">
        <v>42612</v>
      </c>
      <c r="X2800" s="1">
        <v>2250000</v>
      </c>
      <c r="Y2800" s="1">
        <v>2250000</v>
      </c>
      <c r="Z2800" s="5">
        <v>42928</v>
      </c>
      <c r="AA2800" s="1">
        <v>2304648.63</v>
      </c>
      <c r="AB2800" s="1" t="s">
        <v>1702</v>
      </c>
      <c r="AC2800" s="5">
        <v>43601</v>
      </c>
      <c r="AF2800" s="1">
        <v>10013</v>
      </c>
      <c r="AI2800" s="1" t="s">
        <v>242</v>
      </c>
      <c r="AJ2800" s="1">
        <v>2019</v>
      </c>
      <c r="AK2800" s="1" t="s">
        <v>46</v>
      </c>
      <c r="AL2800" s="1">
        <v>115</v>
      </c>
    </row>
    <row r="2801" spans="1:38" x14ac:dyDescent="0.2">
      <c r="A2801" s="2" t="str">
        <f>HYPERLINK("https://www.compass.com/listing/527-west-27th-street-unit-7c-manhattan-ny-10001/445628191638867057/","527 W 27th St, Unit 7C")</f>
        <v>527 W 27th St, Unit 7C</v>
      </c>
      <c r="B2801" s="2" t="str">
        <f>HYPERLINK("https://www.compass.com/building/jardim-manhattan-ny/282062246220171157/","Jardim")</f>
        <v>Jardim</v>
      </c>
      <c r="C2801" s="1" t="s">
        <v>62</v>
      </c>
      <c r="D2801" s="1" t="s">
        <v>41</v>
      </c>
      <c r="E2801" s="3">
        <v>3800000</v>
      </c>
      <c r="F2801" s="1">
        <v>1924.05063291139</v>
      </c>
      <c r="G2801" s="1">
        <v>6</v>
      </c>
      <c r="H2801" s="1">
        <v>3</v>
      </c>
      <c r="I2801" s="1">
        <v>4</v>
      </c>
      <c r="J2801" s="1">
        <v>3.5</v>
      </c>
      <c r="K2801" s="1">
        <v>3</v>
      </c>
      <c r="L2801" s="1">
        <v>1</v>
      </c>
      <c r="M2801" s="4">
        <v>1975</v>
      </c>
      <c r="N2801" s="1">
        <v>2168</v>
      </c>
      <c r="O2801" s="1">
        <v>5495</v>
      </c>
      <c r="P2801" s="1">
        <v>3327</v>
      </c>
      <c r="Q2801" s="1" t="s">
        <v>42</v>
      </c>
      <c r="S2801" s="1" t="s">
        <v>42</v>
      </c>
      <c r="T2801" s="1" t="s">
        <v>273</v>
      </c>
      <c r="U2801" s="1">
        <v>1623</v>
      </c>
      <c r="V2801" s="5">
        <v>44323</v>
      </c>
      <c r="W2801" s="5">
        <v>42487</v>
      </c>
      <c r="Z2801" s="5">
        <v>44204</v>
      </c>
      <c r="AA2801" s="1">
        <v>3800000</v>
      </c>
      <c r="AB2801" s="1" t="s">
        <v>1703</v>
      </c>
      <c r="AC2801" s="5">
        <v>44301</v>
      </c>
      <c r="AF2801" s="1">
        <v>10001</v>
      </c>
      <c r="AI2801" s="1" t="s">
        <v>1704</v>
      </c>
      <c r="AJ2801" s="1">
        <v>2017</v>
      </c>
      <c r="AK2801" s="1" t="s">
        <v>49</v>
      </c>
      <c r="AL2801" s="1">
        <v>36</v>
      </c>
    </row>
    <row r="2802" spans="1:38" x14ac:dyDescent="0.2">
      <c r="A2802" s="2" t="str">
        <f>HYPERLINK("https://www.compass.com/listing/565-broome-street-unit-s7a-manhattan-ny-10013/145603191105400625/","565 Broome St, Unit S7A")</f>
        <v>565 Broome St, Unit S7A</v>
      </c>
      <c r="B2802" s="2" t="str">
        <f t="shared" ref="B2802:B2803" si="470">HYPERLINK("https://www.compass.com/building/565-broome-soho-manhattan-ny/292813251698267109/","565 Broome Soho")</f>
        <v>565 Broome Soho</v>
      </c>
      <c r="C2802" s="1" t="s">
        <v>53</v>
      </c>
      <c r="D2802" s="1" t="s">
        <v>41</v>
      </c>
      <c r="E2802" s="3">
        <v>2395000</v>
      </c>
      <c r="F2802" s="1">
        <v>2419.1919191919101</v>
      </c>
      <c r="G2802" s="1">
        <v>3</v>
      </c>
      <c r="H2802" s="1">
        <v>1</v>
      </c>
      <c r="I2802" s="1">
        <v>2</v>
      </c>
      <c r="J2802" s="1">
        <v>1.5</v>
      </c>
      <c r="K2802" s="1">
        <v>1</v>
      </c>
      <c r="L2802" s="1">
        <v>1</v>
      </c>
      <c r="M2802" s="1">
        <v>990</v>
      </c>
      <c r="N2802" s="1">
        <v>1445</v>
      </c>
      <c r="O2802" s="1">
        <v>1445</v>
      </c>
      <c r="Q2802" s="1" t="s">
        <v>42</v>
      </c>
      <c r="S2802" s="1" t="s">
        <v>42</v>
      </c>
      <c r="T2802" s="1" t="s">
        <v>273</v>
      </c>
      <c r="V2802" s="5">
        <v>44331</v>
      </c>
      <c r="W2802" s="5">
        <v>43453</v>
      </c>
      <c r="X2802" s="1">
        <v>2395000</v>
      </c>
      <c r="Y2802" s="1">
        <v>2395000</v>
      </c>
      <c r="Z2802" s="5">
        <v>43453</v>
      </c>
      <c r="AA2802" s="1">
        <v>2395000</v>
      </c>
      <c r="AB2802" s="1" t="s">
        <v>1705</v>
      </c>
      <c r="AC2802" s="5">
        <v>43584</v>
      </c>
      <c r="AF2802" s="1">
        <v>10013</v>
      </c>
      <c r="AI2802" s="1" t="s">
        <v>48</v>
      </c>
      <c r="AJ2802" s="1">
        <v>2019</v>
      </c>
      <c r="AK2802" s="1" t="s">
        <v>46</v>
      </c>
      <c r="AL2802" s="1">
        <v>115</v>
      </c>
    </row>
    <row r="2803" spans="1:38" x14ac:dyDescent="0.2">
      <c r="A2803" s="2" t="str">
        <f>HYPERLINK("https://www.compass.com/listing/565-broome-street-unit-s8a-manhattan-ny-10013/4852308909177703633/","565 Broome St, Unit S8A")</f>
        <v>565 Broome St, Unit S8A</v>
      </c>
      <c r="B2803" s="2" t="str">
        <f t="shared" si="470"/>
        <v>565 Broome Soho</v>
      </c>
      <c r="C2803" s="1" t="s">
        <v>53</v>
      </c>
      <c r="D2803" s="1" t="s">
        <v>41</v>
      </c>
      <c r="E2803" s="3">
        <v>2464165</v>
      </c>
      <c r="F2803" s="1">
        <v>2489.0555555555502</v>
      </c>
      <c r="G2803" s="1">
        <v>3</v>
      </c>
      <c r="H2803" s="1">
        <v>1</v>
      </c>
      <c r="I2803" s="1">
        <v>2</v>
      </c>
      <c r="J2803" s="1">
        <v>1.5</v>
      </c>
      <c r="K2803" s="1">
        <v>1</v>
      </c>
      <c r="L2803" s="1">
        <v>1</v>
      </c>
      <c r="M2803" s="1">
        <v>990</v>
      </c>
      <c r="N2803" s="1">
        <v>1453</v>
      </c>
      <c r="O2803" s="1">
        <v>3055</v>
      </c>
      <c r="P2803" s="1">
        <v>1602</v>
      </c>
      <c r="Q2803" s="1" t="s">
        <v>42</v>
      </c>
      <c r="S2803" s="1" t="s">
        <v>42</v>
      </c>
      <c r="T2803" s="1" t="s">
        <v>273</v>
      </c>
      <c r="U2803" s="1">
        <v>195</v>
      </c>
      <c r="V2803" s="5">
        <v>44342</v>
      </c>
      <c r="W2803" s="5">
        <v>42612</v>
      </c>
      <c r="X2803" s="1">
        <v>2325000</v>
      </c>
      <c r="Y2803" s="1">
        <v>2325000</v>
      </c>
      <c r="AA2803" s="1">
        <v>2464165</v>
      </c>
      <c r="AB2803" s="1" t="s">
        <v>1706</v>
      </c>
      <c r="AC2803" s="5">
        <v>43599</v>
      </c>
      <c r="AF2803" s="1">
        <v>10013</v>
      </c>
      <c r="AI2803" s="1" t="s">
        <v>242</v>
      </c>
      <c r="AJ2803" s="1">
        <v>2019</v>
      </c>
      <c r="AK2803" s="1" t="s">
        <v>46</v>
      </c>
      <c r="AL2803" s="1">
        <v>115</v>
      </c>
    </row>
    <row r="2804" spans="1:38" x14ac:dyDescent="0.2">
      <c r="A2804" s="2" t="str">
        <f>HYPERLINK("https://www.compass.com/listing/527-west-27th-street-unit-9b-manhattan-ny-10001/29514171993317633/","527 W 27th St, Unit 9B")</f>
        <v>527 W 27th St, Unit 9B</v>
      </c>
      <c r="B2804" s="2" t="str">
        <f>HYPERLINK("https://www.compass.com/building/jardim-manhattan-ny/282062246220171157/","Jardim")</f>
        <v>Jardim</v>
      </c>
      <c r="C2804" s="1" t="s">
        <v>62</v>
      </c>
      <c r="D2804" s="1" t="s">
        <v>41</v>
      </c>
      <c r="E2804" s="3">
        <v>5013921</v>
      </c>
      <c r="F2804" s="1">
        <v>2932.1174269005801</v>
      </c>
      <c r="G2804" s="1">
        <v>6</v>
      </c>
      <c r="H2804" s="1">
        <v>3</v>
      </c>
      <c r="I2804" s="1">
        <v>3</v>
      </c>
      <c r="J2804" s="1">
        <v>3.5</v>
      </c>
      <c r="K2804" s="1">
        <v>3</v>
      </c>
      <c r="L2804" s="1">
        <v>1</v>
      </c>
      <c r="M2804" s="4">
        <v>1710</v>
      </c>
      <c r="N2804" s="1">
        <v>2625</v>
      </c>
      <c r="O2804" s="1">
        <v>5762</v>
      </c>
      <c r="P2804" s="1">
        <v>3137</v>
      </c>
      <c r="Q2804" s="1" t="s">
        <v>42</v>
      </c>
      <c r="S2804" s="1" t="s">
        <v>42</v>
      </c>
      <c r="T2804" s="1" t="s">
        <v>273</v>
      </c>
      <c r="V2804" s="5">
        <v>43766</v>
      </c>
      <c r="W2804" s="5">
        <v>42757</v>
      </c>
      <c r="X2804" s="1">
        <v>4921600</v>
      </c>
      <c r="Y2804" s="1">
        <v>4921600</v>
      </c>
      <c r="Z2804" s="5">
        <v>42757</v>
      </c>
      <c r="AA2804" s="1">
        <v>5013920.8</v>
      </c>
      <c r="AB2804" s="1" t="s">
        <v>1707</v>
      </c>
      <c r="AC2804" s="5">
        <v>43756</v>
      </c>
      <c r="AF2804" s="1">
        <v>10001</v>
      </c>
      <c r="AI2804" s="1" t="s">
        <v>159</v>
      </c>
      <c r="AJ2804" s="1">
        <v>2017</v>
      </c>
      <c r="AK2804" s="1" t="s">
        <v>49</v>
      </c>
      <c r="AL2804" s="1">
        <v>36</v>
      </c>
    </row>
    <row r="2805" spans="1:38" x14ac:dyDescent="0.2">
      <c r="A2805" s="2" t="str">
        <f>HYPERLINK("https://www.compass.com/listing/235-west-75th-street-unit-924-manhattan-ny-10023/29395878125054385/","235 W 75th St, Unit 924")</f>
        <v>235 W 75th St, Unit 924</v>
      </c>
      <c r="B2805" s="2" t="str">
        <f t="shared" ref="B2805:B2806" si="471">HYPERLINK("https://www.compass.com/building/the-astor-manhattan-ny/281958704155269925/","The Astor")</f>
        <v>The Astor</v>
      </c>
      <c r="C2805" s="1" t="s">
        <v>57</v>
      </c>
      <c r="D2805" s="1" t="s">
        <v>41</v>
      </c>
      <c r="E2805" s="3">
        <v>1199350</v>
      </c>
      <c r="F2805" s="1">
        <v>2229.2748141263901</v>
      </c>
      <c r="G2805" s="1">
        <v>1</v>
      </c>
      <c r="H2805" s="1" t="s">
        <v>99</v>
      </c>
      <c r="I2805" s="1">
        <v>1</v>
      </c>
      <c r="J2805" s="1">
        <v>1</v>
      </c>
      <c r="K2805" s="1">
        <v>1</v>
      </c>
      <c r="M2805" s="1">
        <v>538</v>
      </c>
      <c r="N2805" s="1">
        <v>717</v>
      </c>
      <c r="O2805" s="1">
        <v>1497</v>
      </c>
      <c r="P2805" s="1">
        <v>780</v>
      </c>
      <c r="Q2805" s="1" t="s">
        <v>42</v>
      </c>
      <c r="S2805" s="1" t="s">
        <v>42</v>
      </c>
      <c r="T2805" s="1" t="s">
        <v>273</v>
      </c>
      <c r="V2805" s="5">
        <v>43605</v>
      </c>
      <c r="W2805" s="5">
        <v>42695</v>
      </c>
      <c r="X2805" s="1">
        <v>1190000</v>
      </c>
      <c r="Y2805" s="1">
        <v>1230000</v>
      </c>
      <c r="Z2805" s="5">
        <v>42695</v>
      </c>
      <c r="AA2805" s="1">
        <v>1199349.8500000001</v>
      </c>
      <c r="AB2805" s="1" t="s">
        <v>1708</v>
      </c>
      <c r="AC2805" s="5">
        <v>42874</v>
      </c>
      <c r="AF2805" s="1">
        <v>10023</v>
      </c>
      <c r="AJ2805" s="1">
        <v>2018</v>
      </c>
      <c r="AK2805" s="1" t="s">
        <v>46</v>
      </c>
      <c r="AL2805" s="1">
        <v>98</v>
      </c>
    </row>
    <row r="2806" spans="1:38" x14ac:dyDescent="0.2">
      <c r="A2806" s="2" t="str">
        <f>HYPERLINK("https://www.compass.com/listing/235-west-75th-street-unit-1023-manhattan-ny-10023/29395879576304433/","235 W 75th St, Unit 1023")</f>
        <v>235 W 75th St, Unit 1023</v>
      </c>
      <c r="B2806" s="2" t="str">
        <f t="shared" si="471"/>
        <v>The Astor</v>
      </c>
      <c r="C2806" s="1" t="s">
        <v>57</v>
      </c>
      <c r="D2806" s="1" t="s">
        <v>41</v>
      </c>
      <c r="E2806" s="3">
        <v>1184380</v>
      </c>
      <c r="F2806" s="1">
        <v>2173.1743853211001</v>
      </c>
      <c r="G2806" s="1">
        <v>2</v>
      </c>
      <c r="H2806" s="1" t="s">
        <v>99</v>
      </c>
      <c r="I2806" s="1">
        <v>1</v>
      </c>
      <c r="J2806" s="1">
        <v>1</v>
      </c>
      <c r="K2806" s="1">
        <v>1</v>
      </c>
      <c r="M2806" s="1">
        <v>545</v>
      </c>
      <c r="N2806" s="1">
        <v>726</v>
      </c>
      <c r="O2806" s="1">
        <v>1517</v>
      </c>
      <c r="P2806" s="1">
        <v>791</v>
      </c>
      <c r="Q2806" s="1" t="s">
        <v>42</v>
      </c>
      <c r="S2806" s="1" t="s">
        <v>42</v>
      </c>
      <c r="T2806" s="1" t="s">
        <v>273</v>
      </c>
      <c r="U2806" s="1">
        <v>313</v>
      </c>
      <c r="V2806" s="5">
        <v>42934</v>
      </c>
      <c r="W2806" s="5">
        <v>42620</v>
      </c>
      <c r="X2806" s="1">
        <v>1255000</v>
      </c>
      <c r="Y2806" s="1">
        <v>1255000</v>
      </c>
      <c r="AA2806" s="1">
        <v>1184380.04</v>
      </c>
      <c r="AB2806" s="1" t="s">
        <v>1709</v>
      </c>
      <c r="AC2806" s="5">
        <v>43053</v>
      </c>
      <c r="AF2806" s="1">
        <v>10023</v>
      </c>
      <c r="AJ2806" s="1">
        <v>2018</v>
      </c>
      <c r="AK2806" s="1" t="s">
        <v>46</v>
      </c>
      <c r="AL2806" s="1">
        <v>98</v>
      </c>
    </row>
    <row r="2807" spans="1:38" x14ac:dyDescent="0.2">
      <c r="A2807" s="2" t="str">
        <f>HYPERLINK("https://www.compass.com/listing/565-broome-street-unit-n9d-manhattan-ny-10013/29514986946654033/","565 Broome St, Unit N9D")</f>
        <v>565 Broome St, Unit N9D</v>
      </c>
      <c r="B2807" s="2" t="str">
        <f>HYPERLINK("https://www.compass.com/building/565-broome-soho-manhattan-ny/292813251698267109/","565 Broome Soho")</f>
        <v>565 Broome Soho</v>
      </c>
      <c r="C2807" s="1" t="s">
        <v>53</v>
      </c>
      <c r="D2807" s="1" t="s">
        <v>41</v>
      </c>
      <c r="E2807" s="3">
        <v>2213277</v>
      </c>
      <c r="F2807" s="1">
        <v>2418.8819672131099</v>
      </c>
      <c r="G2807" s="1">
        <v>3</v>
      </c>
      <c r="H2807" s="1">
        <v>1</v>
      </c>
      <c r="I2807" s="1">
        <v>2</v>
      </c>
      <c r="J2807" s="1">
        <v>1.5</v>
      </c>
      <c r="K2807" s="1">
        <v>1</v>
      </c>
      <c r="L2807" s="1">
        <v>1</v>
      </c>
      <c r="M2807" s="1">
        <v>915</v>
      </c>
      <c r="N2807" s="1">
        <v>1356</v>
      </c>
      <c r="O2807" s="1">
        <v>2852</v>
      </c>
      <c r="P2807" s="1">
        <v>1496</v>
      </c>
      <c r="Q2807" s="1" t="s">
        <v>42</v>
      </c>
      <c r="S2807" s="1" t="s">
        <v>42</v>
      </c>
      <c r="T2807" s="1" t="s">
        <v>273</v>
      </c>
      <c r="U2807" s="1">
        <v>1198</v>
      </c>
      <c r="V2807" s="5">
        <v>44335</v>
      </c>
      <c r="W2807" s="5">
        <v>42612</v>
      </c>
      <c r="X2807" s="1">
        <v>2380000</v>
      </c>
      <c r="Y2807" s="1">
        <v>2295000</v>
      </c>
      <c r="Z2807" s="5">
        <v>43811</v>
      </c>
      <c r="AA2807" s="1">
        <v>2213277</v>
      </c>
      <c r="AB2807" s="1" t="s">
        <v>1710</v>
      </c>
      <c r="AC2807" s="5">
        <v>43853</v>
      </c>
      <c r="AF2807" s="1">
        <v>10013</v>
      </c>
      <c r="AI2807" s="1" t="s">
        <v>48</v>
      </c>
      <c r="AJ2807" s="1">
        <v>2019</v>
      </c>
      <c r="AK2807" s="1" t="s">
        <v>46</v>
      </c>
      <c r="AL2807" s="1">
        <v>115</v>
      </c>
    </row>
    <row r="2808" spans="1:38" x14ac:dyDescent="0.2">
      <c r="A2808" s="2" t="str">
        <f>HYPERLINK("https://www.compass.com/listing/49-chambers-street-unit-14d-manhattan-ny-10007/29513620920564337/","49 Chambers St, Unit 14D")</f>
        <v>49 Chambers St, Unit 14D</v>
      </c>
      <c r="B2808" s="2" t="str">
        <f>HYPERLINK("https://www.compass.com/building/49-chambers-manhattan-ny/282058733280852725/","49 Chambers")</f>
        <v>49 Chambers</v>
      </c>
      <c r="C2808" s="1" t="s">
        <v>113</v>
      </c>
      <c r="D2808" s="1" t="s">
        <v>41</v>
      </c>
      <c r="E2808" s="3">
        <v>410000</v>
      </c>
      <c r="F2808" s="1">
        <v>183.363148479427</v>
      </c>
      <c r="G2808" s="1">
        <v>5</v>
      </c>
      <c r="H2808" s="1">
        <v>3</v>
      </c>
      <c r="I2808" s="1">
        <v>3</v>
      </c>
      <c r="J2808" s="1">
        <v>2.5</v>
      </c>
      <c r="K2808" s="1">
        <v>2</v>
      </c>
      <c r="L2808" s="1">
        <v>1</v>
      </c>
      <c r="M2808" s="4">
        <v>2236</v>
      </c>
      <c r="N2808" s="1">
        <v>1635</v>
      </c>
      <c r="O2808" s="1">
        <v>5244</v>
      </c>
      <c r="P2808" s="1">
        <v>3609</v>
      </c>
      <c r="Q2808" s="1" t="s">
        <v>105</v>
      </c>
      <c r="S2808" s="1" t="s">
        <v>105</v>
      </c>
      <c r="T2808" s="1" t="s">
        <v>273</v>
      </c>
      <c r="U2808" s="1">
        <v>30</v>
      </c>
      <c r="V2808" s="5">
        <v>43932</v>
      </c>
      <c r="W2808" s="5">
        <v>43229</v>
      </c>
      <c r="X2808" s="1">
        <v>4275000</v>
      </c>
      <c r="Y2808" s="1">
        <v>4275000</v>
      </c>
      <c r="Z2808" s="5">
        <v>43260</v>
      </c>
      <c r="AA2808" s="1">
        <v>410000</v>
      </c>
      <c r="AB2808" s="1" t="s">
        <v>275</v>
      </c>
      <c r="AC2808" s="5">
        <v>43577</v>
      </c>
      <c r="AF2808" s="1">
        <v>10007</v>
      </c>
      <c r="AI2808" s="1" t="s">
        <v>114</v>
      </c>
      <c r="AJ2808" s="1">
        <v>1910</v>
      </c>
      <c r="AK2808" s="1" t="s">
        <v>125</v>
      </c>
      <c r="AL2808" s="1">
        <v>99</v>
      </c>
    </row>
    <row r="2809" spans="1:38" x14ac:dyDescent="0.2">
      <c r="A2809" s="2" t="str">
        <f>HYPERLINK("https://www.compass.com/listing/15-hudson-yards-unit-25d-manhattan-ny-10001/231647731154732913/","15 Hudson Yards, Unit 25D")</f>
        <v>15 Hudson Yards, Unit 25D</v>
      </c>
      <c r="B2809" s="2" t="str">
        <f t="shared" ref="B2809:B2810" si="472">HYPERLINK("https://www.compass.com/building/fifteen-hudson-yards-manhattan-ny/282058587512011909/","Fifteen Hudson Yards")</f>
        <v>Fifteen Hudson Yards</v>
      </c>
      <c r="C2809" s="1" t="s">
        <v>77</v>
      </c>
      <c r="D2809" s="1" t="s">
        <v>41</v>
      </c>
      <c r="E2809" s="3">
        <v>3740000</v>
      </c>
      <c r="F2809" s="1">
        <v>2380.6492679821699</v>
      </c>
      <c r="G2809" s="1">
        <v>4</v>
      </c>
      <c r="H2809" s="1">
        <v>2</v>
      </c>
      <c r="I2809" s="1">
        <v>3</v>
      </c>
      <c r="J2809" s="1">
        <v>2.5</v>
      </c>
      <c r="K2809" s="1">
        <v>2</v>
      </c>
      <c r="L2809" s="1">
        <v>1</v>
      </c>
      <c r="M2809" s="4">
        <v>1571</v>
      </c>
      <c r="N2809" s="1">
        <v>3351</v>
      </c>
      <c r="O2809" s="1">
        <v>3398</v>
      </c>
      <c r="P2809" s="1">
        <v>47</v>
      </c>
      <c r="Q2809" s="1" t="s">
        <v>42</v>
      </c>
      <c r="S2809" s="1" t="s">
        <v>42</v>
      </c>
      <c r="T2809" s="1" t="s">
        <v>273</v>
      </c>
      <c r="U2809" s="1">
        <v>894</v>
      </c>
      <c r="V2809" s="5">
        <v>43572</v>
      </c>
      <c r="W2809" s="5">
        <v>42676</v>
      </c>
      <c r="X2809" s="1">
        <v>3740000</v>
      </c>
      <c r="Y2809" s="1">
        <v>3740000</v>
      </c>
      <c r="AA2809" s="1">
        <v>3740000</v>
      </c>
      <c r="AB2809" s="1" t="s">
        <v>275</v>
      </c>
      <c r="AC2809" s="5">
        <v>43570</v>
      </c>
      <c r="AF2809" s="1">
        <v>10001</v>
      </c>
      <c r="AJ2809" s="1">
        <v>2018</v>
      </c>
      <c r="AK2809" s="1" t="s">
        <v>46</v>
      </c>
      <c r="AL2809" s="1">
        <v>285</v>
      </c>
    </row>
    <row r="2810" spans="1:38" x14ac:dyDescent="0.2">
      <c r="A2810" s="2" t="str">
        <f>HYPERLINK("https://www.compass.com/listing/15-hudson-yards-unit-26d-manhattan-ny-10001/286752683837211153/","15 Hudson Yards, Unit 26D")</f>
        <v>15 Hudson Yards, Unit 26D</v>
      </c>
      <c r="B2810" s="2" t="str">
        <f t="shared" si="472"/>
        <v>Fifteen Hudson Yards</v>
      </c>
      <c r="C2810" s="1" t="s">
        <v>77</v>
      </c>
      <c r="D2810" s="1" t="s">
        <v>41</v>
      </c>
      <c r="E2810" s="3">
        <v>3755000</v>
      </c>
      <c r="F2810" s="1">
        <v>2390.1973265436</v>
      </c>
      <c r="G2810" s="1">
        <v>4</v>
      </c>
      <c r="H2810" s="1">
        <v>2</v>
      </c>
      <c r="I2810" s="1">
        <v>3</v>
      </c>
      <c r="J2810" s="1">
        <v>2.5</v>
      </c>
      <c r="K2810" s="1">
        <v>2</v>
      </c>
      <c r="L2810" s="1">
        <v>1</v>
      </c>
      <c r="M2810" s="4">
        <v>1571</v>
      </c>
      <c r="N2810" s="1">
        <v>3355</v>
      </c>
      <c r="O2810" s="1">
        <v>3402</v>
      </c>
      <c r="P2810" s="1">
        <v>47</v>
      </c>
      <c r="Q2810" s="1" t="s">
        <v>42</v>
      </c>
      <c r="S2810" s="1" t="s">
        <v>42</v>
      </c>
      <c r="T2810" s="1" t="s">
        <v>273</v>
      </c>
      <c r="U2810" s="1">
        <v>882</v>
      </c>
      <c r="V2810" s="5">
        <v>43648</v>
      </c>
      <c r="W2810" s="5">
        <v>42761</v>
      </c>
      <c r="X2810" s="1">
        <v>3755000</v>
      </c>
      <c r="Y2810" s="1">
        <v>3755000</v>
      </c>
      <c r="AA2810" s="1">
        <v>3755000</v>
      </c>
      <c r="AB2810" s="1" t="s">
        <v>275</v>
      </c>
      <c r="AC2810" s="5">
        <v>43644</v>
      </c>
      <c r="AF2810" s="1">
        <v>10001</v>
      </c>
      <c r="AJ2810" s="1">
        <v>2018</v>
      </c>
      <c r="AK2810" s="1" t="s">
        <v>46</v>
      </c>
      <c r="AL2810" s="1">
        <v>285</v>
      </c>
    </row>
    <row r="2811" spans="1:38" x14ac:dyDescent="0.2">
      <c r="A2811" s="2" t="str">
        <f>HYPERLINK("https://www.compass.com/listing/67-69-franklin-street-unit-2d-manhattan-ny-10013/293466224577224337/","67-69 Franklin St, Unit 2D")</f>
        <v>67-69 Franklin St, Unit 2D</v>
      </c>
      <c r="B2811" s="2" t="str">
        <f>HYPERLINK("https://www.compass.com/building/cast-iron-house-manhattan-ny/567514773896133269/","Cast Iron House")</f>
        <v>Cast Iron House</v>
      </c>
      <c r="C2811" s="1" t="s">
        <v>50</v>
      </c>
      <c r="D2811" s="1" t="s">
        <v>41</v>
      </c>
      <c r="E2811" s="3">
        <v>5575000</v>
      </c>
      <c r="F2811" s="1">
        <v>1477.99575821845</v>
      </c>
      <c r="G2811" s="1">
        <v>7</v>
      </c>
      <c r="H2811" s="1">
        <v>4</v>
      </c>
      <c r="I2811" s="1">
        <v>3</v>
      </c>
      <c r="J2811" s="1">
        <v>3</v>
      </c>
      <c r="K2811" s="1">
        <v>3</v>
      </c>
      <c r="M2811" s="4">
        <v>3772</v>
      </c>
      <c r="N2811" s="1">
        <v>3302</v>
      </c>
      <c r="O2811" s="1">
        <v>7259</v>
      </c>
      <c r="P2811" s="1">
        <v>3957</v>
      </c>
      <c r="Q2811" s="1" t="s">
        <v>42</v>
      </c>
      <c r="S2811" s="1" t="s">
        <v>42</v>
      </c>
      <c r="T2811" s="1" t="s">
        <v>273</v>
      </c>
      <c r="U2811" s="1">
        <v>1134</v>
      </c>
      <c r="V2811" s="5">
        <v>43657</v>
      </c>
      <c r="W2811" s="5">
        <v>42506</v>
      </c>
      <c r="X2811" s="1">
        <v>5995000</v>
      </c>
      <c r="Y2811" s="1">
        <v>5995000</v>
      </c>
      <c r="AA2811" s="1">
        <v>5575000</v>
      </c>
      <c r="AB2811" s="1" t="s">
        <v>1464</v>
      </c>
      <c r="AC2811" s="5">
        <v>43640</v>
      </c>
      <c r="AF2811" s="1">
        <v>10013</v>
      </c>
      <c r="AI2811" s="1" t="s">
        <v>540</v>
      </c>
      <c r="AJ2811" s="1">
        <v>1881</v>
      </c>
      <c r="AK2811" s="1" t="s">
        <v>46</v>
      </c>
      <c r="AL2811" s="1">
        <v>13</v>
      </c>
    </row>
    <row r="2812" spans="1:38" x14ac:dyDescent="0.2">
      <c r="A2812" s="2" t="str">
        <f>HYPERLINK("https://www.compass.com/listing/1-west-end-avenue-unit-18c-manhattan-ny-10023/213405925392813985/","1 W End Ave, Unit 18C")</f>
        <v>1 W End Ave, Unit 18C</v>
      </c>
      <c r="B2812" s="2" t="str">
        <f>HYPERLINK("https://www.compass.com/building/1-w-end-ave-manhattan-ny-10023/455676159137755317/","1 W End Ave")</f>
        <v>1 W End Ave</v>
      </c>
      <c r="C2812" s="1" t="s">
        <v>57</v>
      </c>
      <c r="D2812" s="1" t="s">
        <v>41</v>
      </c>
      <c r="E2812" s="3">
        <v>1615000</v>
      </c>
      <c r="F2812" s="1">
        <v>2049.4923857867998</v>
      </c>
      <c r="G2812" s="1">
        <v>3</v>
      </c>
      <c r="H2812" s="1">
        <v>1</v>
      </c>
      <c r="I2812" s="1">
        <v>1</v>
      </c>
      <c r="J2812" s="1">
        <v>1</v>
      </c>
      <c r="K2812" s="1">
        <v>1</v>
      </c>
      <c r="M2812" s="1">
        <v>788</v>
      </c>
      <c r="N2812" s="1">
        <v>924</v>
      </c>
      <c r="O2812" s="1">
        <v>977</v>
      </c>
      <c r="P2812" s="1">
        <v>53</v>
      </c>
      <c r="Q2812" s="1" t="s">
        <v>42</v>
      </c>
      <c r="S2812" s="1" t="s">
        <v>42</v>
      </c>
      <c r="T2812" s="1" t="s">
        <v>273</v>
      </c>
      <c r="U2812" s="1">
        <v>41</v>
      </c>
      <c r="V2812" s="5">
        <v>44225</v>
      </c>
      <c r="W2812" s="5">
        <v>43546</v>
      </c>
      <c r="X2812" s="1">
        <v>1750000</v>
      </c>
      <c r="Y2812" s="1">
        <v>1750000</v>
      </c>
      <c r="Z2812" s="5">
        <v>43587</v>
      </c>
      <c r="AA2812" s="1">
        <v>1615000</v>
      </c>
      <c r="AB2812" s="1" t="s">
        <v>1711</v>
      </c>
      <c r="AC2812" s="5">
        <v>43684</v>
      </c>
      <c r="AF2812" s="1">
        <v>10023</v>
      </c>
      <c r="AI2812" s="1" t="s">
        <v>205</v>
      </c>
      <c r="AJ2812" s="1">
        <v>2017</v>
      </c>
      <c r="AK2812" s="1" t="s">
        <v>108</v>
      </c>
      <c r="AL2812" s="1">
        <v>246</v>
      </c>
    </row>
    <row r="2813" spans="1:38" x14ac:dyDescent="0.2">
      <c r="A2813" s="2" t="str">
        <f>HYPERLINK("https://www.compass.com/listing/565-broome-street-unit-n5e-manhattan-ny-10013/29514992441124321/","565 Broome St, Unit N5E")</f>
        <v>565 Broome St, Unit N5E</v>
      </c>
      <c r="B2813" s="2" t="str">
        <f t="shared" ref="B2813:B2815" si="473">HYPERLINK("https://www.compass.com/building/565-broome-soho-manhattan-ny/292813251698267109/","565 Broome Soho")</f>
        <v>565 Broome Soho</v>
      </c>
      <c r="C2813" s="1" t="s">
        <v>53</v>
      </c>
      <c r="D2813" s="1" t="s">
        <v>41</v>
      </c>
      <c r="E2813" s="3">
        <v>1509057</v>
      </c>
      <c r="F2813" s="1">
        <v>2134.4512022630802</v>
      </c>
      <c r="G2813" s="1">
        <v>3</v>
      </c>
      <c r="H2813" s="1">
        <v>1</v>
      </c>
      <c r="I2813" s="1">
        <v>1</v>
      </c>
      <c r="J2813" s="1">
        <v>1</v>
      </c>
      <c r="K2813" s="1">
        <v>1</v>
      </c>
      <c r="M2813" s="1">
        <v>707</v>
      </c>
      <c r="N2813" s="1">
        <v>1022</v>
      </c>
      <c r="O2813" s="1">
        <v>2149</v>
      </c>
      <c r="P2813" s="1">
        <v>1127</v>
      </c>
      <c r="Q2813" s="1" t="s">
        <v>42</v>
      </c>
      <c r="S2813" s="1" t="s">
        <v>42</v>
      </c>
      <c r="T2813" s="1" t="s">
        <v>273</v>
      </c>
      <c r="U2813" s="1">
        <v>1158</v>
      </c>
      <c r="V2813" s="5">
        <v>44338</v>
      </c>
      <c r="W2813" s="5">
        <v>42611</v>
      </c>
      <c r="AA2813" s="1">
        <v>1509057</v>
      </c>
      <c r="AB2813" s="1" t="s">
        <v>1712</v>
      </c>
      <c r="AC2813" s="5">
        <v>43769</v>
      </c>
      <c r="AF2813" s="1">
        <v>10013</v>
      </c>
      <c r="AI2813" s="1" t="s">
        <v>242</v>
      </c>
      <c r="AJ2813" s="1">
        <v>2019</v>
      </c>
      <c r="AK2813" s="1" t="s">
        <v>46</v>
      </c>
      <c r="AL2813" s="1">
        <v>115</v>
      </c>
    </row>
    <row r="2814" spans="1:38" x14ac:dyDescent="0.2">
      <c r="A2814" s="2" t="str">
        <f>HYPERLINK("https://www.compass.com/listing/565-broome-street-unit-n6a-manhattan-ny-10013/29514989245064497/","565 Broome St, Unit N6A")</f>
        <v>565 Broome St, Unit N6A</v>
      </c>
      <c r="B2814" s="2" t="str">
        <f t="shared" si="473"/>
        <v>565 Broome Soho</v>
      </c>
      <c r="C2814" s="1" t="s">
        <v>53</v>
      </c>
      <c r="D2814" s="1" t="s">
        <v>41</v>
      </c>
      <c r="E2814" s="3">
        <v>2279950</v>
      </c>
      <c r="F2814" s="1">
        <v>2302.97979797979</v>
      </c>
      <c r="G2814" s="1">
        <v>3</v>
      </c>
      <c r="H2814" s="1">
        <v>1</v>
      </c>
      <c r="I2814" s="1">
        <v>2</v>
      </c>
      <c r="J2814" s="1">
        <v>1.5</v>
      </c>
      <c r="K2814" s="1">
        <v>1</v>
      </c>
      <c r="L2814" s="1">
        <v>1</v>
      </c>
      <c r="M2814" s="1">
        <v>990</v>
      </c>
      <c r="N2814" s="1">
        <v>1439</v>
      </c>
      <c r="O2814" s="1">
        <v>3026</v>
      </c>
      <c r="P2814" s="1">
        <v>1587</v>
      </c>
      <c r="Q2814" s="1" t="s">
        <v>42</v>
      </c>
      <c r="S2814" s="1" t="s">
        <v>42</v>
      </c>
      <c r="T2814" s="1" t="s">
        <v>273</v>
      </c>
      <c r="U2814" s="1">
        <v>114</v>
      </c>
      <c r="V2814" s="5">
        <v>44331</v>
      </c>
      <c r="W2814" s="5">
        <v>42810</v>
      </c>
      <c r="X2814" s="1">
        <v>2225000</v>
      </c>
      <c r="Y2814" s="1">
        <v>2225000</v>
      </c>
      <c r="Z2814" s="5">
        <v>42924</v>
      </c>
      <c r="AA2814" s="1">
        <v>2279950</v>
      </c>
      <c r="AB2814" s="1" t="s">
        <v>1713</v>
      </c>
      <c r="AC2814" s="5">
        <v>43568</v>
      </c>
      <c r="AF2814" s="1">
        <v>10013</v>
      </c>
      <c r="AI2814" s="1" t="s">
        <v>242</v>
      </c>
      <c r="AJ2814" s="1">
        <v>2019</v>
      </c>
      <c r="AK2814" s="1" t="s">
        <v>46</v>
      </c>
      <c r="AL2814" s="1">
        <v>115</v>
      </c>
    </row>
    <row r="2815" spans="1:38" x14ac:dyDescent="0.2">
      <c r="A2815" s="2" t="str">
        <f>HYPERLINK("https://www.compass.com/listing/565-broome-street-unit-n10d-manhattan-ny-10013/614645710062855705/","565 Broome St, Unit N10D")</f>
        <v>565 Broome St, Unit N10D</v>
      </c>
      <c r="B2815" s="2" t="str">
        <f t="shared" si="473"/>
        <v>565 Broome Soho</v>
      </c>
      <c r="C2815" s="1" t="s">
        <v>53</v>
      </c>
      <c r="D2815" s="1" t="s">
        <v>41</v>
      </c>
      <c r="E2815" s="3">
        <v>2240150</v>
      </c>
      <c r="F2815" s="1">
        <v>2448.2513661202102</v>
      </c>
      <c r="G2815" s="1">
        <v>3.5</v>
      </c>
      <c r="H2815" s="1">
        <v>1</v>
      </c>
      <c r="I2815" s="1">
        <v>2</v>
      </c>
      <c r="J2815" s="1">
        <v>1.5</v>
      </c>
      <c r="K2815" s="1">
        <v>1</v>
      </c>
      <c r="L2815" s="1">
        <v>1</v>
      </c>
      <c r="M2815" s="1">
        <v>915</v>
      </c>
      <c r="N2815" s="1">
        <v>1363</v>
      </c>
      <c r="O2815" s="1">
        <v>2571</v>
      </c>
      <c r="P2815" s="1">
        <v>1208</v>
      </c>
      <c r="Q2815" s="1" t="s">
        <v>42</v>
      </c>
      <c r="S2815" s="1" t="s">
        <v>42</v>
      </c>
      <c r="T2815" s="1" t="s">
        <v>273</v>
      </c>
      <c r="U2815" s="1">
        <v>1392</v>
      </c>
      <c r="V2815" s="5">
        <v>44327</v>
      </c>
      <c r="W2815" s="5">
        <v>42612</v>
      </c>
      <c r="X2815" s="1">
        <v>2405000</v>
      </c>
      <c r="Y2815" s="1">
        <v>2405000</v>
      </c>
      <c r="Z2815" s="5">
        <v>44099</v>
      </c>
      <c r="AA2815" s="1">
        <v>2240150</v>
      </c>
      <c r="AB2815" s="1" t="s">
        <v>1714</v>
      </c>
      <c r="AC2815" s="5">
        <v>44133</v>
      </c>
      <c r="AF2815" s="1">
        <v>10013</v>
      </c>
      <c r="AI2815" s="1" t="s">
        <v>48</v>
      </c>
      <c r="AJ2815" s="1">
        <v>2019</v>
      </c>
      <c r="AK2815" s="1" t="s">
        <v>46</v>
      </c>
      <c r="AL2815" s="1">
        <v>115</v>
      </c>
    </row>
    <row r="2816" spans="1:38" x14ac:dyDescent="0.2">
      <c r="A2816" s="2" t="str">
        <f>HYPERLINK("https://www.compass.com/listing/527-west-27th-street-unit-10b-manhattan-ny-10001/693508563973050689/","527 W 27th St, Unit 10B")</f>
        <v>527 W 27th St, Unit 10B</v>
      </c>
      <c r="B2816" s="2" t="str">
        <f>HYPERLINK("https://www.compass.com/building/jardim-manhattan-ny/282062246220171157/","Jardim")</f>
        <v>Jardim</v>
      </c>
      <c r="C2816" s="1" t="s">
        <v>62</v>
      </c>
      <c r="D2816" s="1" t="s">
        <v>41</v>
      </c>
      <c r="E2816" s="3">
        <v>3850000</v>
      </c>
      <c r="F2816" s="1">
        <v>2271.3864306784599</v>
      </c>
      <c r="G2816" s="1">
        <v>6</v>
      </c>
      <c r="H2816" s="1">
        <v>3</v>
      </c>
      <c r="I2816" s="1">
        <v>4</v>
      </c>
      <c r="J2816" s="1">
        <v>3.5</v>
      </c>
      <c r="K2816" s="1">
        <v>3</v>
      </c>
      <c r="L2816" s="1">
        <v>1</v>
      </c>
      <c r="M2816" s="4">
        <v>1695</v>
      </c>
      <c r="N2816" s="1">
        <v>1866</v>
      </c>
      <c r="O2816" s="1">
        <v>4729</v>
      </c>
      <c r="P2816" s="1">
        <v>2863</v>
      </c>
      <c r="Q2816" s="1" t="s">
        <v>42</v>
      </c>
      <c r="S2816" s="1" t="s">
        <v>42</v>
      </c>
      <c r="T2816" s="1" t="s">
        <v>273</v>
      </c>
      <c r="U2816" s="1">
        <v>1625</v>
      </c>
      <c r="V2816" s="5">
        <v>44323</v>
      </c>
      <c r="W2816" s="5">
        <v>42489</v>
      </c>
      <c r="X2816" s="1">
        <v>4500000</v>
      </c>
      <c r="Y2816" s="1">
        <v>4500000</v>
      </c>
      <c r="Z2816" s="5">
        <v>44209</v>
      </c>
      <c r="AA2816" s="1">
        <v>3850000</v>
      </c>
      <c r="AB2816" s="1" t="s">
        <v>1715</v>
      </c>
      <c r="AC2816" s="5">
        <v>44285</v>
      </c>
      <c r="AF2816" s="1">
        <v>10001</v>
      </c>
      <c r="AI2816" s="1" t="s">
        <v>178</v>
      </c>
      <c r="AJ2816" s="1">
        <v>2017</v>
      </c>
      <c r="AK2816" s="1" t="s">
        <v>49</v>
      </c>
      <c r="AL2816" s="1">
        <v>36</v>
      </c>
    </row>
    <row r="2817" spans="1:38" x14ac:dyDescent="0.2">
      <c r="A2817" s="2" t="str">
        <f>HYPERLINK("https://www.compass.com/listing/565-broome-street-unit-n7a-manhattan-ny-10013/294120301204193825/","565 Broome St, Unit N7A")</f>
        <v>565 Broome St, Unit N7A</v>
      </c>
      <c r="B2817" s="2" t="str">
        <f>HYPERLINK("https://www.compass.com/building/565-broome-soho-manhattan-ny/292813251698267109/","565 Broome Soho")</f>
        <v>565 Broome Soho</v>
      </c>
      <c r="C2817" s="1" t="s">
        <v>53</v>
      </c>
      <c r="D2817" s="1" t="s">
        <v>41</v>
      </c>
      <c r="E2817" s="3">
        <v>2394155</v>
      </c>
      <c r="F2817" s="1">
        <v>2418.3388383838301</v>
      </c>
      <c r="G2817" s="1">
        <v>3</v>
      </c>
      <c r="H2817" s="1">
        <v>1</v>
      </c>
      <c r="I2817" s="1">
        <v>2</v>
      </c>
      <c r="J2817" s="1">
        <v>1.5</v>
      </c>
      <c r="K2817" s="1">
        <v>1</v>
      </c>
      <c r="L2817" s="1">
        <v>1</v>
      </c>
      <c r="M2817" s="1">
        <v>990</v>
      </c>
      <c r="N2817" s="1">
        <v>1445</v>
      </c>
      <c r="O2817" s="1">
        <v>3039</v>
      </c>
      <c r="P2817" s="1">
        <v>1594</v>
      </c>
      <c r="Q2817" s="1" t="s">
        <v>42</v>
      </c>
      <c r="S2817" s="1" t="s">
        <v>42</v>
      </c>
      <c r="T2817" s="1" t="s">
        <v>273</v>
      </c>
      <c r="U2817" s="1">
        <v>1</v>
      </c>
      <c r="V2817" s="5">
        <v>44323</v>
      </c>
      <c r="W2817" s="5">
        <v>43656</v>
      </c>
      <c r="Y2817" s="1">
        <v>2380000</v>
      </c>
      <c r="Z2817" s="5">
        <v>43658</v>
      </c>
      <c r="AA2817" s="1">
        <v>2394155.4500000002</v>
      </c>
      <c r="AB2817" s="1" t="s">
        <v>1716</v>
      </c>
      <c r="AC2817" s="5">
        <v>43684</v>
      </c>
      <c r="AF2817" s="1">
        <v>10013</v>
      </c>
      <c r="AI2817" s="1" t="s">
        <v>48</v>
      </c>
      <c r="AJ2817" s="1">
        <v>2019</v>
      </c>
      <c r="AK2817" s="1" t="s">
        <v>46</v>
      </c>
      <c r="AL2817" s="1">
        <v>115</v>
      </c>
    </row>
    <row r="2818" spans="1:38" x14ac:dyDescent="0.2">
      <c r="A2818" s="2" t="str">
        <f>HYPERLINK("https://www.compass.com/listing/527-west-27th-street-unit-8a-manhattan-ny-10001/338226706686503857/","527 W 27th St, Unit 8A")</f>
        <v>527 W 27th St, Unit 8A</v>
      </c>
      <c r="B2818" s="2" t="str">
        <f>HYPERLINK("https://www.compass.com/building/jardim-manhattan-ny/282062246220171157/","Jardim")</f>
        <v>Jardim</v>
      </c>
      <c r="C2818" s="1" t="s">
        <v>62</v>
      </c>
      <c r="D2818" s="1" t="s">
        <v>41</v>
      </c>
      <c r="E2818" s="3">
        <v>6900000</v>
      </c>
      <c r="F2818" s="1">
        <v>2465.1661307609802</v>
      </c>
      <c r="G2818" s="1">
        <v>6.5</v>
      </c>
      <c r="H2818" s="1">
        <v>3</v>
      </c>
      <c r="I2818" s="1">
        <v>4</v>
      </c>
      <c r="J2818" s="1">
        <v>3.5</v>
      </c>
      <c r="K2818" s="1">
        <v>3</v>
      </c>
      <c r="L2818" s="1">
        <v>1</v>
      </c>
      <c r="M2818" s="4">
        <v>2799</v>
      </c>
      <c r="N2818" s="1">
        <v>4832</v>
      </c>
      <c r="O2818" s="1">
        <v>8785</v>
      </c>
      <c r="P2818" s="1">
        <v>3953</v>
      </c>
      <c r="Q2818" s="1" t="s">
        <v>42</v>
      </c>
      <c r="S2818" s="1" t="s">
        <v>42</v>
      </c>
      <c r="T2818" s="1" t="s">
        <v>273</v>
      </c>
      <c r="U2818" s="1">
        <v>94</v>
      </c>
      <c r="V2818" s="5">
        <v>43865</v>
      </c>
      <c r="W2818" s="5">
        <v>43719</v>
      </c>
      <c r="X2818" s="1">
        <v>8750000</v>
      </c>
      <c r="Y2818" s="1">
        <v>8750000</v>
      </c>
      <c r="Z2818" s="5">
        <v>43813</v>
      </c>
      <c r="AA2818" s="1">
        <v>6900000</v>
      </c>
      <c r="AB2818" s="1" t="s">
        <v>1717</v>
      </c>
      <c r="AC2818" s="5">
        <v>43851</v>
      </c>
      <c r="AF2818" s="1">
        <v>10001</v>
      </c>
      <c r="AI2818" s="1" t="s">
        <v>243</v>
      </c>
      <c r="AJ2818" s="1">
        <v>2017</v>
      </c>
      <c r="AK2818" s="1" t="s">
        <v>49</v>
      </c>
      <c r="AL2818" s="1">
        <v>36</v>
      </c>
    </row>
    <row r="2819" spans="1:38" x14ac:dyDescent="0.2">
      <c r="A2819" s="2" t="str">
        <f>HYPERLINK("https://www.compass.com/listing/503-west-24th-street-unit-8-manhattan-ny-10001/461700620517459761/","503 W 24th St, Unit 8")</f>
        <v>503 W 24th St, Unit 8</v>
      </c>
      <c r="B2819" s="2" t="str">
        <f>HYPERLINK("https://www.compass.com/building/the-getty-residences-manhattan-ny/455668780274722637/","The Getty Residences")</f>
        <v>The Getty Residences</v>
      </c>
      <c r="C2819" s="1" t="s">
        <v>62</v>
      </c>
      <c r="D2819" s="1" t="s">
        <v>41</v>
      </c>
      <c r="E2819" s="3">
        <v>11800000</v>
      </c>
      <c r="F2819" s="1">
        <v>3092.2431865827998</v>
      </c>
      <c r="G2819" s="1">
        <v>5</v>
      </c>
      <c r="H2819" s="1">
        <v>3</v>
      </c>
      <c r="I2819" s="1">
        <v>4</v>
      </c>
      <c r="J2819" s="1">
        <v>3.5</v>
      </c>
      <c r="K2819" s="1">
        <v>3</v>
      </c>
      <c r="L2819" s="1">
        <v>1</v>
      </c>
      <c r="M2819" s="4">
        <v>3816</v>
      </c>
      <c r="N2819" s="1">
        <v>9550</v>
      </c>
      <c r="O2819" s="1">
        <v>16546</v>
      </c>
      <c r="P2819" s="1">
        <v>6996</v>
      </c>
      <c r="Q2819" s="1" t="s">
        <v>42</v>
      </c>
      <c r="S2819" s="1" t="s">
        <v>42</v>
      </c>
      <c r="T2819" s="1" t="s">
        <v>273</v>
      </c>
      <c r="U2819" s="1">
        <v>316</v>
      </c>
      <c r="V2819" s="5">
        <v>44364</v>
      </c>
      <c r="W2819" s="5">
        <v>43888</v>
      </c>
      <c r="X2819" s="1">
        <v>17150000</v>
      </c>
      <c r="Y2819" s="1">
        <v>13800000</v>
      </c>
      <c r="Z2819" s="5">
        <v>44313</v>
      </c>
      <c r="AA2819" s="1">
        <v>11800000</v>
      </c>
      <c r="AB2819" s="1" t="s">
        <v>275</v>
      </c>
      <c r="AC2819" s="5">
        <v>44358</v>
      </c>
      <c r="AF2819" s="1">
        <v>10001</v>
      </c>
      <c r="AI2819" s="1" t="s">
        <v>135</v>
      </c>
      <c r="AJ2819" s="1">
        <v>2018</v>
      </c>
      <c r="AK2819" s="1" t="s">
        <v>49</v>
      </c>
      <c r="AL2819" s="1">
        <v>5</v>
      </c>
    </row>
    <row r="2820" spans="1:38" x14ac:dyDescent="0.2">
      <c r="A2820" s="2" t="str">
        <f>HYPERLINK("https://www.compass.com/listing/1-west-end-avenue-unit-22h-manhattan-ny-10023/283726155616439313/","1 W End Ave, Unit 22H")</f>
        <v>1 W End Ave, Unit 22H</v>
      </c>
      <c r="B2820" s="2" t="str">
        <f>HYPERLINK("https://www.compass.com/building/1-w-end-ave-manhattan-ny-10023/455676159137755317/","1 W End Ave")</f>
        <v>1 W End Ave</v>
      </c>
      <c r="C2820" s="1" t="s">
        <v>57</v>
      </c>
      <c r="D2820" s="1" t="s">
        <v>41</v>
      </c>
      <c r="E2820" s="3">
        <v>1875000</v>
      </c>
      <c r="F2820" s="1">
        <v>2040.26115342763</v>
      </c>
      <c r="G2820" s="1">
        <v>3</v>
      </c>
      <c r="H2820" s="1">
        <v>1</v>
      </c>
      <c r="I2820" s="1">
        <v>2</v>
      </c>
      <c r="J2820" s="1">
        <v>1.5</v>
      </c>
      <c r="K2820" s="1">
        <v>1</v>
      </c>
      <c r="L2820" s="1">
        <v>1</v>
      </c>
      <c r="M2820" s="1">
        <v>919</v>
      </c>
      <c r="N2820" s="1">
        <v>1058</v>
      </c>
      <c r="O2820" s="1">
        <v>1239.51</v>
      </c>
      <c r="P2820" s="1">
        <v>181.5</v>
      </c>
      <c r="Q2820" s="1" t="s">
        <v>1718</v>
      </c>
      <c r="R2820" s="1" t="s">
        <v>1719</v>
      </c>
      <c r="S2820" s="1" t="s">
        <v>42</v>
      </c>
      <c r="T2820" s="1" t="s">
        <v>273</v>
      </c>
      <c r="U2820" s="1">
        <v>159</v>
      </c>
      <c r="V2820" s="5">
        <v>43857</v>
      </c>
      <c r="W2820" s="5">
        <v>43630</v>
      </c>
      <c r="X2820" s="1">
        <v>2099990</v>
      </c>
      <c r="Y2820" s="1">
        <v>1900000</v>
      </c>
      <c r="Z2820" s="5">
        <v>43789</v>
      </c>
      <c r="AA2820" s="1">
        <v>1875000</v>
      </c>
      <c r="AB2820" s="1" t="s">
        <v>1720</v>
      </c>
      <c r="AC2820" s="5">
        <v>43844</v>
      </c>
      <c r="AF2820" s="1">
        <v>10023</v>
      </c>
      <c r="AI2820" s="1" t="s">
        <v>102</v>
      </c>
      <c r="AJ2820" s="1">
        <v>2017</v>
      </c>
      <c r="AK2820" s="1" t="s">
        <v>46</v>
      </c>
      <c r="AL2820" s="1">
        <v>246</v>
      </c>
    </row>
    <row r="2821" spans="1:38" x14ac:dyDescent="0.2">
      <c r="A2821" s="2" t="str">
        <f>HYPERLINK("https://www.compass.com/listing/565-broome-street-unit-n7b-manhattan-ny-10013/434633478886783977/","565 Broome St, Unit N7B")</f>
        <v>565 Broome St, Unit N7B</v>
      </c>
      <c r="B2821" s="2" t="str">
        <f t="shared" ref="B2821:B2822" si="474">HYPERLINK("https://www.compass.com/building/565-broome-soho-manhattan-ny/292813251698267109/","565 Broome Soho")</f>
        <v>565 Broome Soho</v>
      </c>
      <c r="C2821" s="1" t="s">
        <v>53</v>
      </c>
      <c r="D2821" s="1" t="s">
        <v>41</v>
      </c>
      <c r="E2821" s="3">
        <v>975000</v>
      </c>
      <c r="F2821" s="1">
        <v>2128.8209606986802</v>
      </c>
      <c r="G2821" s="1">
        <v>2</v>
      </c>
      <c r="H2821" s="1" t="s">
        <v>99</v>
      </c>
      <c r="I2821" s="1">
        <v>1</v>
      </c>
      <c r="J2821" s="1">
        <v>1</v>
      </c>
      <c r="K2821" s="1">
        <v>1</v>
      </c>
      <c r="M2821" s="1">
        <v>458</v>
      </c>
      <c r="N2821" s="1">
        <v>672</v>
      </c>
      <c r="O2821" s="1">
        <v>1413</v>
      </c>
      <c r="P2821" s="1">
        <v>741</v>
      </c>
      <c r="Q2821" s="1" t="s">
        <v>42</v>
      </c>
      <c r="S2821" s="1" t="s">
        <v>42</v>
      </c>
      <c r="T2821" s="1" t="s">
        <v>273</v>
      </c>
      <c r="U2821" s="1">
        <v>1298</v>
      </c>
      <c r="V2821" s="5">
        <v>44331</v>
      </c>
      <c r="W2821" s="5">
        <v>42612</v>
      </c>
      <c r="X2821" s="1">
        <v>1040000</v>
      </c>
      <c r="Y2821" s="1">
        <v>1040000</v>
      </c>
      <c r="Z2821" s="5">
        <v>44000</v>
      </c>
      <c r="AA2821" s="1">
        <v>975000</v>
      </c>
      <c r="AB2821" s="1" t="s">
        <v>1721</v>
      </c>
      <c r="AC2821" s="5">
        <v>44102</v>
      </c>
      <c r="AF2821" s="1">
        <v>10013</v>
      </c>
      <c r="AI2821" s="1" t="s">
        <v>48</v>
      </c>
      <c r="AJ2821" s="1">
        <v>2019</v>
      </c>
      <c r="AK2821" s="1" t="s">
        <v>46</v>
      </c>
      <c r="AL2821" s="1">
        <v>115</v>
      </c>
    </row>
    <row r="2822" spans="1:38" x14ac:dyDescent="0.2">
      <c r="A2822" s="2" t="str">
        <f>HYPERLINK("https://www.compass.com/listing/565-broome-street-unit-n6i-manhattan-ny-10013/29514996207677585/","565 Broome St, Unit N6I")</f>
        <v>565 Broome St, Unit N6I</v>
      </c>
      <c r="B2822" s="2" t="str">
        <f t="shared" si="474"/>
        <v>565 Broome Soho</v>
      </c>
      <c r="C2822" s="1" t="s">
        <v>53</v>
      </c>
      <c r="D2822" s="1" t="s">
        <v>41</v>
      </c>
      <c r="E2822" s="3">
        <v>1122431</v>
      </c>
      <c r="F2822" s="1">
        <v>2183.71789883268</v>
      </c>
      <c r="G2822" s="1">
        <v>2</v>
      </c>
      <c r="H2822" s="1" t="s">
        <v>99</v>
      </c>
      <c r="I2822" s="1">
        <v>1</v>
      </c>
      <c r="J2822" s="1">
        <v>1</v>
      </c>
      <c r="K2822" s="1">
        <v>1</v>
      </c>
      <c r="M2822" s="1">
        <v>514</v>
      </c>
      <c r="N2822" s="1">
        <v>747</v>
      </c>
      <c r="O2822" s="1">
        <v>1571</v>
      </c>
      <c r="P2822" s="1">
        <v>824</v>
      </c>
      <c r="Q2822" s="1" t="s">
        <v>42</v>
      </c>
      <c r="S2822" s="1" t="s">
        <v>42</v>
      </c>
      <c r="T2822" s="1" t="s">
        <v>273</v>
      </c>
      <c r="U2822" s="1">
        <v>35</v>
      </c>
      <c r="V2822" s="5">
        <v>44331</v>
      </c>
      <c r="W2822" s="5">
        <v>42634</v>
      </c>
      <c r="X2822" s="1">
        <v>1095000</v>
      </c>
      <c r="Y2822" s="1">
        <v>1095000</v>
      </c>
      <c r="Z2822" s="5">
        <v>42669</v>
      </c>
      <c r="AA2822" s="1">
        <v>1122431</v>
      </c>
      <c r="AB2822" s="1" t="s">
        <v>1722</v>
      </c>
      <c r="AC2822" s="5">
        <v>43585</v>
      </c>
      <c r="AF2822" s="1">
        <v>10013</v>
      </c>
      <c r="AI2822" s="1" t="s">
        <v>242</v>
      </c>
      <c r="AJ2822" s="1">
        <v>2019</v>
      </c>
      <c r="AK2822" s="1" t="s">
        <v>46</v>
      </c>
      <c r="AL2822" s="1">
        <v>115</v>
      </c>
    </row>
    <row r="2823" spans="1:38" x14ac:dyDescent="0.2">
      <c r="A2823" s="2" t="str">
        <f>HYPERLINK("https://www.compass.com/listing/15-hudson-yards-unit-31g-manhattan-ny-10001/475138495294416937/","15 Hudson Yards, Unit 31G")</f>
        <v>15 Hudson Yards, Unit 31G</v>
      </c>
      <c r="B2823" s="2" t="str">
        <f t="shared" ref="B2823:B2825" si="475">HYPERLINK("https://www.compass.com/building/fifteen-hudson-yards-manhattan-ny/282058587512011909/","Fifteen Hudson Yards")</f>
        <v>Fifteen Hudson Yards</v>
      </c>
      <c r="C2823" s="1" t="s">
        <v>77</v>
      </c>
      <c r="D2823" s="1" t="s">
        <v>41</v>
      </c>
      <c r="E2823" s="3">
        <v>3850000</v>
      </c>
      <c r="F2823" s="1">
        <v>2631.5789473684199</v>
      </c>
      <c r="G2823" s="1">
        <v>4.5</v>
      </c>
      <c r="H2823" s="1">
        <v>2</v>
      </c>
      <c r="I2823" s="1">
        <v>3</v>
      </c>
      <c r="J2823" s="1">
        <v>2.5</v>
      </c>
      <c r="K2823" s="1">
        <v>2</v>
      </c>
      <c r="L2823" s="1">
        <v>1</v>
      </c>
      <c r="M2823" s="4">
        <v>1463</v>
      </c>
      <c r="N2823" s="1">
        <v>45</v>
      </c>
      <c r="O2823" s="1">
        <v>3554</v>
      </c>
      <c r="P2823" s="1">
        <v>3509</v>
      </c>
      <c r="Q2823" s="1" t="s">
        <v>42</v>
      </c>
      <c r="S2823" s="1" t="s">
        <v>42</v>
      </c>
      <c r="T2823" s="1" t="s">
        <v>273</v>
      </c>
      <c r="U2823" s="1">
        <v>70</v>
      </c>
      <c r="V2823" s="5">
        <v>44105</v>
      </c>
      <c r="W2823" s="5">
        <v>43907</v>
      </c>
      <c r="X2823" s="1">
        <v>4375000</v>
      </c>
      <c r="Y2823" s="1">
        <v>3850000</v>
      </c>
      <c r="AA2823" s="1">
        <v>3850000</v>
      </c>
      <c r="AB2823" s="1" t="s">
        <v>275</v>
      </c>
      <c r="AC2823" s="5">
        <v>44099</v>
      </c>
      <c r="AF2823" s="1">
        <v>10001</v>
      </c>
      <c r="AJ2823" s="1">
        <v>2018</v>
      </c>
      <c r="AK2823" s="1" t="s">
        <v>46</v>
      </c>
      <c r="AL2823" s="1">
        <v>285</v>
      </c>
    </row>
    <row r="2824" spans="1:38" x14ac:dyDescent="0.2">
      <c r="A2824" s="2" t="str">
        <f>HYPERLINK("https://www.compass.com/listing/15-hudson-yards-unit-30a-manhattan-ny-10001/23228769112224865/","15 Hudson Yards, Unit 30A")</f>
        <v>15 Hudson Yards, Unit 30A</v>
      </c>
      <c r="B2824" s="2" t="str">
        <f t="shared" si="475"/>
        <v>Fifteen Hudson Yards</v>
      </c>
      <c r="C2824" s="1" t="s">
        <v>77</v>
      </c>
      <c r="D2824" s="1" t="s">
        <v>41</v>
      </c>
      <c r="E2824" s="3">
        <v>4325000</v>
      </c>
      <c r="F2824" s="1">
        <v>2427.0482603815899</v>
      </c>
      <c r="G2824" s="1">
        <v>4</v>
      </c>
      <c r="H2824" s="1">
        <v>2</v>
      </c>
      <c r="I2824" s="1">
        <v>3</v>
      </c>
      <c r="J2824" s="1">
        <v>2.5</v>
      </c>
      <c r="K2824" s="1">
        <v>2</v>
      </c>
      <c r="L2824" s="1">
        <v>1</v>
      </c>
      <c r="M2824" s="4">
        <v>1782</v>
      </c>
      <c r="N2824" s="1">
        <v>4137</v>
      </c>
      <c r="O2824" s="1">
        <v>4190</v>
      </c>
      <c r="P2824" s="1">
        <v>53</v>
      </c>
      <c r="Q2824" s="1" t="s">
        <v>42</v>
      </c>
      <c r="S2824" s="1" t="s">
        <v>42</v>
      </c>
      <c r="T2824" s="1" t="s">
        <v>273</v>
      </c>
      <c r="U2824" s="1">
        <v>767</v>
      </c>
      <c r="V2824" s="5">
        <v>44386</v>
      </c>
      <c r="W2824" s="5">
        <v>43479</v>
      </c>
      <c r="X2824" s="1">
        <v>4970000</v>
      </c>
      <c r="Y2824" s="1">
        <v>4450000</v>
      </c>
      <c r="Z2824" s="5">
        <v>44341</v>
      </c>
      <c r="AA2824" s="1">
        <v>4325000</v>
      </c>
      <c r="AB2824" s="1" t="s">
        <v>275</v>
      </c>
      <c r="AC2824" s="5">
        <v>44385</v>
      </c>
      <c r="AF2824" s="1">
        <v>10001</v>
      </c>
      <c r="AJ2824" s="1">
        <v>2018</v>
      </c>
      <c r="AK2824" s="1" t="s">
        <v>46</v>
      </c>
      <c r="AL2824" s="1">
        <v>285</v>
      </c>
    </row>
    <row r="2825" spans="1:38" x14ac:dyDescent="0.2">
      <c r="A2825" s="2" t="str">
        <f>HYPERLINK("https://www.compass.com/listing/15-hudson-yards-unit-73e-manhattan-ny-10001/729857205077597889/","15 Hudson Yards, Unit 73E")</f>
        <v>15 Hudson Yards, Unit 73E</v>
      </c>
      <c r="B2825" s="2" t="str">
        <f t="shared" si="475"/>
        <v>Fifteen Hudson Yards</v>
      </c>
      <c r="C2825" s="1" t="s">
        <v>77</v>
      </c>
      <c r="D2825" s="1" t="s">
        <v>41</v>
      </c>
      <c r="E2825" s="3">
        <v>5800000</v>
      </c>
      <c r="F2825" s="1">
        <v>2546.0930640913002</v>
      </c>
      <c r="G2825" s="1">
        <v>5</v>
      </c>
      <c r="H2825" s="1">
        <v>3</v>
      </c>
      <c r="I2825" s="1">
        <v>4</v>
      </c>
      <c r="J2825" s="1">
        <v>3.5</v>
      </c>
      <c r="K2825" s="1">
        <v>3</v>
      </c>
      <c r="L2825" s="1">
        <v>1</v>
      </c>
      <c r="M2825" s="4">
        <v>2278</v>
      </c>
      <c r="N2825" s="1">
        <v>5653</v>
      </c>
      <c r="O2825" s="1">
        <v>5724</v>
      </c>
      <c r="P2825" s="1">
        <v>71</v>
      </c>
      <c r="Q2825" s="1" t="s">
        <v>42</v>
      </c>
      <c r="S2825" s="1" t="s">
        <v>42</v>
      </c>
      <c r="T2825" s="1" t="s">
        <v>273</v>
      </c>
      <c r="V2825" s="5">
        <v>44356</v>
      </c>
      <c r="W2825" s="5">
        <v>44258</v>
      </c>
      <c r="X2825" s="1">
        <v>5995000</v>
      </c>
      <c r="Y2825" s="1">
        <v>5995000</v>
      </c>
      <c r="Z2825" s="5">
        <v>44258</v>
      </c>
      <c r="AA2825" s="1">
        <v>5800000</v>
      </c>
      <c r="AB2825" s="1" t="s">
        <v>275</v>
      </c>
      <c r="AC2825" s="5">
        <v>44350</v>
      </c>
      <c r="AF2825" s="1">
        <v>10001</v>
      </c>
      <c r="AJ2825" s="1">
        <v>2018</v>
      </c>
      <c r="AK2825" s="1" t="s">
        <v>46</v>
      </c>
      <c r="AL2825" s="1">
        <v>285</v>
      </c>
    </row>
    <row r="2826" spans="1:38" x14ac:dyDescent="0.2">
      <c r="A2826" s="2" t="str">
        <f>HYPERLINK("https://www.compass.com/listing/527-west-27th-street-unit-8b-manhattan-ny-10001/682566487562847641/","527 W 27th St, Unit 8B")</f>
        <v>527 W 27th St, Unit 8B</v>
      </c>
      <c r="B2826" s="2" t="str">
        <f>HYPERLINK("https://www.compass.com/building/jardim-manhattan-ny/282062246220171157/","Jardim")</f>
        <v>Jardim</v>
      </c>
      <c r="C2826" s="1" t="s">
        <v>62</v>
      </c>
      <c r="D2826" s="1" t="s">
        <v>41</v>
      </c>
      <c r="E2826" s="3">
        <v>4400000</v>
      </c>
      <c r="F2826" s="1">
        <v>2211.0552763819001</v>
      </c>
      <c r="G2826" s="1">
        <v>6.5</v>
      </c>
      <c r="H2826" s="1">
        <v>3</v>
      </c>
      <c r="I2826" s="1">
        <v>4</v>
      </c>
      <c r="J2826" s="1">
        <v>3.5</v>
      </c>
      <c r="K2826" s="1">
        <v>3</v>
      </c>
      <c r="L2826" s="1">
        <v>1</v>
      </c>
      <c r="M2826" s="4">
        <v>1990</v>
      </c>
      <c r="N2826" s="1">
        <v>2368</v>
      </c>
      <c r="O2826" s="1">
        <v>5921</v>
      </c>
      <c r="P2826" s="1">
        <v>3553</v>
      </c>
      <c r="Q2826" s="1" t="s">
        <v>42</v>
      </c>
      <c r="S2826" s="1" t="s">
        <v>42</v>
      </c>
      <c r="T2826" s="1" t="s">
        <v>273</v>
      </c>
      <c r="U2826" s="1">
        <v>1612</v>
      </c>
      <c r="V2826" s="5">
        <v>44323</v>
      </c>
      <c r="W2826" s="5">
        <v>42487</v>
      </c>
      <c r="X2826" s="1">
        <v>5100000</v>
      </c>
      <c r="Y2826" s="1">
        <v>5100000</v>
      </c>
      <c r="Z2826" s="5">
        <v>44194</v>
      </c>
      <c r="AA2826" s="1">
        <v>4400000</v>
      </c>
      <c r="AB2826" s="1" t="s">
        <v>1723</v>
      </c>
      <c r="AC2826" s="5">
        <v>44195</v>
      </c>
      <c r="AF2826" s="1">
        <v>10001</v>
      </c>
      <c r="AI2826" s="1" t="s">
        <v>159</v>
      </c>
      <c r="AJ2826" s="1">
        <v>2017</v>
      </c>
      <c r="AK2826" s="1" t="s">
        <v>49</v>
      </c>
      <c r="AL2826" s="1">
        <v>36</v>
      </c>
    </row>
    <row r="2827" spans="1:38" x14ac:dyDescent="0.2">
      <c r="A2827" s="2" t="str">
        <f>HYPERLINK("https://www.compass.com/listing/565-broome-street-unit-n16b-manhattan-ny-10013/29514987290518769/","565 Broome St, Unit N16B")</f>
        <v>565 Broome St, Unit N16B</v>
      </c>
      <c r="B2827" s="2" t="str">
        <f>HYPERLINK("https://www.compass.com/building/565-broome-soho-manhattan-ny/292813251698267109/","565 Broome Soho")</f>
        <v>565 Broome Soho</v>
      </c>
      <c r="C2827" s="1" t="s">
        <v>53</v>
      </c>
      <c r="D2827" s="1" t="s">
        <v>41</v>
      </c>
      <c r="E2827" s="3">
        <v>284628</v>
      </c>
      <c r="F2827" s="1">
        <v>79.593959731543606</v>
      </c>
      <c r="G2827" s="1">
        <v>6</v>
      </c>
      <c r="H2827" s="1">
        <v>4</v>
      </c>
      <c r="I2827" s="1">
        <v>4</v>
      </c>
      <c r="J2827" s="1">
        <v>3.5</v>
      </c>
      <c r="K2827" s="1">
        <v>3</v>
      </c>
      <c r="L2827" s="1">
        <v>1</v>
      </c>
      <c r="M2827" s="4">
        <v>3576</v>
      </c>
      <c r="N2827" s="1">
        <v>6263</v>
      </c>
      <c r="O2827" s="1">
        <v>13171</v>
      </c>
      <c r="P2827" s="1">
        <v>6908</v>
      </c>
      <c r="Q2827" s="1" t="s">
        <v>42</v>
      </c>
      <c r="S2827" s="1" t="s">
        <v>42</v>
      </c>
      <c r="T2827" s="1" t="s">
        <v>273</v>
      </c>
      <c r="U2827" s="1">
        <v>644</v>
      </c>
      <c r="V2827" s="5">
        <v>44344</v>
      </c>
      <c r="W2827" s="5">
        <v>42612</v>
      </c>
      <c r="X2827" s="1">
        <v>15500000</v>
      </c>
      <c r="Y2827" s="1">
        <v>15500000</v>
      </c>
      <c r="Z2827" s="5">
        <v>43257</v>
      </c>
      <c r="AA2827" s="1">
        <v>284628</v>
      </c>
      <c r="AB2827" s="1" t="s">
        <v>275</v>
      </c>
      <c r="AC2827" s="5">
        <v>43643</v>
      </c>
      <c r="AF2827" s="1">
        <v>10013</v>
      </c>
      <c r="AI2827" s="1" t="s">
        <v>1724</v>
      </c>
      <c r="AJ2827" s="1">
        <v>2019</v>
      </c>
      <c r="AK2827" s="1" t="s">
        <v>46</v>
      </c>
      <c r="AL2827" s="1">
        <v>115</v>
      </c>
    </row>
    <row r="2828" spans="1:38" x14ac:dyDescent="0.2">
      <c r="A2828" s="2" t="str">
        <f>HYPERLINK("https://www.compass.com/listing/503-west-24th-street-unit-6-manhattan-ny-10001/430716360759287009/","503 W 24th St, Unit 6")</f>
        <v>503 W 24th St, Unit 6</v>
      </c>
      <c r="B2828" s="2" t="str">
        <f>HYPERLINK("https://www.compass.com/building/the-getty-residences-manhattan-ny/455668780274722637/","The Getty Residences")</f>
        <v>The Getty Residences</v>
      </c>
      <c r="C2828" s="1" t="s">
        <v>62</v>
      </c>
      <c r="D2828" s="1" t="s">
        <v>41</v>
      </c>
      <c r="E2828" s="3">
        <v>8700000</v>
      </c>
      <c r="F2828" s="1">
        <v>2626.8115942028899</v>
      </c>
      <c r="G2828" s="1">
        <v>6</v>
      </c>
      <c r="H2828" s="1">
        <v>3</v>
      </c>
      <c r="I2828" s="1">
        <v>4</v>
      </c>
      <c r="J2828" s="1">
        <v>3.5</v>
      </c>
      <c r="K2828" s="1">
        <v>3</v>
      </c>
      <c r="L2828" s="1">
        <v>1</v>
      </c>
      <c r="M2828" s="4">
        <v>3312</v>
      </c>
      <c r="N2828" s="1">
        <v>8077</v>
      </c>
      <c r="O2828" s="1">
        <v>13994</v>
      </c>
      <c r="P2828" s="1">
        <v>5917</v>
      </c>
      <c r="Q2828" s="1" t="s">
        <v>42</v>
      </c>
      <c r="S2828" s="1" t="s">
        <v>42</v>
      </c>
      <c r="T2828" s="1" t="s">
        <v>273</v>
      </c>
      <c r="U2828" s="1">
        <v>270</v>
      </c>
      <c r="V2828" s="5">
        <v>44370</v>
      </c>
      <c r="W2828" s="5">
        <v>43845</v>
      </c>
      <c r="X2828" s="1">
        <v>16250000</v>
      </c>
      <c r="Y2828" s="1">
        <v>9400000</v>
      </c>
      <c r="Z2828" s="5">
        <v>44309</v>
      </c>
      <c r="AA2828" s="1">
        <v>8700000</v>
      </c>
      <c r="AB2828" s="1" t="s">
        <v>275</v>
      </c>
      <c r="AC2828" s="5">
        <v>44368</v>
      </c>
      <c r="AF2828" s="1">
        <v>10001</v>
      </c>
      <c r="AJ2828" s="1">
        <v>2018</v>
      </c>
      <c r="AK2828" s="1" t="s">
        <v>49</v>
      </c>
      <c r="AL2828" s="1">
        <v>5</v>
      </c>
    </row>
    <row r="2829" spans="1:38" x14ac:dyDescent="0.2">
      <c r="A2829" s="2" t="str">
        <f>HYPERLINK("https://www.compass.com/listing/15-hudson-yards-unit-27g-manhattan-ny-10001/19929605536289281/","15 Hudson Yards, Unit 27G")</f>
        <v>15 Hudson Yards, Unit 27G</v>
      </c>
      <c r="B2829" s="2" t="str">
        <f>HYPERLINK("https://www.compass.com/building/fifteen-hudson-yards-manhattan-ny/282058587512011909/","Fifteen Hudson Yards")</f>
        <v>Fifteen Hudson Yards</v>
      </c>
      <c r="C2829" s="1" t="s">
        <v>77</v>
      </c>
      <c r="D2829" s="1" t="s">
        <v>41</v>
      </c>
      <c r="E2829" s="3">
        <v>4315000</v>
      </c>
      <c r="F2829" s="1">
        <v>2947.4043715846901</v>
      </c>
      <c r="G2829" s="1">
        <v>4</v>
      </c>
      <c r="H2829" s="1">
        <v>2</v>
      </c>
      <c r="I2829" s="1">
        <v>3</v>
      </c>
      <c r="J2829" s="1">
        <v>2.5</v>
      </c>
      <c r="K2829" s="1">
        <v>2</v>
      </c>
      <c r="L2829" s="1">
        <v>1</v>
      </c>
      <c r="M2829" s="4">
        <v>1464</v>
      </c>
      <c r="N2829" s="1">
        <v>3429</v>
      </c>
      <c r="O2829" s="1">
        <v>3475</v>
      </c>
      <c r="P2829" s="1">
        <v>46</v>
      </c>
      <c r="Q2829" s="1" t="s">
        <v>42</v>
      </c>
      <c r="S2829" s="1" t="s">
        <v>42</v>
      </c>
      <c r="T2829" s="1" t="s">
        <v>273</v>
      </c>
      <c r="U2829" s="1">
        <v>129</v>
      </c>
      <c r="V2829" s="5">
        <v>43617</v>
      </c>
      <c r="W2829" s="5">
        <v>43404</v>
      </c>
      <c r="Y2829" s="1">
        <v>4315000</v>
      </c>
      <c r="AA2829" s="1">
        <v>4315000</v>
      </c>
      <c r="AB2829" s="1" t="s">
        <v>275</v>
      </c>
      <c r="AC2829" s="5">
        <v>43614</v>
      </c>
      <c r="AF2829" s="1">
        <v>10001</v>
      </c>
      <c r="AJ2829" s="1">
        <v>2018</v>
      </c>
      <c r="AK2829" s="1" t="s">
        <v>46</v>
      </c>
      <c r="AL2829" s="1">
        <v>285</v>
      </c>
    </row>
    <row r="2830" spans="1:38" x14ac:dyDescent="0.2">
      <c r="A2830" s="2" t="str">
        <f>HYPERLINK("https://www.compass.com/listing/108-leonard-street-unit-6h-manhattan-ny-10013/461289674733162033/","108 Leonard St, Unit 6H")</f>
        <v>108 Leonard St, Unit 6H</v>
      </c>
      <c r="B2830" s="2" t="str">
        <f>HYPERLINK("https://www.compass.com/building/108-leonard-st-manhattan-ny-10013/307456049610778277/","108 Leonard St")</f>
        <v>108 Leonard St</v>
      </c>
      <c r="C2830" s="1" t="s">
        <v>113</v>
      </c>
      <c r="D2830" s="1" t="s">
        <v>41</v>
      </c>
      <c r="E2830" s="3">
        <v>3316368</v>
      </c>
      <c r="F2830" s="1">
        <v>2097.63975332068</v>
      </c>
      <c r="H2830" s="1">
        <v>2</v>
      </c>
      <c r="J2830" s="1">
        <v>2.5</v>
      </c>
      <c r="K2830" s="1">
        <v>2</v>
      </c>
      <c r="L2830" s="1">
        <v>1</v>
      </c>
      <c r="M2830" s="4">
        <v>1581</v>
      </c>
      <c r="N2830" s="1">
        <v>1880</v>
      </c>
      <c r="O2830" s="1">
        <v>4431</v>
      </c>
      <c r="P2830" s="1">
        <v>2551</v>
      </c>
      <c r="Q2830" s="1" t="s">
        <v>42</v>
      </c>
      <c r="S2830" s="1" t="s">
        <v>42</v>
      </c>
      <c r="T2830" s="1" t="s">
        <v>273</v>
      </c>
      <c r="AA2830" s="1">
        <v>3316368.45</v>
      </c>
      <c r="AB2830" s="1" t="s">
        <v>1725</v>
      </c>
      <c r="AC2830" s="5">
        <v>43880</v>
      </c>
      <c r="AF2830" s="1">
        <v>10013</v>
      </c>
      <c r="AI2830" s="1" t="s">
        <v>78</v>
      </c>
      <c r="AJ2830" s="1">
        <v>1899</v>
      </c>
      <c r="AK2830" s="1" t="s">
        <v>55</v>
      </c>
      <c r="AL2830" s="1">
        <v>167</v>
      </c>
    </row>
    <row r="2831" spans="1:38" x14ac:dyDescent="0.2">
      <c r="A2831" s="2" t="str">
        <f>HYPERLINK("https://www.compass.com/listing/503-west-24th-street-unit-7-manhattan-ny-10001/571015364203567801/","503 W 24th St, Unit 7")</f>
        <v>503 W 24th St, Unit 7</v>
      </c>
      <c r="B2831" s="2" t="str">
        <f>HYPERLINK("https://www.compass.com/building/the-getty-residences-manhattan-ny/455668780274722637/","The Getty Residences")</f>
        <v>The Getty Residences</v>
      </c>
      <c r="C2831" s="1" t="s">
        <v>62</v>
      </c>
      <c r="D2831" s="1" t="s">
        <v>41</v>
      </c>
      <c r="E2831" s="3">
        <v>10209300</v>
      </c>
      <c r="F2831" s="1">
        <v>2649.0140114167002</v>
      </c>
      <c r="G2831" s="1">
        <v>7</v>
      </c>
      <c r="H2831" s="1">
        <v>4</v>
      </c>
      <c r="I2831" s="1">
        <v>5</v>
      </c>
      <c r="J2831" s="1">
        <v>4.5</v>
      </c>
      <c r="K2831" s="1">
        <v>4</v>
      </c>
      <c r="L2831" s="1">
        <v>1</v>
      </c>
      <c r="M2831" s="4">
        <v>3854</v>
      </c>
      <c r="N2831" s="1">
        <v>9594</v>
      </c>
      <c r="O2831" s="1">
        <v>16621</v>
      </c>
      <c r="P2831" s="1">
        <v>7027</v>
      </c>
      <c r="Q2831" s="1" t="s">
        <v>42</v>
      </c>
      <c r="S2831" s="1" t="s">
        <v>42</v>
      </c>
      <c r="T2831" s="1" t="s">
        <v>273</v>
      </c>
      <c r="U2831" s="1">
        <v>291</v>
      </c>
      <c r="V2831" s="5">
        <v>44364</v>
      </c>
      <c r="W2831" s="5">
        <v>44039</v>
      </c>
      <c r="X2831" s="1">
        <v>11800000</v>
      </c>
      <c r="Y2831" s="1">
        <v>11800000</v>
      </c>
      <c r="Z2831" s="5">
        <v>44331</v>
      </c>
      <c r="AA2831" s="1">
        <v>10209300</v>
      </c>
      <c r="AB2831" s="1" t="s">
        <v>275</v>
      </c>
      <c r="AC2831" s="5">
        <v>44358</v>
      </c>
      <c r="AF2831" s="1">
        <v>10001</v>
      </c>
      <c r="AI2831" s="1" t="s">
        <v>135</v>
      </c>
      <c r="AJ2831" s="1">
        <v>2018</v>
      </c>
      <c r="AK2831" s="1" t="s">
        <v>49</v>
      </c>
      <c r="AL2831" s="1">
        <v>5</v>
      </c>
    </row>
    <row r="2832" spans="1:38" x14ac:dyDescent="0.2">
      <c r="A2832" s="2" t="str">
        <f>HYPERLINK("https://www.compass.com/listing/200-east-94th-street-unit-817-manhattan-ny-10128/49147225137273665/","200 E 94th St, Unit 817")</f>
        <v>200 E 94th St, Unit 817</v>
      </c>
      <c r="B2832" s="2" t="str">
        <f>HYPERLINK("https://www.compass.com/building/carnegie-park-condominium-manhattan-ny/282049797358118613/","Carnegie Park Condominium")</f>
        <v>Carnegie Park Condominium</v>
      </c>
      <c r="C2832" s="1" t="s">
        <v>82</v>
      </c>
      <c r="D2832" s="1" t="s">
        <v>41</v>
      </c>
      <c r="E2832" s="3">
        <v>2113161</v>
      </c>
      <c r="F2832" s="1">
        <v>2024.1005747126401</v>
      </c>
      <c r="G2832" s="1">
        <v>4</v>
      </c>
      <c r="H2832" s="1">
        <v>2</v>
      </c>
      <c r="I2832" s="1">
        <v>2</v>
      </c>
      <c r="J2832" s="1">
        <v>2</v>
      </c>
      <c r="K2832" s="1">
        <v>2</v>
      </c>
      <c r="M2832" s="4">
        <v>1044</v>
      </c>
      <c r="N2832" s="1">
        <v>1328</v>
      </c>
      <c r="O2832" s="1">
        <v>2482</v>
      </c>
      <c r="P2832" s="1">
        <v>1154</v>
      </c>
      <c r="Q2832" s="1" t="s">
        <v>42</v>
      </c>
      <c r="S2832" s="1" t="s">
        <v>42</v>
      </c>
      <c r="T2832" s="1" t="s">
        <v>273</v>
      </c>
      <c r="U2832" s="1">
        <v>184</v>
      </c>
      <c r="V2832" s="5">
        <v>43806</v>
      </c>
      <c r="W2832" s="5">
        <v>43320</v>
      </c>
      <c r="X2832" s="1">
        <v>2395000</v>
      </c>
      <c r="Y2832" s="1">
        <v>2395000</v>
      </c>
      <c r="Z2832" s="5">
        <v>43504</v>
      </c>
      <c r="AA2832" s="1">
        <v>2113161</v>
      </c>
      <c r="AB2832" s="1" t="s">
        <v>1726</v>
      </c>
      <c r="AC2832" s="5">
        <v>43588</v>
      </c>
      <c r="AF2832" s="1">
        <v>10128</v>
      </c>
      <c r="AI2832" s="1" t="s">
        <v>1727</v>
      </c>
      <c r="AJ2832" s="1">
        <v>1986</v>
      </c>
      <c r="AK2832" s="1" t="s">
        <v>108</v>
      </c>
      <c r="AL2832" s="1">
        <v>287</v>
      </c>
    </row>
    <row r="2833" spans="1:38" x14ac:dyDescent="0.2">
      <c r="A2833" s="2" t="str">
        <f>HYPERLINK("https://www.compass.com/listing/15-hudson-yards-unit-69a-manhattan-ny-10001/28301821793637201/","15 Hudson Yards, Unit 69A")</f>
        <v>15 Hudson Yards, Unit 69A</v>
      </c>
      <c r="B2833" s="2" t="str">
        <f t="shared" ref="B2833:B2834" si="476">HYPERLINK("https://www.compass.com/building/fifteen-hudson-yards-manhattan-ny/282058587512011909/","Fifteen Hudson Yards")</f>
        <v>Fifteen Hudson Yards</v>
      </c>
      <c r="C2833" s="1" t="s">
        <v>77</v>
      </c>
      <c r="D2833" s="1" t="s">
        <v>41</v>
      </c>
      <c r="E2833" s="3">
        <v>9353750</v>
      </c>
      <c r="F2833" s="1">
        <v>3865.1859504132199</v>
      </c>
      <c r="G2833" s="1">
        <v>5</v>
      </c>
      <c r="H2833" s="1">
        <v>3</v>
      </c>
      <c r="I2833" s="1">
        <v>4</v>
      </c>
      <c r="J2833" s="1">
        <v>3.5</v>
      </c>
      <c r="K2833" s="1">
        <v>3</v>
      </c>
      <c r="L2833" s="1">
        <v>1</v>
      </c>
      <c r="M2833" s="4">
        <v>2420</v>
      </c>
      <c r="N2833" s="1">
        <v>5997</v>
      </c>
      <c r="O2833" s="1">
        <v>6079</v>
      </c>
      <c r="P2833" s="1">
        <v>82</v>
      </c>
      <c r="Q2833" s="1" t="s">
        <v>42</v>
      </c>
      <c r="S2833" s="1" t="s">
        <v>42</v>
      </c>
      <c r="T2833" s="1" t="s">
        <v>273</v>
      </c>
      <c r="U2833" s="1">
        <v>113</v>
      </c>
      <c r="V2833" s="5">
        <v>43706</v>
      </c>
      <c r="W2833" s="5">
        <v>43481</v>
      </c>
      <c r="Y2833" s="1">
        <v>5495000</v>
      </c>
      <c r="AA2833" s="1">
        <v>9353750</v>
      </c>
      <c r="AB2833" s="1" t="s">
        <v>275</v>
      </c>
      <c r="AC2833" s="5">
        <v>43641</v>
      </c>
      <c r="AF2833" s="1">
        <v>10001</v>
      </c>
      <c r="AJ2833" s="1">
        <v>2018</v>
      </c>
      <c r="AK2833" s="1" t="s">
        <v>46</v>
      </c>
      <c r="AL2833" s="1">
        <v>285</v>
      </c>
    </row>
    <row r="2834" spans="1:38" x14ac:dyDescent="0.2">
      <c r="A2834" s="2" t="str">
        <f>HYPERLINK("https://www.compass.com/listing/15-hudson-yards-unit-ph83d-manhattan-ny-10001/23228799193714017/","15 Hudson Yards, Unit PH83D")</f>
        <v>15 Hudson Yards, Unit PH83D</v>
      </c>
      <c r="B2834" s="2" t="str">
        <f t="shared" si="476"/>
        <v>Fifteen Hudson Yards</v>
      </c>
      <c r="C2834" s="1" t="s">
        <v>77</v>
      </c>
      <c r="D2834" s="1" t="s">
        <v>41</v>
      </c>
      <c r="E2834" s="3">
        <v>7000000</v>
      </c>
      <c r="F2834" s="1">
        <v>2745.0980392156798</v>
      </c>
      <c r="G2834" s="1">
        <v>6.5</v>
      </c>
      <c r="H2834" s="1">
        <v>3</v>
      </c>
      <c r="I2834" s="1">
        <v>4</v>
      </c>
      <c r="J2834" s="1">
        <v>3.5</v>
      </c>
      <c r="K2834" s="1">
        <v>3</v>
      </c>
      <c r="L2834" s="1">
        <v>1</v>
      </c>
      <c r="M2834" s="4">
        <v>2550</v>
      </c>
      <c r="N2834" s="1">
        <v>6117</v>
      </c>
      <c r="O2834" s="1">
        <v>6196</v>
      </c>
      <c r="P2834" s="1">
        <v>79</v>
      </c>
      <c r="Q2834" s="1" t="s">
        <v>42</v>
      </c>
      <c r="S2834" s="1" t="s">
        <v>42</v>
      </c>
      <c r="T2834" s="1" t="s">
        <v>273</v>
      </c>
      <c r="U2834" s="1">
        <v>260</v>
      </c>
      <c r="V2834" s="5">
        <v>44317</v>
      </c>
      <c r="W2834" s="5">
        <v>43902</v>
      </c>
      <c r="Y2834" s="1">
        <v>8415000</v>
      </c>
      <c r="Z2834" s="5">
        <v>44257</v>
      </c>
      <c r="AA2834" s="1">
        <v>7000000</v>
      </c>
      <c r="AB2834" s="1" t="s">
        <v>275</v>
      </c>
      <c r="AC2834" s="5">
        <v>44314</v>
      </c>
      <c r="AF2834" s="1">
        <v>10001</v>
      </c>
      <c r="AJ2834" s="1">
        <v>2018</v>
      </c>
      <c r="AK2834" s="1" t="s">
        <v>46</v>
      </c>
      <c r="AL2834" s="1">
        <v>285</v>
      </c>
    </row>
    <row r="2835" spans="1:38" x14ac:dyDescent="0.2">
      <c r="A2835" s="2" t="str">
        <f>HYPERLINK("https://www.compass.com/listing/527-west-27th-street-unit-5a-manhattan-ny-10001/406480811193426417/","527 W 27th St, Unit 5A")</f>
        <v>527 W 27th St, Unit 5A</v>
      </c>
      <c r="B2835" s="2" t="str">
        <f>HYPERLINK("https://www.compass.com/building/jardim-manhattan-ny/282062246220171157/","Jardim")</f>
        <v>Jardim</v>
      </c>
      <c r="C2835" s="1" t="s">
        <v>62</v>
      </c>
      <c r="D2835" s="1" t="s">
        <v>41</v>
      </c>
      <c r="E2835" s="3">
        <v>5155000</v>
      </c>
      <c r="F2835" s="1">
        <v>2371.2051517939199</v>
      </c>
      <c r="G2835" s="1">
        <v>6</v>
      </c>
      <c r="H2835" s="1">
        <v>3</v>
      </c>
      <c r="I2835" s="1">
        <v>4</v>
      </c>
      <c r="J2835" s="1">
        <v>3.5</v>
      </c>
      <c r="K2835" s="1">
        <v>3</v>
      </c>
      <c r="L2835" s="1">
        <v>1</v>
      </c>
      <c r="M2835" s="4">
        <v>2174</v>
      </c>
      <c r="N2835" s="1">
        <v>3433</v>
      </c>
      <c r="O2835" s="1">
        <v>6242</v>
      </c>
      <c r="P2835" s="1">
        <v>2809</v>
      </c>
      <c r="Q2835" s="1" t="s">
        <v>42</v>
      </c>
      <c r="S2835" s="1" t="s">
        <v>1728</v>
      </c>
      <c r="T2835" s="1" t="s">
        <v>273</v>
      </c>
      <c r="U2835" s="1">
        <v>79</v>
      </c>
      <c r="V2835" s="5">
        <v>44197</v>
      </c>
      <c r="W2835" s="5">
        <v>43733</v>
      </c>
      <c r="X2835" s="1">
        <v>5575000</v>
      </c>
      <c r="Y2835" s="1">
        <v>5575000</v>
      </c>
      <c r="Z2835" s="5">
        <v>43813</v>
      </c>
      <c r="AA2835" s="1">
        <v>5155000</v>
      </c>
      <c r="AB2835" s="1" t="s">
        <v>1697</v>
      </c>
      <c r="AC2835" s="5">
        <v>43845</v>
      </c>
      <c r="AF2835" s="1">
        <v>10001</v>
      </c>
      <c r="AG2835" s="1" t="s">
        <v>1729</v>
      </c>
      <c r="AI2835" s="1" t="s">
        <v>1704</v>
      </c>
      <c r="AJ2835" s="1">
        <v>2017</v>
      </c>
      <c r="AK2835" s="1" t="s">
        <v>46</v>
      </c>
      <c r="AL2835" s="1">
        <v>36</v>
      </c>
    </row>
    <row r="2836" spans="1:38" x14ac:dyDescent="0.2">
      <c r="A2836" s="2" t="str">
        <f>HYPERLINK("https://www.compass.com/listing/15-hudson-yards-unit-37h-manhattan-ny-10001/722434519407980961/","15 Hudson Yards, Unit 37H")</f>
        <v>15 Hudson Yards, Unit 37H</v>
      </c>
      <c r="B2836" s="2" t="str">
        <f>HYPERLINK("https://www.compass.com/building/fifteen-hudson-yards-manhattan-ny/282058587512011909/","Fifteen Hudson Yards")</f>
        <v>Fifteen Hudson Yards</v>
      </c>
      <c r="C2836" s="1" t="s">
        <v>77</v>
      </c>
      <c r="D2836" s="1" t="s">
        <v>41</v>
      </c>
      <c r="E2836" s="3">
        <v>5100000</v>
      </c>
      <c r="F2836" s="1">
        <v>2304.5639403524601</v>
      </c>
      <c r="G2836" s="1">
        <v>5</v>
      </c>
      <c r="H2836" s="1">
        <v>3</v>
      </c>
      <c r="I2836" s="1">
        <v>3</v>
      </c>
      <c r="J2836" s="1">
        <v>3</v>
      </c>
      <c r="K2836" s="1">
        <v>3</v>
      </c>
      <c r="M2836" s="4">
        <v>2213</v>
      </c>
      <c r="N2836" s="1">
        <v>5310</v>
      </c>
      <c r="O2836" s="1">
        <v>5377</v>
      </c>
      <c r="P2836" s="1">
        <v>67</v>
      </c>
      <c r="Q2836" s="1" t="s">
        <v>42</v>
      </c>
      <c r="S2836" s="1" t="s">
        <v>42</v>
      </c>
      <c r="T2836" s="1" t="s">
        <v>273</v>
      </c>
      <c r="V2836" s="5">
        <v>44343</v>
      </c>
      <c r="W2836" s="5">
        <v>44248</v>
      </c>
      <c r="X2836" s="1">
        <v>6610000</v>
      </c>
      <c r="Y2836" s="1">
        <v>6610000</v>
      </c>
      <c r="Z2836" s="5">
        <v>44249</v>
      </c>
      <c r="AA2836" s="1">
        <v>5100000</v>
      </c>
      <c r="AB2836" s="1" t="s">
        <v>275</v>
      </c>
      <c r="AC2836" s="5">
        <v>44342</v>
      </c>
      <c r="AF2836" s="1">
        <v>10001</v>
      </c>
      <c r="AJ2836" s="1">
        <v>2018</v>
      </c>
      <c r="AK2836" s="1" t="s">
        <v>46</v>
      </c>
      <c r="AL2836" s="1">
        <v>285</v>
      </c>
    </row>
    <row r="2837" spans="1:38" x14ac:dyDescent="0.2">
      <c r="A2837" s="2" t="str">
        <f>HYPERLINK("https://www.compass.com/listing/108-leonard-street-unit-6c-manhattan-ny-10013/451144588948819977/","108 Leonard St, Unit 6C")</f>
        <v>108 Leonard St, Unit 6C</v>
      </c>
      <c r="B2837" s="2" t="str">
        <f t="shared" ref="B2837:B2839" si="477">HYPERLINK("https://www.compass.com/building/108-leonard-st-manhattan-ny-10013/307456049610778277/","108 Leonard St")</f>
        <v>108 Leonard St</v>
      </c>
      <c r="C2837" s="1" t="s">
        <v>113</v>
      </c>
      <c r="D2837" s="1" t="s">
        <v>41</v>
      </c>
      <c r="E2837" s="3">
        <v>4280107</v>
      </c>
      <c r="F2837" s="1">
        <v>2228.0617334721401</v>
      </c>
      <c r="H2837" s="1">
        <v>3</v>
      </c>
      <c r="J2837" s="1">
        <v>3.5</v>
      </c>
      <c r="K2837" s="1">
        <v>3</v>
      </c>
      <c r="L2837" s="1">
        <v>1</v>
      </c>
      <c r="M2837" s="4">
        <v>1921</v>
      </c>
      <c r="N2837" s="1">
        <v>2284</v>
      </c>
      <c r="O2837" s="1">
        <v>5384</v>
      </c>
      <c r="P2837" s="1">
        <v>3100</v>
      </c>
      <c r="Q2837" s="1" t="s">
        <v>42</v>
      </c>
      <c r="S2837" s="1" t="s">
        <v>42</v>
      </c>
      <c r="T2837" s="1" t="s">
        <v>273</v>
      </c>
      <c r="AA2837" s="1">
        <v>4280106.59</v>
      </c>
      <c r="AB2837" s="1" t="s">
        <v>1730</v>
      </c>
      <c r="AC2837" s="5">
        <v>43861</v>
      </c>
      <c r="AF2837" s="1">
        <v>10013</v>
      </c>
      <c r="AI2837" s="1" t="s">
        <v>78</v>
      </c>
      <c r="AJ2837" s="1">
        <v>1899</v>
      </c>
      <c r="AK2837" s="1" t="s">
        <v>55</v>
      </c>
      <c r="AL2837" s="1">
        <v>167</v>
      </c>
    </row>
    <row r="2838" spans="1:38" x14ac:dyDescent="0.2">
      <c r="A2838" s="2" t="str">
        <f>HYPERLINK("https://www.compass.com/listing/108-leonard-street-unit-11c-manhattan-ny-10013/470101481581001377/","108 Leonard St, Unit 11C")</f>
        <v>108 Leonard St, Unit 11C</v>
      </c>
      <c r="B2838" s="2" t="str">
        <f t="shared" si="477"/>
        <v>108 Leonard St</v>
      </c>
      <c r="C2838" s="1" t="s">
        <v>113</v>
      </c>
      <c r="D2838" s="1" t="s">
        <v>41</v>
      </c>
      <c r="E2838" s="3">
        <v>4395925</v>
      </c>
      <c r="F2838" s="1">
        <v>2281.2271873378299</v>
      </c>
      <c r="H2838" s="1">
        <v>3</v>
      </c>
      <c r="J2838" s="1">
        <v>3.5</v>
      </c>
      <c r="K2838" s="1">
        <v>3</v>
      </c>
      <c r="L2838" s="1">
        <v>1</v>
      </c>
      <c r="M2838" s="4">
        <v>1927</v>
      </c>
      <c r="N2838" s="1">
        <v>2284.3000000000002</v>
      </c>
      <c r="O2838" s="1">
        <v>4280.0600000000004</v>
      </c>
      <c r="P2838" s="1">
        <v>1995.75</v>
      </c>
      <c r="Q2838" s="1" t="s">
        <v>42</v>
      </c>
      <c r="S2838" s="1" t="s">
        <v>42</v>
      </c>
      <c r="T2838" s="1" t="s">
        <v>273</v>
      </c>
      <c r="AA2838" s="1">
        <v>4395924.79</v>
      </c>
      <c r="AB2838" s="1" t="s">
        <v>1731</v>
      </c>
      <c r="AC2838" s="5">
        <v>43889</v>
      </c>
      <c r="AF2838" s="1">
        <v>10013</v>
      </c>
      <c r="AI2838" s="1" t="s">
        <v>78</v>
      </c>
      <c r="AJ2838" s="1">
        <v>1899</v>
      </c>
      <c r="AK2838" s="1" t="s">
        <v>55</v>
      </c>
      <c r="AL2838" s="1">
        <v>167</v>
      </c>
    </row>
    <row r="2839" spans="1:38" x14ac:dyDescent="0.2">
      <c r="A2839" s="2" t="str">
        <f>HYPERLINK("https://www.compass.com/listing/108-leonard-street-unit-11p-manhattan-ny-10013/609150372080583857/","108 Leonard St, Unit 11P")</f>
        <v>108 Leonard St, Unit 11P</v>
      </c>
      <c r="B2839" s="2" t="str">
        <f t="shared" si="477"/>
        <v>108 Leonard St</v>
      </c>
      <c r="C2839" s="1" t="s">
        <v>113</v>
      </c>
      <c r="D2839" s="1" t="s">
        <v>41</v>
      </c>
      <c r="E2839" s="3">
        <v>4320908</v>
      </c>
      <c r="F2839" s="1">
        <v>2315.5992229367598</v>
      </c>
      <c r="H2839" s="1">
        <v>3</v>
      </c>
      <c r="J2839" s="1">
        <v>3.5</v>
      </c>
      <c r="K2839" s="1">
        <v>3</v>
      </c>
      <c r="L2839" s="1">
        <v>1</v>
      </c>
      <c r="M2839" s="4">
        <v>1866</v>
      </c>
      <c r="N2839" s="1">
        <v>2218</v>
      </c>
      <c r="O2839" s="1">
        <v>5229</v>
      </c>
      <c r="P2839" s="1">
        <v>3011</v>
      </c>
      <c r="Q2839" s="1" t="s">
        <v>42</v>
      </c>
      <c r="S2839" s="1" t="s">
        <v>42</v>
      </c>
      <c r="T2839" s="1" t="s">
        <v>273</v>
      </c>
      <c r="AA2839" s="1">
        <v>4320908.1500000004</v>
      </c>
      <c r="AB2839" s="1" t="s">
        <v>1732</v>
      </c>
      <c r="AC2839" s="5">
        <v>44085</v>
      </c>
      <c r="AF2839" s="1">
        <v>10013</v>
      </c>
      <c r="AI2839" s="1" t="s">
        <v>78</v>
      </c>
      <c r="AJ2839" s="1">
        <v>1899</v>
      </c>
      <c r="AK2839" s="1" t="s">
        <v>55</v>
      </c>
      <c r="AL2839" s="1">
        <v>167</v>
      </c>
    </row>
    <row r="2840" spans="1:38" x14ac:dyDescent="0.2">
      <c r="A2840" s="2" t="str">
        <f>HYPERLINK("https://www.compass.com/listing/565-broome-street-unit-n5b-manhattan-ny-10013/516472555052370137/","565 Broome St, Unit N5B")</f>
        <v>565 Broome St, Unit N5B</v>
      </c>
      <c r="B2840" s="2" t="str">
        <f t="shared" ref="B2840:B2841" si="478">HYPERLINK("https://www.compass.com/building/565-broome-soho-manhattan-ny/292813251698267109/","565 Broome Soho")</f>
        <v>565 Broome Soho</v>
      </c>
      <c r="C2840" s="1" t="s">
        <v>53</v>
      </c>
      <c r="D2840" s="1" t="s">
        <v>41</v>
      </c>
      <c r="E2840" s="3">
        <v>875782</v>
      </c>
      <c r="F2840" s="1">
        <v>1912.1877729257601</v>
      </c>
      <c r="G2840" s="1">
        <v>1</v>
      </c>
      <c r="H2840" s="1" t="s">
        <v>99</v>
      </c>
      <c r="I2840" s="1">
        <v>1</v>
      </c>
      <c r="J2840" s="1">
        <v>1</v>
      </c>
      <c r="K2840" s="1">
        <v>1</v>
      </c>
      <c r="M2840" s="1">
        <v>458</v>
      </c>
      <c r="N2840" s="1">
        <v>662</v>
      </c>
      <c r="O2840" s="1">
        <v>1392</v>
      </c>
      <c r="P2840" s="1">
        <v>730</v>
      </c>
      <c r="Q2840" s="1" t="s">
        <v>42</v>
      </c>
      <c r="S2840" s="1" t="s">
        <v>42</v>
      </c>
      <c r="T2840" s="1" t="s">
        <v>273</v>
      </c>
      <c r="U2840" s="1">
        <v>1299</v>
      </c>
      <c r="V2840" s="5">
        <v>43976</v>
      </c>
      <c r="W2840" s="5">
        <v>42611</v>
      </c>
      <c r="X2840" s="1">
        <v>1020000</v>
      </c>
      <c r="Y2840" s="1">
        <v>1020000</v>
      </c>
      <c r="Z2840" s="5">
        <v>43973</v>
      </c>
      <c r="AA2840" s="1">
        <v>875782</v>
      </c>
      <c r="AB2840" s="1" t="s">
        <v>1733</v>
      </c>
      <c r="AC2840" s="5">
        <v>43957</v>
      </c>
      <c r="AF2840" s="1">
        <v>10013</v>
      </c>
      <c r="AI2840" s="1" t="s">
        <v>242</v>
      </c>
      <c r="AJ2840" s="1">
        <v>2019</v>
      </c>
      <c r="AK2840" s="1" t="s">
        <v>46</v>
      </c>
      <c r="AL2840" s="1">
        <v>115</v>
      </c>
    </row>
    <row r="2841" spans="1:38" x14ac:dyDescent="0.2">
      <c r="A2841" s="2" t="str">
        <f>HYPERLINK("https://www.compass.com/listing/565-broome-street-unit-s7b-manhattan-ny-10013/516472561302144417/","565 Broome St, Unit S7B")</f>
        <v>565 Broome St, Unit S7B</v>
      </c>
      <c r="B2841" s="2" t="str">
        <f t="shared" si="478"/>
        <v>565 Broome Soho</v>
      </c>
      <c r="C2841" s="1" t="s">
        <v>53</v>
      </c>
      <c r="D2841" s="1" t="s">
        <v>41</v>
      </c>
      <c r="E2841" s="3">
        <v>893769</v>
      </c>
      <c r="F2841" s="1">
        <v>1951.4605240174601</v>
      </c>
      <c r="G2841" s="1">
        <v>2</v>
      </c>
      <c r="H2841" s="1" t="s">
        <v>99</v>
      </c>
      <c r="I2841" s="1">
        <v>1</v>
      </c>
      <c r="J2841" s="1">
        <v>1</v>
      </c>
      <c r="K2841" s="1">
        <v>1</v>
      </c>
      <c r="M2841" s="1">
        <v>458</v>
      </c>
      <c r="N2841" s="1">
        <v>669</v>
      </c>
      <c r="O2841" s="1">
        <v>1407</v>
      </c>
      <c r="P2841" s="1">
        <v>738</v>
      </c>
      <c r="Q2841" s="1" t="s">
        <v>42</v>
      </c>
      <c r="S2841" s="1" t="s">
        <v>42</v>
      </c>
      <c r="T2841" s="1" t="s">
        <v>273</v>
      </c>
      <c r="U2841" s="1">
        <v>1298</v>
      </c>
      <c r="V2841" s="5">
        <v>44245</v>
      </c>
      <c r="W2841" s="5">
        <v>42612</v>
      </c>
      <c r="X2841" s="1">
        <v>1040000</v>
      </c>
      <c r="Y2841" s="1">
        <v>1040000</v>
      </c>
      <c r="Z2841" s="5">
        <v>43966</v>
      </c>
      <c r="AA2841" s="1">
        <v>893768.92</v>
      </c>
      <c r="AB2841" s="1" t="s">
        <v>1734</v>
      </c>
      <c r="AC2841" s="5">
        <v>43957</v>
      </c>
      <c r="AF2841" s="1">
        <v>10013</v>
      </c>
      <c r="AI2841" s="1" t="s">
        <v>242</v>
      </c>
      <c r="AJ2841" s="1">
        <v>2019</v>
      </c>
      <c r="AK2841" s="1" t="s">
        <v>46</v>
      </c>
      <c r="AL2841" s="1">
        <v>115</v>
      </c>
    </row>
    <row r="2842" spans="1:38" x14ac:dyDescent="0.2">
      <c r="A2842" s="2" t="str">
        <f>HYPERLINK("https://www.compass.com/listing/15-hudson-yards-unit-63c-manhattan-ny-10001/252835496005234865/","15 Hudson Yards, Unit 63C")</f>
        <v>15 Hudson Yards, Unit 63C</v>
      </c>
      <c r="B2842" s="2" t="str">
        <f>HYPERLINK("https://www.compass.com/building/fifteen-hudson-yards-manhattan-ny/282058587512011909/","Fifteen Hudson Yards")</f>
        <v>Fifteen Hudson Yards</v>
      </c>
      <c r="C2842" s="1" t="s">
        <v>77</v>
      </c>
      <c r="D2842" s="1" t="s">
        <v>41</v>
      </c>
      <c r="E2842" s="3">
        <v>4795000</v>
      </c>
      <c r="F2842" s="1">
        <v>2514.4205558468798</v>
      </c>
      <c r="G2842" s="1">
        <v>4</v>
      </c>
      <c r="H2842" s="1">
        <v>2</v>
      </c>
      <c r="I2842" s="1">
        <v>3</v>
      </c>
      <c r="J2842" s="1">
        <v>2.5</v>
      </c>
      <c r="K2842" s="1">
        <v>2</v>
      </c>
      <c r="L2842" s="1">
        <v>1</v>
      </c>
      <c r="M2842" s="4">
        <v>1907</v>
      </c>
      <c r="N2842" s="1">
        <v>4103</v>
      </c>
      <c r="O2842" s="1">
        <v>4160</v>
      </c>
      <c r="P2842" s="1">
        <v>57</v>
      </c>
      <c r="Q2842" s="1" t="s">
        <v>42</v>
      </c>
      <c r="S2842" s="1" t="s">
        <v>42</v>
      </c>
      <c r="T2842" s="1" t="s">
        <v>273</v>
      </c>
      <c r="U2842" s="1">
        <v>777</v>
      </c>
      <c r="V2842" s="5">
        <v>43601</v>
      </c>
      <c r="W2842" s="5">
        <v>42821</v>
      </c>
      <c r="X2842" s="1">
        <v>4795000</v>
      </c>
      <c r="Y2842" s="1">
        <v>4795000</v>
      </c>
      <c r="AA2842" s="1">
        <v>4795000</v>
      </c>
      <c r="AB2842" s="1" t="s">
        <v>275</v>
      </c>
      <c r="AC2842" s="5">
        <v>43598</v>
      </c>
      <c r="AF2842" s="1">
        <v>10001</v>
      </c>
      <c r="AJ2842" s="1">
        <v>2018</v>
      </c>
      <c r="AK2842" s="1" t="s">
        <v>46</v>
      </c>
      <c r="AL2842" s="1">
        <v>285</v>
      </c>
    </row>
    <row r="2843" spans="1:38" x14ac:dyDescent="0.2">
      <c r="A2843" s="2" t="str">
        <f>HYPERLINK("https://www.compass.com/listing/152-elizabeth-street-unit-3w-manhattan-ny-10013/465437371014641169/","152 Elizabeth St, Unit 3W")</f>
        <v>152 Elizabeth St, Unit 3W</v>
      </c>
      <c r="B2843" s="2" t="str">
        <f>HYPERLINK("https://www.compass.com/building/152-elizabeth-st-manhattan-ny-10013/455668986164976365/","152 Elizabeth St")</f>
        <v>152 Elizabeth St</v>
      </c>
      <c r="C2843" s="1" t="s">
        <v>79</v>
      </c>
      <c r="D2843" s="1" t="s">
        <v>41</v>
      </c>
      <c r="E2843" s="3">
        <v>6824525</v>
      </c>
      <c r="F2843" s="1">
        <v>3506.9501541623799</v>
      </c>
      <c r="H2843" s="1">
        <v>3</v>
      </c>
      <c r="J2843" s="1">
        <v>3</v>
      </c>
      <c r="M2843" s="4">
        <v>1946</v>
      </c>
      <c r="N2843" s="1">
        <v>3632.68</v>
      </c>
      <c r="O2843" s="1">
        <v>5381.54</v>
      </c>
      <c r="P2843" s="1">
        <v>1748.8333333333301</v>
      </c>
      <c r="Q2843" s="1" t="s">
        <v>42</v>
      </c>
      <c r="S2843" s="1" t="s">
        <v>42</v>
      </c>
      <c r="T2843" s="1" t="s">
        <v>273</v>
      </c>
      <c r="AA2843" s="1">
        <v>6824525</v>
      </c>
      <c r="AB2843" s="1" t="s">
        <v>1735</v>
      </c>
      <c r="AC2843" s="5">
        <v>43234</v>
      </c>
      <c r="AF2843" s="1">
        <v>10013</v>
      </c>
      <c r="AK2843" s="1" t="s">
        <v>49</v>
      </c>
      <c r="AL2843" s="1">
        <v>7</v>
      </c>
    </row>
    <row r="2844" spans="1:38" x14ac:dyDescent="0.2">
      <c r="A2844" s="2" t="str">
        <f>HYPERLINK("https://www.compass.com/listing/15-hudson-yards-unit-38g-manhattan-ny-10001/703778005850367201/","15 Hudson Yards, Unit 38G")</f>
        <v>15 Hudson Yards, Unit 38G</v>
      </c>
      <c r="B2844" s="2" t="str">
        <f>HYPERLINK("https://www.compass.com/building/fifteen-hudson-yards-manhattan-ny/282058587512011909/","Fifteen Hudson Yards")</f>
        <v>Fifteen Hudson Yards</v>
      </c>
      <c r="C2844" s="1" t="s">
        <v>77</v>
      </c>
      <c r="D2844" s="1" t="s">
        <v>41</v>
      </c>
      <c r="E2844" s="3">
        <v>4480000</v>
      </c>
      <c r="F2844" s="1">
        <v>3079.0378006872802</v>
      </c>
      <c r="G2844" s="1">
        <v>4</v>
      </c>
      <c r="H2844" s="1">
        <v>2</v>
      </c>
      <c r="I2844" s="1">
        <v>3</v>
      </c>
      <c r="J2844" s="1">
        <v>2.5</v>
      </c>
      <c r="K2844" s="1">
        <v>2</v>
      </c>
      <c r="L2844" s="1">
        <v>1</v>
      </c>
      <c r="M2844" s="4">
        <v>1455</v>
      </c>
      <c r="N2844" s="1">
        <v>3608</v>
      </c>
      <c r="O2844" s="1">
        <v>3654</v>
      </c>
      <c r="P2844" s="1">
        <v>46</v>
      </c>
      <c r="Q2844" s="1" t="s">
        <v>42</v>
      </c>
      <c r="S2844" s="1" t="s">
        <v>42</v>
      </c>
      <c r="T2844" s="1" t="s">
        <v>273</v>
      </c>
      <c r="V2844" s="5">
        <v>44231</v>
      </c>
      <c r="W2844" s="5">
        <v>44222</v>
      </c>
      <c r="X2844" s="1">
        <v>4480000</v>
      </c>
      <c r="Y2844" s="1">
        <v>4480000</v>
      </c>
      <c r="Z2844" s="5">
        <v>44223</v>
      </c>
      <c r="AA2844" s="1">
        <v>4480000</v>
      </c>
      <c r="AB2844" s="1" t="s">
        <v>275</v>
      </c>
      <c r="AC2844" s="5">
        <v>44230</v>
      </c>
      <c r="AF2844" s="1">
        <v>10001</v>
      </c>
      <c r="AI2844" s="1" t="s">
        <v>177</v>
      </c>
      <c r="AJ2844" s="1">
        <v>2018</v>
      </c>
      <c r="AK2844" s="1" t="s">
        <v>46</v>
      </c>
      <c r="AL2844" s="1">
        <v>285</v>
      </c>
    </row>
    <row r="2845" spans="1:38" x14ac:dyDescent="0.2">
      <c r="A2845" s="2" t="str">
        <f>HYPERLINK("https://www.compass.com/listing/108-leonard-street-unit-11h-manhattan-ny-10013/607699497122266129/","108 Leonard St, Unit 11H")</f>
        <v>108 Leonard St, Unit 11H</v>
      </c>
      <c r="B2845" s="2" t="str">
        <f>HYPERLINK("https://www.compass.com/building/108-leonard-st-manhattan-ny-10013/307456049610778277/","108 Leonard St")</f>
        <v>108 Leonard St</v>
      </c>
      <c r="C2845" s="1" t="s">
        <v>113</v>
      </c>
      <c r="D2845" s="1" t="s">
        <v>41</v>
      </c>
      <c r="E2845" s="3">
        <v>3518547</v>
      </c>
      <c r="F2845" s="1">
        <v>2218.5040226986098</v>
      </c>
      <c r="H2845" s="1">
        <v>2</v>
      </c>
      <c r="J2845" s="1">
        <v>2.5</v>
      </c>
      <c r="M2845" s="4">
        <v>1586</v>
      </c>
      <c r="N2845" s="1">
        <v>1886</v>
      </c>
      <c r="O2845" s="1">
        <v>4445</v>
      </c>
      <c r="P2845" s="1">
        <v>2559</v>
      </c>
      <c r="Q2845" s="1" t="s">
        <v>42</v>
      </c>
      <c r="S2845" s="1" t="s">
        <v>42</v>
      </c>
      <c r="T2845" s="1" t="s">
        <v>273</v>
      </c>
      <c r="AA2845" s="1">
        <v>3518547.38</v>
      </c>
      <c r="AB2845" s="1" t="s">
        <v>1736</v>
      </c>
      <c r="AC2845" s="5">
        <v>44064</v>
      </c>
      <c r="AF2845" s="1">
        <v>10013</v>
      </c>
      <c r="AI2845" s="1" t="s">
        <v>78</v>
      </c>
      <c r="AJ2845" s="1">
        <v>1899</v>
      </c>
      <c r="AK2845" s="1" t="s">
        <v>55</v>
      </c>
      <c r="AL2845" s="1">
        <v>167</v>
      </c>
    </row>
    <row r="2846" spans="1:38" x14ac:dyDescent="0.2">
      <c r="A2846" s="2" t="str">
        <f>HYPERLINK("https://www.compass.com/listing/15-hudson-yards-unit-64b-manhattan-ny-10001/324567181676950929/","15 Hudson Yards, Unit 64B")</f>
        <v>15 Hudson Yards, Unit 64B</v>
      </c>
      <c r="B2846" s="2" t="str">
        <f>HYPERLINK("https://www.compass.com/building/fifteen-hudson-yards-manhattan-ny/282058587512011909/","Fifteen Hudson Yards")</f>
        <v>Fifteen Hudson Yards</v>
      </c>
      <c r="C2846" s="1" t="s">
        <v>77</v>
      </c>
      <c r="D2846" s="1" t="s">
        <v>41</v>
      </c>
      <c r="E2846" s="3">
        <v>7000000</v>
      </c>
      <c r="F2846" s="1">
        <v>3004.2918454935598</v>
      </c>
      <c r="G2846" s="1">
        <v>4</v>
      </c>
      <c r="H2846" s="1">
        <v>2</v>
      </c>
      <c r="I2846" s="1">
        <v>3</v>
      </c>
      <c r="J2846" s="1">
        <v>2.5</v>
      </c>
      <c r="K2846" s="1">
        <v>2</v>
      </c>
      <c r="L2846" s="1">
        <v>1</v>
      </c>
      <c r="M2846" s="4">
        <v>2330</v>
      </c>
      <c r="N2846" s="1">
        <v>5416</v>
      </c>
      <c r="O2846" s="1">
        <v>5491</v>
      </c>
      <c r="P2846" s="1">
        <v>75</v>
      </c>
      <c r="Q2846" s="1" t="s">
        <v>42</v>
      </c>
      <c r="S2846" s="1" t="s">
        <v>42</v>
      </c>
      <c r="T2846" s="1" t="s">
        <v>273</v>
      </c>
      <c r="U2846" s="1">
        <v>125</v>
      </c>
      <c r="V2846" s="5">
        <v>44072</v>
      </c>
      <c r="W2846" s="5">
        <v>43698</v>
      </c>
      <c r="X2846" s="1">
        <v>7895000</v>
      </c>
      <c r="Y2846" s="1">
        <v>7895000</v>
      </c>
      <c r="AA2846" s="1">
        <v>7000000</v>
      </c>
      <c r="AB2846" s="1" t="s">
        <v>275</v>
      </c>
      <c r="AC2846" s="5">
        <v>43969</v>
      </c>
      <c r="AF2846" s="1">
        <v>10001</v>
      </c>
      <c r="AJ2846" s="1">
        <v>2018</v>
      </c>
      <c r="AK2846" s="1" t="s">
        <v>46</v>
      </c>
      <c r="AL2846" s="1">
        <v>285</v>
      </c>
    </row>
    <row r="2847" spans="1:38" x14ac:dyDescent="0.2">
      <c r="A2847" s="2" t="str">
        <f>HYPERLINK("https://www.compass.com/listing/12-east-88th-street-unit-8e-manhattan-ny-10128/29420046627461937/","12 E 88th St, Unit 8E")</f>
        <v>12 E 88th St, Unit 8E</v>
      </c>
      <c r="B2847" s="2" t="str">
        <f>HYPERLINK("https://www.compass.com/building/12-e-88th-st-manhattan-ny-10128/282046316798827461/","12 E 88th St")</f>
        <v>12 E 88th St</v>
      </c>
      <c r="C2847" s="1" t="s">
        <v>82</v>
      </c>
      <c r="D2847" s="1" t="s">
        <v>41</v>
      </c>
      <c r="E2847" s="3">
        <v>1452500</v>
      </c>
      <c r="F2847" s="1">
        <v>2048.6600846262299</v>
      </c>
      <c r="G2847" s="1">
        <v>3</v>
      </c>
      <c r="H2847" s="1">
        <v>1</v>
      </c>
      <c r="I2847" s="1">
        <v>1</v>
      </c>
      <c r="J2847" s="1">
        <v>1</v>
      </c>
      <c r="M2847" s="1">
        <v>709</v>
      </c>
      <c r="N2847" s="1">
        <v>871</v>
      </c>
      <c r="O2847" s="1">
        <v>1824</v>
      </c>
      <c r="P2847" s="1">
        <v>953</v>
      </c>
      <c r="Q2847" s="1" t="s">
        <v>42</v>
      </c>
      <c r="S2847" s="1" t="s">
        <v>42</v>
      </c>
      <c r="T2847" s="1" t="s">
        <v>273</v>
      </c>
      <c r="U2847" s="1">
        <v>66</v>
      </c>
      <c r="V2847" s="5">
        <v>43629</v>
      </c>
      <c r="W2847" s="5">
        <v>42631</v>
      </c>
      <c r="X2847" s="1">
        <v>1495000</v>
      </c>
      <c r="Y2847" s="1">
        <v>1495000</v>
      </c>
      <c r="Z2847" s="5">
        <v>42697</v>
      </c>
      <c r="AA2847" s="1">
        <v>1452500</v>
      </c>
      <c r="AB2847" s="1" t="s">
        <v>1737</v>
      </c>
      <c r="AC2847" s="5">
        <v>43088</v>
      </c>
      <c r="AF2847" s="1">
        <v>10128</v>
      </c>
      <c r="AI2847" s="1" t="s">
        <v>177</v>
      </c>
      <c r="AJ2847" s="1">
        <v>1931</v>
      </c>
      <c r="AK2847" s="1" t="s">
        <v>49</v>
      </c>
      <c r="AL2847" s="1">
        <v>39</v>
      </c>
    </row>
    <row r="2848" spans="1:38" x14ac:dyDescent="0.2">
      <c r="A2848" s="2" t="str">
        <f>HYPERLINK("https://www.compass.com/listing/15-hudson-yards-unit-ph85c-manhattan-ny-10001/415772299610514737/","15 Hudson Yards, Unit PH85C")</f>
        <v>15 Hudson Yards, Unit PH85C</v>
      </c>
      <c r="B2848" s="2" t="str">
        <f t="shared" ref="B2848:B2850" si="479">HYPERLINK("https://www.compass.com/building/fifteen-hudson-yards-manhattan-ny/282058587512011909/","Fifteen Hudson Yards")</f>
        <v>Fifteen Hudson Yards</v>
      </c>
      <c r="C2848" s="1" t="s">
        <v>77</v>
      </c>
      <c r="D2848" s="1" t="s">
        <v>41</v>
      </c>
      <c r="E2848" s="3">
        <v>8933361</v>
      </c>
      <c r="F2848" s="1">
        <v>3463.8856145792902</v>
      </c>
      <c r="G2848" s="1">
        <v>5</v>
      </c>
      <c r="H2848" s="1">
        <v>3</v>
      </c>
      <c r="I2848" s="1">
        <v>4</v>
      </c>
      <c r="J2848" s="1">
        <v>3.5</v>
      </c>
      <c r="K2848" s="1">
        <v>3</v>
      </c>
      <c r="L2848" s="1">
        <v>1</v>
      </c>
      <c r="M2848" s="4">
        <v>2579</v>
      </c>
      <c r="N2848" s="1">
        <v>6069</v>
      </c>
      <c r="O2848" s="1">
        <v>6153</v>
      </c>
      <c r="P2848" s="1">
        <v>84</v>
      </c>
      <c r="Q2848" s="1" t="s">
        <v>42</v>
      </c>
      <c r="S2848" s="1" t="s">
        <v>42</v>
      </c>
      <c r="T2848" s="1" t="s">
        <v>273</v>
      </c>
      <c r="U2848" s="1">
        <v>1096</v>
      </c>
      <c r="V2848" s="5">
        <v>43844</v>
      </c>
      <c r="W2848" s="5">
        <v>42726</v>
      </c>
      <c r="X2848" s="1">
        <v>8773250</v>
      </c>
      <c r="Y2848" s="1">
        <v>8773250</v>
      </c>
      <c r="AA2848" s="1">
        <v>8933361</v>
      </c>
      <c r="AB2848" s="1" t="s">
        <v>275</v>
      </c>
      <c r="AC2848" s="5">
        <v>43822</v>
      </c>
      <c r="AF2848" s="1">
        <v>10001</v>
      </c>
      <c r="AJ2848" s="1">
        <v>2018</v>
      </c>
      <c r="AK2848" s="1" t="s">
        <v>46</v>
      </c>
      <c r="AL2848" s="1">
        <v>285</v>
      </c>
    </row>
    <row r="2849" spans="1:38" x14ac:dyDescent="0.2">
      <c r="A2849" s="2" t="str">
        <f>HYPERLINK("https://www.compass.com/listing/15-hudson-yards-unit-ph85d-manhattan-ny-10001/415772300019480865/","15 Hudson Yards, Unit PH85D")</f>
        <v>15 Hudson Yards, Unit PH85D</v>
      </c>
      <c r="B2849" s="2" t="str">
        <f t="shared" si="479"/>
        <v>Fifteen Hudson Yards</v>
      </c>
      <c r="C2849" s="1" t="s">
        <v>77</v>
      </c>
      <c r="D2849" s="1" t="s">
        <v>41</v>
      </c>
      <c r="E2849" s="3">
        <v>8178838</v>
      </c>
      <c r="F2849" s="1">
        <v>3236.5801345468899</v>
      </c>
      <c r="G2849" s="1">
        <v>5</v>
      </c>
      <c r="H2849" s="1">
        <v>3</v>
      </c>
      <c r="I2849" s="1">
        <v>4</v>
      </c>
      <c r="J2849" s="1">
        <v>3.5</v>
      </c>
      <c r="K2849" s="1">
        <v>3</v>
      </c>
      <c r="L2849" s="1">
        <v>1</v>
      </c>
      <c r="M2849" s="4">
        <v>2527</v>
      </c>
      <c r="N2849" s="1">
        <v>5823</v>
      </c>
      <c r="O2849" s="1">
        <v>5904</v>
      </c>
      <c r="P2849" s="1">
        <v>81</v>
      </c>
      <c r="Q2849" s="1" t="s">
        <v>42</v>
      </c>
      <c r="S2849" s="1" t="s">
        <v>42</v>
      </c>
      <c r="T2849" s="1" t="s">
        <v>273</v>
      </c>
      <c r="U2849" s="1">
        <v>1096</v>
      </c>
      <c r="V2849" s="5">
        <v>43846</v>
      </c>
      <c r="W2849" s="5">
        <v>42726</v>
      </c>
      <c r="X2849" s="1">
        <v>8032250</v>
      </c>
      <c r="Y2849" s="1">
        <v>8032250</v>
      </c>
      <c r="AA2849" s="1">
        <v>8178838</v>
      </c>
      <c r="AB2849" s="1" t="s">
        <v>275</v>
      </c>
      <c r="AC2849" s="5">
        <v>43822</v>
      </c>
      <c r="AF2849" s="1">
        <v>10001</v>
      </c>
      <c r="AJ2849" s="1">
        <v>2018</v>
      </c>
      <c r="AK2849" s="1" t="s">
        <v>46</v>
      </c>
      <c r="AL2849" s="1">
        <v>285</v>
      </c>
    </row>
    <row r="2850" spans="1:38" x14ac:dyDescent="0.2">
      <c r="A2850" s="2" t="str">
        <f>HYPERLINK("https://www.compass.com/listing/15-hudson-yards-unit-80a-manhattan-ny-10001/803365969745139561/","15 Hudson Yards, Unit 80A")</f>
        <v>15 Hudson Yards, Unit 80A</v>
      </c>
      <c r="B2850" s="2" t="str">
        <f t="shared" si="479"/>
        <v>Fifteen Hudson Yards</v>
      </c>
      <c r="C2850" s="1" t="s">
        <v>77</v>
      </c>
      <c r="D2850" s="1" t="s">
        <v>41</v>
      </c>
      <c r="E2850" s="3">
        <v>8712041</v>
      </c>
      <c r="F2850" s="1">
        <v>3731.0668094218399</v>
      </c>
      <c r="G2850" s="1">
        <v>5</v>
      </c>
      <c r="H2850" s="1">
        <v>3</v>
      </c>
      <c r="I2850" s="1">
        <v>4</v>
      </c>
      <c r="J2850" s="1">
        <v>3.5</v>
      </c>
      <c r="K2850" s="1">
        <v>3</v>
      </c>
      <c r="L2850" s="1">
        <v>1</v>
      </c>
      <c r="M2850" s="4">
        <v>2335</v>
      </c>
      <c r="N2850" s="1">
        <v>5816</v>
      </c>
      <c r="O2850" s="1">
        <v>5897</v>
      </c>
      <c r="P2850" s="1">
        <v>81</v>
      </c>
      <c r="Q2850" s="1" t="s">
        <v>42</v>
      </c>
      <c r="S2850" s="1" t="s">
        <v>42</v>
      </c>
      <c r="T2850" s="1" t="s">
        <v>273</v>
      </c>
      <c r="U2850" s="1">
        <v>1020</v>
      </c>
      <c r="V2850" s="5">
        <v>43816</v>
      </c>
      <c r="W2850" s="5">
        <v>42697</v>
      </c>
      <c r="AA2850" s="1">
        <v>8712041</v>
      </c>
      <c r="AB2850" s="1" t="s">
        <v>275</v>
      </c>
      <c r="AC2850" s="5">
        <v>43718</v>
      </c>
      <c r="AF2850" s="1">
        <v>10001</v>
      </c>
      <c r="AJ2850" s="1">
        <v>2018</v>
      </c>
      <c r="AK2850" s="1" t="s">
        <v>46</v>
      </c>
      <c r="AL2850" s="1">
        <v>285</v>
      </c>
    </row>
    <row r="2851" spans="1:38" x14ac:dyDescent="0.2">
      <c r="A2851" s="2" t="str">
        <f>HYPERLINK("https://www.compass.com/listing/200-east-94th-street-unit-501-manhattan-ny-10128/29507984547661921/","200 E 94th St, Unit 501")</f>
        <v>200 E 94th St, Unit 501</v>
      </c>
      <c r="B2851" s="2" t="str">
        <f>HYPERLINK("https://www.compass.com/building/carnegie-park-condominium-manhattan-ny/282049797358118613/","Carnegie Park Condominium")</f>
        <v>Carnegie Park Condominium</v>
      </c>
      <c r="C2851" s="1" t="s">
        <v>82</v>
      </c>
      <c r="D2851" s="1" t="s">
        <v>41</v>
      </c>
      <c r="E2851" s="3">
        <v>2510000</v>
      </c>
      <c r="G2851" s="1">
        <v>5</v>
      </c>
      <c r="H2851" s="1">
        <v>3</v>
      </c>
      <c r="I2851" s="1">
        <v>2</v>
      </c>
      <c r="J2851" s="1">
        <v>2</v>
      </c>
      <c r="N2851" s="1">
        <v>1747</v>
      </c>
      <c r="O2851" s="1">
        <v>3260</v>
      </c>
      <c r="P2851" s="1">
        <v>1513</v>
      </c>
      <c r="Q2851" s="1" t="s">
        <v>42</v>
      </c>
      <c r="S2851" s="1" t="s">
        <v>42</v>
      </c>
      <c r="T2851" s="1" t="s">
        <v>273</v>
      </c>
      <c r="U2851" s="1">
        <v>50</v>
      </c>
      <c r="V2851" s="5">
        <v>43666</v>
      </c>
      <c r="W2851" s="5">
        <v>43224</v>
      </c>
      <c r="X2851" s="1">
        <v>2595000</v>
      </c>
      <c r="Y2851" s="1">
        <v>2595000</v>
      </c>
      <c r="Z2851" s="5">
        <v>43274</v>
      </c>
      <c r="AA2851" s="1">
        <v>2510000</v>
      </c>
      <c r="AB2851" s="1" t="s">
        <v>1738</v>
      </c>
      <c r="AC2851" s="5">
        <v>43420</v>
      </c>
      <c r="AF2851" s="1">
        <v>10128</v>
      </c>
      <c r="AI2851" s="1" t="s">
        <v>1739</v>
      </c>
      <c r="AJ2851" s="1">
        <v>1986</v>
      </c>
      <c r="AK2851" s="1" t="s">
        <v>46</v>
      </c>
      <c r="AL2851" s="1">
        <v>287</v>
      </c>
    </row>
    <row r="2852" spans="1:38" x14ac:dyDescent="0.2">
      <c r="A2852" s="2" t="str">
        <f>HYPERLINK("https://www.compass.com/listing/15-hudson-yards-unit-68d-manhattan-ny-10001/165723045304997345/","15 Hudson Yards, Unit 68D")</f>
        <v>15 Hudson Yards, Unit 68D</v>
      </c>
      <c r="B2852" s="2" t="str">
        <f t="shared" ref="B2852:B2853" si="480">HYPERLINK("https://www.compass.com/building/fifteen-hudson-yards-manhattan-ny/282058587512011909/","Fifteen Hudson Yards")</f>
        <v>Fifteen Hudson Yards</v>
      </c>
      <c r="C2852" s="1" t="s">
        <v>77</v>
      </c>
      <c r="D2852" s="1" t="s">
        <v>41</v>
      </c>
      <c r="E2852" s="3">
        <v>5975000</v>
      </c>
      <c r="F2852" s="1">
        <v>2984.5154845154798</v>
      </c>
      <c r="G2852" s="1">
        <v>4</v>
      </c>
      <c r="H2852" s="1">
        <v>2</v>
      </c>
      <c r="I2852" s="1">
        <v>3</v>
      </c>
      <c r="J2852" s="1">
        <v>2.5</v>
      </c>
      <c r="K2852" s="1">
        <v>2</v>
      </c>
      <c r="L2852" s="1">
        <v>1</v>
      </c>
      <c r="M2852" s="4">
        <v>2002</v>
      </c>
      <c r="N2852" s="1">
        <v>4521</v>
      </c>
      <c r="O2852" s="1">
        <v>4584</v>
      </c>
      <c r="P2852" s="1">
        <v>63</v>
      </c>
      <c r="Q2852" s="1" t="s">
        <v>42</v>
      </c>
      <c r="S2852" s="1" t="s">
        <v>42</v>
      </c>
      <c r="T2852" s="1" t="s">
        <v>273</v>
      </c>
      <c r="U2852" s="1">
        <v>66</v>
      </c>
      <c r="V2852" s="5">
        <v>43700</v>
      </c>
      <c r="W2852" s="5">
        <v>43480</v>
      </c>
      <c r="X2852" s="1">
        <v>5975000</v>
      </c>
      <c r="Y2852" s="1">
        <v>5975000</v>
      </c>
      <c r="AA2852" s="1">
        <v>5975000</v>
      </c>
      <c r="AB2852" s="1" t="s">
        <v>275</v>
      </c>
      <c r="AC2852" s="5">
        <v>43698</v>
      </c>
      <c r="AF2852" s="1">
        <v>10001</v>
      </c>
      <c r="AJ2852" s="1">
        <v>2018</v>
      </c>
      <c r="AK2852" s="1" t="s">
        <v>49</v>
      </c>
      <c r="AL2852" s="1">
        <v>285</v>
      </c>
    </row>
    <row r="2853" spans="1:38" x14ac:dyDescent="0.2">
      <c r="A2853" s="2" t="str">
        <f>HYPERLINK("https://www.compass.com/listing/15-hudson-yards-unit-64d-manhattan-ny-10001/27574673697003697/","15 Hudson Yards, Unit 64D")</f>
        <v>15 Hudson Yards, Unit 64D</v>
      </c>
      <c r="B2853" s="2" t="str">
        <f t="shared" si="480"/>
        <v>Fifteen Hudson Yards</v>
      </c>
      <c r="C2853" s="1" t="s">
        <v>77</v>
      </c>
      <c r="D2853" s="1" t="s">
        <v>41</v>
      </c>
      <c r="E2853" s="3">
        <v>5895000</v>
      </c>
      <c r="F2853" s="1">
        <v>2922.65741199801</v>
      </c>
      <c r="G2853" s="1">
        <v>4</v>
      </c>
      <c r="H2853" s="1">
        <v>2</v>
      </c>
      <c r="I2853" s="1">
        <v>3</v>
      </c>
      <c r="J2853" s="1">
        <v>2.5</v>
      </c>
      <c r="K2853" s="1">
        <v>2</v>
      </c>
      <c r="L2853" s="1">
        <v>1</v>
      </c>
      <c r="M2853" s="4">
        <v>2017</v>
      </c>
      <c r="N2853" s="1">
        <v>4524</v>
      </c>
      <c r="O2853" s="1">
        <v>4587</v>
      </c>
      <c r="P2853" s="1">
        <v>63</v>
      </c>
      <c r="Q2853" s="1" t="s">
        <v>42</v>
      </c>
      <c r="S2853" s="1" t="s">
        <v>42</v>
      </c>
      <c r="T2853" s="1" t="s">
        <v>273</v>
      </c>
      <c r="U2853" s="1">
        <v>45</v>
      </c>
      <c r="V2853" s="5">
        <v>43703</v>
      </c>
      <c r="W2853" s="5">
        <v>43564</v>
      </c>
      <c r="Y2853" s="1">
        <v>5895000</v>
      </c>
      <c r="AA2853" s="1">
        <v>5895000</v>
      </c>
      <c r="AB2853" s="1" t="s">
        <v>275</v>
      </c>
      <c r="AC2853" s="5">
        <v>43699</v>
      </c>
      <c r="AF2853" s="1">
        <v>10001</v>
      </c>
      <c r="AJ2853" s="1">
        <v>2018</v>
      </c>
      <c r="AK2853" s="1" t="s">
        <v>49</v>
      </c>
      <c r="AL2853" s="1">
        <v>285</v>
      </c>
    </row>
    <row r="2854" spans="1:38" x14ac:dyDescent="0.2">
      <c r="A2854" s="2" t="str">
        <f>HYPERLINK("https://www.compass.com/listing/15-west-61st-street-unit-19d-manhattan-ny-10023/337474965657489697/","15 W 61st St, Unit 19D")</f>
        <v>15 W 61st St, Unit 19D</v>
      </c>
      <c r="B2854" s="2" t="str">
        <f>HYPERLINK("https://www.compass.com/building/the-park-loggia-manhattan-ny/292861833130357557/","The Park Loggia")</f>
        <v>The Park Loggia</v>
      </c>
      <c r="C2854" s="1" t="s">
        <v>57</v>
      </c>
      <c r="D2854" s="1" t="s">
        <v>41</v>
      </c>
      <c r="E2854" s="3">
        <v>3275000</v>
      </c>
      <c r="F2854" s="1">
        <v>2444.0298507462599</v>
      </c>
      <c r="G2854" s="1">
        <v>4</v>
      </c>
      <c r="H2854" s="1">
        <v>2</v>
      </c>
      <c r="I2854" s="1">
        <v>2</v>
      </c>
      <c r="J2854" s="1">
        <v>2</v>
      </c>
      <c r="K2854" s="1">
        <v>2</v>
      </c>
      <c r="M2854" s="4">
        <v>1340</v>
      </c>
      <c r="N2854" s="1">
        <v>1415</v>
      </c>
      <c r="O2854" s="1">
        <v>2776</v>
      </c>
      <c r="P2854" s="1">
        <v>1361</v>
      </c>
      <c r="Q2854" s="1" t="s">
        <v>42</v>
      </c>
      <c r="S2854" s="1" t="s">
        <v>42</v>
      </c>
      <c r="T2854" s="1" t="s">
        <v>273</v>
      </c>
      <c r="U2854" s="1">
        <v>296</v>
      </c>
      <c r="V2854" s="5">
        <v>44205</v>
      </c>
      <c r="W2854" s="5">
        <v>43717</v>
      </c>
      <c r="X2854" s="1">
        <v>3525000</v>
      </c>
      <c r="Y2854" s="1">
        <v>3525000</v>
      </c>
      <c r="AA2854" s="1">
        <v>3275000</v>
      </c>
      <c r="AB2854" s="1" t="s">
        <v>1740</v>
      </c>
      <c r="AC2854" s="5">
        <v>44319</v>
      </c>
      <c r="AF2854" s="1">
        <v>10023</v>
      </c>
      <c r="AI2854" s="1" t="s">
        <v>159</v>
      </c>
      <c r="AJ2854" s="1">
        <v>2019</v>
      </c>
      <c r="AK2854" s="1" t="s">
        <v>108</v>
      </c>
      <c r="AL2854" s="1">
        <v>172</v>
      </c>
    </row>
    <row r="2855" spans="1:38" x14ac:dyDescent="0.2">
      <c r="A2855" s="2" t="str">
        <f>HYPERLINK("https://www.compass.com/listing/15-hudson-yards-unit-73a-manhattan-ny-10001/23228918244917905/","15 Hudson Yards, Unit 73A")</f>
        <v>15 Hudson Yards, Unit 73A</v>
      </c>
      <c r="B2855" s="2" t="str">
        <f>HYPERLINK("https://www.compass.com/building/fifteen-hudson-yards-manhattan-ny/282058587512011909/","Fifteen Hudson Yards")</f>
        <v>Fifteen Hudson Yards</v>
      </c>
      <c r="C2855" s="1" t="s">
        <v>77</v>
      </c>
      <c r="D2855" s="1" t="s">
        <v>41</v>
      </c>
      <c r="E2855" s="3">
        <v>8546867</v>
      </c>
      <c r="F2855" s="1">
        <v>3571.6117843710799</v>
      </c>
      <c r="G2855" s="1">
        <v>5.5</v>
      </c>
      <c r="H2855" s="1">
        <v>3</v>
      </c>
      <c r="I2855" s="1">
        <v>4</v>
      </c>
      <c r="J2855" s="1">
        <v>3.5</v>
      </c>
      <c r="K2855" s="1">
        <v>3</v>
      </c>
      <c r="L2855" s="1">
        <v>1</v>
      </c>
      <c r="M2855" s="4">
        <v>2393</v>
      </c>
      <c r="N2855" s="1">
        <v>6140</v>
      </c>
      <c r="O2855" s="1">
        <v>6219</v>
      </c>
      <c r="P2855" s="1">
        <v>79</v>
      </c>
      <c r="Q2855" s="1" t="s">
        <v>42</v>
      </c>
      <c r="S2855" s="1" t="s">
        <v>42</v>
      </c>
      <c r="T2855" s="1" t="s">
        <v>273</v>
      </c>
      <c r="U2855" s="1">
        <v>13</v>
      </c>
      <c r="V2855" s="5">
        <v>43791</v>
      </c>
      <c r="W2855" s="5">
        <v>43700</v>
      </c>
      <c r="Y2855" s="1">
        <v>9535000</v>
      </c>
      <c r="AA2855" s="1">
        <v>8546867</v>
      </c>
      <c r="AB2855" s="1" t="s">
        <v>275</v>
      </c>
      <c r="AC2855" s="5">
        <v>43773</v>
      </c>
      <c r="AF2855" s="1">
        <v>10001</v>
      </c>
      <c r="AJ2855" s="1">
        <v>2018</v>
      </c>
      <c r="AK2855" s="1" t="s">
        <v>46</v>
      </c>
      <c r="AL2855" s="1">
        <v>285</v>
      </c>
    </row>
    <row r="2856" spans="1:38" x14ac:dyDescent="0.2">
      <c r="A2856" s="2" t="str">
        <f>HYPERLINK("https://www.compass.com/listing/200-east-94th-street-unit-519-manhattan-ny-10128/29423439374776961/","200 E 94th St, Unit 519")</f>
        <v>200 E 94th St, Unit 519</v>
      </c>
      <c r="B2856" s="2" t="str">
        <f>HYPERLINK("https://www.compass.com/building/carnegie-park-condominium-manhattan-ny/282049797358118613/","Carnegie Park Condominium")</f>
        <v>Carnegie Park Condominium</v>
      </c>
      <c r="C2856" s="1" t="s">
        <v>82</v>
      </c>
      <c r="D2856" s="1" t="s">
        <v>41</v>
      </c>
      <c r="E2856" s="3">
        <v>1040000</v>
      </c>
      <c r="F2856" s="1">
        <v>1426.6117969821601</v>
      </c>
      <c r="G2856" s="1">
        <v>3</v>
      </c>
      <c r="H2856" s="1">
        <v>1</v>
      </c>
      <c r="I2856" s="1">
        <v>1</v>
      </c>
      <c r="J2856" s="1">
        <v>1</v>
      </c>
      <c r="K2856" s="1">
        <v>1</v>
      </c>
      <c r="M2856" s="1">
        <v>729</v>
      </c>
      <c r="N2856" s="1">
        <v>824</v>
      </c>
      <c r="O2856" s="1">
        <v>1674</v>
      </c>
      <c r="P2856" s="1">
        <v>850</v>
      </c>
      <c r="Q2856" s="1" t="s">
        <v>42</v>
      </c>
      <c r="S2856" s="1" t="s">
        <v>42</v>
      </c>
      <c r="T2856" s="1" t="s">
        <v>273</v>
      </c>
      <c r="U2856" s="1">
        <v>67</v>
      </c>
      <c r="V2856" s="5">
        <v>43707</v>
      </c>
      <c r="W2856" s="5">
        <v>43147</v>
      </c>
      <c r="X2856" s="1">
        <v>1225000</v>
      </c>
      <c r="Y2856" s="1">
        <v>1099000</v>
      </c>
      <c r="Z2856" s="5">
        <v>43214</v>
      </c>
      <c r="AA2856" s="1">
        <v>1040000</v>
      </c>
      <c r="AB2856" s="1" t="s">
        <v>1741</v>
      </c>
      <c r="AC2856" s="5">
        <v>43272</v>
      </c>
      <c r="AF2856" s="1">
        <v>10128</v>
      </c>
      <c r="AI2856" s="1" t="s">
        <v>163</v>
      </c>
      <c r="AJ2856" s="1">
        <v>1986</v>
      </c>
      <c r="AK2856" s="1" t="s">
        <v>108</v>
      </c>
      <c r="AL2856" s="1">
        <v>287</v>
      </c>
    </row>
    <row r="2857" spans="1:38" x14ac:dyDescent="0.2">
      <c r="A2857" s="2" t="str">
        <f>HYPERLINK("https://www.compass.com/listing/108-leonard-street-unit-9e-manhattan-ny-10013/348224681101830465/","108 Leonard St, Unit 9E")</f>
        <v>108 Leonard St, Unit 9E</v>
      </c>
      <c r="B2857" s="2" t="str">
        <f t="shared" ref="B2857:B2861" si="481">HYPERLINK("https://www.compass.com/building/108-leonard-st-manhattan-ny-10013/307456049610778277/","108 Leonard St")</f>
        <v>108 Leonard St</v>
      </c>
      <c r="C2857" s="1" t="s">
        <v>113</v>
      </c>
      <c r="D2857" s="1" t="s">
        <v>41</v>
      </c>
      <c r="E2857" s="3">
        <v>2524867</v>
      </c>
      <c r="F2857" s="1">
        <v>1927.3794961832</v>
      </c>
      <c r="H2857" s="1">
        <v>2</v>
      </c>
      <c r="J2857" s="1">
        <v>2.5</v>
      </c>
      <c r="K2857" s="1">
        <v>2</v>
      </c>
      <c r="L2857" s="1">
        <v>1</v>
      </c>
      <c r="M2857" s="4">
        <v>1310</v>
      </c>
      <c r="N2857" s="1">
        <v>1518</v>
      </c>
      <c r="O2857" s="1">
        <v>3606</v>
      </c>
      <c r="P2857" s="1">
        <v>2088</v>
      </c>
      <c r="Q2857" s="1" t="s">
        <v>42</v>
      </c>
      <c r="S2857" s="1" t="s">
        <v>42</v>
      </c>
      <c r="T2857" s="1" t="s">
        <v>273</v>
      </c>
      <c r="AA2857" s="1">
        <v>2524867.14</v>
      </c>
      <c r="AB2857" s="1" t="s">
        <v>1742</v>
      </c>
      <c r="AC2857" s="5">
        <v>43720</v>
      </c>
      <c r="AF2857" s="1">
        <v>10013</v>
      </c>
      <c r="AI2857" s="1" t="s">
        <v>78</v>
      </c>
      <c r="AJ2857" s="1">
        <v>1899</v>
      </c>
      <c r="AK2857" s="1" t="s">
        <v>55</v>
      </c>
      <c r="AL2857" s="1">
        <v>167</v>
      </c>
    </row>
    <row r="2858" spans="1:38" x14ac:dyDescent="0.2">
      <c r="A2858" s="2" t="str">
        <f>HYPERLINK("https://www.compass.com/listing/108-leonard-street-unit-7l-manhattan-ny-10013/360547085786623457/","108 Leonard St, Unit 7L")</f>
        <v>108 Leonard St, Unit 7L</v>
      </c>
      <c r="B2858" s="2" t="str">
        <f t="shared" si="481"/>
        <v>108 Leonard St</v>
      </c>
      <c r="C2858" s="1" t="s">
        <v>113</v>
      </c>
      <c r="D2858" s="1" t="s">
        <v>41</v>
      </c>
      <c r="E2858" s="3">
        <v>2610932</v>
      </c>
      <c r="F2858" s="1">
        <v>1766.53020297699</v>
      </c>
      <c r="H2858" s="1">
        <v>2</v>
      </c>
      <c r="J2858" s="1">
        <v>2.5</v>
      </c>
      <c r="M2858" s="4">
        <v>1478</v>
      </c>
      <c r="N2858" s="1">
        <v>1757</v>
      </c>
      <c r="O2858" s="1">
        <v>4142</v>
      </c>
      <c r="P2858" s="1">
        <v>2385</v>
      </c>
      <c r="Q2858" s="1" t="s">
        <v>42</v>
      </c>
      <c r="S2858" s="1" t="s">
        <v>42</v>
      </c>
      <c r="T2858" s="1" t="s">
        <v>273</v>
      </c>
      <c r="AA2858" s="1">
        <v>2610931.64</v>
      </c>
      <c r="AB2858" s="1" t="s">
        <v>1743</v>
      </c>
      <c r="AC2858" s="5">
        <v>43740</v>
      </c>
      <c r="AF2858" s="1">
        <v>10013</v>
      </c>
      <c r="AI2858" s="1" t="s">
        <v>78</v>
      </c>
      <c r="AJ2858" s="1">
        <v>1899</v>
      </c>
      <c r="AK2858" s="1" t="s">
        <v>55</v>
      </c>
      <c r="AL2858" s="1">
        <v>167</v>
      </c>
    </row>
    <row r="2859" spans="1:38" x14ac:dyDescent="0.2">
      <c r="A2859" s="2" t="str">
        <f>HYPERLINK("https://www.compass.com/listing/108-leonard-street-unit-9l-manhattan-ny-10013/360547088112143809/","108 Leonard St, Unit 9L")</f>
        <v>108 Leonard St, Unit 9L</v>
      </c>
      <c r="B2859" s="2" t="str">
        <f t="shared" si="481"/>
        <v>108 Leonard St</v>
      </c>
      <c r="C2859" s="1" t="s">
        <v>113</v>
      </c>
      <c r="D2859" s="1" t="s">
        <v>41</v>
      </c>
      <c r="E2859" s="3">
        <v>2828387</v>
      </c>
      <c r="F2859" s="1">
        <v>1921.45873641304</v>
      </c>
      <c r="H2859" s="1">
        <v>2</v>
      </c>
      <c r="J2859" s="1">
        <v>2.5</v>
      </c>
      <c r="M2859" s="4">
        <v>1472</v>
      </c>
      <c r="N2859" s="1">
        <v>1750</v>
      </c>
      <c r="O2859" s="1">
        <v>4125</v>
      </c>
      <c r="P2859" s="1">
        <v>2375</v>
      </c>
      <c r="Q2859" s="1" t="s">
        <v>42</v>
      </c>
      <c r="S2859" s="1" t="s">
        <v>42</v>
      </c>
      <c r="T2859" s="1" t="s">
        <v>273</v>
      </c>
      <c r="AA2859" s="1">
        <v>2828387.26</v>
      </c>
      <c r="AB2859" s="1" t="s">
        <v>1744</v>
      </c>
      <c r="AC2859" s="5">
        <v>43739</v>
      </c>
      <c r="AF2859" s="1">
        <v>10013</v>
      </c>
      <c r="AI2859" s="1" t="s">
        <v>78</v>
      </c>
      <c r="AJ2859" s="1">
        <v>1899</v>
      </c>
      <c r="AK2859" s="1" t="s">
        <v>55</v>
      </c>
      <c r="AL2859" s="1">
        <v>167</v>
      </c>
    </row>
    <row r="2860" spans="1:38" x14ac:dyDescent="0.2">
      <c r="A2860" s="2" t="str">
        <f>HYPERLINK("https://www.compass.com/listing/108-leonard-street-unit-4l-manhattan-ny-10013/424907394751495585/","108 Leonard St, Unit 4L")</f>
        <v>108 Leonard St, Unit 4L</v>
      </c>
      <c r="B2860" s="2" t="str">
        <f t="shared" si="481"/>
        <v>108 Leonard St</v>
      </c>
      <c r="C2860" s="1" t="s">
        <v>113</v>
      </c>
      <c r="D2860" s="1" t="s">
        <v>41</v>
      </c>
      <c r="E2860" s="3">
        <v>2760895</v>
      </c>
      <c r="F2860" s="1">
        <v>1874.33446028513</v>
      </c>
      <c r="H2860" s="1">
        <v>2</v>
      </c>
      <c r="J2860" s="1">
        <v>2.5</v>
      </c>
      <c r="K2860" s="1">
        <v>2</v>
      </c>
      <c r="L2860" s="1">
        <v>1</v>
      </c>
      <c r="M2860" s="4">
        <v>1473</v>
      </c>
      <c r="N2860" s="1">
        <v>1751</v>
      </c>
      <c r="O2860" s="1">
        <v>4128</v>
      </c>
      <c r="P2860" s="1">
        <v>2377</v>
      </c>
      <c r="Q2860" s="1" t="s">
        <v>42</v>
      </c>
      <c r="S2860" s="1" t="s">
        <v>42</v>
      </c>
      <c r="T2860" s="1" t="s">
        <v>273</v>
      </c>
      <c r="AA2860" s="1">
        <v>2760894.66</v>
      </c>
      <c r="AB2860" s="1" t="s">
        <v>1745</v>
      </c>
      <c r="AC2860" s="5">
        <v>43768</v>
      </c>
      <c r="AF2860" s="1">
        <v>10013</v>
      </c>
      <c r="AI2860" s="1" t="s">
        <v>78</v>
      </c>
      <c r="AJ2860" s="1">
        <v>1899</v>
      </c>
      <c r="AK2860" s="1" t="s">
        <v>55</v>
      </c>
      <c r="AL2860" s="1">
        <v>167</v>
      </c>
    </row>
    <row r="2861" spans="1:38" x14ac:dyDescent="0.2">
      <c r="A2861" s="2" t="str">
        <f>HYPERLINK("https://www.compass.com/listing/108-leonard-street-unit-4e-manhattan-ny-10013/441337654811124041/","108 Leonard St, Unit 4E")</f>
        <v>108 Leonard St, Unit 4E</v>
      </c>
      <c r="B2861" s="2" t="str">
        <f t="shared" si="481"/>
        <v>108 Leonard St</v>
      </c>
      <c r="C2861" s="1" t="s">
        <v>113</v>
      </c>
      <c r="D2861" s="1" t="s">
        <v>41</v>
      </c>
      <c r="E2861" s="3">
        <v>2371264</v>
      </c>
      <c r="F2861" s="1">
        <v>1801.87202887537</v>
      </c>
      <c r="H2861" s="1">
        <v>2</v>
      </c>
      <c r="J2861" s="1">
        <v>2.5</v>
      </c>
      <c r="M2861" s="4">
        <v>1316</v>
      </c>
      <c r="N2861" s="1">
        <v>1565</v>
      </c>
      <c r="O2861" s="1">
        <v>3689</v>
      </c>
      <c r="P2861" s="1">
        <v>2124</v>
      </c>
      <c r="Q2861" s="1" t="s">
        <v>42</v>
      </c>
      <c r="S2861" s="1" t="s">
        <v>42</v>
      </c>
      <c r="T2861" s="1" t="s">
        <v>273</v>
      </c>
      <c r="AA2861" s="1">
        <v>2371263.59</v>
      </c>
      <c r="AB2861" s="1" t="s">
        <v>1746</v>
      </c>
      <c r="AC2861" s="5">
        <v>43727</v>
      </c>
      <c r="AF2861" s="1">
        <v>10013</v>
      </c>
      <c r="AI2861" s="1" t="s">
        <v>78</v>
      </c>
      <c r="AJ2861" s="1">
        <v>1899</v>
      </c>
      <c r="AK2861" s="1" t="s">
        <v>55</v>
      </c>
      <c r="AL2861" s="1">
        <v>167</v>
      </c>
    </row>
    <row r="2862" spans="1:38" x14ac:dyDescent="0.2">
      <c r="A2862" s="2" t="str">
        <f>HYPERLINK("https://www.compass.com/listing/15-hudson-yards-unit-69e-manhattan-ny-10001/27574658664616961/","15 Hudson Yards, Unit 69E")</f>
        <v>15 Hudson Yards, Unit 69E</v>
      </c>
      <c r="B2862" s="2" t="str">
        <f>HYPERLINK("https://www.compass.com/building/fifteen-hudson-yards-manhattan-ny/282058587512011909/","Fifteen Hudson Yards")</f>
        <v>Fifteen Hudson Yards</v>
      </c>
      <c r="C2862" s="1" t="s">
        <v>77</v>
      </c>
      <c r="D2862" s="1" t="s">
        <v>41</v>
      </c>
      <c r="E2862" s="3">
        <v>6595000</v>
      </c>
      <c r="F2862" s="1">
        <v>2862.4131944444398</v>
      </c>
      <c r="G2862" s="1">
        <v>5</v>
      </c>
      <c r="H2862" s="1">
        <v>3</v>
      </c>
      <c r="I2862" s="1">
        <v>4</v>
      </c>
      <c r="J2862" s="1">
        <v>3.5</v>
      </c>
      <c r="K2862" s="1">
        <v>3</v>
      </c>
      <c r="L2862" s="1">
        <v>1</v>
      </c>
      <c r="M2862" s="4">
        <v>2304</v>
      </c>
      <c r="N2862" s="1">
        <v>5541</v>
      </c>
      <c r="O2862" s="1">
        <v>5613</v>
      </c>
      <c r="P2862" s="1">
        <v>72</v>
      </c>
      <c r="Q2862" s="1" t="s">
        <v>42</v>
      </c>
      <c r="S2862" s="1" t="s">
        <v>42</v>
      </c>
      <c r="T2862" s="1" t="s">
        <v>273</v>
      </c>
      <c r="U2862" s="1">
        <v>516</v>
      </c>
      <c r="V2862" s="5">
        <v>44234</v>
      </c>
      <c r="W2862" s="5">
        <v>43547</v>
      </c>
      <c r="Y2862" s="1">
        <v>6595000</v>
      </c>
      <c r="Z2862" s="5">
        <v>44200</v>
      </c>
      <c r="AA2862" s="1">
        <v>6595000</v>
      </c>
      <c r="AB2862" s="1" t="s">
        <v>275</v>
      </c>
      <c r="AC2862" s="5">
        <v>44232</v>
      </c>
      <c r="AF2862" s="1">
        <v>10001</v>
      </c>
      <c r="AI2862" s="1" t="s">
        <v>177</v>
      </c>
      <c r="AJ2862" s="1">
        <v>2018</v>
      </c>
      <c r="AK2862" s="1" t="s">
        <v>46</v>
      </c>
      <c r="AL2862" s="1">
        <v>285</v>
      </c>
    </row>
    <row r="2863" spans="1:38" x14ac:dyDescent="0.2">
      <c r="A2863" s="2" t="str">
        <f>HYPERLINK("https://www.compass.com/listing/12-east-88th-street-unit-4d-manhattan-ny-10128/29420044177982833/","12 E 88th St, Unit 4D")</f>
        <v>12 E 88th St, Unit 4D</v>
      </c>
      <c r="B2863" s="2" t="str">
        <f>HYPERLINK("https://www.compass.com/building/12-e-88th-st-manhattan-ny-10128/282046316798827461/","12 E 88th St")</f>
        <v>12 E 88th St</v>
      </c>
      <c r="C2863" s="1" t="s">
        <v>82</v>
      </c>
      <c r="D2863" s="1" t="s">
        <v>41</v>
      </c>
      <c r="E2863" s="3">
        <v>1303360</v>
      </c>
      <c r="F2863" s="1">
        <v>1773.2789115646201</v>
      </c>
      <c r="G2863" s="1">
        <v>3</v>
      </c>
      <c r="H2863" s="1">
        <v>1</v>
      </c>
      <c r="I2863" s="1">
        <v>1</v>
      </c>
      <c r="J2863" s="1">
        <v>1</v>
      </c>
      <c r="M2863" s="1">
        <v>735</v>
      </c>
      <c r="N2863" s="1">
        <v>883</v>
      </c>
      <c r="O2863" s="1">
        <v>1828</v>
      </c>
      <c r="P2863" s="1">
        <v>945</v>
      </c>
      <c r="Q2863" s="1" t="s">
        <v>42</v>
      </c>
      <c r="S2863" s="1" t="s">
        <v>42</v>
      </c>
      <c r="T2863" s="1" t="s">
        <v>273</v>
      </c>
      <c r="U2863" s="1">
        <v>440</v>
      </c>
      <c r="V2863" s="5">
        <v>43630</v>
      </c>
      <c r="W2863" s="5">
        <v>42712</v>
      </c>
      <c r="X2863" s="1">
        <v>1750000</v>
      </c>
      <c r="Y2863" s="1">
        <v>1395000</v>
      </c>
      <c r="Z2863" s="5">
        <v>43152</v>
      </c>
      <c r="AA2863" s="1">
        <v>1303360</v>
      </c>
      <c r="AB2863" s="1" t="s">
        <v>1747</v>
      </c>
      <c r="AC2863" s="5">
        <v>43194</v>
      </c>
      <c r="AF2863" s="1">
        <v>10128</v>
      </c>
      <c r="AI2863" s="1" t="s">
        <v>177</v>
      </c>
      <c r="AJ2863" s="1">
        <v>1931</v>
      </c>
      <c r="AK2863" s="1" t="s">
        <v>49</v>
      </c>
      <c r="AL2863" s="1">
        <v>39</v>
      </c>
    </row>
    <row r="2864" spans="1:38" x14ac:dyDescent="0.2">
      <c r="A2864" s="2" t="str">
        <f>HYPERLINK("https://www.compass.com/listing/261-west-25th-street-unit-9a-manhattan-ny-10001/803398632518943705/","261 W 25th St, Unit 9A")</f>
        <v>261 W 25th St, Unit 9A</v>
      </c>
      <c r="B2864" s="2" t="str">
        <f>HYPERLINK("https://www.compass.com/building/the-seymour-manhattan-ny/281883155990840165/","The Seymour")</f>
        <v>The Seymour</v>
      </c>
      <c r="C2864" s="1" t="s">
        <v>62</v>
      </c>
      <c r="D2864" s="1" t="s">
        <v>41</v>
      </c>
      <c r="E2864" s="3">
        <v>1695000</v>
      </c>
      <c r="F2864" s="1">
        <v>2092.5925925925899</v>
      </c>
      <c r="G2864" s="1">
        <v>3</v>
      </c>
      <c r="H2864" s="1">
        <v>1</v>
      </c>
      <c r="I2864" s="1">
        <v>1</v>
      </c>
      <c r="J2864" s="1">
        <v>1</v>
      </c>
      <c r="M2864" s="1">
        <v>810</v>
      </c>
      <c r="N2864" s="1">
        <v>990</v>
      </c>
      <c r="O2864" s="1">
        <v>2074</v>
      </c>
      <c r="P2864" s="1">
        <v>1084</v>
      </c>
      <c r="Q2864" s="1" t="s">
        <v>42</v>
      </c>
      <c r="S2864" s="1" t="s">
        <v>42</v>
      </c>
      <c r="T2864" s="1" t="s">
        <v>273</v>
      </c>
      <c r="U2864" s="1">
        <v>25</v>
      </c>
      <c r="V2864" s="5">
        <v>42504</v>
      </c>
      <c r="W2864" s="5">
        <v>41906</v>
      </c>
      <c r="X2864" s="1">
        <v>1695000</v>
      </c>
      <c r="Y2864" s="1">
        <v>1695000</v>
      </c>
      <c r="Z2864" s="5">
        <v>41931</v>
      </c>
      <c r="AA2864" s="1">
        <v>1695000</v>
      </c>
      <c r="AB2864" s="1" t="s">
        <v>1611</v>
      </c>
      <c r="AC2864" s="5">
        <v>42444</v>
      </c>
      <c r="AF2864" s="1">
        <v>10001</v>
      </c>
      <c r="AI2864" s="1" t="s">
        <v>163</v>
      </c>
      <c r="AJ2864" s="1">
        <v>2015</v>
      </c>
      <c r="AK2864" s="1" t="s">
        <v>49</v>
      </c>
      <c r="AL2864" s="1">
        <v>49</v>
      </c>
    </row>
    <row r="2865" spans="1:38" x14ac:dyDescent="0.2">
      <c r="A2865" s="2" t="str">
        <f>HYPERLINK("https://www.compass.com/listing/301-east-80th-street-unit-8b-manhattan-ny-10075/814935786925507545/","301 E 80th St, Unit 8B")</f>
        <v>301 E 80th St, Unit 8B</v>
      </c>
      <c r="B2865" s="2" t="str">
        <f>HYPERLINK("https://www.compass.com/building/beckford-tower-manhattan-ny/293529721147268613/","Beckford Tower")</f>
        <v>Beckford Tower</v>
      </c>
      <c r="C2865" s="1" t="s">
        <v>82</v>
      </c>
      <c r="D2865" s="1" t="s">
        <v>41</v>
      </c>
      <c r="E2865" s="3">
        <v>10200000</v>
      </c>
      <c r="F2865" s="1">
        <v>2663.8809088534799</v>
      </c>
      <c r="G2865" s="1">
        <v>12</v>
      </c>
      <c r="H2865" s="1">
        <v>5</v>
      </c>
      <c r="I2865" s="1">
        <v>7</v>
      </c>
      <c r="J2865" s="1">
        <v>6.5</v>
      </c>
      <c r="K2865" s="1">
        <v>6</v>
      </c>
      <c r="L2865" s="1">
        <v>1</v>
      </c>
      <c r="M2865" s="4">
        <v>3829</v>
      </c>
      <c r="N2865" s="1">
        <v>5289</v>
      </c>
      <c r="O2865" s="1">
        <v>11331</v>
      </c>
      <c r="P2865" s="1">
        <v>6042</v>
      </c>
      <c r="Q2865" s="1" t="s">
        <v>42</v>
      </c>
      <c r="S2865" s="1" t="s">
        <v>42</v>
      </c>
      <c r="T2865" s="1" t="s">
        <v>273</v>
      </c>
      <c r="U2865" s="1">
        <v>5</v>
      </c>
      <c r="V2865" s="5">
        <v>44399</v>
      </c>
      <c r="W2865" s="5">
        <v>44357</v>
      </c>
      <c r="X2865" s="1">
        <v>1</v>
      </c>
      <c r="Y2865" s="1">
        <v>1</v>
      </c>
      <c r="AA2865" s="1">
        <v>10200000</v>
      </c>
      <c r="AB2865" s="1" t="s">
        <v>1748</v>
      </c>
      <c r="AC2865" s="5">
        <v>44362</v>
      </c>
      <c r="AF2865" s="1">
        <v>10075</v>
      </c>
      <c r="AJ2865" s="1">
        <v>2019</v>
      </c>
      <c r="AK2865" s="1" t="s">
        <v>49</v>
      </c>
      <c r="AL2865" s="1">
        <v>72</v>
      </c>
    </row>
    <row r="2866" spans="1:38" x14ac:dyDescent="0.2">
      <c r="A2866" s="2" t="str">
        <f>HYPERLINK("https://www.compass.com/listing/235-west-75th-street-unit-504-manhattan-ny-10023/29395870105503617/","235 W 75th St, Unit 504")</f>
        <v>235 W 75th St, Unit 504</v>
      </c>
      <c r="B2866" s="2" t="str">
        <f>HYPERLINK("https://www.compass.com/building/the-astor-manhattan-ny/281958704155269925/","The Astor")</f>
        <v>The Astor</v>
      </c>
      <c r="C2866" s="1" t="s">
        <v>57</v>
      </c>
      <c r="D2866" s="1" t="s">
        <v>41</v>
      </c>
      <c r="E2866" s="3">
        <v>2307988</v>
      </c>
      <c r="F2866" s="1">
        <v>2291.9443892750701</v>
      </c>
      <c r="G2866" s="1">
        <v>2</v>
      </c>
      <c r="H2866" s="1">
        <v>1</v>
      </c>
      <c r="I2866" s="1">
        <v>1.5</v>
      </c>
      <c r="J2866" s="1">
        <v>1.5</v>
      </c>
      <c r="M2866" s="4">
        <v>1007</v>
      </c>
      <c r="Q2866" s="1" t="s">
        <v>42</v>
      </c>
      <c r="S2866" s="1" t="s">
        <v>42</v>
      </c>
      <c r="T2866" s="1" t="s">
        <v>273</v>
      </c>
      <c r="U2866" s="1">
        <v>9</v>
      </c>
      <c r="V2866" s="5">
        <v>43703</v>
      </c>
      <c r="W2866" s="5">
        <v>42131</v>
      </c>
      <c r="X2866" s="1">
        <v>2250000</v>
      </c>
      <c r="Y2866" s="1">
        <v>2250000</v>
      </c>
      <c r="Z2866" s="5">
        <v>42140</v>
      </c>
      <c r="AA2866" s="1">
        <v>2307988</v>
      </c>
      <c r="AB2866" s="1" t="s">
        <v>1749</v>
      </c>
      <c r="AC2866" s="5">
        <v>42425</v>
      </c>
      <c r="AF2866" s="1">
        <v>10023</v>
      </c>
      <c r="AJ2866" s="1">
        <v>2018</v>
      </c>
      <c r="AK2866" s="1" t="s">
        <v>49</v>
      </c>
      <c r="AL2866" s="1">
        <v>98</v>
      </c>
    </row>
    <row r="2867" spans="1:38" x14ac:dyDescent="0.2">
      <c r="A2867" s="2" t="str">
        <f>HYPERLINK("https://www.compass.com/listing/1-west-end-avenue-unit-14h-manhattan-ny-10023/178966303367797009/","1 W End Ave, Unit 14H")</f>
        <v>1 W End Ave, Unit 14H</v>
      </c>
      <c r="B2867" s="2" t="str">
        <f>HYPERLINK("https://www.compass.com/building/1-w-end-ave-manhattan-ny-10023/455676159137755317/","1 W End Ave")</f>
        <v>1 W End Ave</v>
      </c>
      <c r="C2867" s="1" t="s">
        <v>57</v>
      </c>
      <c r="D2867" s="1" t="s">
        <v>41</v>
      </c>
      <c r="E2867" s="3">
        <v>2540000</v>
      </c>
      <c r="F2867" s="1">
        <v>1847.27272727272</v>
      </c>
      <c r="G2867" s="1">
        <v>4</v>
      </c>
      <c r="H2867" s="1">
        <v>2</v>
      </c>
      <c r="I2867" s="1">
        <v>3</v>
      </c>
      <c r="J2867" s="1">
        <v>2.5</v>
      </c>
      <c r="K2867" s="1">
        <v>2</v>
      </c>
      <c r="L2867" s="1">
        <v>1</v>
      </c>
      <c r="M2867" s="4">
        <v>1375</v>
      </c>
      <c r="N2867" s="1">
        <v>1666</v>
      </c>
      <c r="O2867" s="1">
        <v>1763</v>
      </c>
      <c r="P2867" s="1">
        <v>97</v>
      </c>
      <c r="Q2867" s="1" t="s">
        <v>42</v>
      </c>
      <c r="S2867" s="1" t="s">
        <v>42</v>
      </c>
      <c r="T2867" s="1" t="s">
        <v>273</v>
      </c>
      <c r="U2867" s="1">
        <v>241</v>
      </c>
      <c r="V2867" s="5">
        <v>44248</v>
      </c>
      <c r="W2867" s="5">
        <v>43499</v>
      </c>
      <c r="X2867" s="1">
        <v>3025000</v>
      </c>
      <c r="Y2867" s="1">
        <v>2788000</v>
      </c>
      <c r="Z2867" s="5">
        <v>43741</v>
      </c>
      <c r="AA2867" s="1">
        <v>2540000</v>
      </c>
      <c r="AB2867" s="1" t="s">
        <v>1750</v>
      </c>
      <c r="AC2867" s="5">
        <v>43818</v>
      </c>
      <c r="AF2867" s="1">
        <v>10023</v>
      </c>
      <c r="AI2867" s="1" t="s">
        <v>952</v>
      </c>
      <c r="AJ2867" s="1">
        <v>2017</v>
      </c>
      <c r="AK2867" s="1" t="s">
        <v>46</v>
      </c>
      <c r="AL2867" s="1">
        <v>246</v>
      </c>
    </row>
    <row r="2868" spans="1:38" x14ac:dyDescent="0.2">
      <c r="A2868" s="2" t="str">
        <f>HYPERLINK("https://www.compass.com/listing/200-east-94th-street-unit-315-manhattan-ny-10128/355775904630194449/","200 E 94th St, Unit 315")</f>
        <v>200 E 94th St, Unit 315</v>
      </c>
      <c r="B2868" s="2" t="str">
        <f>HYPERLINK("https://www.compass.com/building/carnegie-park-condominium-manhattan-ny/282049797358118613/","Carnegie Park Condominium")</f>
        <v>Carnegie Park Condominium</v>
      </c>
      <c r="C2868" s="1" t="s">
        <v>82</v>
      </c>
      <c r="D2868" s="1" t="s">
        <v>41</v>
      </c>
      <c r="E2868" s="3">
        <v>1501695</v>
      </c>
      <c r="F2868" s="1">
        <v>1395.6272304832701</v>
      </c>
      <c r="G2868" s="1">
        <v>4</v>
      </c>
      <c r="H2868" s="1">
        <v>2</v>
      </c>
      <c r="I2868" s="1">
        <v>2</v>
      </c>
      <c r="J2868" s="1">
        <v>2</v>
      </c>
      <c r="K2868" s="1">
        <v>2</v>
      </c>
      <c r="M2868" s="4">
        <v>1076</v>
      </c>
      <c r="N2868" s="1">
        <v>1207</v>
      </c>
      <c r="O2868" s="1">
        <v>2509</v>
      </c>
      <c r="P2868" s="1">
        <v>1302</v>
      </c>
      <c r="Q2868" s="1" t="s">
        <v>42</v>
      </c>
      <c r="S2868" s="1" t="s">
        <v>42</v>
      </c>
      <c r="T2868" s="1" t="s">
        <v>273</v>
      </c>
      <c r="U2868" s="1">
        <v>69</v>
      </c>
      <c r="V2868" s="5">
        <v>44248</v>
      </c>
      <c r="W2868" s="5">
        <v>43743</v>
      </c>
      <c r="X2868" s="1">
        <v>1595000</v>
      </c>
      <c r="Y2868" s="1">
        <v>1595000</v>
      </c>
      <c r="Z2868" s="5">
        <v>43812</v>
      </c>
      <c r="AA2868" s="1">
        <v>1501694.9</v>
      </c>
      <c r="AB2868" s="1" t="s">
        <v>1751</v>
      </c>
      <c r="AC2868" s="5">
        <v>43852</v>
      </c>
      <c r="AF2868" s="1">
        <v>10128</v>
      </c>
      <c r="AI2868" s="1" t="s">
        <v>163</v>
      </c>
      <c r="AJ2868" s="1">
        <v>1986</v>
      </c>
      <c r="AK2868" s="1" t="s">
        <v>108</v>
      </c>
      <c r="AL2868" s="1">
        <v>287</v>
      </c>
    </row>
    <row r="2869" spans="1:38" x14ac:dyDescent="0.2">
      <c r="A2869" s="2" t="str">
        <f>HYPERLINK("https://www.compass.com/listing/360-east-89th-street-unit-5d-manhattan-ny-10128/29580269770112881/","360 E 89th St, Unit 5D")</f>
        <v>360 E 89th St, Unit 5D</v>
      </c>
      <c r="B2869" s="2" t="str">
        <f>HYPERLINK("https://www.compass.com/building/citizen360-manhattan-ny/282052027553444853/","Citizen360")</f>
        <v>Citizen360</v>
      </c>
      <c r="C2869" s="1" t="s">
        <v>82</v>
      </c>
      <c r="D2869" s="1" t="s">
        <v>41</v>
      </c>
      <c r="E2869" s="3">
        <v>2100000</v>
      </c>
      <c r="F2869" s="1">
        <v>1507.5376884422101</v>
      </c>
      <c r="G2869" s="1">
        <v>4</v>
      </c>
      <c r="H2869" s="1">
        <v>2</v>
      </c>
      <c r="I2869" s="1">
        <v>2</v>
      </c>
      <c r="J2869" s="1">
        <v>2</v>
      </c>
      <c r="K2869" s="1">
        <v>2</v>
      </c>
      <c r="M2869" s="4">
        <v>1393</v>
      </c>
      <c r="N2869" s="1">
        <v>1305</v>
      </c>
      <c r="O2869" s="1">
        <v>2013</v>
      </c>
      <c r="P2869" s="1">
        <v>708</v>
      </c>
      <c r="Q2869" s="1" t="s">
        <v>42</v>
      </c>
      <c r="S2869" s="1" t="s">
        <v>42</v>
      </c>
      <c r="T2869" s="1" t="s">
        <v>273</v>
      </c>
      <c r="U2869" s="1">
        <v>19</v>
      </c>
      <c r="V2869" s="5">
        <v>43642</v>
      </c>
      <c r="W2869" s="5">
        <v>43293</v>
      </c>
      <c r="X2869" s="1">
        <v>2165000</v>
      </c>
      <c r="Y2869" s="1">
        <v>2100000</v>
      </c>
      <c r="Z2869" s="5">
        <v>43312</v>
      </c>
      <c r="AA2869" s="1">
        <v>2100000</v>
      </c>
      <c r="AB2869" s="1" t="s">
        <v>1752</v>
      </c>
      <c r="AC2869" s="5">
        <v>43325</v>
      </c>
      <c r="AF2869" s="1">
        <v>10128</v>
      </c>
      <c r="AJ2869" s="1">
        <v>2017</v>
      </c>
      <c r="AK2869" s="1" t="s">
        <v>46</v>
      </c>
      <c r="AL2869" s="1">
        <v>82</v>
      </c>
    </row>
    <row r="2870" spans="1:38" x14ac:dyDescent="0.2">
      <c r="A2870" s="2" t="str">
        <f>HYPERLINK("https://www.compass.com/listing/200-east-94th-street-unit-912-manhattan-ny-10128/29423465765347281/","200 E 94th St, Unit 912")</f>
        <v>200 E 94th St, Unit 912</v>
      </c>
      <c r="B2870" s="2" t="str">
        <f t="shared" ref="B2870:B2872" si="482">HYPERLINK("https://www.compass.com/building/carnegie-park-condominium-manhattan-ny/282049797358118613/","Carnegie Park Condominium")</f>
        <v>Carnegie Park Condominium</v>
      </c>
      <c r="C2870" s="1" t="s">
        <v>82</v>
      </c>
      <c r="D2870" s="1" t="s">
        <v>41</v>
      </c>
      <c r="E2870" s="3">
        <v>1025000</v>
      </c>
      <c r="F2870" s="1">
        <v>1453.9007092198499</v>
      </c>
      <c r="G2870" s="1">
        <v>3</v>
      </c>
      <c r="H2870" s="1">
        <v>1</v>
      </c>
      <c r="I2870" s="1">
        <v>1</v>
      </c>
      <c r="J2870" s="1">
        <v>1</v>
      </c>
      <c r="K2870" s="1">
        <v>1</v>
      </c>
      <c r="M2870" s="1">
        <v>705</v>
      </c>
      <c r="N2870" s="1">
        <v>779</v>
      </c>
      <c r="O2870" s="1">
        <v>1625</v>
      </c>
      <c r="P2870" s="1">
        <v>846</v>
      </c>
      <c r="Q2870" s="1" t="s">
        <v>42</v>
      </c>
      <c r="S2870" s="1" t="s">
        <v>42</v>
      </c>
      <c r="T2870" s="1" t="s">
        <v>273</v>
      </c>
      <c r="U2870" s="1">
        <v>27</v>
      </c>
      <c r="V2870" s="5">
        <v>43637</v>
      </c>
      <c r="W2870" s="5">
        <v>42910</v>
      </c>
      <c r="X2870" s="1">
        <v>1048000</v>
      </c>
      <c r="Y2870" s="1">
        <v>1048000</v>
      </c>
      <c r="Z2870" s="5">
        <v>42937</v>
      </c>
      <c r="AA2870" s="1">
        <v>1025000</v>
      </c>
      <c r="AB2870" s="1" t="s">
        <v>1753</v>
      </c>
      <c r="AC2870" s="5">
        <v>42962</v>
      </c>
      <c r="AF2870" s="1">
        <v>10128</v>
      </c>
      <c r="AI2870" s="1" t="s">
        <v>163</v>
      </c>
      <c r="AJ2870" s="1">
        <v>1986</v>
      </c>
      <c r="AK2870" s="1" t="s">
        <v>46</v>
      </c>
      <c r="AL2870" s="1">
        <v>287</v>
      </c>
    </row>
    <row r="2871" spans="1:38" x14ac:dyDescent="0.2">
      <c r="A2871" s="2" t="str">
        <f>HYPERLINK("https://www.compass.com/listing/200-east-94th-street-unit-2910-manhattan-ny-10128/29423508228417329/","200 E 94th St, Unit 2910")</f>
        <v>200 E 94th St, Unit 2910</v>
      </c>
      <c r="B2871" s="2" t="str">
        <f t="shared" si="482"/>
        <v>Carnegie Park Condominium</v>
      </c>
      <c r="C2871" s="1" t="s">
        <v>82</v>
      </c>
      <c r="D2871" s="1" t="s">
        <v>41</v>
      </c>
      <c r="E2871" s="3">
        <v>1180000</v>
      </c>
      <c r="F2871" s="1">
        <v>1829.4573643410799</v>
      </c>
      <c r="G2871" s="1">
        <v>4</v>
      </c>
      <c r="H2871" s="1">
        <v>1</v>
      </c>
      <c r="I2871" s="1">
        <v>1</v>
      </c>
      <c r="M2871" s="1">
        <v>645</v>
      </c>
      <c r="N2871" s="1">
        <v>862</v>
      </c>
      <c r="O2871" s="1">
        <v>1778</v>
      </c>
      <c r="P2871" s="1">
        <v>916</v>
      </c>
      <c r="Q2871" s="1" t="s">
        <v>42</v>
      </c>
      <c r="S2871" s="1" t="s">
        <v>42</v>
      </c>
      <c r="T2871" s="1" t="s">
        <v>273</v>
      </c>
      <c r="U2871" s="1">
        <v>30</v>
      </c>
      <c r="V2871" s="5">
        <v>43641</v>
      </c>
      <c r="W2871" s="5">
        <v>42649</v>
      </c>
      <c r="X2871" s="1">
        <v>1150000</v>
      </c>
      <c r="Y2871" s="1">
        <v>1150000</v>
      </c>
      <c r="Z2871" s="5">
        <v>42679</v>
      </c>
      <c r="AA2871" s="1">
        <v>1180000</v>
      </c>
      <c r="AB2871" s="1" t="s">
        <v>1754</v>
      </c>
      <c r="AC2871" s="5">
        <v>42739</v>
      </c>
      <c r="AF2871" s="1">
        <v>10128</v>
      </c>
      <c r="AI2871" s="1" t="s">
        <v>1561</v>
      </c>
      <c r="AJ2871" s="1">
        <v>1986</v>
      </c>
      <c r="AK2871" s="1" t="s">
        <v>46</v>
      </c>
      <c r="AL2871" s="1">
        <v>287</v>
      </c>
    </row>
    <row r="2872" spans="1:38" x14ac:dyDescent="0.2">
      <c r="A2872" s="2" t="str">
        <f>HYPERLINK("https://www.compass.com/listing/200-east-94th-street-unit-2910-manhattan-ny-10128/29423508228417345/","200 E 94th St, Unit 2910")</f>
        <v>200 E 94th St, Unit 2910</v>
      </c>
      <c r="B2872" s="2" t="str">
        <f t="shared" si="482"/>
        <v>Carnegie Park Condominium</v>
      </c>
      <c r="C2872" s="1" t="s">
        <v>82</v>
      </c>
      <c r="D2872" s="1" t="s">
        <v>41</v>
      </c>
      <c r="E2872" s="3">
        <v>1180000</v>
      </c>
      <c r="F2872" s="1">
        <v>1562.9139072847599</v>
      </c>
      <c r="G2872" s="1">
        <v>4</v>
      </c>
      <c r="H2872" s="1">
        <v>1</v>
      </c>
      <c r="I2872" s="1">
        <v>1</v>
      </c>
      <c r="J2872" s="1">
        <v>1</v>
      </c>
      <c r="M2872" s="1">
        <v>755</v>
      </c>
      <c r="N2872" s="1">
        <v>862</v>
      </c>
      <c r="O2872" s="1">
        <v>1778</v>
      </c>
      <c r="P2872" s="1">
        <v>916</v>
      </c>
      <c r="Q2872" s="1" t="s">
        <v>42</v>
      </c>
      <c r="S2872" s="1" t="s">
        <v>42</v>
      </c>
      <c r="T2872" s="1" t="s">
        <v>273</v>
      </c>
      <c r="U2872" s="1">
        <v>30</v>
      </c>
      <c r="V2872" s="5">
        <v>43649</v>
      </c>
      <c r="W2872" s="5">
        <v>42649</v>
      </c>
      <c r="X2872" s="1">
        <v>1150000</v>
      </c>
      <c r="Y2872" s="1">
        <v>1150000</v>
      </c>
      <c r="Z2872" s="5">
        <v>42679</v>
      </c>
      <c r="AA2872" s="1">
        <v>1180000</v>
      </c>
      <c r="AB2872" s="1" t="s">
        <v>1754</v>
      </c>
      <c r="AC2872" s="5">
        <v>42739</v>
      </c>
      <c r="AF2872" s="1">
        <v>10128</v>
      </c>
      <c r="AI2872" s="1" t="s">
        <v>163</v>
      </c>
      <c r="AJ2872" s="1">
        <v>1986</v>
      </c>
      <c r="AK2872" s="1" t="s">
        <v>49</v>
      </c>
      <c r="AL2872" s="1">
        <v>287</v>
      </c>
    </row>
    <row r="2873" spans="1:38" x14ac:dyDescent="0.2">
      <c r="A2873" s="2" t="str">
        <f>HYPERLINK("https://www.compass.com/listing/261-west-25th-street-unit-2c-manhattan-ny-10001/29372515801489329/","261 W 25th St, Unit 2C")</f>
        <v>261 W 25th St, Unit 2C</v>
      </c>
      <c r="B2873" s="2" t="str">
        <f t="shared" ref="B2873:B2878" si="483">HYPERLINK("https://www.compass.com/building/the-seymour-manhattan-ny/281883155990840165/","The Seymour")</f>
        <v>The Seymour</v>
      </c>
      <c r="C2873" s="1" t="s">
        <v>62</v>
      </c>
      <c r="D2873" s="1" t="s">
        <v>41</v>
      </c>
      <c r="E2873" s="3">
        <v>1135349</v>
      </c>
      <c r="F2873" s="1">
        <v>1741.33282208588</v>
      </c>
      <c r="G2873" s="1">
        <v>3</v>
      </c>
      <c r="H2873" s="1">
        <v>1</v>
      </c>
      <c r="I2873" s="1">
        <v>1</v>
      </c>
      <c r="J2873" s="1">
        <v>1</v>
      </c>
      <c r="M2873" s="1">
        <v>652</v>
      </c>
      <c r="N2873" s="1">
        <v>756</v>
      </c>
      <c r="O2873" s="1">
        <v>1582</v>
      </c>
      <c r="P2873" s="1">
        <v>826</v>
      </c>
      <c r="Q2873" s="1" t="s">
        <v>42</v>
      </c>
      <c r="S2873" s="1" t="s">
        <v>42</v>
      </c>
      <c r="T2873" s="1" t="s">
        <v>273</v>
      </c>
      <c r="V2873" s="5">
        <v>43650</v>
      </c>
      <c r="W2873" s="5">
        <v>41850</v>
      </c>
      <c r="X2873" s="1">
        <v>1115000</v>
      </c>
      <c r="Y2873" s="1">
        <v>1115000</v>
      </c>
      <c r="Z2873" s="5">
        <v>41850</v>
      </c>
      <c r="AA2873" s="1">
        <v>1135349</v>
      </c>
      <c r="AB2873" s="1" t="s">
        <v>1755</v>
      </c>
      <c r="AC2873" s="5">
        <v>42411</v>
      </c>
      <c r="AF2873" s="1">
        <v>10001</v>
      </c>
      <c r="AI2873" s="1" t="s">
        <v>163</v>
      </c>
      <c r="AJ2873" s="1">
        <v>2015</v>
      </c>
      <c r="AK2873" s="1" t="s">
        <v>49</v>
      </c>
      <c r="AL2873" s="1">
        <v>49</v>
      </c>
    </row>
    <row r="2874" spans="1:38" x14ac:dyDescent="0.2">
      <c r="A2874" s="2" t="str">
        <f>HYPERLINK("https://www.compass.com/listing/261-west-25th-street-unit-1c-manhattan-ny-10001/803332313257760921/","261 W 25th St, Unit 1C")</f>
        <v>261 W 25th St, Unit 1C</v>
      </c>
      <c r="B2874" s="2" t="str">
        <f t="shared" si="483"/>
        <v>The Seymour</v>
      </c>
      <c r="C2874" s="1" t="s">
        <v>62</v>
      </c>
      <c r="D2874" s="1" t="s">
        <v>41</v>
      </c>
      <c r="E2874" s="3">
        <v>1145000</v>
      </c>
      <c r="F2874" s="1">
        <v>1462.3243933588701</v>
      </c>
      <c r="G2874" s="1">
        <v>4</v>
      </c>
      <c r="H2874" s="1">
        <v>2</v>
      </c>
      <c r="I2874" s="1">
        <v>1</v>
      </c>
      <c r="J2874" s="1">
        <v>1</v>
      </c>
      <c r="M2874" s="1">
        <v>783</v>
      </c>
      <c r="N2874" s="1">
        <v>908</v>
      </c>
      <c r="O2874" s="1">
        <v>1903</v>
      </c>
      <c r="P2874" s="1">
        <v>995</v>
      </c>
      <c r="Q2874" s="1" t="s">
        <v>42</v>
      </c>
      <c r="S2874" s="1" t="s">
        <v>42</v>
      </c>
      <c r="T2874" s="1" t="s">
        <v>273</v>
      </c>
      <c r="V2874" s="5">
        <v>42504</v>
      </c>
      <c r="W2874" s="5">
        <v>41894</v>
      </c>
      <c r="X2874" s="1">
        <v>1145000</v>
      </c>
      <c r="Y2874" s="1">
        <v>1145000</v>
      </c>
      <c r="Z2874" s="5">
        <v>41895</v>
      </c>
      <c r="AB2874" s="1" t="s">
        <v>275</v>
      </c>
      <c r="AC2874" s="5">
        <v>42504</v>
      </c>
      <c r="AF2874" s="1">
        <v>10001</v>
      </c>
      <c r="AI2874" s="1" t="s">
        <v>163</v>
      </c>
      <c r="AJ2874" s="1">
        <v>2015</v>
      </c>
      <c r="AK2874" s="1" t="s">
        <v>49</v>
      </c>
      <c r="AL2874" s="1">
        <v>49</v>
      </c>
    </row>
    <row r="2875" spans="1:38" x14ac:dyDescent="0.2">
      <c r="A2875" s="2" t="str">
        <f>HYPERLINK("https://www.compass.com/listing/261-west-25th-street-unit-2b-manhattan-ny-10001/29372515390359969/","261 W 25th St, Unit 2B")</f>
        <v>261 W 25th St, Unit 2B</v>
      </c>
      <c r="B2875" s="2" t="str">
        <f t="shared" si="483"/>
        <v>The Seymour</v>
      </c>
      <c r="C2875" s="1" t="s">
        <v>62</v>
      </c>
      <c r="D2875" s="1" t="s">
        <v>41</v>
      </c>
      <c r="E2875" s="3">
        <v>2744184</v>
      </c>
      <c r="F2875" s="1">
        <v>1736.82531645569</v>
      </c>
      <c r="G2875" s="1">
        <v>5</v>
      </c>
      <c r="H2875" s="1">
        <v>2</v>
      </c>
      <c r="I2875" s="1">
        <v>3</v>
      </c>
      <c r="J2875" s="1">
        <v>2.5</v>
      </c>
      <c r="M2875" s="4">
        <v>1580</v>
      </c>
      <c r="N2875" s="1">
        <v>1788</v>
      </c>
      <c r="O2875" s="1">
        <v>3795</v>
      </c>
      <c r="P2875" s="1">
        <v>2007</v>
      </c>
      <c r="Q2875" s="1" t="s">
        <v>42</v>
      </c>
      <c r="S2875" s="1" t="s">
        <v>42</v>
      </c>
      <c r="T2875" s="1" t="s">
        <v>273</v>
      </c>
      <c r="V2875" s="5">
        <v>43650</v>
      </c>
      <c r="W2875" s="5">
        <v>41979</v>
      </c>
      <c r="X2875" s="1">
        <v>2695000</v>
      </c>
      <c r="Y2875" s="1">
        <v>2695000</v>
      </c>
      <c r="Z2875" s="5">
        <v>41979</v>
      </c>
      <c r="AA2875" s="1">
        <v>2744184</v>
      </c>
      <c r="AB2875" s="1" t="s">
        <v>1756</v>
      </c>
      <c r="AC2875" s="5">
        <v>42403</v>
      </c>
      <c r="AF2875" s="1">
        <v>10001</v>
      </c>
      <c r="AI2875" s="1" t="s">
        <v>163</v>
      </c>
      <c r="AJ2875" s="1">
        <v>2015</v>
      </c>
      <c r="AK2875" s="1" t="s">
        <v>49</v>
      </c>
      <c r="AL2875" s="1">
        <v>49</v>
      </c>
    </row>
    <row r="2876" spans="1:38" x14ac:dyDescent="0.2">
      <c r="A2876" s="2" t="str">
        <f>HYPERLINK("https://www.compass.com/listing/261-west-25th-street-unit-5b-manhattan-ny-10001/29372521925085713/","261 W 25th St, Unit 5B")</f>
        <v>261 W 25th St, Unit 5B</v>
      </c>
      <c r="B2876" s="2" t="str">
        <f t="shared" si="483"/>
        <v>The Seymour</v>
      </c>
      <c r="C2876" s="1" t="s">
        <v>62</v>
      </c>
      <c r="D2876" s="1" t="s">
        <v>41</v>
      </c>
      <c r="E2876" s="3">
        <v>2606720</v>
      </c>
      <c r="F2876" s="1">
        <v>1786.64838930774</v>
      </c>
      <c r="G2876" s="1">
        <v>4</v>
      </c>
      <c r="H2876" s="1">
        <v>2</v>
      </c>
      <c r="I2876" s="1">
        <v>3</v>
      </c>
      <c r="J2876" s="1">
        <v>2.5</v>
      </c>
      <c r="M2876" s="4">
        <v>1459</v>
      </c>
      <c r="N2876" s="1">
        <v>1652</v>
      </c>
      <c r="O2876" s="1">
        <v>3506</v>
      </c>
      <c r="P2876" s="1">
        <v>1854</v>
      </c>
      <c r="Q2876" s="1" t="s">
        <v>42</v>
      </c>
      <c r="S2876" s="1" t="s">
        <v>42</v>
      </c>
      <c r="T2876" s="1" t="s">
        <v>273</v>
      </c>
      <c r="V2876" s="5">
        <v>43654</v>
      </c>
      <c r="W2876" s="5">
        <v>42013</v>
      </c>
      <c r="X2876" s="1">
        <v>2560000</v>
      </c>
      <c r="Y2876" s="1">
        <v>2560000</v>
      </c>
      <c r="Z2876" s="5">
        <v>42013</v>
      </c>
      <c r="AA2876" s="1">
        <v>2606720</v>
      </c>
      <c r="AB2876" s="1" t="s">
        <v>1757</v>
      </c>
      <c r="AC2876" s="5">
        <v>42425</v>
      </c>
      <c r="AF2876" s="1">
        <v>10001</v>
      </c>
      <c r="AI2876" s="1" t="s">
        <v>163</v>
      </c>
      <c r="AJ2876" s="1">
        <v>2015</v>
      </c>
      <c r="AK2876" s="1" t="s">
        <v>49</v>
      </c>
      <c r="AL2876" s="1">
        <v>49</v>
      </c>
    </row>
    <row r="2877" spans="1:38" x14ac:dyDescent="0.2">
      <c r="A2877" s="2" t="str">
        <f>HYPERLINK("https://www.compass.com/listing/261-west-25th-street-unit-6b-manhattan-ny-10001/29372523988686401/","261 W 25th St, Unit 6B")</f>
        <v>261 W 25th St, Unit 6B</v>
      </c>
      <c r="B2877" s="2" t="str">
        <f t="shared" si="483"/>
        <v>The Seymour</v>
      </c>
      <c r="C2877" s="1" t="s">
        <v>62</v>
      </c>
      <c r="D2877" s="1" t="s">
        <v>41</v>
      </c>
      <c r="E2877" s="3">
        <v>2740000</v>
      </c>
      <c r="F2877" s="1">
        <v>1877.9986291980799</v>
      </c>
      <c r="G2877" s="1">
        <v>4</v>
      </c>
      <c r="H2877" s="1">
        <v>2</v>
      </c>
      <c r="I2877" s="1">
        <v>3</v>
      </c>
      <c r="J2877" s="1">
        <v>2.5</v>
      </c>
      <c r="M2877" s="4">
        <v>1459</v>
      </c>
      <c r="N2877" s="1">
        <v>1652</v>
      </c>
      <c r="O2877" s="1">
        <v>3506</v>
      </c>
      <c r="P2877" s="1">
        <v>1854</v>
      </c>
      <c r="Q2877" s="1" t="s">
        <v>42</v>
      </c>
      <c r="S2877" s="1" t="s">
        <v>42</v>
      </c>
      <c r="T2877" s="1" t="s">
        <v>273</v>
      </c>
      <c r="V2877" s="5">
        <v>43654</v>
      </c>
      <c r="W2877" s="5">
        <v>41991</v>
      </c>
      <c r="X2877" s="1">
        <v>2740000</v>
      </c>
      <c r="Y2877" s="1">
        <v>2740000</v>
      </c>
      <c r="Z2877" s="5">
        <v>41991</v>
      </c>
      <c r="AA2877" s="1">
        <v>2740000</v>
      </c>
      <c r="AB2877" s="1" t="s">
        <v>1758</v>
      </c>
      <c r="AC2877" s="5">
        <v>42424</v>
      </c>
      <c r="AF2877" s="1">
        <v>10001</v>
      </c>
      <c r="AI2877" s="1" t="s">
        <v>163</v>
      </c>
      <c r="AJ2877" s="1">
        <v>2015</v>
      </c>
      <c r="AK2877" s="1" t="s">
        <v>49</v>
      </c>
      <c r="AL2877" s="1">
        <v>49</v>
      </c>
    </row>
    <row r="2878" spans="1:38" x14ac:dyDescent="0.2">
      <c r="A2878" s="2" t="str">
        <f>HYPERLINK("https://www.compass.com/listing/261-west-25th-street-unit-8b-manhattan-ny-10001/29372530221422321/","261 W 25th St, Unit 8B")</f>
        <v>261 W 25th St, Unit 8B</v>
      </c>
      <c r="B2878" s="2" t="str">
        <f t="shared" si="483"/>
        <v>The Seymour</v>
      </c>
      <c r="C2878" s="1" t="s">
        <v>62</v>
      </c>
      <c r="D2878" s="1" t="s">
        <v>41</v>
      </c>
      <c r="E2878" s="3">
        <v>2947834</v>
      </c>
      <c r="F2878" s="1">
        <v>2020.4480808773101</v>
      </c>
      <c r="H2878" s="1">
        <v>2</v>
      </c>
      <c r="J2878" s="1">
        <v>2.5</v>
      </c>
      <c r="K2878" s="1">
        <v>2</v>
      </c>
      <c r="L2878" s="1">
        <v>1</v>
      </c>
      <c r="M2878" s="4">
        <v>1459</v>
      </c>
      <c r="N2878" s="1">
        <v>1801</v>
      </c>
      <c r="O2878" s="1">
        <v>4076</v>
      </c>
      <c r="P2878" s="1">
        <v>2275</v>
      </c>
      <c r="Q2878" s="1" t="s">
        <v>42</v>
      </c>
      <c r="S2878" s="1" t="s">
        <v>42</v>
      </c>
      <c r="T2878" s="1" t="s">
        <v>273</v>
      </c>
      <c r="AA2878" s="1">
        <v>2947833.75</v>
      </c>
      <c r="AB2878" s="1" t="s">
        <v>1759</v>
      </c>
      <c r="AC2878" s="5">
        <v>42425</v>
      </c>
      <c r="AF2878" s="1">
        <v>10001</v>
      </c>
      <c r="AI2878" s="1" t="s">
        <v>163</v>
      </c>
      <c r="AJ2878" s="1">
        <v>2015</v>
      </c>
      <c r="AK2878" s="1" t="s">
        <v>49</v>
      </c>
      <c r="AL2878" s="1">
        <v>49</v>
      </c>
    </row>
    <row r="2879" spans="1:38" x14ac:dyDescent="0.2">
      <c r="A2879" s="2" t="str">
        <f>HYPERLINK("https://www.compass.com/listing/20-east-end-avenue-unit-3d-manhattan-ny-10075/231835012541036353/","20 E End Ave, Unit 3D")</f>
        <v>20 E End Ave, Unit 3D</v>
      </c>
      <c r="B2879" s="2" t="str">
        <f>HYPERLINK("https://www.compass.com/building/20-e-end-ave-manhattan-ny-10075/281985490498985157/","20 E End Ave")</f>
        <v>20 E End Ave</v>
      </c>
      <c r="C2879" s="1" t="s">
        <v>82</v>
      </c>
      <c r="D2879" s="1" t="s">
        <v>41</v>
      </c>
      <c r="E2879" s="3">
        <v>6650000</v>
      </c>
      <c r="F2879" s="1">
        <v>2220.3672787979899</v>
      </c>
      <c r="G2879" s="1">
        <v>6</v>
      </c>
      <c r="H2879" s="1">
        <v>4</v>
      </c>
      <c r="I2879" s="1">
        <v>5</v>
      </c>
      <c r="J2879" s="1">
        <v>4.5</v>
      </c>
      <c r="K2879" s="1">
        <v>4</v>
      </c>
      <c r="L2879" s="1">
        <v>1</v>
      </c>
      <c r="M2879" s="4">
        <v>2995</v>
      </c>
      <c r="N2879" s="1">
        <v>3842</v>
      </c>
      <c r="O2879" s="1">
        <v>7398</v>
      </c>
      <c r="P2879" s="1">
        <v>3556</v>
      </c>
      <c r="Q2879" s="1" t="s">
        <v>42</v>
      </c>
      <c r="S2879" s="1" t="s">
        <v>42</v>
      </c>
      <c r="T2879" s="1" t="s">
        <v>273</v>
      </c>
      <c r="U2879" s="1">
        <v>28</v>
      </c>
      <c r="V2879" s="5">
        <v>44392</v>
      </c>
      <c r="W2879" s="5">
        <v>43572</v>
      </c>
      <c r="X2879" s="1">
        <v>6995000</v>
      </c>
      <c r="Y2879" s="1">
        <v>6995000</v>
      </c>
      <c r="Z2879" s="5">
        <v>43600</v>
      </c>
      <c r="AA2879" s="1">
        <v>6650000</v>
      </c>
      <c r="AB2879" s="1" t="s">
        <v>1760</v>
      </c>
      <c r="AC2879" s="5">
        <v>43642</v>
      </c>
      <c r="AF2879" s="1">
        <v>10075</v>
      </c>
      <c r="AJ2879" s="1">
        <v>2017</v>
      </c>
      <c r="AK2879" s="1" t="s">
        <v>46</v>
      </c>
      <c r="AL2879" s="1">
        <v>41</v>
      </c>
    </row>
    <row r="2880" spans="1:38" x14ac:dyDescent="0.2">
      <c r="A2880" s="2" t="str">
        <f>HYPERLINK("https://www.compass.com/listing/301-east-80th-street-unit-24b-manhattan-ny-10075/825076993463561265/","301 E 80th St, Unit 24B")</f>
        <v>301 E 80th St, Unit 24B</v>
      </c>
      <c r="B2880" s="2" t="str">
        <f>HYPERLINK("https://www.compass.com/building/beckford-tower-manhattan-ny/293529721147268613/","Beckford Tower")</f>
        <v>Beckford Tower</v>
      </c>
      <c r="C2880" s="1" t="s">
        <v>82</v>
      </c>
      <c r="D2880" s="1" t="s">
        <v>41</v>
      </c>
      <c r="E2880" s="3">
        <v>9950000</v>
      </c>
      <c r="F2880" s="1">
        <v>2621.18018967334</v>
      </c>
      <c r="G2880" s="1">
        <v>11</v>
      </c>
      <c r="H2880" s="1">
        <v>5</v>
      </c>
      <c r="I2880" s="1">
        <v>6</v>
      </c>
      <c r="J2880" s="1">
        <v>5.5</v>
      </c>
      <c r="K2880" s="1">
        <v>5</v>
      </c>
      <c r="L2880" s="1">
        <v>1</v>
      </c>
      <c r="M2880" s="4">
        <v>3796</v>
      </c>
      <c r="N2880" s="1">
        <v>5077</v>
      </c>
      <c r="O2880" s="1">
        <v>10876</v>
      </c>
      <c r="P2880" s="1">
        <v>5799</v>
      </c>
      <c r="Q2880" s="1" t="s">
        <v>42</v>
      </c>
      <c r="S2880" s="1" t="s">
        <v>42</v>
      </c>
      <c r="T2880" s="1" t="s">
        <v>273</v>
      </c>
      <c r="U2880" s="1">
        <v>10</v>
      </c>
      <c r="V2880" s="5">
        <v>44399</v>
      </c>
      <c r="W2880" s="5">
        <v>44355</v>
      </c>
      <c r="X2880" s="1">
        <v>1</v>
      </c>
      <c r="Y2880" s="1">
        <v>1</v>
      </c>
      <c r="AA2880" s="1">
        <v>9950000</v>
      </c>
      <c r="AB2880" s="1" t="s">
        <v>1761</v>
      </c>
      <c r="AC2880" s="5">
        <v>44365</v>
      </c>
      <c r="AF2880" s="1">
        <v>10075</v>
      </c>
      <c r="AI2880" s="1" t="s">
        <v>182</v>
      </c>
      <c r="AJ2880" s="1">
        <v>2019</v>
      </c>
      <c r="AK2880" s="1" t="s">
        <v>49</v>
      </c>
      <c r="AL2880" s="1">
        <v>72</v>
      </c>
    </row>
    <row r="2881" spans="1:38" x14ac:dyDescent="0.2">
      <c r="A2881" s="2" t="str">
        <f>HYPERLINK("https://www.compass.com/listing/200-east-94th-street-unit-125-manhattan-ny-10128/39015433390550353/","200 E 94th St, Unit 125")</f>
        <v>200 E 94th St, Unit 125</v>
      </c>
      <c r="B2881" s="2" t="str">
        <f t="shared" ref="B2881:B2883" si="484">HYPERLINK("https://www.compass.com/building/carnegie-park-condominium-manhattan-ny/282049797358118613/","Carnegie Park Condominium")</f>
        <v>Carnegie Park Condominium</v>
      </c>
      <c r="C2881" s="1" t="s">
        <v>82</v>
      </c>
      <c r="D2881" s="1" t="s">
        <v>41</v>
      </c>
      <c r="E2881" s="3">
        <v>990771</v>
      </c>
      <c r="F2881" s="1">
        <v>1403.3588810198301</v>
      </c>
      <c r="G2881" s="1">
        <v>3</v>
      </c>
      <c r="H2881" s="1">
        <v>1</v>
      </c>
      <c r="I2881" s="1">
        <v>1</v>
      </c>
      <c r="J2881" s="1">
        <v>1</v>
      </c>
      <c r="K2881" s="1">
        <v>1</v>
      </c>
      <c r="M2881" s="1">
        <v>706</v>
      </c>
      <c r="N2881" s="1">
        <v>789.88</v>
      </c>
      <c r="O2881" s="1">
        <v>1631.71</v>
      </c>
      <c r="P2881" s="1">
        <v>841.83333333333303</v>
      </c>
      <c r="Q2881" s="1" t="s">
        <v>42</v>
      </c>
      <c r="S2881" s="1" t="s">
        <v>42</v>
      </c>
      <c r="T2881" s="1" t="s">
        <v>273</v>
      </c>
      <c r="U2881" s="1">
        <v>118</v>
      </c>
      <c r="V2881" s="5">
        <v>43939</v>
      </c>
      <c r="W2881" s="5">
        <v>43305</v>
      </c>
      <c r="X2881" s="1">
        <v>999000</v>
      </c>
      <c r="Y2881" s="1">
        <v>999000</v>
      </c>
      <c r="AA2881" s="1">
        <v>990771.37</v>
      </c>
      <c r="AB2881" s="1" t="s">
        <v>1762</v>
      </c>
      <c r="AC2881" s="5">
        <v>43538</v>
      </c>
      <c r="AF2881" s="1">
        <v>10128</v>
      </c>
      <c r="AI2881" s="1" t="s">
        <v>185</v>
      </c>
      <c r="AJ2881" s="1">
        <v>1986</v>
      </c>
      <c r="AK2881" s="1" t="s">
        <v>46</v>
      </c>
      <c r="AL2881" s="1">
        <v>287</v>
      </c>
    </row>
    <row r="2882" spans="1:38" x14ac:dyDescent="0.2">
      <c r="A2882" s="2" t="str">
        <f>HYPERLINK("https://www.compass.com/listing/200-east-94th-street-unit-901-manhattan-ny-10128/29507983222368993/","200 E 94th St, Unit 901")</f>
        <v>200 E 94th St, Unit 901</v>
      </c>
      <c r="B2882" s="2" t="str">
        <f t="shared" si="484"/>
        <v>Carnegie Park Condominium</v>
      </c>
      <c r="C2882" s="1" t="s">
        <v>82</v>
      </c>
      <c r="D2882" s="1" t="s">
        <v>41</v>
      </c>
      <c r="E2882" s="3">
        <v>1675000</v>
      </c>
      <c r="F2882" s="1">
        <v>1675</v>
      </c>
      <c r="G2882" s="1">
        <v>4</v>
      </c>
      <c r="H2882" s="1">
        <v>2</v>
      </c>
      <c r="I2882" s="1">
        <v>2</v>
      </c>
      <c r="J2882" s="1">
        <v>2</v>
      </c>
      <c r="K2882" s="1">
        <v>2</v>
      </c>
      <c r="M2882" s="4">
        <v>1000</v>
      </c>
      <c r="N2882" s="1">
        <v>1221</v>
      </c>
      <c r="O2882" s="1">
        <v>2370</v>
      </c>
      <c r="P2882" s="1">
        <v>1149</v>
      </c>
      <c r="Q2882" s="1" t="s">
        <v>42</v>
      </c>
      <c r="S2882" s="1" t="s">
        <v>42</v>
      </c>
      <c r="T2882" s="1" t="s">
        <v>273</v>
      </c>
      <c r="U2882" s="1">
        <v>314</v>
      </c>
      <c r="V2882" s="5">
        <v>43783</v>
      </c>
      <c r="W2882" s="5">
        <v>42978</v>
      </c>
      <c r="X2882" s="1">
        <v>1950000</v>
      </c>
      <c r="Y2882" s="1">
        <v>1850000</v>
      </c>
      <c r="Z2882" s="5">
        <v>43292</v>
      </c>
      <c r="AA2882" s="1">
        <v>1675000</v>
      </c>
      <c r="AB2882" s="1" t="s">
        <v>1763</v>
      </c>
      <c r="AC2882" s="5">
        <v>43326</v>
      </c>
      <c r="AF2882" s="1">
        <v>10128</v>
      </c>
      <c r="AI2882" s="1" t="s">
        <v>163</v>
      </c>
      <c r="AJ2882" s="1">
        <v>1986</v>
      </c>
      <c r="AK2882" s="1" t="s">
        <v>108</v>
      </c>
      <c r="AL2882" s="1">
        <v>287</v>
      </c>
    </row>
    <row r="2883" spans="1:38" x14ac:dyDescent="0.2">
      <c r="A2883" s="2" t="str">
        <f>HYPERLINK("https://www.compass.com/listing/200-east-94th-street-unit-226-manhattan-ny-10128/401486716561949233/","200 E 94th St, Unit 226")</f>
        <v>200 E 94th St, Unit 226</v>
      </c>
      <c r="B2883" s="2" t="str">
        <f t="shared" si="484"/>
        <v>Carnegie Park Condominium</v>
      </c>
      <c r="C2883" s="1" t="s">
        <v>82</v>
      </c>
      <c r="D2883" s="1" t="s">
        <v>41</v>
      </c>
      <c r="E2883" s="3">
        <v>951619</v>
      </c>
      <c r="F2883" s="1">
        <v>1351.7318607954501</v>
      </c>
      <c r="G2883" s="1">
        <v>3</v>
      </c>
      <c r="H2883" s="1">
        <v>1</v>
      </c>
      <c r="I2883" s="1">
        <v>1</v>
      </c>
      <c r="J2883" s="1">
        <v>1</v>
      </c>
      <c r="K2883" s="1">
        <v>1</v>
      </c>
      <c r="M2883" s="1">
        <v>704</v>
      </c>
      <c r="N2883" s="1">
        <v>790</v>
      </c>
      <c r="O2883" s="1">
        <v>1642</v>
      </c>
      <c r="P2883" s="1">
        <v>852</v>
      </c>
      <c r="Q2883" s="1" t="s">
        <v>42</v>
      </c>
      <c r="S2883" s="1" t="s">
        <v>42</v>
      </c>
      <c r="T2883" s="1" t="s">
        <v>273</v>
      </c>
      <c r="U2883" s="1">
        <v>175</v>
      </c>
      <c r="V2883" s="5">
        <v>44067</v>
      </c>
      <c r="W2883" s="5">
        <v>43725</v>
      </c>
      <c r="X2883" s="1">
        <v>1025000</v>
      </c>
      <c r="Y2883" s="1">
        <v>1025000</v>
      </c>
      <c r="Z2883" s="5">
        <v>43901</v>
      </c>
      <c r="AA2883" s="1">
        <v>951619.23</v>
      </c>
      <c r="AB2883" s="1" t="s">
        <v>1764</v>
      </c>
      <c r="AC2883" s="5">
        <v>43984</v>
      </c>
      <c r="AF2883" s="1">
        <v>10128</v>
      </c>
      <c r="AI2883" s="1" t="s">
        <v>185</v>
      </c>
      <c r="AJ2883" s="1">
        <v>1986</v>
      </c>
      <c r="AK2883" s="1" t="s">
        <v>46</v>
      </c>
      <c r="AL2883" s="1">
        <v>287</v>
      </c>
    </row>
    <row r="2884" spans="1:38" x14ac:dyDescent="0.2">
      <c r="A2884" s="2" t="str">
        <f>HYPERLINK("https://www.compass.com/listing/261-west-25th-street-unit-2a-manhattan-ny-10001/29372515004487105/","261 W 25th St, Unit 2A")</f>
        <v>261 W 25th St, Unit 2A</v>
      </c>
      <c r="B2884" s="2" t="str">
        <f t="shared" ref="B2884:B2893" si="485">HYPERLINK("https://www.compass.com/building/the-seymour-manhattan-ny/281883155990840165/","The Seymour")</f>
        <v>The Seymour</v>
      </c>
      <c r="C2884" s="1" t="s">
        <v>62</v>
      </c>
      <c r="D2884" s="1" t="s">
        <v>41</v>
      </c>
      <c r="E2884" s="3">
        <v>1247356</v>
      </c>
      <c r="F2884" s="1">
        <v>1737.2646239554299</v>
      </c>
      <c r="G2884" s="1">
        <v>3</v>
      </c>
      <c r="H2884" s="1">
        <v>1</v>
      </c>
      <c r="I2884" s="1">
        <v>1</v>
      </c>
      <c r="J2884" s="1">
        <v>1</v>
      </c>
      <c r="M2884" s="1">
        <v>718</v>
      </c>
      <c r="N2884" s="1">
        <v>833</v>
      </c>
      <c r="O2884" s="1">
        <v>1745</v>
      </c>
      <c r="P2884" s="1">
        <v>912</v>
      </c>
      <c r="Q2884" s="1" t="s">
        <v>42</v>
      </c>
      <c r="S2884" s="1" t="s">
        <v>42</v>
      </c>
      <c r="T2884" s="1" t="s">
        <v>273</v>
      </c>
      <c r="V2884" s="5">
        <v>43654</v>
      </c>
      <c r="W2884" s="5">
        <v>41851</v>
      </c>
      <c r="X2884" s="1">
        <v>1225000</v>
      </c>
      <c r="Y2884" s="1">
        <v>1225000</v>
      </c>
      <c r="Z2884" s="5">
        <v>41851</v>
      </c>
      <c r="AA2884" s="1">
        <v>1247356</v>
      </c>
      <c r="AB2884" s="1" t="s">
        <v>1765</v>
      </c>
      <c r="AC2884" s="5">
        <v>42402</v>
      </c>
      <c r="AF2884" s="1">
        <v>10001</v>
      </c>
      <c r="AI2884" s="1" t="s">
        <v>163</v>
      </c>
      <c r="AJ2884" s="1">
        <v>2015</v>
      </c>
      <c r="AK2884" s="1" t="s">
        <v>49</v>
      </c>
      <c r="AL2884" s="1">
        <v>49</v>
      </c>
    </row>
    <row r="2885" spans="1:38" x14ac:dyDescent="0.2">
      <c r="A2885" s="2" t="str">
        <f>HYPERLINK("https://www.compass.com/listing/261-west-25th-street-unit-4a-manhattan-ny-10001/29372519291062769/","261 W 25th St, Unit 4A")</f>
        <v>261 W 25th St, Unit 4A</v>
      </c>
      <c r="B2885" s="2" t="str">
        <f t="shared" si="485"/>
        <v>The Seymour</v>
      </c>
      <c r="C2885" s="1" t="s">
        <v>62</v>
      </c>
      <c r="D2885" s="1" t="s">
        <v>41</v>
      </c>
      <c r="E2885" s="3">
        <v>1298269</v>
      </c>
      <c r="F2885" s="1">
        <v>1803.1513888888801</v>
      </c>
      <c r="G2885" s="1">
        <v>3</v>
      </c>
      <c r="H2885" s="1">
        <v>1</v>
      </c>
      <c r="I2885" s="1">
        <v>1</v>
      </c>
      <c r="J2885" s="1">
        <v>1</v>
      </c>
      <c r="M2885" s="1">
        <v>720</v>
      </c>
      <c r="N2885" s="1">
        <v>835</v>
      </c>
      <c r="O2885" s="1">
        <v>1750</v>
      </c>
      <c r="P2885" s="1">
        <v>915</v>
      </c>
      <c r="Q2885" s="1" t="s">
        <v>42</v>
      </c>
      <c r="S2885" s="1" t="s">
        <v>42</v>
      </c>
      <c r="T2885" s="1" t="s">
        <v>273</v>
      </c>
      <c r="V2885" s="5">
        <v>43650</v>
      </c>
      <c r="W2885" s="5">
        <v>41933</v>
      </c>
      <c r="X2885" s="1">
        <v>1275000</v>
      </c>
      <c r="Y2885" s="1">
        <v>1275000</v>
      </c>
      <c r="Z2885" s="5">
        <v>41933</v>
      </c>
      <c r="AA2885" s="1">
        <v>1298269</v>
      </c>
      <c r="AB2885" s="1" t="s">
        <v>1766</v>
      </c>
      <c r="AC2885" s="5">
        <v>42403</v>
      </c>
      <c r="AF2885" s="1">
        <v>10001</v>
      </c>
      <c r="AI2885" s="1" t="s">
        <v>163</v>
      </c>
      <c r="AJ2885" s="1">
        <v>2015</v>
      </c>
      <c r="AK2885" s="1" t="s">
        <v>49</v>
      </c>
      <c r="AL2885" s="1">
        <v>49</v>
      </c>
    </row>
    <row r="2886" spans="1:38" x14ac:dyDescent="0.2">
      <c r="A2886" s="2" t="str">
        <f>HYPERLINK("https://www.compass.com/listing/261-west-25th-street-unit-5a-manhattan-ny-10001/29372521522435617/","261 W 25th St, Unit 5A")</f>
        <v>261 W 25th St, Unit 5A</v>
      </c>
      <c r="B2886" s="2" t="str">
        <f t="shared" si="485"/>
        <v>The Seymour</v>
      </c>
      <c r="C2886" s="1" t="s">
        <v>62</v>
      </c>
      <c r="D2886" s="1" t="s">
        <v>41</v>
      </c>
      <c r="E2886" s="3">
        <v>1323725</v>
      </c>
      <c r="F2886" s="1">
        <v>1838.50694444444</v>
      </c>
      <c r="G2886" s="1">
        <v>3</v>
      </c>
      <c r="H2886" s="1">
        <v>1</v>
      </c>
      <c r="I2886" s="1">
        <v>1</v>
      </c>
      <c r="J2886" s="1">
        <v>1</v>
      </c>
      <c r="M2886" s="1">
        <v>720</v>
      </c>
      <c r="N2886" s="1">
        <v>815</v>
      </c>
      <c r="O2886" s="1">
        <v>1730</v>
      </c>
      <c r="P2886" s="1">
        <v>915</v>
      </c>
      <c r="Q2886" s="1" t="s">
        <v>42</v>
      </c>
      <c r="S2886" s="1" t="s">
        <v>42</v>
      </c>
      <c r="T2886" s="1" t="s">
        <v>273</v>
      </c>
      <c r="U2886" s="1">
        <v>3</v>
      </c>
      <c r="V2886" s="5">
        <v>43654</v>
      </c>
      <c r="W2886" s="5">
        <v>41990</v>
      </c>
      <c r="X2886" s="1">
        <v>1300000</v>
      </c>
      <c r="Y2886" s="1">
        <v>1300000</v>
      </c>
      <c r="Z2886" s="5">
        <v>41993</v>
      </c>
      <c r="AA2886" s="1">
        <v>1323725</v>
      </c>
      <c r="AB2886" s="1" t="s">
        <v>1767</v>
      </c>
      <c r="AC2886" s="5">
        <v>42429</v>
      </c>
      <c r="AF2886" s="1">
        <v>10001</v>
      </c>
      <c r="AI2886" s="1" t="s">
        <v>163</v>
      </c>
      <c r="AJ2886" s="1">
        <v>2015</v>
      </c>
      <c r="AK2886" s="1" t="s">
        <v>49</v>
      </c>
      <c r="AL2886" s="1">
        <v>49</v>
      </c>
    </row>
    <row r="2887" spans="1:38" x14ac:dyDescent="0.2">
      <c r="A2887" s="2" t="str">
        <f>HYPERLINK("https://www.compass.com/listing/261-west-25th-street-unit-6c-manhattan-ny-10001/29372524903129185/","261 W 25th St, Unit 6C")</f>
        <v>261 W 25th St, Unit 6C</v>
      </c>
      <c r="B2887" s="2" t="str">
        <f t="shared" si="485"/>
        <v>The Seymour</v>
      </c>
      <c r="C2887" s="1" t="s">
        <v>62</v>
      </c>
      <c r="D2887" s="1" t="s">
        <v>41</v>
      </c>
      <c r="E2887" s="3">
        <v>2290000</v>
      </c>
      <c r="F2887" s="1">
        <v>2040.9982174688</v>
      </c>
      <c r="G2887" s="1">
        <v>4</v>
      </c>
      <c r="H2887" s="1">
        <v>2</v>
      </c>
      <c r="I2887" s="1">
        <v>2</v>
      </c>
      <c r="J2887" s="1">
        <v>2</v>
      </c>
      <c r="M2887" s="4">
        <v>1122</v>
      </c>
      <c r="N2887" s="1">
        <v>1301</v>
      </c>
      <c r="O2887" s="1">
        <v>2726</v>
      </c>
      <c r="P2887" s="1">
        <v>1425</v>
      </c>
      <c r="Q2887" s="1" t="s">
        <v>42</v>
      </c>
      <c r="S2887" s="1" t="s">
        <v>42</v>
      </c>
      <c r="T2887" s="1" t="s">
        <v>273</v>
      </c>
      <c r="V2887" s="5">
        <v>43634</v>
      </c>
      <c r="W2887" s="5">
        <v>41930</v>
      </c>
      <c r="X2887" s="1">
        <v>2290000</v>
      </c>
      <c r="Y2887" s="1">
        <v>2290000</v>
      </c>
      <c r="Z2887" s="5">
        <v>41930</v>
      </c>
      <c r="AA2887" s="1">
        <v>2290000</v>
      </c>
      <c r="AB2887" s="1" t="s">
        <v>1768</v>
      </c>
      <c r="AC2887" s="5">
        <v>42411</v>
      </c>
      <c r="AF2887" s="1">
        <v>10001</v>
      </c>
      <c r="AI2887" s="1" t="s">
        <v>163</v>
      </c>
      <c r="AJ2887" s="1">
        <v>2015</v>
      </c>
      <c r="AK2887" s="1" t="s">
        <v>46</v>
      </c>
      <c r="AL2887" s="1">
        <v>49</v>
      </c>
    </row>
    <row r="2888" spans="1:38" x14ac:dyDescent="0.2">
      <c r="A2888" s="2" t="str">
        <f>HYPERLINK("https://www.compass.com/listing/261-west-25th-street-unit-8a-manhattan-ny-10001/29372529885962417/","261 W 25th St, Unit 8A")</f>
        <v>261 W 25th St, Unit 8A</v>
      </c>
      <c r="B2888" s="2" t="str">
        <f t="shared" si="485"/>
        <v>The Seymour</v>
      </c>
      <c r="C2888" s="1" t="s">
        <v>62</v>
      </c>
      <c r="D2888" s="1" t="s">
        <v>41</v>
      </c>
      <c r="E2888" s="3">
        <v>1425550</v>
      </c>
      <c r="F2888" s="1">
        <v>1979.93055555555</v>
      </c>
      <c r="G2888" s="1">
        <v>3</v>
      </c>
      <c r="H2888" s="1">
        <v>1</v>
      </c>
      <c r="I2888" s="1">
        <v>1</v>
      </c>
      <c r="J2888" s="1">
        <v>1</v>
      </c>
      <c r="M2888" s="1">
        <v>720</v>
      </c>
      <c r="N2888" s="1">
        <v>815</v>
      </c>
      <c r="O2888" s="1">
        <v>1730</v>
      </c>
      <c r="P2888" s="1">
        <v>915</v>
      </c>
      <c r="Q2888" s="1" t="s">
        <v>42</v>
      </c>
      <c r="S2888" s="1" t="s">
        <v>42</v>
      </c>
      <c r="T2888" s="1" t="s">
        <v>273</v>
      </c>
      <c r="V2888" s="5">
        <v>43654</v>
      </c>
      <c r="W2888" s="5">
        <v>41968</v>
      </c>
      <c r="X2888" s="1">
        <v>1400000</v>
      </c>
      <c r="Y2888" s="1">
        <v>1400000</v>
      </c>
      <c r="Z2888" s="5">
        <v>41968</v>
      </c>
      <c r="AA2888" s="1">
        <v>1425550</v>
      </c>
      <c r="AB2888" s="1" t="s">
        <v>1769</v>
      </c>
      <c r="AC2888" s="5">
        <v>42425</v>
      </c>
      <c r="AF2888" s="1">
        <v>10001</v>
      </c>
      <c r="AI2888" s="1" t="s">
        <v>163</v>
      </c>
      <c r="AJ2888" s="1">
        <v>2015</v>
      </c>
      <c r="AK2888" s="1" t="s">
        <v>49</v>
      </c>
      <c r="AL2888" s="1">
        <v>49</v>
      </c>
    </row>
    <row r="2889" spans="1:38" x14ac:dyDescent="0.2">
      <c r="A2889" s="2" t="str">
        <f>HYPERLINK("https://www.compass.com/listing/261-west-25th-street-unit-8e-manhattan-ny-10001/29372531379050241/","261 W 25th St, Unit 8E")</f>
        <v>261 W 25th St, Unit 8E</v>
      </c>
      <c r="B2889" s="2" t="str">
        <f t="shared" si="485"/>
        <v>The Seymour</v>
      </c>
      <c r="C2889" s="1" t="s">
        <v>62</v>
      </c>
      <c r="D2889" s="1" t="s">
        <v>41</v>
      </c>
      <c r="E2889" s="3">
        <v>1512101</v>
      </c>
      <c r="F2889" s="1">
        <v>1931.1634738186401</v>
      </c>
      <c r="G2889" s="1">
        <v>3</v>
      </c>
      <c r="H2889" s="1">
        <v>1</v>
      </c>
      <c r="I2889" s="1">
        <v>1</v>
      </c>
      <c r="J2889" s="1">
        <v>1</v>
      </c>
      <c r="M2889" s="1">
        <v>783</v>
      </c>
      <c r="N2889" s="1">
        <v>920</v>
      </c>
      <c r="O2889" s="1">
        <v>1928</v>
      </c>
      <c r="P2889" s="1">
        <v>1008</v>
      </c>
      <c r="Q2889" s="1" t="s">
        <v>42</v>
      </c>
      <c r="S2889" s="1" t="s">
        <v>42</v>
      </c>
      <c r="T2889" s="1" t="s">
        <v>273</v>
      </c>
      <c r="V2889" s="5">
        <v>43654</v>
      </c>
      <c r="W2889" s="5">
        <v>41930</v>
      </c>
      <c r="X2889" s="1">
        <v>1485000</v>
      </c>
      <c r="Y2889" s="1">
        <v>1485000</v>
      </c>
      <c r="Z2889" s="5">
        <v>41930</v>
      </c>
      <c r="AA2889" s="1">
        <v>1512101</v>
      </c>
      <c r="AB2889" s="1" t="s">
        <v>1770</v>
      </c>
      <c r="AC2889" s="5">
        <v>42445</v>
      </c>
      <c r="AF2889" s="1">
        <v>10001</v>
      </c>
      <c r="AI2889" s="1" t="s">
        <v>1555</v>
      </c>
      <c r="AJ2889" s="1">
        <v>2015</v>
      </c>
      <c r="AK2889" s="1" t="s">
        <v>49</v>
      </c>
      <c r="AL2889" s="1">
        <v>49</v>
      </c>
    </row>
    <row r="2890" spans="1:38" x14ac:dyDescent="0.2">
      <c r="A2890" s="2" t="str">
        <f>HYPERLINK("https://www.compass.com/listing/261-west-25th-street-unit-10a-manhattan-ny-10001/29372533727944945/","261 W 25th St, Unit 10A")</f>
        <v>261 W 25th St, Unit 10A</v>
      </c>
      <c r="B2890" s="2" t="str">
        <f t="shared" si="485"/>
        <v>The Seymour</v>
      </c>
      <c r="C2890" s="1" t="s">
        <v>62</v>
      </c>
      <c r="D2890" s="1" t="s">
        <v>41</v>
      </c>
      <c r="E2890" s="3">
        <v>1578288</v>
      </c>
      <c r="F2890" s="1">
        <v>1948.5037037037</v>
      </c>
      <c r="G2890" s="1">
        <v>3</v>
      </c>
      <c r="H2890" s="1">
        <v>1</v>
      </c>
      <c r="I2890" s="1">
        <v>1</v>
      </c>
      <c r="J2890" s="1">
        <v>1</v>
      </c>
      <c r="M2890" s="1">
        <v>810</v>
      </c>
      <c r="N2890" s="1">
        <v>917</v>
      </c>
      <c r="O2890" s="1">
        <v>1946</v>
      </c>
      <c r="P2890" s="1">
        <v>1029</v>
      </c>
      <c r="Q2890" s="1" t="s">
        <v>42</v>
      </c>
      <c r="S2890" s="1" t="s">
        <v>42</v>
      </c>
      <c r="T2890" s="1" t="s">
        <v>273</v>
      </c>
      <c r="V2890" s="5">
        <v>43678</v>
      </c>
      <c r="W2890" s="5">
        <v>41941</v>
      </c>
      <c r="X2890" s="1">
        <v>1550000</v>
      </c>
      <c r="Y2890" s="1">
        <v>1550000</v>
      </c>
      <c r="Z2890" s="5">
        <v>41941</v>
      </c>
      <c r="AA2890" s="1">
        <v>1578288</v>
      </c>
      <c r="AB2890" s="1" t="s">
        <v>1771</v>
      </c>
      <c r="AC2890" s="5">
        <v>42452</v>
      </c>
      <c r="AF2890" s="1">
        <v>10001</v>
      </c>
      <c r="AI2890" s="1" t="s">
        <v>163</v>
      </c>
      <c r="AJ2890" s="1">
        <v>2015</v>
      </c>
      <c r="AK2890" s="1" t="s">
        <v>49</v>
      </c>
      <c r="AL2890" s="1">
        <v>49</v>
      </c>
    </row>
    <row r="2891" spans="1:38" x14ac:dyDescent="0.2">
      <c r="A2891" s="2" t="str">
        <f>HYPERLINK("https://www.compass.com/listing/261-west-25th-street-unit-7e-manhattan-ny-10001/29511918762909601/","261 W 25th St, Unit 7E")</f>
        <v>261 W 25th St, Unit 7E</v>
      </c>
      <c r="B2891" s="2" t="str">
        <f t="shared" si="485"/>
        <v>The Seymour</v>
      </c>
      <c r="C2891" s="1" t="s">
        <v>62</v>
      </c>
      <c r="D2891" s="1" t="s">
        <v>41</v>
      </c>
      <c r="E2891" s="3">
        <v>1476463</v>
      </c>
      <c r="F2891" s="1">
        <v>1885.64878671775</v>
      </c>
      <c r="G2891" s="1">
        <v>3</v>
      </c>
      <c r="H2891" s="1">
        <v>1</v>
      </c>
      <c r="I2891" s="1">
        <v>1</v>
      </c>
      <c r="J2891" s="1">
        <v>1</v>
      </c>
      <c r="M2891" s="1">
        <v>783</v>
      </c>
      <c r="N2891" s="1">
        <v>898</v>
      </c>
      <c r="O2891" s="1">
        <v>1906</v>
      </c>
      <c r="P2891" s="1">
        <v>1008</v>
      </c>
      <c r="Q2891" s="1" t="s">
        <v>42</v>
      </c>
      <c r="S2891" s="1" t="s">
        <v>42</v>
      </c>
      <c r="T2891" s="1" t="s">
        <v>273</v>
      </c>
      <c r="V2891" s="5">
        <v>43642</v>
      </c>
      <c r="W2891" s="5">
        <v>41957</v>
      </c>
      <c r="X2891" s="1">
        <v>1450000</v>
      </c>
      <c r="Y2891" s="1">
        <v>1450000</v>
      </c>
      <c r="Z2891" s="5">
        <v>41957</v>
      </c>
      <c r="AA2891" s="1">
        <v>1476463</v>
      </c>
      <c r="AB2891" s="1" t="s">
        <v>1772</v>
      </c>
      <c r="AC2891" s="5">
        <v>42432</v>
      </c>
      <c r="AF2891" s="1">
        <v>10001</v>
      </c>
      <c r="AI2891" s="1" t="s">
        <v>163</v>
      </c>
      <c r="AJ2891" s="1">
        <v>2015</v>
      </c>
      <c r="AK2891" s="1" t="s">
        <v>49</v>
      </c>
      <c r="AL2891" s="1">
        <v>49</v>
      </c>
    </row>
    <row r="2892" spans="1:38" x14ac:dyDescent="0.2">
      <c r="A2892" s="2" t="str">
        <f>HYPERLINK("https://www.compass.com/listing/261-west-25th-street-unit-3c-manhattan-ny-10001/29580285607674177/","261 W 25th St, Unit 3C")</f>
        <v>261 W 25th St, Unit 3C</v>
      </c>
      <c r="B2892" s="2" t="str">
        <f t="shared" si="485"/>
        <v>The Seymour</v>
      </c>
      <c r="C2892" s="1" t="s">
        <v>62</v>
      </c>
      <c r="D2892" s="1" t="s">
        <v>41</v>
      </c>
      <c r="E2892" s="3">
        <v>2133234</v>
      </c>
      <c r="F2892" s="1">
        <v>1901.2780748663099</v>
      </c>
      <c r="G2892" s="1">
        <v>4</v>
      </c>
      <c r="H2892" s="1">
        <v>2</v>
      </c>
      <c r="I2892" s="1">
        <v>2</v>
      </c>
      <c r="J2892" s="1">
        <v>2</v>
      </c>
      <c r="M2892" s="4">
        <v>1122</v>
      </c>
      <c r="N2892" s="1">
        <v>1270</v>
      </c>
      <c r="O2892" s="1">
        <v>2695</v>
      </c>
      <c r="P2892" s="1">
        <v>1425</v>
      </c>
      <c r="Q2892" s="1" t="s">
        <v>42</v>
      </c>
      <c r="S2892" s="1" t="s">
        <v>42</v>
      </c>
      <c r="T2892" s="1" t="s">
        <v>273</v>
      </c>
      <c r="U2892" s="1">
        <v>6</v>
      </c>
      <c r="V2892" s="5">
        <v>43650</v>
      </c>
      <c r="W2892" s="5">
        <v>41934</v>
      </c>
      <c r="X2892" s="1">
        <v>2095000</v>
      </c>
      <c r="Y2892" s="1">
        <v>2095000</v>
      </c>
      <c r="Z2892" s="5">
        <v>41940</v>
      </c>
      <c r="AA2892" s="1">
        <v>2133234</v>
      </c>
      <c r="AB2892" s="1" t="s">
        <v>1773</v>
      </c>
      <c r="AC2892" s="5">
        <v>42403</v>
      </c>
      <c r="AF2892" s="1">
        <v>10001</v>
      </c>
      <c r="AI2892" s="1" t="s">
        <v>163</v>
      </c>
      <c r="AJ2892" s="1">
        <v>2015</v>
      </c>
      <c r="AK2892" s="1" t="s">
        <v>49</v>
      </c>
      <c r="AL2892" s="1">
        <v>49</v>
      </c>
    </row>
    <row r="2893" spans="1:38" x14ac:dyDescent="0.2">
      <c r="A2893" s="2" t="str">
        <f>HYPERLINK("https://www.compass.com/listing/261-west-25th-street-unit-8c-manhattan-ny-10001/29676903380049777/","261 W 25th St, Unit 8C")</f>
        <v>261 W 25th St, Unit 8C</v>
      </c>
      <c r="B2893" s="2" t="str">
        <f t="shared" si="485"/>
        <v>The Seymour</v>
      </c>
      <c r="C2893" s="1" t="s">
        <v>62</v>
      </c>
      <c r="D2893" s="1" t="s">
        <v>41</v>
      </c>
      <c r="E2893" s="3">
        <v>2464165</v>
      </c>
      <c r="F2893" s="1">
        <v>2196.22549019607</v>
      </c>
      <c r="G2893" s="1">
        <v>4</v>
      </c>
      <c r="H2893" s="1">
        <v>2</v>
      </c>
      <c r="I2893" s="1">
        <v>2</v>
      </c>
      <c r="J2893" s="1">
        <v>2</v>
      </c>
      <c r="M2893" s="4">
        <v>1122</v>
      </c>
      <c r="N2893" s="1">
        <v>1301</v>
      </c>
      <c r="O2893" s="1">
        <v>2726</v>
      </c>
      <c r="P2893" s="1">
        <v>1425</v>
      </c>
      <c r="Q2893" s="1" t="s">
        <v>42</v>
      </c>
      <c r="S2893" s="1" t="s">
        <v>42</v>
      </c>
      <c r="T2893" s="1" t="s">
        <v>273</v>
      </c>
      <c r="V2893" s="5">
        <v>43641</v>
      </c>
      <c r="W2893" s="5">
        <v>41851</v>
      </c>
      <c r="X2893" s="1">
        <v>2420000</v>
      </c>
      <c r="Y2893" s="1">
        <v>2420000</v>
      </c>
      <c r="Z2893" s="5">
        <v>41851</v>
      </c>
      <c r="AA2893" s="1">
        <v>2464165</v>
      </c>
      <c r="AB2893" s="1" t="s">
        <v>1774</v>
      </c>
      <c r="AC2893" s="5">
        <v>42495</v>
      </c>
      <c r="AF2893" s="1">
        <v>10001</v>
      </c>
      <c r="AI2893" s="1" t="s">
        <v>163</v>
      </c>
      <c r="AJ2893" s="1">
        <v>2015</v>
      </c>
      <c r="AK2893" s="1" t="s">
        <v>49</v>
      </c>
      <c r="AL2893" s="1">
        <v>49</v>
      </c>
    </row>
    <row r="2894" spans="1:38" x14ac:dyDescent="0.2">
      <c r="A2894" s="2" t="str">
        <f>HYPERLINK("https://www.compass.com/listing/200-east-94th-street-unit-1116-manhattan-ny-10128/29423469405994209/","200 E 94th St, Unit 1116")</f>
        <v>200 E 94th St, Unit 1116</v>
      </c>
      <c r="B2894" s="2" t="str">
        <f>HYPERLINK("https://www.compass.com/building/carnegie-park-condominium-manhattan-ny/282049797358118613/","Carnegie Park Condominium")</f>
        <v>Carnegie Park Condominium</v>
      </c>
      <c r="C2894" s="1" t="s">
        <v>82</v>
      </c>
      <c r="D2894" s="1" t="s">
        <v>41</v>
      </c>
      <c r="E2894" s="3">
        <v>1050000</v>
      </c>
      <c r="F2894" s="1">
        <v>1491.47727272727</v>
      </c>
      <c r="G2894" s="1">
        <v>3</v>
      </c>
      <c r="H2894" s="1">
        <v>1</v>
      </c>
      <c r="I2894" s="1">
        <v>1</v>
      </c>
      <c r="J2894" s="1">
        <v>1</v>
      </c>
      <c r="M2894" s="1">
        <v>704</v>
      </c>
      <c r="N2894" s="1">
        <v>782</v>
      </c>
      <c r="O2894" s="1">
        <v>1613</v>
      </c>
      <c r="P2894" s="1">
        <v>831</v>
      </c>
      <c r="Q2894" s="1" t="s">
        <v>42</v>
      </c>
      <c r="S2894" s="1" t="s">
        <v>42</v>
      </c>
      <c r="T2894" s="1" t="s">
        <v>273</v>
      </c>
      <c r="U2894" s="1">
        <v>27</v>
      </c>
      <c r="V2894" s="5">
        <v>43664</v>
      </c>
      <c r="W2894" s="5">
        <v>42753</v>
      </c>
      <c r="X2894" s="1">
        <v>1050000</v>
      </c>
      <c r="Y2894" s="1">
        <v>1050000</v>
      </c>
      <c r="Z2894" s="5">
        <v>42780</v>
      </c>
      <c r="AA2894" s="1">
        <v>1050000</v>
      </c>
      <c r="AB2894" s="1" t="s">
        <v>1775</v>
      </c>
      <c r="AC2894" s="5">
        <v>42846</v>
      </c>
      <c r="AF2894" s="1">
        <v>10128</v>
      </c>
      <c r="AI2894" s="1" t="s">
        <v>163</v>
      </c>
      <c r="AJ2894" s="1">
        <v>1986</v>
      </c>
      <c r="AK2894" s="1" t="s">
        <v>108</v>
      </c>
      <c r="AL2894" s="1">
        <v>287</v>
      </c>
    </row>
    <row r="2895" spans="1:38" x14ac:dyDescent="0.2">
      <c r="A2895" s="2" t="str">
        <f>HYPERLINK("https://www.compass.com/listing/360-east-89th-street-unit-5c-manhattan-ny-10128/240435349090836737/","360 E 89th St, Unit 5C")</f>
        <v>360 E 89th St, Unit 5C</v>
      </c>
      <c r="B2895" s="2" t="str">
        <f>HYPERLINK("https://www.compass.com/building/citizen360-manhattan-ny/282052027553444853/","Citizen360")</f>
        <v>Citizen360</v>
      </c>
      <c r="C2895" s="1" t="s">
        <v>82</v>
      </c>
      <c r="D2895" s="1" t="s">
        <v>41</v>
      </c>
      <c r="E2895" s="3">
        <v>1325000</v>
      </c>
      <c r="F2895" s="1">
        <v>1448.0874316939801</v>
      </c>
      <c r="G2895" s="1">
        <v>3</v>
      </c>
      <c r="H2895" s="1">
        <v>1</v>
      </c>
      <c r="I2895" s="1">
        <v>1</v>
      </c>
      <c r="J2895" s="1">
        <v>1</v>
      </c>
      <c r="K2895" s="1">
        <v>1</v>
      </c>
      <c r="M2895" s="1">
        <v>915</v>
      </c>
      <c r="N2895" s="1">
        <v>856</v>
      </c>
      <c r="O2895" s="1">
        <v>1480</v>
      </c>
      <c r="P2895" s="1">
        <v>624</v>
      </c>
      <c r="Q2895" s="1" t="s">
        <v>42</v>
      </c>
      <c r="S2895" s="1" t="s">
        <v>42</v>
      </c>
      <c r="T2895" s="1" t="s">
        <v>273</v>
      </c>
      <c r="U2895" s="1">
        <v>147</v>
      </c>
      <c r="V2895" s="5">
        <v>44427</v>
      </c>
      <c r="W2895" s="5">
        <v>44203</v>
      </c>
      <c r="Y2895" s="1">
        <v>1349000</v>
      </c>
      <c r="Z2895" s="5">
        <v>44350</v>
      </c>
      <c r="AA2895" s="1">
        <v>1325000</v>
      </c>
      <c r="AB2895" s="1" t="s">
        <v>295</v>
      </c>
      <c r="AC2895" s="5">
        <v>44410</v>
      </c>
      <c r="AF2895" s="1">
        <v>10128</v>
      </c>
      <c r="AJ2895" s="1">
        <v>2017</v>
      </c>
      <c r="AK2895" s="1" t="s">
        <v>108</v>
      </c>
      <c r="AL2895" s="1">
        <v>82</v>
      </c>
    </row>
    <row r="2896" spans="1:38" x14ac:dyDescent="0.2">
      <c r="A2896" s="2" t="str">
        <f>HYPERLINK("https://www.compass.com/listing/200-east-94th-street-unit-1111-manhattan-ny-10128/29423470806891777/","200 E 94th St, Unit 1111")</f>
        <v>200 E 94th St, Unit 1111</v>
      </c>
      <c r="B2896" s="2" t="str">
        <f>HYPERLINK("https://www.compass.com/building/carnegie-park-condominium-manhattan-ny/282049797358118613/","Carnegie Park Condominium")</f>
        <v>Carnegie Park Condominium</v>
      </c>
      <c r="C2896" s="1" t="s">
        <v>82</v>
      </c>
      <c r="D2896" s="1" t="s">
        <v>41</v>
      </c>
      <c r="E2896" s="3">
        <v>1300000</v>
      </c>
      <c r="F2896" s="1">
        <v>1522.2482435597101</v>
      </c>
      <c r="G2896" s="1">
        <v>3</v>
      </c>
      <c r="H2896" s="1">
        <v>1</v>
      </c>
      <c r="I2896" s="1">
        <v>1</v>
      </c>
      <c r="J2896" s="1">
        <v>1</v>
      </c>
      <c r="K2896" s="1">
        <v>1</v>
      </c>
      <c r="M2896" s="1">
        <v>854</v>
      </c>
      <c r="N2896" s="1">
        <v>944</v>
      </c>
      <c r="O2896" s="1">
        <v>1969</v>
      </c>
      <c r="P2896" s="1">
        <v>1025</v>
      </c>
      <c r="Q2896" s="1" t="s">
        <v>42</v>
      </c>
      <c r="S2896" s="1" t="s">
        <v>42</v>
      </c>
      <c r="T2896" s="1" t="s">
        <v>273</v>
      </c>
      <c r="U2896" s="1">
        <v>174</v>
      </c>
      <c r="V2896" s="5">
        <v>43707</v>
      </c>
      <c r="W2896" s="5">
        <v>42888</v>
      </c>
      <c r="X2896" s="1">
        <v>1289000</v>
      </c>
      <c r="Y2896" s="1">
        <v>1333000</v>
      </c>
      <c r="Z2896" s="5">
        <v>43062</v>
      </c>
      <c r="AA2896" s="1">
        <v>1300000</v>
      </c>
      <c r="AB2896" s="1" t="s">
        <v>1776</v>
      </c>
      <c r="AC2896" s="5">
        <v>43129</v>
      </c>
      <c r="AF2896" s="1">
        <v>10128</v>
      </c>
      <c r="AI2896" s="1" t="s">
        <v>163</v>
      </c>
      <c r="AJ2896" s="1">
        <v>1986</v>
      </c>
      <c r="AK2896" s="1" t="s">
        <v>108</v>
      </c>
      <c r="AL2896" s="1">
        <v>287</v>
      </c>
    </row>
    <row r="2897" spans="1:38" x14ac:dyDescent="0.2">
      <c r="A2897" s="2" t="str">
        <f>HYPERLINK("https://www.compass.com/listing/235-west-75th-street-unit-305-manhattan-ny-10023/449223625741456273/","235 W 75th St, Unit 305")</f>
        <v>235 W 75th St, Unit 305</v>
      </c>
      <c r="B2897" s="2" t="str">
        <f>HYPERLINK("https://www.compass.com/building/the-astor-manhattan-ny/281958704155269925/","The Astor")</f>
        <v>The Astor</v>
      </c>
      <c r="C2897" s="1" t="s">
        <v>57</v>
      </c>
      <c r="D2897" s="1" t="s">
        <v>41</v>
      </c>
      <c r="E2897" s="3">
        <v>5040637</v>
      </c>
      <c r="F2897" s="1">
        <v>2072.63033305921</v>
      </c>
      <c r="G2897" s="1">
        <v>7.5</v>
      </c>
      <c r="H2897" s="1">
        <v>4</v>
      </c>
      <c r="I2897" s="1">
        <v>4</v>
      </c>
      <c r="J2897" s="1">
        <v>3.5</v>
      </c>
      <c r="K2897" s="1">
        <v>3</v>
      </c>
      <c r="L2897" s="1">
        <v>1</v>
      </c>
      <c r="M2897" s="4">
        <v>2432</v>
      </c>
      <c r="N2897" s="1">
        <v>7024</v>
      </c>
      <c r="O2897" s="1">
        <v>10939</v>
      </c>
      <c r="P2897" s="1">
        <v>3915</v>
      </c>
      <c r="Q2897" s="1" t="s">
        <v>42</v>
      </c>
      <c r="S2897" s="1" t="s">
        <v>42</v>
      </c>
      <c r="T2897" s="1" t="s">
        <v>273</v>
      </c>
      <c r="U2897" s="1">
        <v>934</v>
      </c>
      <c r="V2897" s="5">
        <v>44119</v>
      </c>
      <c r="W2897" s="5">
        <v>42937</v>
      </c>
      <c r="X2897" s="1">
        <v>5150000</v>
      </c>
      <c r="Y2897" s="1">
        <v>5150000</v>
      </c>
      <c r="Z2897" s="5">
        <v>43872</v>
      </c>
      <c r="AA2897" s="1">
        <v>5040636.97</v>
      </c>
      <c r="AB2897" s="1" t="s">
        <v>1777</v>
      </c>
      <c r="AC2897" s="5">
        <v>44034</v>
      </c>
      <c r="AF2897" s="1">
        <v>10023</v>
      </c>
      <c r="AI2897" s="1" t="s">
        <v>182</v>
      </c>
      <c r="AJ2897" s="1">
        <v>2018</v>
      </c>
      <c r="AK2897" s="1" t="s">
        <v>49</v>
      </c>
      <c r="AL2897" s="1">
        <v>98</v>
      </c>
    </row>
    <row r="2898" spans="1:38" x14ac:dyDescent="0.2">
      <c r="A2898" s="2" t="str">
        <f>HYPERLINK("https://www.compass.com/listing/360-east-89th-street-unit-6d-manhattan-ny-10128/29424449413568209/","360 E 89th St, Unit 6D")</f>
        <v>360 E 89th St, Unit 6D</v>
      </c>
      <c r="B2898" s="2" t="str">
        <f t="shared" ref="B2898:B2902" si="486">HYPERLINK("https://www.compass.com/building/citizen360-manhattan-ny/282052027553444853/","Citizen360")</f>
        <v>Citizen360</v>
      </c>
      <c r="C2898" s="1" t="s">
        <v>82</v>
      </c>
      <c r="D2898" s="1" t="s">
        <v>41</v>
      </c>
      <c r="E2898" s="3">
        <v>2232718</v>
      </c>
      <c r="F2898" s="1">
        <v>1602.8126346015699</v>
      </c>
      <c r="G2898" s="1">
        <v>4</v>
      </c>
      <c r="H2898" s="1">
        <v>2</v>
      </c>
      <c r="I2898" s="1">
        <v>2</v>
      </c>
      <c r="J2898" s="1">
        <v>2</v>
      </c>
      <c r="K2898" s="1">
        <v>2</v>
      </c>
      <c r="M2898" s="4">
        <v>1393</v>
      </c>
      <c r="N2898" s="1">
        <v>1311</v>
      </c>
      <c r="O2898" s="1">
        <v>2836</v>
      </c>
      <c r="P2898" s="1">
        <v>1525</v>
      </c>
      <c r="Q2898" s="1" t="s">
        <v>42</v>
      </c>
      <c r="S2898" s="1" t="s">
        <v>42</v>
      </c>
      <c r="T2898" s="1" t="s">
        <v>273</v>
      </c>
      <c r="U2898" s="1">
        <v>77</v>
      </c>
      <c r="V2898" s="5">
        <v>43641</v>
      </c>
      <c r="W2898" s="5">
        <v>42402</v>
      </c>
      <c r="X2898" s="1">
        <v>2125000</v>
      </c>
      <c r="Y2898" s="1">
        <v>2190000</v>
      </c>
      <c r="Z2898" s="5">
        <v>42479</v>
      </c>
      <c r="AA2898" s="1">
        <v>2232718</v>
      </c>
      <c r="AB2898" s="1" t="s">
        <v>1778</v>
      </c>
      <c r="AC2898" s="5">
        <v>43069</v>
      </c>
      <c r="AF2898" s="1">
        <v>10128</v>
      </c>
      <c r="AJ2898" s="1">
        <v>2017</v>
      </c>
      <c r="AK2898" s="1" t="s">
        <v>108</v>
      </c>
      <c r="AL2898" s="1">
        <v>82</v>
      </c>
    </row>
    <row r="2899" spans="1:38" x14ac:dyDescent="0.2">
      <c r="A2899" s="2" t="str">
        <f>HYPERLINK("https://www.compass.com/listing/360-east-89th-street-unit-16b-manhattan-ny-10128/146388757753423265/","360 E 89th St, Unit 16B")</f>
        <v>360 E 89th St, Unit 16B</v>
      </c>
      <c r="B2899" s="2" t="str">
        <f t="shared" si="486"/>
        <v>Citizen360</v>
      </c>
      <c r="C2899" s="1" t="s">
        <v>82</v>
      </c>
      <c r="D2899" s="1" t="s">
        <v>41</v>
      </c>
      <c r="E2899" s="3">
        <v>2420000</v>
      </c>
      <c r="F2899" s="1">
        <v>1625.25184687709</v>
      </c>
      <c r="G2899" s="1">
        <v>4</v>
      </c>
      <c r="H2899" s="1">
        <v>2</v>
      </c>
      <c r="I2899" s="1">
        <v>2</v>
      </c>
      <c r="J2899" s="1">
        <v>2</v>
      </c>
      <c r="K2899" s="1">
        <v>2</v>
      </c>
      <c r="M2899" s="4">
        <v>1489</v>
      </c>
      <c r="N2899" s="1">
        <v>1463</v>
      </c>
      <c r="O2899" s="1">
        <v>2249</v>
      </c>
      <c r="P2899" s="1">
        <v>786</v>
      </c>
      <c r="Q2899" s="1" t="s">
        <v>42</v>
      </c>
      <c r="S2899" s="1" t="s">
        <v>42</v>
      </c>
      <c r="T2899" s="1" t="s">
        <v>273</v>
      </c>
      <c r="V2899" s="5">
        <v>43644</v>
      </c>
      <c r="W2899" s="5">
        <v>43454</v>
      </c>
      <c r="X2899" s="1">
        <v>2550000</v>
      </c>
      <c r="Y2899" s="1">
        <v>2550000</v>
      </c>
      <c r="Z2899" s="5">
        <v>43454</v>
      </c>
      <c r="AA2899" s="1">
        <v>2420000</v>
      </c>
      <c r="AB2899" s="1" t="s">
        <v>1779</v>
      </c>
      <c r="AC2899" s="5">
        <v>43522</v>
      </c>
      <c r="AF2899" s="1">
        <v>10128</v>
      </c>
      <c r="AJ2899" s="1">
        <v>2017</v>
      </c>
      <c r="AK2899" s="1" t="s">
        <v>46</v>
      </c>
      <c r="AL2899" s="1">
        <v>82</v>
      </c>
    </row>
    <row r="2900" spans="1:38" x14ac:dyDescent="0.2">
      <c r="A2900" s="2" t="str">
        <f>HYPERLINK("https://www.compass.com/listing/360-east-89th-street-unit-24b-manhattan-ny-10128/26452775533636033/","360 E 89th St, Unit 24B")</f>
        <v>360 E 89th St, Unit 24B</v>
      </c>
      <c r="B2900" s="2" t="str">
        <f t="shared" si="486"/>
        <v>Citizen360</v>
      </c>
      <c r="C2900" s="1" t="s">
        <v>82</v>
      </c>
      <c r="D2900" s="1" t="s">
        <v>41</v>
      </c>
      <c r="E2900" s="3">
        <v>2660000</v>
      </c>
      <c r="F2900" s="1">
        <v>1786.43384822028</v>
      </c>
      <c r="G2900" s="1">
        <v>4</v>
      </c>
      <c r="H2900" s="1">
        <v>2</v>
      </c>
      <c r="I2900" s="1">
        <v>2</v>
      </c>
      <c r="J2900" s="1">
        <v>2</v>
      </c>
      <c r="K2900" s="1">
        <v>2</v>
      </c>
      <c r="M2900" s="4">
        <v>1489</v>
      </c>
      <c r="N2900" s="1">
        <v>1518</v>
      </c>
      <c r="O2900" s="1">
        <v>2334</v>
      </c>
      <c r="P2900" s="1">
        <v>816</v>
      </c>
      <c r="Q2900" s="1" t="s">
        <v>42</v>
      </c>
      <c r="S2900" s="1" t="s">
        <v>42</v>
      </c>
      <c r="T2900" s="1" t="s">
        <v>273</v>
      </c>
      <c r="U2900" s="1">
        <v>116</v>
      </c>
      <c r="V2900" s="5">
        <v>43648</v>
      </c>
      <c r="W2900" s="5">
        <v>43143</v>
      </c>
      <c r="X2900" s="1">
        <v>2875000</v>
      </c>
      <c r="Y2900" s="1">
        <v>2775000</v>
      </c>
      <c r="Z2900" s="5">
        <v>43481</v>
      </c>
      <c r="AA2900" s="1">
        <v>2660000</v>
      </c>
      <c r="AB2900" s="1" t="s">
        <v>1780</v>
      </c>
      <c r="AC2900" s="5">
        <v>43524</v>
      </c>
      <c r="AF2900" s="1">
        <v>10128</v>
      </c>
      <c r="AJ2900" s="1">
        <v>2017</v>
      </c>
      <c r="AK2900" s="1" t="s">
        <v>46</v>
      </c>
      <c r="AL2900" s="1">
        <v>82</v>
      </c>
    </row>
    <row r="2901" spans="1:38" x14ac:dyDescent="0.2">
      <c r="A2901" s="2" t="str">
        <f>HYPERLINK("https://www.compass.com/listing/360-east-89th-street-unit-11c-manhattan-ny-10128/29424454622893841/","360 E 89th St, Unit 11C")</f>
        <v>360 E 89th St, Unit 11C</v>
      </c>
      <c r="B2901" s="2" t="str">
        <f t="shared" si="486"/>
        <v>Citizen360</v>
      </c>
      <c r="C2901" s="1" t="s">
        <v>82</v>
      </c>
      <c r="D2901" s="1" t="s">
        <v>41</v>
      </c>
      <c r="E2901" s="3">
        <v>2638000</v>
      </c>
      <c r="F2901" s="1">
        <v>1570.23809523809</v>
      </c>
      <c r="G2901" s="1">
        <v>4</v>
      </c>
      <c r="H2901" s="1">
        <v>2</v>
      </c>
      <c r="I2901" s="1">
        <v>2</v>
      </c>
      <c r="J2901" s="1">
        <v>2.5</v>
      </c>
      <c r="K2901" s="1">
        <v>2</v>
      </c>
      <c r="L2901" s="1">
        <v>1</v>
      </c>
      <c r="M2901" s="4">
        <v>1680</v>
      </c>
      <c r="N2901" s="1">
        <v>1620</v>
      </c>
      <c r="O2901" s="1">
        <v>3504</v>
      </c>
      <c r="P2901" s="1">
        <v>1884</v>
      </c>
      <c r="Q2901" s="1" t="s">
        <v>42</v>
      </c>
      <c r="S2901" s="1" t="s">
        <v>42</v>
      </c>
      <c r="T2901" s="1" t="s">
        <v>273</v>
      </c>
      <c r="U2901" s="1">
        <v>292</v>
      </c>
      <c r="V2901" s="5">
        <v>43641</v>
      </c>
      <c r="W2901" s="5">
        <v>42866</v>
      </c>
      <c r="X2901" s="1">
        <v>2645000</v>
      </c>
      <c r="Y2901" s="1">
        <v>2695000</v>
      </c>
      <c r="Z2901" s="5">
        <v>43158</v>
      </c>
      <c r="AA2901" s="1">
        <v>2638000</v>
      </c>
      <c r="AB2901" s="1" t="s">
        <v>1781</v>
      </c>
      <c r="AC2901" s="5">
        <v>43222</v>
      </c>
      <c r="AF2901" s="1">
        <v>10128</v>
      </c>
      <c r="AJ2901" s="1">
        <v>2017</v>
      </c>
      <c r="AK2901" s="1" t="s">
        <v>108</v>
      </c>
      <c r="AL2901" s="1">
        <v>82</v>
      </c>
    </row>
    <row r="2902" spans="1:38" x14ac:dyDescent="0.2">
      <c r="A2902" s="2" t="str">
        <f>HYPERLINK("https://www.compass.com/listing/360-east-89th-street-unit-12b-manhattan-ny-10128/29424455528850577/","360 E 89th St, Unit 12B")</f>
        <v>360 E 89th St, Unit 12B</v>
      </c>
      <c r="B2902" s="2" t="str">
        <f t="shared" si="486"/>
        <v>Citizen360</v>
      </c>
      <c r="C2902" s="1" t="s">
        <v>82</v>
      </c>
      <c r="D2902" s="1" t="s">
        <v>41</v>
      </c>
      <c r="E2902" s="3">
        <v>2455000</v>
      </c>
      <c r="F2902" s="1">
        <v>1631.22923588039</v>
      </c>
      <c r="G2902" s="1">
        <v>4</v>
      </c>
      <c r="H2902" s="1">
        <v>2</v>
      </c>
      <c r="I2902" s="1">
        <v>2</v>
      </c>
      <c r="J2902" s="1">
        <v>2</v>
      </c>
      <c r="K2902" s="1">
        <v>2</v>
      </c>
      <c r="M2902" s="4">
        <v>1505</v>
      </c>
      <c r="N2902" s="1">
        <v>1458</v>
      </c>
      <c r="O2902" s="1">
        <v>3154</v>
      </c>
      <c r="P2902" s="1">
        <v>1696</v>
      </c>
      <c r="Q2902" s="1" t="s">
        <v>42</v>
      </c>
      <c r="S2902" s="1" t="s">
        <v>42</v>
      </c>
      <c r="T2902" s="1" t="s">
        <v>273</v>
      </c>
      <c r="U2902" s="1">
        <v>116</v>
      </c>
      <c r="V2902" s="5">
        <v>43694</v>
      </c>
      <c r="W2902" s="5">
        <v>42830</v>
      </c>
      <c r="X2902" s="1">
        <v>2485000</v>
      </c>
      <c r="Y2902" s="1">
        <v>2485000</v>
      </c>
      <c r="Z2902" s="5">
        <v>42946</v>
      </c>
      <c r="AA2902" s="1">
        <v>2455000</v>
      </c>
      <c r="AB2902" s="1" t="s">
        <v>1782</v>
      </c>
      <c r="AC2902" s="5">
        <v>43110</v>
      </c>
      <c r="AF2902" s="1">
        <v>10128</v>
      </c>
      <c r="AJ2902" s="1">
        <v>2017</v>
      </c>
      <c r="AK2902" s="1" t="s">
        <v>108</v>
      </c>
      <c r="AL2902" s="1">
        <v>82</v>
      </c>
    </row>
    <row r="2903" spans="1:38" x14ac:dyDescent="0.2">
      <c r="A2903" s="2" t="str">
        <f>HYPERLINK("https://www.compass.com/listing/200-east-94th-street-unit-2311-manhattan-ny-10128/29423495175807489/","200 E 94th St, Unit 2311")</f>
        <v>200 E 94th St, Unit 2311</v>
      </c>
      <c r="B2903" s="2" t="str">
        <f t="shared" ref="B2903:B2906" si="487">HYPERLINK("https://www.compass.com/building/carnegie-park-condominium-manhattan-ny/282049797358118613/","Carnegie Park Condominium")</f>
        <v>Carnegie Park Condominium</v>
      </c>
      <c r="C2903" s="1" t="s">
        <v>82</v>
      </c>
      <c r="D2903" s="1" t="s">
        <v>41</v>
      </c>
      <c r="E2903" s="3">
        <v>1271982</v>
      </c>
      <c r="F2903" s="1">
        <v>1489.44028103044</v>
      </c>
      <c r="G2903" s="1">
        <v>3</v>
      </c>
      <c r="H2903" s="1">
        <v>1</v>
      </c>
      <c r="I2903" s="1">
        <v>1</v>
      </c>
      <c r="J2903" s="1">
        <v>1</v>
      </c>
      <c r="K2903" s="1">
        <v>1</v>
      </c>
      <c r="M2903" s="1">
        <v>854</v>
      </c>
      <c r="N2903" s="1">
        <v>968</v>
      </c>
      <c r="O2903" s="1">
        <v>1996</v>
      </c>
      <c r="P2903" s="1">
        <v>1028</v>
      </c>
      <c r="Q2903" s="1" t="s">
        <v>42</v>
      </c>
      <c r="S2903" s="1" t="s">
        <v>42</v>
      </c>
      <c r="T2903" s="1" t="s">
        <v>273</v>
      </c>
      <c r="U2903" s="1">
        <v>169</v>
      </c>
      <c r="V2903" s="5">
        <v>43641</v>
      </c>
      <c r="W2903" s="5">
        <v>42156</v>
      </c>
      <c r="X2903" s="1">
        <v>1230000</v>
      </c>
      <c r="Y2903" s="1">
        <v>1255000</v>
      </c>
      <c r="AA2903" s="1">
        <v>1271982</v>
      </c>
      <c r="AB2903" s="1" t="s">
        <v>1783</v>
      </c>
      <c r="AC2903" s="5">
        <v>42326</v>
      </c>
      <c r="AF2903" s="1">
        <v>10128</v>
      </c>
      <c r="AI2903" s="1" t="s">
        <v>163</v>
      </c>
      <c r="AJ2903" s="1">
        <v>1986</v>
      </c>
      <c r="AK2903" s="1" t="s">
        <v>108</v>
      </c>
      <c r="AL2903" s="1">
        <v>287</v>
      </c>
    </row>
    <row r="2904" spans="1:38" x14ac:dyDescent="0.2">
      <c r="A2904" s="2" t="str">
        <f>HYPERLINK("https://www.compass.com/listing/200-east-94th-street-unit-1414-manhattan-ny-10128/745323239609620377/","200 E 94th St, Unit 1414")</f>
        <v>200 E 94th St, Unit 1414</v>
      </c>
      <c r="B2904" s="2" t="str">
        <f t="shared" si="487"/>
        <v>Carnegie Park Condominium</v>
      </c>
      <c r="C2904" s="1" t="s">
        <v>82</v>
      </c>
      <c r="D2904" s="1" t="s">
        <v>41</v>
      </c>
      <c r="E2904" s="3">
        <v>1599000</v>
      </c>
      <c r="F2904" s="1">
        <v>1501.4084507042201</v>
      </c>
      <c r="G2904" s="1">
        <v>4</v>
      </c>
      <c r="H2904" s="1">
        <v>2</v>
      </c>
      <c r="I2904" s="1">
        <v>2</v>
      </c>
      <c r="J2904" s="1">
        <v>2</v>
      </c>
      <c r="K2904" s="1">
        <v>2</v>
      </c>
      <c r="M2904" s="4">
        <v>1065</v>
      </c>
      <c r="N2904" s="1">
        <v>1247</v>
      </c>
      <c r="O2904" s="1">
        <v>2556</v>
      </c>
      <c r="P2904" s="1">
        <v>1309</v>
      </c>
      <c r="Q2904" s="1" t="s">
        <v>42</v>
      </c>
      <c r="S2904" s="1" t="s">
        <v>42</v>
      </c>
      <c r="T2904" s="1" t="s">
        <v>273</v>
      </c>
      <c r="U2904" s="1">
        <v>22</v>
      </c>
      <c r="V2904" s="5">
        <v>44415</v>
      </c>
      <c r="W2904" s="5">
        <v>44299</v>
      </c>
      <c r="X2904" s="1">
        <v>1695000</v>
      </c>
      <c r="Y2904" s="1">
        <v>1695000</v>
      </c>
      <c r="Z2904" s="5">
        <v>44322</v>
      </c>
      <c r="AA2904" s="1">
        <v>1599000</v>
      </c>
      <c r="AB2904" s="1" t="s">
        <v>1784</v>
      </c>
      <c r="AC2904" s="5">
        <v>44368</v>
      </c>
      <c r="AF2904" s="1">
        <v>10128</v>
      </c>
      <c r="AI2904" s="1" t="s">
        <v>185</v>
      </c>
      <c r="AJ2904" s="1">
        <v>1986</v>
      </c>
      <c r="AK2904" s="1" t="s">
        <v>46</v>
      </c>
      <c r="AL2904" s="1">
        <v>287</v>
      </c>
    </row>
    <row r="2905" spans="1:38" x14ac:dyDescent="0.2">
      <c r="A2905" s="2" t="str">
        <f>HYPERLINK("https://www.compass.com/listing/200-east-94th-street-unit-1711-manhattan-ny-10128/700757386480158265/","200 E 94th St, Unit 1711")</f>
        <v>200 E 94th St, Unit 1711</v>
      </c>
      <c r="B2905" s="2" t="str">
        <f t="shared" si="487"/>
        <v>Carnegie Park Condominium</v>
      </c>
      <c r="C2905" s="1" t="s">
        <v>82</v>
      </c>
      <c r="D2905" s="1" t="s">
        <v>41</v>
      </c>
      <c r="E2905" s="3">
        <v>1176000</v>
      </c>
      <c r="F2905" s="1">
        <v>1377.0491803278601</v>
      </c>
      <c r="G2905" s="1">
        <v>3</v>
      </c>
      <c r="H2905" s="1">
        <v>1</v>
      </c>
      <c r="I2905" s="1">
        <v>1</v>
      </c>
      <c r="J2905" s="1">
        <v>1</v>
      </c>
      <c r="K2905" s="1">
        <v>1</v>
      </c>
      <c r="M2905" s="1">
        <v>854</v>
      </c>
      <c r="N2905" s="1">
        <v>1023</v>
      </c>
      <c r="O2905" s="1">
        <v>1896</v>
      </c>
      <c r="P2905" s="1">
        <v>873</v>
      </c>
      <c r="Q2905" s="1" t="s">
        <v>42</v>
      </c>
      <c r="S2905" s="1" t="s">
        <v>42</v>
      </c>
      <c r="T2905" s="1" t="s">
        <v>273</v>
      </c>
      <c r="U2905" s="1">
        <v>109</v>
      </c>
      <c r="V2905" s="5">
        <v>44330</v>
      </c>
      <c r="W2905" s="5">
        <v>44217</v>
      </c>
      <c r="AA2905" s="1">
        <v>1176000</v>
      </c>
      <c r="AB2905" s="1" t="s">
        <v>1785</v>
      </c>
      <c r="AC2905" s="5">
        <v>44327</v>
      </c>
      <c r="AF2905" s="1">
        <v>10128</v>
      </c>
      <c r="AI2905" s="1" t="s">
        <v>172</v>
      </c>
      <c r="AJ2905" s="1">
        <v>1986</v>
      </c>
      <c r="AK2905" s="1" t="s">
        <v>49</v>
      </c>
      <c r="AL2905" s="1">
        <v>287</v>
      </c>
    </row>
    <row r="2906" spans="1:38" x14ac:dyDescent="0.2">
      <c r="A2906" s="2" t="str">
        <f>HYPERLINK("https://www.compass.com/listing/200-east-94th-street-unit-125-manhattan-ny-10128/359402664076658161/","200 E 94th St, Unit 125")</f>
        <v>200 E 94th St, Unit 125</v>
      </c>
      <c r="B2906" s="2" t="str">
        <f t="shared" si="487"/>
        <v>Carnegie Park Condominium</v>
      </c>
      <c r="C2906" s="1" t="s">
        <v>82</v>
      </c>
      <c r="D2906" s="1" t="s">
        <v>41</v>
      </c>
      <c r="E2906" s="3">
        <v>966580</v>
      </c>
      <c r="F2906" s="1">
        <v>1369.0931444759201</v>
      </c>
      <c r="G2906" s="1">
        <v>3</v>
      </c>
      <c r="H2906" s="1">
        <v>1</v>
      </c>
      <c r="I2906" s="1">
        <v>1</v>
      </c>
      <c r="J2906" s="1">
        <v>1</v>
      </c>
      <c r="K2906" s="1">
        <v>1</v>
      </c>
      <c r="M2906" s="1">
        <v>706</v>
      </c>
      <c r="N2906" s="1">
        <v>790</v>
      </c>
      <c r="O2906" s="1">
        <v>1642</v>
      </c>
      <c r="P2906" s="1">
        <v>852</v>
      </c>
      <c r="Q2906" s="1" t="s">
        <v>42</v>
      </c>
      <c r="S2906" s="1" t="s">
        <v>42</v>
      </c>
      <c r="T2906" s="1" t="s">
        <v>273</v>
      </c>
      <c r="U2906" s="1">
        <v>185</v>
      </c>
      <c r="V2906" s="5">
        <v>44165</v>
      </c>
      <c r="W2906" s="5">
        <v>43725</v>
      </c>
      <c r="X2906" s="1">
        <v>995000</v>
      </c>
      <c r="Y2906" s="1">
        <v>995000</v>
      </c>
      <c r="Z2906" s="5">
        <v>44091</v>
      </c>
      <c r="AA2906" s="1">
        <v>966579.76</v>
      </c>
      <c r="AB2906" s="1" t="s">
        <v>1786</v>
      </c>
      <c r="AC2906" s="5">
        <v>43929</v>
      </c>
      <c r="AF2906" s="1">
        <v>10128</v>
      </c>
      <c r="AI2906" s="1" t="s">
        <v>185</v>
      </c>
      <c r="AJ2906" s="1">
        <v>1986</v>
      </c>
      <c r="AK2906" s="1" t="s">
        <v>108</v>
      </c>
      <c r="AL2906" s="1">
        <v>287</v>
      </c>
    </row>
    <row r="2907" spans="1:38" x14ac:dyDescent="0.2">
      <c r="A2907" s="2" t="str">
        <f>HYPERLINK("https://www.compass.com/listing/261-west-25th-street-unit-9c-manhattan-ny-10001/29372532972885777/","261 W 25th St, Unit 9C")</f>
        <v>261 W 25th St, Unit 9C</v>
      </c>
      <c r="B2907" s="2" t="str">
        <f>HYPERLINK("https://www.compass.com/building/the-seymour-manhattan-ny/281883155990840165/","The Seymour")</f>
        <v>The Seymour</v>
      </c>
      <c r="C2907" s="1" t="s">
        <v>62</v>
      </c>
      <c r="D2907" s="1" t="s">
        <v>41</v>
      </c>
      <c r="E2907" s="3">
        <v>4036500</v>
      </c>
      <c r="F2907" s="1">
        <v>2667.8783873099801</v>
      </c>
      <c r="G2907" s="1">
        <v>4</v>
      </c>
      <c r="H2907" s="1">
        <v>2</v>
      </c>
      <c r="I2907" s="1">
        <v>3</v>
      </c>
      <c r="J2907" s="1">
        <v>2.5</v>
      </c>
      <c r="M2907" s="4">
        <v>1513</v>
      </c>
      <c r="N2907" s="1">
        <v>1880</v>
      </c>
      <c r="O2907" s="1">
        <v>3940</v>
      </c>
      <c r="P2907" s="1">
        <v>2060</v>
      </c>
      <c r="Q2907" s="1" t="s">
        <v>42</v>
      </c>
      <c r="S2907" s="1" t="s">
        <v>42</v>
      </c>
      <c r="T2907" s="1" t="s">
        <v>273</v>
      </c>
      <c r="U2907" s="1">
        <v>54</v>
      </c>
      <c r="V2907" s="5">
        <v>43654</v>
      </c>
      <c r="W2907" s="5">
        <v>41907</v>
      </c>
      <c r="X2907" s="1">
        <v>4000000</v>
      </c>
      <c r="Y2907" s="1">
        <v>4000000</v>
      </c>
      <c r="Z2907" s="5">
        <v>41961</v>
      </c>
      <c r="AA2907" s="1">
        <v>4036500</v>
      </c>
      <c r="AB2907" s="1" t="s">
        <v>1787</v>
      </c>
      <c r="AC2907" s="5">
        <v>42445</v>
      </c>
      <c r="AF2907" s="1">
        <v>10001</v>
      </c>
      <c r="AI2907" s="1" t="s">
        <v>163</v>
      </c>
      <c r="AJ2907" s="1">
        <v>2015</v>
      </c>
      <c r="AK2907" s="1" t="s">
        <v>49</v>
      </c>
      <c r="AL2907" s="1">
        <v>49</v>
      </c>
    </row>
    <row r="2908" spans="1:38" x14ac:dyDescent="0.2">
      <c r="A2908" s="2" t="str">
        <f>HYPERLINK("https://www.compass.com/listing/1-west-end-avenue-unit-8l-manhattan-ny-10023/29397395246775537/","1 W End Ave, Unit 8L")</f>
        <v>1 W End Ave, Unit 8L</v>
      </c>
      <c r="B2908" s="2" t="str">
        <f>HYPERLINK("https://www.compass.com/building/1-w-end-ave-manhattan-ny-10023/455676159137755317/","1 W End Ave")</f>
        <v>1 W End Ave</v>
      </c>
      <c r="C2908" s="1" t="s">
        <v>57</v>
      </c>
      <c r="D2908" s="1" t="s">
        <v>41</v>
      </c>
      <c r="E2908" s="3">
        <v>1629255</v>
      </c>
      <c r="F2908" s="1">
        <v>1772.8559847660499</v>
      </c>
      <c r="G2908" s="1">
        <v>3</v>
      </c>
      <c r="H2908" s="1">
        <v>1</v>
      </c>
      <c r="I2908" s="1">
        <v>1</v>
      </c>
      <c r="J2908" s="1">
        <v>1.5</v>
      </c>
      <c r="K2908" s="1">
        <v>1</v>
      </c>
      <c r="L2908" s="1">
        <v>1</v>
      </c>
      <c r="M2908" s="1">
        <v>919</v>
      </c>
      <c r="N2908" s="1">
        <v>992.79</v>
      </c>
      <c r="O2908" s="1">
        <v>1052.1099999999999</v>
      </c>
      <c r="P2908" s="1">
        <v>59.3333333333333</v>
      </c>
      <c r="Q2908" s="1" t="s">
        <v>42</v>
      </c>
      <c r="S2908" s="1" t="s">
        <v>42</v>
      </c>
      <c r="T2908" s="1" t="s">
        <v>273</v>
      </c>
      <c r="V2908" s="5">
        <v>43670</v>
      </c>
      <c r="W2908" s="5">
        <v>42320</v>
      </c>
      <c r="X2908" s="1">
        <v>1595000</v>
      </c>
      <c r="Y2908" s="1">
        <v>1595000</v>
      </c>
      <c r="Z2908" s="5">
        <v>42320</v>
      </c>
      <c r="AA2908" s="1">
        <v>1629254.65</v>
      </c>
      <c r="AB2908" s="1" t="s">
        <v>1788</v>
      </c>
      <c r="AC2908" s="5">
        <v>43168</v>
      </c>
      <c r="AF2908" s="1">
        <v>10023</v>
      </c>
      <c r="AI2908" s="1" t="s">
        <v>60</v>
      </c>
      <c r="AJ2908" s="1">
        <v>2017</v>
      </c>
      <c r="AK2908" s="1" t="s">
        <v>108</v>
      </c>
      <c r="AL2908" s="1">
        <v>246</v>
      </c>
    </row>
    <row r="2909" spans="1:38" x14ac:dyDescent="0.2">
      <c r="A2909" s="2" t="str">
        <f>HYPERLINK("https://www.compass.com/listing/360-east-89th-street-unit-15c-manhattan-ny-10128/29514380676728465/","360 E 89th St, Unit 15C")</f>
        <v>360 E 89th St, Unit 15C</v>
      </c>
      <c r="B2909" s="2" t="str">
        <f>HYPERLINK("https://www.compass.com/building/citizen360-manhattan-ny/282052027553444853/","Citizen360")</f>
        <v>Citizen360</v>
      </c>
      <c r="C2909" s="1" t="s">
        <v>82</v>
      </c>
      <c r="D2909" s="1" t="s">
        <v>41</v>
      </c>
      <c r="E2909" s="3">
        <v>2650000</v>
      </c>
      <c r="F2909" s="1">
        <v>1577.38095238095</v>
      </c>
      <c r="G2909" s="1">
        <v>4</v>
      </c>
      <c r="H2909" s="1">
        <v>2</v>
      </c>
      <c r="I2909" s="1">
        <v>3</v>
      </c>
      <c r="J2909" s="1">
        <v>2.5</v>
      </c>
      <c r="K2909" s="1">
        <v>2</v>
      </c>
      <c r="L2909" s="1">
        <v>1</v>
      </c>
      <c r="M2909" s="4">
        <v>1680</v>
      </c>
      <c r="N2909" s="1">
        <v>1643</v>
      </c>
      <c r="O2909" s="1">
        <v>2535</v>
      </c>
      <c r="P2909" s="1">
        <v>892</v>
      </c>
      <c r="Q2909" s="1" t="s">
        <v>42</v>
      </c>
      <c r="S2909" s="1" t="s">
        <v>42</v>
      </c>
      <c r="T2909" s="1" t="s">
        <v>273</v>
      </c>
      <c r="U2909" s="1">
        <v>389</v>
      </c>
      <c r="V2909" s="5">
        <v>43806</v>
      </c>
      <c r="W2909" s="5">
        <v>43169</v>
      </c>
      <c r="X2909" s="1">
        <v>2905000</v>
      </c>
      <c r="Y2909" s="1">
        <v>2850000</v>
      </c>
      <c r="Z2909" s="5">
        <v>43558</v>
      </c>
      <c r="AA2909" s="1">
        <v>2650000</v>
      </c>
      <c r="AB2909" s="1" t="s">
        <v>1789</v>
      </c>
      <c r="AC2909" s="5">
        <v>43577</v>
      </c>
      <c r="AF2909" s="1">
        <v>10128</v>
      </c>
      <c r="AJ2909" s="1">
        <v>2017</v>
      </c>
      <c r="AK2909" s="1" t="s">
        <v>108</v>
      </c>
      <c r="AL2909" s="1">
        <v>82</v>
      </c>
    </row>
    <row r="2910" spans="1:38" x14ac:dyDescent="0.2">
      <c r="A2910" s="2" t="str">
        <f>HYPERLINK("https://www.compass.com/listing/200-east-94th-street-unit-517-manhattan-ny-10128/29423440473684641/","200 E 94th St, Unit 517")</f>
        <v>200 E 94th St, Unit 517</v>
      </c>
      <c r="B2910" s="2" t="str">
        <f t="shared" ref="B2910:B2911" si="488">HYPERLINK("https://www.compass.com/building/carnegie-park-condominium-manhattan-ny/282049797358118613/","Carnegie Park Condominium")</f>
        <v>Carnegie Park Condominium</v>
      </c>
      <c r="C2910" s="1" t="s">
        <v>82</v>
      </c>
      <c r="D2910" s="1" t="s">
        <v>41</v>
      </c>
      <c r="E2910" s="3">
        <v>1775000</v>
      </c>
      <c r="F2910" s="1">
        <v>1660.4303086997099</v>
      </c>
      <c r="G2910" s="1">
        <v>4</v>
      </c>
      <c r="H2910" s="1">
        <v>2</v>
      </c>
      <c r="I2910" s="1">
        <v>2</v>
      </c>
      <c r="J2910" s="1">
        <v>2</v>
      </c>
      <c r="K2910" s="1">
        <v>2</v>
      </c>
      <c r="M2910" s="4">
        <v>1069</v>
      </c>
      <c r="N2910" s="1">
        <v>1163</v>
      </c>
      <c r="O2910" s="1">
        <v>2409</v>
      </c>
      <c r="P2910" s="1">
        <v>1246</v>
      </c>
      <c r="Q2910" s="1" t="s">
        <v>42</v>
      </c>
      <c r="S2910" s="1" t="s">
        <v>42</v>
      </c>
      <c r="T2910" s="1" t="s">
        <v>273</v>
      </c>
      <c r="U2910" s="1">
        <v>42</v>
      </c>
      <c r="V2910" s="5">
        <v>42906</v>
      </c>
      <c r="W2910" s="5">
        <v>42804</v>
      </c>
      <c r="X2910" s="1">
        <v>1775000</v>
      </c>
      <c r="Y2910" s="1">
        <v>1775000</v>
      </c>
      <c r="Z2910" s="5">
        <v>42846</v>
      </c>
      <c r="AA2910" s="1">
        <v>1775000</v>
      </c>
      <c r="AB2910" s="1" t="s">
        <v>1790</v>
      </c>
      <c r="AC2910" s="5">
        <v>42909</v>
      </c>
      <c r="AF2910" s="1">
        <v>10128</v>
      </c>
      <c r="AI2910" s="1" t="s">
        <v>163</v>
      </c>
      <c r="AJ2910" s="1">
        <v>1986</v>
      </c>
      <c r="AK2910" s="1" t="s">
        <v>108</v>
      </c>
      <c r="AL2910" s="1">
        <v>287</v>
      </c>
    </row>
    <row r="2911" spans="1:38" x14ac:dyDescent="0.2">
      <c r="A2911" s="2" t="str">
        <f>HYPERLINK("https://www.compass.com/listing/200-east-94th-street-unit-2216-manhattan-ny-10128/401486717575079841/","200 E 94th St, Unit 2216")</f>
        <v>200 E 94th St, Unit 2216</v>
      </c>
      <c r="B2911" s="2" t="str">
        <f t="shared" si="488"/>
        <v>Carnegie Park Condominium</v>
      </c>
      <c r="C2911" s="1" t="s">
        <v>82</v>
      </c>
      <c r="D2911" s="1" t="s">
        <v>41</v>
      </c>
      <c r="E2911" s="3">
        <v>1081664</v>
      </c>
      <c r="F2911" s="1">
        <v>1536.45457386363</v>
      </c>
      <c r="G2911" s="1">
        <v>3</v>
      </c>
      <c r="H2911" s="1">
        <v>1</v>
      </c>
      <c r="I2911" s="1">
        <v>1</v>
      </c>
      <c r="J2911" s="1">
        <v>1</v>
      </c>
      <c r="K2911" s="1">
        <v>1</v>
      </c>
      <c r="M2911" s="1">
        <v>704</v>
      </c>
      <c r="N2911" s="1">
        <v>832</v>
      </c>
      <c r="O2911" s="1">
        <v>1730</v>
      </c>
      <c r="P2911" s="1">
        <v>898</v>
      </c>
      <c r="Q2911" s="1" t="s">
        <v>42</v>
      </c>
      <c r="S2911" s="1" t="s">
        <v>42</v>
      </c>
      <c r="T2911" s="1" t="s">
        <v>273</v>
      </c>
      <c r="U2911" s="1">
        <v>148</v>
      </c>
      <c r="V2911" s="5">
        <v>43952</v>
      </c>
      <c r="W2911" s="5">
        <v>43725</v>
      </c>
      <c r="X2911" s="1">
        <v>1150000</v>
      </c>
      <c r="Y2911" s="1">
        <v>1150000</v>
      </c>
      <c r="Z2911" s="5">
        <v>43874</v>
      </c>
      <c r="AA2911" s="1">
        <v>1081664.02</v>
      </c>
      <c r="AB2911" s="1" t="s">
        <v>1791</v>
      </c>
      <c r="AC2911" s="5">
        <v>43950</v>
      </c>
      <c r="AF2911" s="1">
        <v>10128</v>
      </c>
      <c r="AI2911" s="1" t="s">
        <v>185</v>
      </c>
      <c r="AJ2911" s="1">
        <v>1986</v>
      </c>
      <c r="AK2911" s="1" t="s">
        <v>108</v>
      </c>
      <c r="AL2911" s="1">
        <v>287</v>
      </c>
    </row>
    <row r="2912" spans="1:38" x14ac:dyDescent="0.2">
      <c r="A2912" s="2" t="str">
        <f>HYPERLINK("https://www.compass.com/listing/261-west-25th-street-unit-6d-manhattan-ny-10001/29511919140437553/","261 W 25th St, Unit 6D")</f>
        <v>261 W 25th St, Unit 6D</v>
      </c>
      <c r="B2912" s="2" t="str">
        <f>HYPERLINK("https://www.compass.com/building/the-seymour-manhattan-ny/281883155990840165/","The Seymour")</f>
        <v>The Seymour</v>
      </c>
      <c r="C2912" s="1" t="s">
        <v>62</v>
      </c>
      <c r="D2912" s="1" t="s">
        <v>41</v>
      </c>
      <c r="E2912" s="3">
        <v>3864259</v>
      </c>
      <c r="F2912" s="1">
        <v>2089.9183342347201</v>
      </c>
      <c r="G2912" s="1">
        <v>5</v>
      </c>
      <c r="H2912" s="1">
        <v>3</v>
      </c>
      <c r="I2912" s="1">
        <v>3</v>
      </c>
      <c r="J2912" s="1">
        <v>2.5</v>
      </c>
      <c r="M2912" s="4">
        <v>1849</v>
      </c>
      <c r="N2912" s="1">
        <v>2093</v>
      </c>
      <c r="O2912" s="1">
        <v>4442</v>
      </c>
      <c r="P2912" s="1">
        <v>2349</v>
      </c>
      <c r="Q2912" s="1" t="s">
        <v>42</v>
      </c>
      <c r="S2912" s="1" t="s">
        <v>42</v>
      </c>
      <c r="T2912" s="1" t="s">
        <v>273</v>
      </c>
      <c r="U2912" s="1">
        <v>39</v>
      </c>
      <c r="V2912" s="5">
        <v>43670</v>
      </c>
      <c r="W2912" s="5">
        <v>42017</v>
      </c>
      <c r="X2912" s="1">
        <v>3795000</v>
      </c>
      <c r="Y2912" s="1">
        <v>3795000</v>
      </c>
      <c r="Z2912" s="5">
        <v>42056</v>
      </c>
      <c r="AA2912" s="1">
        <v>3864259</v>
      </c>
      <c r="AB2912" s="1" t="s">
        <v>1792</v>
      </c>
      <c r="AC2912" s="5">
        <v>42441</v>
      </c>
      <c r="AF2912" s="1">
        <v>10001</v>
      </c>
      <c r="AI2912" s="1" t="s">
        <v>163</v>
      </c>
      <c r="AJ2912" s="1">
        <v>2015</v>
      </c>
      <c r="AK2912" s="1" t="s">
        <v>46</v>
      </c>
      <c r="AL2912" s="1">
        <v>49</v>
      </c>
    </row>
    <row r="2913" spans="1:38" x14ac:dyDescent="0.2">
      <c r="A2913" s="2" t="str">
        <f>HYPERLINK("https://www.compass.com/listing/15-west-61st-street-unit-11d-manhattan-ny-10023/620293733961037137/","15 W 61st St, Unit 11D")</f>
        <v>15 W 61st St, Unit 11D</v>
      </c>
      <c r="B2913" s="2" t="str">
        <f t="shared" ref="B2913:B2922" si="489">HYPERLINK("https://www.compass.com/building/the-park-loggia-manhattan-ny/292861833130357557/","The Park Loggia")</f>
        <v>The Park Loggia</v>
      </c>
      <c r="C2913" s="1" t="s">
        <v>57</v>
      </c>
      <c r="D2913" s="1" t="s">
        <v>41</v>
      </c>
      <c r="E2913" s="3">
        <v>1500000</v>
      </c>
      <c r="F2913" s="1">
        <v>2245.5089820359199</v>
      </c>
      <c r="G2913" s="1">
        <v>3</v>
      </c>
      <c r="H2913" s="1">
        <v>1</v>
      </c>
      <c r="I2913" s="1">
        <v>1</v>
      </c>
      <c r="J2913" s="1">
        <v>1</v>
      </c>
      <c r="K2913" s="1">
        <v>1</v>
      </c>
      <c r="M2913" s="1">
        <v>668</v>
      </c>
      <c r="N2913" s="1">
        <v>679</v>
      </c>
      <c r="O2913" s="1">
        <v>1362</v>
      </c>
      <c r="P2913" s="1">
        <v>683</v>
      </c>
      <c r="Q2913" s="1" t="s">
        <v>42</v>
      </c>
      <c r="S2913" s="1" t="s">
        <v>42</v>
      </c>
      <c r="T2913" s="1" t="s">
        <v>273</v>
      </c>
      <c r="U2913" s="1">
        <v>224</v>
      </c>
      <c r="V2913" s="5">
        <v>44365</v>
      </c>
      <c r="W2913" s="5">
        <v>44107</v>
      </c>
      <c r="X2913" s="1">
        <v>1555000</v>
      </c>
      <c r="Y2913" s="1">
        <v>1555000</v>
      </c>
      <c r="Z2913" s="5">
        <v>44331</v>
      </c>
      <c r="AA2913" s="1">
        <v>1500000</v>
      </c>
      <c r="AB2913" s="1" t="s">
        <v>1793</v>
      </c>
      <c r="AC2913" s="5">
        <v>44364</v>
      </c>
      <c r="AF2913" s="1">
        <v>10023</v>
      </c>
      <c r="AI2913" s="1" t="s">
        <v>65</v>
      </c>
      <c r="AJ2913" s="1">
        <v>2019</v>
      </c>
      <c r="AK2913" s="1" t="s">
        <v>108</v>
      </c>
      <c r="AL2913" s="1">
        <v>172</v>
      </c>
    </row>
    <row r="2914" spans="1:38" x14ac:dyDescent="0.2">
      <c r="A2914" s="2" t="str">
        <f>HYPERLINK("https://www.compass.com/listing/15-west-61st-street-unit-16b-manhattan-ny-10023/620320900157712761/","15 W 61st St, Unit 16B")</f>
        <v>15 W 61st St, Unit 16B</v>
      </c>
      <c r="B2914" s="2" t="str">
        <f t="shared" si="489"/>
        <v>The Park Loggia</v>
      </c>
      <c r="C2914" s="1" t="s">
        <v>57</v>
      </c>
      <c r="D2914" s="1" t="s">
        <v>41</v>
      </c>
      <c r="E2914" s="3">
        <v>2020000</v>
      </c>
      <c r="F2914" s="1">
        <v>2560.20278833967</v>
      </c>
      <c r="G2914" s="1">
        <v>3</v>
      </c>
      <c r="H2914" s="1">
        <v>1</v>
      </c>
      <c r="I2914" s="1">
        <v>1</v>
      </c>
      <c r="J2914" s="1">
        <v>1</v>
      </c>
      <c r="K2914" s="1">
        <v>1</v>
      </c>
      <c r="M2914" s="1">
        <v>789</v>
      </c>
      <c r="N2914" s="1">
        <v>841</v>
      </c>
      <c r="O2914" s="1">
        <v>1687</v>
      </c>
      <c r="P2914" s="1">
        <v>846</v>
      </c>
      <c r="Q2914" s="1" t="s">
        <v>42</v>
      </c>
      <c r="S2914" s="1" t="s">
        <v>42</v>
      </c>
      <c r="T2914" s="1" t="s">
        <v>273</v>
      </c>
      <c r="V2914" s="5">
        <v>44296</v>
      </c>
      <c r="W2914" s="5">
        <v>44107</v>
      </c>
      <c r="X2914" s="1">
        <v>2195000</v>
      </c>
      <c r="Y2914" s="1">
        <v>2195000</v>
      </c>
      <c r="Z2914" s="5">
        <v>44107</v>
      </c>
      <c r="AA2914" s="1">
        <v>2020000</v>
      </c>
      <c r="AB2914" s="1" t="s">
        <v>1794</v>
      </c>
      <c r="AC2914" s="5">
        <v>44295</v>
      </c>
      <c r="AF2914" s="1">
        <v>10023</v>
      </c>
      <c r="AI2914" s="1" t="s">
        <v>159</v>
      </c>
      <c r="AJ2914" s="1">
        <v>2019</v>
      </c>
      <c r="AK2914" s="1" t="s">
        <v>108</v>
      </c>
      <c r="AL2914" s="1">
        <v>172</v>
      </c>
    </row>
    <row r="2915" spans="1:38" x14ac:dyDescent="0.2">
      <c r="A2915" s="2" t="str">
        <f>HYPERLINK("https://www.compass.com/listing/15-west-61st-street-unit-27c-manhattan-ny-10023/252534491535379713/","15 W 61st St, Unit 27C")</f>
        <v>15 W 61st St, Unit 27C</v>
      </c>
      <c r="B2915" s="2" t="str">
        <f t="shared" si="489"/>
        <v>The Park Loggia</v>
      </c>
      <c r="C2915" s="1" t="s">
        <v>57</v>
      </c>
      <c r="D2915" s="1" t="s">
        <v>41</v>
      </c>
      <c r="E2915" s="3">
        <v>2062900</v>
      </c>
      <c r="F2915" s="1">
        <v>2467.5837320574101</v>
      </c>
      <c r="G2915" s="1">
        <v>3</v>
      </c>
      <c r="H2915" s="1">
        <v>1</v>
      </c>
      <c r="I2915" s="1">
        <v>1</v>
      </c>
      <c r="J2915" s="1">
        <v>1</v>
      </c>
      <c r="K2915" s="1">
        <v>1</v>
      </c>
      <c r="M2915" s="1">
        <v>836</v>
      </c>
      <c r="N2915" s="1">
        <v>836</v>
      </c>
      <c r="O2915" s="1">
        <v>1663</v>
      </c>
      <c r="P2915" s="1">
        <v>827</v>
      </c>
      <c r="Q2915" s="1" t="s">
        <v>42</v>
      </c>
      <c r="S2915" s="1" t="s">
        <v>42</v>
      </c>
      <c r="T2915" s="1" t="s">
        <v>273</v>
      </c>
      <c r="U2915" s="1">
        <v>61</v>
      </c>
      <c r="V2915" s="5">
        <v>44253</v>
      </c>
      <c r="W2915" s="5">
        <v>43597</v>
      </c>
      <c r="X2915" s="1">
        <v>2105000</v>
      </c>
      <c r="AB2915" s="1" t="s">
        <v>275</v>
      </c>
      <c r="AF2915" s="1">
        <v>10023</v>
      </c>
      <c r="AI2915" s="1" t="s">
        <v>65</v>
      </c>
      <c r="AJ2915" s="1">
        <v>2019</v>
      </c>
      <c r="AK2915" s="1" t="s">
        <v>108</v>
      </c>
      <c r="AL2915" s="1">
        <v>172</v>
      </c>
    </row>
    <row r="2916" spans="1:38" x14ac:dyDescent="0.2">
      <c r="A2916" s="2" t="str">
        <f>HYPERLINK("https://www.compass.com/listing/15-west-61st-street-unit-9g-manhattan-ny-10023/252541091549549809/","15 W 61st St, Unit 9G")</f>
        <v>15 W 61st St, Unit 9G</v>
      </c>
      <c r="B2916" s="2" t="str">
        <f t="shared" si="489"/>
        <v>The Park Loggia</v>
      </c>
      <c r="C2916" s="1" t="s">
        <v>57</v>
      </c>
      <c r="D2916" s="1" t="s">
        <v>41</v>
      </c>
      <c r="E2916" s="3">
        <v>1510000</v>
      </c>
      <c r="F2916" s="1">
        <v>2312.4042879019898</v>
      </c>
      <c r="G2916" s="1">
        <v>3</v>
      </c>
      <c r="H2916" s="1">
        <v>1</v>
      </c>
      <c r="I2916" s="1">
        <v>1</v>
      </c>
      <c r="J2916" s="1">
        <v>1</v>
      </c>
      <c r="K2916" s="1">
        <v>1</v>
      </c>
      <c r="M2916" s="1">
        <v>653</v>
      </c>
      <c r="N2916" s="1">
        <v>653</v>
      </c>
      <c r="O2916" s="1">
        <v>1299</v>
      </c>
      <c r="P2916" s="1">
        <v>646</v>
      </c>
      <c r="Q2916" s="1" t="s">
        <v>42</v>
      </c>
      <c r="S2916" s="1" t="s">
        <v>42</v>
      </c>
      <c r="T2916" s="1" t="s">
        <v>273</v>
      </c>
      <c r="U2916" s="1">
        <v>61</v>
      </c>
      <c r="V2916" s="5">
        <v>44119</v>
      </c>
      <c r="W2916" s="5">
        <v>43597</v>
      </c>
      <c r="X2916" s="1">
        <v>1595000</v>
      </c>
      <c r="Y2916" s="1">
        <v>1595000</v>
      </c>
      <c r="AA2916" s="1">
        <v>1510000</v>
      </c>
      <c r="AB2916" s="1" t="s">
        <v>1795</v>
      </c>
      <c r="AC2916" s="5">
        <v>44118</v>
      </c>
      <c r="AF2916" s="1">
        <v>10023</v>
      </c>
      <c r="AI2916" s="1" t="s">
        <v>65</v>
      </c>
      <c r="AJ2916" s="1">
        <v>2019</v>
      </c>
      <c r="AK2916" s="1" t="s">
        <v>108</v>
      </c>
      <c r="AL2916" s="1">
        <v>172</v>
      </c>
    </row>
    <row r="2917" spans="1:38" x14ac:dyDescent="0.2">
      <c r="A2917" s="2" t="str">
        <f>HYPERLINK("https://www.compass.com/listing/15-west-61st-street-unit-10g-manhattan-ny-10023/294847087719993729/","15 W 61st St, Unit 10G")</f>
        <v>15 W 61st St, Unit 10G</v>
      </c>
      <c r="B2917" s="2" t="str">
        <f t="shared" si="489"/>
        <v>The Park Loggia</v>
      </c>
      <c r="C2917" s="1" t="s">
        <v>57</v>
      </c>
      <c r="D2917" s="1" t="s">
        <v>41</v>
      </c>
      <c r="E2917" s="3">
        <v>1628030</v>
      </c>
      <c r="F2917" s="1">
        <v>2493.1540735068902</v>
      </c>
      <c r="G2917" s="1">
        <v>3.5</v>
      </c>
      <c r="H2917" s="1">
        <v>1</v>
      </c>
      <c r="I2917" s="1">
        <v>1</v>
      </c>
      <c r="J2917" s="1">
        <v>1</v>
      </c>
      <c r="K2917" s="1">
        <v>1</v>
      </c>
      <c r="M2917" s="1">
        <v>653</v>
      </c>
      <c r="N2917" s="1">
        <v>672</v>
      </c>
      <c r="O2917" s="1">
        <v>1318</v>
      </c>
      <c r="P2917" s="1">
        <v>646</v>
      </c>
      <c r="Q2917" s="1" t="s">
        <v>42</v>
      </c>
      <c r="S2917" s="1" t="s">
        <v>42</v>
      </c>
      <c r="T2917" s="1" t="s">
        <v>273</v>
      </c>
      <c r="U2917" s="1">
        <v>59</v>
      </c>
      <c r="V2917" s="5">
        <v>43911</v>
      </c>
      <c r="W2917" s="5">
        <v>43658</v>
      </c>
      <c r="X2917" s="1">
        <v>1615000</v>
      </c>
      <c r="AB2917" s="1" t="s">
        <v>275</v>
      </c>
      <c r="AF2917" s="1">
        <v>10023</v>
      </c>
      <c r="AI2917" s="1" t="s">
        <v>65</v>
      </c>
      <c r="AJ2917" s="1">
        <v>2019</v>
      </c>
      <c r="AK2917" s="1" t="s">
        <v>108</v>
      </c>
      <c r="AL2917" s="1">
        <v>172</v>
      </c>
    </row>
    <row r="2918" spans="1:38" x14ac:dyDescent="0.2">
      <c r="A2918" s="2" t="str">
        <f>HYPERLINK("https://www.compass.com/listing/15-west-61st-street-unit-5h-manhattan-ny-10023/348215779205079521/","15 W 61st St, Unit 5H")</f>
        <v>15 W 61st St, Unit 5H</v>
      </c>
      <c r="B2918" s="2" t="str">
        <f t="shared" si="489"/>
        <v>The Park Loggia</v>
      </c>
      <c r="C2918" s="1" t="s">
        <v>57</v>
      </c>
      <c r="D2918" s="1" t="s">
        <v>41</v>
      </c>
      <c r="E2918" s="3">
        <v>1735000</v>
      </c>
      <c r="F2918" s="1">
        <v>2304.1168658698498</v>
      </c>
      <c r="G2918" s="1">
        <v>3</v>
      </c>
      <c r="H2918" s="1">
        <v>1</v>
      </c>
      <c r="I2918" s="1">
        <v>1</v>
      </c>
      <c r="J2918" s="1">
        <v>1</v>
      </c>
      <c r="K2918" s="1">
        <v>1</v>
      </c>
      <c r="M2918" s="1">
        <v>753</v>
      </c>
      <c r="N2918" s="1">
        <v>774</v>
      </c>
      <c r="O2918" s="1">
        <v>1519</v>
      </c>
      <c r="P2918" s="1">
        <v>745</v>
      </c>
      <c r="Q2918" s="1" t="s">
        <v>42</v>
      </c>
      <c r="S2918" s="1" t="s">
        <v>42</v>
      </c>
      <c r="T2918" s="1" t="s">
        <v>273</v>
      </c>
      <c r="U2918" s="1">
        <v>174</v>
      </c>
      <c r="V2918" s="5">
        <v>44072</v>
      </c>
      <c r="W2918" s="5">
        <v>43717</v>
      </c>
      <c r="X2918" s="1">
        <v>1735000</v>
      </c>
      <c r="Y2918" s="1">
        <v>1735000</v>
      </c>
      <c r="Z2918" s="5">
        <v>43936</v>
      </c>
      <c r="AA2918" s="1">
        <v>1735000</v>
      </c>
      <c r="AB2918" s="1" t="s">
        <v>1796</v>
      </c>
      <c r="AC2918" s="5">
        <v>43973</v>
      </c>
      <c r="AF2918" s="1">
        <v>10023</v>
      </c>
      <c r="AI2918" s="1" t="s">
        <v>65</v>
      </c>
      <c r="AJ2918" s="1">
        <v>2019</v>
      </c>
      <c r="AK2918" s="1" t="s">
        <v>108</v>
      </c>
      <c r="AL2918" s="1">
        <v>172</v>
      </c>
    </row>
    <row r="2919" spans="1:38" x14ac:dyDescent="0.2">
      <c r="A2919" s="2" t="str">
        <f>HYPERLINK("https://www.compass.com/listing/15-west-61st-street-unit-8d-manhattan-ny-10023/348215779874428865/","15 W 61st St, Unit 8D")</f>
        <v>15 W 61st St, Unit 8D</v>
      </c>
      <c r="B2919" s="2" t="str">
        <f t="shared" si="489"/>
        <v>The Park Loggia</v>
      </c>
      <c r="C2919" s="1" t="s">
        <v>57</v>
      </c>
      <c r="D2919" s="1" t="s">
        <v>41</v>
      </c>
      <c r="E2919" s="3">
        <v>1390000</v>
      </c>
      <c r="F2919" s="1">
        <v>2080.83832335329</v>
      </c>
      <c r="G2919" s="1">
        <v>3</v>
      </c>
      <c r="H2919" s="1">
        <v>1</v>
      </c>
      <c r="I2919" s="1">
        <v>1</v>
      </c>
      <c r="J2919" s="1">
        <v>1</v>
      </c>
      <c r="K2919" s="1">
        <v>1</v>
      </c>
      <c r="M2919" s="1">
        <v>668</v>
      </c>
      <c r="N2919" s="1">
        <v>687</v>
      </c>
      <c r="O2919" s="1">
        <v>1348</v>
      </c>
      <c r="P2919" s="1">
        <v>661</v>
      </c>
      <c r="Q2919" s="1" t="s">
        <v>42</v>
      </c>
      <c r="S2919" s="1" t="s">
        <v>42</v>
      </c>
      <c r="T2919" s="1" t="s">
        <v>273</v>
      </c>
      <c r="V2919" s="5">
        <v>44421</v>
      </c>
      <c r="W2919" s="5">
        <v>43717</v>
      </c>
      <c r="X2919" s="1">
        <v>1495000</v>
      </c>
      <c r="Y2919" s="1">
        <v>1495000</v>
      </c>
      <c r="Z2919" s="5">
        <v>43717</v>
      </c>
      <c r="AA2919" s="1">
        <v>1390000</v>
      </c>
      <c r="AB2919" s="1" t="s">
        <v>1797</v>
      </c>
      <c r="AC2919" s="5">
        <v>44340</v>
      </c>
      <c r="AF2919" s="1">
        <v>10023</v>
      </c>
      <c r="AI2919" s="1" t="s">
        <v>65</v>
      </c>
      <c r="AJ2919" s="1">
        <v>2019</v>
      </c>
      <c r="AK2919" s="1" t="s">
        <v>108</v>
      </c>
      <c r="AL2919" s="1">
        <v>172</v>
      </c>
    </row>
    <row r="2920" spans="1:38" x14ac:dyDescent="0.2">
      <c r="A2920" s="2" t="str">
        <f>HYPERLINK("https://www.compass.com/listing/15-west-61st-street-unit-14c-manhattan-ny-10023/348215780212078081/","15 W 61st St, Unit 14C")</f>
        <v>15 W 61st St, Unit 14C</v>
      </c>
      <c r="B2920" s="2" t="str">
        <f t="shared" si="489"/>
        <v>The Park Loggia</v>
      </c>
      <c r="C2920" s="1" t="s">
        <v>57</v>
      </c>
      <c r="D2920" s="1" t="s">
        <v>41</v>
      </c>
      <c r="E2920" s="3">
        <v>1856725</v>
      </c>
      <c r="F2920" s="1">
        <v>2478.9385847796998</v>
      </c>
      <c r="G2920" s="1">
        <v>3</v>
      </c>
      <c r="H2920" s="1">
        <v>1</v>
      </c>
      <c r="I2920" s="1">
        <v>1</v>
      </c>
      <c r="J2920" s="1">
        <v>1</v>
      </c>
      <c r="K2920" s="1">
        <v>1</v>
      </c>
      <c r="M2920" s="1">
        <v>749</v>
      </c>
      <c r="N2920" s="1">
        <v>761</v>
      </c>
      <c r="O2920" s="1">
        <v>1527</v>
      </c>
      <c r="P2920" s="1">
        <v>766</v>
      </c>
      <c r="Q2920" s="1" t="s">
        <v>42</v>
      </c>
      <c r="S2920" s="1" t="s">
        <v>42</v>
      </c>
      <c r="T2920" s="1" t="s">
        <v>273</v>
      </c>
      <c r="U2920" s="1">
        <v>193</v>
      </c>
      <c r="V2920" s="5">
        <v>44237</v>
      </c>
      <c r="W2920" s="5">
        <v>43717</v>
      </c>
      <c r="X2920" s="1">
        <v>1885000</v>
      </c>
      <c r="Y2920" s="1">
        <v>1885000</v>
      </c>
      <c r="Z2920" s="5">
        <v>43922</v>
      </c>
      <c r="AA2920" s="1">
        <v>1856725</v>
      </c>
      <c r="AB2920" s="1" t="s">
        <v>1798</v>
      </c>
      <c r="AC2920" s="5">
        <v>44235</v>
      </c>
      <c r="AF2920" s="1">
        <v>10023</v>
      </c>
      <c r="AI2920" s="1" t="s">
        <v>65</v>
      </c>
      <c r="AJ2920" s="1">
        <v>2019</v>
      </c>
      <c r="AK2920" s="1" t="s">
        <v>108</v>
      </c>
      <c r="AL2920" s="1">
        <v>172</v>
      </c>
    </row>
    <row r="2921" spans="1:38" x14ac:dyDescent="0.2">
      <c r="A2921" s="2" t="str">
        <f>HYPERLINK("https://www.compass.com/listing/15-west-61st-street-unit-12c-manhattan-ny-10023/494823272025054193/","15 W 61st St, Unit 12C")</f>
        <v>15 W 61st St, Unit 12C</v>
      </c>
      <c r="B2921" s="2" t="str">
        <f t="shared" si="489"/>
        <v>The Park Loggia</v>
      </c>
      <c r="C2921" s="1" t="s">
        <v>57</v>
      </c>
      <c r="D2921" s="1" t="s">
        <v>41</v>
      </c>
      <c r="E2921" s="3">
        <v>1780000</v>
      </c>
      <c r="F2921" s="1">
        <v>2376.50200267022</v>
      </c>
      <c r="G2921" s="1">
        <v>3</v>
      </c>
      <c r="H2921" s="1">
        <v>1</v>
      </c>
      <c r="I2921" s="1">
        <v>1</v>
      </c>
      <c r="J2921" s="1">
        <v>1</v>
      </c>
      <c r="K2921" s="1">
        <v>1</v>
      </c>
      <c r="M2921" s="1">
        <v>749</v>
      </c>
      <c r="N2921" s="1">
        <v>761</v>
      </c>
      <c r="O2921" s="1">
        <v>1527</v>
      </c>
      <c r="P2921" s="1">
        <v>766</v>
      </c>
      <c r="Q2921" s="1" t="s">
        <v>42</v>
      </c>
      <c r="S2921" s="1" t="s">
        <v>42</v>
      </c>
      <c r="T2921" s="1" t="s">
        <v>273</v>
      </c>
      <c r="U2921" s="1">
        <v>66</v>
      </c>
      <c r="V2921" s="5">
        <v>44131</v>
      </c>
      <c r="W2921" s="5">
        <v>43934</v>
      </c>
      <c r="X2921" s="1">
        <v>1865000</v>
      </c>
      <c r="Y2921" s="1">
        <v>1865000</v>
      </c>
      <c r="Z2921" s="5">
        <v>44071</v>
      </c>
      <c r="AA2921" s="1">
        <v>1780000</v>
      </c>
      <c r="AB2921" s="1" t="s">
        <v>1799</v>
      </c>
      <c r="AC2921" s="5">
        <v>44130</v>
      </c>
      <c r="AF2921" s="1">
        <v>10023</v>
      </c>
      <c r="AI2921" s="1" t="s">
        <v>65</v>
      </c>
      <c r="AJ2921" s="1">
        <v>2019</v>
      </c>
      <c r="AK2921" s="1" t="s">
        <v>108</v>
      </c>
      <c r="AL2921" s="1">
        <v>172</v>
      </c>
    </row>
    <row r="2922" spans="1:38" x14ac:dyDescent="0.2">
      <c r="A2922" s="2" t="str">
        <f>HYPERLINK("https://www.compass.com/listing/15-west-61st-street-unit-11g-manhattan-ny-10023/494853760921943673/","15 W 61st St, Unit 11G")</f>
        <v>15 W 61st St, Unit 11G</v>
      </c>
      <c r="B2922" s="2" t="str">
        <f t="shared" si="489"/>
        <v>The Park Loggia</v>
      </c>
      <c r="C2922" s="1" t="s">
        <v>57</v>
      </c>
      <c r="D2922" s="1" t="s">
        <v>41</v>
      </c>
      <c r="E2922" s="3">
        <v>1570000</v>
      </c>
      <c r="F2922" s="1">
        <v>2404.28790199081</v>
      </c>
      <c r="G2922" s="1">
        <v>3</v>
      </c>
      <c r="H2922" s="1">
        <v>1</v>
      </c>
      <c r="I2922" s="1">
        <v>1</v>
      </c>
      <c r="J2922" s="1">
        <v>1</v>
      </c>
      <c r="K2922" s="1">
        <v>1</v>
      </c>
      <c r="M2922" s="1">
        <v>653</v>
      </c>
      <c r="N2922" s="1">
        <v>664</v>
      </c>
      <c r="O2922" s="1">
        <v>1331</v>
      </c>
      <c r="P2922" s="1">
        <v>667</v>
      </c>
      <c r="Q2922" s="1" t="s">
        <v>42</v>
      </c>
      <c r="S2922" s="1" t="s">
        <v>42</v>
      </c>
      <c r="T2922" s="1" t="s">
        <v>273</v>
      </c>
      <c r="U2922" s="1">
        <v>3</v>
      </c>
      <c r="V2922" s="5">
        <v>44153</v>
      </c>
      <c r="W2922" s="5">
        <v>43934</v>
      </c>
      <c r="X2922" s="1">
        <v>1635000</v>
      </c>
      <c r="Y2922" s="1">
        <v>1635000</v>
      </c>
      <c r="Z2922" s="5">
        <v>44008</v>
      </c>
      <c r="AA2922" s="1">
        <v>1570000</v>
      </c>
      <c r="AB2922" s="1" t="s">
        <v>1800</v>
      </c>
      <c r="AC2922" s="5">
        <v>44152</v>
      </c>
      <c r="AF2922" s="1">
        <v>10023</v>
      </c>
      <c r="AI2922" s="1" t="s">
        <v>65</v>
      </c>
      <c r="AJ2922" s="1">
        <v>2019</v>
      </c>
      <c r="AK2922" s="1" t="s">
        <v>108</v>
      </c>
      <c r="AL2922" s="1">
        <v>172</v>
      </c>
    </row>
    <row r="2923" spans="1:38" x14ac:dyDescent="0.2">
      <c r="A2923" s="2" t="str">
        <f>HYPERLINK("https://www.compass.com/listing/200-east-94th-street-unit-905-manhattan-ny-10128/687807786008314625/","200 E 94th St, Unit 905")</f>
        <v>200 E 94th St, Unit 905</v>
      </c>
      <c r="B2923" s="2" t="str">
        <f>HYPERLINK("https://www.compass.com/building/carnegie-park-condominium-manhattan-ny/282049797358118613/","Carnegie Park Condominium")</f>
        <v>Carnegie Park Condominium</v>
      </c>
      <c r="C2923" s="1" t="s">
        <v>82</v>
      </c>
      <c r="D2923" s="1" t="s">
        <v>41</v>
      </c>
      <c r="E2923" s="3">
        <v>755000</v>
      </c>
      <c r="F2923" s="1">
        <v>1480.39215686274</v>
      </c>
      <c r="G2923" s="1">
        <v>3</v>
      </c>
      <c r="H2923" s="1" t="s">
        <v>99</v>
      </c>
      <c r="I2923" s="1">
        <v>1</v>
      </c>
      <c r="J2923" s="1">
        <v>1</v>
      </c>
      <c r="K2923" s="1">
        <v>1</v>
      </c>
      <c r="M2923" s="1">
        <v>510</v>
      </c>
      <c r="N2923" s="1">
        <v>604</v>
      </c>
      <c r="O2923" s="1">
        <v>1235</v>
      </c>
      <c r="P2923" s="1">
        <v>631</v>
      </c>
      <c r="Q2923" s="1" t="s">
        <v>42</v>
      </c>
      <c r="S2923" s="1" t="s">
        <v>42</v>
      </c>
      <c r="T2923" s="1" t="s">
        <v>273</v>
      </c>
      <c r="U2923" s="1">
        <v>95</v>
      </c>
      <c r="V2923" s="5">
        <v>44380</v>
      </c>
      <c r="W2923" s="5">
        <v>44200</v>
      </c>
      <c r="X2923" s="1">
        <v>759000</v>
      </c>
      <c r="Y2923" s="1">
        <v>759000</v>
      </c>
      <c r="Z2923" s="5">
        <v>44296</v>
      </c>
      <c r="AA2923" s="1">
        <v>755000</v>
      </c>
      <c r="AB2923" s="1" t="s">
        <v>1801</v>
      </c>
      <c r="AC2923" s="5">
        <v>44379</v>
      </c>
      <c r="AF2923" s="1">
        <v>10128</v>
      </c>
      <c r="AI2923" s="1" t="s">
        <v>163</v>
      </c>
      <c r="AJ2923" s="1">
        <v>1986</v>
      </c>
      <c r="AK2923" s="1" t="s">
        <v>46</v>
      </c>
      <c r="AL2923" s="1">
        <v>287</v>
      </c>
    </row>
    <row r="2924" spans="1:38" x14ac:dyDescent="0.2">
      <c r="A2924" s="2" t="str">
        <f>HYPERLINK("https://www.compass.com/listing/77-charlton-street-unit-n10a-manhattan-ny-10014/827259906962914705/","77 Charlton St, Unit N10A")</f>
        <v>77 Charlton St, Unit N10A</v>
      </c>
      <c r="B2924" s="2" t="str">
        <f>HYPERLINK("https://www.compass.com/building/77-charlton-st-manhattan-ny-10014/282058735872933093/","77 Charlton St")</f>
        <v>77 Charlton St</v>
      </c>
      <c r="C2924" s="1" t="s">
        <v>53</v>
      </c>
      <c r="D2924" s="1" t="s">
        <v>41</v>
      </c>
      <c r="E2924" s="3">
        <v>2104723</v>
      </c>
      <c r="F2924" s="1">
        <v>1913.3843181818099</v>
      </c>
      <c r="H2924" s="1">
        <v>2</v>
      </c>
      <c r="J2924" s="1">
        <v>2</v>
      </c>
      <c r="K2924" s="1">
        <v>2</v>
      </c>
      <c r="M2924" s="4">
        <v>1100</v>
      </c>
      <c r="N2924" s="1">
        <v>1310</v>
      </c>
      <c r="O2924" s="1">
        <v>3182</v>
      </c>
      <c r="P2924" s="1">
        <v>1872</v>
      </c>
      <c r="Q2924" s="1" t="s">
        <v>42</v>
      </c>
      <c r="S2924" s="1" t="s">
        <v>42</v>
      </c>
      <c r="T2924" s="1" t="s">
        <v>273</v>
      </c>
      <c r="AA2924" s="1">
        <v>2104722.75</v>
      </c>
      <c r="AB2924" s="1" t="s">
        <v>1802</v>
      </c>
      <c r="AC2924" s="5">
        <v>44376</v>
      </c>
      <c r="AF2924" s="1">
        <v>10014</v>
      </c>
      <c r="AI2924" s="1" t="s">
        <v>48</v>
      </c>
      <c r="AJ2924" s="1">
        <v>2019</v>
      </c>
      <c r="AK2924" s="1" t="s">
        <v>49</v>
      </c>
      <c r="AL2924" s="1">
        <v>161</v>
      </c>
    </row>
    <row r="2925" spans="1:38" x14ac:dyDescent="0.2">
      <c r="A2925" s="2" t="str">
        <f>HYPERLINK("https://www.compass.com/listing/200-east-94th-street-unit-508-manhattan-ny-10128/696271196711981161/","200 E 94th St, Unit 508")</f>
        <v>200 E 94th St, Unit 508</v>
      </c>
      <c r="B2925" s="2" t="str">
        <f t="shared" ref="B2925:B2927" si="490">HYPERLINK("https://www.compass.com/building/carnegie-park-condominium-manhattan-ny/282049797358118613/","Carnegie Park Condominium")</f>
        <v>Carnegie Park Condominium</v>
      </c>
      <c r="C2925" s="1" t="s">
        <v>82</v>
      </c>
      <c r="D2925" s="1" t="s">
        <v>41</v>
      </c>
      <c r="E2925" s="3">
        <v>1650000</v>
      </c>
      <c r="F2925" s="1">
        <v>1333.8722716248899</v>
      </c>
      <c r="G2925" s="1">
        <v>5</v>
      </c>
      <c r="H2925" s="1">
        <v>2</v>
      </c>
      <c r="I2925" s="1">
        <v>2</v>
      </c>
      <c r="J2925" s="1">
        <v>2</v>
      </c>
      <c r="K2925" s="1">
        <v>2</v>
      </c>
      <c r="M2925" s="4">
        <v>1237</v>
      </c>
      <c r="N2925" s="1">
        <v>1440.05</v>
      </c>
      <c r="O2925" s="1">
        <v>2668.05</v>
      </c>
      <c r="P2925" s="1">
        <v>1228</v>
      </c>
      <c r="Q2925" s="1" t="s">
        <v>42</v>
      </c>
      <c r="S2925" s="1" t="s">
        <v>42</v>
      </c>
      <c r="T2925" s="1" t="s">
        <v>273</v>
      </c>
      <c r="V2925" s="5">
        <v>44294</v>
      </c>
      <c r="W2925" s="5">
        <v>44212</v>
      </c>
      <c r="X2925" s="1">
        <v>1695000</v>
      </c>
      <c r="Y2925" s="1">
        <v>1695000</v>
      </c>
      <c r="Z2925" s="5">
        <v>44212</v>
      </c>
      <c r="AA2925" s="1">
        <v>1650000</v>
      </c>
      <c r="AB2925" s="1" t="s">
        <v>1803</v>
      </c>
      <c r="AC2925" s="5">
        <v>44292</v>
      </c>
      <c r="AF2925" s="1">
        <v>10128</v>
      </c>
      <c r="AI2925" s="1" t="s">
        <v>185</v>
      </c>
      <c r="AJ2925" s="1">
        <v>1986</v>
      </c>
      <c r="AK2925" s="1" t="s">
        <v>46</v>
      </c>
      <c r="AL2925" s="1">
        <v>287</v>
      </c>
    </row>
    <row r="2926" spans="1:38" x14ac:dyDescent="0.2">
      <c r="A2926" s="2" t="str">
        <f>HYPERLINK("https://www.compass.com/listing/200-east-94th-street-unit-915-manhattan-ny-10128/439095077483333089/","200 E 94th St, Unit 915")</f>
        <v>200 E 94th St, Unit 915</v>
      </c>
      <c r="B2926" s="2" t="str">
        <f t="shared" si="490"/>
        <v>Carnegie Park Condominium</v>
      </c>
      <c r="C2926" s="1" t="s">
        <v>82</v>
      </c>
      <c r="D2926" s="1" t="s">
        <v>41</v>
      </c>
      <c r="E2926" s="3">
        <v>1567502</v>
      </c>
      <c r="F2926" s="1">
        <v>1456.7861338289899</v>
      </c>
      <c r="G2926" s="1">
        <v>4</v>
      </c>
      <c r="H2926" s="1">
        <v>2</v>
      </c>
      <c r="I2926" s="1">
        <v>2</v>
      </c>
      <c r="J2926" s="1">
        <v>2</v>
      </c>
      <c r="K2926" s="1">
        <v>2</v>
      </c>
      <c r="M2926" s="4">
        <v>1076</v>
      </c>
      <c r="N2926" s="1">
        <v>1220</v>
      </c>
      <c r="O2926" s="1">
        <v>2537</v>
      </c>
      <c r="P2926" s="1">
        <v>1317</v>
      </c>
      <c r="Q2926" s="1" t="s">
        <v>42</v>
      </c>
      <c r="S2926" s="1" t="s">
        <v>42</v>
      </c>
      <c r="T2926" s="1" t="s">
        <v>273</v>
      </c>
      <c r="V2926" s="5">
        <v>43957</v>
      </c>
      <c r="W2926" s="5">
        <v>43857</v>
      </c>
      <c r="X2926" s="1">
        <v>1695000</v>
      </c>
      <c r="Y2926" s="1">
        <v>1695000</v>
      </c>
      <c r="Z2926" s="5">
        <v>43858</v>
      </c>
      <c r="AA2926" s="1">
        <v>1567501.88</v>
      </c>
      <c r="AB2926" s="1" t="s">
        <v>1804</v>
      </c>
      <c r="AC2926" s="5">
        <v>43955</v>
      </c>
      <c r="AF2926" s="1">
        <v>10128</v>
      </c>
      <c r="AI2926" s="1" t="s">
        <v>185</v>
      </c>
      <c r="AJ2926" s="1">
        <v>1986</v>
      </c>
      <c r="AK2926" s="1" t="s">
        <v>108</v>
      </c>
      <c r="AL2926" s="1">
        <v>287</v>
      </c>
    </row>
    <row r="2927" spans="1:38" x14ac:dyDescent="0.2">
      <c r="A2927" s="2" t="str">
        <f>HYPERLINK("https://www.compass.com/listing/200-east-94th-street-unit-1015-manhattan-ny-10128/441218737778582777/","200 E 94th St, Unit 1015")</f>
        <v>200 E 94th St, Unit 1015</v>
      </c>
      <c r="B2927" s="2" t="str">
        <f t="shared" si="490"/>
        <v>Carnegie Park Condominium</v>
      </c>
      <c r="C2927" s="1" t="s">
        <v>82</v>
      </c>
      <c r="D2927" s="1" t="s">
        <v>41</v>
      </c>
      <c r="E2927" s="3">
        <v>1565000</v>
      </c>
      <c r="F2927" s="1">
        <v>1454.4609665427499</v>
      </c>
      <c r="G2927" s="1">
        <v>4</v>
      </c>
      <c r="H2927" s="1">
        <v>2</v>
      </c>
      <c r="I2927" s="1">
        <v>2</v>
      </c>
      <c r="J2927" s="1">
        <v>2</v>
      </c>
      <c r="K2927" s="1">
        <v>2</v>
      </c>
      <c r="M2927" s="4">
        <v>1076</v>
      </c>
      <c r="N2927" s="1">
        <v>1253</v>
      </c>
      <c r="O2927" s="1">
        <v>2568</v>
      </c>
      <c r="P2927" s="1">
        <v>1315</v>
      </c>
      <c r="Q2927" s="1" t="s">
        <v>42</v>
      </c>
      <c r="S2927" s="1" t="s">
        <v>42</v>
      </c>
      <c r="T2927" s="1" t="s">
        <v>273</v>
      </c>
      <c r="U2927" s="1">
        <v>35</v>
      </c>
      <c r="V2927" s="5">
        <v>44067</v>
      </c>
      <c r="W2927" s="5">
        <v>43860</v>
      </c>
      <c r="X2927" s="1">
        <v>1695000</v>
      </c>
      <c r="Y2927" s="1">
        <v>1695000</v>
      </c>
      <c r="Z2927" s="5">
        <v>43896</v>
      </c>
      <c r="AA2927" s="1">
        <v>1565000</v>
      </c>
      <c r="AB2927" s="1" t="s">
        <v>1805</v>
      </c>
      <c r="AC2927" s="5">
        <v>44015</v>
      </c>
      <c r="AF2927" s="1">
        <v>10128</v>
      </c>
      <c r="AI2927" s="1" t="s">
        <v>185</v>
      </c>
      <c r="AJ2927" s="1">
        <v>1986</v>
      </c>
      <c r="AK2927" s="1" t="s">
        <v>108</v>
      </c>
      <c r="AL2927" s="1">
        <v>287</v>
      </c>
    </row>
    <row r="2928" spans="1:38" x14ac:dyDescent="0.2">
      <c r="A2928" s="2" t="str">
        <f>HYPERLINK("https://www.compass.com/listing/360-east-89th-street-unit-18b-manhattan-ny-10128/182550806199906353/","360 E 89th St, Unit 18B")</f>
        <v>360 E 89th St, Unit 18B</v>
      </c>
      <c r="B2928" s="2" t="str">
        <f t="shared" ref="B2928:B2932" si="491">HYPERLINK("https://www.compass.com/building/citizen360-manhattan-ny/282052027553444853/","Citizen360")</f>
        <v>Citizen360</v>
      </c>
      <c r="C2928" s="1" t="s">
        <v>82</v>
      </c>
      <c r="D2928" s="1" t="s">
        <v>41</v>
      </c>
      <c r="E2928" s="3">
        <v>2350000</v>
      </c>
      <c r="F2928" s="1">
        <v>1578.24042981867</v>
      </c>
      <c r="G2928" s="1">
        <v>4</v>
      </c>
      <c r="H2928" s="1">
        <v>2</v>
      </c>
      <c r="I2928" s="1">
        <v>2</v>
      </c>
      <c r="J2928" s="1">
        <v>2</v>
      </c>
      <c r="K2928" s="1">
        <v>2</v>
      </c>
      <c r="M2928" s="4">
        <v>1489</v>
      </c>
      <c r="N2928" s="1">
        <v>1476.84</v>
      </c>
      <c r="O2928" s="1">
        <v>2278.62</v>
      </c>
      <c r="P2928" s="1">
        <v>801.75</v>
      </c>
      <c r="Q2928" s="1" t="s">
        <v>42</v>
      </c>
      <c r="S2928" s="1" t="s">
        <v>42</v>
      </c>
      <c r="T2928" s="1" t="s">
        <v>273</v>
      </c>
      <c r="U2928" s="1">
        <v>35</v>
      </c>
      <c r="V2928" s="5">
        <v>43694</v>
      </c>
      <c r="W2928" s="5">
        <v>43504</v>
      </c>
      <c r="X2928" s="1">
        <v>2600000</v>
      </c>
      <c r="Y2928" s="1">
        <v>2475000</v>
      </c>
      <c r="Z2928" s="5">
        <v>43546</v>
      </c>
      <c r="AA2928" s="1">
        <v>2350000</v>
      </c>
      <c r="AB2928" s="1" t="s">
        <v>1806</v>
      </c>
      <c r="AC2928" s="5">
        <v>43640</v>
      </c>
      <c r="AF2928" s="1">
        <v>10128</v>
      </c>
      <c r="AJ2928" s="1">
        <v>2017</v>
      </c>
      <c r="AK2928" s="1" t="s">
        <v>108</v>
      </c>
      <c r="AL2928" s="1">
        <v>82</v>
      </c>
    </row>
    <row r="2929" spans="1:38" x14ac:dyDescent="0.2">
      <c r="A2929" s="2" t="str">
        <f>HYPERLINK("https://www.compass.com/listing/360-east-89th-street-unit-19b-manhattan-ny-10128/207797984455374481/","360 E 89th St, Unit 19B")</f>
        <v>360 E 89th St, Unit 19B</v>
      </c>
      <c r="B2929" s="2" t="str">
        <f t="shared" si="491"/>
        <v>Citizen360</v>
      </c>
      <c r="C2929" s="1" t="s">
        <v>82</v>
      </c>
      <c r="D2929" s="1" t="s">
        <v>41</v>
      </c>
      <c r="E2929" s="3">
        <v>2450000</v>
      </c>
      <c r="F2929" s="1">
        <v>1645.3995970449901</v>
      </c>
      <c r="G2929" s="1">
        <v>4</v>
      </c>
      <c r="H2929" s="1">
        <v>2</v>
      </c>
      <c r="I2929" s="1">
        <v>2</v>
      </c>
      <c r="J2929" s="1">
        <v>2</v>
      </c>
      <c r="K2929" s="1">
        <v>2</v>
      </c>
      <c r="M2929" s="4">
        <v>1489</v>
      </c>
      <c r="N2929" s="1">
        <v>1484</v>
      </c>
      <c r="O2929" s="1">
        <v>2289</v>
      </c>
      <c r="P2929" s="1">
        <v>805</v>
      </c>
      <c r="Q2929" s="1" t="s">
        <v>42</v>
      </c>
      <c r="S2929" s="1" t="s">
        <v>42</v>
      </c>
      <c r="T2929" s="1" t="s">
        <v>273</v>
      </c>
      <c r="U2929" s="1">
        <v>39</v>
      </c>
      <c r="V2929" s="5">
        <v>43622</v>
      </c>
      <c r="W2929" s="5">
        <v>43538</v>
      </c>
      <c r="X2929" s="1">
        <v>2625000</v>
      </c>
      <c r="Y2929" s="1">
        <v>2625000</v>
      </c>
      <c r="Z2929" s="5">
        <v>43577</v>
      </c>
      <c r="AA2929" s="1">
        <v>2450000</v>
      </c>
      <c r="AB2929" s="1" t="s">
        <v>1807</v>
      </c>
      <c r="AC2929" s="5">
        <v>43601</v>
      </c>
      <c r="AF2929" s="1">
        <v>10128</v>
      </c>
      <c r="AJ2929" s="1">
        <v>2017</v>
      </c>
      <c r="AK2929" s="1" t="s">
        <v>108</v>
      </c>
      <c r="AL2929" s="1">
        <v>82</v>
      </c>
    </row>
    <row r="2930" spans="1:38" x14ac:dyDescent="0.2">
      <c r="A2930" s="2" t="str">
        <f>HYPERLINK("https://www.compass.com/listing/360-east-89th-street-unit-17b-manhattan-ny-10128/26850088244542641/","360 E 89th St, Unit 17B")</f>
        <v>360 E 89th St, Unit 17B</v>
      </c>
      <c r="B2930" s="2" t="str">
        <f t="shared" si="491"/>
        <v>Citizen360</v>
      </c>
      <c r="C2930" s="1" t="s">
        <v>82</v>
      </c>
      <c r="D2930" s="1" t="s">
        <v>41</v>
      </c>
      <c r="E2930" s="3">
        <v>2399999</v>
      </c>
      <c r="F2930" s="1">
        <v>1611.81934184016</v>
      </c>
      <c r="G2930" s="1">
        <v>4</v>
      </c>
      <c r="H2930" s="1">
        <v>2</v>
      </c>
      <c r="I2930" s="1">
        <v>2</v>
      </c>
      <c r="J2930" s="1">
        <v>2</v>
      </c>
      <c r="K2930" s="1">
        <v>2</v>
      </c>
      <c r="M2930" s="4">
        <v>1489</v>
      </c>
      <c r="N2930" s="1">
        <v>1470</v>
      </c>
      <c r="O2930" s="1">
        <v>2260</v>
      </c>
      <c r="P2930" s="1">
        <v>790</v>
      </c>
      <c r="Q2930" s="1" t="s">
        <v>42</v>
      </c>
      <c r="S2930" s="1" t="s">
        <v>42</v>
      </c>
      <c r="T2930" s="1" t="s">
        <v>273</v>
      </c>
      <c r="U2930" s="1">
        <v>169</v>
      </c>
      <c r="V2930" s="5">
        <v>43637</v>
      </c>
      <c r="W2930" s="5">
        <v>43370</v>
      </c>
      <c r="X2930" s="1">
        <v>2675000</v>
      </c>
      <c r="Y2930" s="1">
        <v>2450000</v>
      </c>
      <c r="Z2930" s="5">
        <v>43544</v>
      </c>
      <c r="AA2930" s="1">
        <v>2399999</v>
      </c>
      <c r="AB2930" s="1" t="s">
        <v>1808</v>
      </c>
      <c r="AC2930" s="5">
        <v>43558</v>
      </c>
      <c r="AF2930" s="1">
        <v>10128</v>
      </c>
      <c r="AJ2930" s="1">
        <v>2017</v>
      </c>
      <c r="AK2930" s="1" t="s">
        <v>108</v>
      </c>
      <c r="AL2930" s="1">
        <v>82</v>
      </c>
    </row>
    <row r="2931" spans="1:38" x14ac:dyDescent="0.2">
      <c r="A2931" s="2" t="str">
        <f>HYPERLINK("https://www.compass.com/listing/360-east-89th-street-unit-4e-manhattan-ny-10128/29424446402044913/","360 E 89th St, Unit 4E")</f>
        <v>360 E 89th St, Unit 4E</v>
      </c>
      <c r="B2931" s="2" t="str">
        <f t="shared" si="491"/>
        <v>Citizen360</v>
      </c>
      <c r="C2931" s="1" t="s">
        <v>82</v>
      </c>
      <c r="D2931" s="1" t="s">
        <v>41</v>
      </c>
      <c r="E2931" s="3">
        <v>2329451</v>
      </c>
      <c r="F2931" s="1">
        <v>1461.38707653701</v>
      </c>
      <c r="G2931" s="1">
        <v>4</v>
      </c>
      <c r="H2931" s="1">
        <v>2</v>
      </c>
      <c r="I2931" s="1">
        <v>2</v>
      </c>
      <c r="J2931" s="1">
        <v>2.5</v>
      </c>
      <c r="K2931" s="1">
        <v>2</v>
      </c>
      <c r="L2931" s="1">
        <v>1</v>
      </c>
      <c r="M2931" s="4">
        <v>1594</v>
      </c>
      <c r="N2931" s="1">
        <v>1485</v>
      </c>
      <c r="O2931" s="1">
        <v>3213</v>
      </c>
      <c r="P2931" s="1">
        <v>1728</v>
      </c>
      <c r="Q2931" s="1" t="s">
        <v>42</v>
      </c>
      <c r="S2931" s="1" t="s">
        <v>42</v>
      </c>
      <c r="T2931" s="1" t="s">
        <v>273</v>
      </c>
      <c r="U2931" s="1">
        <v>60</v>
      </c>
      <c r="V2931" s="5">
        <v>43641</v>
      </c>
      <c r="W2931" s="5">
        <v>42993</v>
      </c>
      <c r="X2931" s="1">
        <v>2285000</v>
      </c>
      <c r="Y2931" s="1">
        <v>2285000</v>
      </c>
      <c r="Z2931" s="5">
        <v>43053</v>
      </c>
      <c r="AA2931" s="1">
        <v>2329451</v>
      </c>
      <c r="AB2931" s="1" t="s">
        <v>1809</v>
      </c>
      <c r="AC2931" s="5">
        <v>43215</v>
      </c>
      <c r="AF2931" s="1">
        <v>10128</v>
      </c>
      <c r="AJ2931" s="1">
        <v>2017</v>
      </c>
      <c r="AK2931" s="1" t="s">
        <v>108</v>
      </c>
      <c r="AL2931" s="1">
        <v>82</v>
      </c>
    </row>
    <row r="2932" spans="1:38" x14ac:dyDescent="0.2">
      <c r="A2932" s="2" t="str">
        <f>HYPERLINK("https://www.compass.com/listing/360-east-89th-street-unit-20b-manhattan-ny-10128/4852260681946245329/","360 E 89th St, Unit 20B")</f>
        <v>360 E 89th St, Unit 20B</v>
      </c>
      <c r="B2932" s="2" t="str">
        <f t="shared" si="491"/>
        <v>Citizen360</v>
      </c>
      <c r="C2932" s="1" t="s">
        <v>82</v>
      </c>
      <c r="D2932" s="1" t="s">
        <v>41</v>
      </c>
      <c r="E2932" s="3">
        <v>2450000</v>
      </c>
      <c r="F2932" s="1">
        <v>1624.66843501326</v>
      </c>
      <c r="G2932" s="1">
        <v>4</v>
      </c>
      <c r="H2932" s="1">
        <v>2</v>
      </c>
      <c r="I2932" s="1">
        <v>2</v>
      </c>
      <c r="J2932" s="1">
        <v>2</v>
      </c>
      <c r="K2932" s="1">
        <v>2</v>
      </c>
      <c r="M2932" s="4">
        <v>1508</v>
      </c>
      <c r="N2932" s="1">
        <v>1507</v>
      </c>
      <c r="O2932" s="1">
        <v>3259</v>
      </c>
      <c r="P2932" s="1">
        <v>1752</v>
      </c>
      <c r="Q2932" s="1" t="s">
        <v>42</v>
      </c>
      <c r="S2932" s="1" t="s">
        <v>42</v>
      </c>
      <c r="T2932" s="1" t="s">
        <v>273</v>
      </c>
      <c r="U2932" s="1">
        <v>78</v>
      </c>
      <c r="V2932" s="5">
        <v>43694</v>
      </c>
      <c r="W2932" s="5">
        <v>42402</v>
      </c>
      <c r="X2932" s="1">
        <v>2750000</v>
      </c>
      <c r="Y2932" s="1">
        <v>2750000</v>
      </c>
      <c r="Z2932" s="5">
        <v>43581</v>
      </c>
      <c r="AA2932" s="1">
        <v>2450000</v>
      </c>
      <c r="AB2932" s="1" t="s">
        <v>1810</v>
      </c>
      <c r="AC2932" s="5">
        <v>43637</v>
      </c>
      <c r="AF2932" s="1">
        <v>10128</v>
      </c>
      <c r="AJ2932" s="1">
        <v>2017</v>
      </c>
      <c r="AK2932" s="1" t="s">
        <v>108</v>
      </c>
      <c r="AL2932" s="1">
        <v>82</v>
      </c>
    </row>
    <row r="2933" spans="1:38" x14ac:dyDescent="0.2">
      <c r="A2933" s="2" t="str">
        <f>HYPERLINK("https://www.compass.com/listing/200-east-94th-street-unit-1112-manhattan-ny-10128/785030000389888081/","200 E 94th St, Unit 1112")</f>
        <v>200 E 94th St, Unit 1112</v>
      </c>
      <c r="B2933" s="2" t="str">
        <f>HYPERLINK("https://www.compass.com/building/carnegie-park-condominium-manhattan-ny/282049797358118613/","Carnegie Park Condominium")</f>
        <v>Carnegie Park Condominium</v>
      </c>
      <c r="C2933" s="1" t="s">
        <v>82</v>
      </c>
      <c r="D2933" s="1" t="s">
        <v>41</v>
      </c>
      <c r="E2933" s="3">
        <v>1040000</v>
      </c>
      <c r="F2933" s="1">
        <v>1475.1773049645301</v>
      </c>
      <c r="G2933" s="1">
        <v>1</v>
      </c>
      <c r="H2933" s="1">
        <v>1</v>
      </c>
      <c r="J2933" s="1">
        <v>1</v>
      </c>
      <c r="M2933" s="1">
        <v>705</v>
      </c>
      <c r="N2933" s="1">
        <v>839</v>
      </c>
      <c r="O2933" s="1">
        <v>1669</v>
      </c>
      <c r="P2933" s="1">
        <v>830</v>
      </c>
      <c r="Q2933" s="1" t="s">
        <v>42</v>
      </c>
      <c r="S2933" s="1" t="s">
        <v>42</v>
      </c>
      <c r="T2933" s="1" t="s">
        <v>273</v>
      </c>
      <c r="U2933" s="1">
        <v>42</v>
      </c>
      <c r="V2933" s="5">
        <v>44342</v>
      </c>
      <c r="W2933" s="5">
        <v>44239</v>
      </c>
      <c r="X2933" s="1">
        <v>1050000</v>
      </c>
      <c r="Y2933" s="1">
        <v>1050000</v>
      </c>
      <c r="Z2933" s="5">
        <v>44281</v>
      </c>
      <c r="AA2933" s="1">
        <v>1040000</v>
      </c>
      <c r="AB2933" s="1" t="s">
        <v>1811</v>
      </c>
      <c r="AC2933" s="5">
        <v>44321</v>
      </c>
      <c r="AF2933" s="1">
        <v>10128</v>
      </c>
      <c r="AI2933" s="1" t="s">
        <v>163</v>
      </c>
      <c r="AJ2933" s="1">
        <v>1986</v>
      </c>
      <c r="AK2933" s="1" t="s">
        <v>49</v>
      </c>
      <c r="AL2933" s="1">
        <v>287</v>
      </c>
    </row>
    <row r="2934" spans="1:38" x14ac:dyDescent="0.2">
      <c r="A2934" s="2" t="str">
        <f>HYPERLINK("https://www.compass.com/listing/90-lexington-avenue-unit-3a-manhattan-ny-10016/29378545969050129/","90 Lexington Ave, Unit 3A")</f>
        <v>90 Lexington Ave, Unit 3A</v>
      </c>
      <c r="B2934" s="2" t="str">
        <f t="shared" ref="B2934:B2935" si="492">HYPERLINK("https://www.compass.com/building/88-90-lexington-avenue-manhattan-ny/281941431524842901/","88 &amp; 90 Lexington Avenue")</f>
        <v>88 &amp; 90 Lexington Avenue</v>
      </c>
      <c r="C2934" s="1" t="s">
        <v>40</v>
      </c>
      <c r="D2934" s="1" t="s">
        <v>41</v>
      </c>
      <c r="E2934" s="3">
        <v>1890467</v>
      </c>
      <c r="F2934" s="1">
        <v>1595.33080168776</v>
      </c>
      <c r="G2934" s="1">
        <v>3</v>
      </c>
      <c r="H2934" s="1">
        <v>1</v>
      </c>
      <c r="I2934" s="1">
        <v>1</v>
      </c>
      <c r="J2934" s="1">
        <v>1.5</v>
      </c>
      <c r="K2934" s="1">
        <v>1</v>
      </c>
      <c r="L2934" s="1">
        <v>1</v>
      </c>
      <c r="M2934" s="4">
        <v>1185</v>
      </c>
      <c r="N2934" s="1">
        <v>1259</v>
      </c>
      <c r="O2934" s="1">
        <v>2823</v>
      </c>
      <c r="P2934" s="1">
        <v>1564</v>
      </c>
      <c r="Q2934" s="1" t="s">
        <v>42</v>
      </c>
      <c r="S2934" s="1" t="s">
        <v>42</v>
      </c>
      <c r="T2934" s="1" t="s">
        <v>273</v>
      </c>
      <c r="U2934" s="1">
        <v>47</v>
      </c>
      <c r="V2934" s="5">
        <v>43664</v>
      </c>
      <c r="W2934" s="5">
        <v>42754</v>
      </c>
      <c r="X2934" s="1">
        <v>1890000</v>
      </c>
      <c r="Y2934" s="1">
        <v>1890000</v>
      </c>
      <c r="Z2934" s="5">
        <v>42801</v>
      </c>
      <c r="AA2934" s="1">
        <v>1890467</v>
      </c>
      <c r="AB2934" s="1" t="s">
        <v>1812</v>
      </c>
      <c r="AC2934" s="5">
        <v>42843</v>
      </c>
      <c r="AF2934" s="1">
        <v>10016</v>
      </c>
      <c r="AI2934" s="1" t="s">
        <v>122</v>
      </c>
      <c r="AJ2934" s="1">
        <v>1957</v>
      </c>
      <c r="AK2934" s="1" t="s">
        <v>46</v>
      </c>
      <c r="AL2934" s="1">
        <v>49</v>
      </c>
    </row>
    <row r="2935" spans="1:38" x14ac:dyDescent="0.2">
      <c r="A2935" s="2" t="str">
        <f>HYPERLINK("https://www.compass.com/listing/90-lexington-avenue-unit-8a-manhattan-ny-10016/29378554064056977/","90 Lexington Ave, Unit 8A")</f>
        <v>90 Lexington Ave, Unit 8A</v>
      </c>
      <c r="B2935" s="2" t="str">
        <f t="shared" si="492"/>
        <v>88 &amp; 90 Lexington Avenue</v>
      </c>
      <c r="C2935" s="1" t="s">
        <v>40</v>
      </c>
      <c r="D2935" s="1" t="s">
        <v>41</v>
      </c>
      <c r="E2935" s="3">
        <v>2138983</v>
      </c>
      <c r="F2935" s="1">
        <v>1805.0489451476701</v>
      </c>
      <c r="G2935" s="1">
        <v>3</v>
      </c>
      <c r="H2935" s="1">
        <v>1</v>
      </c>
      <c r="I2935" s="1">
        <v>1</v>
      </c>
      <c r="J2935" s="1">
        <v>1</v>
      </c>
      <c r="K2935" s="1">
        <v>1</v>
      </c>
      <c r="M2935" s="4">
        <v>1185</v>
      </c>
      <c r="N2935" s="1">
        <v>1290</v>
      </c>
      <c r="O2935" s="1">
        <v>2560</v>
      </c>
      <c r="P2935" s="1">
        <v>1270</v>
      </c>
      <c r="Q2935" s="1" t="s">
        <v>42</v>
      </c>
      <c r="S2935" s="1" t="s">
        <v>42</v>
      </c>
      <c r="T2935" s="1" t="s">
        <v>273</v>
      </c>
      <c r="V2935" s="5">
        <v>43675</v>
      </c>
      <c r="W2935" s="5">
        <v>42392</v>
      </c>
      <c r="X2935" s="1">
        <v>2175000</v>
      </c>
      <c r="Y2935" s="1">
        <v>2175000</v>
      </c>
      <c r="Z2935" s="5">
        <v>42392</v>
      </c>
      <c r="AA2935" s="1">
        <v>2138983</v>
      </c>
      <c r="AB2935" s="1" t="s">
        <v>1813</v>
      </c>
      <c r="AC2935" s="5">
        <v>42558</v>
      </c>
      <c r="AF2935" s="1">
        <v>10016</v>
      </c>
      <c r="AI2935" s="1" t="s">
        <v>122</v>
      </c>
      <c r="AJ2935" s="1">
        <v>1957</v>
      </c>
      <c r="AK2935" s="1" t="s">
        <v>46</v>
      </c>
      <c r="AL2935" s="1">
        <v>49</v>
      </c>
    </row>
    <row r="2936" spans="1:38" x14ac:dyDescent="0.2">
      <c r="A2936" s="2" t="str">
        <f>HYPERLINK("https://www.compass.com/listing/88-lexington-avenue-unit-1002-manhattan-ny-10016/29507142079768865/","88 Lexington Ave, Unit 1002")</f>
        <v>88 Lexington Ave, Unit 1002</v>
      </c>
      <c r="B2936" s="2" t="str">
        <f>HYPERLINK("https://www.compass.com/building/88-90-lexington-avenue-manhattan-ny/281903945159296309/","88 &amp; 90 Lexington Avenue")</f>
        <v>88 &amp; 90 Lexington Avenue</v>
      </c>
      <c r="C2936" s="1" t="s">
        <v>40</v>
      </c>
      <c r="D2936" s="1" t="s">
        <v>41</v>
      </c>
      <c r="E2936" s="3">
        <v>1036652</v>
      </c>
      <c r="F2936" s="1">
        <v>1300.6919698870699</v>
      </c>
      <c r="G2936" s="1">
        <v>2</v>
      </c>
      <c r="H2936" s="1" t="s">
        <v>99</v>
      </c>
      <c r="I2936" s="1">
        <v>1</v>
      </c>
      <c r="J2936" s="1">
        <v>1</v>
      </c>
      <c r="K2936" s="1">
        <v>1</v>
      </c>
      <c r="M2936" s="1">
        <v>797</v>
      </c>
      <c r="N2936" s="1">
        <v>786</v>
      </c>
      <c r="O2936" s="1">
        <v>2346</v>
      </c>
      <c r="P2936" s="1">
        <v>1560</v>
      </c>
      <c r="Q2936" s="1" t="s">
        <v>42</v>
      </c>
      <c r="S2936" s="1" t="s">
        <v>42</v>
      </c>
      <c r="T2936" s="1" t="s">
        <v>273</v>
      </c>
      <c r="U2936" s="1">
        <v>677</v>
      </c>
      <c r="V2936" s="5">
        <v>43904</v>
      </c>
      <c r="W2936" s="5">
        <v>43224</v>
      </c>
      <c r="X2936" s="1">
        <v>1250000</v>
      </c>
      <c r="Y2936" s="1">
        <v>1250000</v>
      </c>
      <c r="Z2936" s="5">
        <v>43902</v>
      </c>
      <c r="AA2936" s="1">
        <v>1036651.5</v>
      </c>
      <c r="AB2936" s="1" t="s">
        <v>1814</v>
      </c>
      <c r="AC2936" s="5">
        <v>43902</v>
      </c>
      <c r="AF2936" s="1">
        <v>10016</v>
      </c>
      <c r="AI2936" s="1" t="s">
        <v>114</v>
      </c>
      <c r="AJ2936" s="1">
        <v>1927</v>
      </c>
      <c r="AK2936" s="1" t="s">
        <v>46</v>
      </c>
      <c r="AL2936" s="1">
        <v>70</v>
      </c>
    </row>
    <row r="2937" spans="1:38" x14ac:dyDescent="0.2">
      <c r="A2937" s="2" t="str">
        <f>HYPERLINK("https://www.compass.com/listing/200-east-94th-street-unit-2415-manhattan-ny-10128/399261779175152417/","200 E 94th St, Unit 2415")</f>
        <v>200 E 94th St, Unit 2415</v>
      </c>
      <c r="B2937" s="2" t="str">
        <f t="shared" ref="B2937:B2939" si="493">HYPERLINK("https://www.compass.com/building/carnegie-park-condominium-manhattan-ny/282049797358118613/","Carnegie Park Condominium")</f>
        <v>Carnegie Park Condominium</v>
      </c>
      <c r="C2937" s="1" t="s">
        <v>82</v>
      </c>
      <c r="D2937" s="1" t="s">
        <v>41</v>
      </c>
      <c r="E2937" s="3">
        <v>1725908</v>
      </c>
      <c r="F2937" s="1">
        <v>1604.0039684014801</v>
      </c>
      <c r="G2937" s="1">
        <v>4</v>
      </c>
      <c r="H2937" s="1">
        <v>2</v>
      </c>
      <c r="I2937" s="1">
        <v>2</v>
      </c>
      <c r="J2937" s="1">
        <v>2</v>
      </c>
      <c r="K2937" s="1">
        <v>2</v>
      </c>
      <c r="M2937" s="4">
        <v>1076</v>
      </c>
      <c r="N2937" s="1">
        <v>1252</v>
      </c>
      <c r="O2937" s="1">
        <v>2603</v>
      </c>
      <c r="P2937" s="1">
        <v>1351</v>
      </c>
      <c r="Q2937" s="1" t="s">
        <v>42</v>
      </c>
      <c r="S2937" s="1" t="s">
        <v>42</v>
      </c>
      <c r="T2937" s="1" t="s">
        <v>273</v>
      </c>
      <c r="U2937" s="1">
        <v>166</v>
      </c>
      <c r="V2937" s="5">
        <v>44072</v>
      </c>
      <c r="W2937" s="5">
        <v>43725</v>
      </c>
      <c r="X2937" s="1">
        <v>1825000</v>
      </c>
      <c r="Y2937" s="1">
        <v>1825000</v>
      </c>
      <c r="Z2937" s="5">
        <v>43892</v>
      </c>
      <c r="AA2937" s="1">
        <v>1725908.27</v>
      </c>
      <c r="AB2937" s="1" t="s">
        <v>1815</v>
      </c>
      <c r="AC2937" s="5">
        <v>43997</v>
      </c>
      <c r="AF2937" s="1">
        <v>10128</v>
      </c>
      <c r="AI2937" s="1" t="s">
        <v>185</v>
      </c>
      <c r="AJ2937" s="1">
        <v>1986</v>
      </c>
      <c r="AK2937" s="1" t="s">
        <v>46</v>
      </c>
      <c r="AL2937" s="1">
        <v>287</v>
      </c>
    </row>
    <row r="2938" spans="1:38" x14ac:dyDescent="0.2">
      <c r="A2938" s="2" t="str">
        <f>HYPERLINK("https://www.compass.com/listing/200-east-94th-street-unit-2211-manhattan-ny-10128/366621422692220817/","200 E 94th St, Unit 2211")</f>
        <v>200 E 94th St, Unit 2211</v>
      </c>
      <c r="B2938" s="2" t="str">
        <f t="shared" si="493"/>
        <v>Carnegie Park Condominium</v>
      </c>
      <c r="C2938" s="1" t="s">
        <v>82</v>
      </c>
      <c r="D2938" s="1" t="s">
        <v>41</v>
      </c>
      <c r="E2938" s="3">
        <v>1125000</v>
      </c>
      <c r="F2938" s="1">
        <v>1317.33021077283</v>
      </c>
      <c r="G2938" s="1">
        <v>3</v>
      </c>
      <c r="H2938" s="1">
        <v>1</v>
      </c>
      <c r="I2938" s="1">
        <v>1</v>
      </c>
      <c r="J2938" s="1">
        <v>1</v>
      </c>
      <c r="K2938" s="1">
        <v>1</v>
      </c>
      <c r="M2938" s="1">
        <v>854</v>
      </c>
      <c r="N2938" s="1">
        <v>1024</v>
      </c>
      <c r="O2938" s="1">
        <v>2099</v>
      </c>
      <c r="P2938" s="1">
        <v>1075</v>
      </c>
      <c r="Q2938" s="1" t="s">
        <v>42</v>
      </c>
      <c r="S2938" s="1" t="s">
        <v>42</v>
      </c>
      <c r="T2938" s="1" t="s">
        <v>273</v>
      </c>
      <c r="U2938" s="1">
        <v>448</v>
      </c>
      <c r="V2938" s="5">
        <v>44415</v>
      </c>
      <c r="W2938" s="5">
        <v>43725</v>
      </c>
      <c r="X2938" s="1">
        <v>1375000</v>
      </c>
      <c r="Y2938" s="1">
        <v>1195000</v>
      </c>
      <c r="Z2938" s="5">
        <v>44268</v>
      </c>
      <c r="AA2938" s="1">
        <v>1125000</v>
      </c>
      <c r="AB2938" s="1" t="s">
        <v>1816</v>
      </c>
      <c r="AC2938" s="5">
        <v>44327</v>
      </c>
      <c r="AF2938" s="1">
        <v>10128</v>
      </c>
      <c r="AI2938" s="1" t="s">
        <v>185</v>
      </c>
      <c r="AJ2938" s="1">
        <v>1986</v>
      </c>
      <c r="AK2938" s="1" t="s">
        <v>108</v>
      </c>
      <c r="AL2938" s="1">
        <v>287</v>
      </c>
    </row>
    <row r="2939" spans="1:38" x14ac:dyDescent="0.2">
      <c r="A2939" s="2" t="str">
        <f>HYPERLINK("https://www.compass.com/listing/200-east-94th-street-unit-321-manhattan-ny-10128/670950276633967025/","200 E 94th St, Unit 321")</f>
        <v>200 E 94th St, Unit 321</v>
      </c>
      <c r="B2939" s="2" t="str">
        <f t="shared" si="493"/>
        <v>Carnegie Park Condominium</v>
      </c>
      <c r="C2939" s="1" t="s">
        <v>82</v>
      </c>
      <c r="D2939" s="1" t="s">
        <v>41</v>
      </c>
      <c r="E2939" s="3">
        <v>2050000</v>
      </c>
      <c r="F2939" s="1">
        <v>1433.5664335664301</v>
      </c>
      <c r="G2939" s="1">
        <v>5</v>
      </c>
      <c r="H2939" s="1">
        <v>3</v>
      </c>
      <c r="I2939" s="1">
        <v>2</v>
      </c>
      <c r="J2939" s="1">
        <v>2</v>
      </c>
      <c r="K2939" s="1">
        <v>2</v>
      </c>
      <c r="M2939" s="4">
        <v>1430</v>
      </c>
      <c r="N2939" s="1">
        <v>1614</v>
      </c>
      <c r="O2939" s="1">
        <v>3328</v>
      </c>
      <c r="P2939" s="1">
        <v>1714</v>
      </c>
      <c r="Q2939" s="1" t="s">
        <v>42</v>
      </c>
      <c r="S2939" s="1" t="s">
        <v>42</v>
      </c>
      <c r="T2939" s="1" t="s">
        <v>273</v>
      </c>
      <c r="V2939" s="5">
        <v>44314</v>
      </c>
      <c r="W2939" s="5">
        <v>44177</v>
      </c>
      <c r="X2939" s="1">
        <v>2195000</v>
      </c>
      <c r="Y2939" s="1">
        <v>2195000</v>
      </c>
      <c r="Z2939" s="5">
        <v>44177</v>
      </c>
      <c r="AA2939" s="1">
        <v>2050000</v>
      </c>
      <c r="AB2939" s="1" t="s">
        <v>1817</v>
      </c>
      <c r="AC2939" s="5">
        <v>44309</v>
      </c>
      <c r="AF2939" s="1">
        <v>10128</v>
      </c>
      <c r="AI2939" s="1" t="s">
        <v>163</v>
      </c>
      <c r="AJ2939" s="1">
        <v>1986</v>
      </c>
      <c r="AK2939" s="1" t="s">
        <v>46</v>
      </c>
      <c r="AL2939" s="1">
        <v>287</v>
      </c>
    </row>
    <row r="2940" spans="1:38" x14ac:dyDescent="0.2">
      <c r="A2940" s="2" t="str">
        <f>HYPERLINK("https://www.compass.com/listing/360-east-89th-street-unit-6e-manhattan-ny-10128/29514379443699457/","360 E 89th St, Unit 6E")</f>
        <v>360 E 89th St, Unit 6E</v>
      </c>
      <c r="B2940" s="2" t="str">
        <f t="shared" ref="B2940:B2941" si="494">HYPERLINK("https://www.compass.com/building/citizen360-manhattan-ny/282052027553444853/","Citizen360")</f>
        <v>Citizen360</v>
      </c>
      <c r="C2940" s="1" t="s">
        <v>82</v>
      </c>
      <c r="D2940" s="1" t="s">
        <v>41</v>
      </c>
      <c r="E2940" s="3">
        <v>2300000</v>
      </c>
      <c r="F2940" s="1">
        <v>1442.9109159347499</v>
      </c>
      <c r="G2940" s="1">
        <v>4</v>
      </c>
      <c r="H2940" s="1">
        <v>2</v>
      </c>
      <c r="I2940" s="1">
        <v>2</v>
      </c>
      <c r="J2940" s="1">
        <v>2.5</v>
      </c>
      <c r="K2940" s="1">
        <v>2</v>
      </c>
      <c r="L2940" s="1">
        <v>1</v>
      </c>
      <c r="M2940" s="4">
        <v>1594</v>
      </c>
      <c r="N2940" s="1">
        <v>1500</v>
      </c>
      <c r="O2940" s="1">
        <v>2305</v>
      </c>
      <c r="P2940" s="1">
        <v>805</v>
      </c>
      <c r="Q2940" s="1" t="s">
        <v>42</v>
      </c>
      <c r="S2940" s="1" t="s">
        <v>42</v>
      </c>
      <c r="T2940" s="1" t="s">
        <v>273</v>
      </c>
      <c r="U2940" s="1">
        <v>182</v>
      </c>
      <c r="V2940" s="5">
        <v>43641</v>
      </c>
      <c r="W2940" s="5">
        <v>43096</v>
      </c>
      <c r="X2940" s="1">
        <v>2340000</v>
      </c>
      <c r="Y2940" s="1">
        <v>2300000</v>
      </c>
      <c r="Z2940" s="5">
        <v>43278</v>
      </c>
      <c r="AA2940" s="1">
        <v>2300000</v>
      </c>
      <c r="AB2940" s="1" t="s">
        <v>1818</v>
      </c>
      <c r="AC2940" s="5">
        <v>43343</v>
      </c>
      <c r="AF2940" s="1">
        <v>10128</v>
      </c>
      <c r="AJ2940" s="1">
        <v>2017</v>
      </c>
      <c r="AK2940" s="1" t="s">
        <v>46</v>
      </c>
      <c r="AL2940" s="1">
        <v>82</v>
      </c>
    </row>
    <row r="2941" spans="1:38" x14ac:dyDescent="0.2">
      <c r="A2941" s="2" t="str">
        <f>HYPERLINK("https://www.compass.com/listing/360-east-89th-street-unit-10c-manhattan-ny-10128/29514381641418433/","360 E 89th St, Unit 10C")</f>
        <v>360 E 89th St, Unit 10C</v>
      </c>
      <c r="B2941" s="2" t="str">
        <f t="shared" si="494"/>
        <v>Citizen360</v>
      </c>
      <c r="C2941" s="1" t="s">
        <v>82</v>
      </c>
      <c r="D2941" s="1" t="s">
        <v>41</v>
      </c>
      <c r="E2941" s="3">
        <v>2600000</v>
      </c>
      <c r="F2941" s="1">
        <v>1547.61904761904</v>
      </c>
      <c r="G2941" s="1">
        <v>4</v>
      </c>
      <c r="H2941" s="1">
        <v>2</v>
      </c>
      <c r="I2941" s="1">
        <v>3</v>
      </c>
      <c r="J2941" s="1">
        <v>2.5</v>
      </c>
      <c r="K2941" s="1">
        <v>2</v>
      </c>
      <c r="L2941" s="1">
        <v>1</v>
      </c>
      <c r="M2941" s="4">
        <v>1680</v>
      </c>
      <c r="N2941" s="1">
        <v>1612</v>
      </c>
      <c r="O2941" s="1">
        <v>2487</v>
      </c>
      <c r="P2941" s="1">
        <v>875</v>
      </c>
      <c r="Q2941" s="1" t="s">
        <v>42</v>
      </c>
      <c r="S2941" s="1" t="s">
        <v>42</v>
      </c>
      <c r="T2941" s="1" t="s">
        <v>273</v>
      </c>
      <c r="U2941" s="1">
        <v>210</v>
      </c>
      <c r="V2941" s="5">
        <v>43637</v>
      </c>
      <c r="W2941" s="5">
        <v>43159</v>
      </c>
      <c r="X2941" s="1">
        <v>2670000</v>
      </c>
      <c r="Y2941" s="1">
        <v>2670000</v>
      </c>
      <c r="Z2941" s="5">
        <v>43369</v>
      </c>
      <c r="AA2941" s="1">
        <v>2600000</v>
      </c>
      <c r="AB2941" s="1" t="s">
        <v>1819</v>
      </c>
      <c r="AC2941" s="5">
        <v>43439</v>
      </c>
      <c r="AF2941" s="1">
        <v>10128</v>
      </c>
      <c r="AJ2941" s="1">
        <v>2017</v>
      </c>
      <c r="AK2941" s="1" t="s">
        <v>46</v>
      </c>
      <c r="AL2941" s="1">
        <v>82</v>
      </c>
    </row>
    <row r="2942" spans="1:38" x14ac:dyDescent="0.2">
      <c r="A2942" s="2" t="str">
        <f>HYPERLINK("https://www.compass.com/listing/261-west-25th-street-unit-1c-manhattan-ny-10001/29511920314842705/","261 W 25th St, Unit 1C")</f>
        <v>261 W 25th St, Unit 1C</v>
      </c>
      <c r="B2942" s="2" t="str">
        <f>HYPERLINK("https://www.compass.com/building/the-seymour-manhattan-ny/281883155990840165/","The Seymour")</f>
        <v>The Seymour</v>
      </c>
      <c r="C2942" s="1" t="s">
        <v>62</v>
      </c>
      <c r="D2942" s="1" t="s">
        <v>41</v>
      </c>
      <c r="E2942" s="3">
        <v>1145000</v>
      </c>
      <c r="F2942" s="1">
        <v>1462.3243933588701</v>
      </c>
      <c r="G2942" s="1">
        <v>4</v>
      </c>
      <c r="H2942" s="1">
        <v>2</v>
      </c>
      <c r="I2942" s="1">
        <v>1</v>
      </c>
      <c r="M2942" s="1">
        <v>783</v>
      </c>
      <c r="N2942" s="1">
        <v>908</v>
      </c>
      <c r="O2942" s="1">
        <v>1903</v>
      </c>
      <c r="P2942" s="1">
        <v>995</v>
      </c>
      <c r="Q2942" s="1" t="s">
        <v>42</v>
      </c>
      <c r="S2942" s="1" t="s">
        <v>42</v>
      </c>
      <c r="T2942" s="1" t="s">
        <v>273</v>
      </c>
      <c r="V2942" s="5">
        <v>43670</v>
      </c>
      <c r="W2942" s="5">
        <v>41895</v>
      </c>
      <c r="X2942" s="1">
        <v>1145000</v>
      </c>
      <c r="Y2942" s="1">
        <v>1145000</v>
      </c>
      <c r="Z2942" s="5">
        <v>41895</v>
      </c>
      <c r="AA2942" s="1">
        <v>1145000</v>
      </c>
      <c r="AB2942" s="1" t="s">
        <v>275</v>
      </c>
      <c r="AC2942" s="5">
        <v>42505</v>
      </c>
      <c r="AF2942" s="1">
        <v>10001</v>
      </c>
      <c r="AI2942" s="1" t="s">
        <v>1561</v>
      </c>
      <c r="AJ2942" s="1">
        <v>2015</v>
      </c>
      <c r="AK2942" s="1" t="s">
        <v>46</v>
      </c>
      <c r="AL2942" s="1">
        <v>49</v>
      </c>
    </row>
    <row r="2943" spans="1:38" x14ac:dyDescent="0.2">
      <c r="A2943" s="2" t="str">
        <f>HYPERLINK("https://www.compass.com/listing/200-east-94th-street-unit-2217e-manhattan-ny-10128/649055380910509769/","200 E 94th St, Unit 2217E")</f>
        <v>200 E 94th St, Unit 2217E</v>
      </c>
      <c r="B2943" s="2" t="str">
        <f>HYPERLINK("https://www.compass.com/building/carnegie-park-condominium-manhattan-ny/282049797358118613/","Carnegie Park Condominium")</f>
        <v>Carnegie Park Condominium</v>
      </c>
      <c r="C2943" s="1" t="s">
        <v>82</v>
      </c>
      <c r="D2943" s="1" t="s">
        <v>41</v>
      </c>
      <c r="E2943" s="3">
        <v>3200000</v>
      </c>
      <c r="F2943" s="1">
        <v>1702.12765957446</v>
      </c>
      <c r="G2943" s="1">
        <v>7</v>
      </c>
      <c r="H2943" s="1">
        <v>3</v>
      </c>
      <c r="J2943" s="1">
        <v>3</v>
      </c>
      <c r="M2943" s="4">
        <v>1880</v>
      </c>
      <c r="N2943" s="1">
        <v>2197</v>
      </c>
      <c r="O2943" s="1">
        <v>4122</v>
      </c>
      <c r="P2943" s="1">
        <v>1925</v>
      </c>
      <c r="S2943" s="1" t="s">
        <v>42</v>
      </c>
      <c r="T2943" s="1" t="s">
        <v>273</v>
      </c>
      <c r="U2943" s="1">
        <v>67</v>
      </c>
      <c r="V2943" s="5">
        <v>44287</v>
      </c>
      <c r="W2943" s="5">
        <v>44116</v>
      </c>
      <c r="X2943" s="1">
        <v>3595000</v>
      </c>
      <c r="Y2943" s="1">
        <v>2995000</v>
      </c>
      <c r="Z2943" s="5">
        <v>44183</v>
      </c>
      <c r="AA2943" s="1">
        <v>3200000</v>
      </c>
      <c r="AB2943" s="1" t="s">
        <v>275</v>
      </c>
      <c r="AC2943" s="5">
        <v>44286</v>
      </c>
      <c r="AF2943" s="1">
        <v>10128</v>
      </c>
      <c r="AI2943" s="1" t="s">
        <v>163</v>
      </c>
      <c r="AJ2943" s="1">
        <v>1986</v>
      </c>
      <c r="AK2943" s="1" t="s">
        <v>49</v>
      </c>
      <c r="AL2943" s="1">
        <v>287</v>
      </c>
    </row>
    <row r="2944" spans="1:38" x14ac:dyDescent="0.2">
      <c r="A2944" s="2" t="str">
        <f>HYPERLINK("https://www.compass.com/listing/261-west-25th-street-unit-10c-manhattan-ny-10001/29372534507998049/","261 W 25th St, Unit 10C")</f>
        <v>261 W 25th St, Unit 10C</v>
      </c>
      <c r="B2944" s="2" t="str">
        <f>HYPERLINK("https://www.compass.com/building/the-seymour-manhattan-ny/281883155990840165/","The Seymour")</f>
        <v>The Seymour</v>
      </c>
      <c r="C2944" s="1" t="s">
        <v>62</v>
      </c>
      <c r="D2944" s="1" t="s">
        <v>41</v>
      </c>
      <c r="E2944" s="3">
        <v>3258400</v>
      </c>
      <c r="F2944" s="1">
        <v>2153.6021150032998</v>
      </c>
      <c r="G2944" s="1">
        <v>4</v>
      </c>
      <c r="H2944" s="1">
        <v>2</v>
      </c>
      <c r="I2944" s="1">
        <v>3</v>
      </c>
      <c r="J2944" s="1">
        <v>2.5</v>
      </c>
      <c r="M2944" s="4">
        <v>1513</v>
      </c>
      <c r="N2944" s="1">
        <v>1755</v>
      </c>
      <c r="O2944" s="1">
        <v>3677</v>
      </c>
      <c r="P2944" s="1">
        <v>1922</v>
      </c>
      <c r="Q2944" s="1" t="s">
        <v>42</v>
      </c>
      <c r="S2944" s="1" t="s">
        <v>42</v>
      </c>
      <c r="T2944" s="1" t="s">
        <v>273</v>
      </c>
      <c r="V2944" s="5">
        <v>43678</v>
      </c>
      <c r="W2944" s="5">
        <v>41888</v>
      </c>
      <c r="X2944" s="1">
        <v>3200000</v>
      </c>
      <c r="Y2944" s="1">
        <v>3200000</v>
      </c>
      <c r="Z2944" s="5">
        <v>41888</v>
      </c>
      <c r="AA2944" s="1">
        <v>3258400</v>
      </c>
      <c r="AB2944" s="1" t="s">
        <v>1820</v>
      </c>
      <c r="AC2944" s="5">
        <v>42450</v>
      </c>
      <c r="AF2944" s="1">
        <v>10001</v>
      </c>
      <c r="AI2944" s="1" t="s">
        <v>163</v>
      </c>
      <c r="AJ2944" s="1">
        <v>2015</v>
      </c>
      <c r="AK2944" s="1" t="s">
        <v>49</v>
      </c>
      <c r="AL2944" s="1">
        <v>49</v>
      </c>
    </row>
    <row r="2945" spans="1:38" x14ac:dyDescent="0.2">
      <c r="A2945" s="2" t="str">
        <f>HYPERLINK("https://www.compass.com/listing/200-east-94th-street-unit-601-manhattan-ny-10128/29507984866479969/","200 E 94th St, Unit 601")</f>
        <v>200 E 94th St, Unit 601</v>
      </c>
      <c r="B2945" s="2" t="str">
        <f>HYPERLINK("https://www.compass.com/building/carnegie-park-condominium-manhattan-ny/282049797358118613/","Carnegie Park Condominium")</f>
        <v>Carnegie Park Condominium</v>
      </c>
      <c r="C2945" s="1" t="s">
        <v>82</v>
      </c>
      <c r="D2945" s="1" t="s">
        <v>41</v>
      </c>
      <c r="E2945" s="3">
        <v>1675000</v>
      </c>
      <c r="F2945" s="1">
        <v>1598.28244274809</v>
      </c>
      <c r="G2945" s="1">
        <v>4</v>
      </c>
      <c r="H2945" s="1">
        <v>2</v>
      </c>
      <c r="I2945" s="1">
        <v>2</v>
      </c>
      <c r="J2945" s="1">
        <v>2</v>
      </c>
      <c r="M2945" s="4">
        <v>1048</v>
      </c>
      <c r="N2945" s="1">
        <v>1182</v>
      </c>
      <c r="O2945" s="1">
        <v>2192</v>
      </c>
      <c r="P2945" s="1">
        <v>1010</v>
      </c>
      <c r="Q2945" s="1" t="s">
        <v>42</v>
      </c>
      <c r="S2945" s="1" t="s">
        <v>42</v>
      </c>
      <c r="T2945" s="1" t="s">
        <v>273</v>
      </c>
      <c r="U2945" s="1">
        <v>36</v>
      </c>
      <c r="V2945" s="5">
        <v>43648</v>
      </c>
      <c r="W2945" s="5">
        <v>43258</v>
      </c>
      <c r="X2945" s="1">
        <v>1700000</v>
      </c>
      <c r="Y2945" s="1">
        <v>1700000</v>
      </c>
      <c r="Z2945" s="5">
        <v>43294</v>
      </c>
      <c r="AA2945" s="1">
        <v>1675000</v>
      </c>
      <c r="AB2945" s="1" t="s">
        <v>1821</v>
      </c>
      <c r="AC2945" s="5">
        <v>43329</v>
      </c>
      <c r="AF2945" s="1">
        <v>10128</v>
      </c>
      <c r="AI2945" s="1" t="s">
        <v>172</v>
      </c>
      <c r="AJ2945" s="1">
        <v>1986</v>
      </c>
      <c r="AK2945" s="1" t="s">
        <v>46</v>
      </c>
      <c r="AL2945" s="1">
        <v>287</v>
      </c>
    </row>
    <row r="2946" spans="1:38" x14ac:dyDescent="0.2">
      <c r="A2946" s="2" t="str">
        <f>HYPERLINK("https://www.compass.com/listing/88-lexington-avenue-unit-802-manhattan-ny-10016/21730657415755729/","88 Lexington Ave, Unit 802")</f>
        <v>88 Lexington Ave, Unit 802</v>
      </c>
      <c r="B2946" s="2" t="str">
        <f>HYPERLINK("https://www.compass.com/building/88-90-lexington-avenue-manhattan-ny/281903945159296309/","88 &amp; 90 Lexington Avenue")</f>
        <v>88 &amp; 90 Lexington Avenue</v>
      </c>
      <c r="C2946" s="1" t="s">
        <v>40</v>
      </c>
      <c r="D2946" s="1" t="s">
        <v>41</v>
      </c>
      <c r="E2946" s="3">
        <v>1186540</v>
      </c>
      <c r="F2946" s="1">
        <v>1488.7578419071499</v>
      </c>
      <c r="G2946" s="1">
        <v>2</v>
      </c>
      <c r="H2946" s="1" t="s">
        <v>99</v>
      </c>
      <c r="I2946" s="1">
        <v>1</v>
      </c>
      <c r="J2946" s="1">
        <v>1</v>
      </c>
      <c r="K2946" s="1">
        <v>1</v>
      </c>
      <c r="M2946" s="1">
        <v>797</v>
      </c>
      <c r="N2946" s="1">
        <v>797</v>
      </c>
      <c r="O2946" s="1">
        <v>2164</v>
      </c>
      <c r="P2946" s="1">
        <v>1367</v>
      </c>
      <c r="Q2946" s="1" t="s">
        <v>42</v>
      </c>
      <c r="S2946" s="1" t="s">
        <v>42</v>
      </c>
      <c r="T2946" s="1" t="s">
        <v>273</v>
      </c>
      <c r="V2946" s="5">
        <v>43641</v>
      </c>
      <c r="W2946" s="5">
        <v>43251</v>
      </c>
      <c r="X2946" s="1">
        <v>1200000</v>
      </c>
      <c r="Y2946" s="1">
        <v>1200000</v>
      </c>
      <c r="Z2946" s="5">
        <v>43251</v>
      </c>
      <c r="AA2946" s="1">
        <v>1186540</v>
      </c>
      <c r="AB2946" s="1" t="s">
        <v>1822</v>
      </c>
      <c r="AC2946" s="5">
        <v>43280</v>
      </c>
      <c r="AF2946" s="1">
        <v>10016</v>
      </c>
      <c r="AI2946" s="1" t="s">
        <v>78</v>
      </c>
      <c r="AJ2946" s="1">
        <v>1927</v>
      </c>
      <c r="AK2946" s="1" t="s">
        <v>46</v>
      </c>
      <c r="AL2946" s="1">
        <v>70</v>
      </c>
    </row>
    <row r="2947" spans="1:38" x14ac:dyDescent="0.2">
      <c r="A2947" s="2" t="str">
        <f>HYPERLINK("https://www.compass.com/listing/15-west-61st-street-unit-22a-manhattan-ny-10023/252535250050092465/","15 W 61st St, Unit 22A")</f>
        <v>15 W 61st St, Unit 22A</v>
      </c>
      <c r="B2947" s="2" t="str">
        <f>HYPERLINK("https://www.compass.com/building/the-park-loggia-manhattan-ny/292861833130357557/","The Park Loggia")</f>
        <v>The Park Loggia</v>
      </c>
      <c r="C2947" s="1" t="s">
        <v>57</v>
      </c>
      <c r="D2947" s="1" t="s">
        <v>41</v>
      </c>
      <c r="E2947" s="3">
        <v>6405206</v>
      </c>
      <c r="F2947" s="1">
        <v>3343.0095250521899</v>
      </c>
      <c r="G2947" s="1">
        <v>5</v>
      </c>
      <c r="H2947" s="1">
        <v>3</v>
      </c>
      <c r="I2947" s="1">
        <v>3</v>
      </c>
      <c r="J2947" s="1">
        <v>2.5</v>
      </c>
      <c r="K2947" s="1">
        <v>2</v>
      </c>
      <c r="L2947" s="1">
        <v>1</v>
      </c>
      <c r="M2947" s="4">
        <v>1916</v>
      </c>
      <c r="N2947" s="1">
        <v>2038</v>
      </c>
      <c r="O2947" s="1">
        <v>4087</v>
      </c>
      <c r="P2947" s="1">
        <v>2049</v>
      </c>
      <c r="Q2947" s="1" t="s">
        <v>42</v>
      </c>
      <c r="S2947" s="1" t="s">
        <v>42</v>
      </c>
      <c r="T2947" s="1" t="s">
        <v>273</v>
      </c>
      <c r="U2947" s="1">
        <v>61</v>
      </c>
      <c r="V2947" s="5">
        <v>44128</v>
      </c>
      <c r="W2947" s="5">
        <v>43597</v>
      </c>
      <c r="X2947" s="1">
        <v>6825000</v>
      </c>
      <c r="Y2947" s="1">
        <v>6825000</v>
      </c>
      <c r="AA2947" s="1">
        <v>6405206.25</v>
      </c>
      <c r="AB2947" s="1" t="s">
        <v>1823</v>
      </c>
      <c r="AC2947" s="5">
        <v>44127</v>
      </c>
      <c r="AF2947" s="1">
        <v>10023</v>
      </c>
      <c r="AI2947" s="1" t="s">
        <v>159</v>
      </c>
      <c r="AJ2947" s="1">
        <v>2019</v>
      </c>
      <c r="AK2947" s="1" t="s">
        <v>108</v>
      </c>
      <c r="AL2947" s="1">
        <v>172</v>
      </c>
    </row>
    <row r="2948" spans="1:38" x14ac:dyDescent="0.2">
      <c r="A2948" s="2" t="str">
        <f>HYPERLINK("https://www.compass.com/listing/200-east-94th-street-unit-507-manhattan-ny-10128/29423441530649297/","200 E 94th St, Unit 507")</f>
        <v>200 E 94th St, Unit 507</v>
      </c>
      <c r="B2948" s="2" t="str">
        <f t="shared" ref="B2948:B2949" si="495">HYPERLINK("https://www.compass.com/building/carnegie-park-condominium-manhattan-ny/282049797358118613/","Carnegie Park Condominium")</f>
        <v>Carnegie Park Condominium</v>
      </c>
      <c r="C2948" s="1" t="s">
        <v>82</v>
      </c>
      <c r="D2948" s="1" t="s">
        <v>41</v>
      </c>
      <c r="E2948" s="3">
        <v>2050000</v>
      </c>
      <c r="F2948" s="1">
        <v>1657.23524656426</v>
      </c>
      <c r="G2948" s="1">
        <v>4</v>
      </c>
      <c r="H2948" s="1">
        <v>2</v>
      </c>
      <c r="I2948" s="1">
        <v>2</v>
      </c>
      <c r="J2948" s="1">
        <v>2</v>
      </c>
      <c r="K2948" s="1">
        <v>2</v>
      </c>
      <c r="M2948" s="4">
        <v>1237</v>
      </c>
      <c r="N2948" s="1">
        <v>1343.82</v>
      </c>
      <c r="O2948" s="1">
        <v>2547.2600000000002</v>
      </c>
      <c r="P2948" s="1">
        <v>1203.4166666666599</v>
      </c>
      <c r="Q2948" s="1" t="s">
        <v>42</v>
      </c>
      <c r="S2948" s="1" t="s">
        <v>42</v>
      </c>
      <c r="T2948" s="1" t="s">
        <v>273</v>
      </c>
      <c r="U2948" s="1">
        <v>42</v>
      </c>
      <c r="V2948" s="5">
        <v>43707</v>
      </c>
      <c r="W2948" s="5">
        <v>42951</v>
      </c>
      <c r="X2948" s="1">
        <v>2075000</v>
      </c>
      <c r="Y2948" s="1">
        <v>2075000</v>
      </c>
      <c r="Z2948" s="5">
        <v>42993</v>
      </c>
      <c r="AA2948" s="1">
        <v>2050000</v>
      </c>
      <c r="AB2948" s="1" t="s">
        <v>1824</v>
      </c>
      <c r="AC2948" s="5">
        <v>43035</v>
      </c>
      <c r="AF2948" s="1">
        <v>10128</v>
      </c>
      <c r="AI2948" s="1" t="s">
        <v>163</v>
      </c>
      <c r="AJ2948" s="1">
        <v>1986</v>
      </c>
      <c r="AK2948" s="1" t="s">
        <v>46</v>
      </c>
      <c r="AL2948" s="1">
        <v>287</v>
      </c>
    </row>
    <row r="2949" spans="1:38" x14ac:dyDescent="0.2">
      <c r="A2949" s="2" t="str">
        <f>HYPERLINK("https://www.compass.com/listing/200-east-94th-street-unit-718-manhattan-ny-10128/594854669317359953/","200 E 94th St, Unit 718")</f>
        <v>200 E 94th St, Unit 718</v>
      </c>
      <c r="B2949" s="2" t="str">
        <f t="shared" si="495"/>
        <v>Carnegie Park Condominium</v>
      </c>
      <c r="C2949" s="1" t="s">
        <v>82</v>
      </c>
      <c r="D2949" s="1" t="s">
        <v>41</v>
      </c>
      <c r="E2949" s="3">
        <v>2250000</v>
      </c>
      <c r="F2949" s="1">
        <v>1476.3779527559</v>
      </c>
      <c r="G2949" s="1">
        <v>6</v>
      </c>
      <c r="H2949" s="1">
        <v>3</v>
      </c>
      <c r="I2949" s="1">
        <v>3</v>
      </c>
      <c r="J2949" s="1">
        <v>3</v>
      </c>
      <c r="K2949" s="1">
        <v>3</v>
      </c>
      <c r="M2949" s="4">
        <v>1524</v>
      </c>
      <c r="N2949" s="1">
        <v>1774</v>
      </c>
      <c r="O2949" s="1">
        <v>3524</v>
      </c>
      <c r="P2949" s="1">
        <v>1750</v>
      </c>
      <c r="Q2949" s="1" t="s">
        <v>42</v>
      </c>
      <c r="S2949" s="1" t="s">
        <v>42</v>
      </c>
      <c r="T2949" s="1" t="s">
        <v>273</v>
      </c>
      <c r="U2949" s="1">
        <v>24</v>
      </c>
      <c r="V2949" s="5">
        <v>44314</v>
      </c>
      <c r="W2949" s="5">
        <v>44221</v>
      </c>
      <c r="Y2949" s="1">
        <v>2500000</v>
      </c>
      <c r="Z2949" s="5">
        <v>44246</v>
      </c>
      <c r="AA2949" s="1">
        <v>2250000</v>
      </c>
      <c r="AB2949" s="1" t="s">
        <v>1825</v>
      </c>
      <c r="AC2949" s="5">
        <v>44295</v>
      </c>
      <c r="AF2949" s="1">
        <v>10128</v>
      </c>
      <c r="AI2949" s="1" t="s">
        <v>163</v>
      </c>
      <c r="AJ2949" s="1">
        <v>1986</v>
      </c>
      <c r="AK2949" s="1" t="s">
        <v>46</v>
      </c>
      <c r="AL2949" s="1">
        <v>287</v>
      </c>
    </row>
    <row r="2950" spans="1:38" x14ac:dyDescent="0.2">
      <c r="A2950" s="2" t="str">
        <f>HYPERLINK("https://www.compass.com/listing/12-east-88th-street-unit-3f-manhattan-ny-10128/330256177656702033/","12 E 88th St, Unit 3F")</f>
        <v>12 E 88th St, Unit 3F</v>
      </c>
      <c r="B2950" s="2" t="str">
        <f>HYPERLINK("https://www.compass.com/building/12-e-88th-st-manhattan-ny-10128/282046316798827461/","12 E 88th St")</f>
        <v>12 E 88th St</v>
      </c>
      <c r="C2950" s="1" t="s">
        <v>82</v>
      </c>
      <c r="D2950" s="1" t="s">
        <v>41</v>
      </c>
      <c r="E2950" s="3">
        <v>1260084</v>
      </c>
      <c r="F2950" s="1">
        <v>1260.0843</v>
      </c>
      <c r="G2950" s="1">
        <v>3.5</v>
      </c>
      <c r="H2950" s="1">
        <v>1</v>
      </c>
      <c r="I2950" s="1">
        <v>1</v>
      </c>
      <c r="J2950" s="1">
        <v>1</v>
      </c>
      <c r="K2950" s="1">
        <v>1</v>
      </c>
      <c r="M2950" s="4">
        <v>1000</v>
      </c>
      <c r="N2950" s="1">
        <v>1144</v>
      </c>
      <c r="O2950" s="1">
        <v>2368</v>
      </c>
      <c r="P2950" s="1">
        <v>1224</v>
      </c>
      <c r="Q2950" s="1" t="s">
        <v>42</v>
      </c>
      <c r="S2950" s="1" t="s">
        <v>42</v>
      </c>
      <c r="T2950" s="1" t="s">
        <v>273</v>
      </c>
      <c r="U2950" s="1">
        <v>131</v>
      </c>
      <c r="V2950" s="5">
        <v>44288</v>
      </c>
      <c r="W2950" s="5">
        <v>43707</v>
      </c>
      <c r="X2950" s="1">
        <v>1695000</v>
      </c>
      <c r="Y2950" s="1">
        <v>1495000</v>
      </c>
      <c r="AA2950" s="1">
        <v>1260084.3</v>
      </c>
      <c r="AB2950" s="1" t="s">
        <v>1826</v>
      </c>
      <c r="AC2950" s="5">
        <v>44286</v>
      </c>
      <c r="AF2950" s="1">
        <v>10128</v>
      </c>
      <c r="AI2950" s="1" t="s">
        <v>177</v>
      </c>
      <c r="AJ2950" s="1">
        <v>1931</v>
      </c>
      <c r="AK2950" s="1" t="s">
        <v>46</v>
      </c>
      <c r="AL2950" s="1">
        <v>39</v>
      </c>
    </row>
    <row r="2951" spans="1:38" x14ac:dyDescent="0.2">
      <c r="A2951" s="2" t="str">
        <f>HYPERLINK("https://www.compass.com/listing/360-east-89th-street-unit-14c-manhattan-ny-10128/29424456921359537/","360 E 89th St, Unit 14C")</f>
        <v>360 E 89th St, Unit 14C</v>
      </c>
      <c r="B2951" s="2" t="str">
        <f>HYPERLINK("https://www.compass.com/building/citizen360-manhattan-ny/282052027553444853/","Citizen360")</f>
        <v>Citizen360</v>
      </c>
      <c r="C2951" s="1" t="s">
        <v>82</v>
      </c>
      <c r="D2951" s="1" t="s">
        <v>41</v>
      </c>
      <c r="E2951" s="3">
        <v>2884398</v>
      </c>
      <c r="F2951" s="1">
        <v>1736.5430463576099</v>
      </c>
      <c r="G2951" s="1">
        <v>4</v>
      </c>
      <c r="H2951" s="1">
        <v>2</v>
      </c>
      <c r="I2951" s="1">
        <v>2</v>
      </c>
      <c r="J2951" s="1">
        <v>2.5</v>
      </c>
      <c r="K2951" s="1">
        <v>2</v>
      </c>
      <c r="L2951" s="1">
        <v>1</v>
      </c>
      <c r="M2951" s="4">
        <v>1661</v>
      </c>
      <c r="N2951" s="1">
        <v>1617</v>
      </c>
      <c r="O2951" s="1">
        <v>3498</v>
      </c>
      <c r="P2951" s="1">
        <v>1881</v>
      </c>
      <c r="Q2951" s="1" t="s">
        <v>42</v>
      </c>
      <c r="S2951" s="1" t="s">
        <v>42</v>
      </c>
      <c r="T2951" s="1" t="s">
        <v>273</v>
      </c>
      <c r="U2951" s="1">
        <v>43</v>
      </c>
      <c r="V2951" s="5">
        <v>43649</v>
      </c>
      <c r="W2951" s="5">
        <v>42928</v>
      </c>
      <c r="X2951" s="1">
        <v>2830000</v>
      </c>
      <c r="Y2951" s="1">
        <v>2830000</v>
      </c>
      <c r="Z2951" s="5">
        <v>42971</v>
      </c>
      <c r="AA2951" s="1">
        <v>2884398</v>
      </c>
      <c r="AB2951" s="1" t="s">
        <v>1827</v>
      </c>
      <c r="AC2951" s="5">
        <v>43041</v>
      </c>
      <c r="AF2951" s="1">
        <v>10128</v>
      </c>
      <c r="AJ2951" s="1">
        <v>2017</v>
      </c>
      <c r="AK2951" s="1" t="s">
        <v>108</v>
      </c>
      <c r="AL2951" s="1">
        <v>82</v>
      </c>
    </row>
    <row r="2952" spans="1:38" x14ac:dyDescent="0.2">
      <c r="A2952" s="2" t="str">
        <f>HYPERLINK("https://www.compass.com/listing/261-west-25th-street-unit-3d-manhattan-ny-10001/29372518427123665/","261 W 25th St, Unit 3D")</f>
        <v>261 W 25th St, Unit 3D</v>
      </c>
      <c r="B2952" s="2" t="str">
        <f t="shared" ref="B2952:B2954" si="496">HYPERLINK("https://www.compass.com/building/the-seymour-manhattan-ny/281883155990840165/","The Seymour")</f>
        <v>The Seymour</v>
      </c>
      <c r="C2952" s="1" t="s">
        <v>62</v>
      </c>
      <c r="D2952" s="1" t="s">
        <v>41</v>
      </c>
      <c r="E2952" s="3">
        <v>3450000</v>
      </c>
      <c r="F2952" s="1">
        <v>1865.87344510546</v>
      </c>
      <c r="G2952" s="1">
        <v>5</v>
      </c>
      <c r="H2952" s="1">
        <v>3</v>
      </c>
      <c r="I2952" s="1">
        <v>3</v>
      </c>
      <c r="J2952" s="1">
        <v>2.5</v>
      </c>
      <c r="M2952" s="4">
        <v>1849</v>
      </c>
      <c r="N2952" s="1">
        <v>2093</v>
      </c>
      <c r="O2952" s="1">
        <v>4442</v>
      </c>
      <c r="P2952" s="1">
        <v>2349</v>
      </c>
      <c r="Q2952" s="1" t="s">
        <v>42</v>
      </c>
      <c r="S2952" s="1" t="s">
        <v>42</v>
      </c>
      <c r="T2952" s="1" t="s">
        <v>273</v>
      </c>
      <c r="V2952" s="5">
        <v>43654</v>
      </c>
      <c r="W2952" s="5">
        <v>42038</v>
      </c>
      <c r="X2952" s="1">
        <v>3450000</v>
      </c>
      <c r="Y2952" s="1">
        <v>3450000</v>
      </c>
      <c r="Z2952" s="5">
        <v>42038</v>
      </c>
      <c r="AA2952" s="1">
        <v>3450000</v>
      </c>
      <c r="AB2952" s="1" t="s">
        <v>1828</v>
      </c>
      <c r="AC2952" s="5">
        <v>42444</v>
      </c>
      <c r="AF2952" s="1">
        <v>10001</v>
      </c>
      <c r="AI2952" s="1" t="s">
        <v>163</v>
      </c>
      <c r="AJ2952" s="1">
        <v>2015</v>
      </c>
      <c r="AK2952" s="1" t="s">
        <v>49</v>
      </c>
      <c r="AL2952" s="1">
        <v>49</v>
      </c>
    </row>
    <row r="2953" spans="1:38" x14ac:dyDescent="0.2">
      <c r="A2953" s="2" t="str">
        <f>HYPERLINK("https://www.compass.com/listing/261-west-25th-street-unit-5d-manhattan-ny-10001/29372522705229361/","261 W 25th St, Unit 5D")</f>
        <v>261 W 25th St, Unit 5D</v>
      </c>
      <c r="B2953" s="2" t="str">
        <f t="shared" si="496"/>
        <v>The Seymour</v>
      </c>
      <c r="C2953" s="1" t="s">
        <v>62</v>
      </c>
      <c r="D2953" s="1" t="s">
        <v>41</v>
      </c>
      <c r="E2953" s="3">
        <v>3592485</v>
      </c>
      <c r="F2953" s="1">
        <v>1942.9340183883101</v>
      </c>
      <c r="G2953" s="1">
        <v>6</v>
      </c>
      <c r="H2953" s="1">
        <v>3</v>
      </c>
      <c r="I2953" s="1">
        <v>3</v>
      </c>
      <c r="J2953" s="1">
        <v>2.5</v>
      </c>
      <c r="M2953" s="4">
        <v>1849</v>
      </c>
      <c r="N2953" s="1">
        <v>2093</v>
      </c>
      <c r="O2953" s="1">
        <v>4442</v>
      </c>
      <c r="P2953" s="1">
        <v>2349</v>
      </c>
      <c r="Q2953" s="1" t="s">
        <v>42</v>
      </c>
      <c r="S2953" s="1" t="s">
        <v>42</v>
      </c>
      <c r="T2953" s="1" t="s">
        <v>273</v>
      </c>
      <c r="V2953" s="5">
        <v>43654</v>
      </c>
      <c r="W2953" s="5">
        <v>41934</v>
      </c>
      <c r="X2953" s="1">
        <v>3560000</v>
      </c>
      <c r="Y2953" s="1">
        <v>3560000</v>
      </c>
      <c r="Z2953" s="5">
        <v>41934</v>
      </c>
      <c r="AA2953" s="1">
        <v>3592485</v>
      </c>
      <c r="AB2953" s="1" t="s">
        <v>1829</v>
      </c>
      <c r="AC2953" s="5">
        <v>42423</v>
      </c>
      <c r="AF2953" s="1">
        <v>10001</v>
      </c>
      <c r="AI2953" s="1" t="s">
        <v>163</v>
      </c>
      <c r="AJ2953" s="1">
        <v>2015</v>
      </c>
      <c r="AK2953" s="1" t="s">
        <v>49</v>
      </c>
      <c r="AL2953" s="1">
        <v>49</v>
      </c>
    </row>
    <row r="2954" spans="1:38" x14ac:dyDescent="0.2">
      <c r="A2954" s="2" t="str">
        <f>HYPERLINK("https://www.compass.com/listing/261-west-25th-street-unit-8d-manhattan-ny-10001/29372530934538433/","261 W 25th St, Unit 8D")</f>
        <v>261 W 25th St, Unit 8D</v>
      </c>
      <c r="B2954" s="2" t="str">
        <f t="shared" si="496"/>
        <v>The Seymour</v>
      </c>
      <c r="C2954" s="1" t="s">
        <v>62</v>
      </c>
      <c r="D2954" s="1" t="s">
        <v>41</v>
      </c>
      <c r="E2954" s="3">
        <v>4031454</v>
      </c>
      <c r="F2954" s="1">
        <v>2180.3428880475899</v>
      </c>
      <c r="G2954" s="1">
        <v>5</v>
      </c>
      <c r="H2954" s="1">
        <v>3</v>
      </c>
      <c r="I2954" s="1">
        <v>3</v>
      </c>
      <c r="J2954" s="1">
        <v>2.5</v>
      </c>
      <c r="M2954" s="4">
        <v>1849</v>
      </c>
      <c r="N2954" s="1">
        <v>2093</v>
      </c>
      <c r="O2954" s="1">
        <v>4442</v>
      </c>
      <c r="P2954" s="1">
        <v>2349</v>
      </c>
      <c r="Q2954" s="1" t="s">
        <v>42</v>
      </c>
      <c r="S2954" s="1" t="s">
        <v>42</v>
      </c>
      <c r="T2954" s="1" t="s">
        <v>273</v>
      </c>
      <c r="V2954" s="5">
        <v>43654</v>
      </c>
      <c r="W2954" s="5">
        <v>41993</v>
      </c>
      <c r="X2954" s="1">
        <v>3995000</v>
      </c>
      <c r="Y2954" s="1">
        <v>3995000</v>
      </c>
      <c r="Z2954" s="5">
        <v>41993</v>
      </c>
      <c r="AA2954" s="1">
        <v>4031454</v>
      </c>
      <c r="AB2954" s="1" t="s">
        <v>1830</v>
      </c>
      <c r="AC2954" s="5">
        <v>42427</v>
      </c>
      <c r="AF2954" s="1">
        <v>10001</v>
      </c>
      <c r="AI2954" s="1" t="s">
        <v>163</v>
      </c>
      <c r="AJ2954" s="1">
        <v>2015</v>
      </c>
      <c r="AK2954" s="1" t="s">
        <v>49</v>
      </c>
      <c r="AL2954" s="1">
        <v>49</v>
      </c>
    </row>
    <row r="2955" spans="1:38" x14ac:dyDescent="0.2">
      <c r="A2955" s="2" t="str">
        <f>HYPERLINK("https://www.compass.com/listing/15-west-61st-street-unit-3e-manhattan-ny-10023/620293784097543433/","15 W 61st St, Unit 3E")</f>
        <v>15 W 61st St, Unit 3E</v>
      </c>
      <c r="B2955" s="2" t="str">
        <f>HYPERLINK("https://www.compass.com/building/the-park-loggia-manhattan-ny/292861833130357557/","The Park Loggia")</f>
        <v>The Park Loggia</v>
      </c>
      <c r="C2955" s="1" t="s">
        <v>57</v>
      </c>
      <c r="D2955" s="1" t="s">
        <v>41</v>
      </c>
      <c r="E2955" s="3">
        <v>1560000</v>
      </c>
      <c r="F2955" s="1">
        <v>1994.88491048593</v>
      </c>
      <c r="G2955" s="1">
        <v>3</v>
      </c>
      <c r="H2955" s="1">
        <v>1</v>
      </c>
      <c r="I2955" s="1">
        <v>1</v>
      </c>
      <c r="J2955" s="1">
        <v>1</v>
      </c>
      <c r="K2955" s="1">
        <v>1</v>
      </c>
      <c r="M2955" s="1">
        <v>782</v>
      </c>
      <c r="N2955" s="1">
        <v>870</v>
      </c>
      <c r="O2955" s="1">
        <v>1745</v>
      </c>
      <c r="P2955" s="1">
        <v>875</v>
      </c>
      <c r="Q2955" s="1" t="s">
        <v>42</v>
      </c>
      <c r="S2955" s="1" t="s">
        <v>42</v>
      </c>
      <c r="T2955" s="1" t="s">
        <v>273</v>
      </c>
      <c r="U2955" s="1">
        <v>24</v>
      </c>
      <c r="V2955" s="5">
        <v>44141</v>
      </c>
      <c r="W2955" s="5">
        <v>44107</v>
      </c>
      <c r="X2955" s="1">
        <v>1640000</v>
      </c>
      <c r="Y2955" s="1">
        <v>1640000</v>
      </c>
      <c r="Z2955" s="5">
        <v>44132</v>
      </c>
      <c r="AA2955" s="1">
        <v>1560000</v>
      </c>
      <c r="AB2955" s="1" t="s">
        <v>1831</v>
      </c>
      <c r="AC2955" s="5">
        <v>44140</v>
      </c>
      <c r="AF2955" s="1">
        <v>10023</v>
      </c>
      <c r="AI2955" s="1" t="s">
        <v>1071</v>
      </c>
      <c r="AJ2955" s="1">
        <v>2019</v>
      </c>
      <c r="AK2955" s="1" t="s">
        <v>108</v>
      </c>
      <c r="AL2955" s="1">
        <v>172</v>
      </c>
    </row>
    <row r="2956" spans="1:38" x14ac:dyDescent="0.2">
      <c r="A2956" s="2" t="str">
        <f>HYPERLINK("https://www.compass.com/listing/90-lexington-avenue-unit-4a-manhattan-ny-10016/29378548217267969/","90 Lexington Ave, Unit 4A")</f>
        <v>90 Lexington Ave, Unit 4A</v>
      </c>
      <c r="B2956" s="2" t="str">
        <f>HYPERLINK("https://www.compass.com/building/88-90-lexington-avenue-manhattan-ny/281941431524842901/","88 &amp; 90 Lexington Avenue")</f>
        <v>88 &amp; 90 Lexington Avenue</v>
      </c>
      <c r="C2956" s="1" t="s">
        <v>40</v>
      </c>
      <c r="D2956" s="1" t="s">
        <v>41</v>
      </c>
      <c r="E2956" s="3">
        <v>1893046</v>
      </c>
      <c r="F2956" s="1">
        <v>1811.52727272727</v>
      </c>
      <c r="G2956" s="1">
        <v>3</v>
      </c>
      <c r="H2956" s="1">
        <v>1</v>
      </c>
      <c r="I2956" s="1">
        <v>1</v>
      </c>
      <c r="J2956" s="1">
        <v>1.5</v>
      </c>
      <c r="K2956" s="1">
        <v>1</v>
      </c>
      <c r="L2956" s="1">
        <v>1</v>
      </c>
      <c r="M2956" s="4">
        <v>1045</v>
      </c>
      <c r="N2956" s="1">
        <v>1118</v>
      </c>
      <c r="O2956" s="1">
        <v>2507</v>
      </c>
      <c r="P2956" s="1">
        <v>1389</v>
      </c>
      <c r="Q2956" s="1" t="s">
        <v>42</v>
      </c>
      <c r="S2956" s="1" t="s">
        <v>42</v>
      </c>
      <c r="T2956" s="1" t="s">
        <v>273</v>
      </c>
      <c r="U2956" s="1">
        <v>163</v>
      </c>
      <c r="V2956" s="5">
        <v>43673</v>
      </c>
      <c r="W2956" s="5">
        <v>42353</v>
      </c>
      <c r="X2956" s="1">
        <v>1905000</v>
      </c>
      <c r="Y2956" s="1">
        <v>1905000</v>
      </c>
      <c r="Z2956" s="5">
        <v>42516</v>
      </c>
      <c r="AA2956" s="1">
        <v>1893046</v>
      </c>
      <c r="AB2956" s="1" t="s">
        <v>1832</v>
      </c>
      <c r="AC2956" s="5">
        <v>42587</v>
      </c>
      <c r="AF2956" s="1">
        <v>10016</v>
      </c>
      <c r="AI2956" s="1" t="s">
        <v>122</v>
      </c>
      <c r="AJ2956" s="1">
        <v>1957</v>
      </c>
      <c r="AK2956" s="1" t="s">
        <v>46</v>
      </c>
      <c r="AL2956" s="1">
        <v>49</v>
      </c>
    </row>
    <row r="2957" spans="1:38" x14ac:dyDescent="0.2">
      <c r="A2957" s="2" t="str">
        <f>HYPERLINK("https://www.compass.com/listing/12-east-88th-street-unit-9d-manhattan-ny-10128/29509527078563665/","12 E 88th St, Unit 9D")</f>
        <v>12 E 88th St, Unit 9D</v>
      </c>
      <c r="B2957" s="2" t="str">
        <f>HYPERLINK("https://www.compass.com/building/12-e-88th-st-manhattan-ny-10128/282046316798827461/","12 E 88th St")</f>
        <v>12 E 88th St</v>
      </c>
      <c r="C2957" s="1" t="s">
        <v>82</v>
      </c>
      <c r="D2957" s="1" t="s">
        <v>41</v>
      </c>
      <c r="E2957" s="3">
        <v>3150000</v>
      </c>
      <c r="F2957" s="1">
        <v>2173.9130434782601</v>
      </c>
      <c r="G2957" s="1">
        <v>5</v>
      </c>
      <c r="H2957" s="1">
        <v>2</v>
      </c>
      <c r="I2957" s="1">
        <v>2</v>
      </c>
      <c r="J2957" s="1">
        <v>2</v>
      </c>
      <c r="K2957" s="1">
        <v>2</v>
      </c>
      <c r="M2957" s="4">
        <v>1449</v>
      </c>
      <c r="N2957" s="1">
        <v>1775</v>
      </c>
      <c r="O2957" s="1">
        <v>3675</v>
      </c>
      <c r="P2957" s="1">
        <v>1900</v>
      </c>
      <c r="Q2957" s="1" t="s">
        <v>42</v>
      </c>
      <c r="S2957" s="1" t="s">
        <v>42</v>
      </c>
      <c r="T2957" s="1" t="s">
        <v>273</v>
      </c>
      <c r="U2957" s="1">
        <v>213</v>
      </c>
      <c r="V2957" s="5">
        <v>43630</v>
      </c>
      <c r="W2957" s="5">
        <v>43175</v>
      </c>
      <c r="X2957" s="1">
        <v>3480000</v>
      </c>
      <c r="Y2957" s="1">
        <v>3480000</v>
      </c>
      <c r="AA2957" s="1">
        <v>3150000</v>
      </c>
      <c r="AB2957" s="1" t="s">
        <v>1833</v>
      </c>
      <c r="AC2957" s="5">
        <v>43388</v>
      </c>
      <c r="AF2957" s="1">
        <v>10128</v>
      </c>
      <c r="AI2957" s="1" t="s">
        <v>177</v>
      </c>
      <c r="AJ2957" s="1">
        <v>1931</v>
      </c>
      <c r="AK2957" s="1" t="s">
        <v>46</v>
      </c>
      <c r="AL2957" s="1">
        <v>39</v>
      </c>
    </row>
    <row r="2958" spans="1:38" x14ac:dyDescent="0.2">
      <c r="A2958" s="2" t="str">
        <f>HYPERLINK("https://www.compass.com/listing/261-west-25th-street-unit-phb-manhattan-ny-10001/29372536001257761/","261 W 25th St, Unit PHB")</f>
        <v>261 W 25th St, Unit PHB</v>
      </c>
      <c r="B2958" s="2" t="str">
        <f>HYPERLINK("https://www.compass.com/building/the-seymour-manhattan-ny/281883155990840165/","The Seymour")</f>
        <v>The Seymour</v>
      </c>
      <c r="C2958" s="1" t="s">
        <v>62</v>
      </c>
      <c r="D2958" s="1" t="s">
        <v>41</v>
      </c>
      <c r="E2958" s="3">
        <v>4288781</v>
      </c>
      <c r="F2958" s="1">
        <v>2418.9402143259999</v>
      </c>
      <c r="G2958" s="1">
        <v>5</v>
      </c>
      <c r="H2958" s="1">
        <v>3</v>
      </c>
      <c r="I2958" s="1">
        <v>3</v>
      </c>
      <c r="J2958" s="1">
        <v>3</v>
      </c>
      <c r="M2958" s="4">
        <v>1773</v>
      </c>
      <c r="N2958" s="1">
        <v>2107</v>
      </c>
      <c r="O2958" s="1">
        <v>4471</v>
      </c>
      <c r="P2958" s="1">
        <v>2364</v>
      </c>
      <c r="Q2958" s="1" t="s">
        <v>42</v>
      </c>
      <c r="S2958" s="1" t="s">
        <v>42</v>
      </c>
      <c r="T2958" s="1" t="s">
        <v>273</v>
      </c>
      <c r="V2958" s="5">
        <v>43678</v>
      </c>
      <c r="W2958" s="5">
        <v>41950</v>
      </c>
      <c r="X2958" s="1">
        <v>4250000</v>
      </c>
      <c r="Y2958" s="1">
        <v>4250000</v>
      </c>
      <c r="Z2958" s="5">
        <v>41950</v>
      </c>
      <c r="AA2958" s="1">
        <v>4288781</v>
      </c>
      <c r="AB2958" s="1" t="s">
        <v>1834</v>
      </c>
      <c r="AC2958" s="5">
        <v>42465</v>
      </c>
      <c r="AF2958" s="1">
        <v>10001</v>
      </c>
      <c r="AI2958" s="1" t="s">
        <v>163</v>
      </c>
      <c r="AJ2958" s="1">
        <v>2015</v>
      </c>
      <c r="AK2958" s="1" t="s">
        <v>49</v>
      </c>
      <c r="AL2958" s="1">
        <v>49</v>
      </c>
    </row>
    <row r="2959" spans="1:38" x14ac:dyDescent="0.2">
      <c r="A2959" s="2" t="str">
        <f>HYPERLINK("https://www.compass.com/listing/1-west-end-avenue-unit-21h-manhattan-ny-10023/29397383083217569/","1 W End Ave, Unit 21H")</f>
        <v>1 W End Ave, Unit 21H</v>
      </c>
      <c r="B2959" s="2" t="str">
        <f t="shared" ref="B2959:B2964" si="497">HYPERLINK("https://www.compass.com/building/1-w-end-ave-manhattan-ny-10023/455676159137755317/","1 W End Ave")</f>
        <v>1 W End Ave</v>
      </c>
      <c r="C2959" s="1" t="s">
        <v>57</v>
      </c>
      <c r="D2959" s="1" t="s">
        <v>41</v>
      </c>
      <c r="E2959" s="3">
        <v>1848186</v>
      </c>
      <c r="F2959" s="1">
        <v>2011.0837867247001</v>
      </c>
      <c r="G2959" s="1">
        <v>3</v>
      </c>
      <c r="H2959" s="1">
        <v>1</v>
      </c>
      <c r="I2959" s="1">
        <v>1</v>
      </c>
      <c r="J2959" s="1">
        <v>1.5</v>
      </c>
      <c r="K2959" s="1">
        <v>1</v>
      </c>
      <c r="L2959" s="1">
        <v>1</v>
      </c>
      <c r="M2959" s="1">
        <v>919</v>
      </c>
      <c r="N2959" s="1">
        <v>994</v>
      </c>
      <c r="O2959" s="1">
        <v>1053</v>
      </c>
      <c r="P2959" s="1">
        <v>59</v>
      </c>
      <c r="Q2959" s="1" t="s">
        <v>42</v>
      </c>
      <c r="S2959" s="1" t="s">
        <v>42</v>
      </c>
      <c r="T2959" s="1" t="s">
        <v>273</v>
      </c>
      <c r="V2959" s="5">
        <v>43700</v>
      </c>
      <c r="W2959" s="5">
        <v>42227</v>
      </c>
      <c r="X2959" s="1">
        <v>1885000</v>
      </c>
      <c r="Y2959" s="1">
        <v>1885000</v>
      </c>
      <c r="Z2959" s="5">
        <v>42227</v>
      </c>
      <c r="AA2959" s="1">
        <v>1848186</v>
      </c>
      <c r="AB2959" s="1" t="s">
        <v>1835</v>
      </c>
      <c r="AC2959" s="5">
        <v>43190</v>
      </c>
      <c r="AF2959" s="1">
        <v>10023</v>
      </c>
      <c r="AI2959" s="1" t="s">
        <v>60</v>
      </c>
      <c r="AJ2959" s="1">
        <v>2017</v>
      </c>
      <c r="AK2959" s="1" t="s">
        <v>108</v>
      </c>
      <c r="AL2959" s="1">
        <v>246</v>
      </c>
    </row>
    <row r="2960" spans="1:38" x14ac:dyDescent="0.2">
      <c r="A2960" s="2" t="str">
        <f>HYPERLINK("https://www.compass.com/listing/1-west-end-avenue-unit-26h-manhattan-ny-10023/29397385088078609/","1 W End Ave, Unit 26H")</f>
        <v>1 W End Ave, Unit 26H</v>
      </c>
      <c r="B2960" s="2" t="str">
        <f t="shared" si="497"/>
        <v>1 W End Ave</v>
      </c>
      <c r="C2960" s="1" t="s">
        <v>57</v>
      </c>
      <c r="D2960" s="1" t="s">
        <v>41</v>
      </c>
      <c r="E2960" s="3">
        <v>2000924</v>
      </c>
      <c r="F2960" s="1">
        <v>2177.2837540805199</v>
      </c>
      <c r="G2960" s="1">
        <v>3</v>
      </c>
      <c r="H2960" s="1">
        <v>1</v>
      </c>
      <c r="I2960" s="1">
        <v>1</v>
      </c>
      <c r="J2960" s="1">
        <v>1.5</v>
      </c>
      <c r="K2960" s="1">
        <v>1</v>
      </c>
      <c r="L2960" s="1">
        <v>1</v>
      </c>
      <c r="M2960" s="1">
        <v>919</v>
      </c>
      <c r="N2960" s="1">
        <v>994</v>
      </c>
      <c r="O2960" s="1">
        <v>1053</v>
      </c>
      <c r="P2960" s="1">
        <v>59</v>
      </c>
      <c r="Q2960" s="1" t="s">
        <v>42</v>
      </c>
      <c r="S2960" s="1" t="s">
        <v>42</v>
      </c>
      <c r="T2960" s="1" t="s">
        <v>273</v>
      </c>
      <c r="V2960" s="5">
        <v>43624</v>
      </c>
      <c r="W2960" s="5">
        <v>42423</v>
      </c>
      <c r="X2960" s="1">
        <v>1960000</v>
      </c>
      <c r="Y2960" s="1">
        <v>1960000</v>
      </c>
      <c r="Z2960" s="5">
        <v>42423</v>
      </c>
      <c r="AA2960" s="1">
        <v>2000923.77</v>
      </c>
      <c r="AB2960" s="1" t="s">
        <v>1836</v>
      </c>
      <c r="AC2960" s="5">
        <v>43192</v>
      </c>
      <c r="AF2960" s="1">
        <v>10023</v>
      </c>
      <c r="AI2960" s="1" t="s">
        <v>60</v>
      </c>
      <c r="AJ2960" s="1">
        <v>2017</v>
      </c>
      <c r="AK2960" s="1" t="s">
        <v>108</v>
      </c>
      <c r="AL2960" s="1">
        <v>246</v>
      </c>
    </row>
    <row r="2961" spans="1:38" x14ac:dyDescent="0.2">
      <c r="A2961" s="2" t="str">
        <f>HYPERLINK("https://www.compass.com/listing/1-west-end-avenue-unit-11l-manhattan-ny-10023/29397396463123713/","1 W End Ave, Unit 11L")</f>
        <v>1 W End Ave, Unit 11L</v>
      </c>
      <c r="B2961" s="2" t="str">
        <f t="shared" si="497"/>
        <v>1 W End Ave</v>
      </c>
      <c r="C2961" s="1" t="s">
        <v>57</v>
      </c>
      <c r="D2961" s="1" t="s">
        <v>41</v>
      </c>
      <c r="E2961" s="3">
        <v>1542711</v>
      </c>
      <c r="F2961" s="1">
        <v>1678.68473340587</v>
      </c>
      <c r="G2961" s="1">
        <v>3</v>
      </c>
      <c r="H2961" s="1">
        <v>1</v>
      </c>
      <c r="I2961" s="1">
        <v>1</v>
      </c>
      <c r="J2961" s="1">
        <v>1.5</v>
      </c>
      <c r="K2961" s="1">
        <v>1</v>
      </c>
      <c r="L2961" s="1">
        <v>1</v>
      </c>
      <c r="M2961" s="1">
        <v>919</v>
      </c>
      <c r="N2961" s="1">
        <v>993.82</v>
      </c>
      <c r="O2961" s="1">
        <v>1053.1400000000001</v>
      </c>
      <c r="P2961" s="1">
        <v>59.3333333333333</v>
      </c>
      <c r="Q2961" s="1" t="s">
        <v>42</v>
      </c>
      <c r="S2961" s="1" t="s">
        <v>42</v>
      </c>
      <c r="T2961" s="1" t="s">
        <v>273</v>
      </c>
      <c r="V2961" s="5">
        <v>43670</v>
      </c>
      <c r="W2961" s="5">
        <v>42203</v>
      </c>
      <c r="X2961" s="1">
        <v>1655000</v>
      </c>
      <c r="Y2961" s="1">
        <v>1655000</v>
      </c>
      <c r="Z2961" s="5">
        <v>42203</v>
      </c>
      <c r="AA2961" s="1">
        <v>1542711.27</v>
      </c>
      <c r="AB2961" s="1" t="s">
        <v>1837</v>
      </c>
      <c r="AC2961" s="5">
        <v>43182</v>
      </c>
      <c r="AF2961" s="1">
        <v>10023</v>
      </c>
      <c r="AI2961" s="1" t="s">
        <v>60</v>
      </c>
      <c r="AJ2961" s="1">
        <v>2017</v>
      </c>
      <c r="AK2961" s="1" t="s">
        <v>108</v>
      </c>
      <c r="AL2961" s="1">
        <v>246</v>
      </c>
    </row>
    <row r="2962" spans="1:38" x14ac:dyDescent="0.2">
      <c r="A2962" s="2" t="str">
        <f>HYPERLINK("https://www.compass.com/listing/1-west-end-avenue-unit-12l-manhattan-ny-10023/29397396773409729/","1 W End Ave, Unit 12L")</f>
        <v>1 W End Ave, Unit 12L</v>
      </c>
      <c r="B2962" s="2" t="str">
        <f t="shared" si="497"/>
        <v>1 W End Ave</v>
      </c>
      <c r="C2962" s="1" t="s">
        <v>57</v>
      </c>
      <c r="D2962" s="1" t="s">
        <v>41</v>
      </c>
      <c r="E2962" s="3">
        <v>1608890</v>
      </c>
      <c r="F2962" s="1">
        <v>1752.6031045751599</v>
      </c>
      <c r="G2962" s="1">
        <v>3</v>
      </c>
      <c r="H2962" s="1">
        <v>1</v>
      </c>
      <c r="I2962" s="1">
        <v>1</v>
      </c>
      <c r="J2962" s="1">
        <v>1.5</v>
      </c>
      <c r="K2962" s="1">
        <v>1</v>
      </c>
      <c r="L2962" s="1">
        <v>1</v>
      </c>
      <c r="M2962" s="1">
        <v>918</v>
      </c>
      <c r="N2962" s="1">
        <v>992.79</v>
      </c>
      <c r="O2962" s="1">
        <v>1052.1099999999999</v>
      </c>
      <c r="P2962" s="1">
        <v>59.3333333333333</v>
      </c>
      <c r="Q2962" s="1" t="s">
        <v>42</v>
      </c>
      <c r="S2962" s="1" t="s">
        <v>42</v>
      </c>
      <c r="T2962" s="1" t="s">
        <v>273</v>
      </c>
      <c r="V2962" s="5">
        <v>43623</v>
      </c>
      <c r="W2962" s="5">
        <v>42203</v>
      </c>
      <c r="X2962" s="1">
        <v>1670000</v>
      </c>
      <c r="Y2962" s="1">
        <v>1670000</v>
      </c>
      <c r="Z2962" s="5">
        <v>42203</v>
      </c>
      <c r="AA2962" s="1">
        <v>1608889.65</v>
      </c>
      <c r="AB2962" s="1" t="s">
        <v>1838</v>
      </c>
      <c r="AC2962" s="5">
        <v>43178</v>
      </c>
      <c r="AF2962" s="1">
        <v>10023</v>
      </c>
      <c r="AI2962" s="1" t="s">
        <v>60</v>
      </c>
      <c r="AJ2962" s="1">
        <v>2017</v>
      </c>
      <c r="AK2962" s="1" t="s">
        <v>108</v>
      </c>
      <c r="AL2962" s="1">
        <v>246</v>
      </c>
    </row>
    <row r="2963" spans="1:38" x14ac:dyDescent="0.2">
      <c r="A2963" s="2" t="str">
        <f>HYPERLINK("https://www.compass.com/listing/1-west-end-avenue-unit-15l-manhattan-ny-10023/29397397545254161/","1 W End Ave, Unit 15L")</f>
        <v>1 W End Ave, Unit 15L</v>
      </c>
      <c r="B2963" s="2" t="str">
        <f t="shared" si="497"/>
        <v>1 W End Ave</v>
      </c>
      <c r="C2963" s="1" t="s">
        <v>57</v>
      </c>
      <c r="D2963" s="1" t="s">
        <v>41</v>
      </c>
      <c r="E2963" s="3">
        <v>1736085</v>
      </c>
      <c r="F2963" s="1">
        <v>1889.10192600652</v>
      </c>
      <c r="G2963" s="1">
        <v>3</v>
      </c>
      <c r="H2963" s="1">
        <v>1</v>
      </c>
      <c r="I2963" s="1">
        <v>1</v>
      </c>
      <c r="J2963" s="1">
        <v>1.5</v>
      </c>
      <c r="K2963" s="1">
        <v>1</v>
      </c>
      <c r="L2963" s="1">
        <v>1</v>
      </c>
      <c r="M2963" s="1">
        <v>919</v>
      </c>
      <c r="N2963" s="1">
        <v>994</v>
      </c>
      <c r="O2963" s="1">
        <v>1053</v>
      </c>
      <c r="P2963" s="1">
        <v>59</v>
      </c>
      <c r="Q2963" s="1" t="s">
        <v>42</v>
      </c>
      <c r="S2963" s="1" t="s">
        <v>42</v>
      </c>
      <c r="T2963" s="1" t="s">
        <v>273</v>
      </c>
      <c r="U2963" s="1">
        <v>38</v>
      </c>
      <c r="V2963" s="5">
        <v>43676</v>
      </c>
      <c r="W2963" s="5">
        <v>42182</v>
      </c>
      <c r="X2963" s="1">
        <v>1700000</v>
      </c>
      <c r="Y2963" s="1">
        <v>1700000</v>
      </c>
      <c r="Z2963" s="5">
        <v>42220</v>
      </c>
      <c r="AA2963" s="1">
        <v>1736084.67</v>
      </c>
      <c r="AB2963" s="1" t="s">
        <v>1839</v>
      </c>
      <c r="AC2963" s="5">
        <v>43179</v>
      </c>
      <c r="AF2963" s="1">
        <v>10023</v>
      </c>
      <c r="AI2963" s="1" t="s">
        <v>60</v>
      </c>
      <c r="AJ2963" s="1">
        <v>2017</v>
      </c>
      <c r="AK2963" s="1" t="s">
        <v>108</v>
      </c>
      <c r="AL2963" s="1">
        <v>246</v>
      </c>
    </row>
    <row r="2964" spans="1:38" x14ac:dyDescent="0.2">
      <c r="A2964" s="2" t="str">
        <f>HYPERLINK("https://www.compass.com/listing/1-west-end-avenue-unit-20l-manhattan-ny-10023/29397399482946433/","1 W End Ave, Unit 20L")</f>
        <v>1 W End Ave, Unit 20L</v>
      </c>
      <c r="B2964" s="2" t="str">
        <f t="shared" si="497"/>
        <v>1 W End Ave</v>
      </c>
      <c r="C2964" s="1" t="s">
        <v>57</v>
      </c>
      <c r="D2964" s="1" t="s">
        <v>41</v>
      </c>
      <c r="E2964" s="3">
        <v>1827813</v>
      </c>
      <c r="F2964" s="1">
        <v>1991.0821350762501</v>
      </c>
      <c r="G2964" s="1">
        <v>3</v>
      </c>
      <c r="H2964" s="1">
        <v>1</v>
      </c>
      <c r="I2964" s="1">
        <v>1</v>
      </c>
      <c r="J2964" s="1">
        <v>1.5</v>
      </c>
      <c r="K2964" s="1">
        <v>1</v>
      </c>
      <c r="L2964" s="1">
        <v>1</v>
      </c>
      <c r="M2964" s="1">
        <v>918</v>
      </c>
      <c r="N2964" s="1">
        <v>992.79</v>
      </c>
      <c r="O2964" s="1">
        <v>1052.1099999999999</v>
      </c>
      <c r="P2964" s="1">
        <v>59.3333333333333</v>
      </c>
      <c r="Q2964" s="1" t="s">
        <v>42</v>
      </c>
      <c r="S2964" s="1" t="s">
        <v>42</v>
      </c>
      <c r="T2964" s="1" t="s">
        <v>273</v>
      </c>
      <c r="V2964" s="5">
        <v>43623</v>
      </c>
      <c r="W2964" s="5">
        <v>42203</v>
      </c>
      <c r="X2964" s="1">
        <v>1790000</v>
      </c>
      <c r="Y2964" s="1">
        <v>1790000</v>
      </c>
      <c r="Z2964" s="5">
        <v>42203</v>
      </c>
      <c r="AA2964" s="1">
        <v>1827813.4</v>
      </c>
      <c r="AB2964" s="1" t="s">
        <v>1840</v>
      </c>
      <c r="AC2964" s="5">
        <v>43185</v>
      </c>
      <c r="AF2964" s="1">
        <v>10023</v>
      </c>
      <c r="AI2964" s="1" t="s">
        <v>60</v>
      </c>
      <c r="AJ2964" s="1">
        <v>2017</v>
      </c>
      <c r="AK2964" s="1" t="s">
        <v>108</v>
      </c>
      <c r="AL2964" s="1">
        <v>246</v>
      </c>
    </row>
    <row r="2965" spans="1:38" x14ac:dyDescent="0.2">
      <c r="A2965" s="2" t="str">
        <f>HYPERLINK("https://www.compass.com/listing/200-east-94th-street-unit-2315-manhattan-ny-10128/463671376721678745/","200 E 94th St, Unit 2315")</f>
        <v>200 E 94th St, Unit 2315</v>
      </c>
      <c r="B2965" s="2" t="str">
        <f>HYPERLINK("https://www.compass.com/building/carnegie-park-condominium-manhattan-ny/282049797358118613/","Carnegie Park Condominium")</f>
        <v>Carnegie Park Condominium</v>
      </c>
      <c r="C2965" s="1" t="s">
        <v>82</v>
      </c>
      <c r="D2965" s="1" t="s">
        <v>41</v>
      </c>
      <c r="E2965" s="3">
        <v>1700000</v>
      </c>
      <c r="F2965" s="1">
        <v>1579.92565055762</v>
      </c>
      <c r="G2965" s="1">
        <v>4</v>
      </c>
      <c r="H2965" s="1">
        <v>2</v>
      </c>
      <c r="I2965" s="1">
        <v>2</v>
      </c>
      <c r="J2965" s="1">
        <v>2</v>
      </c>
      <c r="K2965" s="1">
        <v>2</v>
      </c>
      <c r="M2965" s="4">
        <v>1076</v>
      </c>
      <c r="N2965" s="1">
        <v>1280</v>
      </c>
      <c r="O2965" s="1">
        <v>2624</v>
      </c>
      <c r="P2965" s="1">
        <v>1344</v>
      </c>
      <c r="Q2965" s="1" t="s">
        <v>42</v>
      </c>
      <c r="S2965" s="1" t="s">
        <v>42</v>
      </c>
      <c r="T2965" s="1" t="s">
        <v>273</v>
      </c>
      <c r="U2965" s="1">
        <v>315</v>
      </c>
      <c r="V2965" s="5">
        <v>44415</v>
      </c>
      <c r="W2965" s="5">
        <v>43891</v>
      </c>
      <c r="X2965" s="1">
        <v>1800000</v>
      </c>
      <c r="Y2965" s="1">
        <v>1800000</v>
      </c>
      <c r="Z2965" s="5">
        <v>44301</v>
      </c>
      <c r="AA2965" s="1">
        <v>1700000</v>
      </c>
      <c r="AB2965" s="1" t="s">
        <v>1841</v>
      </c>
      <c r="AC2965" s="5">
        <v>44371</v>
      </c>
      <c r="AF2965" s="1">
        <v>10128</v>
      </c>
      <c r="AI2965" s="1" t="s">
        <v>185</v>
      </c>
      <c r="AJ2965" s="1">
        <v>1986</v>
      </c>
      <c r="AK2965" s="1" t="s">
        <v>108</v>
      </c>
      <c r="AL2965" s="1">
        <v>287</v>
      </c>
    </row>
    <row r="2966" spans="1:38" x14ac:dyDescent="0.2">
      <c r="A2966" s="2" t="str">
        <f>HYPERLINK("https://www.compass.com/listing/90-lexington-avenue-unit-5a-manhattan-ny-10016/29378549299321633/","90 Lexington Ave, Unit 5A")</f>
        <v>90 Lexington Ave, Unit 5A</v>
      </c>
      <c r="B2966" s="2" t="str">
        <f t="shared" ref="B2966:B2969" si="498">HYPERLINK("https://www.compass.com/building/88-90-lexington-avenue-manhattan-ny/281941431524842901/","88 &amp; 90 Lexington Avenue")</f>
        <v>88 &amp; 90 Lexington Avenue</v>
      </c>
      <c r="C2966" s="1" t="s">
        <v>40</v>
      </c>
      <c r="D2966" s="1" t="s">
        <v>41</v>
      </c>
      <c r="E2966" s="3">
        <v>1931874</v>
      </c>
      <c r="F2966" s="1">
        <v>1630.27341772151</v>
      </c>
      <c r="G2966" s="1">
        <v>3</v>
      </c>
      <c r="H2966" s="1">
        <v>1</v>
      </c>
      <c r="I2966" s="1">
        <v>1</v>
      </c>
      <c r="J2966" s="1">
        <v>1</v>
      </c>
      <c r="K2966" s="1">
        <v>1</v>
      </c>
      <c r="M2966" s="4">
        <v>1185</v>
      </c>
      <c r="N2966" s="1">
        <v>1240</v>
      </c>
      <c r="O2966" s="1">
        <v>2458</v>
      </c>
      <c r="P2966" s="1">
        <v>1218</v>
      </c>
      <c r="Q2966" s="1" t="s">
        <v>42</v>
      </c>
      <c r="S2966" s="1" t="s">
        <v>42</v>
      </c>
      <c r="T2966" s="1" t="s">
        <v>273</v>
      </c>
      <c r="U2966" s="1">
        <v>28</v>
      </c>
      <c r="V2966" s="5">
        <v>43677</v>
      </c>
      <c r="W2966" s="5">
        <v>42325</v>
      </c>
      <c r="X2966" s="1">
        <v>1915000</v>
      </c>
      <c r="Y2966" s="1">
        <v>1915000</v>
      </c>
      <c r="Z2966" s="5">
        <v>42353</v>
      </c>
      <c r="AA2966" s="1">
        <v>1931874</v>
      </c>
      <c r="AB2966" s="1" t="s">
        <v>1842</v>
      </c>
      <c r="AC2966" s="5">
        <v>42516</v>
      </c>
      <c r="AF2966" s="1">
        <v>10016</v>
      </c>
      <c r="AI2966" s="1" t="s">
        <v>122</v>
      </c>
      <c r="AJ2966" s="1">
        <v>1957</v>
      </c>
      <c r="AK2966" s="1" t="s">
        <v>46</v>
      </c>
      <c r="AL2966" s="1">
        <v>49</v>
      </c>
    </row>
    <row r="2967" spans="1:38" x14ac:dyDescent="0.2">
      <c r="A2967" s="2" t="str">
        <f>HYPERLINK("https://www.compass.com/listing/90-lexington-avenue-unit-9a-manhattan-ny-10016/29378555406228337/","90 Lexington Ave, Unit 9A")</f>
        <v>90 Lexington Ave, Unit 9A</v>
      </c>
      <c r="B2967" s="2" t="str">
        <f t="shared" si="498"/>
        <v>88 &amp; 90 Lexington Avenue</v>
      </c>
      <c r="C2967" s="1" t="s">
        <v>40</v>
      </c>
      <c r="D2967" s="1" t="s">
        <v>41</v>
      </c>
      <c r="E2967" s="3">
        <v>2219685</v>
      </c>
      <c r="F2967" s="1">
        <v>1873.1518987341699</v>
      </c>
      <c r="G2967" s="1">
        <v>3</v>
      </c>
      <c r="H2967" s="1">
        <v>1</v>
      </c>
      <c r="I2967" s="1">
        <v>1</v>
      </c>
      <c r="J2967" s="1">
        <v>1</v>
      </c>
      <c r="K2967" s="1">
        <v>1</v>
      </c>
      <c r="M2967" s="4">
        <v>1185</v>
      </c>
      <c r="N2967" s="1">
        <v>1296</v>
      </c>
      <c r="O2967" s="1">
        <v>2906</v>
      </c>
      <c r="P2967" s="1">
        <v>1610</v>
      </c>
      <c r="Q2967" s="1" t="s">
        <v>42</v>
      </c>
      <c r="S2967" s="1" t="s">
        <v>42</v>
      </c>
      <c r="T2967" s="1" t="s">
        <v>273</v>
      </c>
      <c r="V2967" s="5">
        <v>43664</v>
      </c>
      <c r="W2967" s="5">
        <v>42546</v>
      </c>
      <c r="X2967" s="1">
        <v>2225000</v>
      </c>
      <c r="Y2967" s="1">
        <v>2225000</v>
      </c>
      <c r="Z2967" s="5">
        <v>42546</v>
      </c>
      <c r="AA2967" s="1">
        <v>2219685</v>
      </c>
      <c r="AB2967" s="1" t="s">
        <v>1843</v>
      </c>
      <c r="AC2967" s="5">
        <v>42570</v>
      </c>
      <c r="AF2967" s="1">
        <v>10016</v>
      </c>
      <c r="AI2967" s="1" t="s">
        <v>122</v>
      </c>
      <c r="AJ2967" s="1">
        <v>1957</v>
      </c>
      <c r="AK2967" s="1" t="s">
        <v>46</v>
      </c>
      <c r="AL2967" s="1">
        <v>49</v>
      </c>
    </row>
    <row r="2968" spans="1:38" x14ac:dyDescent="0.2">
      <c r="A2968" s="2" t="str">
        <f>HYPERLINK("https://www.compass.com/listing/90-lexington-avenue-unit-6a-manhattan-ny-10016/29641207395233633/","90 Lexington Ave, Unit 6A")</f>
        <v>90 Lexington Ave, Unit 6A</v>
      </c>
      <c r="B2968" s="2" t="str">
        <f t="shared" si="498"/>
        <v>88 &amp; 90 Lexington Avenue</v>
      </c>
      <c r="C2968" s="1" t="s">
        <v>40</v>
      </c>
      <c r="D2968" s="1" t="s">
        <v>41</v>
      </c>
      <c r="E2968" s="3">
        <v>2036949</v>
      </c>
      <c r="F2968" s="1">
        <v>1949.23349282296</v>
      </c>
      <c r="G2968" s="1">
        <v>3</v>
      </c>
      <c r="H2968" s="1">
        <v>1</v>
      </c>
      <c r="I2968" s="1">
        <v>1</v>
      </c>
      <c r="J2968" s="1">
        <v>1.5</v>
      </c>
      <c r="K2968" s="1">
        <v>1</v>
      </c>
      <c r="L2968" s="1">
        <v>1</v>
      </c>
      <c r="M2968" s="4">
        <v>1045</v>
      </c>
      <c r="N2968" s="1">
        <v>1102</v>
      </c>
      <c r="O2968" s="1">
        <v>2184</v>
      </c>
      <c r="P2968" s="1">
        <v>1082</v>
      </c>
      <c r="Q2968" s="1" t="s">
        <v>42</v>
      </c>
      <c r="S2968" s="1" t="s">
        <v>42</v>
      </c>
      <c r="T2968" s="1" t="s">
        <v>273</v>
      </c>
      <c r="V2968" s="5">
        <v>43675</v>
      </c>
      <c r="W2968" s="5">
        <v>42269</v>
      </c>
      <c r="X2968" s="1">
        <v>1995000</v>
      </c>
      <c r="Y2968" s="1">
        <v>1995000</v>
      </c>
      <c r="Z2968" s="5">
        <v>42269</v>
      </c>
      <c r="AA2968" s="1">
        <v>2036949</v>
      </c>
      <c r="AB2968" s="1" t="s">
        <v>1844</v>
      </c>
      <c r="AC2968" s="5">
        <v>42563</v>
      </c>
      <c r="AF2968" s="1">
        <v>10016</v>
      </c>
      <c r="AI2968" s="1" t="s">
        <v>1845</v>
      </c>
      <c r="AJ2968" s="1">
        <v>1957</v>
      </c>
      <c r="AK2968" s="1" t="s">
        <v>46</v>
      </c>
      <c r="AL2968" s="1">
        <v>49</v>
      </c>
    </row>
    <row r="2969" spans="1:38" x14ac:dyDescent="0.2">
      <c r="A2969" s="2" t="str">
        <f>HYPERLINK("https://www.compass.com/listing/90-lexington-avenue-unit-4a-manhattan-ny-10016/803447844966710305/","90 Lexington Ave, Unit 4A")</f>
        <v>90 Lexington Ave, Unit 4A</v>
      </c>
      <c r="B2969" s="2" t="str">
        <f t="shared" si="498"/>
        <v>88 &amp; 90 Lexington Avenue</v>
      </c>
      <c r="C2969" s="1" t="s">
        <v>40</v>
      </c>
      <c r="D2969" s="1" t="s">
        <v>41</v>
      </c>
      <c r="E2969" s="3">
        <v>1893046</v>
      </c>
      <c r="F2969" s="1">
        <v>1811.5273971291799</v>
      </c>
      <c r="G2969" s="1">
        <v>3</v>
      </c>
      <c r="H2969" s="1">
        <v>1</v>
      </c>
      <c r="I2969" s="1">
        <v>1</v>
      </c>
      <c r="J2969" s="1">
        <v>1</v>
      </c>
      <c r="K2969" s="1">
        <v>1</v>
      </c>
      <c r="M2969" s="4">
        <v>1045</v>
      </c>
      <c r="N2969" s="1">
        <v>1091</v>
      </c>
      <c r="O2969" s="1">
        <v>2162</v>
      </c>
      <c r="P2969" s="1">
        <v>1071</v>
      </c>
      <c r="Q2969" s="1" t="s">
        <v>42</v>
      </c>
      <c r="S2969" s="1" t="s">
        <v>42</v>
      </c>
      <c r="T2969" s="1" t="s">
        <v>273</v>
      </c>
      <c r="U2969" s="1">
        <v>123</v>
      </c>
      <c r="V2969" s="5">
        <v>42998</v>
      </c>
      <c r="W2969" s="5">
        <v>42201</v>
      </c>
      <c r="X2969" s="1">
        <v>1905000</v>
      </c>
      <c r="Y2969" s="1">
        <v>1905000</v>
      </c>
      <c r="AA2969" s="1">
        <v>1893046.13</v>
      </c>
      <c r="AB2969" s="1" t="s">
        <v>1832</v>
      </c>
      <c r="AC2969" s="5">
        <v>42586</v>
      </c>
      <c r="AF2969" s="1">
        <v>10016</v>
      </c>
      <c r="AI2969" s="1" t="s">
        <v>122</v>
      </c>
      <c r="AJ2969" s="1">
        <v>1957</v>
      </c>
      <c r="AK2969" s="1" t="s">
        <v>46</v>
      </c>
      <c r="AL2969" s="1">
        <v>49</v>
      </c>
    </row>
    <row r="2970" spans="1:38" x14ac:dyDescent="0.2">
      <c r="A2970" s="2" t="str">
        <f>HYPERLINK("https://www.compass.com/listing/261-west-25th-street-unit-9b-manhattan-ny-10001/29372532385767649/","261 W 25th St, Unit 9B")</f>
        <v>261 W 25th St, Unit 9B</v>
      </c>
      <c r="B2970" s="2" t="str">
        <f>HYPERLINK("https://www.compass.com/building/the-seymour-manhattan-ny/281883155990840165/","The Seymour")</f>
        <v>The Seymour</v>
      </c>
      <c r="C2970" s="1" t="s">
        <v>62</v>
      </c>
      <c r="D2970" s="1" t="s">
        <v>41</v>
      </c>
      <c r="E2970" s="3">
        <v>4709406</v>
      </c>
      <c r="F2970" s="1">
        <v>2689.55225585379</v>
      </c>
      <c r="G2970" s="1">
        <v>5</v>
      </c>
      <c r="H2970" s="1">
        <v>3</v>
      </c>
      <c r="I2970" s="1">
        <v>3</v>
      </c>
      <c r="J2970" s="1">
        <v>2.5</v>
      </c>
      <c r="M2970" s="4">
        <v>1751</v>
      </c>
      <c r="N2970" s="1">
        <v>2154</v>
      </c>
      <c r="O2970" s="1">
        <v>4513</v>
      </c>
      <c r="P2970" s="1">
        <v>2359</v>
      </c>
      <c r="Q2970" s="1" t="s">
        <v>42</v>
      </c>
      <c r="S2970" s="1" t="s">
        <v>42</v>
      </c>
      <c r="T2970" s="1" t="s">
        <v>273</v>
      </c>
      <c r="U2970" s="1">
        <v>61</v>
      </c>
      <c r="V2970" s="5">
        <v>43654</v>
      </c>
      <c r="W2970" s="5">
        <v>41907</v>
      </c>
      <c r="X2970" s="1">
        <v>4625000</v>
      </c>
      <c r="Y2970" s="1">
        <v>4625000</v>
      </c>
      <c r="Z2970" s="5">
        <v>41968</v>
      </c>
      <c r="AA2970" s="1">
        <v>4709406</v>
      </c>
      <c r="AB2970" s="1" t="s">
        <v>1846</v>
      </c>
      <c r="AC2970" s="5">
        <v>42440</v>
      </c>
      <c r="AF2970" s="1">
        <v>10001</v>
      </c>
      <c r="AI2970" s="1" t="s">
        <v>163</v>
      </c>
      <c r="AJ2970" s="1">
        <v>2015</v>
      </c>
      <c r="AK2970" s="1" t="s">
        <v>49</v>
      </c>
      <c r="AL2970" s="1">
        <v>49</v>
      </c>
    </row>
    <row r="2971" spans="1:38" x14ac:dyDescent="0.2">
      <c r="A2971" s="2" t="str">
        <f>HYPERLINK("https://www.compass.com/listing/15-west-61st-street-unit-6n-manhattan-ny-10023/451873102918539121/","15 W 61st St, Unit 6N")</f>
        <v>15 W 61st St, Unit 6N</v>
      </c>
      <c r="B2971" s="2" t="str">
        <f t="shared" ref="B2971:B2974" si="499">HYPERLINK("https://www.compass.com/building/the-park-loggia-manhattan-ny/292861833130357557/","The Park Loggia")</f>
        <v>The Park Loggia</v>
      </c>
      <c r="C2971" s="1" t="s">
        <v>57</v>
      </c>
      <c r="D2971" s="1" t="s">
        <v>41</v>
      </c>
      <c r="E2971" s="3">
        <v>2260000</v>
      </c>
      <c r="F2971" s="1">
        <v>2246.5208747514898</v>
      </c>
      <c r="G2971" s="1">
        <v>3</v>
      </c>
      <c r="H2971" s="1">
        <v>1</v>
      </c>
      <c r="I2971" s="1">
        <v>2</v>
      </c>
      <c r="J2971" s="1">
        <v>1.5</v>
      </c>
      <c r="K2971" s="1">
        <v>1</v>
      </c>
      <c r="L2971" s="1">
        <v>1</v>
      </c>
      <c r="M2971" s="4">
        <v>1006</v>
      </c>
      <c r="N2971" s="1">
        <v>1034</v>
      </c>
      <c r="O2971" s="1">
        <v>2029</v>
      </c>
      <c r="P2971" s="1">
        <v>995</v>
      </c>
      <c r="Q2971" s="1" t="s">
        <v>42</v>
      </c>
      <c r="S2971" s="1" t="s">
        <v>42</v>
      </c>
      <c r="T2971" s="1" t="s">
        <v>273</v>
      </c>
      <c r="U2971" s="1">
        <v>266</v>
      </c>
      <c r="V2971" s="5">
        <v>43911</v>
      </c>
      <c r="W2971" s="5">
        <v>43605</v>
      </c>
      <c r="X2971" s="1">
        <v>2260000</v>
      </c>
      <c r="Y2971" s="1">
        <v>2260000</v>
      </c>
      <c r="AA2971" s="1">
        <v>2260000</v>
      </c>
      <c r="AB2971" s="1" t="s">
        <v>1847</v>
      </c>
      <c r="AC2971" s="5">
        <v>43871</v>
      </c>
      <c r="AF2971" s="1">
        <v>10023</v>
      </c>
      <c r="AI2971" s="1" t="s">
        <v>65</v>
      </c>
      <c r="AJ2971" s="1">
        <v>2019</v>
      </c>
      <c r="AK2971" s="1" t="s">
        <v>108</v>
      </c>
      <c r="AL2971" s="1">
        <v>172</v>
      </c>
    </row>
    <row r="2972" spans="1:38" x14ac:dyDescent="0.2">
      <c r="A2972" s="2" t="str">
        <f>HYPERLINK("https://www.compass.com/listing/15-west-61st-street-unit-6h-manhattan-ny-10023/477455362535581617/","15 W 61st St, Unit 6H")</f>
        <v>15 W 61st St, Unit 6H</v>
      </c>
      <c r="B2972" s="2" t="str">
        <f t="shared" si="499"/>
        <v>The Park Loggia</v>
      </c>
      <c r="C2972" s="1" t="s">
        <v>57</v>
      </c>
      <c r="D2972" s="1" t="s">
        <v>41</v>
      </c>
      <c r="E2972" s="3">
        <v>1769479</v>
      </c>
      <c r="F2972" s="1">
        <v>2242.6853612167301</v>
      </c>
      <c r="G2972" s="1">
        <v>3</v>
      </c>
      <c r="H2972" s="1">
        <v>1</v>
      </c>
      <c r="I2972" s="1">
        <v>2</v>
      </c>
      <c r="J2972" s="1">
        <v>1.5</v>
      </c>
      <c r="K2972" s="1">
        <v>1</v>
      </c>
      <c r="L2972" s="1">
        <v>1</v>
      </c>
      <c r="M2972" s="1">
        <v>789</v>
      </c>
      <c r="N2972" s="1">
        <v>811</v>
      </c>
      <c r="O2972" s="1">
        <v>1591</v>
      </c>
      <c r="P2972" s="1">
        <v>780</v>
      </c>
      <c r="Q2972" s="1" t="s">
        <v>42</v>
      </c>
      <c r="S2972" s="1" t="s">
        <v>42</v>
      </c>
      <c r="T2972" s="1" t="s">
        <v>273</v>
      </c>
      <c r="U2972" s="1">
        <v>303</v>
      </c>
      <c r="V2972" s="5">
        <v>43911</v>
      </c>
      <c r="W2972" s="5">
        <v>43599</v>
      </c>
      <c r="X2972" s="1">
        <v>1755000</v>
      </c>
      <c r="Y2972" s="1">
        <v>1755000</v>
      </c>
      <c r="AA2972" s="1">
        <v>1769478.75</v>
      </c>
      <c r="AB2972" s="1" t="s">
        <v>1848</v>
      </c>
      <c r="AC2972" s="5">
        <v>43902</v>
      </c>
      <c r="AF2972" s="1">
        <v>10023</v>
      </c>
      <c r="AI2972" s="1" t="s">
        <v>65</v>
      </c>
      <c r="AJ2972" s="1">
        <v>2019</v>
      </c>
      <c r="AK2972" s="1" t="s">
        <v>108</v>
      </c>
      <c r="AL2972" s="1">
        <v>172</v>
      </c>
    </row>
    <row r="2973" spans="1:38" x14ac:dyDescent="0.2">
      <c r="A2973" s="2" t="str">
        <f>HYPERLINK("https://www.compass.com/listing/15-west-61st-street-unit-5g-manhattan-ny-10023/481700974248020625/","15 W 61st St, Unit 5G")</f>
        <v>15 W 61st St, Unit 5G</v>
      </c>
      <c r="B2973" s="2" t="str">
        <f t="shared" si="499"/>
        <v>The Park Loggia</v>
      </c>
      <c r="C2973" s="1" t="s">
        <v>57</v>
      </c>
      <c r="D2973" s="1" t="s">
        <v>41</v>
      </c>
      <c r="E2973" s="3">
        <v>1731330</v>
      </c>
      <c r="F2973" s="1">
        <v>2194.3352091254701</v>
      </c>
      <c r="G2973" s="1">
        <v>3.5</v>
      </c>
      <c r="H2973" s="1">
        <v>1</v>
      </c>
      <c r="I2973" s="1">
        <v>2</v>
      </c>
      <c r="J2973" s="1">
        <v>1.5</v>
      </c>
      <c r="K2973" s="1">
        <v>1</v>
      </c>
      <c r="L2973" s="1">
        <v>1</v>
      </c>
      <c r="M2973" s="1">
        <v>789</v>
      </c>
      <c r="N2973" s="1">
        <v>811</v>
      </c>
      <c r="O2973" s="1">
        <v>1591</v>
      </c>
      <c r="P2973" s="1">
        <v>780</v>
      </c>
      <c r="Q2973" s="1" t="s">
        <v>42</v>
      </c>
      <c r="S2973" s="1" t="s">
        <v>42</v>
      </c>
      <c r="T2973" s="1" t="s">
        <v>273</v>
      </c>
      <c r="U2973" s="1">
        <v>149</v>
      </c>
      <c r="V2973" s="5">
        <v>44091</v>
      </c>
      <c r="W2973" s="5">
        <v>43761</v>
      </c>
      <c r="X2973" s="1">
        <v>1700300</v>
      </c>
      <c r="Y2973" s="1">
        <v>1735000</v>
      </c>
      <c r="Z2973" s="5">
        <v>43916</v>
      </c>
      <c r="AA2973" s="1">
        <v>1731330.48</v>
      </c>
      <c r="AB2973" s="1" t="s">
        <v>1849</v>
      </c>
      <c r="AC2973" s="5">
        <v>44090</v>
      </c>
      <c r="AF2973" s="1">
        <v>10023</v>
      </c>
      <c r="AI2973" s="1" t="s">
        <v>65</v>
      </c>
      <c r="AJ2973" s="1">
        <v>2019</v>
      </c>
      <c r="AK2973" s="1" t="s">
        <v>108</v>
      </c>
      <c r="AL2973" s="1">
        <v>172</v>
      </c>
    </row>
    <row r="2974" spans="1:38" x14ac:dyDescent="0.2">
      <c r="A2974" s="2" t="str">
        <f>HYPERLINK("https://www.compass.com/listing/15-west-61st-street-unit-6o-manhattan-ny-10023/481700992854312209/","15 W 61st St, Unit 6O")</f>
        <v>15 W 61st St, Unit 6O</v>
      </c>
      <c r="B2974" s="2" t="str">
        <f t="shared" si="499"/>
        <v>The Park Loggia</v>
      </c>
      <c r="C2974" s="1" t="s">
        <v>57</v>
      </c>
      <c r="D2974" s="1" t="s">
        <v>41</v>
      </c>
      <c r="E2974" s="3">
        <v>2260000</v>
      </c>
      <c r="F2974" s="1">
        <v>2308.4780388151098</v>
      </c>
      <c r="G2974" s="1">
        <v>3.5</v>
      </c>
      <c r="H2974" s="1">
        <v>1</v>
      </c>
      <c r="I2974" s="1">
        <v>2</v>
      </c>
      <c r="J2974" s="1">
        <v>1.5</v>
      </c>
      <c r="K2974" s="1">
        <v>1</v>
      </c>
      <c r="L2974" s="1">
        <v>1</v>
      </c>
      <c r="M2974" s="1">
        <v>979</v>
      </c>
      <c r="N2974" s="1">
        <v>1007</v>
      </c>
      <c r="O2974" s="1">
        <v>1975</v>
      </c>
      <c r="P2974" s="1">
        <v>968</v>
      </c>
      <c r="Q2974" s="1" t="s">
        <v>42</v>
      </c>
      <c r="S2974" s="1" t="s">
        <v>42</v>
      </c>
      <c r="T2974" s="1" t="s">
        <v>273</v>
      </c>
      <c r="U2974" s="1">
        <v>101</v>
      </c>
      <c r="V2974" s="5">
        <v>43928</v>
      </c>
      <c r="W2974" s="5">
        <v>43808</v>
      </c>
      <c r="X2974" s="1">
        <v>2260000</v>
      </c>
      <c r="Y2974" s="1">
        <v>2260000</v>
      </c>
      <c r="Z2974" s="5">
        <v>43916</v>
      </c>
      <c r="AA2974" s="1">
        <v>2260000</v>
      </c>
      <c r="AB2974" s="1" t="s">
        <v>1850</v>
      </c>
      <c r="AC2974" s="5">
        <v>43924</v>
      </c>
      <c r="AF2974" s="1">
        <v>10023</v>
      </c>
      <c r="AI2974" s="1" t="s">
        <v>65</v>
      </c>
      <c r="AJ2974" s="1">
        <v>2019</v>
      </c>
      <c r="AK2974" s="1" t="s">
        <v>108</v>
      </c>
      <c r="AL2974" s="1">
        <v>172</v>
      </c>
    </row>
    <row r="2975" spans="1:38" x14ac:dyDescent="0.2">
      <c r="A2975" s="2" t="str">
        <f>HYPERLINK("https://www.compass.com/listing/360-east-89th-street-unit-18c-manhattan-ny-10128/182550806812186449/","360 E 89th St, Unit 18C")</f>
        <v>360 E 89th St, Unit 18C</v>
      </c>
      <c r="B2975" s="2" t="str">
        <f>HYPERLINK("https://www.compass.com/building/citizen360-manhattan-ny/282052027553444853/","Citizen360")</f>
        <v>Citizen360</v>
      </c>
      <c r="C2975" s="1" t="s">
        <v>82</v>
      </c>
      <c r="D2975" s="1" t="s">
        <v>41</v>
      </c>
      <c r="E2975" s="3">
        <v>2750000</v>
      </c>
      <c r="F2975" s="1">
        <v>1636.9047619047601</v>
      </c>
      <c r="G2975" s="1">
        <v>4</v>
      </c>
      <c r="H2975" s="1">
        <v>2</v>
      </c>
      <c r="I2975" s="1">
        <v>3</v>
      </c>
      <c r="J2975" s="1">
        <v>2.5</v>
      </c>
      <c r="K2975" s="1">
        <v>2</v>
      </c>
      <c r="L2975" s="1">
        <v>1</v>
      </c>
      <c r="M2975" s="4">
        <v>1680</v>
      </c>
      <c r="N2975" s="1">
        <v>1666.28</v>
      </c>
      <c r="O2975" s="1">
        <v>2901.0699999999902</v>
      </c>
      <c r="P2975" s="1">
        <v>1234.75</v>
      </c>
      <c r="Q2975" s="1" t="s">
        <v>42</v>
      </c>
      <c r="S2975" s="1" t="s">
        <v>42</v>
      </c>
      <c r="T2975" s="1" t="s">
        <v>273</v>
      </c>
      <c r="U2975" s="1">
        <v>290</v>
      </c>
      <c r="V2975" s="5">
        <v>43696</v>
      </c>
      <c r="W2975" s="5">
        <v>43370</v>
      </c>
      <c r="X2975" s="1">
        <v>3055000</v>
      </c>
      <c r="Y2975" s="1">
        <v>2950000</v>
      </c>
      <c r="Z2975" s="5">
        <v>43660</v>
      </c>
      <c r="AA2975" s="1">
        <v>2750000</v>
      </c>
      <c r="AB2975" s="1" t="s">
        <v>1851</v>
      </c>
      <c r="AC2975" s="5">
        <v>43684</v>
      </c>
      <c r="AF2975" s="1">
        <v>10128</v>
      </c>
      <c r="AJ2975" s="1">
        <v>2017</v>
      </c>
      <c r="AK2975" s="1" t="s">
        <v>108</v>
      </c>
      <c r="AL2975" s="1">
        <v>82</v>
      </c>
    </row>
    <row r="2976" spans="1:38" x14ac:dyDescent="0.2">
      <c r="A2976" s="2" t="str">
        <f>HYPERLINK("https://www.compass.com/listing/200-east-94th-street-unit-506-manhattan-ny-10128/564784029139283569/","200 E 94th St, Unit 506")</f>
        <v>200 E 94th St, Unit 506</v>
      </c>
      <c r="B2976" s="2" t="str">
        <f>HYPERLINK("https://www.compass.com/building/carnegie-park-condominium-manhattan-ny/282049797358118613/","Carnegie Park Condominium")</f>
        <v>Carnegie Park Condominium</v>
      </c>
      <c r="C2976" s="1" t="s">
        <v>82</v>
      </c>
      <c r="D2976" s="1" t="s">
        <v>41</v>
      </c>
      <c r="E2976" s="3">
        <v>975000</v>
      </c>
      <c r="F2976" s="1">
        <v>1369.38202247191</v>
      </c>
      <c r="G2976" s="1">
        <v>3</v>
      </c>
      <c r="H2976" s="1">
        <v>1</v>
      </c>
      <c r="I2976" s="1">
        <v>1</v>
      </c>
      <c r="J2976" s="1">
        <v>1</v>
      </c>
      <c r="K2976" s="1">
        <v>1</v>
      </c>
      <c r="M2976" s="1">
        <v>712</v>
      </c>
      <c r="N2976" s="1">
        <v>806</v>
      </c>
      <c r="O2976" s="1">
        <v>1485</v>
      </c>
      <c r="P2976" s="1">
        <v>679</v>
      </c>
      <c r="Q2976" s="1" t="s">
        <v>42</v>
      </c>
      <c r="S2976" s="1" t="s">
        <v>42</v>
      </c>
      <c r="T2976" s="1" t="s">
        <v>273</v>
      </c>
      <c r="U2976" s="1">
        <v>89</v>
      </c>
      <c r="V2976" s="5">
        <v>44251</v>
      </c>
      <c r="W2976" s="5">
        <v>44031</v>
      </c>
      <c r="X2976" s="1">
        <v>1075000</v>
      </c>
      <c r="Y2976" s="1">
        <v>1075000</v>
      </c>
      <c r="Z2976" s="5">
        <v>44120</v>
      </c>
      <c r="AA2976" s="1">
        <v>975000</v>
      </c>
      <c r="AB2976" s="1" t="s">
        <v>1852</v>
      </c>
      <c r="AC2976" s="5">
        <v>44224</v>
      </c>
      <c r="AF2976" s="1">
        <v>10128</v>
      </c>
      <c r="AI2976" s="1" t="s">
        <v>163</v>
      </c>
      <c r="AJ2976" s="1">
        <v>1986</v>
      </c>
      <c r="AK2976" s="1" t="s">
        <v>46</v>
      </c>
      <c r="AL2976" s="1">
        <v>287</v>
      </c>
    </row>
    <row r="2977" spans="1:38" x14ac:dyDescent="0.2">
      <c r="A2977" s="2" t="str">
        <f>HYPERLINK("https://www.compass.com/listing/12-east-88th-street-unit-2d-manhattan-ny-10128/29420043406236417/","12 E 88th St, Unit 2D")</f>
        <v>12 E 88th St, Unit 2D</v>
      </c>
      <c r="B2977" s="2" t="str">
        <f>HYPERLINK("https://www.compass.com/building/12-e-88th-st-manhattan-ny-10128/282046316798827461/","12 E 88th St")</f>
        <v>12 E 88th St</v>
      </c>
      <c r="C2977" s="1" t="s">
        <v>82</v>
      </c>
      <c r="D2977" s="1" t="s">
        <v>41</v>
      </c>
      <c r="E2977" s="3">
        <v>3000000</v>
      </c>
      <c r="F2977" s="1">
        <v>2068.96551724137</v>
      </c>
      <c r="G2977" s="1">
        <v>3</v>
      </c>
      <c r="H2977" s="1">
        <v>2</v>
      </c>
      <c r="I2977" s="1">
        <v>2</v>
      </c>
      <c r="J2977" s="1">
        <v>2</v>
      </c>
      <c r="M2977" s="4">
        <v>1450</v>
      </c>
      <c r="N2977" s="1">
        <v>1727</v>
      </c>
      <c r="O2977" s="1">
        <v>3617</v>
      </c>
      <c r="P2977" s="1">
        <v>1890</v>
      </c>
      <c r="Q2977" s="1" t="s">
        <v>42</v>
      </c>
      <c r="S2977" s="1" t="s">
        <v>42</v>
      </c>
      <c r="T2977" s="1" t="s">
        <v>273</v>
      </c>
      <c r="V2977" s="5">
        <v>43670</v>
      </c>
      <c r="W2977" s="5">
        <v>42712</v>
      </c>
      <c r="X2977" s="1">
        <v>3000000</v>
      </c>
      <c r="Y2977" s="1">
        <v>3000000</v>
      </c>
      <c r="Z2977" s="5">
        <v>42712</v>
      </c>
      <c r="AA2977" s="1">
        <v>3000000</v>
      </c>
      <c r="AB2977" s="1" t="s">
        <v>1853</v>
      </c>
      <c r="AC2977" s="5">
        <v>42951</v>
      </c>
      <c r="AF2977" s="1">
        <v>10128</v>
      </c>
      <c r="AI2977" s="1" t="s">
        <v>177</v>
      </c>
      <c r="AJ2977" s="1">
        <v>1931</v>
      </c>
      <c r="AK2977" s="1" t="s">
        <v>49</v>
      </c>
      <c r="AL2977" s="1">
        <v>39</v>
      </c>
    </row>
    <row r="2978" spans="1:38" x14ac:dyDescent="0.2">
      <c r="A2978" s="2" t="str">
        <f>HYPERLINK("https://www.compass.com/listing/235-west-75th-street-unit-705-manhattan-ny-10023/29395875415554801/","235 W 75th St, Unit 705")</f>
        <v>235 W 75th St, Unit 705</v>
      </c>
      <c r="B2978" s="2" t="str">
        <f>HYPERLINK("https://www.compass.com/building/the-astor-manhattan-ny/281958704155269925/","The Astor")</f>
        <v>The Astor</v>
      </c>
      <c r="C2978" s="1" t="s">
        <v>57</v>
      </c>
      <c r="D2978" s="1" t="s">
        <v>41</v>
      </c>
      <c r="E2978" s="3">
        <v>5896718</v>
      </c>
      <c r="F2978" s="1">
        <v>2434.6482246077599</v>
      </c>
      <c r="G2978" s="1">
        <v>6</v>
      </c>
      <c r="H2978" s="1">
        <v>4</v>
      </c>
      <c r="I2978" s="1">
        <v>3</v>
      </c>
      <c r="J2978" s="1">
        <v>3.5</v>
      </c>
      <c r="K2978" s="1">
        <v>3</v>
      </c>
      <c r="L2978" s="1">
        <v>1</v>
      </c>
      <c r="M2978" s="4">
        <v>2422</v>
      </c>
      <c r="N2978" s="1">
        <v>3199</v>
      </c>
      <c r="O2978" s="1">
        <v>6681</v>
      </c>
      <c r="P2978" s="1">
        <v>3482</v>
      </c>
      <c r="Q2978" s="1" t="s">
        <v>42</v>
      </c>
      <c r="S2978" s="1" t="s">
        <v>42</v>
      </c>
      <c r="T2978" s="1" t="s">
        <v>273</v>
      </c>
      <c r="U2978" s="1">
        <v>29</v>
      </c>
      <c r="V2978" s="5">
        <v>43664</v>
      </c>
      <c r="W2978" s="5">
        <v>42445</v>
      </c>
      <c r="X2978" s="1">
        <v>6100000</v>
      </c>
      <c r="Y2978" s="1">
        <v>5855000</v>
      </c>
      <c r="Z2978" s="5">
        <v>42474</v>
      </c>
      <c r="AA2978" s="1">
        <v>5896718</v>
      </c>
      <c r="AB2978" s="1" t="s">
        <v>1854</v>
      </c>
      <c r="AC2978" s="5">
        <v>42720</v>
      </c>
      <c r="AF2978" s="1">
        <v>10023</v>
      </c>
      <c r="AJ2978" s="1">
        <v>2018</v>
      </c>
      <c r="AK2978" s="1" t="s">
        <v>46</v>
      </c>
      <c r="AL2978" s="1">
        <v>98</v>
      </c>
    </row>
    <row r="2979" spans="1:38" x14ac:dyDescent="0.2">
      <c r="A2979" s="2" t="str">
        <f>HYPERLINK("https://www.compass.com/listing/88-lexington-avenue-unit-1001-manhattan-ny-10016/29378567871700065/","88 Lexington Ave, Unit 1001")</f>
        <v>88 Lexington Ave, Unit 1001</v>
      </c>
      <c r="B2979" s="2" t="str">
        <f>HYPERLINK("https://www.compass.com/building/88-90-lexington-avenue-manhattan-ny/281903945159296309/","88 &amp; 90 Lexington Avenue")</f>
        <v>88 &amp; 90 Lexington Avenue</v>
      </c>
      <c r="C2979" s="1" t="s">
        <v>40</v>
      </c>
      <c r="D2979" s="1" t="s">
        <v>41</v>
      </c>
      <c r="E2979" s="3">
        <v>2152795</v>
      </c>
      <c r="F2979" s="1">
        <v>2034.7778827977299</v>
      </c>
      <c r="G2979" s="1">
        <v>3</v>
      </c>
      <c r="H2979" s="1">
        <v>1</v>
      </c>
      <c r="I2979" s="1">
        <v>1</v>
      </c>
      <c r="J2979" s="1">
        <v>1.5</v>
      </c>
      <c r="K2979" s="1">
        <v>1</v>
      </c>
      <c r="L2979" s="1">
        <v>1</v>
      </c>
      <c r="M2979" s="4">
        <v>1058</v>
      </c>
      <c r="N2979" s="1">
        <v>1020</v>
      </c>
      <c r="O2979" s="1">
        <v>2501</v>
      </c>
      <c r="P2979" s="1">
        <v>1481</v>
      </c>
      <c r="Q2979" s="1" t="s">
        <v>42</v>
      </c>
      <c r="S2979" s="1" t="s">
        <v>42</v>
      </c>
      <c r="T2979" s="1" t="s">
        <v>273</v>
      </c>
      <c r="U2979" s="1">
        <v>272</v>
      </c>
      <c r="V2979" s="5">
        <v>43662</v>
      </c>
      <c r="W2979" s="5">
        <v>42588</v>
      </c>
      <c r="X2979" s="1">
        <v>2150000</v>
      </c>
      <c r="Y2979" s="1">
        <v>2150000</v>
      </c>
      <c r="AA2979" s="1">
        <v>2152795</v>
      </c>
      <c r="AB2979" s="1" t="s">
        <v>1855</v>
      </c>
      <c r="AC2979" s="5">
        <v>42861</v>
      </c>
      <c r="AF2979" s="1">
        <v>10016</v>
      </c>
      <c r="AI2979" s="1" t="s">
        <v>78</v>
      </c>
      <c r="AJ2979" s="1">
        <v>1927</v>
      </c>
      <c r="AK2979" s="1" t="s">
        <v>46</v>
      </c>
      <c r="AL2979" s="1">
        <v>70</v>
      </c>
    </row>
    <row r="2980" spans="1:38" x14ac:dyDescent="0.2">
      <c r="A2980" s="2" t="str">
        <f>HYPERLINK("https://www.compass.com/listing/90-lexington-avenue-unit-10a-manhattan-ny-10016/29378556781960081/","90 Lexington Ave, Unit 10A")</f>
        <v>90 Lexington Ave, Unit 10A</v>
      </c>
      <c r="B2980" s="2" t="str">
        <f>HYPERLINK("https://www.compass.com/building/88-90-lexington-avenue-manhattan-ny/281941431524842901/","88 &amp; 90 Lexington Avenue")</f>
        <v>88 &amp; 90 Lexington Avenue</v>
      </c>
      <c r="C2980" s="1" t="s">
        <v>40</v>
      </c>
      <c r="D2980" s="1" t="s">
        <v>41</v>
      </c>
      <c r="E2980" s="3">
        <v>2220389</v>
      </c>
      <c r="F2980" s="1">
        <v>1873.7459915611801</v>
      </c>
      <c r="G2980" s="1">
        <v>3</v>
      </c>
      <c r="H2980" s="1">
        <v>1</v>
      </c>
      <c r="I2980" s="1">
        <v>1</v>
      </c>
      <c r="J2980" s="1">
        <v>1.5</v>
      </c>
      <c r="K2980" s="1">
        <v>1</v>
      </c>
      <c r="L2980" s="1">
        <v>1</v>
      </c>
      <c r="M2980" s="4">
        <v>1185</v>
      </c>
      <c r="N2980" s="1">
        <v>1331</v>
      </c>
      <c r="O2980" s="1">
        <v>3557</v>
      </c>
      <c r="P2980" s="1">
        <v>2226</v>
      </c>
      <c r="Q2980" s="1" t="s">
        <v>42</v>
      </c>
      <c r="S2980" s="1" t="s">
        <v>42</v>
      </c>
      <c r="T2980" s="1" t="s">
        <v>273</v>
      </c>
      <c r="V2980" s="5">
        <v>43643</v>
      </c>
      <c r="W2980" s="5">
        <v>43006</v>
      </c>
      <c r="X2980" s="1">
        <v>2295000</v>
      </c>
      <c r="Y2980" s="1">
        <v>2295000</v>
      </c>
      <c r="Z2980" s="5">
        <v>43006</v>
      </c>
      <c r="AA2980" s="1">
        <v>2220389</v>
      </c>
      <c r="AB2980" s="1" t="s">
        <v>1856</v>
      </c>
      <c r="AC2980" s="5">
        <v>43147</v>
      </c>
      <c r="AF2980" s="1">
        <v>10016</v>
      </c>
      <c r="AI2980" s="1" t="s">
        <v>1845</v>
      </c>
      <c r="AJ2980" s="1">
        <v>1957</v>
      </c>
      <c r="AK2980" s="1" t="s">
        <v>46</v>
      </c>
      <c r="AL2980" s="1">
        <v>49</v>
      </c>
    </row>
    <row r="2981" spans="1:38" x14ac:dyDescent="0.2">
      <c r="A2981" s="2" t="str">
        <f>HYPERLINK("https://www.compass.com/listing/360-east-89th-street-unit-17c-manhattan-ny-10128/29424458783643457/","360 E 89th St, Unit 17C")</f>
        <v>360 E 89th St, Unit 17C</v>
      </c>
      <c r="B2981" s="2" t="str">
        <f>HYPERLINK("https://www.compass.com/building/citizen360-manhattan-ny/282052027553444853/","Citizen360")</f>
        <v>Citizen360</v>
      </c>
      <c r="C2981" s="1" t="s">
        <v>82</v>
      </c>
      <c r="D2981" s="1" t="s">
        <v>41</v>
      </c>
      <c r="E2981" s="3">
        <v>2980000</v>
      </c>
      <c r="F2981" s="1">
        <v>1773.80952380952</v>
      </c>
      <c r="G2981" s="1">
        <v>4.5</v>
      </c>
      <c r="H2981" s="1">
        <v>2</v>
      </c>
      <c r="I2981" s="1">
        <v>2</v>
      </c>
      <c r="J2981" s="1">
        <v>2.5</v>
      </c>
      <c r="K2981" s="1">
        <v>2</v>
      </c>
      <c r="L2981" s="1">
        <v>1</v>
      </c>
      <c r="M2981" s="4">
        <v>1680</v>
      </c>
      <c r="N2981" s="1">
        <v>1659</v>
      </c>
      <c r="O2981" s="1">
        <v>3588</v>
      </c>
      <c r="P2981" s="1">
        <v>1929</v>
      </c>
      <c r="Q2981" s="1" t="s">
        <v>42</v>
      </c>
      <c r="S2981" s="1" t="s">
        <v>42</v>
      </c>
      <c r="T2981" s="1" t="s">
        <v>273</v>
      </c>
      <c r="U2981" s="1">
        <v>75</v>
      </c>
      <c r="V2981" s="5">
        <v>43641</v>
      </c>
      <c r="W2981" s="5">
        <v>42971</v>
      </c>
      <c r="X2981" s="1">
        <v>2980000</v>
      </c>
      <c r="Y2981" s="1">
        <v>3030000</v>
      </c>
      <c r="Z2981" s="5">
        <v>43046</v>
      </c>
      <c r="AA2981" s="1">
        <v>2980000</v>
      </c>
      <c r="AB2981" s="1" t="s">
        <v>1857</v>
      </c>
      <c r="AC2981" s="5">
        <v>43168</v>
      </c>
      <c r="AF2981" s="1">
        <v>10128</v>
      </c>
      <c r="AJ2981" s="1">
        <v>2017</v>
      </c>
      <c r="AK2981" s="1" t="s">
        <v>108</v>
      </c>
      <c r="AL2981" s="1">
        <v>82</v>
      </c>
    </row>
    <row r="2982" spans="1:38" x14ac:dyDescent="0.2">
      <c r="A2982" s="2" t="str">
        <f>HYPERLINK("https://www.compass.com/listing/200-east-94th-street-unit-1909-manhattan-ny-10128/352874388521132385/","200 E 94th St, Unit 1909")</f>
        <v>200 E 94th St, Unit 1909</v>
      </c>
      <c r="B2982" s="2" t="str">
        <f>HYPERLINK("https://www.compass.com/building/carnegie-park-condominium-manhattan-ny/282049797358118613/","Carnegie Park Condominium")</f>
        <v>Carnegie Park Condominium</v>
      </c>
      <c r="C2982" s="1" t="s">
        <v>82</v>
      </c>
      <c r="D2982" s="1" t="s">
        <v>41</v>
      </c>
      <c r="E2982" s="3">
        <v>2453626</v>
      </c>
      <c r="F2982" s="1">
        <v>1556.86939086294</v>
      </c>
      <c r="G2982" s="1">
        <v>5</v>
      </c>
      <c r="H2982" s="1">
        <v>3</v>
      </c>
      <c r="I2982" s="1">
        <v>2</v>
      </c>
      <c r="J2982" s="1">
        <v>2</v>
      </c>
      <c r="K2982" s="1">
        <v>2</v>
      </c>
      <c r="M2982" s="4">
        <v>1576</v>
      </c>
      <c r="N2982" s="1">
        <v>1795</v>
      </c>
      <c r="O2982" s="1">
        <v>3679</v>
      </c>
      <c r="P2982" s="1">
        <v>1884</v>
      </c>
      <c r="Q2982" s="1" t="s">
        <v>42</v>
      </c>
      <c r="S2982" s="1" t="s">
        <v>42</v>
      </c>
      <c r="T2982" s="1" t="s">
        <v>273</v>
      </c>
      <c r="U2982" s="1">
        <v>336</v>
      </c>
      <c r="V2982" s="5">
        <v>44301</v>
      </c>
      <c r="W2982" s="5">
        <v>43725</v>
      </c>
      <c r="X2982" s="1">
        <v>2975000</v>
      </c>
      <c r="Y2982" s="1">
        <v>2975000</v>
      </c>
      <c r="Z2982" s="5">
        <v>44217</v>
      </c>
      <c r="AA2982" s="1">
        <v>2453626.16</v>
      </c>
      <c r="AB2982" s="1" t="s">
        <v>1858</v>
      </c>
      <c r="AC2982" s="5">
        <v>44298</v>
      </c>
      <c r="AF2982" s="1">
        <v>10128</v>
      </c>
      <c r="AI2982" s="1" t="s">
        <v>185</v>
      </c>
      <c r="AJ2982" s="1">
        <v>1986</v>
      </c>
      <c r="AK2982" s="1" t="s">
        <v>108</v>
      </c>
      <c r="AL2982" s="1">
        <v>287</v>
      </c>
    </row>
    <row r="2983" spans="1:38" x14ac:dyDescent="0.2">
      <c r="A2983" s="2" t="str">
        <f>HYPERLINK("https://www.compass.com/listing/261-west-25th-street-unit-1b-manhattan-ny-10001/4852273378859421201/","261 W 25th St, Unit 1B")</f>
        <v>261 W 25th St, Unit 1B</v>
      </c>
      <c r="B2983" s="2" t="str">
        <f>HYPERLINK("https://www.compass.com/building/the-seymour-manhattan-ny/281883155990840165/","The Seymour")</f>
        <v>The Seymour</v>
      </c>
      <c r="C2983" s="1" t="s">
        <v>62</v>
      </c>
      <c r="D2983" s="1" t="s">
        <v>41</v>
      </c>
      <c r="E2983" s="3">
        <v>675000</v>
      </c>
      <c r="F2983" s="1">
        <v>1477.0240700218801</v>
      </c>
      <c r="G2983" s="1">
        <v>1</v>
      </c>
      <c r="H2983" s="1" t="s">
        <v>99</v>
      </c>
      <c r="I2983" s="1">
        <v>1</v>
      </c>
      <c r="J2983" s="1">
        <v>1</v>
      </c>
      <c r="M2983" s="1">
        <v>457</v>
      </c>
      <c r="N2983" s="1">
        <v>530</v>
      </c>
      <c r="O2983" s="1">
        <v>1111</v>
      </c>
      <c r="P2983" s="1">
        <v>581</v>
      </c>
      <c r="Q2983" s="1" t="s">
        <v>42</v>
      </c>
      <c r="S2983" s="1" t="s">
        <v>42</v>
      </c>
      <c r="T2983" s="1" t="s">
        <v>273</v>
      </c>
      <c r="V2983" s="5">
        <v>43663</v>
      </c>
      <c r="W2983" s="5">
        <v>41863</v>
      </c>
      <c r="X2983" s="1">
        <v>675000</v>
      </c>
      <c r="Y2983" s="1">
        <v>675000</v>
      </c>
      <c r="Z2983" s="5">
        <v>41863</v>
      </c>
      <c r="AA2983" s="1">
        <v>675000</v>
      </c>
      <c r="AB2983" s="1" t="s">
        <v>275</v>
      </c>
      <c r="AC2983" s="5">
        <v>42505</v>
      </c>
      <c r="AF2983" s="1">
        <v>10001</v>
      </c>
      <c r="AI2983" s="1" t="s">
        <v>163</v>
      </c>
      <c r="AJ2983" s="1">
        <v>2015</v>
      </c>
      <c r="AK2983" s="1" t="s">
        <v>49</v>
      </c>
      <c r="AL2983" s="1">
        <v>49</v>
      </c>
    </row>
    <row r="2984" spans="1:38" x14ac:dyDescent="0.2">
      <c r="A2984" s="2" t="str">
        <f>HYPERLINK("https://www.compass.com/listing/200-east-94th-street-unit-2217-manhattan-ny-10128/378746408183062849/","200 E 94th St, Unit 2217")</f>
        <v>200 E 94th St, Unit 2217</v>
      </c>
      <c r="B2984" s="2" t="str">
        <f>HYPERLINK("https://www.compass.com/building/carnegie-park-condominium-manhattan-ny/282049797358118613/","Carnegie Park Condominium")</f>
        <v>Carnegie Park Condominium</v>
      </c>
      <c r="C2984" s="1" t="s">
        <v>82</v>
      </c>
      <c r="D2984" s="1" t="s">
        <v>41</v>
      </c>
      <c r="E2984" s="3">
        <v>3200000</v>
      </c>
      <c r="F2984" s="1">
        <v>1702.12765957446</v>
      </c>
      <c r="G2984" s="1">
        <v>6</v>
      </c>
      <c r="H2984" s="1">
        <v>4</v>
      </c>
      <c r="I2984" s="1">
        <v>3</v>
      </c>
      <c r="J2984" s="1">
        <v>3</v>
      </c>
      <c r="K2984" s="1">
        <v>3</v>
      </c>
      <c r="M2984" s="4">
        <v>1880</v>
      </c>
      <c r="N2984" s="1">
        <v>2197</v>
      </c>
      <c r="O2984" s="1">
        <v>4122</v>
      </c>
      <c r="P2984" s="1">
        <v>1925</v>
      </c>
      <c r="Q2984" s="1" t="s">
        <v>42</v>
      </c>
      <c r="S2984" s="1" t="s">
        <v>42</v>
      </c>
      <c r="T2984" s="1" t="s">
        <v>273</v>
      </c>
      <c r="U2984" s="1">
        <v>228</v>
      </c>
      <c r="V2984" s="5">
        <v>44314</v>
      </c>
      <c r="W2984" s="5">
        <v>43773</v>
      </c>
      <c r="X2984" s="1">
        <v>3895000</v>
      </c>
      <c r="Y2984" s="1">
        <v>3595000</v>
      </c>
      <c r="Z2984" s="5">
        <v>44184</v>
      </c>
      <c r="AA2984" s="1">
        <v>3200000</v>
      </c>
      <c r="AB2984" s="1" t="s">
        <v>1859</v>
      </c>
      <c r="AC2984" s="5">
        <v>44266</v>
      </c>
      <c r="AF2984" s="1">
        <v>10128</v>
      </c>
      <c r="AI2984" s="1" t="s">
        <v>1860</v>
      </c>
      <c r="AJ2984" s="1">
        <v>1986</v>
      </c>
      <c r="AK2984" s="1" t="s">
        <v>49</v>
      </c>
      <c r="AL2984" s="1">
        <v>287</v>
      </c>
    </row>
    <row r="2985" spans="1:38" x14ac:dyDescent="0.2">
      <c r="A2985" s="2" t="str">
        <f>HYPERLINK("https://www.compass.com/listing/88-lexington-avenue-unit-701-manhattan-ny-10016/29378561706078977/","88 Lexington Ave, Unit 701")</f>
        <v>88 Lexington Ave, Unit 701</v>
      </c>
      <c r="B2985" s="2" t="str">
        <f t="shared" ref="B2985:B2987" si="500">HYPERLINK("https://www.compass.com/building/88-90-lexington-avenue-manhattan-ny/281903945159296309/","88 &amp; 90 Lexington Avenue")</f>
        <v>88 &amp; 90 Lexington Avenue</v>
      </c>
      <c r="C2985" s="1" t="s">
        <v>40</v>
      </c>
      <c r="D2985" s="1" t="s">
        <v>41</v>
      </c>
      <c r="E2985" s="3">
        <v>2015606</v>
      </c>
      <c r="F2985" s="1">
        <v>1861.1317913204</v>
      </c>
      <c r="G2985" s="1">
        <v>3</v>
      </c>
      <c r="H2985" s="1">
        <v>1</v>
      </c>
      <c r="I2985" s="1">
        <v>1</v>
      </c>
      <c r="J2985" s="1">
        <v>1</v>
      </c>
      <c r="K2985" s="1">
        <v>1</v>
      </c>
      <c r="M2985" s="4">
        <v>1083</v>
      </c>
      <c r="N2985" s="1">
        <v>1026</v>
      </c>
      <c r="O2985" s="1">
        <v>2118</v>
      </c>
      <c r="P2985" s="1">
        <v>1092</v>
      </c>
      <c r="Q2985" s="1" t="s">
        <v>42</v>
      </c>
      <c r="S2985" s="1" t="s">
        <v>42</v>
      </c>
      <c r="T2985" s="1" t="s">
        <v>273</v>
      </c>
      <c r="U2985" s="1">
        <v>33</v>
      </c>
      <c r="V2985" s="5">
        <v>42998</v>
      </c>
      <c r="W2985" s="5">
        <v>42201</v>
      </c>
      <c r="X2985" s="1">
        <v>2000000</v>
      </c>
      <c r="Y2985" s="1">
        <v>2000000</v>
      </c>
      <c r="AA2985" s="1">
        <v>2015605.73</v>
      </c>
      <c r="AB2985" s="1" t="s">
        <v>1861</v>
      </c>
      <c r="AC2985" s="5">
        <v>42971</v>
      </c>
      <c r="AF2985" s="1">
        <v>10016</v>
      </c>
      <c r="AI2985" s="1" t="s">
        <v>78</v>
      </c>
      <c r="AJ2985" s="1">
        <v>1927</v>
      </c>
      <c r="AK2985" s="1" t="s">
        <v>46</v>
      </c>
      <c r="AL2985" s="1">
        <v>70</v>
      </c>
    </row>
    <row r="2986" spans="1:38" x14ac:dyDescent="0.2">
      <c r="A2986" s="2" t="str">
        <f>HYPERLINK("https://www.compass.com/listing/88-lexington-avenue-unit-801-manhattan-ny-10016/29378564046571489/","88 Lexington Ave, Unit 801")</f>
        <v>88 Lexington Ave, Unit 801</v>
      </c>
      <c r="B2986" s="2" t="str">
        <f t="shared" si="500"/>
        <v>88 &amp; 90 Lexington Avenue</v>
      </c>
      <c r="C2986" s="1" t="s">
        <v>40</v>
      </c>
      <c r="D2986" s="1" t="s">
        <v>41</v>
      </c>
      <c r="E2986" s="3">
        <v>2000681</v>
      </c>
      <c r="F2986" s="1">
        <v>1847.3508771929801</v>
      </c>
      <c r="G2986" s="1">
        <v>3</v>
      </c>
      <c r="H2986" s="1">
        <v>1</v>
      </c>
      <c r="I2986" s="1">
        <v>1</v>
      </c>
      <c r="J2986" s="1">
        <v>1.5</v>
      </c>
      <c r="K2986" s="1">
        <v>1</v>
      </c>
      <c r="L2986" s="1">
        <v>1</v>
      </c>
      <c r="M2986" s="4">
        <v>1083</v>
      </c>
      <c r="N2986" s="1">
        <v>985</v>
      </c>
      <c r="O2986" s="1">
        <v>2044</v>
      </c>
      <c r="P2986" s="1">
        <v>1059</v>
      </c>
      <c r="Q2986" s="1" t="s">
        <v>42</v>
      </c>
      <c r="S2986" s="1" t="s">
        <v>42</v>
      </c>
      <c r="T2986" s="1" t="s">
        <v>273</v>
      </c>
      <c r="U2986" s="1">
        <v>28</v>
      </c>
      <c r="V2986" s="5">
        <v>43677</v>
      </c>
      <c r="W2986" s="5">
        <v>42420</v>
      </c>
      <c r="X2986" s="1">
        <v>2050000</v>
      </c>
      <c r="Y2986" s="1">
        <v>2050000</v>
      </c>
      <c r="Z2986" s="5">
        <v>42448</v>
      </c>
      <c r="AA2986" s="1">
        <v>2000681</v>
      </c>
      <c r="AB2986" s="1" t="s">
        <v>1862</v>
      </c>
      <c r="AC2986" s="5">
        <v>42537</v>
      </c>
      <c r="AF2986" s="1">
        <v>10016</v>
      </c>
      <c r="AI2986" s="1" t="s">
        <v>78</v>
      </c>
      <c r="AJ2986" s="1">
        <v>1927</v>
      </c>
      <c r="AK2986" s="1" t="s">
        <v>46</v>
      </c>
      <c r="AL2986" s="1">
        <v>70</v>
      </c>
    </row>
    <row r="2987" spans="1:38" x14ac:dyDescent="0.2">
      <c r="A2987" s="2" t="str">
        <f>HYPERLINK("https://www.compass.com/listing/88-lexington-avenue-unit-901-manhattan-ny-10016/29378566068155201/","88 Lexington Ave, Unit 901")</f>
        <v>88 Lexington Ave, Unit 901</v>
      </c>
      <c r="B2987" s="2" t="str">
        <f t="shared" si="500"/>
        <v>88 &amp; 90 Lexington Avenue</v>
      </c>
      <c r="C2987" s="1" t="s">
        <v>40</v>
      </c>
      <c r="D2987" s="1" t="s">
        <v>41</v>
      </c>
      <c r="E2987" s="3">
        <v>2036500</v>
      </c>
      <c r="F2987" s="1">
        <v>1880.4247460757099</v>
      </c>
      <c r="G2987" s="1">
        <v>3</v>
      </c>
      <c r="H2987" s="1">
        <v>1</v>
      </c>
      <c r="I2987" s="1">
        <v>1</v>
      </c>
      <c r="J2987" s="1">
        <v>1</v>
      </c>
      <c r="K2987" s="1">
        <v>1</v>
      </c>
      <c r="M2987" s="4">
        <v>1083</v>
      </c>
      <c r="N2987" s="1">
        <v>1036</v>
      </c>
      <c r="O2987" s="1">
        <v>2139</v>
      </c>
      <c r="P2987" s="1">
        <v>1103</v>
      </c>
      <c r="Q2987" s="1" t="s">
        <v>42</v>
      </c>
      <c r="S2987" s="1" t="s">
        <v>42</v>
      </c>
      <c r="T2987" s="1" t="s">
        <v>273</v>
      </c>
      <c r="V2987" s="5">
        <v>43675</v>
      </c>
      <c r="W2987" s="5">
        <v>42256</v>
      </c>
      <c r="X2987" s="1">
        <v>2100000</v>
      </c>
      <c r="Y2987" s="1">
        <v>2100000</v>
      </c>
      <c r="Z2987" s="5">
        <v>42256</v>
      </c>
      <c r="AA2987" s="1">
        <v>2036500</v>
      </c>
      <c r="AB2987" s="1" t="s">
        <v>1863</v>
      </c>
      <c r="AC2987" s="5">
        <v>42570</v>
      </c>
      <c r="AF2987" s="1">
        <v>10016</v>
      </c>
      <c r="AI2987" s="1" t="s">
        <v>78</v>
      </c>
      <c r="AJ2987" s="1">
        <v>1927</v>
      </c>
      <c r="AK2987" s="1" t="s">
        <v>46</v>
      </c>
      <c r="AL2987" s="1">
        <v>70</v>
      </c>
    </row>
    <row r="2988" spans="1:38" x14ac:dyDescent="0.2">
      <c r="A2988" s="2" t="str">
        <f>HYPERLINK("https://www.compass.com/listing/15-west-61st-street-unit-18c-manhattan-ny-10023/710871109925789121/","15 W 61st St, Unit 18C")</f>
        <v>15 W 61st St, Unit 18C</v>
      </c>
      <c r="B2988" s="2" t="str">
        <f>HYPERLINK("https://www.compass.com/building/the-park-loggia-manhattan-ny/292861833130357557/","The Park Loggia")</f>
        <v>The Park Loggia</v>
      </c>
      <c r="C2988" s="1" t="s">
        <v>57</v>
      </c>
      <c r="D2988" s="1" t="s">
        <v>41</v>
      </c>
      <c r="E2988" s="3">
        <v>1770000</v>
      </c>
      <c r="F2988" s="1">
        <v>2137.68115942029</v>
      </c>
      <c r="G2988" s="1">
        <v>3</v>
      </c>
      <c r="H2988" s="1">
        <v>1</v>
      </c>
      <c r="I2988" s="1">
        <v>1</v>
      </c>
      <c r="J2988" s="1">
        <v>1</v>
      </c>
      <c r="K2988" s="1">
        <v>1</v>
      </c>
      <c r="M2988" s="1">
        <v>828</v>
      </c>
      <c r="N2988" s="1">
        <v>842</v>
      </c>
      <c r="O2988" s="1">
        <v>1688</v>
      </c>
      <c r="P2988" s="1">
        <v>846</v>
      </c>
      <c r="Q2988" s="1" t="s">
        <v>42</v>
      </c>
      <c r="S2988" s="1" t="s">
        <v>42</v>
      </c>
      <c r="T2988" s="1" t="s">
        <v>273</v>
      </c>
      <c r="V2988" s="5">
        <v>44308</v>
      </c>
      <c r="W2988" s="5">
        <v>44232</v>
      </c>
      <c r="X2988" s="1">
        <v>1770000</v>
      </c>
      <c r="Y2988" s="1">
        <v>1820000</v>
      </c>
      <c r="Z2988" s="5">
        <v>44233</v>
      </c>
      <c r="AA2988" s="1">
        <v>1770000</v>
      </c>
      <c r="AB2988" s="1" t="s">
        <v>1864</v>
      </c>
      <c r="AC2988" s="5">
        <v>44306</v>
      </c>
      <c r="AF2988" s="1">
        <v>10023</v>
      </c>
      <c r="AI2988" s="1" t="s">
        <v>65</v>
      </c>
      <c r="AJ2988" s="1">
        <v>2019</v>
      </c>
      <c r="AK2988" s="1" t="s">
        <v>108</v>
      </c>
      <c r="AL2988" s="1">
        <v>172</v>
      </c>
    </row>
    <row r="2989" spans="1:38" x14ac:dyDescent="0.2">
      <c r="A2989" s="2" t="str">
        <f>HYPERLINK("https://www.compass.com/listing/88-lexington-avenue-unit-1101-manhattan-ny-10016/29378569180322929/","88 Lexington Ave, Unit 1101")</f>
        <v>88 Lexington Ave, Unit 1101</v>
      </c>
      <c r="B2989" s="2" t="str">
        <f>HYPERLINK("https://www.compass.com/building/88-90-lexington-avenue-manhattan-ny/281903945159296309/","88 &amp; 90 Lexington Avenue")</f>
        <v>88 &amp; 90 Lexington Avenue</v>
      </c>
      <c r="C2989" s="1" t="s">
        <v>40</v>
      </c>
      <c r="D2989" s="1" t="s">
        <v>41</v>
      </c>
      <c r="E2989" s="3">
        <v>2154924</v>
      </c>
      <c r="F2989" s="1">
        <v>2036.7901701323201</v>
      </c>
      <c r="G2989" s="1">
        <v>3</v>
      </c>
      <c r="H2989" s="1">
        <v>1</v>
      </c>
      <c r="I2989" s="1">
        <v>1</v>
      </c>
      <c r="J2989" s="1">
        <v>1.5</v>
      </c>
      <c r="K2989" s="1">
        <v>1</v>
      </c>
      <c r="L2989" s="1">
        <v>1</v>
      </c>
      <c r="M2989" s="4">
        <v>1058</v>
      </c>
      <c r="N2989" s="1">
        <v>1025</v>
      </c>
      <c r="O2989" s="1">
        <v>2304</v>
      </c>
      <c r="P2989" s="1">
        <v>1279</v>
      </c>
      <c r="Q2989" s="1" t="s">
        <v>42</v>
      </c>
      <c r="S2989" s="1" t="s">
        <v>42</v>
      </c>
      <c r="T2989" s="1" t="s">
        <v>273</v>
      </c>
      <c r="U2989" s="1">
        <v>24</v>
      </c>
      <c r="V2989" s="5">
        <v>43673</v>
      </c>
      <c r="W2989" s="5">
        <v>42564</v>
      </c>
      <c r="X2989" s="1">
        <v>2200000</v>
      </c>
      <c r="Y2989" s="1">
        <v>2200000</v>
      </c>
      <c r="Z2989" s="5">
        <v>42588</v>
      </c>
      <c r="AA2989" s="1">
        <v>2154924</v>
      </c>
      <c r="AB2989" s="1" t="s">
        <v>1865</v>
      </c>
      <c r="AC2989" s="5">
        <v>42637</v>
      </c>
      <c r="AF2989" s="1">
        <v>10016</v>
      </c>
      <c r="AI2989" s="1" t="s">
        <v>78</v>
      </c>
      <c r="AJ2989" s="1">
        <v>1927</v>
      </c>
      <c r="AK2989" s="1" t="s">
        <v>46</v>
      </c>
      <c r="AL2989" s="1">
        <v>70</v>
      </c>
    </row>
    <row r="2990" spans="1:38" x14ac:dyDescent="0.2">
      <c r="A2990" s="2" t="str">
        <f>HYPERLINK("https://www.compass.com/listing/261-west-25th-street-unit-11a-manhattan-ny-10001/29372534893961489/","261 W 25th St, Unit 11A")</f>
        <v>261 W 25th St, Unit 11A</v>
      </c>
      <c r="B2990" s="2" t="str">
        <f>HYPERLINK("https://www.compass.com/building/the-seymour-manhattan-ny/281883155990840165/","The Seymour")</f>
        <v>The Seymour</v>
      </c>
      <c r="C2990" s="1" t="s">
        <v>62</v>
      </c>
      <c r="D2990" s="1" t="s">
        <v>41</v>
      </c>
      <c r="E2990" s="3">
        <v>5549463</v>
      </c>
      <c r="F2990" s="1">
        <v>2735.0729423361199</v>
      </c>
      <c r="G2990" s="1">
        <v>5</v>
      </c>
      <c r="H2990" s="1">
        <v>3</v>
      </c>
      <c r="I2990" s="1">
        <v>4</v>
      </c>
      <c r="J2990" s="1">
        <v>3.5</v>
      </c>
      <c r="M2990" s="4">
        <v>2029</v>
      </c>
      <c r="N2990" s="1">
        <v>2390</v>
      </c>
      <c r="O2990" s="1">
        <v>5008</v>
      </c>
      <c r="P2990" s="1">
        <v>2618</v>
      </c>
      <c r="Q2990" s="1" t="s">
        <v>42</v>
      </c>
      <c r="S2990" s="1" t="s">
        <v>42</v>
      </c>
      <c r="T2990" s="1" t="s">
        <v>273</v>
      </c>
      <c r="V2990" s="5">
        <v>43663</v>
      </c>
      <c r="W2990" s="5">
        <v>41858</v>
      </c>
      <c r="X2990" s="1">
        <v>5450000</v>
      </c>
      <c r="Y2990" s="1">
        <v>5450000</v>
      </c>
      <c r="Z2990" s="5">
        <v>41858</v>
      </c>
      <c r="AA2990" s="1">
        <v>5549463</v>
      </c>
      <c r="AB2990" s="1" t="s">
        <v>1866</v>
      </c>
      <c r="AC2990" s="5">
        <v>42468</v>
      </c>
      <c r="AF2990" s="1">
        <v>10001</v>
      </c>
      <c r="AI2990" s="1" t="s">
        <v>163</v>
      </c>
      <c r="AJ2990" s="1">
        <v>2015</v>
      </c>
      <c r="AK2990" s="1" t="s">
        <v>49</v>
      </c>
      <c r="AL2990" s="1">
        <v>49</v>
      </c>
    </row>
    <row r="2991" spans="1:38" x14ac:dyDescent="0.2">
      <c r="A2991" s="2" t="str">
        <f>HYPERLINK("https://www.compass.com/listing/88-lexington-avenue-unit-701-manhattan-ny-10016/29378561714467601/","88 Lexington Ave, Unit 701")</f>
        <v>88 Lexington Ave, Unit 701</v>
      </c>
      <c r="B2991" s="2" t="str">
        <f>HYPERLINK("https://www.compass.com/building/88-90-lexington-avenue-manhattan-ny/281903945159296309/","88 &amp; 90 Lexington Avenue")</f>
        <v>88 &amp; 90 Lexington Avenue</v>
      </c>
      <c r="C2991" s="1" t="s">
        <v>40</v>
      </c>
      <c r="D2991" s="1" t="s">
        <v>41</v>
      </c>
      <c r="E2991" s="3">
        <v>2015606</v>
      </c>
      <c r="F2991" s="1">
        <v>1861.1320406278801</v>
      </c>
      <c r="G2991" s="1">
        <v>3</v>
      </c>
      <c r="H2991" s="1">
        <v>1</v>
      </c>
      <c r="I2991" s="1">
        <v>1</v>
      </c>
      <c r="J2991" s="1">
        <v>1.5</v>
      </c>
      <c r="K2991" s="1">
        <v>1</v>
      </c>
      <c r="L2991" s="1">
        <v>1</v>
      </c>
      <c r="M2991" s="4">
        <v>1083</v>
      </c>
      <c r="N2991" s="1">
        <v>1026</v>
      </c>
      <c r="O2991" s="1">
        <v>2874</v>
      </c>
      <c r="P2991" s="1">
        <v>1848</v>
      </c>
      <c r="Q2991" s="1" t="s">
        <v>42</v>
      </c>
      <c r="S2991" s="1" t="s">
        <v>42</v>
      </c>
      <c r="T2991" s="1" t="s">
        <v>273</v>
      </c>
      <c r="V2991" s="5">
        <v>43650</v>
      </c>
      <c r="W2991" s="5">
        <v>42914</v>
      </c>
      <c r="X2991" s="1">
        <v>2000000</v>
      </c>
      <c r="Y2991" s="1">
        <v>2000000</v>
      </c>
      <c r="Z2991" s="5">
        <v>42914</v>
      </c>
      <c r="AA2991" s="1">
        <v>2015606</v>
      </c>
      <c r="AB2991" s="1" t="s">
        <v>1861</v>
      </c>
      <c r="AC2991" s="5">
        <v>42972</v>
      </c>
      <c r="AF2991" s="1">
        <v>10016</v>
      </c>
      <c r="AI2991" s="1" t="s">
        <v>78</v>
      </c>
      <c r="AJ2991" s="1">
        <v>1927</v>
      </c>
      <c r="AK2991" s="1" t="s">
        <v>46</v>
      </c>
      <c r="AL2991" s="1">
        <v>70</v>
      </c>
    </row>
    <row r="2992" spans="1:38" x14ac:dyDescent="0.2">
      <c r="A2992" s="2" t="str">
        <f>HYPERLINK("https://www.compass.com/listing/15-west-61st-street-unit-6i-manhattan-ny-10023/256439320209001265/","15 W 61st St, Unit 6I")</f>
        <v>15 W 61st St, Unit 6I</v>
      </c>
      <c r="B2992" s="2" t="str">
        <f t="shared" ref="B2992:B3001" si="501">HYPERLINK("https://www.compass.com/building/the-park-loggia-manhattan-ny/292861833130357557/","The Park Loggia")</f>
        <v>The Park Loggia</v>
      </c>
      <c r="C2992" s="1" t="s">
        <v>57</v>
      </c>
      <c r="D2992" s="1" t="s">
        <v>41</v>
      </c>
      <c r="E2992" s="3">
        <v>1756661</v>
      </c>
      <c r="F2992" s="1">
        <v>2332.8827888446199</v>
      </c>
      <c r="G2992" s="1">
        <v>3</v>
      </c>
      <c r="H2992" s="1">
        <v>1</v>
      </c>
      <c r="I2992" s="1">
        <v>1</v>
      </c>
      <c r="J2992" s="1">
        <v>1</v>
      </c>
      <c r="K2992" s="1">
        <v>1</v>
      </c>
      <c r="M2992" s="1">
        <v>753</v>
      </c>
      <c r="N2992" s="1">
        <v>774</v>
      </c>
      <c r="O2992" s="1">
        <v>1519</v>
      </c>
      <c r="P2992" s="1">
        <v>745</v>
      </c>
      <c r="Q2992" s="1" t="s">
        <v>42</v>
      </c>
      <c r="S2992" s="1" t="s">
        <v>42</v>
      </c>
      <c r="T2992" s="1" t="s">
        <v>273</v>
      </c>
      <c r="U2992" s="1">
        <v>107</v>
      </c>
      <c r="V2992" s="5">
        <v>43925</v>
      </c>
      <c r="W2992" s="5">
        <v>43598</v>
      </c>
      <c r="X2992" s="1">
        <v>1755000</v>
      </c>
      <c r="AB2992" s="1" t="s">
        <v>275</v>
      </c>
      <c r="AF2992" s="1">
        <v>10023</v>
      </c>
      <c r="AI2992" s="1" t="s">
        <v>65</v>
      </c>
      <c r="AJ2992" s="1">
        <v>2019</v>
      </c>
      <c r="AK2992" s="1" t="s">
        <v>108</v>
      </c>
      <c r="AL2992" s="1">
        <v>172</v>
      </c>
    </row>
    <row r="2993" spans="1:38" x14ac:dyDescent="0.2">
      <c r="A2993" s="2" t="str">
        <f>HYPERLINK("https://www.compass.com/listing/15-west-61st-street-unit-6l-manhattan-ny-10023/456223868844231273/","15 W 61st St, Unit 6L")</f>
        <v>15 W 61st St, Unit 6L</v>
      </c>
      <c r="B2993" s="2" t="str">
        <f t="shared" si="501"/>
        <v>The Park Loggia</v>
      </c>
      <c r="C2993" s="1" t="s">
        <v>57</v>
      </c>
      <c r="D2993" s="1" t="s">
        <v>41</v>
      </c>
      <c r="E2993" s="3">
        <v>1858721</v>
      </c>
      <c r="F2993" s="1">
        <v>2398.34967741935</v>
      </c>
      <c r="G2993" s="1">
        <v>3</v>
      </c>
      <c r="H2993" s="1">
        <v>1</v>
      </c>
      <c r="I2993" s="1">
        <v>1</v>
      </c>
      <c r="J2993" s="1">
        <v>1</v>
      </c>
      <c r="K2993" s="1">
        <v>1</v>
      </c>
      <c r="M2993" s="1">
        <v>775</v>
      </c>
      <c r="N2993" s="1">
        <v>797</v>
      </c>
      <c r="O2993" s="1">
        <v>1564</v>
      </c>
      <c r="P2993" s="1">
        <v>767</v>
      </c>
      <c r="Q2993" s="1" t="s">
        <v>42</v>
      </c>
      <c r="S2993" s="1" t="s">
        <v>42</v>
      </c>
      <c r="T2993" s="1" t="s">
        <v>273</v>
      </c>
      <c r="U2993" s="1">
        <v>233</v>
      </c>
      <c r="V2993" s="5">
        <v>43911</v>
      </c>
      <c r="W2993" s="5">
        <v>43640</v>
      </c>
      <c r="X2993" s="1">
        <v>1845000</v>
      </c>
      <c r="Y2993" s="1">
        <v>1845000</v>
      </c>
      <c r="AA2993" s="1">
        <v>1858721</v>
      </c>
      <c r="AB2993" s="1" t="s">
        <v>1867</v>
      </c>
      <c r="AC2993" s="5">
        <v>43873</v>
      </c>
      <c r="AF2993" s="1">
        <v>10023</v>
      </c>
      <c r="AI2993" s="1" t="s">
        <v>65</v>
      </c>
      <c r="AJ2993" s="1">
        <v>2019</v>
      </c>
      <c r="AK2993" s="1" t="s">
        <v>108</v>
      </c>
      <c r="AL2993" s="1">
        <v>172</v>
      </c>
    </row>
    <row r="2994" spans="1:38" x14ac:dyDescent="0.2">
      <c r="A2994" s="2" t="str">
        <f>HYPERLINK("https://www.compass.com/listing/15-west-61st-street-unit-5k-manhattan-ny-10023/466629924192009281/","15 W 61st St, Unit 5K")</f>
        <v>15 W 61st St, Unit 5K</v>
      </c>
      <c r="B2994" s="2" t="str">
        <f t="shared" si="501"/>
        <v>The Park Loggia</v>
      </c>
      <c r="C2994" s="1" t="s">
        <v>57</v>
      </c>
      <c r="D2994" s="1" t="s">
        <v>41</v>
      </c>
      <c r="E2994" s="3">
        <v>1765391</v>
      </c>
      <c r="F2994" s="1">
        <v>2277.9237935483802</v>
      </c>
      <c r="G2994" s="1">
        <v>3</v>
      </c>
      <c r="H2994" s="1">
        <v>1</v>
      </c>
      <c r="I2994" s="1">
        <v>1</v>
      </c>
      <c r="J2994" s="1">
        <v>1</v>
      </c>
      <c r="K2994" s="1">
        <v>1</v>
      </c>
      <c r="M2994" s="1">
        <v>775</v>
      </c>
      <c r="N2994" s="1">
        <v>797</v>
      </c>
      <c r="O2994" s="1">
        <v>1564</v>
      </c>
      <c r="P2994" s="1">
        <v>767</v>
      </c>
      <c r="Q2994" s="1" t="s">
        <v>42</v>
      </c>
      <c r="S2994" s="1" t="s">
        <v>42</v>
      </c>
      <c r="T2994" s="1" t="s">
        <v>273</v>
      </c>
      <c r="U2994" s="1">
        <v>237</v>
      </c>
      <c r="V2994" s="5">
        <v>43911</v>
      </c>
      <c r="W2994" s="5">
        <v>43649</v>
      </c>
      <c r="X2994" s="1">
        <v>1733750</v>
      </c>
      <c r="Y2994" s="1">
        <v>1733750</v>
      </c>
      <c r="AA2994" s="1">
        <v>1765390.94</v>
      </c>
      <c r="AB2994" s="1" t="s">
        <v>1868</v>
      </c>
      <c r="AC2994" s="5">
        <v>43886</v>
      </c>
      <c r="AF2994" s="1">
        <v>10023</v>
      </c>
      <c r="AI2994" s="1" t="s">
        <v>65</v>
      </c>
      <c r="AJ2994" s="1">
        <v>2019</v>
      </c>
      <c r="AK2994" s="1" t="s">
        <v>108</v>
      </c>
      <c r="AL2994" s="1">
        <v>172</v>
      </c>
    </row>
    <row r="2995" spans="1:38" x14ac:dyDescent="0.2">
      <c r="A2995" s="2" t="str">
        <f>HYPERLINK("https://www.compass.com/listing/15-west-61st-street-unit-3h-manhattan-ny-10023/476518143645403129/","15 W 61st St, Unit 3H")</f>
        <v>15 W 61st St, Unit 3H</v>
      </c>
      <c r="B2995" s="2" t="str">
        <f t="shared" si="501"/>
        <v>The Park Loggia</v>
      </c>
      <c r="C2995" s="1" t="s">
        <v>57</v>
      </c>
      <c r="D2995" s="1" t="s">
        <v>41</v>
      </c>
      <c r="E2995" s="3">
        <v>1866790</v>
      </c>
      <c r="F2995" s="1">
        <v>2603.6129009762899</v>
      </c>
      <c r="G2995" s="1">
        <v>3</v>
      </c>
      <c r="H2995" s="1">
        <v>1</v>
      </c>
      <c r="I2995" s="1">
        <v>1</v>
      </c>
      <c r="J2995" s="1">
        <v>1</v>
      </c>
      <c r="K2995" s="1">
        <v>1</v>
      </c>
      <c r="M2995" s="1">
        <v>717</v>
      </c>
      <c r="N2995" s="1">
        <v>795</v>
      </c>
      <c r="O2995" s="1">
        <v>1560</v>
      </c>
      <c r="P2995" s="1">
        <v>765</v>
      </c>
      <c r="Q2995" s="1" t="s">
        <v>42</v>
      </c>
      <c r="S2995" s="1" t="s">
        <v>42</v>
      </c>
      <c r="T2995" s="1" t="s">
        <v>273</v>
      </c>
      <c r="U2995" s="1">
        <v>303</v>
      </c>
      <c r="V2995" s="5">
        <v>43911</v>
      </c>
      <c r="W2995" s="5">
        <v>43586</v>
      </c>
      <c r="X2995" s="1">
        <v>1847850</v>
      </c>
      <c r="Y2995" s="1">
        <v>1847850</v>
      </c>
      <c r="AA2995" s="1">
        <v>1866790.45</v>
      </c>
      <c r="AB2995" s="1" t="s">
        <v>1869</v>
      </c>
      <c r="AC2995" s="5">
        <v>43889</v>
      </c>
      <c r="AF2995" s="1">
        <v>10023</v>
      </c>
      <c r="AI2995" s="1" t="s">
        <v>65</v>
      </c>
      <c r="AJ2995" s="1">
        <v>2019</v>
      </c>
      <c r="AK2995" s="1" t="s">
        <v>108</v>
      </c>
      <c r="AL2995" s="1">
        <v>172</v>
      </c>
    </row>
    <row r="2996" spans="1:38" x14ac:dyDescent="0.2">
      <c r="A2996" s="2" t="str">
        <f>HYPERLINK("https://www.compass.com/listing/15-west-61st-street-unit-4k-manhattan-ny-10023/476518145046706929/","15 W 61st St, Unit 4K")</f>
        <v>15 W 61st St, Unit 4K</v>
      </c>
      <c r="B2996" s="2" t="str">
        <f t="shared" si="501"/>
        <v>The Park Loggia</v>
      </c>
      <c r="C2996" s="1" t="s">
        <v>57</v>
      </c>
      <c r="D2996" s="1" t="s">
        <v>41</v>
      </c>
      <c r="E2996" s="3">
        <v>1783495</v>
      </c>
      <c r="F2996" s="1">
        <v>2218.2777985074599</v>
      </c>
      <c r="G2996" s="1">
        <v>3</v>
      </c>
      <c r="H2996" s="1">
        <v>1</v>
      </c>
      <c r="I2996" s="1">
        <v>1</v>
      </c>
      <c r="J2996" s="1">
        <v>1</v>
      </c>
      <c r="K2996" s="1">
        <v>1</v>
      </c>
      <c r="M2996" s="1">
        <v>804</v>
      </c>
      <c r="N2996" s="1">
        <v>827</v>
      </c>
      <c r="O2996" s="1">
        <v>1622</v>
      </c>
      <c r="P2996" s="1">
        <v>795</v>
      </c>
      <c r="Q2996" s="1" t="s">
        <v>42</v>
      </c>
      <c r="S2996" s="1" t="s">
        <v>42</v>
      </c>
      <c r="T2996" s="1" t="s">
        <v>273</v>
      </c>
      <c r="U2996" s="1">
        <v>303</v>
      </c>
      <c r="V2996" s="5">
        <v>43911</v>
      </c>
      <c r="W2996" s="5">
        <v>43586</v>
      </c>
      <c r="X2996" s="1">
        <v>1765400</v>
      </c>
      <c r="Y2996" s="1">
        <v>1765400</v>
      </c>
      <c r="AA2996" s="1">
        <v>1783495.35</v>
      </c>
      <c r="AB2996" s="1" t="s">
        <v>1870</v>
      </c>
      <c r="AC2996" s="5">
        <v>43889</v>
      </c>
      <c r="AF2996" s="1">
        <v>10023</v>
      </c>
      <c r="AI2996" s="1" t="s">
        <v>65</v>
      </c>
      <c r="AJ2996" s="1">
        <v>2019</v>
      </c>
      <c r="AK2996" s="1" t="s">
        <v>108</v>
      </c>
      <c r="AL2996" s="1">
        <v>172</v>
      </c>
    </row>
    <row r="2997" spans="1:38" x14ac:dyDescent="0.2">
      <c r="A2997" s="2" t="str">
        <f>HYPERLINK("https://www.compass.com/listing/15-west-61st-street-unit-6k-manhattan-ny-10023/531320260979256089/","15 W 61st St, Unit 6K")</f>
        <v>15 W 61st St, Unit 6K</v>
      </c>
      <c r="B2997" s="2" t="str">
        <f t="shared" si="501"/>
        <v>The Park Loggia</v>
      </c>
      <c r="C2997" s="1" t="s">
        <v>57</v>
      </c>
      <c r="D2997" s="1" t="s">
        <v>41</v>
      </c>
      <c r="E2997" s="3">
        <v>1858778</v>
      </c>
      <c r="F2997" s="1">
        <v>2311.9132462686498</v>
      </c>
      <c r="G2997" s="1">
        <v>3</v>
      </c>
      <c r="H2997" s="1">
        <v>1</v>
      </c>
      <c r="I2997" s="1">
        <v>1</v>
      </c>
      <c r="J2997" s="1">
        <v>1</v>
      </c>
      <c r="K2997" s="1">
        <v>1</v>
      </c>
      <c r="M2997" s="1">
        <v>804</v>
      </c>
      <c r="N2997" s="1">
        <v>827</v>
      </c>
      <c r="O2997" s="1">
        <v>1622</v>
      </c>
      <c r="P2997" s="1">
        <v>795</v>
      </c>
      <c r="Q2997" s="1" t="s">
        <v>42</v>
      </c>
      <c r="S2997" s="1" t="s">
        <v>42</v>
      </c>
      <c r="T2997" s="1" t="s">
        <v>273</v>
      </c>
      <c r="U2997" s="1">
        <v>209</v>
      </c>
      <c r="V2997" s="5">
        <v>43988</v>
      </c>
      <c r="W2997" s="5">
        <v>43700</v>
      </c>
      <c r="X2997" s="1">
        <v>1804200</v>
      </c>
      <c r="Y2997" s="1">
        <v>1804200</v>
      </c>
      <c r="AA2997" s="1">
        <v>1858778.25</v>
      </c>
      <c r="AB2997" s="1" t="s">
        <v>1871</v>
      </c>
      <c r="AC2997" s="5">
        <v>43984</v>
      </c>
      <c r="AF2997" s="1">
        <v>10023</v>
      </c>
      <c r="AI2997" s="1" t="s">
        <v>65</v>
      </c>
      <c r="AJ2997" s="1">
        <v>2019</v>
      </c>
      <c r="AK2997" s="1" t="s">
        <v>108</v>
      </c>
      <c r="AL2997" s="1">
        <v>172</v>
      </c>
    </row>
    <row r="2998" spans="1:38" x14ac:dyDescent="0.2">
      <c r="A2998" s="2" t="str">
        <f>HYPERLINK("https://www.compass.com/listing/15-west-61st-street-unit-4l-manhattan-ny-10023/531320266088029441/","15 W 61st St, Unit 4L")</f>
        <v>15 W 61st St, Unit 4L</v>
      </c>
      <c r="B2998" s="2" t="str">
        <f t="shared" si="501"/>
        <v>The Park Loggia</v>
      </c>
      <c r="C2998" s="1" t="s">
        <v>57</v>
      </c>
      <c r="D2998" s="1" t="s">
        <v>41</v>
      </c>
      <c r="E2998" s="3">
        <v>1803814</v>
      </c>
      <c r="F2998" s="1">
        <v>2327.5016903225801</v>
      </c>
      <c r="G2998" s="1">
        <v>3</v>
      </c>
      <c r="H2998" s="1">
        <v>1</v>
      </c>
      <c r="I2998" s="1">
        <v>1</v>
      </c>
      <c r="J2998" s="1">
        <v>1</v>
      </c>
      <c r="K2998" s="1">
        <v>1</v>
      </c>
      <c r="M2998" s="1">
        <v>775</v>
      </c>
      <c r="N2998" s="1">
        <v>797</v>
      </c>
      <c r="O2998" s="1">
        <v>1564</v>
      </c>
      <c r="P2998" s="1">
        <v>767</v>
      </c>
      <c r="Q2998" s="1" t="s">
        <v>42</v>
      </c>
      <c r="S2998" s="1" t="s">
        <v>42</v>
      </c>
      <c r="T2998" s="1" t="s">
        <v>273</v>
      </c>
      <c r="U2998" s="1">
        <v>209</v>
      </c>
      <c r="V2998" s="5">
        <v>43988</v>
      </c>
      <c r="W2998" s="5">
        <v>43700</v>
      </c>
      <c r="X2998" s="1">
        <v>1750850</v>
      </c>
      <c r="Y2998" s="1">
        <v>1750850</v>
      </c>
      <c r="AA2998" s="1">
        <v>1803813.81</v>
      </c>
      <c r="AB2998" s="1" t="s">
        <v>1872</v>
      </c>
      <c r="AC2998" s="5">
        <v>43984</v>
      </c>
      <c r="AF2998" s="1">
        <v>10023</v>
      </c>
      <c r="AI2998" s="1" t="s">
        <v>65</v>
      </c>
      <c r="AJ2998" s="1">
        <v>2019</v>
      </c>
      <c r="AK2998" s="1" t="s">
        <v>108</v>
      </c>
      <c r="AL2998" s="1">
        <v>172</v>
      </c>
    </row>
    <row r="2999" spans="1:38" x14ac:dyDescent="0.2">
      <c r="A2999" s="2" t="str">
        <f>HYPERLINK("https://www.compass.com/listing/15-west-61st-street-unit-25c-manhattan-ny-10023/548492588771182201/","15 W 61st St, Unit 25C")</f>
        <v>15 W 61st St, Unit 25C</v>
      </c>
      <c r="B2999" s="2" t="str">
        <f t="shared" si="501"/>
        <v>The Park Loggia</v>
      </c>
      <c r="C2999" s="1" t="s">
        <v>57</v>
      </c>
      <c r="D2999" s="1" t="s">
        <v>41</v>
      </c>
      <c r="E2999" s="3">
        <v>1950000</v>
      </c>
      <c r="F2999" s="1">
        <v>2332.53588516746</v>
      </c>
      <c r="G2999" s="1">
        <v>3</v>
      </c>
      <c r="H2999" s="1">
        <v>1</v>
      </c>
      <c r="I2999" s="1">
        <v>1</v>
      </c>
      <c r="J2999" s="1">
        <v>1</v>
      </c>
      <c r="K2999" s="1">
        <v>1</v>
      </c>
      <c r="M2999" s="1">
        <v>836</v>
      </c>
      <c r="N2999" s="1">
        <v>860</v>
      </c>
      <c r="O2999" s="1">
        <v>1687</v>
      </c>
      <c r="P2999" s="1">
        <v>827</v>
      </c>
      <c r="Q2999" s="1" t="s">
        <v>42</v>
      </c>
      <c r="S2999" s="1" t="s">
        <v>42</v>
      </c>
      <c r="T2999" s="1" t="s">
        <v>273</v>
      </c>
      <c r="U2999" s="1">
        <v>3</v>
      </c>
      <c r="V2999" s="5">
        <v>44009</v>
      </c>
      <c r="W2999" s="5">
        <v>43995</v>
      </c>
      <c r="X2999" s="1">
        <v>1950000</v>
      </c>
      <c r="Y2999" s="1">
        <v>1950000</v>
      </c>
      <c r="AA2999" s="1">
        <v>1950000</v>
      </c>
      <c r="AB2999" s="1" t="s">
        <v>1873</v>
      </c>
      <c r="AC2999" s="5">
        <v>44007</v>
      </c>
      <c r="AF2999" s="1">
        <v>10023</v>
      </c>
      <c r="AI2999" s="1" t="s">
        <v>65</v>
      </c>
      <c r="AJ2999" s="1">
        <v>2019</v>
      </c>
      <c r="AK2999" s="1" t="s">
        <v>108</v>
      </c>
      <c r="AL2999" s="1">
        <v>172</v>
      </c>
    </row>
    <row r="3000" spans="1:38" x14ac:dyDescent="0.2">
      <c r="A3000" s="2" t="str">
        <f>HYPERLINK("https://www.compass.com/listing/15-west-61st-street-unit-12g-manhattan-ny-10023/587272366902971505/","15 W 61st St, Unit 12G")</f>
        <v>15 W 61st St, Unit 12G</v>
      </c>
      <c r="B3000" s="2" t="str">
        <f t="shared" si="501"/>
        <v>The Park Loggia</v>
      </c>
      <c r="C3000" s="1" t="s">
        <v>57</v>
      </c>
      <c r="D3000" s="1" t="s">
        <v>41</v>
      </c>
      <c r="E3000" s="3">
        <v>1605000</v>
      </c>
      <c r="F3000" s="1">
        <v>2457.8866768759499</v>
      </c>
      <c r="G3000" s="1">
        <v>3</v>
      </c>
      <c r="H3000" s="1">
        <v>1</v>
      </c>
      <c r="I3000" s="1">
        <v>1</v>
      </c>
      <c r="J3000" s="1">
        <v>1</v>
      </c>
      <c r="K3000" s="1">
        <v>1</v>
      </c>
      <c r="M3000" s="1">
        <v>653</v>
      </c>
      <c r="N3000" s="1">
        <v>672</v>
      </c>
      <c r="O3000" s="1">
        <v>1318</v>
      </c>
      <c r="P3000" s="1">
        <v>646</v>
      </c>
      <c r="Q3000" s="1" t="s">
        <v>42</v>
      </c>
      <c r="S3000" s="1" t="s">
        <v>42</v>
      </c>
      <c r="T3000" s="1" t="s">
        <v>273</v>
      </c>
      <c r="U3000" s="1">
        <v>111</v>
      </c>
      <c r="V3000" s="5">
        <v>44068</v>
      </c>
      <c r="W3000" s="5">
        <v>43837</v>
      </c>
      <c r="X3000" s="1">
        <v>1655000</v>
      </c>
      <c r="Y3000" s="1">
        <v>1655000</v>
      </c>
      <c r="AA3000" s="1">
        <v>1605000</v>
      </c>
      <c r="AB3000" s="1" t="s">
        <v>1874</v>
      </c>
      <c r="AC3000" s="5">
        <v>44043</v>
      </c>
      <c r="AF3000" s="1">
        <v>10023</v>
      </c>
      <c r="AI3000" s="1" t="s">
        <v>65</v>
      </c>
      <c r="AJ3000" s="1">
        <v>2019</v>
      </c>
      <c r="AK3000" s="1" t="s">
        <v>108</v>
      </c>
      <c r="AL3000" s="1">
        <v>172</v>
      </c>
    </row>
    <row r="3001" spans="1:38" x14ac:dyDescent="0.2">
      <c r="A3001" s="2" t="str">
        <f>HYPERLINK("https://www.compass.com/listing/15-west-61st-street-unit-10e-manhattan-ny-10023/819768045738165137/","15 W 61st St, Unit 10E")</f>
        <v>15 W 61st St, Unit 10E</v>
      </c>
      <c r="B3001" s="2" t="str">
        <f t="shared" si="501"/>
        <v>The Park Loggia</v>
      </c>
      <c r="C3001" s="1" t="s">
        <v>57</v>
      </c>
      <c r="D3001" s="1" t="s">
        <v>41</v>
      </c>
      <c r="E3001" s="3">
        <v>1847192</v>
      </c>
      <c r="F3001" s="1">
        <v>2377.3379794079701</v>
      </c>
      <c r="G3001" s="1">
        <v>3</v>
      </c>
      <c r="H3001" s="1">
        <v>1</v>
      </c>
      <c r="I3001" s="1">
        <v>1</v>
      </c>
      <c r="J3001" s="1">
        <v>1</v>
      </c>
      <c r="K3001" s="1">
        <v>1</v>
      </c>
      <c r="M3001" s="1">
        <v>777</v>
      </c>
      <c r="N3001" s="1">
        <v>799</v>
      </c>
      <c r="O3001" s="1">
        <v>1568</v>
      </c>
      <c r="P3001" s="1">
        <v>769</v>
      </c>
      <c r="Q3001" s="1" t="s">
        <v>42</v>
      </c>
      <c r="S3001" s="1" t="s">
        <v>42</v>
      </c>
      <c r="T3001" s="1" t="s">
        <v>273</v>
      </c>
      <c r="U3001" s="1">
        <v>303</v>
      </c>
      <c r="V3001" s="5">
        <v>43917</v>
      </c>
      <c r="W3001" s="5">
        <v>43586</v>
      </c>
      <c r="X3001" s="1">
        <v>1828450</v>
      </c>
      <c r="Y3001" s="1">
        <v>1828450</v>
      </c>
      <c r="AA3001" s="1">
        <v>1847191.61</v>
      </c>
      <c r="AB3001" s="1" t="s">
        <v>1875</v>
      </c>
      <c r="AC3001" s="5">
        <v>43889</v>
      </c>
      <c r="AF3001" s="1">
        <v>10023</v>
      </c>
      <c r="AI3001" s="1" t="s">
        <v>65</v>
      </c>
      <c r="AJ3001" s="1">
        <v>2019</v>
      </c>
      <c r="AK3001" s="1" t="s">
        <v>108</v>
      </c>
      <c r="AL3001" s="1">
        <v>172</v>
      </c>
    </row>
    <row r="3002" spans="1:38" x14ac:dyDescent="0.2">
      <c r="A3002" s="2" t="str">
        <f>HYPERLINK("https://www.compass.com/listing/88-lexington-avenue-unit-703-manhattan-ny-10016/29378562654062545/","88 Lexington Ave, Unit 703")</f>
        <v>88 Lexington Ave, Unit 703</v>
      </c>
      <c r="B3002" s="2" t="str">
        <f>HYPERLINK("https://www.compass.com/building/88-90-lexington-avenue-manhattan-ny/281903945159296309/","88 &amp; 90 Lexington Avenue")</f>
        <v>88 &amp; 90 Lexington Avenue</v>
      </c>
      <c r="C3002" s="1" t="s">
        <v>40</v>
      </c>
      <c r="D3002" s="1" t="s">
        <v>41</v>
      </c>
      <c r="E3002" s="3">
        <v>1838540</v>
      </c>
      <c r="F3002" s="1">
        <v>1891.5020576131601</v>
      </c>
      <c r="G3002" s="1">
        <v>2</v>
      </c>
      <c r="H3002" s="1">
        <v>1</v>
      </c>
      <c r="I3002" s="1">
        <v>1</v>
      </c>
      <c r="J3002" s="1">
        <v>1.5</v>
      </c>
      <c r="K3002" s="1">
        <v>1</v>
      </c>
      <c r="L3002" s="1">
        <v>1</v>
      </c>
      <c r="M3002" s="1">
        <v>972</v>
      </c>
      <c r="N3002" s="1">
        <v>851</v>
      </c>
      <c r="O3002" s="1">
        <v>1766</v>
      </c>
      <c r="P3002" s="1">
        <v>915</v>
      </c>
      <c r="Q3002" s="1" t="s">
        <v>42</v>
      </c>
      <c r="S3002" s="1" t="s">
        <v>42</v>
      </c>
      <c r="T3002" s="1" t="s">
        <v>273</v>
      </c>
      <c r="V3002" s="5">
        <v>43662</v>
      </c>
      <c r="W3002" s="5">
        <v>42412</v>
      </c>
      <c r="X3002" s="1">
        <v>1825000</v>
      </c>
      <c r="Y3002" s="1">
        <v>1825000</v>
      </c>
      <c r="Z3002" s="5">
        <v>42412</v>
      </c>
      <c r="AA3002" s="1">
        <v>1838540</v>
      </c>
      <c r="AB3002" s="1" t="s">
        <v>1876</v>
      </c>
      <c r="AC3002" s="5">
        <v>42845</v>
      </c>
      <c r="AF3002" s="1">
        <v>10016</v>
      </c>
      <c r="AI3002" s="1" t="s">
        <v>78</v>
      </c>
      <c r="AJ3002" s="1">
        <v>1927</v>
      </c>
      <c r="AK3002" s="1" t="s">
        <v>46</v>
      </c>
      <c r="AL3002" s="1">
        <v>70</v>
      </c>
    </row>
    <row r="3003" spans="1:38" x14ac:dyDescent="0.2">
      <c r="A3003" s="2" t="str">
        <f>HYPERLINK("https://www.compass.com/listing/261-west-25th-street-unit-6d-manhattan-ny-10001/70929993030539713/","261 W 25th St, Unit 6D")</f>
        <v>261 W 25th St, Unit 6D</v>
      </c>
      <c r="B3003" s="2" t="str">
        <f>HYPERLINK("https://www.compass.com/building/the-seymour-manhattan-ny/281883155990840165/","The Seymour")</f>
        <v>The Seymour</v>
      </c>
      <c r="C3003" s="1" t="s">
        <v>62</v>
      </c>
      <c r="D3003" s="1" t="s">
        <v>41</v>
      </c>
      <c r="E3003" s="3">
        <v>3864258</v>
      </c>
      <c r="F3003" s="1">
        <v>2089.9177934018298</v>
      </c>
      <c r="G3003" s="1">
        <v>5</v>
      </c>
      <c r="H3003" s="1">
        <v>3</v>
      </c>
      <c r="I3003" s="1">
        <v>3</v>
      </c>
      <c r="J3003" s="1">
        <v>0.5</v>
      </c>
      <c r="L3003" s="1">
        <v>1</v>
      </c>
      <c r="M3003" s="4">
        <v>1849</v>
      </c>
      <c r="N3003" s="1">
        <v>2093</v>
      </c>
      <c r="O3003" s="1">
        <v>4442</v>
      </c>
      <c r="P3003" s="1">
        <v>2349</v>
      </c>
      <c r="Q3003" s="1" t="s">
        <v>42</v>
      </c>
      <c r="S3003" s="1" t="s">
        <v>42</v>
      </c>
      <c r="T3003" s="1" t="s">
        <v>273</v>
      </c>
      <c r="U3003" s="1">
        <v>39</v>
      </c>
      <c r="V3003" s="5">
        <v>43662</v>
      </c>
      <c r="W3003" s="5">
        <v>42017</v>
      </c>
      <c r="X3003" s="1">
        <v>3795000</v>
      </c>
      <c r="Y3003" s="1">
        <v>3795000</v>
      </c>
      <c r="Z3003" s="5">
        <v>42056</v>
      </c>
      <c r="AA3003" s="1">
        <v>3864258</v>
      </c>
      <c r="AB3003" s="1" t="s">
        <v>1792</v>
      </c>
      <c r="AC3003" s="5">
        <v>42441</v>
      </c>
      <c r="AF3003" s="1">
        <v>10001</v>
      </c>
      <c r="AI3003" s="1" t="s">
        <v>1561</v>
      </c>
      <c r="AJ3003" s="1">
        <v>2015</v>
      </c>
      <c r="AK3003" s="1" t="s">
        <v>46</v>
      </c>
      <c r="AL3003" s="1">
        <v>49</v>
      </c>
    </row>
    <row r="3004" spans="1:38" x14ac:dyDescent="0.2">
      <c r="A3004" s="2" t="str">
        <f>HYPERLINK("https://www.compass.com/listing/88-lexington-avenue-unit-803-manhattan-ny-10016/29378564499485489/","88 Lexington Ave, Unit 803")</f>
        <v>88 Lexington Ave, Unit 803</v>
      </c>
      <c r="B3004" s="2" t="str">
        <f t="shared" ref="B3004:B3005" si="502">HYPERLINK("https://www.compass.com/building/88-90-lexington-avenue-manhattan-ny/281903945159296309/","88 &amp; 90 Lexington Avenue")</f>
        <v>88 &amp; 90 Lexington Avenue</v>
      </c>
      <c r="C3004" s="1" t="s">
        <v>40</v>
      </c>
      <c r="D3004" s="1" t="s">
        <v>41</v>
      </c>
      <c r="E3004" s="3">
        <v>1923293</v>
      </c>
      <c r="F3004" s="1">
        <v>1978.6965020576099</v>
      </c>
      <c r="G3004" s="1">
        <v>3</v>
      </c>
      <c r="H3004" s="1">
        <v>1</v>
      </c>
      <c r="I3004" s="1">
        <v>2</v>
      </c>
      <c r="J3004" s="1">
        <v>1.5</v>
      </c>
      <c r="K3004" s="1">
        <v>1</v>
      </c>
      <c r="L3004" s="1">
        <v>1</v>
      </c>
      <c r="M3004" s="1">
        <v>972</v>
      </c>
      <c r="N3004" s="1">
        <v>925</v>
      </c>
      <c r="O3004" s="1">
        <v>1910</v>
      </c>
      <c r="P3004" s="1">
        <v>985</v>
      </c>
      <c r="Q3004" s="1" t="s">
        <v>42</v>
      </c>
      <c r="S3004" s="1" t="s">
        <v>42</v>
      </c>
      <c r="T3004" s="1" t="s">
        <v>273</v>
      </c>
      <c r="V3004" s="5">
        <v>43701</v>
      </c>
      <c r="W3004" s="5">
        <v>42220</v>
      </c>
      <c r="X3004" s="1">
        <v>1875000</v>
      </c>
      <c r="Y3004" s="1">
        <v>1875000</v>
      </c>
      <c r="Z3004" s="5">
        <v>42220</v>
      </c>
      <c r="AA3004" s="1">
        <v>1923293</v>
      </c>
      <c r="AB3004" s="1" t="s">
        <v>1877</v>
      </c>
      <c r="AC3004" s="5">
        <v>42538</v>
      </c>
      <c r="AF3004" s="1">
        <v>10016</v>
      </c>
      <c r="AI3004" s="1" t="s">
        <v>78</v>
      </c>
      <c r="AJ3004" s="1">
        <v>1927</v>
      </c>
      <c r="AK3004" s="1" t="s">
        <v>46</v>
      </c>
      <c r="AL3004" s="1">
        <v>70</v>
      </c>
    </row>
    <row r="3005" spans="1:38" x14ac:dyDescent="0.2">
      <c r="A3005" s="2" t="str">
        <f>HYPERLINK("https://www.compass.com/listing/88-lexington-avenue-unit-903-manhattan-ny-10016/29378566965807121/","88 Lexington Ave, Unit 903")</f>
        <v>88 Lexington Ave, Unit 903</v>
      </c>
      <c r="B3005" s="2" t="str">
        <f t="shared" si="502"/>
        <v>88 &amp; 90 Lexington Avenue</v>
      </c>
      <c r="C3005" s="1" t="s">
        <v>40</v>
      </c>
      <c r="D3005" s="1" t="s">
        <v>41</v>
      </c>
      <c r="E3005" s="3">
        <v>1956807</v>
      </c>
      <c r="F3005" s="1">
        <v>2013.17592592592</v>
      </c>
      <c r="G3005" s="1">
        <v>3</v>
      </c>
      <c r="H3005" s="1">
        <v>1</v>
      </c>
      <c r="I3005" s="1">
        <v>1</v>
      </c>
      <c r="J3005" s="1">
        <v>1</v>
      </c>
      <c r="K3005" s="1">
        <v>1</v>
      </c>
      <c r="M3005" s="1">
        <v>972</v>
      </c>
      <c r="N3005" s="1">
        <v>930</v>
      </c>
      <c r="O3005" s="1">
        <v>1920</v>
      </c>
      <c r="P3005" s="1">
        <v>990</v>
      </c>
      <c r="Q3005" s="1" t="s">
        <v>42</v>
      </c>
      <c r="S3005" s="1" t="s">
        <v>42</v>
      </c>
      <c r="T3005" s="1" t="s">
        <v>273</v>
      </c>
      <c r="U3005" s="1">
        <v>38</v>
      </c>
      <c r="V3005" s="5">
        <v>43664</v>
      </c>
      <c r="W3005" s="5">
        <v>42164</v>
      </c>
      <c r="X3005" s="1">
        <v>1925000</v>
      </c>
      <c r="Y3005" s="1">
        <v>1925000</v>
      </c>
      <c r="Z3005" s="5">
        <v>42227</v>
      </c>
      <c r="AA3005" s="1">
        <v>1956807</v>
      </c>
      <c r="AB3005" s="1" t="s">
        <v>1878</v>
      </c>
      <c r="AC3005" s="5">
        <v>42578</v>
      </c>
      <c r="AF3005" s="1">
        <v>10016</v>
      </c>
      <c r="AI3005" s="1" t="s">
        <v>78</v>
      </c>
      <c r="AJ3005" s="1">
        <v>1927</v>
      </c>
      <c r="AK3005" s="1" t="s">
        <v>46</v>
      </c>
      <c r="AL3005" s="1">
        <v>70</v>
      </c>
    </row>
    <row r="3006" spans="1:38" x14ac:dyDescent="0.2">
      <c r="A3006" s="2" t="str">
        <f>HYPERLINK("https://www.compass.com/listing/15-west-61st-street-unit-23b-manhattan-ny-10023/620404531953595673/","15 W 61st St, Unit 23B")</f>
        <v>15 W 61st St, Unit 23B</v>
      </c>
      <c r="B3006" s="2" t="str">
        <f t="shared" ref="B3006:B3007" si="503">HYPERLINK("https://www.compass.com/building/the-park-loggia-manhattan-ny/292861833130357557/","The Park Loggia")</f>
        <v>The Park Loggia</v>
      </c>
      <c r="C3006" s="1" t="s">
        <v>57</v>
      </c>
      <c r="D3006" s="1" t="s">
        <v>41</v>
      </c>
      <c r="E3006" s="3">
        <v>3205125</v>
      </c>
      <c r="F3006" s="1">
        <v>2796.7931937172698</v>
      </c>
      <c r="G3006" s="1">
        <v>4</v>
      </c>
      <c r="H3006" s="1">
        <v>2</v>
      </c>
      <c r="I3006" s="1">
        <v>2</v>
      </c>
      <c r="J3006" s="1">
        <v>2</v>
      </c>
      <c r="K3006" s="1">
        <v>2</v>
      </c>
      <c r="M3006" s="4">
        <v>1146</v>
      </c>
      <c r="N3006" s="1">
        <v>1204</v>
      </c>
      <c r="O3006" s="1">
        <v>2415</v>
      </c>
      <c r="P3006" s="1">
        <v>1211</v>
      </c>
      <c r="Q3006" s="1" t="s">
        <v>42</v>
      </c>
      <c r="S3006" s="1" t="s">
        <v>42</v>
      </c>
      <c r="T3006" s="1" t="s">
        <v>273</v>
      </c>
      <c r="U3006" s="1">
        <v>212</v>
      </c>
      <c r="V3006" s="5">
        <v>44352</v>
      </c>
      <c r="W3006" s="5">
        <v>44107</v>
      </c>
      <c r="X3006" s="1">
        <v>3465000</v>
      </c>
      <c r="Y3006" s="1">
        <v>3465000</v>
      </c>
      <c r="Z3006" s="5">
        <v>44319</v>
      </c>
      <c r="AA3006" s="1">
        <v>3205125</v>
      </c>
      <c r="AB3006" s="1" t="s">
        <v>1879</v>
      </c>
      <c r="AC3006" s="5">
        <v>44349</v>
      </c>
      <c r="AF3006" s="1">
        <v>10023</v>
      </c>
      <c r="AI3006" s="1" t="s">
        <v>159</v>
      </c>
      <c r="AJ3006" s="1">
        <v>2019</v>
      </c>
      <c r="AK3006" s="1" t="s">
        <v>108</v>
      </c>
      <c r="AL3006" s="1">
        <v>172</v>
      </c>
    </row>
    <row r="3007" spans="1:38" x14ac:dyDescent="0.2">
      <c r="A3007" s="2" t="str">
        <f>HYPERLINK("https://www.compass.com/listing/15-west-61st-street-unit-27b-manhattan-ny-10023/494819262947821881/","15 W 61st St, Unit 27B")</f>
        <v>15 W 61st St, Unit 27B</v>
      </c>
      <c r="B3007" s="2" t="str">
        <f t="shared" si="503"/>
        <v>The Park Loggia</v>
      </c>
      <c r="C3007" s="1" t="s">
        <v>57</v>
      </c>
      <c r="D3007" s="1" t="s">
        <v>41</v>
      </c>
      <c r="E3007" s="3">
        <v>3290000</v>
      </c>
      <c r="F3007" s="1">
        <v>2848.4848484848399</v>
      </c>
      <c r="G3007" s="1">
        <v>4</v>
      </c>
      <c r="H3007" s="1">
        <v>2</v>
      </c>
      <c r="I3007" s="1">
        <v>2</v>
      </c>
      <c r="J3007" s="1">
        <v>2</v>
      </c>
      <c r="K3007" s="1">
        <v>2</v>
      </c>
      <c r="M3007" s="4">
        <v>1155</v>
      </c>
      <c r="N3007" s="1">
        <v>1213</v>
      </c>
      <c r="O3007" s="1">
        <v>2433</v>
      </c>
      <c r="P3007" s="1">
        <v>1220</v>
      </c>
      <c r="Q3007" s="1" t="s">
        <v>42</v>
      </c>
      <c r="S3007" s="1" t="s">
        <v>42</v>
      </c>
      <c r="T3007" s="1" t="s">
        <v>273</v>
      </c>
      <c r="U3007" s="1">
        <v>103</v>
      </c>
      <c r="V3007" s="5">
        <v>44145</v>
      </c>
      <c r="W3007" s="5">
        <v>43934</v>
      </c>
      <c r="X3007" s="1">
        <v>3700000</v>
      </c>
      <c r="Y3007" s="1">
        <v>3700000</v>
      </c>
      <c r="AA3007" s="1">
        <v>3290000</v>
      </c>
      <c r="AB3007" s="1" t="s">
        <v>1880</v>
      </c>
      <c r="AC3007" s="5">
        <v>44144</v>
      </c>
      <c r="AF3007" s="1">
        <v>10023</v>
      </c>
      <c r="AI3007" s="1" t="s">
        <v>159</v>
      </c>
      <c r="AJ3007" s="1">
        <v>2019</v>
      </c>
      <c r="AK3007" s="1" t="s">
        <v>108</v>
      </c>
      <c r="AL3007" s="1">
        <v>172</v>
      </c>
    </row>
    <row r="3008" spans="1:38" x14ac:dyDescent="0.2">
      <c r="A3008" s="2" t="str">
        <f>HYPERLINK("https://www.compass.com/listing/77-charlton-street-unit-n6d-manhattan-ny-10014/834786137661691065/","77 Charlton St, Unit N6D")</f>
        <v>77 Charlton St, Unit N6D</v>
      </c>
      <c r="B3008" s="2" t="str">
        <f>HYPERLINK("https://www.compass.com/building/77-charlton-st-manhattan-ny-10014/282058735872933093/","77 Charlton St")</f>
        <v>77 Charlton St</v>
      </c>
      <c r="C3008" s="1" t="s">
        <v>53</v>
      </c>
      <c r="D3008" s="1" t="s">
        <v>41</v>
      </c>
      <c r="E3008" s="3">
        <v>2300000</v>
      </c>
      <c r="G3008" s="1">
        <v>6</v>
      </c>
      <c r="H3008" s="1">
        <v>2</v>
      </c>
      <c r="I3008" s="1">
        <v>3</v>
      </c>
      <c r="J3008" s="1">
        <v>2.5</v>
      </c>
      <c r="K3008" s="1">
        <v>2</v>
      </c>
      <c r="L3008" s="1">
        <v>1</v>
      </c>
      <c r="S3008" s="1" t="s">
        <v>42</v>
      </c>
      <c r="T3008" s="1" t="s">
        <v>273</v>
      </c>
      <c r="V3008" s="5">
        <v>44412</v>
      </c>
      <c r="AA3008" s="1">
        <v>2300000</v>
      </c>
      <c r="AB3008" s="1" t="s">
        <v>275</v>
      </c>
      <c r="AC3008" s="5">
        <v>44404</v>
      </c>
      <c r="AF3008" s="1">
        <v>10014</v>
      </c>
      <c r="AI3008" s="1" t="s">
        <v>48</v>
      </c>
      <c r="AJ3008" s="1">
        <v>2019</v>
      </c>
      <c r="AK3008" s="1" t="s">
        <v>49</v>
      </c>
      <c r="AL3008" s="1">
        <v>161</v>
      </c>
    </row>
    <row r="3009" spans="1:38" x14ac:dyDescent="0.2">
      <c r="A3009" s="2" t="str">
        <f>HYPERLINK("https://www.compass.com/listing/360-east-89th-street-unit-24c-manhattan-ny-10128/29424464269780273/","360 E 89th St, Unit 24C")</f>
        <v>360 E 89th St, Unit 24C</v>
      </c>
      <c r="B3009" s="2" t="str">
        <f>HYPERLINK("https://www.compass.com/building/citizen360-manhattan-ny/282052027553444853/","Citizen360")</f>
        <v>Citizen360</v>
      </c>
      <c r="C3009" s="1" t="s">
        <v>82</v>
      </c>
      <c r="D3009" s="1" t="s">
        <v>41</v>
      </c>
      <c r="E3009" s="3">
        <v>3240785</v>
      </c>
      <c r="F3009" s="1">
        <v>1929.0386904761899</v>
      </c>
      <c r="G3009" s="1">
        <v>4.5</v>
      </c>
      <c r="H3009" s="1">
        <v>2</v>
      </c>
      <c r="I3009" s="1">
        <v>2</v>
      </c>
      <c r="J3009" s="1">
        <v>2.5</v>
      </c>
      <c r="K3009" s="1">
        <v>2</v>
      </c>
      <c r="L3009" s="1">
        <v>1</v>
      </c>
      <c r="M3009" s="4">
        <v>1680</v>
      </c>
      <c r="N3009" s="1">
        <v>1713</v>
      </c>
      <c r="O3009" s="1">
        <v>3706</v>
      </c>
      <c r="P3009" s="1">
        <v>1993</v>
      </c>
      <c r="Q3009" s="1" t="s">
        <v>42</v>
      </c>
      <c r="S3009" s="1" t="s">
        <v>42</v>
      </c>
      <c r="T3009" s="1" t="s">
        <v>273</v>
      </c>
      <c r="U3009" s="1">
        <v>197</v>
      </c>
      <c r="V3009" s="5">
        <v>43641</v>
      </c>
      <c r="W3009" s="5">
        <v>42830</v>
      </c>
      <c r="X3009" s="1">
        <v>3180000</v>
      </c>
      <c r="Y3009" s="1">
        <v>3180000</v>
      </c>
      <c r="Z3009" s="5">
        <v>43027</v>
      </c>
      <c r="AA3009" s="1">
        <v>3240785</v>
      </c>
      <c r="AB3009" s="1" t="s">
        <v>1881</v>
      </c>
      <c r="AC3009" s="5">
        <v>43188</v>
      </c>
      <c r="AF3009" s="1">
        <v>10128</v>
      </c>
      <c r="AJ3009" s="1">
        <v>2017</v>
      </c>
      <c r="AK3009" s="1" t="s">
        <v>108</v>
      </c>
      <c r="AL3009" s="1">
        <v>82</v>
      </c>
    </row>
    <row r="3010" spans="1:38" x14ac:dyDescent="0.2">
      <c r="A3010" s="2" t="str">
        <f>HYPERLINK("https://www.compass.com/listing/1-west-end-avenue-unit-10c-manhattan-ny-10023/29397338900418481/","1 W End Ave, Unit 10C")</f>
        <v>1 W End Ave, Unit 10C</v>
      </c>
      <c r="B3010" s="2" t="str">
        <f t="shared" ref="B3010:B3011" si="504">HYPERLINK("https://www.compass.com/building/1-w-end-ave-manhattan-ny-10023/455676159137755317/","1 W End Ave")</f>
        <v>1 W End Ave</v>
      </c>
      <c r="C3010" s="1" t="s">
        <v>57</v>
      </c>
      <c r="D3010" s="1" t="s">
        <v>41</v>
      </c>
      <c r="E3010" s="3">
        <v>1353662</v>
      </c>
      <c r="F3010" s="1">
        <v>1717.8451776649699</v>
      </c>
      <c r="G3010" s="1">
        <v>3</v>
      </c>
      <c r="H3010" s="1">
        <v>1</v>
      </c>
      <c r="I3010" s="1">
        <v>1</v>
      </c>
      <c r="J3010" s="1">
        <v>1</v>
      </c>
      <c r="K3010" s="1">
        <v>1</v>
      </c>
      <c r="M3010" s="1">
        <v>788</v>
      </c>
      <c r="N3010" s="1">
        <v>884.42</v>
      </c>
      <c r="O3010" s="1">
        <v>937.20999999999901</v>
      </c>
      <c r="P3010" s="1">
        <v>52.75</v>
      </c>
      <c r="Q3010" s="1" t="s">
        <v>42</v>
      </c>
      <c r="S3010" s="1" t="s">
        <v>42</v>
      </c>
      <c r="T3010" s="1" t="s">
        <v>273</v>
      </c>
      <c r="V3010" s="5">
        <v>43679</v>
      </c>
      <c r="W3010" s="5">
        <v>42201</v>
      </c>
      <c r="X3010" s="1">
        <v>1535000</v>
      </c>
      <c r="Y3010" s="1">
        <v>1535000</v>
      </c>
      <c r="Z3010" s="5">
        <v>42201</v>
      </c>
      <c r="AA3010" s="1">
        <v>1353662</v>
      </c>
      <c r="AB3010" s="1" t="s">
        <v>1882</v>
      </c>
      <c r="AC3010" s="5">
        <v>43011</v>
      </c>
      <c r="AF3010" s="1">
        <v>10023</v>
      </c>
      <c r="AI3010" s="1" t="s">
        <v>60</v>
      </c>
      <c r="AJ3010" s="1">
        <v>2017</v>
      </c>
      <c r="AK3010" s="1" t="s">
        <v>108</v>
      </c>
      <c r="AL3010" s="1">
        <v>246</v>
      </c>
    </row>
    <row r="3011" spans="1:38" x14ac:dyDescent="0.2">
      <c r="A3011" s="2" t="str">
        <f>HYPERLINK("https://www.compass.com/listing/1-west-end-avenue-unit-18l-manhattan-ny-10023/29397398744825121/","1 W End Ave, Unit 18L")</f>
        <v>1 W End Ave, Unit 18L</v>
      </c>
      <c r="B3011" s="2" t="str">
        <f t="shared" si="504"/>
        <v>1 W End Ave</v>
      </c>
      <c r="C3011" s="1" t="s">
        <v>57</v>
      </c>
      <c r="D3011" s="1" t="s">
        <v>41</v>
      </c>
      <c r="E3011" s="3">
        <v>1705623</v>
      </c>
      <c r="F3011" s="1">
        <v>1857.97755991285</v>
      </c>
      <c r="G3011" s="1">
        <v>3</v>
      </c>
      <c r="H3011" s="1">
        <v>1</v>
      </c>
      <c r="I3011" s="1">
        <v>1</v>
      </c>
      <c r="J3011" s="1">
        <v>1</v>
      </c>
      <c r="K3011" s="1">
        <v>1</v>
      </c>
      <c r="M3011" s="1">
        <v>918</v>
      </c>
      <c r="N3011" s="1">
        <v>992.79</v>
      </c>
      <c r="O3011" s="1">
        <v>1052.1099999999999</v>
      </c>
      <c r="P3011" s="1">
        <v>59.3333333333333</v>
      </c>
      <c r="Q3011" s="1" t="s">
        <v>42</v>
      </c>
      <c r="S3011" s="1" t="s">
        <v>42</v>
      </c>
      <c r="T3011" s="1" t="s">
        <v>273</v>
      </c>
      <c r="V3011" s="5">
        <v>43623</v>
      </c>
      <c r="W3011" s="5">
        <v>42203</v>
      </c>
      <c r="X3011" s="1">
        <v>1745000</v>
      </c>
      <c r="Y3011" s="1">
        <v>1745000</v>
      </c>
      <c r="Z3011" s="5">
        <v>42203</v>
      </c>
      <c r="AA3011" s="1">
        <v>1705623.4</v>
      </c>
      <c r="AB3011" s="1" t="s">
        <v>1883</v>
      </c>
      <c r="AC3011" s="5">
        <v>43207</v>
      </c>
      <c r="AF3011" s="1">
        <v>10023</v>
      </c>
      <c r="AI3011" s="1" t="s">
        <v>60</v>
      </c>
      <c r="AJ3011" s="1">
        <v>2017</v>
      </c>
      <c r="AK3011" s="1" t="s">
        <v>108</v>
      </c>
      <c r="AL3011" s="1">
        <v>246</v>
      </c>
    </row>
    <row r="3012" spans="1:38" x14ac:dyDescent="0.2">
      <c r="A3012" s="2" t="str">
        <f>HYPERLINK("https://www.compass.com/listing/360-east-89th-street-unit-14a-manhattan-ny-10128/26850124416221585/","360 E 89th St, Unit 14A")</f>
        <v>360 E 89th St, Unit 14A</v>
      </c>
      <c r="B3012" s="2" t="str">
        <f t="shared" ref="B3012:B3013" si="505">HYPERLINK("https://www.compass.com/building/citizen360-manhattan-ny/282052027553444853/","Citizen360")</f>
        <v>Citizen360</v>
      </c>
      <c r="C3012" s="1" t="s">
        <v>82</v>
      </c>
      <c r="D3012" s="1" t="s">
        <v>41</v>
      </c>
      <c r="E3012" s="3">
        <v>3600000</v>
      </c>
      <c r="F3012" s="1">
        <v>1756.9546120058501</v>
      </c>
      <c r="G3012" s="1">
        <v>5</v>
      </c>
      <c r="H3012" s="1">
        <v>3</v>
      </c>
      <c r="I3012" s="1">
        <v>4</v>
      </c>
      <c r="J3012" s="1">
        <v>3.5</v>
      </c>
      <c r="K3012" s="1">
        <v>3</v>
      </c>
      <c r="L3012" s="1">
        <v>1</v>
      </c>
      <c r="M3012" s="4">
        <v>2049</v>
      </c>
      <c r="N3012" s="1">
        <v>1994</v>
      </c>
      <c r="O3012" s="1">
        <v>3077</v>
      </c>
      <c r="P3012" s="1">
        <v>1083</v>
      </c>
      <c r="Q3012" s="1" t="s">
        <v>42</v>
      </c>
      <c r="S3012" s="1" t="s">
        <v>42</v>
      </c>
      <c r="T3012" s="1" t="s">
        <v>273</v>
      </c>
      <c r="U3012" s="1">
        <v>52</v>
      </c>
      <c r="V3012" s="5">
        <v>43694</v>
      </c>
      <c r="W3012" s="5">
        <v>43535</v>
      </c>
      <c r="X3012" s="1">
        <v>3600000</v>
      </c>
      <c r="Y3012" s="1">
        <v>3600000</v>
      </c>
      <c r="Z3012" s="5">
        <v>43587</v>
      </c>
      <c r="AA3012" s="1">
        <v>3600000</v>
      </c>
      <c r="AB3012" s="1" t="s">
        <v>1884</v>
      </c>
      <c r="AC3012" s="5">
        <v>43630</v>
      </c>
      <c r="AF3012" s="1">
        <v>10128</v>
      </c>
      <c r="AJ3012" s="1">
        <v>2017</v>
      </c>
      <c r="AK3012" s="1" t="s">
        <v>46</v>
      </c>
      <c r="AL3012" s="1">
        <v>82</v>
      </c>
    </row>
    <row r="3013" spans="1:38" x14ac:dyDescent="0.2">
      <c r="A3013" s="2" t="str">
        <f>HYPERLINK("https://www.compass.com/listing/360-east-89th-street-unit-20c-manhattan-ny-10128/29424460796842097/","360 E 89th St, Unit 20C")</f>
        <v>360 E 89th St, Unit 20C</v>
      </c>
      <c r="B3013" s="2" t="str">
        <f t="shared" si="505"/>
        <v>Citizen360</v>
      </c>
      <c r="C3013" s="1" t="s">
        <v>82</v>
      </c>
      <c r="D3013" s="1" t="s">
        <v>41</v>
      </c>
      <c r="E3013" s="3">
        <v>3054750</v>
      </c>
      <c r="F3013" s="1">
        <v>1839.1029500300999</v>
      </c>
      <c r="G3013" s="1">
        <v>4</v>
      </c>
      <c r="H3013" s="1">
        <v>2</v>
      </c>
      <c r="I3013" s="1">
        <v>2</v>
      </c>
      <c r="J3013" s="1">
        <v>2.5</v>
      </c>
      <c r="K3013" s="1">
        <v>2</v>
      </c>
      <c r="L3013" s="1">
        <v>1</v>
      </c>
      <c r="M3013" s="4">
        <v>1661</v>
      </c>
      <c r="N3013" s="1">
        <v>1660</v>
      </c>
      <c r="O3013" s="1">
        <v>3590</v>
      </c>
      <c r="P3013" s="1">
        <v>1930</v>
      </c>
      <c r="Q3013" s="1" t="s">
        <v>42</v>
      </c>
      <c r="S3013" s="1" t="s">
        <v>42</v>
      </c>
      <c r="T3013" s="1" t="s">
        <v>273</v>
      </c>
      <c r="U3013" s="1">
        <v>85</v>
      </c>
      <c r="V3013" s="5">
        <v>43641</v>
      </c>
      <c r="W3013" s="5">
        <v>42402</v>
      </c>
      <c r="X3013" s="1">
        <v>3000000</v>
      </c>
      <c r="Y3013" s="1">
        <v>3000000</v>
      </c>
      <c r="Z3013" s="5">
        <v>42487</v>
      </c>
      <c r="AA3013" s="1">
        <v>3054750</v>
      </c>
      <c r="AB3013" s="1" t="s">
        <v>1885</v>
      </c>
      <c r="AC3013" s="5">
        <v>43168</v>
      </c>
      <c r="AF3013" s="1">
        <v>10128</v>
      </c>
      <c r="AJ3013" s="1">
        <v>2017</v>
      </c>
      <c r="AK3013" s="1" t="s">
        <v>108</v>
      </c>
      <c r="AL3013" s="1">
        <v>82</v>
      </c>
    </row>
    <row r="3014" spans="1:38" x14ac:dyDescent="0.2">
      <c r="A3014" s="2" t="str">
        <f>HYPERLINK("https://www.compass.com/listing/12-east-88th-street-unit-6d-manhattan-ny-10128/29420045268501889/","12 E 88th St, Unit 6D")</f>
        <v>12 E 88th St, Unit 6D</v>
      </c>
      <c r="B3014" s="2" t="str">
        <f t="shared" ref="B3014:B3022" si="506">HYPERLINK("https://www.compass.com/building/12-e-88th-st-manhattan-ny-10128/282046316798827461/","12 E 88th St")</f>
        <v>12 E 88th St</v>
      </c>
      <c r="C3014" s="1" t="s">
        <v>82</v>
      </c>
      <c r="D3014" s="1" t="s">
        <v>41</v>
      </c>
      <c r="E3014" s="3">
        <v>3280000</v>
      </c>
      <c r="F3014" s="1">
        <v>2263.6300897170399</v>
      </c>
      <c r="G3014" s="1">
        <v>5</v>
      </c>
      <c r="H3014" s="1">
        <v>2</v>
      </c>
      <c r="I3014" s="1">
        <v>2</v>
      </c>
      <c r="J3014" s="1">
        <v>2</v>
      </c>
      <c r="M3014" s="4">
        <v>1449</v>
      </c>
      <c r="N3014" s="1">
        <v>1755</v>
      </c>
      <c r="O3014" s="1">
        <v>3633</v>
      </c>
      <c r="P3014" s="1">
        <v>1878</v>
      </c>
      <c r="Q3014" s="1" t="s">
        <v>42</v>
      </c>
      <c r="S3014" s="1" t="s">
        <v>42</v>
      </c>
      <c r="T3014" s="1" t="s">
        <v>273</v>
      </c>
      <c r="U3014" s="1">
        <v>424</v>
      </c>
      <c r="V3014" s="5">
        <v>43630</v>
      </c>
      <c r="W3014" s="5">
        <v>42631</v>
      </c>
      <c r="X3014" s="1">
        <v>3350000</v>
      </c>
      <c r="Y3014" s="1">
        <v>3495000</v>
      </c>
      <c r="Z3014" s="5">
        <v>43055</v>
      </c>
      <c r="AA3014" s="1">
        <v>3280000</v>
      </c>
      <c r="AB3014" s="1" t="s">
        <v>1886</v>
      </c>
      <c r="AC3014" s="5">
        <v>43166</v>
      </c>
      <c r="AF3014" s="1">
        <v>10128</v>
      </c>
      <c r="AI3014" s="1" t="s">
        <v>177</v>
      </c>
      <c r="AJ3014" s="1">
        <v>1931</v>
      </c>
      <c r="AK3014" s="1" t="s">
        <v>49</v>
      </c>
      <c r="AL3014" s="1">
        <v>39</v>
      </c>
    </row>
    <row r="3015" spans="1:38" x14ac:dyDescent="0.2">
      <c r="A3015" s="2" t="str">
        <f>HYPERLINK("https://www.compass.com/listing/12-east-88th-street-unit-6a-manhattan-ny-10128/29509525040082273/","12 E 88th St, Unit 6A")</f>
        <v>12 E 88th St, Unit 6A</v>
      </c>
      <c r="B3015" s="2" t="str">
        <f t="shared" si="506"/>
        <v>12 E 88th St</v>
      </c>
      <c r="C3015" s="1" t="s">
        <v>82</v>
      </c>
      <c r="D3015" s="1" t="s">
        <v>41</v>
      </c>
      <c r="E3015" s="3">
        <v>8675000</v>
      </c>
      <c r="F3015" s="1">
        <v>2221.5108834827101</v>
      </c>
      <c r="G3015" s="1">
        <v>8</v>
      </c>
      <c r="H3015" s="1">
        <v>5</v>
      </c>
      <c r="I3015" s="1">
        <v>4</v>
      </c>
      <c r="J3015" s="1">
        <v>4.5</v>
      </c>
      <c r="K3015" s="1">
        <v>4</v>
      </c>
      <c r="L3015" s="1">
        <v>1</v>
      </c>
      <c r="M3015" s="4">
        <v>3905</v>
      </c>
      <c r="N3015" s="1">
        <v>4278</v>
      </c>
      <c r="O3015" s="1">
        <v>9338</v>
      </c>
      <c r="P3015" s="1">
        <v>5060</v>
      </c>
      <c r="Q3015" s="1" t="s">
        <v>42</v>
      </c>
      <c r="S3015" s="1" t="s">
        <v>42</v>
      </c>
      <c r="T3015" s="1" t="s">
        <v>273</v>
      </c>
      <c r="U3015" s="1">
        <v>98</v>
      </c>
      <c r="V3015" s="5">
        <v>43636</v>
      </c>
      <c r="W3015" s="5">
        <v>43175</v>
      </c>
      <c r="X3015" s="1">
        <v>8950000</v>
      </c>
      <c r="Y3015" s="1">
        <v>8950000</v>
      </c>
      <c r="Z3015" s="5">
        <v>43273</v>
      </c>
      <c r="AA3015" s="1">
        <v>8675000</v>
      </c>
      <c r="AB3015" s="1" t="s">
        <v>1887</v>
      </c>
      <c r="AC3015" s="5">
        <v>43326</v>
      </c>
      <c r="AF3015" s="1">
        <v>10128</v>
      </c>
      <c r="AI3015" s="1" t="s">
        <v>177</v>
      </c>
      <c r="AJ3015" s="1">
        <v>1931</v>
      </c>
      <c r="AK3015" s="1" t="s">
        <v>46</v>
      </c>
      <c r="AL3015" s="1">
        <v>39</v>
      </c>
    </row>
    <row r="3016" spans="1:38" x14ac:dyDescent="0.2">
      <c r="A3016" s="2" t="str">
        <f>HYPERLINK("https://www.compass.com/listing/12-east-88th-street-unit-7a-manhattan-ny-10128/388264260787708417/","12 E 88th St, Unit 7A")</f>
        <v>12 E 88th St, Unit 7A</v>
      </c>
      <c r="B3016" s="2" t="str">
        <f t="shared" si="506"/>
        <v>12 E 88th St</v>
      </c>
      <c r="C3016" s="1" t="s">
        <v>82</v>
      </c>
      <c r="D3016" s="1" t="s">
        <v>41</v>
      </c>
      <c r="E3016" s="3">
        <v>5700000</v>
      </c>
      <c r="F3016" s="1">
        <v>1912.75167785234</v>
      </c>
      <c r="G3016" s="1">
        <v>7</v>
      </c>
      <c r="H3016" s="1">
        <v>4</v>
      </c>
      <c r="I3016" s="1">
        <v>5</v>
      </c>
      <c r="J3016" s="1">
        <v>4.5</v>
      </c>
      <c r="K3016" s="1">
        <v>4</v>
      </c>
      <c r="L3016" s="1">
        <v>1</v>
      </c>
      <c r="M3016" s="4">
        <v>2980</v>
      </c>
      <c r="N3016" s="1">
        <v>3622</v>
      </c>
      <c r="O3016" s="1">
        <v>7659</v>
      </c>
      <c r="P3016" s="1">
        <v>4037</v>
      </c>
      <c r="Q3016" s="1" t="s">
        <v>42</v>
      </c>
      <c r="S3016" s="1" t="s">
        <v>42</v>
      </c>
      <c r="T3016" s="1" t="s">
        <v>273</v>
      </c>
      <c r="U3016" s="1">
        <v>51</v>
      </c>
      <c r="V3016" s="5">
        <v>44225</v>
      </c>
      <c r="W3016" s="5">
        <v>43788</v>
      </c>
      <c r="X3016" s="1">
        <v>5995000</v>
      </c>
      <c r="Y3016" s="1">
        <v>5995000</v>
      </c>
      <c r="Z3016" s="5">
        <v>43839</v>
      </c>
      <c r="AA3016" s="1">
        <v>5700000</v>
      </c>
      <c r="AB3016" s="1" t="s">
        <v>1888</v>
      </c>
      <c r="AC3016" s="5">
        <v>43935</v>
      </c>
      <c r="AF3016" s="1">
        <v>10128</v>
      </c>
      <c r="AI3016" s="1" t="s">
        <v>197</v>
      </c>
      <c r="AJ3016" s="1">
        <v>1931</v>
      </c>
      <c r="AK3016" s="1" t="s">
        <v>46</v>
      </c>
      <c r="AL3016" s="1">
        <v>39</v>
      </c>
    </row>
    <row r="3017" spans="1:38" x14ac:dyDescent="0.2">
      <c r="A3017" s="2" t="str">
        <f>HYPERLINK("https://www.compass.com/listing/12-east-88th-street-unit-9a-manhattan-ny-10128/388264261884552481/","12 E 88th St, Unit 9A")</f>
        <v>12 E 88th St, Unit 9A</v>
      </c>
      <c r="B3017" s="2" t="str">
        <f t="shared" si="506"/>
        <v>12 E 88th St</v>
      </c>
      <c r="C3017" s="1" t="s">
        <v>82</v>
      </c>
      <c r="D3017" s="1" t="s">
        <v>41</v>
      </c>
      <c r="E3017" s="3">
        <v>5600000</v>
      </c>
      <c r="F3017" s="1">
        <v>1879.19463087248</v>
      </c>
      <c r="G3017" s="1">
        <v>7.5</v>
      </c>
      <c r="H3017" s="1">
        <v>4</v>
      </c>
      <c r="I3017" s="1">
        <v>5</v>
      </c>
      <c r="J3017" s="1">
        <v>4.5</v>
      </c>
      <c r="K3017" s="1">
        <v>4</v>
      </c>
      <c r="L3017" s="1">
        <v>1</v>
      </c>
      <c r="M3017" s="4">
        <v>2980</v>
      </c>
      <c r="N3017" s="1">
        <v>3651</v>
      </c>
      <c r="O3017" s="1">
        <v>7719</v>
      </c>
      <c r="P3017" s="1">
        <v>4068</v>
      </c>
      <c r="Q3017" s="1" t="s">
        <v>42</v>
      </c>
      <c r="S3017" s="1" t="s">
        <v>42</v>
      </c>
      <c r="T3017" s="1" t="s">
        <v>273</v>
      </c>
      <c r="U3017" s="1">
        <v>120</v>
      </c>
      <c r="V3017" s="5">
        <v>44225</v>
      </c>
      <c r="W3017" s="5">
        <v>43788</v>
      </c>
      <c r="X3017" s="1">
        <v>6495000</v>
      </c>
      <c r="Y3017" s="1">
        <v>6495000</v>
      </c>
      <c r="AA3017" s="1">
        <v>5600000</v>
      </c>
      <c r="AB3017" s="1" t="s">
        <v>1889</v>
      </c>
      <c r="AC3017" s="5">
        <v>43908</v>
      </c>
      <c r="AF3017" s="1">
        <v>10128</v>
      </c>
      <c r="AI3017" s="1" t="s">
        <v>197</v>
      </c>
      <c r="AJ3017" s="1">
        <v>1931</v>
      </c>
      <c r="AK3017" s="1" t="s">
        <v>46</v>
      </c>
      <c r="AL3017" s="1">
        <v>39</v>
      </c>
    </row>
    <row r="3018" spans="1:38" x14ac:dyDescent="0.2">
      <c r="A3018" s="2" t="str">
        <f>HYPERLINK("https://www.compass.com/listing/12-east-88th-street-unit-th2-manhattan-ny-10128/388282676808296769/","12 E 88th St, Unit TH2")</f>
        <v>12 E 88th St, Unit TH2</v>
      </c>
      <c r="B3018" s="2" t="str">
        <f t="shared" si="506"/>
        <v>12 E 88th St</v>
      </c>
      <c r="C3018" s="1" t="s">
        <v>82</v>
      </c>
      <c r="D3018" s="1" t="s">
        <v>41</v>
      </c>
      <c r="E3018" s="3">
        <v>6000000</v>
      </c>
      <c r="F3018" s="1">
        <v>1438.50395588587</v>
      </c>
      <c r="G3018" s="1">
        <v>10</v>
      </c>
      <c r="H3018" s="1">
        <v>4</v>
      </c>
      <c r="I3018" s="1">
        <v>5</v>
      </c>
      <c r="J3018" s="1">
        <v>4.5</v>
      </c>
      <c r="K3018" s="1">
        <v>4</v>
      </c>
      <c r="L3018" s="1">
        <v>1</v>
      </c>
      <c r="M3018" s="4">
        <v>4171</v>
      </c>
      <c r="N3018" s="1">
        <v>4951</v>
      </c>
      <c r="O3018" s="1">
        <v>10469</v>
      </c>
      <c r="P3018" s="1">
        <v>5518</v>
      </c>
      <c r="Q3018" s="1" t="s">
        <v>42</v>
      </c>
      <c r="S3018" s="1" t="s">
        <v>42</v>
      </c>
      <c r="T3018" s="1" t="s">
        <v>273</v>
      </c>
      <c r="V3018" s="5">
        <v>44317</v>
      </c>
      <c r="W3018" s="5">
        <v>43788</v>
      </c>
      <c r="X3018" s="1">
        <v>7495000</v>
      </c>
      <c r="Y3018" s="1">
        <v>7495000</v>
      </c>
      <c r="Z3018" s="5">
        <v>43788</v>
      </c>
      <c r="AA3018" s="1">
        <v>6000000</v>
      </c>
      <c r="AB3018" s="1" t="s">
        <v>1890</v>
      </c>
      <c r="AC3018" s="5">
        <v>44315</v>
      </c>
      <c r="AF3018" s="1">
        <v>10128</v>
      </c>
      <c r="AI3018" s="1" t="s">
        <v>197</v>
      </c>
      <c r="AJ3018" s="1">
        <v>1931</v>
      </c>
      <c r="AK3018" s="1" t="s">
        <v>46</v>
      </c>
      <c r="AL3018" s="1">
        <v>39</v>
      </c>
    </row>
    <row r="3019" spans="1:38" x14ac:dyDescent="0.2">
      <c r="A3019" s="2" t="str">
        <f>HYPERLINK("https://www.compass.com/listing/12-east-88th-street-unit-10a-manhattan-ny-10128/388460189478044913/","12 E 88th St, Unit 10A")</f>
        <v>12 E 88th St, Unit 10A</v>
      </c>
      <c r="B3019" s="2" t="str">
        <f t="shared" si="506"/>
        <v>12 E 88th St</v>
      </c>
      <c r="C3019" s="1" t="s">
        <v>82</v>
      </c>
      <c r="D3019" s="1" t="s">
        <v>41</v>
      </c>
      <c r="E3019" s="3">
        <v>5250000</v>
      </c>
      <c r="F3019" s="1">
        <v>1761.74496644295</v>
      </c>
      <c r="G3019" s="1">
        <v>7</v>
      </c>
      <c r="H3019" s="1">
        <v>4</v>
      </c>
      <c r="I3019" s="1">
        <v>5</v>
      </c>
      <c r="J3019" s="1">
        <v>4.5</v>
      </c>
      <c r="K3019" s="1">
        <v>4</v>
      </c>
      <c r="L3019" s="1">
        <v>1</v>
      </c>
      <c r="M3019" s="4">
        <v>2980</v>
      </c>
      <c r="N3019" s="1">
        <v>3665</v>
      </c>
      <c r="O3019" s="1">
        <v>7749</v>
      </c>
      <c r="P3019" s="1">
        <v>4084</v>
      </c>
      <c r="Q3019" s="1" t="s">
        <v>42</v>
      </c>
      <c r="S3019" s="1" t="s">
        <v>42</v>
      </c>
      <c r="T3019" s="1" t="s">
        <v>273</v>
      </c>
      <c r="U3019" s="1">
        <v>213</v>
      </c>
      <c r="V3019" s="5">
        <v>44145</v>
      </c>
      <c r="W3019" s="5">
        <v>43783</v>
      </c>
      <c r="X3019" s="1">
        <v>6750000</v>
      </c>
      <c r="Y3019" s="1">
        <v>6295000</v>
      </c>
      <c r="Z3019" s="5">
        <v>44090</v>
      </c>
      <c r="AA3019" s="1">
        <v>5250000</v>
      </c>
      <c r="AB3019" s="1" t="s">
        <v>1891</v>
      </c>
      <c r="AC3019" s="5">
        <v>44126</v>
      </c>
      <c r="AF3019" s="1">
        <v>10128</v>
      </c>
      <c r="AI3019" s="1" t="s">
        <v>177</v>
      </c>
      <c r="AJ3019" s="1">
        <v>1931</v>
      </c>
      <c r="AK3019" s="1" t="s">
        <v>175</v>
      </c>
      <c r="AL3019" s="1">
        <v>39</v>
      </c>
    </row>
    <row r="3020" spans="1:38" x14ac:dyDescent="0.2">
      <c r="A3020" s="2" t="str">
        <f>HYPERLINK("https://www.compass.com/listing/12-east-88th-street-unit-10a-manhattan-ny-10128/803330290009171841/","12 E 88th St, Unit 10A")</f>
        <v>12 E 88th St, Unit 10A</v>
      </c>
      <c r="B3020" s="2" t="str">
        <f t="shared" si="506"/>
        <v>12 E 88th St</v>
      </c>
      <c r="C3020" s="1" t="s">
        <v>82</v>
      </c>
      <c r="D3020" s="1" t="s">
        <v>41</v>
      </c>
      <c r="E3020" s="3">
        <v>5250000</v>
      </c>
      <c r="F3020" s="1">
        <v>1761.74496644295</v>
      </c>
      <c r="G3020" s="1">
        <v>7</v>
      </c>
      <c r="H3020" s="1">
        <v>4</v>
      </c>
      <c r="I3020" s="1">
        <v>5</v>
      </c>
      <c r="J3020" s="1">
        <v>4.5</v>
      </c>
      <c r="K3020" s="1">
        <v>4</v>
      </c>
      <c r="L3020" s="1">
        <v>1</v>
      </c>
      <c r="M3020" s="4">
        <v>2980</v>
      </c>
      <c r="N3020" s="1">
        <v>3665</v>
      </c>
      <c r="O3020" s="1">
        <v>7749</v>
      </c>
      <c r="P3020" s="1">
        <v>4084</v>
      </c>
      <c r="Q3020" s="1" t="s">
        <v>42</v>
      </c>
      <c r="S3020" s="1" t="s">
        <v>42</v>
      </c>
      <c r="T3020" s="1" t="s">
        <v>273</v>
      </c>
      <c r="U3020" s="1">
        <v>208</v>
      </c>
      <c r="V3020" s="5">
        <v>44225</v>
      </c>
      <c r="W3020" s="5">
        <v>43788</v>
      </c>
      <c r="X3020" s="1">
        <v>6750000</v>
      </c>
      <c r="Y3020" s="1">
        <v>6295000</v>
      </c>
      <c r="Z3020" s="5">
        <v>44090</v>
      </c>
      <c r="AA3020" s="1">
        <v>5250000</v>
      </c>
      <c r="AB3020" s="1" t="s">
        <v>1891</v>
      </c>
      <c r="AC3020" s="5">
        <v>44126</v>
      </c>
      <c r="AF3020" s="1">
        <v>10128</v>
      </c>
      <c r="AI3020" s="1" t="s">
        <v>197</v>
      </c>
      <c r="AJ3020" s="1">
        <v>1931</v>
      </c>
      <c r="AK3020" s="1" t="s">
        <v>46</v>
      </c>
      <c r="AL3020" s="1">
        <v>39</v>
      </c>
    </row>
    <row r="3021" spans="1:38" x14ac:dyDescent="0.2">
      <c r="A3021" s="2" t="str">
        <f>HYPERLINK("https://www.compass.com/listing/12-east-88th-street-unit-9a-manhattan-ny-10128/803346856444759105/","12 E 88th St, Unit 9A")</f>
        <v>12 E 88th St, Unit 9A</v>
      </c>
      <c r="B3021" s="2" t="str">
        <f t="shared" si="506"/>
        <v>12 E 88th St</v>
      </c>
      <c r="C3021" s="1" t="s">
        <v>82</v>
      </c>
      <c r="D3021" s="1" t="s">
        <v>41</v>
      </c>
      <c r="E3021" s="3">
        <v>5600000</v>
      </c>
      <c r="F3021" s="1">
        <v>1879.19463087248</v>
      </c>
      <c r="G3021" s="1">
        <v>7</v>
      </c>
      <c r="H3021" s="1">
        <v>4</v>
      </c>
      <c r="I3021" s="1">
        <v>5</v>
      </c>
      <c r="J3021" s="1">
        <v>4.5</v>
      </c>
      <c r="K3021" s="1">
        <v>4</v>
      </c>
      <c r="L3021" s="1">
        <v>1</v>
      </c>
      <c r="M3021" s="4">
        <v>2980</v>
      </c>
      <c r="N3021" s="1">
        <v>3651</v>
      </c>
      <c r="O3021" s="1">
        <v>7719</v>
      </c>
      <c r="P3021" s="1">
        <v>4068</v>
      </c>
      <c r="Q3021" s="1" t="s">
        <v>42</v>
      </c>
      <c r="S3021" s="1" t="s">
        <v>42</v>
      </c>
      <c r="T3021" s="1" t="s">
        <v>273</v>
      </c>
      <c r="U3021" s="1">
        <v>62</v>
      </c>
      <c r="V3021" s="5">
        <v>43911</v>
      </c>
      <c r="W3021" s="5">
        <v>43783</v>
      </c>
      <c r="X3021" s="1">
        <v>6495000</v>
      </c>
      <c r="Y3021" s="1">
        <v>1</v>
      </c>
      <c r="Z3021" s="5">
        <v>43911</v>
      </c>
      <c r="AA3021" s="1">
        <v>5600000</v>
      </c>
      <c r="AB3021" s="1" t="s">
        <v>1889</v>
      </c>
      <c r="AC3021" s="5">
        <v>43908</v>
      </c>
      <c r="AF3021" s="1">
        <v>10128</v>
      </c>
      <c r="AI3021" s="1" t="s">
        <v>177</v>
      </c>
      <c r="AJ3021" s="1">
        <v>1931</v>
      </c>
      <c r="AK3021" s="1" t="s">
        <v>175</v>
      </c>
      <c r="AL3021" s="1">
        <v>39</v>
      </c>
    </row>
    <row r="3022" spans="1:38" x14ac:dyDescent="0.2">
      <c r="A3022" s="2" t="str">
        <f>HYPERLINK("https://www.compass.com/listing/12-east-88th-street-unit-th2-manhattan-ny-10128/803475210351387449/","12 E 88th St, Unit TH2")</f>
        <v>12 E 88th St, Unit TH2</v>
      </c>
      <c r="B3022" s="2" t="str">
        <f t="shared" si="506"/>
        <v>12 E 88th St</v>
      </c>
      <c r="C3022" s="1" t="s">
        <v>82</v>
      </c>
      <c r="D3022" s="1" t="s">
        <v>41</v>
      </c>
      <c r="E3022" s="3">
        <v>6000000</v>
      </c>
      <c r="F3022" s="1">
        <v>1438.50395588587</v>
      </c>
      <c r="G3022" s="1">
        <v>7</v>
      </c>
      <c r="H3022" s="1">
        <v>4</v>
      </c>
      <c r="I3022" s="1">
        <v>5</v>
      </c>
      <c r="J3022" s="1">
        <v>4.5</v>
      </c>
      <c r="K3022" s="1">
        <v>4</v>
      </c>
      <c r="L3022" s="1">
        <v>1</v>
      </c>
      <c r="M3022" s="4">
        <v>4171</v>
      </c>
      <c r="N3022" s="1">
        <v>4951</v>
      </c>
      <c r="O3022" s="1">
        <v>10469</v>
      </c>
      <c r="P3022" s="1">
        <v>5518</v>
      </c>
      <c r="Q3022" s="1" t="s">
        <v>42</v>
      </c>
      <c r="S3022" s="1" t="s">
        <v>42</v>
      </c>
      <c r="T3022" s="1" t="s">
        <v>273</v>
      </c>
      <c r="V3022" s="5">
        <v>44316</v>
      </c>
      <c r="W3022" s="5">
        <v>43783</v>
      </c>
      <c r="X3022" s="1">
        <v>7495000</v>
      </c>
      <c r="Y3022" s="1">
        <v>7495000</v>
      </c>
      <c r="Z3022" s="5">
        <v>43783</v>
      </c>
      <c r="AA3022" s="1">
        <v>6000000</v>
      </c>
      <c r="AB3022" s="1" t="s">
        <v>1890</v>
      </c>
      <c r="AC3022" s="5">
        <v>44315</v>
      </c>
      <c r="AF3022" s="1">
        <v>10128</v>
      </c>
      <c r="AI3022" s="1" t="s">
        <v>177</v>
      </c>
      <c r="AJ3022" s="1">
        <v>1931</v>
      </c>
      <c r="AK3022" s="1" t="s">
        <v>175</v>
      </c>
      <c r="AL3022" s="1">
        <v>39</v>
      </c>
    </row>
    <row r="3023" spans="1:38" x14ac:dyDescent="0.2">
      <c r="A3023" s="2" t="str">
        <f>HYPERLINK("https://www.compass.com/listing/108-leonard-street-unit-3a-manhattan-ny-10013/424907388571231009/","108 Leonard St, Unit 3A")</f>
        <v>108 Leonard St, Unit 3A</v>
      </c>
      <c r="B3023" s="2" t="str">
        <f t="shared" ref="B3023:B3024" si="507">HYPERLINK("https://www.compass.com/building/108-leonard-st-manhattan-ny-10013/307456049610778277/","108 Leonard St")</f>
        <v>108 Leonard St</v>
      </c>
      <c r="C3023" s="1" t="s">
        <v>113</v>
      </c>
      <c r="D3023" s="1" t="s">
        <v>41</v>
      </c>
      <c r="E3023" s="3">
        <v>2851459</v>
      </c>
      <c r="F3023" s="1">
        <v>1946.38827986348</v>
      </c>
      <c r="H3023" s="1">
        <v>1</v>
      </c>
      <c r="J3023" s="1">
        <v>2</v>
      </c>
      <c r="M3023" s="4">
        <v>1465</v>
      </c>
      <c r="N3023" s="1">
        <v>1742</v>
      </c>
      <c r="O3023" s="1">
        <v>4106</v>
      </c>
      <c r="P3023" s="1">
        <v>2364</v>
      </c>
      <c r="Q3023" s="1" t="s">
        <v>42</v>
      </c>
      <c r="S3023" s="1" t="s">
        <v>42</v>
      </c>
      <c r="T3023" s="1" t="s">
        <v>273</v>
      </c>
      <c r="AA3023" s="1">
        <v>2851458.83</v>
      </c>
      <c r="AB3023" s="1" t="s">
        <v>1892</v>
      </c>
      <c r="AC3023" s="5">
        <v>43767</v>
      </c>
      <c r="AF3023" s="1">
        <v>10013</v>
      </c>
      <c r="AI3023" s="1" t="s">
        <v>78</v>
      </c>
      <c r="AJ3023" s="1">
        <v>1899</v>
      </c>
      <c r="AK3023" s="1" t="s">
        <v>55</v>
      </c>
      <c r="AL3023" s="1">
        <v>167</v>
      </c>
    </row>
    <row r="3024" spans="1:38" x14ac:dyDescent="0.2">
      <c r="A3024" s="2" t="str">
        <f>HYPERLINK("https://www.compass.com/listing/108-leonard-street-unit-5i-manhattan-ny-10013/424907398536538609/","108 Leonard St, Unit 5I")</f>
        <v>108 Leonard St, Unit 5I</v>
      </c>
      <c r="B3024" s="2" t="str">
        <f t="shared" si="507"/>
        <v>108 Leonard St</v>
      </c>
      <c r="C3024" s="1" t="s">
        <v>113</v>
      </c>
      <c r="D3024" s="1" t="s">
        <v>41</v>
      </c>
      <c r="E3024" s="3">
        <v>2128269</v>
      </c>
      <c r="F3024" s="1">
        <v>1903.63952593917</v>
      </c>
      <c r="H3024" s="1">
        <v>1</v>
      </c>
      <c r="J3024" s="1">
        <v>2</v>
      </c>
      <c r="K3024" s="1">
        <v>2</v>
      </c>
      <c r="M3024" s="4">
        <v>1118</v>
      </c>
      <c r="N3024" s="1">
        <v>1806</v>
      </c>
      <c r="O3024" s="1">
        <v>3141</v>
      </c>
      <c r="P3024" s="1">
        <v>1335</v>
      </c>
      <c r="Q3024" s="1" t="s">
        <v>42</v>
      </c>
      <c r="S3024" s="1" t="s">
        <v>42</v>
      </c>
      <c r="T3024" s="1" t="s">
        <v>273</v>
      </c>
      <c r="AA3024" s="1">
        <v>2128268.9900000002</v>
      </c>
      <c r="AB3024" s="1" t="s">
        <v>1893</v>
      </c>
      <c r="AC3024" s="5">
        <v>43776</v>
      </c>
      <c r="AF3024" s="1">
        <v>10013</v>
      </c>
      <c r="AI3024" s="1" t="s">
        <v>78</v>
      </c>
      <c r="AJ3024" s="1">
        <v>1899</v>
      </c>
      <c r="AK3024" s="1" t="s">
        <v>55</v>
      </c>
      <c r="AL3024" s="1">
        <v>167</v>
      </c>
    </row>
    <row r="3025" spans="1:38" x14ac:dyDescent="0.2">
      <c r="A3025" s="2" t="str">
        <f>HYPERLINK("https://www.compass.com/listing/565-broome-street-unit-n8e-manhattan-ny-10013/784627383863514313/","565 Broome St, Unit N8E")</f>
        <v>565 Broome St, Unit N8E</v>
      </c>
      <c r="B3025" s="2" t="str">
        <f>HYPERLINK("https://www.compass.com/building/565-broome-soho-manhattan-ny/292813251698267109/","565 Broome Soho")</f>
        <v>565 Broome Soho</v>
      </c>
      <c r="C3025" s="1" t="s">
        <v>53</v>
      </c>
      <c r="D3025" s="1" t="s">
        <v>41</v>
      </c>
      <c r="E3025" s="3">
        <v>4350000</v>
      </c>
      <c r="F3025" s="1">
        <v>1845.5663979635101</v>
      </c>
      <c r="G3025" s="1">
        <v>6</v>
      </c>
      <c r="H3025" s="1">
        <v>3</v>
      </c>
      <c r="I3025" s="1">
        <v>4</v>
      </c>
      <c r="J3025" s="1">
        <v>3.5</v>
      </c>
      <c r="K3025" s="1">
        <v>3</v>
      </c>
      <c r="L3025" s="1">
        <v>1</v>
      </c>
      <c r="M3025" s="4">
        <v>2357</v>
      </c>
      <c r="N3025" s="1">
        <v>3476</v>
      </c>
      <c r="O3025" s="1">
        <v>7310</v>
      </c>
      <c r="P3025" s="1">
        <v>3834</v>
      </c>
      <c r="Q3025" s="1" t="s">
        <v>42</v>
      </c>
      <c r="S3025" s="1" t="s">
        <v>42</v>
      </c>
      <c r="T3025" s="1" t="s">
        <v>273</v>
      </c>
      <c r="U3025" s="1">
        <v>18</v>
      </c>
      <c r="V3025" s="5">
        <v>44369</v>
      </c>
      <c r="W3025" s="5">
        <v>44316</v>
      </c>
      <c r="X3025" s="1">
        <v>4350000</v>
      </c>
      <c r="Y3025" s="1">
        <v>4350000</v>
      </c>
      <c r="Z3025" s="5">
        <v>44334</v>
      </c>
      <c r="AA3025" s="1">
        <v>4350000</v>
      </c>
      <c r="AB3025" s="1" t="s">
        <v>275</v>
      </c>
      <c r="AC3025" s="5">
        <v>44356</v>
      </c>
      <c r="AF3025" s="1">
        <v>10013</v>
      </c>
      <c r="AI3025" s="1" t="s">
        <v>48</v>
      </c>
      <c r="AJ3025" s="1">
        <v>2019</v>
      </c>
      <c r="AK3025" s="1" t="s">
        <v>46</v>
      </c>
      <c r="AL3025" s="1">
        <v>115</v>
      </c>
    </row>
    <row r="3026" spans="1:38" x14ac:dyDescent="0.2">
      <c r="A3026" s="2" t="str">
        <f>HYPERLINK("https://www.compass.com/listing/360-east-89th-street-unit-17a-manhattan-ny-10128/29580296286379201/","360 E 89th St, Unit 17A")</f>
        <v>360 E 89th St, Unit 17A</v>
      </c>
      <c r="B3026" s="2" t="str">
        <f>HYPERLINK("https://www.compass.com/building/citizen360-manhattan-ny/282052027553444853/","Citizen360")</f>
        <v>Citizen360</v>
      </c>
      <c r="C3026" s="1" t="s">
        <v>82</v>
      </c>
      <c r="D3026" s="1" t="s">
        <v>41</v>
      </c>
      <c r="E3026" s="3">
        <v>3500000</v>
      </c>
      <c r="F3026" s="1">
        <v>1708.1503172279099</v>
      </c>
      <c r="G3026" s="1">
        <v>5</v>
      </c>
      <c r="H3026" s="1">
        <v>3</v>
      </c>
      <c r="I3026" s="1">
        <v>4</v>
      </c>
      <c r="J3026" s="1">
        <v>3.5</v>
      </c>
      <c r="K3026" s="1">
        <v>3</v>
      </c>
      <c r="L3026" s="1">
        <v>1</v>
      </c>
      <c r="M3026" s="4">
        <v>2049</v>
      </c>
      <c r="N3026" s="1">
        <v>2023</v>
      </c>
      <c r="O3026" s="1">
        <v>3110</v>
      </c>
      <c r="P3026" s="1">
        <v>1087</v>
      </c>
      <c r="Q3026" s="1" t="s">
        <v>42</v>
      </c>
      <c r="S3026" s="1" t="s">
        <v>42</v>
      </c>
      <c r="T3026" s="1" t="s">
        <v>273</v>
      </c>
      <c r="U3026" s="1">
        <v>333</v>
      </c>
      <c r="V3026" s="5">
        <v>43632</v>
      </c>
      <c r="W3026" s="5">
        <v>43199</v>
      </c>
      <c r="X3026" s="1">
        <v>3925000</v>
      </c>
      <c r="Y3026" s="1">
        <v>3750000</v>
      </c>
      <c r="Z3026" s="5">
        <v>43554</v>
      </c>
      <c r="AA3026" s="1">
        <v>3500000</v>
      </c>
      <c r="AB3026" s="1" t="s">
        <v>1894</v>
      </c>
      <c r="AC3026" s="5">
        <v>43584</v>
      </c>
      <c r="AF3026" s="1">
        <v>10128</v>
      </c>
      <c r="AJ3026" s="1">
        <v>2017</v>
      </c>
      <c r="AK3026" s="1" t="s">
        <v>108</v>
      </c>
      <c r="AL3026" s="1">
        <v>82</v>
      </c>
    </row>
    <row r="3027" spans="1:38" x14ac:dyDescent="0.2">
      <c r="A3027" s="2" t="str">
        <f>HYPERLINK("https://www.compass.com/listing/200-east-94th-street-unit-3009-manhattan-ny-10128/29507983532640305/","200 E 94th St, Unit 3009")</f>
        <v>200 E 94th St, Unit 3009</v>
      </c>
      <c r="B3027" s="2" t="str">
        <f>HYPERLINK("https://www.compass.com/building/carnegie-park-condominium-manhattan-ny/282049797358118613/","Carnegie Park Condominium")</f>
        <v>Carnegie Park Condominium</v>
      </c>
      <c r="C3027" s="1" t="s">
        <v>82</v>
      </c>
      <c r="D3027" s="1" t="s">
        <v>41</v>
      </c>
      <c r="E3027" s="3">
        <v>3000000</v>
      </c>
      <c r="F3027" s="1">
        <v>1903.5532994923799</v>
      </c>
      <c r="G3027" s="1">
        <v>5</v>
      </c>
      <c r="H3027" s="1">
        <v>3</v>
      </c>
      <c r="I3027" s="1">
        <v>2</v>
      </c>
      <c r="J3027" s="1">
        <v>2</v>
      </c>
      <c r="M3027" s="4">
        <v>1576</v>
      </c>
      <c r="N3027" s="1">
        <v>1739</v>
      </c>
      <c r="O3027" s="1">
        <v>3587</v>
      </c>
      <c r="P3027" s="1">
        <v>1848</v>
      </c>
      <c r="Q3027" s="1" t="s">
        <v>42</v>
      </c>
      <c r="S3027" s="1" t="s">
        <v>42</v>
      </c>
      <c r="T3027" s="1" t="s">
        <v>273</v>
      </c>
      <c r="U3027" s="1">
        <v>52</v>
      </c>
      <c r="V3027" s="5">
        <v>43637</v>
      </c>
      <c r="W3027" s="5">
        <v>43222</v>
      </c>
      <c r="X3027" s="1">
        <v>3075000</v>
      </c>
      <c r="Y3027" s="1">
        <v>3075000</v>
      </c>
      <c r="Z3027" s="5">
        <v>43274</v>
      </c>
      <c r="AA3027" s="1">
        <v>3000000</v>
      </c>
      <c r="AB3027" s="1" t="s">
        <v>1895</v>
      </c>
      <c r="AC3027" s="5">
        <v>43335</v>
      </c>
      <c r="AF3027" s="1">
        <v>10128</v>
      </c>
      <c r="AI3027" s="1" t="s">
        <v>1896</v>
      </c>
      <c r="AJ3027" s="1">
        <v>1986</v>
      </c>
      <c r="AK3027" s="1" t="s">
        <v>108</v>
      </c>
      <c r="AL3027" s="1">
        <v>287</v>
      </c>
    </row>
    <row r="3028" spans="1:38" x14ac:dyDescent="0.2">
      <c r="A3028" s="2" t="str">
        <f>HYPERLINK("https://www.compass.com/listing/12-east-88th-street-unit-7a-manhattan-ny-10128/803330391854881585/","12 E 88th St, Unit 7A")</f>
        <v>12 E 88th St, Unit 7A</v>
      </c>
      <c r="B3028" s="2" t="str">
        <f>HYPERLINK("https://www.compass.com/building/12-e-88th-st-manhattan-ny-10128/282046316798827461/","12 E 88th St")</f>
        <v>12 E 88th St</v>
      </c>
      <c r="C3028" s="1" t="s">
        <v>82</v>
      </c>
      <c r="D3028" s="1" t="s">
        <v>41</v>
      </c>
      <c r="E3028" s="3">
        <v>5700000</v>
      </c>
      <c r="F3028" s="1">
        <v>1912.75167785234</v>
      </c>
      <c r="G3028" s="1">
        <v>7</v>
      </c>
      <c r="H3028" s="1">
        <v>4</v>
      </c>
      <c r="I3028" s="1">
        <v>5</v>
      </c>
      <c r="J3028" s="1">
        <v>4.5</v>
      </c>
      <c r="K3028" s="1">
        <v>4</v>
      </c>
      <c r="L3028" s="1">
        <v>1</v>
      </c>
      <c r="M3028" s="4">
        <v>2980</v>
      </c>
      <c r="N3028" s="1">
        <v>3622</v>
      </c>
      <c r="O3028" s="1">
        <v>7659</v>
      </c>
      <c r="P3028" s="1">
        <v>4037</v>
      </c>
      <c r="Q3028" s="1" t="s">
        <v>42</v>
      </c>
      <c r="S3028" s="1" t="s">
        <v>42</v>
      </c>
      <c r="T3028" s="1" t="s">
        <v>273</v>
      </c>
      <c r="U3028" s="1">
        <v>55</v>
      </c>
      <c r="V3028" s="5">
        <v>44014</v>
      </c>
      <c r="W3028" s="5">
        <v>43783</v>
      </c>
      <c r="X3028" s="1">
        <v>5995000</v>
      </c>
      <c r="Y3028" s="1">
        <v>5995000</v>
      </c>
      <c r="Z3028" s="5">
        <v>43965</v>
      </c>
      <c r="AA3028" s="1">
        <v>5700000</v>
      </c>
      <c r="AB3028" s="1" t="s">
        <v>1888</v>
      </c>
      <c r="AC3028" s="5">
        <v>43935</v>
      </c>
      <c r="AF3028" s="1">
        <v>10128</v>
      </c>
      <c r="AI3028" s="1" t="s">
        <v>177</v>
      </c>
      <c r="AJ3028" s="1">
        <v>1931</v>
      </c>
      <c r="AK3028" s="1" t="s">
        <v>175</v>
      </c>
      <c r="AL3028" s="1">
        <v>39</v>
      </c>
    </row>
    <row r="3029" spans="1:38" x14ac:dyDescent="0.2">
      <c r="A3029" s="2" t="str">
        <f>HYPERLINK("https://www.compass.com/listing/225-east-81st-street-unit-2-manhattan-ny-10028/29422589449445825/","225 E 81st St, Unit 2")</f>
        <v>225 E 81st St, Unit 2</v>
      </c>
      <c r="B3029" s="2" t="str">
        <f>HYPERLINK("https://www.compass.com/building/the-justin-manhattan-ny/282057109682552965/","The Justin")</f>
        <v>The Justin</v>
      </c>
      <c r="C3029" s="1" t="s">
        <v>82</v>
      </c>
      <c r="D3029" s="1" t="s">
        <v>41</v>
      </c>
      <c r="E3029" s="3">
        <v>2975000</v>
      </c>
      <c r="F3029" s="1">
        <v>1882.91139240506</v>
      </c>
      <c r="H3029" s="1">
        <v>3</v>
      </c>
      <c r="J3029" s="1">
        <v>2.5</v>
      </c>
      <c r="K3029" s="1">
        <v>2</v>
      </c>
      <c r="L3029" s="1">
        <v>1</v>
      </c>
      <c r="M3029" s="4">
        <v>1580</v>
      </c>
      <c r="N3029" s="1">
        <v>2353.13</v>
      </c>
      <c r="O3029" s="1">
        <v>3265.13</v>
      </c>
      <c r="P3029" s="1">
        <v>912</v>
      </c>
      <c r="Q3029" s="1" t="s">
        <v>42</v>
      </c>
      <c r="S3029" s="1" t="s">
        <v>42</v>
      </c>
      <c r="T3029" s="1" t="s">
        <v>273</v>
      </c>
      <c r="AA3029" s="1">
        <v>2975000</v>
      </c>
      <c r="AB3029" s="1" t="s">
        <v>1897</v>
      </c>
      <c r="AC3029" s="5">
        <v>42674</v>
      </c>
      <c r="AF3029" s="1">
        <v>10028</v>
      </c>
      <c r="AI3029" s="1" t="s">
        <v>52</v>
      </c>
      <c r="AJ3029" s="1">
        <v>1920</v>
      </c>
      <c r="AK3029" s="1" t="s">
        <v>73</v>
      </c>
      <c r="AL3029" s="1">
        <v>5</v>
      </c>
    </row>
    <row r="3030" spans="1:38" x14ac:dyDescent="0.2">
      <c r="A3030" s="2" t="str">
        <f>HYPERLINK("https://www.compass.com/listing/15-west-61st-street-unit-25b-manhattan-ny-10023/294957851671676833/","15 W 61st St, Unit 25B")</f>
        <v>15 W 61st St, Unit 25B</v>
      </c>
      <c r="B3030" s="2" t="str">
        <f t="shared" ref="B3030:B3031" si="508">HYPERLINK("https://www.compass.com/building/the-park-loggia-manhattan-ny/292861833130357557/","The Park Loggia")</f>
        <v>The Park Loggia</v>
      </c>
      <c r="C3030" s="1" t="s">
        <v>57</v>
      </c>
      <c r="D3030" s="1" t="s">
        <v>41</v>
      </c>
      <c r="E3030" s="3">
        <v>3200000</v>
      </c>
      <c r="F3030" s="1">
        <v>2770.5627705627699</v>
      </c>
      <c r="G3030" s="1">
        <v>4</v>
      </c>
      <c r="H3030" s="1">
        <v>2</v>
      </c>
      <c r="I3030" s="1">
        <v>2</v>
      </c>
      <c r="J3030" s="1">
        <v>2</v>
      </c>
      <c r="K3030" s="1">
        <v>2</v>
      </c>
      <c r="M3030" s="4">
        <v>1155</v>
      </c>
      <c r="N3030" s="1">
        <v>1227</v>
      </c>
      <c r="O3030" s="1">
        <v>2407</v>
      </c>
      <c r="P3030" s="1">
        <v>1180</v>
      </c>
      <c r="Q3030" s="1" t="s">
        <v>42</v>
      </c>
      <c r="S3030" s="1" t="s">
        <v>42</v>
      </c>
      <c r="T3030" s="1" t="s">
        <v>273</v>
      </c>
      <c r="U3030" s="1">
        <v>252</v>
      </c>
      <c r="V3030" s="5">
        <v>44058</v>
      </c>
      <c r="W3030" s="5">
        <v>43658</v>
      </c>
      <c r="X3030" s="1">
        <v>3600000</v>
      </c>
      <c r="Y3030" s="1">
        <v>3600000</v>
      </c>
      <c r="Z3030" s="5">
        <v>43924</v>
      </c>
      <c r="AA3030" s="1">
        <v>3200000</v>
      </c>
      <c r="AB3030" s="1" t="s">
        <v>1898</v>
      </c>
      <c r="AC3030" s="5">
        <v>44008</v>
      </c>
      <c r="AF3030" s="1">
        <v>10023</v>
      </c>
      <c r="AI3030" s="1" t="s">
        <v>159</v>
      </c>
      <c r="AJ3030" s="1">
        <v>2019</v>
      </c>
      <c r="AK3030" s="1" t="s">
        <v>108</v>
      </c>
      <c r="AL3030" s="1">
        <v>172</v>
      </c>
    </row>
    <row r="3031" spans="1:38" x14ac:dyDescent="0.2">
      <c r="A3031" s="2" t="str">
        <f>HYPERLINK("https://www.compass.com/listing/15-west-61st-street-unit-8b-manhattan-ny-10023/354172843848762273/","15 W 61st St, Unit 8B")</f>
        <v>15 W 61st St, Unit 8B</v>
      </c>
      <c r="B3031" s="2" t="str">
        <f t="shared" si="508"/>
        <v>The Park Loggia</v>
      </c>
      <c r="C3031" s="1" t="s">
        <v>57</v>
      </c>
      <c r="D3031" s="1" t="s">
        <v>41</v>
      </c>
      <c r="E3031" s="3">
        <v>3150000</v>
      </c>
      <c r="F3031" s="1">
        <v>2528.0898876404399</v>
      </c>
      <c r="G3031" s="1">
        <v>4</v>
      </c>
      <c r="H3031" s="1">
        <v>2</v>
      </c>
      <c r="I3031" s="1">
        <v>2</v>
      </c>
      <c r="J3031" s="1">
        <v>2</v>
      </c>
      <c r="K3031" s="1">
        <v>2</v>
      </c>
      <c r="M3031" s="4">
        <v>1246</v>
      </c>
      <c r="N3031" s="1">
        <v>1320</v>
      </c>
      <c r="O3031" s="1">
        <v>2590</v>
      </c>
      <c r="P3031" s="1">
        <v>1270</v>
      </c>
      <c r="Q3031" s="1" t="s">
        <v>42</v>
      </c>
      <c r="S3031" s="1" t="s">
        <v>42</v>
      </c>
      <c r="T3031" s="1" t="s">
        <v>273</v>
      </c>
      <c r="U3031" s="1">
        <v>70</v>
      </c>
      <c r="V3031" s="5">
        <v>43911</v>
      </c>
      <c r="W3031" s="5">
        <v>43740</v>
      </c>
      <c r="X3031" s="1">
        <v>3200000</v>
      </c>
      <c r="Y3031" s="1">
        <v>3200000</v>
      </c>
      <c r="AA3031" s="1">
        <v>3150000</v>
      </c>
      <c r="AB3031" s="1" t="s">
        <v>1899</v>
      </c>
      <c r="AC3031" s="5">
        <v>43896</v>
      </c>
      <c r="AF3031" s="1">
        <v>10023</v>
      </c>
      <c r="AI3031" s="1" t="s">
        <v>159</v>
      </c>
      <c r="AJ3031" s="1">
        <v>2019</v>
      </c>
      <c r="AK3031" s="1" t="s">
        <v>108</v>
      </c>
      <c r="AL3031" s="1">
        <v>172</v>
      </c>
    </row>
    <row r="3032" spans="1:38" x14ac:dyDescent="0.2">
      <c r="A3032" s="2" t="str">
        <f>HYPERLINK("https://www.compass.com/listing/108-leonard-street-unit-3d-manhattan-ny-10013/339051331070917953/","108 Leonard St, Unit 3D")</f>
        <v>108 Leonard St, Unit 3D</v>
      </c>
      <c r="B3032" s="2" t="str">
        <f t="shared" ref="B3032:B3033" si="509">HYPERLINK("https://www.compass.com/building/108-leonard-st-manhattan-ny-10013/307456049610778277/","108 Leonard St")</f>
        <v>108 Leonard St</v>
      </c>
      <c r="C3032" s="1" t="s">
        <v>113</v>
      </c>
      <c r="D3032" s="1" t="s">
        <v>41</v>
      </c>
      <c r="E3032" s="3">
        <v>1603741</v>
      </c>
      <c r="F3032" s="1">
        <v>1711.57042689434</v>
      </c>
      <c r="H3032" s="1">
        <v>1</v>
      </c>
      <c r="J3032" s="1">
        <v>1.5</v>
      </c>
      <c r="M3032" s="1">
        <v>937</v>
      </c>
      <c r="N3032" s="1">
        <v>1114</v>
      </c>
      <c r="O3032" s="1">
        <v>2626</v>
      </c>
      <c r="P3032" s="1">
        <v>1512</v>
      </c>
      <c r="Q3032" s="1" t="s">
        <v>42</v>
      </c>
      <c r="S3032" s="1" t="s">
        <v>42</v>
      </c>
      <c r="T3032" s="1" t="s">
        <v>273</v>
      </c>
      <c r="AA3032" s="1">
        <v>1603741.49</v>
      </c>
      <c r="AB3032" s="1" t="s">
        <v>1900</v>
      </c>
      <c r="AC3032" s="5">
        <v>43705</v>
      </c>
      <c r="AF3032" s="1">
        <v>10013</v>
      </c>
      <c r="AI3032" s="1" t="s">
        <v>78</v>
      </c>
      <c r="AJ3032" s="1">
        <v>1899</v>
      </c>
      <c r="AK3032" s="1" t="s">
        <v>55</v>
      </c>
      <c r="AL3032" s="1">
        <v>167</v>
      </c>
    </row>
    <row r="3033" spans="1:38" x14ac:dyDescent="0.2">
      <c r="A3033" s="2" t="str">
        <f>HYPERLINK("https://www.compass.com/listing/108-leonard-street-unit-7k-manhattan-ny-10013/424907403855275201/","108 Leonard St, Unit 7K")</f>
        <v>108 Leonard St, Unit 7K</v>
      </c>
      <c r="B3033" s="2" t="str">
        <f t="shared" si="509"/>
        <v>108 Leonard St</v>
      </c>
      <c r="C3033" s="1" t="s">
        <v>113</v>
      </c>
      <c r="D3033" s="1" t="s">
        <v>41</v>
      </c>
      <c r="E3033" s="3">
        <v>1777091</v>
      </c>
      <c r="F3033" s="1">
        <v>1880.51933333333</v>
      </c>
      <c r="H3033" s="1">
        <v>1</v>
      </c>
      <c r="J3033" s="1">
        <v>1.5</v>
      </c>
      <c r="K3033" s="1">
        <v>1</v>
      </c>
      <c r="L3033" s="1">
        <v>1</v>
      </c>
      <c r="M3033" s="1">
        <v>945</v>
      </c>
      <c r="N3033" s="1">
        <v>1123</v>
      </c>
      <c r="O3033" s="1">
        <v>2648</v>
      </c>
      <c r="P3033" s="1">
        <v>1525</v>
      </c>
      <c r="Q3033" s="1" t="s">
        <v>42</v>
      </c>
      <c r="S3033" s="1" t="s">
        <v>42</v>
      </c>
      <c r="T3033" s="1" t="s">
        <v>273</v>
      </c>
      <c r="AA3033" s="1">
        <v>1777090.77</v>
      </c>
      <c r="AB3033" s="1" t="s">
        <v>1901</v>
      </c>
      <c r="AC3033" s="5">
        <v>43777</v>
      </c>
      <c r="AF3033" s="1">
        <v>10013</v>
      </c>
      <c r="AI3033" s="1" t="s">
        <v>78</v>
      </c>
      <c r="AJ3033" s="1">
        <v>1899</v>
      </c>
      <c r="AK3033" s="1" t="s">
        <v>55</v>
      </c>
      <c r="AL3033" s="1">
        <v>167</v>
      </c>
    </row>
    <row r="3034" spans="1:38" x14ac:dyDescent="0.2">
      <c r="A3034" s="2" t="str">
        <f>HYPERLINK("https://www.compass.com/listing/12-east-88th-street-unit-5a-manhattan-ny-10128/29420044547087121/","12 E 88th St, Unit 5A")</f>
        <v>12 E 88th St, Unit 5A</v>
      </c>
      <c r="B3034" s="2" t="str">
        <f>HYPERLINK("https://www.compass.com/building/12-e-88th-st-manhattan-ny-10128/282046316798827461/","12 E 88th St")</f>
        <v>12 E 88th St</v>
      </c>
      <c r="C3034" s="1" t="s">
        <v>82</v>
      </c>
      <c r="D3034" s="1" t="s">
        <v>41</v>
      </c>
      <c r="E3034" s="3">
        <v>4900000</v>
      </c>
      <c r="F3034" s="1">
        <v>2372.8813559322002</v>
      </c>
      <c r="G3034" s="1">
        <v>6</v>
      </c>
      <c r="H3034" s="1">
        <v>3</v>
      </c>
      <c r="I3034" s="1">
        <v>3</v>
      </c>
      <c r="J3034" s="1">
        <v>3</v>
      </c>
      <c r="M3034" s="4">
        <v>2065</v>
      </c>
      <c r="N3034" s="1">
        <v>2491</v>
      </c>
      <c r="O3034" s="1">
        <v>5156</v>
      </c>
      <c r="P3034" s="1">
        <v>2665</v>
      </c>
      <c r="Q3034" s="1" t="s">
        <v>42</v>
      </c>
      <c r="S3034" s="1" t="s">
        <v>42</v>
      </c>
      <c r="T3034" s="1" t="s">
        <v>273</v>
      </c>
      <c r="U3034" s="1">
        <v>357</v>
      </c>
      <c r="V3034" s="5">
        <v>43630</v>
      </c>
      <c r="W3034" s="5">
        <v>42795</v>
      </c>
      <c r="X3034" s="1">
        <v>5500000</v>
      </c>
      <c r="Y3034" s="1">
        <v>5250000</v>
      </c>
      <c r="Z3034" s="5">
        <v>43152</v>
      </c>
      <c r="AA3034" s="1">
        <v>4900000</v>
      </c>
      <c r="AB3034" s="1" t="s">
        <v>1902</v>
      </c>
      <c r="AC3034" s="5">
        <v>43238</v>
      </c>
      <c r="AF3034" s="1">
        <v>10128</v>
      </c>
      <c r="AI3034" s="1" t="s">
        <v>177</v>
      </c>
      <c r="AJ3034" s="1">
        <v>1931</v>
      </c>
      <c r="AK3034" s="1" t="s">
        <v>49</v>
      </c>
      <c r="AL3034" s="1">
        <v>39</v>
      </c>
    </row>
    <row r="3035" spans="1:38" x14ac:dyDescent="0.2">
      <c r="A3035" s="2" t="str">
        <f>HYPERLINK("https://www.compass.com/listing/90-lexington-avenue-unit-8b-manhattan-ny-10016/29508777690627409/","90 Lexington Ave, Unit 8B")</f>
        <v>90 Lexington Ave, Unit 8B</v>
      </c>
      <c r="B3035" s="2" t="str">
        <f t="shared" ref="B3035:B3036" si="510">HYPERLINK("https://www.compass.com/building/88-90-lexington-avenue-manhattan-ny/281941431524842901/","88 &amp; 90 Lexington Avenue")</f>
        <v>88 &amp; 90 Lexington Avenue</v>
      </c>
      <c r="C3035" s="1" t="s">
        <v>40</v>
      </c>
      <c r="D3035" s="1" t="s">
        <v>41</v>
      </c>
      <c r="E3035" s="3">
        <v>2824357</v>
      </c>
      <c r="F3035" s="1">
        <v>1844.7792292619199</v>
      </c>
      <c r="G3035" s="1">
        <v>5</v>
      </c>
      <c r="H3035" s="1">
        <v>2</v>
      </c>
      <c r="I3035" s="1">
        <v>3</v>
      </c>
      <c r="J3035" s="1">
        <v>2.5</v>
      </c>
      <c r="K3035" s="1">
        <v>2</v>
      </c>
      <c r="L3035" s="1">
        <v>1</v>
      </c>
      <c r="M3035" s="4">
        <v>1531</v>
      </c>
      <c r="N3035" s="1">
        <v>1689</v>
      </c>
      <c r="O3035" s="1">
        <v>4551</v>
      </c>
      <c r="P3035" s="1">
        <v>2862</v>
      </c>
      <c r="Q3035" s="1" t="s">
        <v>42</v>
      </c>
      <c r="S3035" s="1" t="s">
        <v>42</v>
      </c>
      <c r="T3035" s="1" t="s">
        <v>273</v>
      </c>
      <c r="U3035" s="1">
        <v>766</v>
      </c>
      <c r="V3035" s="5">
        <v>43644</v>
      </c>
      <c r="W3035" s="5">
        <v>42802</v>
      </c>
      <c r="X3035" s="1">
        <v>3400000</v>
      </c>
      <c r="Y3035" s="1">
        <v>2995000</v>
      </c>
      <c r="Z3035" s="5">
        <v>43568</v>
      </c>
      <c r="AA3035" s="1">
        <v>2824357</v>
      </c>
      <c r="AB3035" s="1" t="s">
        <v>1903</v>
      </c>
      <c r="AC3035" s="5">
        <v>43580</v>
      </c>
      <c r="AF3035" s="1">
        <v>10016</v>
      </c>
      <c r="AI3035" s="1" t="s">
        <v>192</v>
      </c>
      <c r="AJ3035" s="1">
        <v>1957</v>
      </c>
      <c r="AK3035" s="1" t="s">
        <v>46</v>
      </c>
      <c r="AL3035" s="1">
        <v>49</v>
      </c>
    </row>
    <row r="3036" spans="1:38" x14ac:dyDescent="0.2">
      <c r="A3036" s="2" t="str">
        <f>HYPERLINK("https://www.compass.com/listing/90-lexington-avenue-unit-4d-manhattan-ny-10016/29508778974010673/","90 Lexington Ave, Unit 4D")</f>
        <v>90 Lexington Ave, Unit 4D</v>
      </c>
      <c r="B3036" s="2" t="str">
        <f t="shared" si="510"/>
        <v>88 &amp; 90 Lexington Avenue</v>
      </c>
      <c r="C3036" s="1" t="s">
        <v>40</v>
      </c>
      <c r="D3036" s="1" t="s">
        <v>41</v>
      </c>
      <c r="E3036" s="3">
        <v>2896011</v>
      </c>
      <c r="F3036" s="1">
        <v>1881.74853801169</v>
      </c>
      <c r="G3036" s="1">
        <v>4</v>
      </c>
      <c r="H3036" s="1">
        <v>2</v>
      </c>
      <c r="I3036" s="1">
        <v>3</v>
      </c>
      <c r="J3036" s="1">
        <v>2.5</v>
      </c>
      <c r="K3036" s="1">
        <v>2</v>
      </c>
      <c r="L3036" s="1">
        <v>1</v>
      </c>
      <c r="M3036" s="4">
        <v>1539</v>
      </c>
      <c r="N3036" s="1">
        <v>1678</v>
      </c>
      <c r="O3036" s="1">
        <v>4520</v>
      </c>
      <c r="P3036" s="1">
        <v>2842</v>
      </c>
      <c r="Q3036" s="1" t="s">
        <v>42</v>
      </c>
      <c r="S3036" s="1" t="s">
        <v>42</v>
      </c>
      <c r="T3036" s="1" t="s">
        <v>273</v>
      </c>
      <c r="U3036" s="1">
        <v>1183</v>
      </c>
      <c r="V3036" s="5">
        <v>43648</v>
      </c>
      <c r="W3036" s="5">
        <v>42404</v>
      </c>
      <c r="X3036" s="1">
        <v>3155000</v>
      </c>
      <c r="Y3036" s="1">
        <v>3155000</v>
      </c>
      <c r="Z3036" s="5">
        <v>43587</v>
      </c>
      <c r="AA3036" s="1">
        <v>2896011</v>
      </c>
      <c r="AB3036" s="1" t="s">
        <v>1904</v>
      </c>
      <c r="AC3036" s="5">
        <v>43596</v>
      </c>
      <c r="AF3036" s="1">
        <v>10016</v>
      </c>
      <c r="AI3036" s="1" t="s">
        <v>192</v>
      </c>
      <c r="AJ3036" s="1">
        <v>1957</v>
      </c>
      <c r="AK3036" s="1" t="s">
        <v>46</v>
      </c>
      <c r="AL3036" s="1">
        <v>49</v>
      </c>
    </row>
    <row r="3037" spans="1:38" x14ac:dyDescent="0.2">
      <c r="A3037" s="2" t="str">
        <f>HYPERLINK("https://www.compass.com/listing/261-west-25th-street-unit-9b-manhattan-ny-10001/29372532385767633/","261 W 25th St, Unit 9B")</f>
        <v>261 W 25th St, Unit 9B</v>
      </c>
      <c r="B3037" s="2" t="str">
        <f>HYPERLINK("https://www.compass.com/building/the-seymour-manhattan-ny/281883155990840165/","The Seymour")</f>
        <v>The Seymour</v>
      </c>
      <c r="C3037" s="1" t="s">
        <v>62</v>
      </c>
      <c r="D3037" s="1" t="s">
        <v>41</v>
      </c>
      <c r="E3037" s="3">
        <v>4709406</v>
      </c>
      <c r="F3037" s="1">
        <v>2689.55225585379</v>
      </c>
      <c r="G3037" s="1">
        <v>5</v>
      </c>
      <c r="H3037" s="1">
        <v>3</v>
      </c>
      <c r="I3037" s="1">
        <v>3</v>
      </c>
      <c r="J3037" s="1">
        <v>0.5</v>
      </c>
      <c r="L3037" s="1">
        <v>1</v>
      </c>
      <c r="M3037" s="4">
        <v>1751</v>
      </c>
      <c r="N3037" s="1">
        <v>2154</v>
      </c>
      <c r="O3037" s="1">
        <v>4513</v>
      </c>
      <c r="P3037" s="1">
        <v>2359</v>
      </c>
      <c r="Q3037" s="1" t="s">
        <v>42</v>
      </c>
      <c r="S3037" s="1" t="s">
        <v>42</v>
      </c>
      <c r="T3037" s="1" t="s">
        <v>273</v>
      </c>
      <c r="U3037" s="1">
        <v>61</v>
      </c>
      <c r="V3037" s="5">
        <v>43662</v>
      </c>
      <c r="W3037" s="5">
        <v>41907</v>
      </c>
      <c r="X3037" s="1">
        <v>4625000</v>
      </c>
      <c r="Y3037" s="1">
        <v>4625000</v>
      </c>
      <c r="Z3037" s="5">
        <v>41968</v>
      </c>
      <c r="AA3037" s="1">
        <v>4709406</v>
      </c>
      <c r="AB3037" s="1" t="s">
        <v>1846</v>
      </c>
      <c r="AC3037" s="5">
        <v>42440</v>
      </c>
      <c r="AF3037" s="1">
        <v>10001</v>
      </c>
      <c r="AI3037" s="1" t="s">
        <v>1561</v>
      </c>
      <c r="AJ3037" s="1">
        <v>2015</v>
      </c>
      <c r="AK3037" s="1" t="s">
        <v>46</v>
      </c>
      <c r="AL3037" s="1">
        <v>49</v>
      </c>
    </row>
    <row r="3038" spans="1:38" x14ac:dyDescent="0.2">
      <c r="A3038" s="2" t="str">
        <f>HYPERLINK("https://www.compass.com/listing/565-broome-street-unit-n16b-manhattan-ny-10013/780145105125681809/","565 Broome St, Unit N16B")</f>
        <v>565 Broome St, Unit N16B</v>
      </c>
      <c r="B3038" s="2" t="str">
        <f>HYPERLINK("https://www.compass.com/building/565-broome-soho-manhattan-ny/292813251698267109/","565 Broome Soho")</f>
        <v>565 Broome Soho</v>
      </c>
      <c r="C3038" s="1" t="s">
        <v>53</v>
      </c>
      <c r="D3038" s="1" t="s">
        <v>41</v>
      </c>
      <c r="E3038" s="3">
        <v>14635000</v>
      </c>
      <c r="F3038" s="1">
        <v>4092.56152125279</v>
      </c>
      <c r="G3038" s="1">
        <v>6</v>
      </c>
      <c r="H3038" s="1">
        <v>4</v>
      </c>
      <c r="I3038" s="1">
        <v>4</v>
      </c>
      <c r="J3038" s="1">
        <v>3.5</v>
      </c>
      <c r="K3038" s="1">
        <v>3</v>
      </c>
      <c r="L3038" s="1">
        <v>1</v>
      </c>
      <c r="M3038" s="4">
        <v>3576</v>
      </c>
      <c r="N3038" s="1">
        <v>6264</v>
      </c>
      <c r="O3038" s="1">
        <v>13173</v>
      </c>
      <c r="P3038" s="1">
        <v>6909</v>
      </c>
      <c r="Q3038" s="1" t="s">
        <v>42</v>
      </c>
      <c r="S3038" s="1" t="s">
        <v>42</v>
      </c>
      <c r="T3038" s="1" t="s">
        <v>273</v>
      </c>
      <c r="U3038" s="1">
        <v>12</v>
      </c>
      <c r="V3038" s="5">
        <v>44369</v>
      </c>
      <c r="W3038" s="5">
        <v>44316</v>
      </c>
      <c r="X3038" s="1">
        <v>14635000</v>
      </c>
      <c r="Y3038" s="1">
        <v>14635000</v>
      </c>
      <c r="Z3038" s="5">
        <v>44328</v>
      </c>
      <c r="AA3038" s="1">
        <v>14635000</v>
      </c>
      <c r="AB3038" s="1" t="s">
        <v>275</v>
      </c>
      <c r="AC3038" s="5">
        <v>44356</v>
      </c>
      <c r="AF3038" s="1">
        <v>10013</v>
      </c>
      <c r="AI3038" s="1" t="s">
        <v>1724</v>
      </c>
      <c r="AJ3038" s="1">
        <v>2019</v>
      </c>
      <c r="AK3038" s="1" t="s">
        <v>46</v>
      </c>
      <c r="AL3038" s="1">
        <v>115</v>
      </c>
    </row>
    <row r="3039" spans="1:38" x14ac:dyDescent="0.2">
      <c r="A3039" s="2" t="str">
        <f>HYPERLINK("https://www.compass.com/listing/527-west-27th-street-unit-3a-manhattan-ny-10001/328446767980436321/","527 W 27th St, Unit 3A")</f>
        <v>527 W 27th St, Unit 3A</v>
      </c>
      <c r="B3039" s="2" t="str">
        <f>HYPERLINK("https://www.compass.com/building/jardim-manhattan-ny/282062246220171157/","Jardim")</f>
        <v>Jardim</v>
      </c>
      <c r="C3039" s="1" t="s">
        <v>62</v>
      </c>
      <c r="D3039" s="1" t="s">
        <v>41</v>
      </c>
      <c r="E3039" s="3">
        <v>4795844</v>
      </c>
      <c r="F3039" s="1">
        <v>2162.2379395852099</v>
      </c>
      <c r="H3039" s="1">
        <v>3</v>
      </c>
      <c r="J3039" s="1">
        <v>3.5</v>
      </c>
      <c r="M3039" s="4">
        <v>2218</v>
      </c>
      <c r="N3039" s="1">
        <v>3455</v>
      </c>
      <c r="O3039" s="1">
        <v>7196</v>
      </c>
      <c r="P3039" s="1">
        <v>3741</v>
      </c>
      <c r="Q3039" s="1" t="s">
        <v>42</v>
      </c>
      <c r="S3039" s="1" t="s">
        <v>42</v>
      </c>
      <c r="T3039" s="1" t="s">
        <v>273</v>
      </c>
      <c r="AA3039" s="1">
        <v>4795843.75</v>
      </c>
      <c r="AB3039" s="1" t="s">
        <v>1905</v>
      </c>
      <c r="AC3039" s="5">
        <v>43691</v>
      </c>
      <c r="AF3039" s="1">
        <v>10001</v>
      </c>
      <c r="AI3039" s="1" t="s">
        <v>65</v>
      </c>
      <c r="AJ3039" s="1">
        <v>2017</v>
      </c>
      <c r="AK3039" s="1" t="s">
        <v>202</v>
      </c>
      <c r="AL3039" s="1">
        <v>36</v>
      </c>
    </row>
    <row r="3040" spans="1:38" x14ac:dyDescent="0.2">
      <c r="A3040" s="2" t="str">
        <f>HYPERLINK("https://www.compass.com/listing/90-lexington-avenue-unit-7a-manhattan-ny-10016/29378552688325249/","90 Lexington Ave, Unit 7A")</f>
        <v>90 Lexington Ave, Unit 7A</v>
      </c>
      <c r="B3040" s="2" t="str">
        <f>HYPERLINK("https://www.compass.com/building/88-90-lexington-avenue-manhattan-ny/281941431524842901/","88 &amp; 90 Lexington Avenue")</f>
        <v>88 &amp; 90 Lexington Avenue</v>
      </c>
      <c r="C3040" s="1" t="s">
        <v>40</v>
      </c>
      <c r="D3040" s="1" t="s">
        <v>41</v>
      </c>
      <c r="E3040" s="3">
        <v>2033975</v>
      </c>
      <c r="F3040" s="1">
        <v>1946.3875598086099</v>
      </c>
      <c r="G3040" s="1">
        <v>3</v>
      </c>
      <c r="H3040" s="1">
        <v>1</v>
      </c>
      <c r="I3040" s="1">
        <v>1</v>
      </c>
      <c r="J3040" s="1">
        <v>1.5</v>
      </c>
      <c r="K3040" s="1">
        <v>1</v>
      </c>
      <c r="L3040" s="1">
        <v>1</v>
      </c>
      <c r="M3040" s="4">
        <v>1045</v>
      </c>
      <c r="N3040" s="1">
        <v>1160</v>
      </c>
      <c r="O3040" s="1">
        <v>3100</v>
      </c>
      <c r="P3040" s="1">
        <v>1940</v>
      </c>
      <c r="Q3040" s="1" t="s">
        <v>42</v>
      </c>
      <c r="S3040" s="1" t="s">
        <v>42</v>
      </c>
      <c r="T3040" s="1" t="s">
        <v>273</v>
      </c>
      <c r="U3040" s="1">
        <v>323</v>
      </c>
      <c r="V3040" s="5">
        <v>43659</v>
      </c>
      <c r="W3040" s="5">
        <v>42801</v>
      </c>
      <c r="X3040" s="1">
        <v>2085000</v>
      </c>
      <c r="Y3040" s="1">
        <v>2085000</v>
      </c>
      <c r="Z3040" s="5">
        <v>43124</v>
      </c>
      <c r="AA3040" s="1">
        <v>2033975</v>
      </c>
      <c r="AB3040" s="1" t="s">
        <v>1906</v>
      </c>
      <c r="AC3040" s="5">
        <v>43168</v>
      </c>
      <c r="AF3040" s="1">
        <v>10016</v>
      </c>
      <c r="AI3040" s="1" t="s">
        <v>122</v>
      </c>
      <c r="AJ3040" s="1">
        <v>1957</v>
      </c>
      <c r="AK3040" s="1" t="s">
        <v>46</v>
      </c>
      <c r="AL3040" s="1">
        <v>49</v>
      </c>
    </row>
    <row r="3041" spans="1:38" x14ac:dyDescent="0.2">
      <c r="A3041" s="2" t="str">
        <f>HYPERLINK("https://www.compass.com/listing/12-east-88th-street-unit-phabc-manhattan-ny-10128/91199772534351249/","12 E 88th St, Unit PHABC")</f>
        <v>12 E 88th St, Unit PHABC</v>
      </c>
      <c r="B3041" s="2" t="str">
        <f>HYPERLINK("https://www.compass.com/building/12-e-88th-st-manhattan-ny-10128/282046316798827461/","12 E 88th St")</f>
        <v>12 E 88th St</v>
      </c>
      <c r="C3041" s="1" t="s">
        <v>82</v>
      </c>
      <c r="D3041" s="1" t="s">
        <v>41</v>
      </c>
      <c r="E3041" s="3">
        <v>5875000</v>
      </c>
      <c r="F3041" s="1">
        <v>3015.9137577002002</v>
      </c>
      <c r="G3041" s="1">
        <v>6</v>
      </c>
      <c r="H3041" s="1">
        <v>2</v>
      </c>
      <c r="I3041" s="1">
        <v>3</v>
      </c>
      <c r="J3041" s="1">
        <v>2.5</v>
      </c>
      <c r="M3041" s="4">
        <v>1948</v>
      </c>
      <c r="N3041" s="1">
        <v>3892</v>
      </c>
      <c r="O3041" s="1">
        <v>6436</v>
      </c>
      <c r="P3041" s="1">
        <v>2544</v>
      </c>
      <c r="Q3041" s="1" t="s">
        <v>42</v>
      </c>
      <c r="S3041" s="1" t="s">
        <v>42</v>
      </c>
      <c r="T3041" s="1" t="s">
        <v>273</v>
      </c>
      <c r="U3041" s="1">
        <v>7</v>
      </c>
      <c r="V3041" s="5">
        <v>43650</v>
      </c>
      <c r="W3041" s="5">
        <v>42690</v>
      </c>
      <c r="X3041" s="1">
        <v>5875000</v>
      </c>
      <c r="Y3041" s="1">
        <v>5875000</v>
      </c>
      <c r="Z3041" s="5">
        <v>42697</v>
      </c>
      <c r="AA3041" s="1">
        <v>5875000</v>
      </c>
      <c r="AB3041" s="1" t="s">
        <v>275</v>
      </c>
      <c r="AC3041" s="5">
        <v>43378</v>
      </c>
      <c r="AF3041" s="1">
        <v>10128</v>
      </c>
      <c r="AI3041" s="1" t="s">
        <v>177</v>
      </c>
      <c r="AJ3041" s="1">
        <v>1931</v>
      </c>
      <c r="AK3041" s="1" t="s">
        <v>49</v>
      </c>
      <c r="AL3041" s="1">
        <v>39</v>
      </c>
    </row>
    <row r="3042" spans="1:38" x14ac:dyDescent="0.2">
      <c r="A3042" s="2" t="str">
        <f>HYPERLINK("https://www.compass.com/listing/90-lexington-avenue-unit-9b-manhattan-ny-10016/122244491288580833/","90 Lexington Ave, Unit 9B")</f>
        <v>90 Lexington Ave, Unit 9B</v>
      </c>
      <c r="B3042" s="2" t="str">
        <f>HYPERLINK("https://www.compass.com/building/88-90-lexington-avenue-manhattan-ny/281941431524842901/","88 &amp; 90 Lexington Avenue")</f>
        <v>88 &amp; 90 Lexington Avenue</v>
      </c>
      <c r="C3042" s="1" t="s">
        <v>40</v>
      </c>
      <c r="D3042" s="1" t="s">
        <v>41</v>
      </c>
      <c r="E3042" s="3">
        <v>2925260</v>
      </c>
      <c r="F3042" s="1">
        <v>1910.6858262573401</v>
      </c>
      <c r="G3042" s="1">
        <v>5</v>
      </c>
      <c r="H3042" s="1">
        <v>2</v>
      </c>
      <c r="I3042" s="1">
        <v>3</v>
      </c>
      <c r="J3042" s="1">
        <v>2.5</v>
      </c>
      <c r="K3042" s="1">
        <v>2</v>
      </c>
      <c r="L3042" s="1">
        <v>1</v>
      </c>
      <c r="M3042" s="4">
        <v>1531</v>
      </c>
      <c r="N3042" s="1">
        <v>1698</v>
      </c>
      <c r="O3042" s="1">
        <v>4574</v>
      </c>
      <c r="P3042" s="1">
        <v>2876</v>
      </c>
      <c r="Q3042" s="1" t="s">
        <v>42</v>
      </c>
      <c r="S3042" s="1" t="s">
        <v>42</v>
      </c>
      <c r="T3042" s="1" t="s">
        <v>273</v>
      </c>
      <c r="V3042" s="5">
        <v>43644</v>
      </c>
      <c r="W3042" s="5">
        <v>43421</v>
      </c>
      <c r="X3042" s="1">
        <v>3150000</v>
      </c>
      <c r="Y3042" s="1">
        <v>3150000</v>
      </c>
      <c r="Z3042" s="5">
        <v>43421</v>
      </c>
      <c r="AA3042" s="1">
        <v>2925260</v>
      </c>
      <c r="AB3042" s="1" t="s">
        <v>1907</v>
      </c>
      <c r="AC3042" s="5">
        <v>43505</v>
      </c>
      <c r="AF3042" s="1">
        <v>10016</v>
      </c>
      <c r="AI3042" s="1" t="s">
        <v>192</v>
      </c>
      <c r="AJ3042" s="1">
        <v>1957</v>
      </c>
      <c r="AK3042" s="1" t="s">
        <v>46</v>
      </c>
      <c r="AL3042" s="1">
        <v>49</v>
      </c>
    </row>
    <row r="3043" spans="1:38" x14ac:dyDescent="0.2">
      <c r="A3043" s="2" t="str">
        <f>HYPERLINK("https://www.compass.com/listing/15-west-61st-street-unit-3f-manhattan-ny-10023/749978057202118329/","15 W 61st St, Unit 3F")</f>
        <v>15 W 61st St, Unit 3F</v>
      </c>
      <c r="B3043" s="2" t="str">
        <f>HYPERLINK("https://www.compass.com/building/the-park-loggia-manhattan-ny/292861833130357557/","The Park Loggia")</f>
        <v>The Park Loggia</v>
      </c>
      <c r="C3043" s="1" t="s">
        <v>57</v>
      </c>
      <c r="D3043" s="1" t="s">
        <v>41</v>
      </c>
      <c r="E3043" s="3">
        <v>1077152</v>
      </c>
      <c r="F3043" s="1">
        <v>2176.0638181818099</v>
      </c>
      <c r="G3043" s="1">
        <v>2</v>
      </c>
      <c r="H3043" s="1" t="s">
        <v>99</v>
      </c>
      <c r="I3043" s="1">
        <v>1</v>
      </c>
      <c r="J3043" s="1">
        <v>1</v>
      </c>
      <c r="K3043" s="1">
        <v>1</v>
      </c>
      <c r="M3043" s="1">
        <v>495</v>
      </c>
      <c r="N3043" s="1">
        <v>561</v>
      </c>
      <c r="O3043" s="1">
        <v>1125</v>
      </c>
      <c r="P3043" s="1">
        <v>564</v>
      </c>
      <c r="Q3043" s="1" t="s">
        <v>42</v>
      </c>
      <c r="S3043" s="1" t="s">
        <v>42</v>
      </c>
      <c r="T3043" s="1" t="s">
        <v>273</v>
      </c>
      <c r="V3043" s="5">
        <v>44287</v>
      </c>
      <c r="W3043" s="5">
        <v>44277</v>
      </c>
      <c r="X3043" s="1">
        <v>1175000</v>
      </c>
      <c r="Y3043" s="1">
        <v>1175000</v>
      </c>
      <c r="AA3043" s="1">
        <v>1077151.5900000001</v>
      </c>
      <c r="AB3043" s="1" t="s">
        <v>1908</v>
      </c>
      <c r="AC3043" s="5">
        <v>44277</v>
      </c>
      <c r="AF3043" s="1">
        <v>10023</v>
      </c>
      <c r="AI3043" s="1" t="s">
        <v>1071</v>
      </c>
      <c r="AJ3043" s="1">
        <v>2019</v>
      </c>
      <c r="AK3043" s="1" t="s">
        <v>108</v>
      </c>
      <c r="AL3043" s="1">
        <v>172</v>
      </c>
    </row>
    <row r="3044" spans="1:38" x14ac:dyDescent="0.2">
      <c r="A3044" s="2" t="str">
        <f>HYPERLINK("https://www.compass.com/listing/360-east-89th-street-unit-21a-manhattan-ny-10128/26850137468899073/","360 E 89th St, Unit 21A")</f>
        <v>360 E 89th St, Unit 21A</v>
      </c>
      <c r="B3044" s="2" t="str">
        <f t="shared" ref="B3044:B3045" si="511">HYPERLINK("https://www.compass.com/building/citizen360-manhattan-ny/282052027553444853/","Citizen360")</f>
        <v>Citizen360</v>
      </c>
      <c r="C3044" s="1" t="s">
        <v>82</v>
      </c>
      <c r="D3044" s="1" t="s">
        <v>41</v>
      </c>
      <c r="E3044" s="3">
        <v>3850000</v>
      </c>
      <c r="F3044" s="1">
        <v>1878.9653489507</v>
      </c>
      <c r="G3044" s="1">
        <v>5</v>
      </c>
      <c r="H3044" s="1">
        <v>3</v>
      </c>
      <c r="I3044" s="1">
        <v>4</v>
      </c>
      <c r="J3044" s="1">
        <v>3.5</v>
      </c>
      <c r="K3044" s="1">
        <v>3</v>
      </c>
      <c r="L3044" s="1">
        <v>1</v>
      </c>
      <c r="M3044" s="4">
        <v>2049</v>
      </c>
      <c r="N3044" s="1">
        <v>2061</v>
      </c>
      <c r="O3044" s="1">
        <v>3180</v>
      </c>
      <c r="P3044" s="1">
        <v>1119</v>
      </c>
      <c r="Q3044" s="1" t="s">
        <v>42</v>
      </c>
      <c r="S3044" s="1" t="s">
        <v>42</v>
      </c>
      <c r="T3044" s="1" t="s">
        <v>273</v>
      </c>
      <c r="U3044" s="1">
        <v>331</v>
      </c>
      <c r="V3044" s="5">
        <v>43622</v>
      </c>
      <c r="W3044" s="5">
        <v>42927</v>
      </c>
      <c r="X3044" s="1">
        <v>4065000</v>
      </c>
      <c r="Y3044" s="1">
        <v>3850000</v>
      </c>
      <c r="Z3044" s="5">
        <v>43545</v>
      </c>
      <c r="AA3044" s="1">
        <v>3850000</v>
      </c>
      <c r="AB3044" s="1" t="s">
        <v>1909</v>
      </c>
      <c r="AC3044" s="5">
        <v>43593</v>
      </c>
      <c r="AF3044" s="1">
        <v>10128</v>
      </c>
      <c r="AJ3044" s="1">
        <v>2017</v>
      </c>
      <c r="AK3044" s="1" t="s">
        <v>46</v>
      </c>
      <c r="AL3044" s="1">
        <v>82</v>
      </c>
    </row>
    <row r="3045" spans="1:38" x14ac:dyDescent="0.2">
      <c r="A3045" s="2" t="str">
        <f>HYPERLINK("https://www.compass.com/listing/360-east-89th-street-unit-29b-manhattan-ny-10128/29424466014623665/","360 E 89th St, Unit 29B")</f>
        <v>360 E 89th St, Unit 29B</v>
      </c>
      <c r="B3045" s="2" t="str">
        <f t="shared" si="511"/>
        <v>Citizen360</v>
      </c>
      <c r="C3045" s="1" t="s">
        <v>82</v>
      </c>
      <c r="D3045" s="1" t="s">
        <v>41</v>
      </c>
      <c r="E3045" s="3">
        <v>5275000</v>
      </c>
      <c r="F3045" s="1">
        <v>2182.4575920562602</v>
      </c>
      <c r="G3045" s="1">
        <v>5</v>
      </c>
      <c r="H3045" s="1">
        <v>3</v>
      </c>
      <c r="I3045" s="1">
        <v>3</v>
      </c>
      <c r="J3045" s="1">
        <v>3.5</v>
      </c>
      <c r="K3045" s="1">
        <v>3</v>
      </c>
      <c r="L3045" s="1">
        <v>1</v>
      </c>
      <c r="M3045" s="4">
        <v>2417</v>
      </c>
      <c r="N3045" s="1">
        <v>2520</v>
      </c>
      <c r="O3045" s="1">
        <v>5451</v>
      </c>
      <c r="P3045" s="1">
        <v>2931</v>
      </c>
      <c r="Q3045" s="1" t="s">
        <v>42</v>
      </c>
      <c r="S3045" s="1" t="s">
        <v>42</v>
      </c>
      <c r="T3045" s="1" t="s">
        <v>273</v>
      </c>
      <c r="U3045" s="1">
        <v>125</v>
      </c>
      <c r="V3045" s="5">
        <v>43642</v>
      </c>
      <c r="W3045" s="5">
        <v>42956</v>
      </c>
      <c r="X3045" s="1">
        <v>5425000</v>
      </c>
      <c r="Y3045" s="1">
        <v>5425000</v>
      </c>
      <c r="Z3045" s="5">
        <v>43081</v>
      </c>
      <c r="AA3045" s="1">
        <v>5275000</v>
      </c>
      <c r="AB3045" s="1" t="s">
        <v>1910</v>
      </c>
      <c r="AC3045" s="5">
        <v>43217</v>
      </c>
      <c r="AF3045" s="1">
        <v>10128</v>
      </c>
      <c r="AJ3045" s="1">
        <v>2017</v>
      </c>
      <c r="AK3045" s="1" t="s">
        <v>108</v>
      </c>
      <c r="AL3045" s="1">
        <v>82</v>
      </c>
    </row>
    <row r="3046" spans="1:38" x14ac:dyDescent="0.2">
      <c r="A3046" s="2" t="str">
        <f>HYPERLINK("https://www.compass.com/listing/15-west-61st-street-unit-14f-manhattan-ny-10023/620404864050139857/","15 W 61st St, Unit 14F")</f>
        <v>15 W 61st St, Unit 14F</v>
      </c>
      <c r="B3046" s="2" t="str">
        <f t="shared" ref="B3046:B3050" si="512">HYPERLINK("https://www.compass.com/building/the-park-loggia-manhattan-ny/292861833130357557/","The Park Loggia")</f>
        <v>The Park Loggia</v>
      </c>
      <c r="C3046" s="1" t="s">
        <v>57</v>
      </c>
      <c r="D3046" s="1" t="s">
        <v>41</v>
      </c>
      <c r="E3046" s="3">
        <v>3255000</v>
      </c>
      <c r="F3046" s="1">
        <v>2717.02838063439</v>
      </c>
      <c r="G3046" s="1">
        <v>4</v>
      </c>
      <c r="H3046" s="1">
        <v>2</v>
      </c>
      <c r="I3046" s="1">
        <v>2</v>
      </c>
      <c r="J3046" s="1">
        <v>2</v>
      </c>
      <c r="K3046" s="1">
        <v>2</v>
      </c>
      <c r="M3046" s="4">
        <v>1198</v>
      </c>
      <c r="N3046" s="1">
        <v>1217</v>
      </c>
      <c r="O3046" s="1">
        <v>2441</v>
      </c>
      <c r="P3046" s="1">
        <v>1224</v>
      </c>
      <c r="Q3046" s="1" t="s">
        <v>42</v>
      </c>
      <c r="S3046" s="1" t="s">
        <v>42</v>
      </c>
      <c r="T3046" s="1" t="s">
        <v>273</v>
      </c>
      <c r="V3046" s="5">
        <v>44351</v>
      </c>
      <c r="W3046" s="5">
        <v>44107</v>
      </c>
      <c r="X3046" s="1">
        <v>3425000</v>
      </c>
      <c r="Y3046" s="1">
        <v>3425000</v>
      </c>
      <c r="Z3046" s="5">
        <v>44107</v>
      </c>
      <c r="AA3046" s="1">
        <v>3255000</v>
      </c>
      <c r="AB3046" s="1" t="s">
        <v>275</v>
      </c>
      <c r="AC3046" s="5">
        <v>44350</v>
      </c>
      <c r="AF3046" s="1">
        <v>10023</v>
      </c>
      <c r="AI3046" s="1" t="s">
        <v>65</v>
      </c>
      <c r="AJ3046" s="1">
        <v>2019</v>
      </c>
      <c r="AK3046" s="1" t="s">
        <v>108</v>
      </c>
      <c r="AL3046" s="1">
        <v>172</v>
      </c>
    </row>
    <row r="3047" spans="1:38" x14ac:dyDescent="0.2">
      <c r="A3047" s="2" t="str">
        <f>HYPERLINK("https://www.compass.com/listing/15-west-61st-street-unit-10f-manhattan-ny-10023/252523446708211105/","15 W 61st St, Unit 10F")</f>
        <v>15 W 61st St, Unit 10F</v>
      </c>
      <c r="B3047" s="2" t="str">
        <f t="shared" si="512"/>
        <v>The Park Loggia</v>
      </c>
      <c r="C3047" s="1" t="s">
        <v>57</v>
      </c>
      <c r="D3047" s="1" t="s">
        <v>41</v>
      </c>
      <c r="E3047" s="3">
        <v>3283000</v>
      </c>
      <c r="F3047" s="1">
        <v>2740.4006677796301</v>
      </c>
      <c r="G3047" s="1">
        <v>4</v>
      </c>
      <c r="H3047" s="1">
        <v>2</v>
      </c>
      <c r="I3047" s="1">
        <v>2</v>
      </c>
      <c r="J3047" s="1">
        <v>2</v>
      </c>
      <c r="K3047" s="1">
        <v>2</v>
      </c>
      <c r="M3047" s="4">
        <v>1198</v>
      </c>
      <c r="N3047" s="1">
        <v>1232</v>
      </c>
      <c r="O3047" s="1">
        <v>2417</v>
      </c>
      <c r="P3047" s="1">
        <v>1185</v>
      </c>
      <c r="Q3047" s="1" t="s">
        <v>42</v>
      </c>
      <c r="S3047" s="1" t="s">
        <v>42</v>
      </c>
      <c r="T3047" s="1" t="s">
        <v>273</v>
      </c>
      <c r="U3047" s="1">
        <v>120</v>
      </c>
      <c r="V3047" s="5">
        <v>43911</v>
      </c>
      <c r="W3047" s="5">
        <v>43597</v>
      </c>
      <c r="X3047" s="1">
        <v>3350000</v>
      </c>
      <c r="AB3047" s="1" t="s">
        <v>275</v>
      </c>
      <c r="AF3047" s="1">
        <v>10023</v>
      </c>
      <c r="AI3047" s="1" t="s">
        <v>65</v>
      </c>
      <c r="AJ3047" s="1">
        <v>2019</v>
      </c>
      <c r="AK3047" s="1" t="s">
        <v>108</v>
      </c>
      <c r="AL3047" s="1">
        <v>172</v>
      </c>
    </row>
    <row r="3048" spans="1:38" x14ac:dyDescent="0.2">
      <c r="A3048" s="2" t="str">
        <f>HYPERLINK("https://www.compass.com/listing/15-west-61st-street-unit-9b-manhattan-ny-10023/252538880085986817/","15 W 61st St, Unit 9B")</f>
        <v>15 W 61st St, Unit 9B</v>
      </c>
      <c r="B3048" s="2" t="str">
        <f t="shared" si="512"/>
        <v>The Park Loggia</v>
      </c>
      <c r="C3048" s="1" t="s">
        <v>57</v>
      </c>
      <c r="D3048" s="1" t="s">
        <v>41</v>
      </c>
      <c r="E3048" s="3">
        <v>3291919</v>
      </c>
      <c r="F3048" s="1">
        <v>2641.9893659711001</v>
      </c>
      <c r="G3048" s="1">
        <v>4</v>
      </c>
      <c r="H3048" s="1">
        <v>2</v>
      </c>
      <c r="I3048" s="1">
        <v>2</v>
      </c>
      <c r="J3048" s="1">
        <v>2</v>
      </c>
      <c r="K3048" s="1">
        <v>2</v>
      </c>
      <c r="M3048" s="4">
        <v>1246</v>
      </c>
      <c r="N3048" s="1">
        <v>1284</v>
      </c>
      <c r="O3048" s="1">
        <v>2554</v>
      </c>
      <c r="P3048" s="1">
        <v>1270</v>
      </c>
      <c r="Q3048" s="1" t="s">
        <v>42</v>
      </c>
      <c r="S3048" s="1" t="s">
        <v>42</v>
      </c>
      <c r="T3048" s="1" t="s">
        <v>273</v>
      </c>
      <c r="U3048" s="1">
        <v>61</v>
      </c>
      <c r="V3048" s="5">
        <v>43911</v>
      </c>
      <c r="W3048" s="5">
        <v>43597</v>
      </c>
      <c r="X3048" s="1">
        <v>3225000</v>
      </c>
      <c r="AB3048" s="1" t="s">
        <v>275</v>
      </c>
      <c r="AF3048" s="1">
        <v>10023</v>
      </c>
      <c r="AI3048" s="1" t="s">
        <v>65</v>
      </c>
      <c r="AJ3048" s="1">
        <v>2019</v>
      </c>
      <c r="AK3048" s="1" t="s">
        <v>108</v>
      </c>
      <c r="AL3048" s="1">
        <v>172</v>
      </c>
    </row>
    <row r="3049" spans="1:38" x14ac:dyDescent="0.2">
      <c r="A3049" s="2" t="str">
        <f>HYPERLINK("https://www.compass.com/listing/15-west-61st-street-unit-10b-manhattan-ny-10023/294957851311108113/","15 W 61st St, Unit 10B")</f>
        <v>15 W 61st St, Unit 10B</v>
      </c>
      <c r="B3049" s="2" t="str">
        <f t="shared" si="512"/>
        <v>The Park Loggia</v>
      </c>
      <c r="C3049" s="1" t="s">
        <v>57</v>
      </c>
      <c r="D3049" s="1" t="s">
        <v>41</v>
      </c>
      <c r="E3049" s="3">
        <v>3268688</v>
      </c>
      <c r="F3049" s="1">
        <v>2623.34470304975</v>
      </c>
      <c r="G3049" s="1">
        <v>4</v>
      </c>
      <c r="H3049" s="1">
        <v>2</v>
      </c>
      <c r="I3049" s="1">
        <v>2</v>
      </c>
      <c r="J3049" s="1">
        <v>2</v>
      </c>
      <c r="K3049" s="1">
        <v>2</v>
      </c>
      <c r="M3049" s="4">
        <v>1246</v>
      </c>
      <c r="N3049" s="1">
        <v>1284</v>
      </c>
      <c r="O3049" s="1">
        <v>2554</v>
      </c>
      <c r="P3049" s="1">
        <v>1270</v>
      </c>
      <c r="Q3049" s="1" t="s">
        <v>42</v>
      </c>
      <c r="S3049" s="1" t="s">
        <v>42</v>
      </c>
      <c r="T3049" s="1" t="s">
        <v>273</v>
      </c>
      <c r="U3049" s="1">
        <v>59</v>
      </c>
      <c r="V3049" s="5">
        <v>43911</v>
      </c>
      <c r="W3049" s="5">
        <v>43658</v>
      </c>
      <c r="X3049" s="1">
        <v>3250000</v>
      </c>
      <c r="AB3049" s="1" t="s">
        <v>275</v>
      </c>
      <c r="AF3049" s="1">
        <v>10023</v>
      </c>
      <c r="AI3049" s="1" t="s">
        <v>159</v>
      </c>
      <c r="AJ3049" s="1">
        <v>2019</v>
      </c>
      <c r="AK3049" s="1" t="s">
        <v>108</v>
      </c>
      <c r="AL3049" s="1">
        <v>172</v>
      </c>
    </row>
    <row r="3050" spans="1:38" x14ac:dyDescent="0.2">
      <c r="A3050" s="2" t="str">
        <f>HYPERLINK("https://www.compass.com/listing/15-west-61st-street-unit-14b-manhattan-ny-10023/337474965992950961/","15 W 61st St, Unit 14B")</f>
        <v>15 W 61st St, Unit 14B</v>
      </c>
      <c r="B3050" s="2" t="str">
        <f t="shared" si="512"/>
        <v>The Park Loggia</v>
      </c>
      <c r="C3050" s="1" t="s">
        <v>57</v>
      </c>
      <c r="D3050" s="1" t="s">
        <v>41</v>
      </c>
      <c r="E3050" s="3">
        <v>3361354</v>
      </c>
      <c r="F3050" s="1">
        <v>2697.7157704654801</v>
      </c>
      <c r="G3050" s="1">
        <v>3.5</v>
      </c>
      <c r="H3050" s="1">
        <v>2</v>
      </c>
      <c r="I3050" s="1">
        <v>2</v>
      </c>
      <c r="J3050" s="1">
        <v>2</v>
      </c>
      <c r="K3050" s="1">
        <v>2</v>
      </c>
      <c r="M3050" s="4">
        <v>1246</v>
      </c>
      <c r="N3050" s="1">
        <v>1320</v>
      </c>
      <c r="O3050" s="1">
        <v>2590</v>
      </c>
      <c r="P3050" s="1">
        <v>1270</v>
      </c>
      <c r="Q3050" s="1" t="s">
        <v>42</v>
      </c>
      <c r="S3050" s="1" t="s">
        <v>42</v>
      </c>
      <c r="T3050" s="1" t="s">
        <v>273</v>
      </c>
      <c r="U3050" s="1">
        <v>22</v>
      </c>
      <c r="V3050" s="5">
        <v>43911</v>
      </c>
      <c r="W3050" s="5">
        <v>43717</v>
      </c>
      <c r="X3050" s="1">
        <v>3325000</v>
      </c>
      <c r="AB3050" s="1" t="s">
        <v>275</v>
      </c>
      <c r="AF3050" s="1">
        <v>10023</v>
      </c>
      <c r="AI3050" s="1" t="s">
        <v>159</v>
      </c>
      <c r="AJ3050" s="1">
        <v>2019</v>
      </c>
      <c r="AK3050" s="1" t="s">
        <v>108</v>
      </c>
      <c r="AL3050" s="1">
        <v>172</v>
      </c>
    </row>
    <row r="3051" spans="1:38" x14ac:dyDescent="0.2">
      <c r="A3051" s="2" t="str">
        <f>HYPERLINK("https://www.compass.com/listing/527-west-27th-street-unit-6a-manhattan-ny-10001/322849526418975217/","527 W 27th St, Unit 6A")</f>
        <v>527 W 27th St, Unit 6A</v>
      </c>
      <c r="B3051" s="2" t="str">
        <f t="shared" ref="B3051:B3052" si="513">HYPERLINK("https://www.compass.com/building/jardim-manhattan-ny/282062246220171157/","Jardim")</f>
        <v>Jardim</v>
      </c>
      <c r="C3051" s="1" t="s">
        <v>62</v>
      </c>
      <c r="D3051" s="1" t="s">
        <v>41</v>
      </c>
      <c r="E3051" s="3">
        <v>6334759</v>
      </c>
      <c r="F3051" s="1">
        <v>2219.6073510861902</v>
      </c>
      <c r="H3051" s="1">
        <v>4</v>
      </c>
      <c r="J3051" s="1">
        <v>4.5</v>
      </c>
      <c r="M3051" s="4">
        <v>2854</v>
      </c>
      <c r="N3051" s="1">
        <v>4329</v>
      </c>
      <c r="O3051" s="1">
        <v>9503</v>
      </c>
      <c r="P3051" s="1">
        <v>5174</v>
      </c>
      <c r="Q3051" s="1" t="s">
        <v>42</v>
      </c>
      <c r="S3051" s="1" t="s">
        <v>42</v>
      </c>
      <c r="T3051" s="1" t="s">
        <v>273</v>
      </c>
      <c r="AA3051" s="1">
        <v>6334759.3799999999</v>
      </c>
      <c r="AB3051" s="1" t="s">
        <v>1911</v>
      </c>
      <c r="AC3051" s="5">
        <v>43682</v>
      </c>
      <c r="AF3051" s="1">
        <v>10001</v>
      </c>
      <c r="AI3051" s="1" t="s">
        <v>65</v>
      </c>
      <c r="AJ3051" s="1">
        <v>2017</v>
      </c>
      <c r="AK3051" s="1" t="s">
        <v>202</v>
      </c>
      <c r="AL3051" s="1">
        <v>36</v>
      </c>
    </row>
    <row r="3052" spans="1:38" x14ac:dyDescent="0.2">
      <c r="A3052" s="2" t="str">
        <f>HYPERLINK("https://www.compass.com/listing/527-west-27th-street-unit-7a-manhattan-ny-10001/343155792340997553/","527 W 27th St, Unit 7A")</f>
        <v>527 W 27th St, Unit 7A</v>
      </c>
      <c r="B3052" s="2" t="str">
        <f t="shared" si="513"/>
        <v>Jardim</v>
      </c>
      <c r="C3052" s="1" t="s">
        <v>62</v>
      </c>
      <c r="D3052" s="1" t="s">
        <v>41</v>
      </c>
      <c r="E3052" s="3">
        <v>6850000</v>
      </c>
      <c r="F3052" s="1">
        <v>2422.2065063649202</v>
      </c>
      <c r="H3052" s="1">
        <v>4</v>
      </c>
      <c r="J3052" s="1">
        <v>4.5</v>
      </c>
      <c r="M3052" s="4">
        <v>2828</v>
      </c>
      <c r="N3052" s="1">
        <v>4417</v>
      </c>
      <c r="O3052" s="1">
        <v>9198</v>
      </c>
      <c r="P3052" s="1">
        <v>4781</v>
      </c>
      <c r="Q3052" s="1" t="s">
        <v>42</v>
      </c>
      <c r="S3052" s="1" t="s">
        <v>42</v>
      </c>
      <c r="T3052" s="1" t="s">
        <v>273</v>
      </c>
      <c r="AA3052" s="1">
        <v>6850000</v>
      </c>
      <c r="AB3052" s="1" t="s">
        <v>1912</v>
      </c>
      <c r="AC3052" s="5">
        <v>43714</v>
      </c>
      <c r="AF3052" s="1">
        <v>10001</v>
      </c>
      <c r="AI3052" s="1" t="s">
        <v>65</v>
      </c>
      <c r="AJ3052" s="1">
        <v>2017</v>
      </c>
      <c r="AK3052" s="1" t="s">
        <v>202</v>
      </c>
      <c r="AL3052" s="1">
        <v>36</v>
      </c>
    </row>
    <row r="3053" spans="1:38" x14ac:dyDescent="0.2">
      <c r="A3053" s="2" t="str">
        <f>HYPERLINK("https://www.compass.com/listing/15-west-61st-street-unit-4b-manhattan-ny-10023/620996306370037953/","15 W 61st St, Unit 4B")</f>
        <v>15 W 61st St, Unit 4B</v>
      </c>
      <c r="B3053" s="2" t="str">
        <f t="shared" ref="B3053:B3054" si="514">HYPERLINK("https://www.compass.com/building/the-park-loggia-manhattan-ny/292861833130357557/","The Park Loggia")</f>
        <v>The Park Loggia</v>
      </c>
      <c r="C3053" s="1" t="s">
        <v>57</v>
      </c>
      <c r="D3053" s="1" t="s">
        <v>41</v>
      </c>
      <c r="E3053" s="3">
        <v>2890000</v>
      </c>
      <c r="F3053" s="1">
        <v>2159.94020926756</v>
      </c>
      <c r="G3053" s="1">
        <v>4.5</v>
      </c>
      <c r="H3053" s="1">
        <v>2</v>
      </c>
      <c r="I3053" s="1">
        <v>3</v>
      </c>
      <c r="J3053" s="1">
        <v>2.5</v>
      </c>
      <c r="K3053" s="1">
        <v>2</v>
      </c>
      <c r="L3053" s="1">
        <v>1</v>
      </c>
      <c r="M3053" s="4">
        <v>1338</v>
      </c>
      <c r="N3053" s="1">
        <v>1360</v>
      </c>
      <c r="O3053" s="1">
        <v>2727</v>
      </c>
      <c r="P3053" s="1">
        <v>1367</v>
      </c>
      <c r="Q3053" s="1" t="s">
        <v>42</v>
      </c>
      <c r="S3053" s="1" t="s">
        <v>42</v>
      </c>
      <c r="T3053" s="1" t="s">
        <v>273</v>
      </c>
      <c r="U3053" s="1">
        <v>214</v>
      </c>
      <c r="V3053" s="5">
        <v>44352</v>
      </c>
      <c r="W3053" s="5">
        <v>44107</v>
      </c>
      <c r="X3053" s="1">
        <v>3075000</v>
      </c>
      <c r="Y3053" s="1">
        <v>3075000</v>
      </c>
      <c r="Z3053" s="5">
        <v>44321</v>
      </c>
      <c r="AA3053" s="1">
        <v>2890000</v>
      </c>
      <c r="AB3053" s="1" t="s">
        <v>1913</v>
      </c>
      <c r="AC3053" s="5">
        <v>44351</v>
      </c>
      <c r="AF3053" s="1">
        <v>10023</v>
      </c>
      <c r="AI3053" s="1" t="s">
        <v>65</v>
      </c>
      <c r="AJ3053" s="1">
        <v>2019</v>
      </c>
      <c r="AK3053" s="1" t="s">
        <v>108</v>
      </c>
      <c r="AL3053" s="1">
        <v>172</v>
      </c>
    </row>
    <row r="3054" spans="1:38" x14ac:dyDescent="0.2">
      <c r="A3054" s="2" t="str">
        <f>HYPERLINK("https://www.compass.com/listing/15-west-61st-street-unit-5b-manhattan-ny-10023/252536045759894737/","15 W 61st St, Unit 5B")</f>
        <v>15 W 61st St, Unit 5B</v>
      </c>
      <c r="B3054" s="2" t="str">
        <f t="shared" si="514"/>
        <v>The Park Loggia</v>
      </c>
      <c r="C3054" s="1" t="s">
        <v>57</v>
      </c>
      <c r="D3054" s="1" t="s">
        <v>41</v>
      </c>
      <c r="E3054" s="3">
        <v>2900000</v>
      </c>
      <c r="F3054" s="1">
        <v>2167.4140508221199</v>
      </c>
      <c r="G3054" s="1">
        <v>4</v>
      </c>
      <c r="H3054" s="1">
        <v>2</v>
      </c>
      <c r="I3054" s="1">
        <v>3</v>
      </c>
      <c r="J3054" s="1">
        <v>2.5</v>
      </c>
      <c r="K3054" s="1">
        <v>2</v>
      </c>
      <c r="L3054" s="1">
        <v>1</v>
      </c>
      <c r="M3054" s="4">
        <v>1338</v>
      </c>
      <c r="N3054" s="1">
        <v>1360</v>
      </c>
      <c r="O3054" s="1">
        <v>2727</v>
      </c>
      <c r="P3054" s="1">
        <v>1367</v>
      </c>
      <c r="Q3054" s="1" t="s">
        <v>42</v>
      </c>
      <c r="S3054" s="1" t="s">
        <v>42</v>
      </c>
      <c r="T3054" s="1" t="s">
        <v>273</v>
      </c>
      <c r="U3054" s="1">
        <v>395</v>
      </c>
      <c r="V3054" s="5">
        <v>44147</v>
      </c>
      <c r="W3054" s="5">
        <v>43597</v>
      </c>
      <c r="X3054" s="1">
        <v>3100000</v>
      </c>
      <c r="Y3054" s="1">
        <v>3100000</v>
      </c>
      <c r="Z3054" s="5">
        <v>44087</v>
      </c>
      <c r="AA3054" s="1">
        <v>2900000</v>
      </c>
      <c r="AB3054" s="1" t="s">
        <v>1914</v>
      </c>
      <c r="AC3054" s="5">
        <v>44145</v>
      </c>
      <c r="AF3054" s="1">
        <v>10023</v>
      </c>
      <c r="AI3054" s="1" t="s">
        <v>65</v>
      </c>
      <c r="AJ3054" s="1">
        <v>2019</v>
      </c>
      <c r="AK3054" s="1" t="s">
        <v>108</v>
      </c>
      <c r="AL3054" s="1">
        <v>172</v>
      </c>
    </row>
    <row r="3055" spans="1:38" x14ac:dyDescent="0.2">
      <c r="A3055" s="2" t="str">
        <f>HYPERLINK("https://www.compass.com/listing/200-east-94th-street-unit-117-manhattan-ny-10128/4852290318864746657/","200 E 94th St, Unit 117")</f>
        <v>200 E 94th St, Unit 117</v>
      </c>
      <c r="B3055" s="2" t="str">
        <f t="shared" ref="B3055:B3056" si="515">HYPERLINK("https://www.compass.com/building/carnegie-park-condominium-manhattan-ny/282049797358118613/","Carnegie Park Condominium")</f>
        <v>Carnegie Park Condominium</v>
      </c>
      <c r="C3055" s="1" t="s">
        <v>82</v>
      </c>
      <c r="D3055" s="1" t="s">
        <v>41</v>
      </c>
      <c r="E3055" s="3">
        <v>2890000</v>
      </c>
      <c r="F3055" s="1">
        <v>1608.2359488035599</v>
      </c>
      <c r="G3055" s="1">
        <v>5</v>
      </c>
      <c r="H3055" s="1">
        <v>3</v>
      </c>
      <c r="I3055" s="1">
        <v>4</v>
      </c>
      <c r="J3055" s="1">
        <v>4</v>
      </c>
      <c r="K3055" s="1">
        <v>4</v>
      </c>
      <c r="M3055" s="4">
        <v>1797</v>
      </c>
      <c r="N3055" s="1">
        <v>1942</v>
      </c>
      <c r="O3055" s="1">
        <v>4005</v>
      </c>
      <c r="P3055" s="1">
        <v>2063</v>
      </c>
      <c r="Q3055" s="1" t="s">
        <v>42</v>
      </c>
      <c r="S3055" s="1" t="s">
        <v>42</v>
      </c>
      <c r="T3055" s="1" t="s">
        <v>273</v>
      </c>
      <c r="U3055" s="1">
        <v>76</v>
      </c>
      <c r="V3055" s="5">
        <v>43641</v>
      </c>
      <c r="W3055" s="5">
        <v>42746</v>
      </c>
      <c r="X3055" s="1">
        <v>2890000</v>
      </c>
      <c r="Y3055" s="1">
        <v>2890000</v>
      </c>
      <c r="Z3055" s="5">
        <v>42822</v>
      </c>
      <c r="AA3055" s="1">
        <v>2890000</v>
      </c>
      <c r="AB3055" s="1" t="s">
        <v>1915</v>
      </c>
      <c r="AC3055" s="5">
        <v>42878</v>
      </c>
      <c r="AF3055" s="1">
        <v>10128</v>
      </c>
      <c r="AI3055" s="1" t="s">
        <v>163</v>
      </c>
      <c r="AJ3055" s="1">
        <v>1986</v>
      </c>
      <c r="AK3055" s="1" t="s">
        <v>108</v>
      </c>
      <c r="AL3055" s="1">
        <v>287</v>
      </c>
    </row>
    <row r="3056" spans="1:38" x14ac:dyDescent="0.2">
      <c r="A3056" s="2" t="str">
        <f>HYPERLINK("https://www.compass.com/listing/200-east-94th-street-unit-316-manhattan-ny-10128/386190521936263041/","200 E 94th St, Unit 316")</f>
        <v>200 E 94th St, Unit 316</v>
      </c>
      <c r="B3056" s="2" t="str">
        <f t="shared" si="515"/>
        <v>Carnegie Park Condominium</v>
      </c>
      <c r="C3056" s="1" t="s">
        <v>82</v>
      </c>
      <c r="D3056" s="1" t="s">
        <v>41</v>
      </c>
      <c r="E3056" s="3">
        <v>935000</v>
      </c>
      <c r="F3056" s="1">
        <v>1328.125</v>
      </c>
      <c r="G3056" s="1">
        <v>3</v>
      </c>
      <c r="H3056" s="1">
        <v>1</v>
      </c>
      <c r="I3056" s="1">
        <v>1</v>
      </c>
      <c r="J3056" s="1">
        <v>1</v>
      </c>
      <c r="K3056" s="1">
        <v>1</v>
      </c>
      <c r="M3056" s="1">
        <v>704</v>
      </c>
      <c r="N3056" s="1">
        <v>792</v>
      </c>
      <c r="O3056" s="1">
        <v>1647</v>
      </c>
      <c r="P3056" s="1">
        <v>855</v>
      </c>
      <c r="Q3056" s="1" t="s">
        <v>42</v>
      </c>
      <c r="S3056" s="1" t="s">
        <v>42</v>
      </c>
      <c r="T3056" s="1" t="s">
        <v>273</v>
      </c>
      <c r="V3056" s="5">
        <v>44248</v>
      </c>
      <c r="W3056" s="5">
        <v>43785</v>
      </c>
      <c r="X3056" s="1">
        <v>1045000</v>
      </c>
      <c r="Y3056" s="1">
        <v>1045000</v>
      </c>
      <c r="Z3056" s="5">
        <v>43785</v>
      </c>
      <c r="AA3056" s="1">
        <v>935000</v>
      </c>
      <c r="AB3056" s="1" t="s">
        <v>1916</v>
      </c>
      <c r="AC3056" s="5">
        <v>43817</v>
      </c>
      <c r="AF3056" s="1">
        <v>10128</v>
      </c>
      <c r="AI3056" s="1" t="s">
        <v>185</v>
      </c>
      <c r="AJ3056" s="1">
        <v>1986</v>
      </c>
      <c r="AK3056" s="1" t="s">
        <v>46</v>
      </c>
      <c r="AL3056" s="1">
        <v>287</v>
      </c>
    </row>
    <row r="3057" spans="1:38" x14ac:dyDescent="0.2">
      <c r="A3057" s="2" t="str">
        <f>HYPERLINK("https://www.compass.com/listing/90-lexington-avenue-unit-3d-manhattan-ny-10016/29378547395113505/","90 Lexington Ave, Unit 3D")</f>
        <v>90 Lexington Ave, Unit 3D</v>
      </c>
      <c r="B3057" s="2" t="str">
        <f>HYPERLINK("https://www.compass.com/building/88-90-lexington-avenue-manhattan-ny/281941431524842901/","88 &amp; 90 Lexington Avenue")</f>
        <v>88 &amp; 90 Lexington Avenue</v>
      </c>
      <c r="C3057" s="1" t="s">
        <v>40</v>
      </c>
      <c r="D3057" s="1" t="s">
        <v>41</v>
      </c>
      <c r="E3057" s="3">
        <v>2116949</v>
      </c>
      <c r="F3057" s="1">
        <v>1812.4563356164299</v>
      </c>
      <c r="G3057" s="1">
        <v>4</v>
      </c>
      <c r="H3057" s="1">
        <v>1</v>
      </c>
      <c r="I3057" s="1">
        <v>2</v>
      </c>
      <c r="J3057" s="1">
        <v>2</v>
      </c>
      <c r="K3057" s="1">
        <v>2</v>
      </c>
      <c r="M3057" s="4">
        <v>1168</v>
      </c>
      <c r="N3057" s="1">
        <v>1187</v>
      </c>
      <c r="O3057" s="1">
        <v>2352</v>
      </c>
      <c r="P3057" s="1">
        <v>1165</v>
      </c>
      <c r="Q3057" s="1" t="s">
        <v>42</v>
      </c>
      <c r="S3057" s="1" t="s">
        <v>42</v>
      </c>
      <c r="T3057" s="1" t="s">
        <v>273</v>
      </c>
      <c r="U3057" s="1">
        <v>55</v>
      </c>
      <c r="V3057" s="5">
        <v>43677</v>
      </c>
      <c r="W3057" s="5">
        <v>42202</v>
      </c>
      <c r="X3057" s="1">
        <v>2105000</v>
      </c>
      <c r="Y3057" s="1">
        <v>2105000</v>
      </c>
      <c r="Z3057" s="5">
        <v>42262</v>
      </c>
      <c r="AA3057" s="1">
        <v>2116949</v>
      </c>
      <c r="AB3057" s="1" t="s">
        <v>1917</v>
      </c>
      <c r="AC3057" s="5">
        <v>42517</v>
      </c>
      <c r="AF3057" s="1">
        <v>10016</v>
      </c>
      <c r="AI3057" s="1" t="s">
        <v>118</v>
      </c>
      <c r="AJ3057" s="1">
        <v>1957</v>
      </c>
      <c r="AK3057" s="1" t="s">
        <v>46</v>
      </c>
      <c r="AL3057" s="1">
        <v>49</v>
      </c>
    </row>
    <row r="3058" spans="1:38" x14ac:dyDescent="0.2">
      <c r="A3058" s="2" t="str">
        <f>HYPERLINK("https://www.compass.com/listing/200-east-94th-street-unit-1417-manhattan-ny-10128/366626375603208369/","200 E 94th St, Unit 1417")</f>
        <v>200 E 94th St, Unit 1417</v>
      </c>
      <c r="B3058" s="2" t="str">
        <f>HYPERLINK("https://www.compass.com/building/carnegie-park-condominium-manhattan-ny/282049797358118613/","Carnegie Park Condominium")</f>
        <v>Carnegie Park Condominium</v>
      </c>
      <c r="C3058" s="1" t="s">
        <v>82</v>
      </c>
      <c r="D3058" s="1" t="s">
        <v>41</v>
      </c>
      <c r="E3058" s="3">
        <v>3143878</v>
      </c>
      <c r="F3058" s="1">
        <v>1672.2757925531901</v>
      </c>
      <c r="G3058" s="1">
        <v>6</v>
      </c>
      <c r="H3058" s="1">
        <v>4</v>
      </c>
      <c r="I3058" s="1">
        <v>3</v>
      </c>
      <c r="J3058" s="1">
        <v>3</v>
      </c>
      <c r="K3058" s="1">
        <v>3</v>
      </c>
      <c r="M3058" s="4">
        <v>1880</v>
      </c>
      <c r="N3058" s="1">
        <v>2052</v>
      </c>
      <c r="O3058" s="1">
        <v>4267</v>
      </c>
      <c r="P3058" s="1">
        <v>2215</v>
      </c>
      <c r="Q3058" s="1" t="s">
        <v>42</v>
      </c>
      <c r="S3058" s="1" t="s">
        <v>42</v>
      </c>
      <c r="T3058" s="1" t="s">
        <v>273</v>
      </c>
      <c r="U3058" s="1">
        <v>271</v>
      </c>
      <c r="V3058" s="5">
        <v>44112</v>
      </c>
      <c r="W3058" s="5">
        <v>43725</v>
      </c>
      <c r="X3058" s="1">
        <v>3495000</v>
      </c>
      <c r="Y3058" s="1">
        <v>3495000</v>
      </c>
      <c r="Z3058" s="5">
        <v>44091</v>
      </c>
      <c r="AA3058" s="1">
        <v>3143878.49</v>
      </c>
      <c r="AB3058" s="1" t="s">
        <v>1918</v>
      </c>
      <c r="AC3058" s="5">
        <v>44109</v>
      </c>
      <c r="AF3058" s="1">
        <v>10128</v>
      </c>
      <c r="AI3058" s="1" t="s">
        <v>185</v>
      </c>
      <c r="AJ3058" s="1">
        <v>1986</v>
      </c>
      <c r="AK3058" s="1" t="s">
        <v>108</v>
      </c>
      <c r="AL3058" s="1">
        <v>287</v>
      </c>
    </row>
    <row r="3059" spans="1:38" x14ac:dyDescent="0.2">
      <c r="A3059" s="2" t="str">
        <f>HYPERLINK("https://www.compass.com/listing/90-lexington-avenue-unit-3b-manhattan-ny-10016/29378546405251841/","90 Lexington Ave, Unit 3B")</f>
        <v>90 Lexington Ave, Unit 3B</v>
      </c>
      <c r="B3059" s="2" t="str">
        <f t="shared" ref="B3059:B3060" si="516">HYPERLINK("https://www.compass.com/building/88-90-lexington-avenue-manhattan-ny/281941431524842901/","88 &amp; 90 Lexington Avenue")</f>
        <v>88 &amp; 90 Lexington Avenue</v>
      </c>
      <c r="C3059" s="1" t="s">
        <v>40</v>
      </c>
      <c r="D3059" s="1" t="s">
        <v>41</v>
      </c>
      <c r="E3059" s="3">
        <v>2847090</v>
      </c>
      <c r="F3059" s="1">
        <v>1836.83244516129</v>
      </c>
      <c r="G3059" s="1">
        <v>5</v>
      </c>
      <c r="H3059" s="1">
        <v>2</v>
      </c>
      <c r="I3059" s="1">
        <v>2</v>
      </c>
      <c r="J3059" s="1">
        <v>2</v>
      </c>
      <c r="K3059" s="1">
        <v>2</v>
      </c>
      <c r="M3059" s="4">
        <v>1550</v>
      </c>
      <c r="N3059" s="1">
        <v>1596</v>
      </c>
      <c r="O3059" s="1">
        <v>3163</v>
      </c>
      <c r="P3059" s="1">
        <v>1567</v>
      </c>
      <c r="Q3059" s="1" t="s">
        <v>42</v>
      </c>
      <c r="S3059" s="1" t="s">
        <v>42</v>
      </c>
      <c r="T3059" s="1" t="s">
        <v>273</v>
      </c>
      <c r="U3059" s="1">
        <v>119</v>
      </c>
      <c r="V3059" s="5">
        <v>42998</v>
      </c>
      <c r="W3059" s="5">
        <v>42201</v>
      </c>
      <c r="X3059" s="1">
        <v>2935000</v>
      </c>
      <c r="Y3059" s="1">
        <v>2935000</v>
      </c>
      <c r="AA3059" s="1">
        <v>2847090.29</v>
      </c>
      <c r="AB3059" s="1" t="s">
        <v>1919</v>
      </c>
      <c r="AC3059" s="5">
        <v>42725</v>
      </c>
      <c r="AF3059" s="1">
        <v>10016</v>
      </c>
      <c r="AI3059" s="1" t="s">
        <v>122</v>
      </c>
      <c r="AJ3059" s="1">
        <v>1957</v>
      </c>
      <c r="AK3059" s="1" t="s">
        <v>46</v>
      </c>
      <c r="AL3059" s="1">
        <v>49</v>
      </c>
    </row>
    <row r="3060" spans="1:38" x14ac:dyDescent="0.2">
      <c r="A3060" s="2" t="str">
        <f>HYPERLINK("https://www.compass.com/listing/90-lexington-avenue-unit-3c-manhattan-ny-10016/29378546925422305/","90 Lexington Ave, Unit 3C")</f>
        <v>90 Lexington Ave, Unit 3C</v>
      </c>
      <c r="B3060" s="2" t="str">
        <f t="shared" si="516"/>
        <v>88 &amp; 90 Lexington Avenue</v>
      </c>
      <c r="C3060" s="1" t="s">
        <v>40</v>
      </c>
      <c r="D3060" s="1" t="s">
        <v>41</v>
      </c>
      <c r="E3060" s="3">
        <v>2768033</v>
      </c>
      <c r="F3060" s="1">
        <v>1964.5372604684101</v>
      </c>
      <c r="G3060" s="1">
        <v>4</v>
      </c>
      <c r="H3060" s="1">
        <v>2</v>
      </c>
      <c r="I3060" s="1">
        <v>2</v>
      </c>
      <c r="J3060" s="1">
        <v>2</v>
      </c>
      <c r="K3060" s="1">
        <v>2</v>
      </c>
      <c r="M3060" s="4">
        <v>1409</v>
      </c>
      <c r="N3060" s="1">
        <v>1433</v>
      </c>
      <c r="O3060" s="1">
        <v>2840</v>
      </c>
      <c r="P3060" s="1">
        <v>1407</v>
      </c>
      <c r="Q3060" s="1" t="s">
        <v>42</v>
      </c>
      <c r="S3060" s="1" t="s">
        <v>42</v>
      </c>
      <c r="T3060" s="1" t="s">
        <v>273</v>
      </c>
      <c r="U3060" s="1">
        <v>38</v>
      </c>
      <c r="V3060" s="5">
        <v>43676</v>
      </c>
      <c r="W3060" s="5">
        <v>42164</v>
      </c>
      <c r="X3060" s="1">
        <v>2750000</v>
      </c>
      <c r="Y3060" s="1">
        <v>2750000</v>
      </c>
      <c r="Z3060" s="5">
        <v>42215</v>
      </c>
      <c r="AA3060" s="1">
        <v>2768033</v>
      </c>
      <c r="AB3060" s="1" t="s">
        <v>1920</v>
      </c>
      <c r="AC3060" s="5">
        <v>42536</v>
      </c>
      <c r="AF3060" s="1">
        <v>10016</v>
      </c>
      <c r="AI3060" s="1" t="s">
        <v>118</v>
      </c>
      <c r="AJ3060" s="1">
        <v>1957</v>
      </c>
      <c r="AK3060" s="1" t="s">
        <v>46</v>
      </c>
      <c r="AL3060" s="1">
        <v>49</v>
      </c>
    </row>
    <row r="3061" spans="1:38" x14ac:dyDescent="0.2">
      <c r="A3061" s="2" t="str">
        <f>HYPERLINK("https://www.compass.com/listing/12-east-88th-street-unit-3c-manhattan-ny-10128/29420043800439617/","12 E 88th St, Unit 3C")</f>
        <v>12 E 88th St, Unit 3C</v>
      </c>
      <c r="B3061" s="2" t="str">
        <f t="shared" ref="B3061:B3062" si="517">HYPERLINK("https://www.compass.com/building/12-e-88th-st-manhattan-ny-10128/282046316798827461/","12 E 88th St")</f>
        <v>12 E 88th St</v>
      </c>
      <c r="C3061" s="1" t="s">
        <v>82</v>
      </c>
      <c r="D3061" s="1" t="s">
        <v>41</v>
      </c>
      <c r="E3061" s="3">
        <v>6307031</v>
      </c>
      <c r="F3061" s="1">
        <v>2233.3679178470202</v>
      </c>
      <c r="G3061" s="1">
        <v>4</v>
      </c>
      <c r="H3061" s="1">
        <v>3</v>
      </c>
      <c r="I3061" s="1">
        <v>4</v>
      </c>
      <c r="J3061" s="1">
        <v>3.5</v>
      </c>
      <c r="M3061" s="4">
        <v>2824</v>
      </c>
      <c r="N3061" s="1">
        <v>3379</v>
      </c>
      <c r="O3061" s="1">
        <v>7076</v>
      </c>
      <c r="P3061" s="1">
        <v>3697</v>
      </c>
      <c r="Q3061" s="1" t="s">
        <v>42</v>
      </c>
      <c r="S3061" s="1" t="s">
        <v>42</v>
      </c>
      <c r="T3061" s="1" t="s">
        <v>273</v>
      </c>
      <c r="U3061" s="1">
        <v>85</v>
      </c>
      <c r="V3061" s="5">
        <v>43630</v>
      </c>
      <c r="W3061" s="5">
        <v>42774</v>
      </c>
      <c r="X3061" s="1">
        <v>6500000</v>
      </c>
      <c r="Y3061" s="1">
        <v>6500000</v>
      </c>
      <c r="Z3061" s="5">
        <v>42859</v>
      </c>
      <c r="AA3061" s="1">
        <v>6307031</v>
      </c>
      <c r="AB3061" s="1" t="s">
        <v>1921</v>
      </c>
      <c r="AC3061" s="5">
        <v>43057</v>
      </c>
      <c r="AF3061" s="1">
        <v>10128</v>
      </c>
      <c r="AI3061" s="1" t="s">
        <v>177</v>
      </c>
      <c r="AJ3061" s="1">
        <v>1931</v>
      </c>
      <c r="AK3061" s="1" t="s">
        <v>49</v>
      </c>
      <c r="AL3061" s="1">
        <v>39</v>
      </c>
    </row>
    <row r="3062" spans="1:38" x14ac:dyDescent="0.2">
      <c r="A3062" s="2" t="str">
        <f>HYPERLINK("https://www.compass.com/listing/12-east-88th-street-unit-8b-manhattan-ny-10128/29420046291912081/","12 E 88th St, Unit 8B")</f>
        <v>12 E 88th St, Unit 8B</v>
      </c>
      <c r="B3062" s="2" t="str">
        <f t="shared" si="517"/>
        <v>12 E 88th St</v>
      </c>
      <c r="C3062" s="1" t="s">
        <v>82</v>
      </c>
      <c r="D3062" s="1" t="s">
        <v>41</v>
      </c>
      <c r="E3062" s="3">
        <v>5529098</v>
      </c>
      <c r="F3062" s="1">
        <v>2465.0459206419901</v>
      </c>
      <c r="G3062" s="1">
        <v>6</v>
      </c>
      <c r="H3062" s="1">
        <v>3</v>
      </c>
      <c r="I3062" s="1">
        <v>4</v>
      </c>
      <c r="J3062" s="1">
        <v>3.5</v>
      </c>
      <c r="M3062" s="4">
        <v>2243</v>
      </c>
      <c r="N3062" s="1">
        <v>2737</v>
      </c>
      <c r="O3062" s="1">
        <v>5732</v>
      </c>
      <c r="P3062" s="1">
        <v>2995</v>
      </c>
      <c r="Q3062" s="1" t="s">
        <v>42</v>
      </c>
      <c r="S3062" s="1" t="s">
        <v>42</v>
      </c>
      <c r="T3062" s="1" t="s">
        <v>273</v>
      </c>
      <c r="U3062" s="1">
        <v>164</v>
      </c>
      <c r="V3062" s="5">
        <v>43650</v>
      </c>
      <c r="W3062" s="5">
        <v>42631</v>
      </c>
      <c r="X3062" s="1">
        <v>5750000</v>
      </c>
      <c r="Y3062" s="1">
        <v>5750000</v>
      </c>
      <c r="Z3062" s="5">
        <v>42795</v>
      </c>
      <c r="AA3062" s="1">
        <v>5529098</v>
      </c>
      <c r="AB3062" s="1" t="s">
        <v>1922</v>
      </c>
      <c r="AC3062" s="5">
        <v>42965</v>
      </c>
      <c r="AF3062" s="1">
        <v>10128</v>
      </c>
      <c r="AI3062" s="1" t="s">
        <v>177</v>
      </c>
      <c r="AJ3062" s="1">
        <v>1931</v>
      </c>
      <c r="AK3062" s="1" t="s">
        <v>49</v>
      </c>
      <c r="AL3062" s="1">
        <v>39</v>
      </c>
    </row>
    <row r="3063" spans="1:38" x14ac:dyDescent="0.2">
      <c r="A3063" s="2" t="str">
        <f>HYPERLINK("https://www.compass.com/listing/360-east-89th-street-unit-22a-manhattan-ny-10128/29424461224715521/","360 E 89th St, Unit 22A")</f>
        <v>360 E 89th St, Unit 22A</v>
      </c>
      <c r="B3063" s="2" t="str">
        <f t="shared" ref="B3063:B3065" si="518">HYPERLINK("https://www.compass.com/building/citizen360-manhattan-ny/282052027553444853/","Citizen360")</f>
        <v>Citizen360</v>
      </c>
      <c r="C3063" s="1" t="s">
        <v>82</v>
      </c>
      <c r="D3063" s="1" t="s">
        <v>41</v>
      </c>
      <c r="E3063" s="3">
        <v>4075750</v>
      </c>
      <c r="F3063" s="1">
        <v>1989.1410444119001</v>
      </c>
      <c r="G3063" s="1">
        <v>5</v>
      </c>
      <c r="H3063" s="1">
        <v>3</v>
      </c>
      <c r="I3063" s="1">
        <v>3</v>
      </c>
      <c r="J3063" s="1">
        <v>3.5</v>
      </c>
      <c r="K3063" s="1">
        <v>3</v>
      </c>
      <c r="L3063" s="1">
        <v>1</v>
      </c>
      <c r="M3063" s="4">
        <v>2049</v>
      </c>
      <c r="N3063" s="1">
        <v>2070</v>
      </c>
      <c r="O3063" s="1">
        <v>4478</v>
      </c>
      <c r="P3063" s="1">
        <v>2408</v>
      </c>
      <c r="Q3063" s="1" t="s">
        <v>42</v>
      </c>
      <c r="S3063" s="1" t="s">
        <v>42</v>
      </c>
      <c r="T3063" s="1" t="s">
        <v>273</v>
      </c>
      <c r="U3063" s="1">
        <v>97</v>
      </c>
      <c r="V3063" s="5">
        <v>43650</v>
      </c>
      <c r="W3063" s="5">
        <v>42830</v>
      </c>
      <c r="X3063" s="1">
        <v>4200000</v>
      </c>
      <c r="Y3063" s="1">
        <v>4200000</v>
      </c>
      <c r="Z3063" s="5">
        <v>42927</v>
      </c>
      <c r="AA3063" s="1">
        <v>4075750</v>
      </c>
      <c r="AB3063" s="1" t="s">
        <v>1923</v>
      </c>
      <c r="AC3063" s="5">
        <v>43171</v>
      </c>
      <c r="AF3063" s="1">
        <v>10128</v>
      </c>
      <c r="AJ3063" s="1">
        <v>2017</v>
      </c>
      <c r="AK3063" s="1" t="s">
        <v>108</v>
      </c>
      <c r="AL3063" s="1">
        <v>82</v>
      </c>
    </row>
    <row r="3064" spans="1:38" x14ac:dyDescent="0.2">
      <c r="A3064" s="2" t="str">
        <f>HYPERLINK("https://www.compass.com/listing/360-east-89th-street-unit-26b-manhattan-ny-10128/29424464689223585/","360 E 89th St, Unit 26B")</f>
        <v>360 E 89th St, Unit 26B</v>
      </c>
      <c r="B3064" s="2" t="str">
        <f t="shared" si="518"/>
        <v>Citizen360</v>
      </c>
      <c r="C3064" s="1" t="s">
        <v>82</v>
      </c>
      <c r="D3064" s="1" t="s">
        <v>41</v>
      </c>
      <c r="E3064" s="3">
        <v>5222222</v>
      </c>
      <c r="F3064" s="1">
        <v>2160.6214315266802</v>
      </c>
      <c r="G3064" s="1">
        <v>5</v>
      </c>
      <c r="H3064" s="1">
        <v>3</v>
      </c>
      <c r="I3064" s="1">
        <v>3</v>
      </c>
      <c r="J3064" s="1">
        <v>3.5</v>
      </c>
      <c r="K3064" s="1">
        <v>3</v>
      </c>
      <c r="L3064" s="1">
        <v>1</v>
      </c>
      <c r="M3064" s="4">
        <v>2417</v>
      </c>
      <c r="N3064" s="1">
        <v>2482</v>
      </c>
      <c r="O3064" s="1">
        <v>5368</v>
      </c>
      <c r="P3064" s="1">
        <v>2886</v>
      </c>
      <c r="Q3064" s="1" t="s">
        <v>42</v>
      </c>
      <c r="S3064" s="1" t="s">
        <v>42</v>
      </c>
      <c r="T3064" s="1" t="s">
        <v>273</v>
      </c>
      <c r="U3064" s="1">
        <v>85</v>
      </c>
      <c r="V3064" s="5">
        <v>43641</v>
      </c>
      <c r="W3064" s="5">
        <v>42402</v>
      </c>
      <c r="X3064" s="1">
        <v>5175000</v>
      </c>
      <c r="Y3064" s="1">
        <v>5175000</v>
      </c>
      <c r="Z3064" s="5">
        <v>42487</v>
      </c>
      <c r="AA3064" s="1">
        <v>5222222</v>
      </c>
      <c r="AB3064" s="1" t="s">
        <v>1924</v>
      </c>
      <c r="AC3064" s="5">
        <v>43228</v>
      </c>
      <c r="AF3064" s="1">
        <v>10128</v>
      </c>
      <c r="AJ3064" s="1">
        <v>2017</v>
      </c>
      <c r="AK3064" s="1" t="s">
        <v>108</v>
      </c>
      <c r="AL3064" s="1">
        <v>82</v>
      </c>
    </row>
    <row r="3065" spans="1:38" x14ac:dyDescent="0.2">
      <c r="A3065" s="2" t="str">
        <f>HYPERLINK("https://www.compass.com/listing/360-east-89th-street-unit-27b-manhattan-ny-10128/29424465116975281/","360 E 89th St, Unit 27B")</f>
        <v>360 E 89th St, Unit 27B</v>
      </c>
      <c r="B3065" s="2" t="str">
        <f t="shared" si="518"/>
        <v>Citizen360</v>
      </c>
      <c r="C3065" s="1" t="s">
        <v>82</v>
      </c>
      <c r="D3065" s="1" t="s">
        <v>41</v>
      </c>
      <c r="E3065" s="3">
        <v>5325000</v>
      </c>
      <c r="F3065" s="1">
        <v>2203.1443938767002</v>
      </c>
      <c r="G3065" s="1">
        <v>5</v>
      </c>
      <c r="H3065" s="1">
        <v>3</v>
      </c>
      <c r="I3065" s="1">
        <v>3</v>
      </c>
      <c r="J3065" s="1">
        <v>3.5</v>
      </c>
      <c r="K3065" s="1">
        <v>3</v>
      </c>
      <c r="L3065" s="1">
        <v>1</v>
      </c>
      <c r="M3065" s="4">
        <v>2417</v>
      </c>
      <c r="N3065" s="1">
        <v>2498</v>
      </c>
      <c r="O3065" s="1">
        <v>5403</v>
      </c>
      <c r="P3065" s="1">
        <v>2905</v>
      </c>
      <c r="Q3065" s="1" t="s">
        <v>42</v>
      </c>
      <c r="S3065" s="1" t="s">
        <v>42</v>
      </c>
      <c r="T3065" s="1" t="s">
        <v>273</v>
      </c>
      <c r="U3065" s="1">
        <v>56</v>
      </c>
      <c r="V3065" s="5">
        <v>43648</v>
      </c>
      <c r="W3065" s="5">
        <v>42830</v>
      </c>
      <c r="X3065" s="1">
        <v>5325000</v>
      </c>
      <c r="Y3065" s="1">
        <v>5325000</v>
      </c>
      <c r="Z3065" s="5">
        <v>42886</v>
      </c>
      <c r="AA3065" s="1">
        <v>5325000</v>
      </c>
      <c r="AB3065" s="1" t="s">
        <v>1925</v>
      </c>
      <c r="AC3065" s="5">
        <v>43209</v>
      </c>
      <c r="AF3065" s="1">
        <v>10128</v>
      </c>
      <c r="AJ3065" s="1">
        <v>2017</v>
      </c>
      <c r="AK3065" s="1" t="s">
        <v>108</v>
      </c>
      <c r="AL3065" s="1">
        <v>82</v>
      </c>
    </row>
    <row r="3066" spans="1:38" x14ac:dyDescent="0.2">
      <c r="A3066" s="2" t="str">
        <f>HYPERLINK("https://www.compass.com/listing/90-lexington-avenue-unit-9c-manhattan-ny-10016/29378555842512753/","90 Lexington Ave, Unit 9C")</f>
        <v>90 Lexington Ave, Unit 9C</v>
      </c>
      <c r="B3066" s="2" t="str">
        <f>HYPERLINK("https://www.compass.com/building/88-90-lexington-avenue-manhattan-ny/281941431524842901/","88 &amp; 90 Lexington Avenue")</f>
        <v>88 &amp; 90 Lexington Avenue</v>
      </c>
      <c r="C3066" s="1" t="s">
        <v>40</v>
      </c>
      <c r="D3066" s="1" t="s">
        <v>41</v>
      </c>
      <c r="E3066" s="3">
        <v>4482984</v>
      </c>
      <c r="F3066" s="1">
        <v>2213.81925925925</v>
      </c>
      <c r="G3066" s="1">
        <v>6</v>
      </c>
      <c r="H3066" s="1">
        <v>3</v>
      </c>
      <c r="I3066" s="1">
        <v>4</v>
      </c>
      <c r="J3066" s="1">
        <v>4</v>
      </c>
      <c r="K3066" s="1">
        <v>4</v>
      </c>
      <c r="M3066" s="4">
        <v>2025</v>
      </c>
      <c r="N3066" s="1">
        <v>2219</v>
      </c>
      <c r="O3066" s="1">
        <v>5932</v>
      </c>
      <c r="P3066" s="1">
        <v>3713</v>
      </c>
      <c r="Q3066" s="1" t="s">
        <v>42</v>
      </c>
      <c r="S3066" s="1" t="s">
        <v>42</v>
      </c>
      <c r="T3066" s="1" t="s">
        <v>273</v>
      </c>
      <c r="U3066" s="1">
        <v>258</v>
      </c>
      <c r="V3066" s="5">
        <v>43659</v>
      </c>
      <c r="W3066" s="5">
        <v>42718</v>
      </c>
      <c r="X3066" s="1">
        <v>4729000</v>
      </c>
      <c r="Y3066" s="1">
        <v>4729000</v>
      </c>
      <c r="Z3066" s="5">
        <v>42976</v>
      </c>
      <c r="AA3066" s="1">
        <v>4482984</v>
      </c>
      <c r="AB3066" s="1" t="s">
        <v>1926</v>
      </c>
      <c r="AC3066" s="5">
        <v>42987</v>
      </c>
      <c r="AF3066" s="1">
        <v>10016</v>
      </c>
      <c r="AI3066" s="1" t="s">
        <v>118</v>
      </c>
      <c r="AJ3066" s="1">
        <v>1957</v>
      </c>
      <c r="AK3066" s="1" t="s">
        <v>46</v>
      </c>
      <c r="AL3066" s="1">
        <v>49</v>
      </c>
    </row>
    <row r="3067" spans="1:38" x14ac:dyDescent="0.2">
      <c r="A3067" s="2" t="str">
        <f>HYPERLINK("https://www.compass.com/listing/1-west-end-avenue-unit-27c-manhattan-ny-10023/351288103787977121/","1 W End Ave, Unit 27C")</f>
        <v>1 W End Ave, Unit 27C</v>
      </c>
      <c r="B3067" s="2" t="str">
        <f>HYPERLINK("https://www.compass.com/building/1-w-end-ave-manhattan-ny-10023/455676159137755317/","1 W End Ave")</f>
        <v>1 W End Ave</v>
      </c>
      <c r="C3067" s="1" t="s">
        <v>57</v>
      </c>
      <c r="D3067" s="1" t="s">
        <v>41</v>
      </c>
      <c r="E3067" s="3">
        <v>3900000</v>
      </c>
      <c r="F3067" s="1">
        <v>1939.3336648433601</v>
      </c>
      <c r="G3067" s="1">
        <v>5</v>
      </c>
      <c r="H3067" s="1">
        <v>3</v>
      </c>
      <c r="I3067" s="1">
        <v>4</v>
      </c>
      <c r="J3067" s="1">
        <v>3.5</v>
      </c>
      <c r="K3067" s="1">
        <v>3</v>
      </c>
      <c r="L3067" s="1">
        <v>1</v>
      </c>
      <c r="M3067" s="4">
        <v>2011</v>
      </c>
      <c r="N3067" s="1">
        <v>2431</v>
      </c>
      <c r="O3067" s="1">
        <v>2431</v>
      </c>
      <c r="Q3067" s="1" t="s">
        <v>42</v>
      </c>
      <c r="S3067" s="1" t="s">
        <v>42</v>
      </c>
      <c r="T3067" s="1" t="s">
        <v>273</v>
      </c>
      <c r="U3067" s="1">
        <v>141</v>
      </c>
      <c r="V3067" s="5">
        <v>43946</v>
      </c>
      <c r="W3067" s="5">
        <v>43735</v>
      </c>
      <c r="X3067" s="1">
        <v>4350000</v>
      </c>
      <c r="Y3067" s="1">
        <v>3995000</v>
      </c>
      <c r="Z3067" s="5">
        <v>43877</v>
      </c>
      <c r="AA3067" s="1">
        <v>3900000</v>
      </c>
      <c r="AB3067" s="1" t="s">
        <v>1927</v>
      </c>
      <c r="AC3067" s="5">
        <v>43943</v>
      </c>
      <c r="AF3067" s="1">
        <v>10023</v>
      </c>
      <c r="AI3067" s="1" t="s">
        <v>60</v>
      </c>
      <c r="AJ3067" s="1">
        <v>2017</v>
      </c>
      <c r="AK3067" s="1" t="s">
        <v>55</v>
      </c>
      <c r="AL3067" s="1">
        <v>246</v>
      </c>
    </row>
    <row r="3068" spans="1:38" x14ac:dyDescent="0.2">
      <c r="A3068" s="2" t="str">
        <f>HYPERLINK("https://www.compass.com/listing/88-lexington-avenue-unit-401-manhattan-ny-10016/29378558501701521/","88 Lexington Ave, Unit 401")</f>
        <v>88 Lexington Ave, Unit 401</v>
      </c>
      <c r="B3068" s="2" t="str">
        <f t="shared" ref="B3068:B3070" si="519">HYPERLINK("https://www.compass.com/building/88-90-lexington-avenue-manhattan-ny/281903945159296309/","88 &amp; 90 Lexington Avenue")</f>
        <v>88 &amp; 90 Lexington Avenue</v>
      </c>
      <c r="C3068" s="1" t="s">
        <v>40</v>
      </c>
      <c r="D3068" s="1" t="s">
        <v>41</v>
      </c>
      <c r="E3068" s="3">
        <v>2860122</v>
      </c>
      <c r="F3068" s="1">
        <v>1836.9441233140601</v>
      </c>
      <c r="G3068" s="1">
        <v>4</v>
      </c>
      <c r="H3068" s="1">
        <v>2</v>
      </c>
      <c r="I3068" s="1">
        <v>2</v>
      </c>
      <c r="J3068" s="1">
        <v>2</v>
      </c>
      <c r="K3068" s="1">
        <v>2</v>
      </c>
      <c r="M3068" s="4">
        <v>1557</v>
      </c>
      <c r="N3068" s="1">
        <v>1206</v>
      </c>
      <c r="O3068" s="1">
        <v>2502</v>
      </c>
      <c r="P3068" s="1">
        <v>1296</v>
      </c>
      <c r="Q3068" s="1" t="s">
        <v>42</v>
      </c>
      <c r="S3068" s="1" t="s">
        <v>42</v>
      </c>
      <c r="T3068" s="1" t="s">
        <v>273</v>
      </c>
      <c r="U3068" s="1">
        <v>32</v>
      </c>
      <c r="V3068" s="5">
        <v>43676</v>
      </c>
      <c r="W3068" s="5">
        <v>42342</v>
      </c>
      <c r="X3068" s="1">
        <v>2890000</v>
      </c>
      <c r="Y3068" s="1">
        <v>2890000</v>
      </c>
      <c r="Z3068" s="5">
        <v>42374</v>
      </c>
      <c r="AA3068" s="1">
        <v>2860122</v>
      </c>
      <c r="AB3068" s="1" t="s">
        <v>1928</v>
      </c>
      <c r="AC3068" s="5">
        <v>42536</v>
      </c>
      <c r="AF3068" s="1">
        <v>10016</v>
      </c>
      <c r="AI3068" s="1" t="s">
        <v>78</v>
      </c>
      <c r="AJ3068" s="1">
        <v>1927</v>
      </c>
      <c r="AK3068" s="1" t="s">
        <v>46</v>
      </c>
      <c r="AL3068" s="1">
        <v>70</v>
      </c>
    </row>
    <row r="3069" spans="1:38" x14ac:dyDescent="0.2">
      <c r="A3069" s="2" t="str">
        <f>HYPERLINK("https://www.compass.com/listing/88-lexington-avenue-unit-504-manhattan-ny-10016/29378559214656449/","88 Lexington Ave, Unit 504")</f>
        <v>88 Lexington Ave, Unit 504</v>
      </c>
      <c r="B3069" s="2" t="str">
        <f t="shared" si="519"/>
        <v>88 &amp; 90 Lexington Avenue</v>
      </c>
      <c r="C3069" s="1" t="s">
        <v>40</v>
      </c>
      <c r="D3069" s="1" t="s">
        <v>41</v>
      </c>
      <c r="E3069" s="3">
        <v>1775547</v>
      </c>
      <c r="F3069" s="1">
        <v>1654.7502329916099</v>
      </c>
      <c r="G3069" s="1">
        <v>3</v>
      </c>
      <c r="H3069" s="1">
        <v>1</v>
      </c>
      <c r="I3069" s="1">
        <v>2</v>
      </c>
      <c r="J3069" s="1">
        <v>2</v>
      </c>
      <c r="K3069" s="1">
        <v>2</v>
      </c>
      <c r="M3069" s="4">
        <v>1073</v>
      </c>
      <c r="N3069" s="1">
        <v>867</v>
      </c>
      <c r="O3069" s="1">
        <v>1799</v>
      </c>
      <c r="P3069" s="1">
        <v>932</v>
      </c>
      <c r="Q3069" s="1" t="s">
        <v>42</v>
      </c>
      <c r="S3069" s="1" t="s">
        <v>42</v>
      </c>
      <c r="T3069" s="1" t="s">
        <v>273</v>
      </c>
      <c r="U3069" s="1">
        <v>531</v>
      </c>
      <c r="V3069" s="5">
        <v>43662</v>
      </c>
      <c r="W3069" s="5">
        <v>42325</v>
      </c>
      <c r="X3069" s="1">
        <v>1800000</v>
      </c>
      <c r="Y3069" s="1">
        <v>1800000</v>
      </c>
      <c r="AA3069" s="1">
        <v>1775547</v>
      </c>
      <c r="AB3069" s="1" t="s">
        <v>1929</v>
      </c>
      <c r="AC3069" s="5">
        <v>42857</v>
      </c>
      <c r="AF3069" s="1">
        <v>10016</v>
      </c>
      <c r="AI3069" s="1" t="s">
        <v>78</v>
      </c>
      <c r="AJ3069" s="1">
        <v>1927</v>
      </c>
      <c r="AK3069" s="1" t="s">
        <v>46</v>
      </c>
      <c r="AL3069" s="1">
        <v>70</v>
      </c>
    </row>
    <row r="3070" spans="1:38" x14ac:dyDescent="0.2">
      <c r="A3070" s="2" t="str">
        <f>HYPERLINK("https://www.compass.com/listing/88-lexington-avenue-unit-604-manhattan-ny-10016/29507143598182977/","88 Lexington Ave, Unit 604")</f>
        <v>88 Lexington Ave, Unit 604</v>
      </c>
      <c r="B3070" s="2" t="str">
        <f t="shared" si="519"/>
        <v>88 &amp; 90 Lexington Avenue</v>
      </c>
      <c r="C3070" s="1" t="s">
        <v>40</v>
      </c>
      <c r="D3070" s="1" t="s">
        <v>41</v>
      </c>
      <c r="E3070" s="3">
        <v>1915430</v>
      </c>
      <c r="F3070" s="1">
        <v>1780.13940520446</v>
      </c>
      <c r="G3070" s="1">
        <v>4</v>
      </c>
      <c r="H3070" s="1">
        <v>1</v>
      </c>
      <c r="I3070" s="1">
        <v>2</v>
      </c>
      <c r="J3070" s="1">
        <v>2</v>
      </c>
      <c r="K3070" s="1">
        <v>2</v>
      </c>
      <c r="M3070" s="4">
        <v>1076</v>
      </c>
      <c r="N3070" s="1">
        <v>1066</v>
      </c>
      <c r="O3070" s="1">
        <v>2893</v>
      </c>
      <c r="P3070" s="1">
        <v>1827</v>
      </c>
      <c r="Q3070" s="1" t="s">
        <v>42</v>
      </c>
      <c r="S3070" s="1" t="s">
        <v>42</v>
      </c>
      <c r="T3070" s="1" t="s">
        <v>273</v>
      </c>
      <c r="U3070" s="1">
        <v>142</v>
      </c>
      <c r="V3070" s="5">
        <v>43659</v>
      </c>
      <c r="W3070" s="5">
        <v>42893</v>
      </c>
      <c r="X3070" s="1">
        <v>2100000</v>
      </c>
      <c r="Y3070" s="1">
        <v>2100000</v>
      </c>
      <c r="Z3070" s="5">
        <v>43218</v>
      </c>
      <c r="AA3070" s="1">
        <v>1915430</v>
      </c>
      <c r="AB3070" s="1" t="s">
        <v>1930</v>
      </c>
      <c r="AC3070" s="5">
        <v>43302</v>
      </c>
      <c r="AF3070" s="1">
        <v>10016</v>
      </c>
      <c r="AI3070" s="1" t="s">
        <v>78</v>
      </c>
      <c r="AJ3070" s="1">
        <v>1927</v>
      </c>
      <c r="AK3070" s="1" t="s">
        <v>46</v>
      </c>
      <c r="AL3070" s="1">
        <v>70</v>
      </c>
    </row>
    <row r="3071" spans="1:38" x14ac:dyDescent="0.2">
      <c r="A3071" s="2" t="str">
        <f>HYPERLINK("https://www.compass.com/listing/90-lexington-avenue-unit-4b-manhattan-ny-10016/29378548879897137/","90 Lexington Ave, Unit 4B")</f>
        <v>90 Lexington Ave, Unit 4B</v>
      </c>
      <c r="B3071" s="2" t="str">
        <f t="shared" ref="B3071:B3072" si="520">HYPERLINK("https://www.compass.com/building/88-90-lexington-avenue-manhattan-ny/281941431524842901/","88 &amp; 90 Lexington Avenue")</f>
        <v>88 &amp; 90 Lexington Avenue</v>
      </c>
      <c r="C3071" s="1" t="s">
        <v>40</v>
      </c>
      <c r="D3071" s="1" t="s">
        <v>41</v>
      </c>
      <c r="E3071" s="3">
        <v>2945856</v>
      </c>
      <c r="F3071" s="1">
        <v>1914.13645224171</v>
      </c>
      <c r="G3071" s="1">
        <v>5</v>
      </c>
      <c r="H3071" s="1">
        <v>2</v>
      </c>
      <c r="I3071" s="1">
        <v>2</v>
      </c>
      <c r="J3071" s="1">
        <v>2.5</v>
      </c>
      <c r="K3071" s="1">
        <v>2</v>
      </c>
      <c r="L3071" s="1">
        <v>1</v>
      </c>
      <c r="M3071" s="4">
        <v>1539</v>
      </c>
      <c r="N3071" s="1">
        <v>1632</v>
      </c>
      <c r="O3071" s="1">
        <v>3237</v>
      </c>
      <c r="P3071" s="1">
        <v>1605</v>
      </c>
      <c r="Q3071" s="1" t="s">
        <v>42</v>
      </c>
      <c r="S3071" s="1" t="s">
        <v>42</v>
      </c>
      <c r="T3071" s="1" t="s">
        <v>273</v>
      </c>
      <c r="U3071" s="1">
        <v>165</v>
      </c>
      <c r="V3071" s="5">
        <v>43668</v>
      </c>
      <c r="W3071" s="5">
        <v>42321</v>
      </c>
      <c r="X3071" s="1">
        <v>2980000</v>
      </c>
      <c r="Y3071" s="1">
        <v>2980000</v>
      </c>
      <c r="Z3071" s="5">
        <v>42486</v>
      </c>
      <c r="AA3071" s="1">
        <v>2945856</v>
      </c>
      <c r="AB3071" s="1" t="s">
        <v>1931</v>
      </c>
      <c r="AC3071" s="5">
        <v>42755</v>
      </c>
      <c r="AF3071" s="1">
        <v>10016</v>
      </c>
      <c r="AI3071" s="1" t="s">
        <v>122</v>
      </c>
      <c r="AJ3071" s="1">
        <v>1957</v>
      </c>
      <c r="AK3071" s="1" t="s">
        <v>46</v>
      </c>
      <c r="AL3071" s="1">
        <v>49</v>
      </c>
    </row>
    <row r="3072" spans="1:38" x14ac:dyDescent="0.2">
      <c r="A3072" s="2" t="str">
        <f>HYPERLINK("https://www.compass.com/listing/90-lexington-avenue-unit-3b-manhattan-ny-10016/801615854558849697/","90 Lexington Ave, Unit 3B")</f>
        <v>90 Lexington Ave, Unit 3B</v>
      </c>
      <c r="B3072" s="2" t="str">
        <f t="shared" si="520"/>
        <v>88 &amp; 90 Lexington Avenue</v>
      </c>
      <c r="C3072" s="1" t="s">
        <v>40</v>
      </c>
      <c r="D3072" s="1" t="s">
        <v>41</v>
      </c>
      <c r="E3072" s="3">
        <v>2847090</v>
      </c>
      <c r="F3072" s="1">
        <v>1836.83244516129</v>
      </c>
      <c r="G3072" s="1">
        <v>5</v>
      </c>
      <c r="H3072" s="1">
        <v>2</v>
      </c>
      <c r="I3072" s="1">
        <v>2</v>
      </c>
      <c r="J3072" s="1">
        <v>2</v>
      </c>
      <c r="K3072" s="1">
        <v>2</v>
      </c>
      <c r="M3072" s="4">
        <v>1550</v>
      </c>
      <c r="N3072" s="1">
        <v>1635</v>
      </c>
      <c r="O3072" s="1">
        <v>3244</v>
      </c>
      <c r="P3072" s="1">
        <v>1609</v>
      </c>
      <c r="Q3072" s="1" t="s">
        <v>42</v>
      </c>
      <c r="S3072" s="1" t="s">
        <v>42</v>
      </c>
      <c r="T3072" s="1" t="s">
        <v>273</v>
      </c>
      <c r="U3072" s="1">
        <v>556</v>
      </c>
      <c r="V3072" s="5">
        <v>42745</v>
      </c>
      <c r="W3072" s="5">
        <v>41936</v>
      </c>
      <c r="X3072" s="1">
        <v>2847090</v>
      </c>
      <c r="Y3072" s="1">
        <v>2935000</v>
      </c>
      <c r="Z3072" s="5">
        <v>42493</v>
      </c>
      <c r="AA3072" s="1">
        <v>2847090.29</v>
      </c>
      <c r="AB3072" s="1" t="s">
        <v>1919</v>
      </c>
      <c r="AC3072" s="5">
        <v>42725</v>
      </c>
      <c r="AF3072" s="1">
        <v>10016</v>
      </c>
      <c r="AI3072" s="1" t="s">
        <v>122</v>
      </c>
      <c r="AJ3072" s="1">
        <v>1957</v>
      </c>
      <c r="AK3072" s="1" t="s">
        <v>46</v>
      </c>
      <c r="AL3072" s="1">
        <v>49</v>
      </c>
    </row>
    <row r="3073" spans="1:38" x14ac:dyDescent="0.2">
      <c r="A3073" s="2" t="str">
        <f>HYPERLINK("https://www.compass.com/listing/360-east-89th-street-unit-7b-manhattan-ny-10128/25369601365869505/","360 E 89th St, Unit 7B")</f>
        <v>360 E 89th St, Unit 7B</v>
      </c>
      <c r="B3073" s="2" t="str">
        <f t="shared" ref="B3073:B3077" si="521">HYPERLINK("https://www.compass.com/building/citizen360-manhattan-ny/282052027553444853/","Citizen360")</f>
        <v>Citizen360</v>
      </c>
      <c r="C3073" s="1" t="s">
        <v>82</v>
      </c>
      <c r="D3073" s="1" t="s">
        <v>41</v>
      </c>
      <c r="E3073" s="3">
        <v>2273448</v>
      </c>
      <c r="F3073" s="1">
        <v>1603.2778561354</v>
      </c>
      <c r="G3073" s="1">
        <v>4</v>
      </c>
      <c r="H3073" s="1">
        <v>2</v>
      </c>
      <c r="I3073" s="1">
        <v>2</v>
      </c>
      <c r="J3073" s="1">
        <v>2</v>
      </c>
      <c r="K3073" s="1">
        <v>2</v>
      </c>
      <c r="M3073" s="4">
        <v>1418</v>
      </c>
      <c r="N3073" s="1">
        <v>1341</v>
      </c>
      <c r="O3073" s="1">
        <v>2901</v>
      </c>
      <c r="P3073" s="1">
        <v>1560</v>
      </c>
      <c r="Q3073" s="1" t="s">
        <v>42</v>
      </c>
      <c r="S3073" s="1" t="s">
        <v>42</v>
      </c>
      <c r="T3073" s="1" t="s">
        <v>273</v>
      </c>
      <c r="V3073" s="5">
        <v>43661</v>
      </c>
      <c r="W3073" s="5">
        <v>43134</v>
      </c>
      <c r="X3073" s="1">
        <v>2265000</v>
      </c>
      <c r="Y3073" s="1">
        <v>2265000</v>
      </c>
      <c r="Z3073" s="5">
        <v>43134</v>
      </c>
      <c r="AA3073" s="1">
        <v>2273448</v>
      </c>
      <c r="AB3073" s="1" t="s">
        <v>1932</v>
      </c>
      <c r="AC3073" s="5">
        <v>43285</v>
      </c>
      <c r="AF3073" s="1">
        <v>10128</v>
      </c>
      <c r="AJ3073" s="1">
        <v>2017</v>
      </c>
      <c r="AK3073" s="1" t="s">
        <v>108</v>
      </c>
      <c r="AL3073" s="1">
        <v>82</v>
      </c>
    </row>
    <row r="3074" spans="1:38" x14ac:dyDescent="0.2">
      <c r="A3074" s="2" t="str">
        <f>HYPERLINK("https://www.compass.com/listing/360-east-89th-street-unit-4b-manhattan-ny-10128/29424444984370145/","360 E 89th St, Unit 4B")</f>
        <v>360 E 89th St, Unit 4B</v>
      </c>
      <c r="B3074" s="2" t="str">
        <f t="shared" si="521"/>
        <v>Citizen360</v>
      </c>
      <c r="C3074" s="1" t="s">
        <v>82</v>
      </c>
      <c r="D3074" s="1" t="s">
        <v>41</v>
      </c>
      <c r="E3074" s="3">
        <v>2100000</v>
      </c>
      <c r="F3074" s="1">
        <v>1480.95909732016</v>
      </c>
      <c r="G3074" s="1">
        <v>4</v>
      </c>
      <c r="H3074" s="1">
        <v>2</v>
      </c>
      <c r="I3074" s="1">
        <v>2</v>
      </c>
      <c r="J3074" s="1">
        <v>2</v>
      </c>
      <c r="K3074" s="1">
        <v>2</v>
      </c>
      <c r="M3074" s="4">
        <v>1418</v>
      </c>
      <c r="N3074" s="1">
        <v>1321</v>
      </c>
      <c r="O3074" s="1">
        <v>2858</v>
      </c>
      <c r="P3074" s="1">
        <v>1537</v>
      </c>
      <c r="Q3074" s="1" t="s">
        <v>42</v>
      </c>
      <c r="S3074" s="1" t="s">
        <v>42</v>
      </c>
      <c r="T3074" s="1" t="s">
        <v>273</v>
      </c>
      <c r="U3074" s="1">
        <v>51</v>
      </c>
      <c r="V3074" s="5">
        <v>43647</v>
      </c>
      <c r="W3074" s="5">
        <v>43167</v>
      </c>
      <c r="X3074" s="1">
        <v>2190000</v>
      </c>
      <c r="Y3074" s="1">
        <v>2190000</v>
      </c>
      <c r="Z3074" s="5">
        <v>43218</v>
      </c>
      <c r="AA3074" s="1">
        <v>2100000</v>
      </c>
      <c r="AB3074" s="1" t="s">
        <v>1933</v>
      </c>
      <c r="AC3074" s="5">
        <v>43263</v>
      </c>
      <c r="AF3074" s="1">
        <v>10128</v>
      </c>
      <c r="AJ3074" s="1">
        <v>2017</v>
      </c>
      <c r="AK3074" s="1" t="s">
        <v>46</v>
      </c>
      <c r="AL3074" s="1">
        <v>82</v>
      </c>
    </row>
    <row r="3075" spans="1:38" x14ac:dyDescent="0.2">
      <c r="A3075" s="2" t="str">
        <f>HYPERLINK("https://www.compass.com/listing/360-east-89th-street-unit-4d-manhattan-ny-10128/29424446024503217/","360 E 89th St, Unit 4D")</f>
        <v>360 E 89th St, Unit 4D</v>
      </c>
      <c r="B3075" s="2" t="str">
        <f t="shared" si="521"/>
        <v>Citizen360</v>
      </c>
      <c r="C3075" s="1" t="s">
        <v>82</v>
      </c>
      <c r="D3075" s="1" t="s">
        <v>41</v>
      </c>
      <c r="E3075" s="3">
        <v>2070000</v>
      </c>
      <c r="F3075" s="1">
        <v>1486.00143575017</v>
      </c>
      <c r="G3075" s="1">
        <v>4</v>
      </c>
      <c r="H3075" s="1">
        <v>2</v>
      </c>
      <c r="I3075" s="1">
        <v>2</v>
      </c>
      <c r="J3075" s="1">
        <v>2</v>
      </c>
      <c r="K3075" s="1">
        <v>2</v>
      </c>
      <c r="M3075" s="4">
        <v>1393</v>
      </c>
      <c r="N3075" s="1">
        <v>1298</v>
      </c>
      <c r="O3075" s="1">
        <v>2808</v>
      </c>
      <c r="P3075" s="1">
        <v>1510</v>
      </c>
      <c r="Q3075" s="1" t="s">
        <v>42</v>
      </c>
      <c r="S3075" s="1" t="s">
        <v>42</v>
      </c>
      <c r="T3075" s="1" t="s">
        <v>273</v>
      </c>
      <c r="U3075" s="1">
        <v>119</v>
      </c>
      <c r="V3075" s="5">
        <v>43641</v>
      </c>
      <c r="W3075" s="5">
        <v>43062</v>
      </c>
      <c r="X3075" s="1">
        <v>2140000</v>
      </c>
      <c r="Y3075" s="1">
        <v>2140000</v>
      </c>
      <c r="Z3075" s="5">
        <v>43181</v>
      </c>
      <c r="AA3075" s="1">
        <v>2070000</v>
      </c>
      <c r="AB3075" s="1" t="s">
        <v>1934</v>
      </c>
      <c r="AC3075" s="5">
        <v>43264</v>
      </c>
      <c r="AF3075" s="1">
        <v>10128</v>
      </c>
      <c r="AJ3075" s="1">
        <v>2017</v>
      </c>
      <c r="AK3075" s="1" t="s">
        <v>46</v>
      </c>
      <c r="AL3075" s="1">
        <v>82</v>
      </c>
    </row>
    <row r="3076" spans="1:38" x14ac:dyDescent="0.2">
      <c r="A3076" s="2" t="str">
        <f>HYPERLINK("https://www.compass.com/listing/360-east-89th-street-unit-9b-manhattan-ny-10128/29424451854653169/","360 E 89th St, Unit 9B")</f>
        <v>360 E 89th St, Unit 9B</v>
      </c>
      <c r="B3076" s="2" t="str">
        <f t="shared" si="521"/>
        <v>Citizen360</v>
      </c>
      <c r="C3076" s="1" t="s">
        <v>82</v>
      </c>
      <c r="D3076" s="1" t="s">
        <v>41</v>
      </c>
      <c r="E3076" s="3">
        <v>2250000</v>
      </c>
      <c r="F3076" s="1">
        <v>1495.0166112956799</v>
      </c>
      <c r="G3076" s="1">
        <v>4</v>
      </c>
      <c r="H3076" s="1">
        <v>2</v>
      </c>
      <c r="I3076" s="1">
        <v>2</v>
      </c>
      <c r="J3076" s="1">
        <v>2</v>
      </c>
      <c r="K3076" s="1">
        <v>2</v>
      </c>
      <c r="M3076" s="4">
        <v>1505</v>
      </c>
      <c r="N3076" s="1">
        <v>1438</v>
      </c>
      <c r="O3076" s="1">
        <v>3110</v>
      </c>
      <c r="P3076" s="1">
        <v>1672</v>
      </c>
      <c r="Q3076" s="1" t="s">
        <v>42</v>
      </c>
      <c r="S3076" s="1" t="s">
        <v>42</v>
      </c>
      <c r="T3076" s="1" t="s">
        <v>273</v>
      </c>
      <c r="U3076" s="1">
        <v>104</v>
      </c>
      <c r="V3076" s="5">
        <v>43670</v>
      </c>
      <c r="W3076" s="5">
        <v>42671</v>
      </c>
      <c r="X3076" s="1">
        <v>2250000</v>
      </c>
      <c r="Y3076" s="1">
        <v>2250000</v>
      </c>
      <c r="Z3076" s="5">
        <v>42775</v>
      </c>
      <c r="AA3076" s="1">
        <v>2250000</v>
      </c>
      <c r="AB3076" s="1" t="s">
        <v>1935</v>
      </c>
      <c r="AC3076" s="5">
        <v>43087</v>
      </c>
      <c r="AF3076" s="1">
        <v>10128</v>
      </c>
      <c r="AJ3076" s="1">
        <v>2017</v>
      </c>
      <c r="AK3076" s="1" t="s">
        <v>108</v>
      </c>
      <c r="AL3076" s="1">
        <v>82</v>
      </c>
    </row>
    <row r="3077" spans="1:38" x14ac:dyDescent="0.2">
      <c r="A3077" s="2" t="str">
        <f>HYPERLINK("https://www.compass.com/listing/360-east-89th-street-unit-7d-manhattan-ny-10128/29514382689994465/","360 E 89th St, Unit 7D")</f>
        <v>360 E 89th St, Unit 7D</v>
      </c>
      <c r="B3077" s="2" t="str">
        <f t="shared" si="521"/>
        <v>Citizen360</v>
      </c>
      <c r="C3077" s="1" t="s">
        <v>82</v>
      </c>
      <c r="D3077" s="1" t="s">
        <v>41</v>
      </c>
      <c r="E3077" s="3">
        <v>2150000</v>
      </c>
      <c r="F3077" s="1">
        <v>1543.43144292893</v>
      </c>
      <c r="G3077" s="1">
        <v>4</v>
      </c>
      <c r="H3077" s="1">
        <v>2</v>
      </c>
      <c r="I3077" s="1">
        <v>2</v>
      </c>
      <c r="J3077" s="1">
        <v>2</v>
      </c>
      <c r="K3077" s="1">
        <v>2</v>
      </c>
      <c r="M3077" s="4">
        <v>1393</v>
      </c>
      <c r="N3077" s="1">
        <v>1317</v>
      </c>
      <c r="O3077" s="1">
        <v>2849</v>
      </c>
      <c r="P3077" s="1">
        <v>1532</v>
      </c>
      <c r="Q3077" s="1" t="s">
        <v>42</v>
      </c>
      <c r="S3077" s="1" t="s">
        <v>42</v>
      </c>
      <c r="T3077" s="1" t="s">
        <v>273</v>
      </c>
      <c r="U3077" s="1">
        <v>37</v>
      </c>
      <c r="V3077" s="5">
        <v>43647</v>
      </c>
      <c r="W3077" s="5">
        <v>43181</v>
      </c>
      <c r="X3077" s="1">
        <v>2215000</v>
      </c>
      <c r="Y3077" s="1">
        <v>2215000</v>
      </c>
      <c r="Z3077" s="5">
        <v>43218</v>
      </c>
      <c r="AA3077" s="1">
        <v>2150000</v>
      </c>
      <c r="AB3077" s="1" t="s">
        <v>1936</v>
      </c>
      <c r="AC3077" s="5">
        <v>43305</v>
      </c>
      <c r="AF3077" s="1">
        <v>10128</v>
      </c>
      <c r="AJ3077" s="1">
        <v>2017</v>
      </c>
      <c r="AK3077" s="1" t="s">
        <v>46</v>
      </c>
      <c r="AL3077" s="1">
        <v>82</v>
      </c>
    </row>
    <row r="3078" spans="1:38" x14ac:dyDescent="0.2">
      <c r="A3078" s="2" t="str">
        <f>HYPERLINK("https://www.compass.com/listing/88-lexington-avenue-unit-1006-manhattan-ny-10016/29378568760898417/","88 Lexington Ave, Unit 1006")</f>
        <v>88 Lexington Ave, Unit 1006</v>
      </c>
      <c r="B3078" s="2" t="str">
        <f>HYPERLINK("https://www.compass.com/building/88-90-lexington-avenue-manhattan-ny/281903945159296309/","88 &amp; 90 Lexington Avenue")</f>
        <v>88 &amp; 90 Lexington Avenue</v>
      </c>
      <c r="C3078" s="1" t="s">
        <v>40</v>
      </c>
      <c r="D3078" s="1" t="s">
        <v>41</v>
      </c>
      <c r="E3078" s="3">
        <v>3001855</v>
      </c>
      <c r="F3078" s="1">
        <v>2007.9297658862799</v>
      </c>
      <c r="G3078" s="1">
        <v>4</v>
      </c>
      <c r="H3078" s="1">
        <v>2</v>
      </c>
      <c r="I3078" s="1">
        <v>2</v>
      </c>
      <c r="J3078" s="1">
        <v>2</v>
      </c>
      <c r="K3078" s="1">
        <v>2</v>
      </c>
      <c r="M3078" s="4">
        <v>1495</v>
      </c>
      <c r="N3078" s="1">
        <v>1441</v>
      </c>
      <c r="O3078" s="1">
        <v>3238</v>
      </c>
      <c r="P3078" s="1">
        <v>1797</v>
      </c>
      <c r="Q3078" s="1" t="s">
        <v>42</v>
      </c>
      <c r="S3078" s="1" t="s">
        <v>42</v>
      </c>
      <c r="T3078" s="1" t="s">
        <v>273</v>
      </c>
      <c r="V3078" s="5">
        <v>43675</v>
      </c>
      <c r="W3078" s="5">
        <v>42543</v>
      </c>
      <c r="X3078" s="1">
        <v>3100000</v>
      </c>
      <c r="Y3078" s="1">
        <v>3100000</v>
      </c>
      <c r="Z3078" s="5">
        <v>42543</v>
      </c>
      <c r="AA3078" s="1">
        <v>3001855</v>
      </c>
      <c r="AB3078" s="1" t="s">
        <v>1937</v>
      </c>
      <c r="AC3078" s="5">
        <v>42675</v>
      </c>
      <c r="AF3078" s="1">
        <v>10016</v>
      </c>
      <c r="AI3078" s="1" t="s">
        <v>78</v>
      </c>
      <c r="AJ3078" s="1">
        <v>1927</v>
      </c>
      <c r="AK3078" s="1" t="s">
        <v>46</v>
      </c>
      <c r="AL3078" s="1">
        <v>70</v>
      </c>
    </row>
    <row r="3079" spans="1:38" x14ac:dyDescent="0.2">
      <c r="A3079" s="2" t="str">
        <f>HYPERLINK("https://www.compass.com/listing/90-lexington-avenue-unit-phc-manhattan-ny-10016/29508779292800945/","90 Lexington Ave, Unit PHC")</f>
        <v>90 Lexington Ave, Unit PHC</v>
      </c>
      <c r="B3079" s="2" t="str">
        <f>HYPERLINK("https://www.compass.com/building/88-90-lexington-avenue-manhattan-ny/281941431524842901/","88 &amp; 90 Lexington Avenue")</f>
        <v>88 &amp; 90 Lexington Avenue</v>
      </c>
      <c r="C3079" s="1" t="s">
        <v>40</v>
      </c>
      <c r="D3079" s="1" t="s">
        <v>41</v>
      </c>
      <c r="E3079" s="3">
        <v>5236177</v>
      </c>
      <c r="F3079" s="1">
        <v>2818.1792249730802</v>
      </c>
      <c r="G3079" s="1">
        <v>5</v>
      </c>
      <c r="H3079" s="1">
        <v>3</v>
      </c>
      <c r="I3079" s="1">
        <v>4</v>
      </c>
      <c r="J3079" s="1">
        <v>3.5</v>
      </c>
      <c r="K3079" s="1">
        <v>3</v>
      </c>
      <c r="L3079" s="1">
        <v>1</v>
      </c>
      <c r="M3079" s="4">
        <v>1858</v>
      </c>
      <c r="N3079" s="1">
        <v>2238</v>
      </c>
      <c r="O3079" s="1">
        <v>6030</v>
      </c>
      <c r="P3079" s="1">
        <v>3792</v>
      </c>
      <c r="Q3079" s="1" t="s">
        <v>42</v>
      </c>
      <c r="S3079" s="1" t="s">
        <v>42</v>
      </c>
      <c r="T3079" s="1" t="s">
        <v>273</v>
      </c>
      <c r="V3079" s="5">
        <v>43651</v>
      </c>
      <c r="W3079" s="5">
        <v>43280</v>
      </c>
      <c r="X3079" s="1">
        <v>5600000</v>
      </c>
      <c r="Y3079" s="1">
        <v>5600000</v>
      </c>
      <c r="Z3079" s="5">
        <v>43280</v>
      </c>
      <c r="AA3079" s="1">
        <v>5236177</v>
      </c>
      <c r="AB3079" s="1" t="s">
        <v>1938</v>
      </c>
      <c r="AC3079" s="5">
        <v>43480</v>
      </c>
      <c r="AF3079" s="1">
        <v>10016</v>
      </c>
      <c r="AI3079" s="1" t="s">
        <v>1939</v>
      </c>
      <c r="AJ3079" s="1">
        <v>1957</v>
      </c>
      <c r="AK3079" s="1" t="s">
        <v>46</v>
      </c>
      <c r="AL3079" s="1">
        <v>49</v>
      </c>
    </row>
    <row r="3080" spans="1:38" x14ac:dyDescent="0.2">
      <c r="A3080" s="2" t="str">
        <f>HYPERLINK("https://www.compass.com/listing/1-west-end-avenue-unit-8j-manhattan-ny-10023/29397386337981217/","1 W End Ave, Unit 8J")</f>
        <v>1 W End Ave, Unit 8J</v>
      </c>
      <c r="B3080" s="2" t="str">
        <f>HYPERLINK("https://www.compass.com/building/1-w-end-ave-manhattan-ny-10023/455676159137755317/","1 W End Ave")</f>
        <v>1 W End Ave</v>
      </c>
      <c r="C3080" s="1" t="s">
        <v>57</v>
      </c>
      <c r="D3080" s="1" t="s">
        <v>41</v>
      </c>
      <c r="E3080" s="3">
        <v>2554208</v>
      </c>
      <c r="F3080" s="1">
        <v>1718.8482166890899</v>
      </c>
      <c r="G3080" s="1">
        <v>4</v>
      </c>
      <c r="H3080" s="1">
        <v>2</v>
      </c>
      <c r="I3080" s="1">
        <v>2</v>
      </c>
      <c r="J3080" s="1">
        <v>2.5</v>
      </c>
      <c r="K3080" s="1">
        <v>2</v>
      </c>
      <c r="L3080" s="1">
        <v>1</v>
      </c>
      <c r="M3080" s="4">
        <v>1486</v>
      </c>
      <c r="N3080" s="1">
        <v>1687</v>
      </c>
      <c r="O3080" s="1">
        <v>1788</v>
      </c>
      <c r="P3080" s="1">
        <v>101</v>
      </c>
      <c r="Q3080" s="1" t="s">
        <v>42</v>
      </c>
      <c r="S3080" s="1" t="s">
        <v>42</v>
      </c>
      <c r="T3080" s="1" t="s">
        <v>273</v>
      </c>
      <c r="V3080" s="5">
        <v>43663</v>
      </c>
      <c r="W3080" s="5">
        <v>42203</v>
      </c>
      <c r="X3080" s="1">
        <v>2500000</v>
      </c>
      <c r="Y3080" s="1">
        <v>2500000</v>
      </c>
      <c r="Z3080" s="5">
        <v>42203</v>
      </c>
      <c r="AA3080" s="1">
        <v>2554208.4500000002</v>
      </c>
      <c r="AB3080" s="1" t="s">
        <v>1940</v>
      </c>
      <c r="AC3080" s="5">
        <v>43131</v>
      </c>
      <c r="AF3080" s="1">
        <v>10023</v>
      </c>
      <c r="AI3080" s="1" t="s">
        <v>60</v>
      </c>
      <c r="AJ3080" s="1">
        <v>2017</v>
      </c>
      <c r="AK3080" s="1" t="s">
        <v>108</v>
      </c>
      <c r="AL3080" s="1">
        <v>246</v>
      </c>
    </row>
    <row r="3081" spans="1:38" x14ac:dyDescent="0.2">
      <c r="A3081" s="2" t="str">
        <f>HYPERLINK("https://www.compass.com/listing/88-lexington-avenue-unit-905-manhattan-ny-10016/29507144252471105/","88 Lexington Ave, Unit 905")</f>
        <v>88 Lexington Ave, Unit 905</v>
      </c>
      <c r="B3081" s="2" t="str">
        <f>HYPERLINK("https://www.compass.com/building/88-90-lexington-avenue-manhattan-ny/281903945159296309/","88 &amp; 90 Lexington Avenue")</f>
        <v>88 &amp; 90 Lexington Avenue</v>
      </c>
      <c r="C3081" s="1" t="s">
        <v>40</v>
      </c>
      <c r="D3081" s="1" t="s">
        <v>41</v>
      </c>
      <c r="E3081" s="3">
        <v>5312916</v>
      </c>
      <c r="F3081" s="1">
        <v>2038.7244819646901</v>
      </c>
      <c r="G3081" s="1">
        <v>6</v>
      </c>
      <c r="H3081" s="1">
        <v>4</v>
      </c>
      <c r="I3081" s="1">
        <v>4</v>
      </c>
      <c r="J3081" s="1">
        <v>3.5</v>
      </c>
      <c r="K3081" s="1">
        <v>3</v>
      </c>
      <c r="L3081" s="1">
        <v>1</v>
      </c>
      <c r="M3081" s="4">
        <v>2606</v>
      </c>
      <c r="N3081" s="1">
        <v>2619</v>
      </c>
      <c r="O3081" s="1">
        <v>7368</v>
      </c>
      <c r="P3081" s="1">
        <v>4749</v>
      </c>
      <c r="Q3081" s="1" t="s">
        <v>42</v>
      </c>
      <c r="S3081" s="1" t="s">
        <v>42</v>
      </c>
      <c r="T3081" s="1" t="s">
        <v>273</v>
      </c>
      <c r="U3081" s="1">
        <v>610</v>
      </c>
      <c r="V3081" s="5">
        <v>43638</v>
      </c>
      <c r="W3081" s="5">
        <v>42872</v>
      </c>
      <c r="X3081" s="1">
        <v>5875000</v>
      </c>
      <c r="Y3081" s="1">
        <v>5875000</v>
      </c>
      <c r="Z3081" s="5">
        <v>43482</v>
      </c>
      <c r="AA3081" s="1">
        <v>5312916</v>
      </c>
      <c r="AB3081" s="1" t="s">
        <v>1941</v>
      </c>
      <c r="AC3081" s="5">
        <v>43501</v>
      </c>
      <c r="AF3081" s="1">
        <v>10016</v>
      </c>
      <c r="AI3081" s="1" t="s">
        <v>114</v>
      </c>
      <c r="AJ3081" s="1">
        <v>1927</v>
      </c>
      <c r="AK3081" s="1" t="s">
        <v>46</v>
      </c>
      <c r="AL3081" s="1">
        <v>70</v>
      </c>
    </row>
    <row r="3082" spans="1:38" x14ac:dyDescent="0.2">
      <c r="A3082" s="2" t="str">
        <f>HYPERLINK("https://www.compass.com/listing/360-east-89th-street-unit-6c-manhattan-ny-10128/29424449061233681/","360 E 89th St, Unit 6C")</f>
        <v>360 E 89th St, Unit 6C</v>
      </c>
      <c r="B3082" s="2" t="str">
        <f t="shared" ref="B3082:B3087" si="522">HYPERLINK("https://www.compass.com/building/citizen360-manhattan-ny/282052027553444853/","Citizen360")</f>
        <v>Citizen360</v>
      </c>
      <c r="C3082" s="1" t="s">
        <v>82</v>
      </c>
      <c r="D3082" s="1" t="s">
        <v>41</v>
      </c>
      <c r="E3082" s="3">
        <v>1400000</v>
      </c>
      <c r="F3082" s="1">
        <v>1530.05464480874</v>
      </c>
      <c r="G3082" s="1">
        <v>3</v>
      </c>
      <c r="H3082" s="1">
        <v>1</v>
      </c>
      <c r="I3082" s="1">
        <v>1</v>
      </c>
      <c r="J3082" s="1">
        <v>1</v>
      </c>
      <c r="K3082" s="1">
        <v>1</v>
      </c>
      <c r="M3082" s="1">
        <v>915</v>
      </c>
      <c r="N3082" s="1">
        <v>861</v>
      </c>
      <c r="O3082" s="1">
        <v>1863</v>
      </c>
      <c r="P3082" s="1">
        <v>1002</v>
      </c>
      <c r="Q3082" s="1" t="s">
        <v>42</v>
      </c>
      <c r="S3082" s="1" t="s">
        <v>42</v>
      </c>
      <c r="T3082" s="1" t="s">
        <v>273</v>
      </c>
      <c r="U3082" s="1">
        <v>78</v>
      </c>
      <c r="V3082" s="5">
        <v>43649</v>
      </c>
      <c r="W3082" s="5">
        <v>42402</v>
      </c>
      <c r="X3082" s="1">
        <v>1335000</v>
      </c>
      <c r="Y3082" s="1">
        <v>1400000</v>
      </c>
      <c r="Z3082" s="5">
        <v>42544</v>
      </c>
      <c r="AA3082" s="1">
        <v>1400000</v>
      </c>
      <c r="AB3082" s="1" t="s">
        <v>1942</v>
      </c>
      <c r="AC3082" s="5">
        <v>43033</v>
      </c>
      <c r="AF3082" s="1">
        <v>10128</v>
      </c>
      <c r="AJ3082" s="1">
        <v>2017</v>
      </c>
      <c r="AK3082" s="1" t="s">
        <v>108</v>
      </c>
      <c r="AL3082" s="1">
        <v>82</v>
      </c>
    </row>
    <row r="3083" spans="1:38" x14ac:dyDescent="0.2">
      <c r="A3083" s="2" t="str">
        <f>HYPERLINK("https://www.compass.com/listing/360-east-89th-street-unit-7a-manhattan-ny-10128/29424449950371809/","360 E 89th St, Unit 7A")</f>
        <v>360 E 89th St, Unit 7A</v>
      </c>
      <c r="B3083" s="2" t="str">
        <f t="shared" si="522"/>
        <v>Citizen360</v>
      </c>
      <c r="C3083" s="1" t="s">
        <v>82</v>
      </c>
      <c r="D3083" s="1" t="s">
        <v>41</v>
      </c>
      <c r="E3083" s="3">
        <v>1425550</v>
      </c>
      <c r="F3083" s="1">
        <v>1505.33262935586</v>
      </c>
      <c r="G3083" s="1">
        <v>3</v>
      </c>
      <c r="H3083" s="1">
        <v>1</v>
      </c>
      <c r="I3083" s="1">
        <v>1</v>
      </c>
      <c r="J3083" s="1">
        <v>1</v>
      </c>
      <c r="K3083" s="1">
        <v>1</v>
      </c>
      <c r="M3083" s="1">
        <v>947</v>
      </c>
      <c r="N3083" s="1">
        <v>896</v>
      </c>
      <c r="O3083" s="1">
        <v>1938</v>
      </c>
      <c r="P3083" s="1">
        <v>1042</v>
      </c>
      <c r="Q3083" s="1" t="s">
        <v>42</v>
      </c>
      <c r="S3083" s="1" t="s">
        <v>42</v>
      </c>
      <c r="T3083" s="1" t="s">
        <v>273</v>
      </c>
      <c r="U3083" s="1">
        <v>65</v>
      </c>
      <c r="V3083" s="5">
        <v>43649</v>
      </c>
      <c r="W3083" s="5">
        <v>42402</v>
      </c>
      <c r="X3083" s="1">
        <v>1335000</v>
      </c>
      <c r="Y3083" s="1">
        <v>1400000</v>
      </c>
      <c r="Z3083" s="5">
        <v>42467</v>
      </c>
      <c r="AA3083" s="1">
        <v>1425550</v>
      </c>
      <c r="AB3083" s="1" t="s">
        <v>1943</v>
      </c>
      <c r="AC3083" s="5">
        <v>43055</v>
      </c>
      <c r="AF3083" s="1">
        <v>10128</v>
      </c>
      <c r="AJ3083" s="1">
        <v>2017</v>
      </c>
      <c r="AK3083" s="1" t="s">
        <v>108</v>
      </c>
      <c r="AL3083" s="1">
        <v>82</v>
      </c>
    </row>
    <row r="3084" spans="1:38" x14ac:dyDescent="0.2">
      <c r="A3084" s="2" t="str">
        <f>HYPERLINK("https://www.compass.com/listing/360-east-89th-street-unit-4a-manhattan-ny-10128/29424444573274017/","360 E 89th St, Unit 4A")</f>
        <v>360 E 89th St, Unit 4A</v>
      </c>
      <c r="B3084" s="2" t="str">
        <f t="shared" si="522"/>
        <v>Citizen360</v>
      </c>
      <c r="C3084" s="1" t="s">
        <v>82</v>
      </c>
      <c r="D3084" s="1" t="s">
        <v>41</v>
      </c>
      <c r="E3084" s="3">
        <v>1546722</v>
      </c>
      <c r="F3084" s="1">
        <v>1407.3903548680601</v>
      </c>
      <c r="G3084" s="1">
        <v>3</v>
      </c>
      <c r="H3084" s="1">
        <v>1</v>
      </c>
      <c r="I3084" s="1">
        <v>1</v>
      </c>
      <c r="J3084" s="1">
        <v>1.5</v>
      </c>
      <c r="K3084" s="1">
        <v>1</v>
      </c>
      <c r="L3084" s="1">
        <v>1</v>
      </c>
      <c r="M3084" s="4">
        <v>1099</v>
      </c>
      <c r="N3084" s="1">
        <v>1024</v>
      </c>
      <c r="O3084" s="1">
        <v>2216</v>
      </c>
      <c r="P3084" s="1">
        <v>1192</v>
      </c>
      <c r="Q3084" s="1" t="s">
        <v>42</v>
      </c>
      <c r="S3084" s="1" t="s">
        <v>42</v>
      </c>
      <c r="T3084" s="1" t="s">
        <v>273</v>
      </c>
      <c r="U3084" s="1">
        <v>208</v>
      </c>
      <c r="V3084" s="5">
        <v>43672</v>
      </c>
      <c r="W3084" s="5">
        <v>42482</v>
      </c>
      <c r="X3084" s="1">
        <v>1550000</v>
      </c>
      <c r="Y3084" s="1">
        <v>1550000</v>
      </c>
      <c r="AA3084" s="1">
        <v>1546722</v>
      </c>
      <c r="AB3084" s="1" t="s">
        <v>1944</v>
      </c>
      <c r="AC3084" s="5">
        <v>42691</v>
      </c>
      <c r="AF3084" s="1">
        <v>10128</v>
      </c>
      <c r="AJ3084" s="1">
        <v>2017</v>
      </c>
      <c r="AK3084" s="1" t="s">
        <v>108</v>
      </c>
      <c r="AL3084" s="1">
        <v>82</v>
      </c>
    </row>
    <row r="3085" spans="1:38" x14ac:dyDescent="0.2">
      <c r="A3085" s="2" t="str">
        <f>HYPERLINK("https://www.compass.com/listing/360-east-89th-street-unit-5a-manhattan-ny-10128/29424446922151601/","360 E 89th St, Unit 5A")</f>
        <v>360 E 89th St, Unit 5A</v>
      </c>
      <c r="B3085" s="2" t="str">
        <f t="shared" si="522"/>
        <v>Citizen360</v>
      </c>
      <c r="C3085" s="1" t="s">
        <v>82</v>
      </c>
      <c r="D3085" s="1" t="s">
        <v>41</v>
      </c>
      <c r="E3085" s="3">
        <v>1519943</v>
      </c>
      <c r="F3085" s="1">
        <v>1383.02365787079</v>
      </c>
      <c r="G3085" s="1">
        <v>3</v>
      </c>
      <c r="H3085" s="1">
        <v>1</v>
      </c>
      <c r="I3085" s="1">
        <v>1</v>
      </c>
      <c r="J3085" s="1">
        <v>1.5</v>
      </c>
      <c r="K3085" s="1">
        <v>1</v>
      </c>
      <c r="L3085" s="1">
        <v>1</v>
      </c>
      <c r="M3085" s="4">
        <v>1099</v>
      </c>
      <c r="N3085" s="1">
        <v>1198</v>
      </c>
      <c r="O3085" s="1">
        <v>2373</v>
      </c>
      <c r="P3085" s="1">
        <v>1175</v>
      </c>
      <c r="Q3085" s="1" t="s">
        <v>42</v>
      </c>
      <c r="S3085" s="1" t="s">
        <v>42</v>
      </c>
      <c r="T3085" s="1" t="s">
        <v>273</v>
      </c>
      <c r="U3085" s="1">
        <v>24</v>
      </c>
      <c r="V3085" s="5">
        <v>43649</v>
      </c>
      <c r="W3085" s="5">
        <v>42402</v>
      </c>
      <c r="X3085" s="1">
        <v>1490000</v>
      </c>
      <c r="Y3085" s="1">
        <v>1565000</v>
      </c>
      <c r="Z3085" s="5">
        <v>42426</v>
      </c>
      <c r="AA3085" s="1">
        <v>1519943</v>
      </c>
      <c r="AB3085" s="1" t="s">
        <v>1945</v>
      </c>
      <c r="AC3085" s="5">
        <v>43033</v>
      </c>
      <c r="AF3085" s="1">
        <v>10128</v>
      </c>
      <c r="AJ3085" s="1">
        <v>2017</v>
      </c>
      <c r="AK3085" s="1" t="s">
        <v>108</v>
      </c>
      <c r="AL3085" s="1">
        <v>82</v>
      </c>
    </row>
    <row r="3086" spans="1:38" x14ac:dyDescent="0.2">
      <c r="A3086" s="2" t="str">
        <f>HYPERLINK("https://www.compass.com/listing/360-east-89th-street-unit-11b-manhattan-ny-10128/29424454060844129/","360 E 89th St, Unit 11B")</f>
        <v>360 E 89th St, Unit 11B</v>
      </c>
      <c r="B3086" s="2" t="str">
        <f t="shared" si="522"/>
        <v>Citizen360</v>
      </c>
      <c r="C3086" s="1" t="s">
        <v>82</v>
      </c>
      <c r="D3086" s="1" t="s">
        <v>41</v>
      </c>
      <c r="E3086" s="3">
        <v>1650000</v>
      </c>
      <c r="F3086" s="1">
        <v>1409.0520922288599</v>
      </c>
      <c r="G3086" s="1">
        <v>3</v>
      </c>
      <c r="H3086" s="1">
        <v>1</v>
      </c>
      <c r="I3086" s="1">
        <v>1</v>
      </c>
      <c r="J3086" s="1">
        <v>1.5</v>
      </c>
      <c r="K3086" s="1">
        <v>1</v>
      </c>
      <c r="L3086" s="1">
        <v>1</v>
      </c>
      <c r="M3086" s="4">
        <v>1171</v>
      </c>
      <c r="N3086" s="1">
        <v>1129</v>
      </c>
      <c r="O3086" s="1">
        <v>2442</v>
      </c>
      <c r="P3086" s="1">
        <v>1313</v>
      </c>
      <c r="Q3086" s="1" t="s">
        <v>42</v>
      </c>
      <c r="S3086" s="1" t="s">
        <v>42</v>
      </c>
      <c r="T3086" s="1" t="s">
        <v>273</v>
      </c>
      <c r="U3086" s="1">
        <v>252</v>
      </c>
      <c r="V3086" s="5">
        <v>42993</v>
      </c>
      <c r="W3086" s="5">
        <v>42737</v>
      </c>
      <c r="X3086" s="1">
        <v>1650000</v>
      </c>
      <c r="Y3086" s="1">
        <v>1650000</v>
      </c>
      <c r="AA3086" s="1">
        <v>1650000</v>
      </c>
      <c r="AB3086" s="1" t="s">
        <v>1946</v>
      </c>
      <c r="AC3086" s="5">
        <v>43077</v>
      </c>
      <c r="AF3086" s="1">
        <v>10128</v>
      </c>
      <c r="AJ3086" s="1">
        <v>2017</v>
      </c>
      <c r="AK3086" s="1" t="s">
        <v>108</v>
      </c>
      <c r="AL3086" s="1">
        <v>82</v>
      </c>
    </row>
    <row r="3087" spans="1:38" x14ac:dyDescent="0.2">
      <c r="A3087" s="2" t="str">
        <f>HYPERLINK("https://www.compass.com/listing/360-east-89th-street-unit-11b-manhattan-ny-10128/803392267620264161/","360 E 89th St, Unit 11B")</f>
        <v>360 E 89th St, Unit 11B</v>
      </c>
      <c r="B3087" s="2" t="str">
        <f t="shared" si="522"/>
        <v>Citizen360</v>
      </c>
      <c r="C3087" s="1" t="s">
        <v>82</v>
      </c>
      <c r="D3087" s="1" t="s">
        <v>41</v>
      </c>
      <c r="E3087" s="3">
        <v>1650000</v>
      </c>
      <c r="F3087" s="1">
        <v>1409.0520922288599</v>
      </c>
      <c r="G3087" s="1">
        <v>3</v>
      </c>
      <c r="H3087" s="1">
        <v>1</v>
      </c>
      <c r="I3087" s="1">
        <v>1</v>
      </c>
      <c r="J3087" s="1">
        <v>1.5</v>
      </c>
      <c r="K3087" s="1">
        <v>1</v>
      </c>
      <c r="L3087" s="1">
        <v>1</v>
      </c>
      <c r="M3087" s="4">
        <v>1171</v>
      </c>
      <c r="N3087" s="1">
        <v>1129</v>
      </c>
      <c r="O3087" s="1">
        <v>2442</v>
      </c>
      <c r="P3087" s="1">
        <v>1313</v>
      </c>
      <c r="Q3087" s="1" t="s">
        <v>42</v>
      </c>
      <c r="S3087" s="1" t="s">
        <v>42</v>
      </c>
      <c r="T3087" s="1" t="s">
        <v>273</v>
      </c>
      <c r="V3087" s="5">
        <v>43078</v>
      </c>
      <c r="W3087" s="5">
        <v>42902</v>
      </c>
      <c r="X3087" s="1">
        <v>1650000</v>
      </c>
      <c r="Y3087" s="1">
        <v>1650000</v>
      </c>
      <c r="Z3087" s="5">
        <v>42781</v>
      </c>
      <c r="AB3087" s="1" t="s">
        <v>275</v>
      </c>
      <c r="AC3087" s="5">
        <v>42902</v>
      </c>
      <c r="AF3087" s="1">
        <v>10128</v>
      </c>
      <c r="AJ3087" s="1">
        <v>2017</v>
      </c>
      <c r="AK3087" s="1" t="s">
        <v>108</v>
      </c>
      <c r="AL3087" s="1">
        <v>82</v>
      </c>
    </row>
    <row r="3088" spans="1:38" x14ac:dyDescent="0.2">
      <c r="A3088" s="2" t="str">
        <f>HYPERLINK("https://www.compass.com/listing/200-east-94th-street-unit-605-manhattan-ny-10128/466815056299349801/","200 E 94th St, Unit 605")</f>
        <v>200 E 94th St, Unit 605</v>
      </c>
      <c r="B3088" s="2" t="str">
        <f>HYPERLINK("https://www.compass.com/building/carnegie-park-condominium-manhattan-ny/282049797358118613/","Carnegie Park Condominium")</f>
        <v>Carnegie Park Condominium</v>
      </c>
      <c r="C3088" s="1" t="s">
        <v>82</v>
      </c>
      <c r="D3088" s="1" t="s">
        <v>41</v>
      </c>
      <c r="E3088" s="3">
        <v>731194</v>
      </c>
      <c r="F3088" s="1">
        <v>1433.7131568627401</v>
      </c>
      <c r="G3088" s="1">
        <v>2.5</v>
      </c>
      <c r="H3088" s="1" t="s">
        <v>153</v>
      </c>
      <c r="I3088" s="1">
        <v>1</v>
      </c>
      <c r="J3088" s="1">
        <v>1</v>
      </c>
      <c r="K3088" s="1">
        <v>1</v>
      </c>
      <c r="M3088" s="1">
        <v>510</v>
      </c>
      <c r="N3088" s="1">
        <v>597</v>
      </c>
      <c r="O3088" s="1">
        <v>1225</v>
      </c>
      <c r="P3088" s="1">
        <v>628</v>
      </c>
      <c r="Q3088" s="1" t="s">
        <v>42</v>
      </c>
      <c r="S3088" s="1" t="s">
        <v>42</v>
      </c>
      <c r="T3088" s="1" t="s">
        <v>273</v>
      </c>
      <c r="U3088" s="1">
        <v>106</v>
      </c>
      <c r="V3088" s="5">
        <v>44207</v>
      </c>
      <c r="W3088" s="5">
        <v>43887</v>
      </c>
      <c r="X3088" s="1">
        <v>799500</v>
      </c>
      <c r="Y3088" s="1">
        <v>799500</v>
      </c>
      <c r="Z3088" s="5">
        <v>44088</v>
      </c>
      <c r="AA3088" s="1">
        <v>731193.71</v>
      </c>
      <c r="AB3088" s="1" t="s">
        <v>1947</v>
      </c>
      <c r="AC3088" s="5">
        <v>44125</v>
      </c>
      <c r="AF3088" s="1">
        <v>10128</v>
      </c>
      <c r="AI3088" s="1" t="s">
        <v>163</v>
      </c>
      <c r="AJ3088" s="1">
        <v>1986</v>
      </c>
      <c r="AK3088" s="1" t="s">
        <v>46</v>
      </c>
      <c r="AL3088" s="1">
        <v>287</v>
      </c>
    </row>
    <row r="3089" spans="1:38" x14ac:dyDescent="0.2">
      <c r="A3089" s="2" t="str">
        <f>HYPERLINK("https://www.compass.com/listing/565-broome-street-unit-s24a-manhattan-ny-10013/786324005571452001/","565 Broome St, Unit S24A")</f>
        <v>565 Broome St, Unit S24A</v>
      </c>
      <c r="B3089" s="2" t="str">
        <f t="shared" ref="B3089:B3090" si="523">HYPERLINK("https://www.compass.com/building/565-broome-soho-manhattan-ny/292813251698267109/","565 Broome Soho")</f>
        <v>565 Broome Soho</v>
      </c>
      <c r="C3089" s="1" t="s">
        <v>53</v>
      </c>
      <c r="D3089" s="1" t="s">
        <v>41</v>
      </c>
      <c r="E3089" s="3">
        <v>8312500</v>
      </c>
      <c r="F3089" s="1">
        <v>3299.9206034140502</v>
      </c>
      <c r="G3089" s="1">
        <v>6</v>
      </c>
      <c r="H3089" s="1">
        <v>4</v>
      </c>
      <c r="I3089" s="1">
        <v>4</v>
      </c>
      <c r="J3089" s="1">
        <v>3.5</v>
      </c>
      <c r="K3089" s="1">
        <v>3</v>
      </c>
      <c r="L3089" s="1">
        <v>1</v>
      </c>
      <c r="M3089" s="4">
        <v>2519</v>
      </c>
      <c r="N3089" s="1">
        <v>3941</v>
      </c>
      <c r="O3089" s="1">
        <v>8287</v>
      </c>
      <c r="P3089" s="1">
        <v>4346</v>
      </c>
      <c r="Q3089" s="1" t="s">
        <v>42</v>
      </c>
      <c r="S3089" s="1" t="s">
        <v>42</v>
      </c>
      <c r="T3089" s="1" t="s">
        <v>273</v>
      </c>
      <c r="V3089" s="5">
        <v>44344</v>
      </c>
      <c r="AA3089" s="1">
        <v>8312500</v>
      </c>
      <c r="AB3089" s="1" t="s">
        <v>1337</v>
      </c>
      <c r="AC3089" s="5">
        <v>43619</v>
      </c>
      <c r="AF3089" s="1">
        <v>10013</v>
      </c>
      <c r="AI3089" s="1" t="s">
        <v>48</v>
      </c>
      <c r="AJ3089" s="1">
        <v>2019</v>
      </c>
      <c r="AK3089" s="1" t="s">
        <v>49</v>
      </c>
      <c r="AL3089" s="1">
        <v>115</v>
      </c>
    </row>
    <row r="3090" spans="1:38" x14ac:dyDescent="0.2">
      <c r="A3090" s="2" t="str">
        <f>HYPERLINK("https://www.compass.com/listing/565-broome-street-unit-sphb-manhattan-ny-10013/786326127762806489/","565 Broome St, Unit SPHB")</f>
        <v>565 Broome St, Unit SPHB</v>
      </c>
      <c r="B3090" s="2" t="str">
        <f t="shared" si="523"/>
        <v>565 Broome Soho</v>
      </c>
      <c r="C3090" s="1" t="s">
        <v>53</v>
      </c>
      <c r="D3090" s="1" t="s">
        <v>41</v>
      </c>
      <c r="E3090" s="3">
        <v>22583490</v>
      </c>
      <c r="F3090" s="1">
        <v>5097.8532731376899</v>
      </c>
      <c r="G3090" s="1">
        <v>8.5</v>
      </c>
      <c r="H3090" s="1">
        <v>4</v>
      </c>
      <c r="I3090" s="1">
        <v>5</v>
      </c>
      <c r="J3090" s="1">
        <v>4.5</v>
      </c>
      <c r="K3090" s="1">
        <v>4</v>
      </c>
      <c r="L3090" s="1">
        <v>1</v>
      </c>
      <c r="M3090" s="4">
        <v>4430</v>
      </c>
      <c r="N3090" s="1">
        <v>8527</v>
      </c>
      <c r="O3090" s="1">
        <v>17932</v>
      </c>
      <c r="P3090" s="1">
        <v>9405</v>
      </c>
      <c r="Q3090" s="1" t="s">
        <v>42</v>
      </c>
      <c r="S3090" s="1" t="s">
        <v>42</v>
      </c>
      <c r="T3090" s="1" t="s">
        <v>273</v>
      </c>
      <c r="V3090" s="5">
        <v>44344</v>
      </c>
      <c r="AA3090" s="1">
        <v>22583490</v>
      </c>
      <c r="AB3090" s="1" t="s">
        <v>1948</v>
      </c>
      <c r="AC3090" s="5">
        <v>44134</v>
      </c>
      <c r="AF3090" s="1">
        <v>10013</v>
      </c>
      <c r="AI3090" s="1" t="s">
        <v>436</v>
      </c>
      <c r="AJ3090" s="1">
        <v>2019</v>
      </c>
      <c r="AK3090" s="1" t="s">
        <v>49</v>
      </c>
      <c r="AL3090" s="1">
        <v>115</v>
      </c>
    </row>
    <row r="3091" spans="1:38" x14ac:dyDescent="0.2">
      <c r="A3091" s="2" t="str">
        <f>HYPERLINK("https://www.compass.com/listing/90-lexington-avenue-unit-phb-manhattan-ny-10016/131882480931187217/","90 Lexington Ave, Unit PHB")</f>
        <v>90 Lexington Ave, Unit PHB</v>
      </c>
      <c r="B3091" s="2" t="str">
        <f>HYPERLINK("https://www.compass.com/building/88-90-lexington-avenue-manhattan-ny/281941431524842901/","88 &amp; 90 Lexington Avenue")</f>
        <v>88 &amp; 90 Lexington Avenue</v>
      </c>
      <c r="C3091" s="1" t="s">
        <v>40</v>
      </c>
      <c r="D3091" s="1" t="s">
        <v>41</v>
      </c>
      <c r="E3091" s="3">
        <v>6094236</v>
      </c>
      <c r="F3091" s="1">
        <v>3006.5298470646198</v>
      </c>
      <c r="G3091" s="1">
        <v>5.5</v>
      </c>
      <c r="H3091" s="1">
        <v>3</v>
      </c>
      <c r="I3091" s="1">
        <v>4</v>
      </c>
      <c r="J3091" s="1">
        <v>3.5</v>
      </c>
      <c r="K3091" s="1">
        <v>3</v>
      </c>
      <c r="L3091" s="1">
        <v>1</v>
      </c>
      <c r="M3091" s="4">
        <v>2027</v>
      </c>
      <c r="N3091" s="1">
        <v>2737</v>
      </c>
      <c r="O3091" s="1">
        <v>7373</v>
      </c>
      <c r="P3091" s="1">
        <v>4636</v>
      </c>
      <c r="Q3091" s="1" t="s">
        <v>42</v>
      </c>
      <c r="S3091" s="1" t="s">
        <v>42</v>
      </c>
      <c r="T3091" s="1" t="s">
        <v>273</v>
      </c>
      <c r="V3091" s="5">
        <v>43643</v>
      </c>
      <c r="W3091" s="5">
        <v>43434</v>
      </c>
      <c r="X3091" s="1">
        <v>6385000</v>
      </c>
      <c r="Y3091" s="1">
        <v>6385000</v>
      </c>
      <c r="Z3091" s="5">
        <v>43434</v>
      </c>
      <c r="AA3091" s="1">
        <v>6094236</v>
      </c>
      <c r="AB3091" s="1" t="s">
        <v>1949</v>
      </c>
      <c r="AC3091" s="5">
        <v>43554</v>
      </c>
      <c r="AF3091" s="1">
        <v>10016</v>
      </c>
      <c r="AI3091" s="1" t="s">
        <v>1111</v>
      </c>
      <c r="AJ3091" s="1">
        <v>1957</v>
      </c>
      <c r="AK3091" s="1" t="s">
        <v>46</v>
      </c>
      <c r="AL3091" s="1">
        <v>49</v>
      </c>
    </row>
    <row r="3092" spans="1:38" x14ac:dyDescent="0.2">
      <c r="A3092" s="2" t="str">
        <f>HYPERLINK("https://www.compass.com/listing/360-east-89th-street-unit-32b-manhattan-ny-10128/25199313042915889/","360 E 89th St, Unit 32B")</f>
        <v>360 E 89th St, Unit 32B</v>
      </c>
      <c r="B3092" s="2" t="str">
        <f t="shared" ref="B3092:B3093" si="524">HYPERLINK("https://www.compass.com/building/citizen360-manhattan-ny/282052027553444853/","Citizen360")</f>
        <v>Citizen360</v>
      </c>
      <c r="C3092" s="1" t="s">
        <v>82</v>
      </c>
      <c r="D3092" s="1" t="s">
        <v>41</v>
      </c>
      <c r="E3092" s="3">
        <v>4950000</v>
      </c>
      <c r="F3092" s="1">
        <v>2047.99338022341</v>
      </c>
      <c r="G3092" s="1">
        <v>5.5</v>
      </c>
      <c r="H3092" s="1">
        <v>3</v>
      </c>
      <c r="I3092" s="1">
        <v>4</v>
      </c>
      <c r="J3092" s="1">
        <v>3.5</v>
      </c>
      <c r="K3092" s="1">
        <v>3</v>
      </c>
      <c r="L3092" s="1">
        <v>1</v>
      </c>
      <c r="M3092" s="4">
        <v>2417</v>
      </c>
      <c r="N3092" s="1">
        <v>2554</v>
      </c>
      <c r="O3092" s="1">
        <v>4446.1899999999996</v>
      </c>
      <c r="P3092" s="1">
        <v>1892.1666666666599</v>
      </c>
      <c r="Q3092" s="1" t="s">
        <v>42</v>
      </c>
      <c r="S3092" s="1" t="s">
        <v>42</v>
      </c>
      <c r="T3092" s="1" t="s">
        <v>273</v>
      </c>
      <c r="U3092" s="1">
        <v>147</v>
      </c>
      <c r="V3092" s="5">
        <v>43839</v>
      </c>
      <c r="W3092" s="5">
        <v>43589</v>
      </c>
      <c r="Y3092" s="1">
        <v>5350000</v>
      </c>
      <c r="Z3092" s="5">
        <v>43736</v>
      </c>
      <c r="AA3092" s="1">
        <v>4950000</v>
      </c>
      <c r="AB3092" s="1" t="s">
        <v>1950</v>
      </c>
      <c r="AC3092" s="5">
        <v>43811</v>
      </c>
      <c r="AF3092" s="1">
        <v>10128</v>
      </c>
      <c r="AJ3092" s="1">
        <v>2017</v>
      </c>
      <c r="AK3092" s="1" t="s">
        <v>108</v>
      </c>
      <c r="AL3092" s="1">
        <v>82</v>
      </c>
    </row>
    <row r="3093" spans="1:38" x14ac:dyDescent="0.2">
      <c r="A3093" s="2" t="str">
        <f>HYPERLINK("https://www.compass.com/listing/360-east-89th-street-unit-24a-manhattan-ny-10128/29424463791575185/","360 E 89th St, Unit 24A")</f>
        <v>360 E 89th St, Unit 24A</v>
      </c>
      <c r="B3093" s="2" t="str">
        <f t="shared" si="524"/>
        <v>Citizen360</v>
      </c>
      <c r="C3093" s="1" t="s">
        <v>82</v>
      </c>
      <c r="D3093" s="1" t="s">
        <v>41</v>
      </c>
      <c r="E3093" s="3">
        <v>4000000</v>
      </c>
      <c r="F3093" s="1">
        <v>1952.1717911176099</v>
      </c>
      <c r="G3093" s="1">
        <v>5.5</v>
      </c>
      <c r="H3093" s="1">
        <v>3</v>
      </c>
      <c r="I3093" s="1">
        <v>3</v>
      </c>
      <c r="J3093" s="1">
        <v>3.5</v>
      </c>
      <c r="K3093" s="1">
        <v>3</v>
      </c>
      <c r="L3093" s="1">
        <v>1</v>
      </c>
      <c r="M3093" s="4">
        <v>2049</v>
      </c>
      <c r="N3093" s="1">
        <v>2089</v>
      </c>
      <c r="O3093" s="1">
        <v>4519</v>
      </c>
      <c r="P3093" s="1">
        <v>2430</v>
      </c>
      <c r="Q3093" s="1" t="s">
        <v>42</v>
      </c>
      <c r="S3093" s="1" t="s">
        <v>42</v>
      </c>
      <c r="T3093" s="1" t="s">
        <v>273</v>
      </c>
      <c r="V3093" s="5">
        <v>43642</v>
      </c>
      <c r="W3093" s="5">
        <v>43131</v>
      </c>
      <c r="X3093" s="1">
        <v>4235000</v>
      </c>
      <c r="Y3093" s="1">
        <v>4235000</v>
      </c>
      <c r="Z3093" s="5">
        <v>43131</v>
      </c>
      <c r="AA3093" s="1">
        <v>4000000</v>
      </c>
      <c r="AB3093" s="1" t="s">
        <v>1951</v>
      </c>
      <c r="AC3093" s="5">
        <v>43255</v>
      </c>
      <c r="AF3093" s="1">
        <v>10128</v>
      </c>
      <c r="AJ3093" s="1">
        <v>2017</v>
      </c>
      <c r="AK3093" s="1" t="s">
        <v>108</v>
      </c>
      <c r="AL3093" s="1">
        <v>82</v>
      </c>
    </row>
    <row r="3094" spans="1:38" x14ac:dyDescent="0.2">
      <c r="A3094" s="2" t="str">
        <f>HYPERLINK("https://www.compass.com/listing/15-west-61st-street-unit-20d-manhattan-ny-10023/252522227012996289/","15 W 61st St, Unit 20D")</f>
        <v>15 W 61st St, Unit 20D</v>
      </c>
      <c r="B3094" s="2" t="str">
        <f>HYPERLINK("https://www.compass.com/building/the-park-loggia-manhattan-ny/292861833130357557/","The Park Loggia")</f>
        <v>The Park Loggia</v>
      </c>
      <c r="C3094" s="1" t="s">
        <v>57</v>
      </c>
      <c r="D3094" s="1" t="s">
        <v>41</v>
      </c>
      <c r="E3094" s="3">
        <v>3588163</v>
      </c>
      <c r="F3094" s="1">
        <v>2677.7332089552201</v>
      </c>
      <c r="G3094" s="1">
        <v>4</v>
      </c>
      <c r="H3094" s="1">
        <v>2</v>
      </c>
      <c r="I3094" s="1">
        <v>2</v>
      </c>
      <c r="J3094" s="1">
        <v>2</v>
      </c>
      <c r="K3094" s="1">
        <v>2</v>
      </c>
      <c r="M3094" s="4">
        <v>1340</v>
      </c>
      <c r="N3094" s="1">
        <v>1415</v>
      </c>
      <c r="O3094" s="1">
        <v>2776</v>
      </c>
      <c r="P3094" s="1">
        <v>1361</v>
      </c>
      <c r="Q3094" s="1" t="s">
        <v>42</v>
      </c>
      <c r="S3094" s="1" t="s">
        <v>42</v>
      </c>
      <c r="T3094" s="1" t="s">
        <v>273</v>
      </c>
      <c r="U3094" s="1">
        <v>24</v>
      </c>
      <c r="V3094" s="5">
        <v>43911</v>
      </c>
      <c r="W3094" s="5">
        <v>43597</v>
      </c>
      <c r="X3094" s="1">
        <v>3550000</v>
      </c>
      <c r="AB3094" s="1" t="s">
        <v>275</v>
      </c>
      <c r="AF3094" s="1">
        <v>10023</v>
      </c>
      <c r="AI3094" s="1" t="s">
        <v>159</v>
      </c>
      <c r="AJ3094" s="1">
        <v>2019</v>
      </c>
      <c r="AK3094" s="1" t="s">
        <v>108</v>
      </c>
      <c r="AL3094" s="1">
        <v>172</v>
      </c>
    </row>
    <row r="3095" spans="1:38" x14ac:dyDescent="0.2">
      <c r="A3095" s="2" t="str">
        <f>HYPERLINK("https://www.compass.com/listing/12-east-88th-street-unit-3a-manhattan-ny-10128/29669289669694609/","12 E 88th St, Unit 3A")</f>
        <v>12 E 88th St, Unit 3A</v>
      </c>
      <c r="B3095" s="2" t="str">
        <f>HYPERLINK("https://www.compass.com/building/12-e-88th-st-manhattan-ny-10128/282046316798827461/","12 E 88th St")</f>
        <v>12 E 88th St</v>
      </c>
      <c r="C3095" s="1" t="s">
        <v>82</v>
      </c>
      <c r="D3095" s="1" t="s">
        <v>41</v>
      </c>
      <c r="E3095" s="3">
        <v>4700000</v>
      </c>
      <c r="F3095" s="1">
        <v>2276.02905569007</v>
      </c>
      <c r="G3095" s="1">
        <v>5</v>
      </c>
      <c r="H3095" s="1">
        <v>3</v>
      </c>
      <c r="I3095" s="1">
        <v>4</v>
      </c>
      <c r="J3095" s="1">
        <v>3.5</v>
      </c>
      <c r="K3095" s="1">
        <v>3</v>
      </c>
      <c r="L3095" s="1">
        <v>1</v>
      </c>
      <c r="M3095" s="4">
        <v>2065</v>
      </c>
      <c r="N3095" s="1">
        <v>2471</v>
      </c>
      <c r="O3095" s="1">
        <v>5115</v>
      </c>
      <c r="P3095" s="1">
        <v>2644</v>
      </c>
      <c r="Q3095" s="1" t="s">
        <v>42</v>
      </c>
      <c r="S3095" s="1" t="s">
        <v>42</v>
      </c>
      <c r="T3095" s="1" t="s">
        <v>273</v>
      </c>
      <c r="U3095" s="1">
        <v>204</v>
      </c>
      <c r="V3095" s="5">
        <v>43630</v>
      </c>
      <c r="W3095" s="5">
        <v>43175</v>
      </c>
      <c r="X3095" s="1">
        <v>4950000</v>
      </c>
      <c r="Y3095" s="1">
        <v>4950000</v>
      </c>
      <c r="Z3095" s="5">
        <v>43379</v>
      </c>
      <c r="AA3095" s="1">
        <v>4700000</v>
      </c>
      <c r="AB3095" s="1" t="s">
        <v>1952</v>
      </c>
      <c r="AC3095" s="5">
        <v>43403</v>
      </c>
      <c r="AF3095" s="1">
        <v>10128</v>
      </c>
      <c r="AI3095" s="1" t="s">
        <v>177</v>
      </c>
      <c r="AJ3095" s="1">
        <v>1931</v>
      </c>
      <c r="AK3095" s="1" t="s">
        <v>46</v>
      </c>
      <c r="AL3095" s="1">
        <v>39</v>
      </c>
    </row>
    <row r="3096" spans="1:38" x14ac:dyDescent="0.2">
      <c r="A3096" s="2" t="str">
        <f>HYPERLINK("https://www.compass.com/listing/565-broome-street-unit-s27a-manhattan-ny-10013/786320945691946185/","565 Broome St, Unit S27A")</f>
        <v>565 Broome St, Unit S27A</v>
      </c>
      <c r="B3096" s="2" t="str">
        <f>HYPERLINK("https://www.compass.com/building/565-broome-soho-manhattan-ny/292813251698267109/","565 Broome Soho")</f>
        <v>565 Broome Soho</v>
      </c>
      <c r="C3096" s="1" t="s">
        <v>53</v>
      </c>
      <c r="D3096" s="1" t="s">
        <v>41</v>
      </c>
      <c r="E3096" s="3">
        <v>8090000</v>
      </c>
      <c r="F3096" s="1">
        <v>3605.1693404634502</v>
      </c>
      <c r="G3096" s="1">
        <v>5</v>
      </c>
      <c r="H3096" s="1">
        <v>3</v>
      </c>
      <c r="I3096" s="1">
        <v>4</v>
      </c>
      <c r="J3096" s="1">
        <v>3.5</v>
      </c>
      <c r="K3096" s="1">
        <v>3</v>
      </c>
      <c r="L3096" s="1">
        <v>1</v>
      </c>
      <c r="M3096" s="4">
        <v>2244</v>
      </c>
      <c r="N3096" s="1">
        <v>3569</v>
      </c>
      <c r="O3096" s="1">
        <v>7505</v>
      </c>
      <c r="P3096" s="1">
        <v>3936</v>
      </c>
      <c r="Q3096" s="1" t="s">
        <v>42</v>
      </c>
      <c r="S3096" s="1" t="s">
        <v>42</v>
      </c>
      <c r="T3096" s="1" t="s">
        <v>273</v>
      </c>
      <c r="V3096" s="5">
        <v>44344</v>
      </c>
      <c r="AA3096" s="1">
        <v>8090000</v>
      </c>
      <c r="AB3096" s="1" t="s">
        <v>1660</v>
      </c>
      <c r="AC3096" s="5">
        <v>43605</v>
      </c>
      <c r="AF3096" s="1">
        <v>10013</v>
      </c>
      <c r="AI3096" s="1" t="s">
        <v>48</v>
      </c>
      <c r="AJ3096" s="1">
        <v>2019</v>
      </c>
      <c r="AK3096" s="1" t="s">
        <v>49</v>
      </c>
      <c r="AL3096" s="1">
        <v>115</v>
      </c>
    </row>
    <row r="3097" spans="1:38" x14ac:dyDescent="0.2">
      <c r="A3097" s="2" t="str">
        <f>HYPERLINK("https://www.compass.com/listing/108-leonard-street-unit-3j-manhattan-ny-10013/421440208976457121/","108 Leonard St, Unit 3J")</f>
        <v>108 Leonard St, Unit 3J</v>
      </c>
      <c r="B3097" s="2" t="str">
        <f>HYPERLINK("https://www.compass.com/building/108-leonard-st-manhattan-ny-10013/307456049610778277/","108 Leonard St")</f>
        <v>108 Leonard St</v>
      </c>
      <c r="C3097" s="1" t="s">
        <v>113</v>
      </c>
      <c r="D3097" s="1" t="s">
        <v>41</v>
      </c>
      <c r="E3097" s="3">
        <v>1435932</v>
      </c>
      <c r="F3097" s="1">
        <v>1790.4386284289201</v>
      </c>
      <c r="H3097" s="1">
        <v>1</v>
      </c>
      <c r="J3097" s="1">
        <v>1</v>
      </c>
      <c r="K3097" s="1">
        <v>1</v>
      </c>
      <c r="M3097" s="1">
        <v>802</v>
      </c>
      <c r="N3097" s="1">
        <v>953</v>
      </c>
      <c r="O3097" s="1">
        <v>2247</v>
      </c>
      <c r="P3097" s="1">
        <v>1294</v>
      </c>
      <c r="Q3097" s="1" t="s">
        <v>42</v>
      </c>
      <c r="S3097" s="1" t="s">
        <v>42</v>
      </c>
      <c r="T3097" s="1" t="s">
        <v>273</v>
      </c>
      <c r="AA3097" s="1">
        <v>1435931.78</v>
      </c>
      <c r="AB3097" s="1" t="s">
        <v>1953</v>
      </c>
      <c r="AC3097" s="5">
        <v>43816</v>
      </c>
      <c r="AF3097" s="1">
        <v>10013</v>
      </c>
      <c r="AI3097" s="1" t="s">
        <v>78</v>
      </c>
      <c r="AJ3097" s="1">
        <v>1899</v>
      </c>
      <c r="AK3097" s="1" t="s">
        <v>55</v>
      </c>
      <c r="AL3097" s="1">
        <v>167</v>
      </c>
    </row>
    <row r="3098" spans="1:38" x14ac:dyDescent="0.2">
      <c r="A3098" s="2" t="str">
        <f>HYPERLINK("https://www.compass.com/listing/90-lexington-avenue-unit-11b-manhattan-ny-10016/29378558082194353/","90 Lexington Ave, Unit 11B")</f>
        <v>90 Lexington Ave, Unit 11B</v>
      </c>
      <c r="B3098" s="2" t="str">
        <f>HYPERLINK("https://www.compass.com/building/88-90-lexington-avenue-manhattan-ny/281941431524842901/","88 &amp; 90 Lexington Avenue")</f>
        <v>88 &amp; 90 Lexington Avenue</v>
      </c>
      <c r="C3098" s="1" t="s">
        <v>40</v>
      </c>
      <c r="D3098" s="1" t="s">
        <v>41</v>
      </c>
      <c r="E3098" s="3">
        <v>4540863</v>
      </c>
      <c r="F3098" s="1">
        <v>2485.42036124794</v>
      </c>
      <c r="G3098" s="1">
        <v>5</v>
      </c>
      <c r="H3098" s="1">
        <v>3</v>
      </c>
      <c r="I3098" s="1">
        <v>3</v>
      </c>
      <c r="J3098" s="1">
        <v>3.5</v>
      </c>
      <c r="K3098" s="1">
        <v>3</v>
      </c>
      <c r="L3098" s="1">
        <v>1</v>
      </c>
      <c r="M3098" s="4">
        <v>1827</v>
      </c>
      <c r="N3098" s="1">
        <v>2121</v>
      </c>
      <c r="O3098" s="1">
        <v>5748</v>
      </c>
      <c r="P3098" s="1">
        <v>3627</v>
      </c>
      <c r="Q3098" s="1" t="s">
        <v>42</v>
      </c>
      <c r="S3098" s="1" t="s">
        <v>42</v>
      </c>
      <c r="T3098" s="1" t="s">
        <v>273</v>
      </c>
      <c r="V3098" s="5">
        <v>43659</v>
      </c>
      <c r="W3098" s="5">
        <v>42404</v>
      </c>
      <c r="X3098" s="1">
        <v>4475000</v>
      </c>
      <c r="Y3098" s="1">
        <v>4475000</v>
      </c>
      <c r="Z3098" s="5">
        <v>42404</v>
      </c>
      <c r="AA3098" s="1">
        <v>4540863</v>
      </c>
      <c r="AB3098" s="1" t="s">
        <v>1954</v>
      </c>
      <c r="AC3098" s="5">
        <v>43047</v>
      </c>
      <c r="AF3098" s="1">
        <v>10016</v>
      </c>
      <c r="AI3098" s="1" t="s">
        <v>122</v>
      </c>
      <c r="AJ3098" s="1">
        <v>1957</v>
      </c>
      <c r="AK3098" s="1" t="s">
        <v>46</v>
      </c>
      <c r="AL3098" s="1">
        <v>49</v>
      </c>
    </row>
    <row r="3099" spans="1:38" x14ac:dyDescent="0.2">
      <c r="A3099" s="2" t="str">
        <f>HYPERLINK("https://www.compass.com/listing/360-east-89th-street-unit-25a-manhattan-ny-10128/198526748495826673/","360 E 89th St, Unit 25A")</f>
        <v>360 E 89th St, Unit 25A</v>
      </c>
      <c r="B3099" s="2" t="str">
        <f t="shared" ref="B3099:B3100" si="525">HYPERLINK("https://www.compass.com/building/citizen360-manhattan-ny/282052027553444853/","Citizen360")</f>
        <v>Citizen360</v>
      </c>
      <c r="C3099" s="1" t="s">
        <v>82</v>
      </c>
      <c r="D3099" s="1" t="s">
        <v>41</v>
      </c>
      <c r="E3099" s="3">
        <v>5650000</v>
      </c>
      <c r="F3099" s="1">
        <v>1974.1439552760301</v>
      </c>
      <c r="G3099" s="1">
        <v>7</v>
      </c>
      <c r="H3099" s="1">
        <v>4</v>
      </c>
      <c r="I3099" s="1">
        <v>5</v>
      </c>
      <c r="J3099" s="1">
        <v>4.5</v>
      </c>
      <c r="K3099" s="1">
        <v>4</v>
      </c>
      <c r="L3099" s="1">
        <v>1</v>
      </c>
      <c r="M3099" s="4">
        <v>2862</v>
      </c>
      <c r="N3099" s="1">
        <v>2931</v>
      </c>
      <c r="O3099" s="1">
        <v>4522</v>
      </c>
      <c r="P3099" s="1">
        <v>1591</v>
      </c>
      <c r="Q3099" s="1" t="s">
        <v>42</v>
      </c>
      <c r="S3099" s="1" t="s">
        <v>42</v>
      </c>
      <c r="T3099" s="1" t="s">
        <v>273</v>
      </c>
      <c r="U3099" s="1">
        <v>112</v>
      </c>
      <c r="V3099" s="5">
        <v>43805</v>
      </c>
      <c r="W3099" s="5">
        <v>43526</v>
      </c>
      <c r="X3099" s="1">
        <v>5975000</v>
      </c>
      <c r="Y3099" s="1">
        <v>5650000</v>
      </c>
      <c r="Z3099" s="5">
        <v>43638</v>
      </c>
      <c r="AA3099" s="1">
        <v>5650000</v>
      </c>
      <c r="AB3099" s="1" t="s">
        <v>1955</v>
      </c>
      <c r="AC3099" s="5">
        <v>43641</v>
      </c>
      <c r="AF3099" s="1">
        <v>10128</v>
      </c>
      <c r="AJ3099" s="1">
        <v>2017</v>
      </c>
      <c r="AK3099" s="1" t="s">
        <v>108</v>
      </c>
      <c r="AL3099" s="1">
        <v>82</v>
      </c>
    </row>
    <row r="3100" spans="1:38" x14ac:dyDescent="0.2">
      <c r="A3100" s="2" t="str">
        <f>HYPERLINK("https://www.compass.com/listing/360-east-89th-street-unit-31a-manhattan-ny-10128/27574724120931601/","360 E 89th St, Unit 31A")</f>
        <v>360 E 89th St, Unit 31A</v>
      </c>
      <c r="B3100" s="2" t="str">
        <f t="shared" si="525"/>
        <v>Citizen360</v>
      </c>
      <c r="C3100" s="1" t="s">
        <v>82</v>
      </c>
      <c r="D3100" s="1" t="s">
        <v>41</v>
      </c>
      <c r="E3100" s="3">
        <v>6250000</v>
      </c>
      <c r="F3100" s="1">
        <v>2183.7875611460499</v>
      </c>
      <c r="G3100" s="1">
        <v>5</v>
      </c>
      <c r="H3100" s="1">
        <v>4</v>
      </c>
      <c r="I3100" s="1">
        <v>5</v>
      </c>
      <c r="J3100" s="1">
        <v>4.5</v>
      </c>
      <c r="K3100" s="1">
        <v>4</v>
      </c>
      <c r="L3100" s="1">
        <v>1</v>
      </c>
      <c r="M3100" s="4">
        <v>2862</v>
      </c>
      <c r="N3100" s="1">
        <v>3011</v>
      </c>
      <c r="O3100" s="1">
        <v>4642</v>
      </c>
      <c r="P3100" s="1">
        <v>1631</v>
      </c>
      <c r="Q3100" s="1" t="s">
        <v>42</v>
      </c>
      <c r="S3100" s="1" t="s">
        <v>42</v>
      </c>
      <c r="T3100" s="1" t="s">
        <v>273</v>
      </c>
      <c r="U3100" s="1">
        <v>117</v>
      </c>
      <c r="V3100" s="5">
        <v>43694</v>
      </c>
      <c r="W3100" s="5">
        <v>43143</v>
      </c>
      <c r="X3100" s="1">
        <v>6655000</v>
      </c>
      <c r="Y3100" s="1">
        <v>6350000</v>
      </c>
      <c r="Z3100" s="5">
        <v>43555</v>
      </c>
      <c r="AA3100" s="1">
        <v>6250000</v>
      </c>
      <c r="AB3100" s="1" t="s">
        <v>1956</v>
      </c>
      <c r="AC3100" s="5">
        <v>43640</v>
      </c>
      <c r="AF3100" s="1">
        <v>10128</v>
      </c>
      <c r="AJ3100" s="1">
        <v>2017</v>
      </c>
      <c r="AK3100" s="1" t="s">
        <v>46</v>
      </c>
      <c r="AL3100" s="1">
        <v>82</v>
      </c>
    </row>
    <row r="3101" spans="1:38" x14ac:dyDescent="0.2">
      <c r="A3101" s="2" t="str">
        <f>HYPERLINK("https://www.compass.com/listing/90-lexington-avenue-unit-8d-manhattan-ny-10016/165642402806184273/","90 Lexington Ave, Unit 8D")</f>
        <v>90 Lexington Ave, Unit 8D</v>
      </c>
      <c r="B3101" s="2" t="str">
        <f>HYPERLINK("https://www.compass.com/building/88-90-lexington-avenue-manhattan-ny/281941431524842901/","88 &amp; 90 Lexington Avenue")</f>
        <v>88 &amp; 90 Lexington Avenue</v>
      </c>
      <c r="C3101" s="1" t="s">
        <v>40</v>
      </c>
      <c r="D3101" s="1" t="s">
        <v>41</v>
      </c>
      <c r="E3101" s="3">
        <v>483088</v>
      </c>
      <c r="F3101" s="1">
        <v>313.897335932423</v>
      </c>
      <c r="H3101" s="1">
        <v>2</v>
      </c>
      <c r="J3101" s="1">
        <v>2.5</v>
      </c>
      <c r="M3101" s="4">
        <v>1539</v>
      </c>
      <c r="N3101" s="1">
        <v>1712</v>
      </c>
      <c r="O3101" s="1">
        <v>4577</v>
      </c>
      <c r="P3101" s="1">
        <v>2865</v>
      </c>
      <c r="Q3101" s="1" t="s">
        <v>42</v>
      </c>
      <c r="S3101" s="1" t="s">
        <v>42</v>
      </c>
      <c r="T3101" s="1" t="s">
        <v>273</v>
      </c>
      <c r="AA3101" s="1">
        <v>483088</v>
      </c>
      <c r="AB3101" s="1" t="s">
        <v>1957</v>
      </c>
      <c r="AC3101" s="5">
        <v>43452</v>
      </c>
      <c r="AF3101" s="1">
        <v>10016</v>
      </c>
      <c r="AI3101" s="1" t="s">
        <v>118</v>
      </c>
      <c r="AJ3101" s="1">
        <v>1957</v>
      </c>
      <c r="AK3101" s="1" t="s">
        <v>49</v>
      </c>
      <c r="AL3101" s="1">
        <v>49</v>
      </c>
    </row>
    <row r="3102" spans="1:38" x14ac:dyDescent="0.2">
      <c r="A3102" s="2" t="str">
        <f>HYPERLINK("https://www.compass.com/listing/360-east-89th-street-unit-15b-manhattan-ny-10128/29424457844052049/","360 E 89th St, Unit 15B")</f>
        <v>360 E 89th St, Unit 15B</v>
      </c>
      <c r="B3102" s="2" t="str">
        <f t="shared" ref="B3102:B3103" si="526">HYPERLINK("https://www.compass.com/building/citizen360-manhattan-ny/282052027553444853/","Citizen360")</f>
        <v>Citizen360</v>
      </c>
      <c r="C3102" s="1" t="s">
        <v>82</v>
      </c>
      <c r="D3102" s="1" t="s">
        <v>41</v>
      </c>
      <c r="E3102" s="3">
        <v>2535000</v>
      </c>
      <c r="F3102" s="1">
        <v>1702.4848891873701</v>
      </c>
      <c r="G3102" s="1">
        <v>4</v>
      </c>
      <c r="H3102" s="1">
        <v>2</v>
      </c>
      <c r="I3102" s="1">
        <v>2</v>
      </c>
      <c r="J3102" s="1">
        <v>2</v>
      </c>
      <c r="K3102" s="1">
        <v>2</v>
      </c>
      <c r="M3102" s="4">
        <v>1489</v>
      </c>
      <c r="N3102" s="1">
        <v>1456</v>
      </c>
      <c r="O3102" s="1">
        <v>3150</v>
      </c>
      <c r="P3102" s="1">
        <v>1694</v>
      </c>
      <c r="Q3102" s="1" t="s">
        <v>42</v>
      </c>
      <c r="S3102" s="1" t="s">
        <v>42</v>
      </c>
      <c r="T3102" s="1" t="s">
        <v>273</v>
      </c>
      <c r="V3102" s="5">
        <v>43126</v>
      </c>
      <c r="W3102" s="5">
        <v>42958</v>
      </c>
      <c r="X3102" s="1">
        <v>2535000</v>
      </c>
      <c r="Y3102" s="1">
        <v>2535000</v>
      </c>
      <c r="Z3102" s="5">
        <v>42959</v>
      </c>
      <c r="AA3102" s="1">
        <v>2535000</v>
      </c>
      <c r="AB3102" s="1" t="s">
        <v>1958</v>
      </c>
      <c r="AC3102" s="5">
        <v>43119</v>
      </c>
      <c r="AF3102" s="1">
        <v>10128</v>
      </c>
      <c r="AJ3102" s="1">
        <v>2017</v>
      </c>
      <c r="AK3102" s="1" t="s">
        <v>108</v>
      </c>
      <c r="AL3102" s="1">
        <v>82</v>
      </c>
    </row>
    <row r="3103" spans="1:38" x14ac:dyDescent="0.2">
      <c r="A3103" s="2" t="str">
        <f>HYPERLINK("https://www.compass.com/listing/360-east-89th-street-unit-21b-manhattan-ny-10128/29580296538030737/","360 E 89th St, Unit 21B")</f>
        <v>360 E 89th St, Unit 21B</v>
      </c>
      <c r="B3103" s="2" t="str">
        <f t="shared" si="526"/>
        <v>Citizen360</v>
      </c>
      <c r="C3103" s="1" t="s">
        <v>82</v>
      </c>
      <c r="D3103" s="1" t="s">
        <v>41</v>
      </c>
      <c r="E3103" s="3">
        <v>2575000</v>
      </c>
      <c r="F3103" s="1">
        <v>1707.5596816976099</v>
      </c>
      <c r="G3103" s="1">
        <v>4</v>
      </c>
      <c r="H3103" s="1">
        <v>2</v>
      </c>
      <c r="I3103" s="1">
        <v>2</v>
      </c>
      <c r="J3103" s="1">
        <v>2</v>
      </c>
      <c r="K3103" s="1">
        <v>2</v>
      </c>
      <c r="M3103" s="4">
        <v>1508</v>
      </c>
      <c r="N3103" s="1">
        <v>1517</v>
      </c>
      <c r="O3103" s="1">
        <v>2332</v>
      </c>
      <c r="P3103" s="1">
        <v>815</v>
      </c>
      <c r="Q3103" s="1" t="s">
        <v>42</v>
      </c>
      <c r="S3103" s="1" t="s">
        <v>42</v>
      </c>
      <c r="T3103" s="1" t="s">
        <v>273</v>
      </c>
      <c r="U3103" s="1">
        <v>279</v>
      </c>
      <c r="V3103" s="5">
        <v>43664</v>
      </c>
      <c r="W3103" s="5">
        <v>43260</v>
      </c>
      <c r="X3103" s="1">
        <v>2775000</v>
      </c>
      <c r="Y3103" s="1">
        <v>2675000</v>
      </c>
      <c r="Z3103" s="5">
        <v>43539</v>
      </c>
      <c r="AA3103" s="1">
        <v>2575000</v>
      </c>
      <c r="AB3103" s="1" t="s">
        <v>1959</v>
      </c>
      <c r="AC3103" s="5">
        <v>43544</v>
      </c>
      <c r="AF3103" s="1">
        <v>10128</v>
      </c>
      <c r="AJ3103" s="1">
        <v>2017</v>
      </c>
      <c r="AK3103" s="1" t="s">
        <v>46</v>
      </c>
      <c r="AL3103" s="1">
        <v>82</v>
      </c>
    </row>
    <row r="3104" spans="1:38" x14ac:dyDescent="0.2">
      <c r="A3104" s="2" t="str">
        <f>HYPERLINK("https://www.compass.com/listing/88-lexington-avenue-unit-1201-manhattan-ny-10016/29026677434744657/","88 Lexington Ave, Unit 1201")</f>
        <v>88 Lexington Ave, Unit 1201</v>
      </c>
      <c r="B3104" s="2" t="str">
        <f>HYPERLINK("https://www.compass.com/building/88-90-lexington-avenue-manhattan-ny/281903945159296309/","88 &amp; 90 Lexington Avenue")</f>
        <v>88 &amp; 90 Lexington Avenue</v>
      </c>
      <c r="C3104" s="1" t="s">
        <v>40</v>
      </c>
      <c r="D3104" s="1" t="s">
        <v>41</v>
      </c>
      <c r="E3104" s="3">
        <v>3778516</v>
      </c>
      <c r="F3104" s="1">
        <v>1955.7536231884001</v>
      </c>
      <c r="G3104" s="1">
        <v>5</v>
      </c>
      <c r="H3104" s="1">
        <v>3</v>
      </c>
      <c r="I3104" s="1">
        <v>4</v>
      </c>
      <c r="J3104" s="1">
        <v>3.5</v>
      </c>
      <c r="K3104" s="1">
        <v>3</v>
      </c>
      <c r="L3104" s="1">
        <v>1</v>
      </c>
      <c r="M3104" s="4">
        <v>1932</v>
      </c>
      <c r="N3104" s="1">
        <v>1970</v>
      </c>
      <c r="O3104" s="1">
        <v>5541</v>
      </c>
      <c r="P3104" s="1">
        <v>3571</v>
      </c>
      <c r="Q3104" s="1" t="s">
        <v>42</v>
      </c>
      <c r="S3104" s="1" t="s">
        <v>42</v>
      </c>
      <c r="T3104" s="1" t="s">
        <v>273</v>
      </c>
      <c r="U3104" s="1">
        <v>407</v>
      </c>
      <c r="V3104" s="5">
        <v>43638</v>
      </c>
      <c r="W3104" s="5">
        <v>42628</v>
      </c>
      <c r="X3104" s="1">
        <v>4350000</v>
      </c>
      <c r="Y3104" s="1">
        <v>3995000</v>
      </c>
      <c r="Z3104" s="5">
        <v>43505</v>
      </c>
      <c r="AA3104" s="1">
        <v>3778516</v>
      </c>
      <c r="AB3104" s="1" t="s">
        <v>1960</v>
      </c>
      <c r="AC3104" s="5">
        <v>43525</v>
      </c>
      <c r="AF3104" s="1">
        <v>10016</v>
      </c>
      <c r="AI3104" s="1" t="s">
        <v>114</v>
      </c>
      <c r="AJ3104" s="1">
        <v>1927</v>
      </c>
      <c r="AK3104" s="1" t="s">
        <v>46</v>
      </c>
      <c r="AL3104" s="1">
        <v>70</v>
      </c>
    </row>
    <row r="3105" spans="1:38" x14ac:dyDescent="0.2">
      <c r="A3105" s="2" t="str">
        <f>HYPERLINK("https://www.compass.com/listing/200-east-94th-street-unit-2609-manhattan-ny-10128/29423501668581249/","200 E 94th St, Unit 2609")</f>
        <v>200 E 94th St, Unit 2609</v>
      </c>
      <c r="B3105" s="2" t="str">
        <f>HYPERLINK("https://www.compass.com/building/carnegie-park-condominium-manhattan-ny/282049797358118613/","Carnegie Park Condominium")</f>
        <v>Carnegie Park Condominium</v>
      </c>
      <c r="C3105" s="1" t="s">
        <v>82</v>
      </c>
      <c r="D3105" s="1" t="s">
        <v>41</v>
      </c>
      <c r="E3105" s="3">
        <v>747137</v>
      </c>
      <c r="F3105" s="1">
        <v>990.89787798408395</v>
      </c>
      <c r="G3105" s="1">
        <v>3</v>
      </c>
      <c r="H3105" s="1">
        <v>1</v>
      </c>
      <c r="I3105" s="1">
        <v>1</v>
      </c>
      <c r="J3105" s="1">
        <v>1</v>
      </c>
      <c r="K3105" s="1">
        <v>1</v>
      </c>
      <c r="M3105" s="1">
        <v>754</v>
      </c>
      <c r="N3105" s="1">
        <v>866</v>
      </c>
      <c r="O3105" s="1">
        <v>1787</v>
      </c>
      <c r="P3105" s="1">
        <v>921</v>
      </c>
      <c r="Q3105" s="1" t="s">
        <v>42</v>
      </c>
      <c r="S3105" s="1" t="s">
        <v>42</v>
      </c>
      <c r="T3105" s="1" t="s">
        <v>273</v>
      </c>
      <c r="U3105" s="1">
        <v>188</v>
      </c>
      <c r="V3105" s="5">
        <v>43707</v>
      </c>
      <c r="W3105" s="5">
        <v>42558</v>
      </c>
      <c r="X3105" s="1">
        <v>895000</v>
      </c>
      <c r="Y3105" s="1">
        <v>895000</v>
      </c>
      <c r="AA3105" s="1">
        <v>747137</v>
      </c>
      <c r="AB3105" s="1" t="s">
        <v>1961</v>
      </c>
      <c r="AC3105" s="5">
        <v>42747</v>
      </c>
      <c r="AF3105" s="1">
        <v>10128</v>
      </c>
      <c r="AI3105" s="1" t="s">
        <v>163</v>
      </c>
      <c r="AJ3105" s="1">
        <v>1986</v>
      </c>
      <c r="AK3105" s="1" t="s">
        <v>108</v>
      </c>
      <c r="AL3105" s="1">
        <v>287</v>
      </c>
    </row>
    <row r="3106" spans="1:38" x14ac:dyDescent="0.2">
      <c r="A3106" s="2" t="str">
        <f>HYPERLINK("https://www.compass.com/listing/90-lexington-avenue-unit-5d-manhattan-ny-10016/29378550658276145/","90 Lexington Ave, Unit 5D")</f>
        <v>90 Lexington Ave, Unit 5D</v>
      </c>
      <c r="B3106" s="2" t="str">
        <f t="shared" ref="B3106:B3110" si="527">HYPERLINK("https://www.compass.com/building/88-90-lexington-avenue-manhattan-ny/281941431524842901/","88 &amp; 90 Lexington Avenue")</f>
        <v>88 &amp; 90 Lexington Avenue</v>
      </c>
      <c r="C3106" s="1" t="s">
        <v>40</v>
      </c>
      <c r="D3106" s="1" t="s">
        <v>41</v>
      </c>
      <c r="E3106" s="3">
        <v>3154062</v>
      </c>
      <c r="F3106" s="1">
        <v>2049.4230019493102</v>
      </c>
      <c r="G3106" s="1">
        <v>4</v>
      </c>
      <c r="H3106" s="1">
        <v>2</v>
      </c>
      <c r="I3106" s="1">
        <v>2</v>
      </c>
      <c r="J3106" s="1">
        <v>2</v>
      </c>
      <c r="K3106" s="1">
        <v>2</v>
      </c>
      <c r="M3106" s="4">
        <v>1539</v>
      </c>
      <c r="N3106" s="1">
        <v>1652</v>
      </c>
      <c r="O3106" s="1">
        <v>3277</v>
      </c>
      <c r="P3106" s="1">
        <v>1625</v>
      </c>
      <c r="Q3106" s="1" t="s">
        <v>42</v>
      </c>
      <c r="S3106" s="1" t="s">
        <v>42</v>
      </c>
      <c r="T3106" s="1" t="s">
        <v>273</v>
      </c>
      <c r="U3106" s="1">
        <v>81</v>
      </c>
      <c r="V3106" s="5">
        <v>43677</v>
      </c>
      <c r="W3106" s="5">
        <v>42321</v>
      </c>
      <c r="X3106" s="1">
        <v>3205000</v>
      </c>
      <c r="Y3106" s="1">
        <v>3205000</v>
      </c>
      <c r="Z3106" s="5">
        <v>42402</v>
      </c>
      <c r="AA3106" s="1">
        <v>3154062</v>
      </c>
      <c r="AB3106" s="1" t="s">
        <v>1962</v>
      </c>
      <c r="AC3106" s="5">
        <v>42517</v>
      </c>
      <c r="AF3106" s="1">
        <v>10016</v>
      </c>
      <c r="AI3106" s="1" t="s">
        <v>122</v>
      </c>
      <c r="AJ3106" s="1">
        <v>1957</v>
      </c>
      <c r="AK3106" s="1" t="s">
        <v>46</v>
      </c>
      <c r="AL3106" s="1">
        <v>49</v>
      </c>
    </row>
    <row r="3107" spans="1:38" x14ac:dyDescent="0.2">
      <c r="A3107" s="2" t="str">
        <f>HYPERLINK("https://www.compass.com/listing/90-lexington-avenue-unit-6d-manhattan-ny-10016/29378552260577073/","90 Lexington Ave, Unit 6D")</f>
        <v>90 Lexington Ave, Unit 6D</v>
      </c>
      <c r="B3107" s="2" t="str">
        <f t="shared" si="527"/>
        <v>88 &amp; 90 Lexington Avenue</v>
      </c>
      <c r="C3107" s="1" t="s">
        <v>40</v>
      </c>
      <c r="D3107" s="1" t="s">
        <v>41</v>
      </c>
      <c r="E3107" s="3">
        <v>3242836</v>
      </c>
      <c r="F3107" s="1">
        <v>2107.1059129304699</v>
      </c>
      <c r="G3107" s="1">
        <v>5</v>
      </c>
      <c r="H3107" s="1">
        <v>2</v>
      </c>
      <c r="I3107" s="1">
        <v>2</v>
      </c>
      <c r="J3107" s="1">
        <v>2</v>
      </c>
      <c r="K3107" s="1">
        <v>2</v>
      </c>
      <c r="M3107" s="4">
        <v>1539</v>
      </c>
      <c r="N3107" s="1">
        <v>1620</v>
      </c>
      <c r="O3107" s="1">
        <v>3211</v>
      </c>
      <c r="P3107" s="1">
        <v>1591</v>
      </c>
      <c r="Q3107" s="1" t="s">
        <v>42</v>
      </c>
      <c r="S3107" s="1" t="s">
        <v>42</v>
      </c>
      <c r="T3107" s="1" t="s">
        <v>273</v>
      </c>
      <c r="U3107" s="1">
        <v>475</v>
      </c>
      <c r="V3107" s="5">
        <v>43664</v>
      </c>
      <c r="W3107" s="5">
        <v>42164</v>
      </c>
      <c r="X3107" s="1">
        <v>3255000</v>
      </c>
      <c r="Y3107" s="1">
        <v>3255000</v>
      </c>
      <c r="AA3107" s="1">
        <v>3242836</v>
      </c>
      <c r="AB3107" s="1" t="s">
        <v>1963</v>
      </c>
      <c r="AC3107" s="5">
        <v>42640</v>
      </c>
      <c r="AF3107" s="1">
        <v>10016</v>
      </c>
      <c r="AI3107" s="1" t="s">
        <v>122</v>
      </c>
      <c r="AJ3107" s="1">
        <v>1957</v>
      </c>
      <c r="AK3107" s="1" t="s">
        <v>46</v>
      </c>
      <c r="AL3107" s="1">
        <v>49</v>
      </c>
    </row>
    <row r="3108" spans="1:38" x14ac:dyDescent="0.2">
      <c r="A3108" s="2" t="str">
        <f>HYPERLINK("https://www.compass.com/listing/90-lexington-avenue-unit-7b-manhattan-ny-10016/29378553183247185/","90 Lexington Ave, Unit 7B")</f>
        <v>90 Lexington Ave, Unit 7B</v>
      </c>
      <c r="B3108" s="2" t="str">
        <f t="shared" si="527"/>
        <v>88 &amp; 90 Lexington Avenue</v>
      </c>
      <c r="C3108" s="1" t="s">
        <v>40</v>
      </c>
      <c r="D3108" s="1" t="s">
        <v>41</v>
      </c>
      <c r="E3108" s="3">
        <v>3168274</v>
      </c>
      <c r="F3108" s="1">
        <v>2058.6575698505499</v>
      </c>
      <c r="G3108" s="1">
        <v>5</v>
      </c>
      <c r="H3108" s="1">
        <v>2</v>
      </c>
      <c r="I3108" s="1">
        <v>2</v>
      </c>
      <c r="J3108" s="1">
        <v>2.5</v>
      </c>
      <c r="K3108" s="1">
        <v>2</v>
      </c>
      <c r="L3108" s="1">
        <v>1</v>
      </c>
      <c r="M3108" s="4">
        <v>1539</v>
      </c>
      <c r="N3108" s="1">
        <v>1656</v>
      </c>
      <c r="O3108" s="1">
        <v>3713</v>
      </c>
      <c r="P3108" s="1">
        <v>2057</v>
      </c>
      <c r="Q3108" s="1" t="s">
        <v>42</v>
      </c>
      <c r="S3108" s="1" t="s">
        <v>42</v>
      </c>
      <c r="T3108" s="1" t="s">
        <v>273</v>
      </c>
      <c r="U3108" s="1">
        <v>49</v>
      </c>
      <c r="V3108" s="5">
        <v>43665</v>
      </c>
      <c r="W3108" s="5">
        <v>42486</v>
      </c>
      <c r="X3108" s="1">
        <v>3225000</v>
      </c>
      <c r="Y3108" s="1">
        <v>3225000</v>
      </c>
      <c r="Z3108" s="5">
        <v>42535</v>
      </c>
      <c r="AA3108" s="1">
        <v>3168274</v>
      </c>
      <c r="AB3108" s="1" t="s">
        <v>1964</v>
      </c>
      <c r="AC3108" s="5">
        <v>42726</v>
      </c>
      <c r="AF3108" s="1">
        <v>10016</v>
      </c>
      <c r="AI3108" s="1" t="s">
        <v>122</v>
      </c>
      <c r="AJ3108" s="1">
        <v>1957</v>
      </c>
      <c r="AK3108" s="1" t="s">
        <v>46</v>
      </c>
      <c r="AL3108" s="1">
        <v>49</v>
      </c>
    </row>
    <row r="3109" spans="1:38" x14ac:dyDescent="0.2">
      <c r="A3109" s="2" t="str">
        <f>HYPERLINK("https://www.compass.com/listing/90-lexington-avenue-unit-9d-manhattan-ny-10016/29378556303815345/","90 Lexington Ave, Unit 9D")</f>
        <v>90 Lexington Ave, Unit 9D</v>
      </c>
      <c r="B3109" s="2" t="str">
        <f t="shared" si="527"/>
        <v>88 &amp; 90 Lexington Avenue</v>
      </c>
      <c r="C3109" s="1" t="s">
        <v>40</v>
      </c>
      <c r="D3109" s="1" t="s">
        <v>41</v>
      </c>
      <c r="E3109" s="3">
        <v>3425578</v>
      </c>
      <c r="F3109" s="1">
        <v>2225.8466536712099</v>
      </c>
      <c r="G3109" s="1">
        <v>4</v>
      </c>
      <c r="H3109" s="1">
        <v>2</v>
      </c>
      <c r="I3109" s="1">
        <v>2</v>
      </c>
      <c r="J3109" s="1">
        <v>2</v>
      </c>
      <c r="K3109" s="1">
        <v>2</v>
      </c>
      <c r="M3109" s="4">
        <v>1539</v>
      </c>
      <c r="N3109" s="1">
        <v>1644</v>
      </c>
      <c r="O3109" s="1">
        <v>3258</v>
      </c>
      <c r="P3109" s="1">
        <v>1614</v>
      </c>
      <c r="Q3109" s="1" t="s">
        <v>42</v>
      </c>
      <c r="S3109" s="1" t="s">
        <v>42</v>
      </c>
      <c r="T3109" s="1" t="s">
        <v>273</v>
      </c>
      <c r="U3109" s="1">
        <v>10</v>
      </c>
      <c r="V3109" s="5">
        <v>43677</v>
      </c>
      <c r="W3109" s="5">
        <v>42322</v>
      </c>
      <c r="X3109" s="1">
        <v>3400000</v>
      </c>
      <c r="Y3109" s="1">
        <v>3400000</v>
      </c>
      <c r="Z3109" s="5">
        <v>42332</v>
      </c>
      <c r="AA3109" s="1">
        <v>3425578</v>
      </c>
      <c r="AB3109" s="1" t="s">
        <v>1965</v>
      </c>
      <c r="AC3109" s="5">
        <v>42538</v>
      </c>
      <c r="AF3109" s="1">
        <v>10016</v>
      </c>
      <c r="AI3109" s="1" t="s">
        <v>122</v>
      </c>
      <c r="AJ3109" s="1">
        <v>1957</v>
      </c>
      <c r="AK3109" s="1" t="s">
        <v>46</v>
      </c>
      <c r="AL3109" s="1">
        <v>49</v>
      </c>
    </row>
    <row r="3110" spans="1:38" x14ac:dyDescent="0.2">
      <c r="A3110" s="2" t="str">
        <f>HYPERLINK("https://www.compass.com/listing/90-lexington-avenue-unit-8d-manhattan-ny-10016/29525212533917953/","90 Lexington Ave, Unit 8D")</f>
        <v>90 Lexington Ave, Unit 8D</v>
      </c>
      <c r="B3110" s="2" t="str">
        <f t="shared" si="527"/>
        <v>88 &amp; 90 Lexington Avenue</v>
      </c>
      <c r="C3110" s="1" t="s">
        <v>40</v>
      </c>
      <c r="D3110" s="1" t="s">
        <v>41</v>
      </c>
      <c r="E3110" s="3">
        <v>3374664</v>
      </c>
      <c r="F3110" s="1">
        <v>2192.7641325536001</v>
      </c>
      <c r="G3110" s="1">
        <v>4</v>
      </c>
      <c r="H3110" s="1">
        <v>2</v>
      </c>
      <c r="I3110" s="1">
        <v>2</v>
      </c>
      <c r="J3110" s="1">
        <v>2</v>
      </c>
      <c r="K3110" s="1">
        <v>2</v>
      </c>
      <c r="M3110" s="4">
        <v>1539</v>
      </c>
      <c r="N3110" s="1">
        <v>1636</v>
      </c>
      <c r="O3110" s="1">
        <v>3242</v>
      </c>
      <c r="P3110" s="1">
        <v>1606</v>
      </c>
      <c r="Q3110" s="1" t="s">
        <v>42</v>
      </c>
      <c r="S3110" s="1" t="s">
        <v>42</v>
      </c>
      <c r="T3110" s="1" t="s">
        <v>273</v>
      </c>
      <c r="V3110" s="5">
        <v>43676</v>
      </c>
      <c r="W3110" s="5">
        <v>42284</v>
      </c>
      <c r="X3110" s="1">
        <v>3350000</v>
      </c>
      <c r="Y3110" s="1">
        <v>3350000</v>
      </c>
      <c r="Z3110" s="5">
        <v>42284</v>
      </c>
      <c r="AA3110" s="1">
        <v>3374664</v>
      </c>
      <c r="AB3110" s="1" t="s">
        <v>1966</v>
      </c>
      <c r="AC3110" s="5">
        <v>42531</v>
      </c>
      <c r="AF3110" s="1">
        <v>10016</v>
      </c>
      <c r="AI3110" s="1" t="s">
        <v>122</v>
      </c>
      <c r="AJ3110" s="1">
        <v>1957</v>
      </c>
      <c r="AK3110" s="1" t="s">
        <v>46</v>
      </c>
      <c r="AL3110" s="1">
        <v>49</v>
      </c>
    </row>
    <row r="3111" spans="1:38" x14ac:dyDescent="0.2">
      <c r="A3111" s="2" t="str">
        <f>HYPERLINK("https://www.compass.com/listing/360-east-89th-street-unit-4c-manhattan-ny-10128/29424445420590753/","360 E 89th St, Unit 4C")</f>
        <v>360 E 89th St, Unit 4C</v>
      </c>
      <c r="B3111" s="2" t="str">
        <f t="shared" ref="B3111:B3112" si="528">HYPERLINK("https://www.compass.com/building/citizen360-manhattan-ny/282052027553444853/","Citizen360")</f>
        <v>Citizen360</v>
      </c>
      <c r="C3111" s="1" t="s">
        <v>82</v>
      </c>
      <c r="D3111" s="1" t="s">
        <v>41</v>
      </c>
      <c r="E3111" s="3">
        <v>1397753</v>
      </c>
      <c r="F3111" s="1">
        <v>1527.59890710382</v>
      </c>
      <c r="G3111" s="1">
        <v>3</v>
      </c>
      <c r="H3111" s="1">
        <v>1</v>
      </c>
      <c r="I3111" s="1">
        <v>1</v>
      </c>
      <c r="J3111" s="1">
        <v>1</v>
      </c>
      <c r="K3111" s="1">
        <v>1</v>
      </c>
      <c r="M3111" s="1">
        <v>915</v>
      </c>
      <c r="N3111" s="1">
        <v>853</v>
      </c>
      <c r="O3111" s="1">
        <v>1845</v>
      </c>
      <c r="P3111" s="1">
        <v>992</v>
      </c>
      <c r="Q3111" s="1" t="s">
        <v>42</v>
      </c>
      <c r="S3111" s="1" t="s">
        <v>42</v>
      </c>
      <c r="T3111" s="1" t="s">
        <v>273</v>
      </c>
      <c r="U3111" s="1">
        <v>14</v>
      </c>
      <c r="V3111" s="5">
        <v>43659</v>
      </c>
      <c r="W3111" s="5">
        <v>42801</v>
      </c>
      <c r="X3111" s="1">
        <v>1370000</v>
      </c>
      <c r="Y3111" s="1">
        <v>1370000</v>
      </c>
      <c r="Z3111" s="5">
        <v>42815</v>
      </c>
      <c r="AA3111" s="1">
        <v>1397753</v>
      </c>
      <c r="AB3111" s="1" t="s">
        <v>1967</v>
      </c>
      <c r="AC3111" s="5">
        <v>43032</v>
      </c>
      <c r="AF3111" s="1">
        <v>10128</v>
      </c>
      <c r="AJ3111" s="1">
        <v>2017</v>
      </c>
      <c r="AK3111" s="1" t="s">
        <v>108</v>
      </c>
      <c r="AL3111" s="1">
        <v>82</v>
      </c>
    </row>
    <row r="3112" spans="1:38" x14ac:dyDescent="0.2">
      <c r="A3112" s="2" t="str">
        <f>HYPERLINK("https://www.compass.com/listing/360-east-89th-street-unit-5c-manhattan-ny-10128/29424447870051329/","360 E 89th St, Unit 5C")</f>
        <v>360 E 89th St, Unit 5C</v>
      </c>
      <c r="B3112" s="2" t="str">
        <f t="shared" si="528"/>
        <v>Citizen360</v>
      </c>
      <c r="C3112" s="1" t="s">
        <v>82</v>
      </c>
      <c r="D3112" s="1" t="s">
        <v>41</v>
      </c>
      <c r="E3112" s="3">
        <v>1346840</v>
      </c>
      <c r="F3112" s="1">
        <v>1471.9562841530001</v>
      </c>
      <c r="G3112" s="1">
        <v>3</v>
      </c>
      <c r="H3112" s="1">
        <v>1</v>
      </c>
      <c r="I3112" s="1">
        <v>1</v>
      </c>
      <c r="J3112" s="1">
        <v>1</v>
      </c>
      <c r="K3112" s="1">
        <v>1</v>
      </c>
      <c r="M3112" s="1">
        <v>915</v>
      </c>
      <c r="N3112" s="1">
        <v>857</v>
      </c>
      <c r="O3112" s="1">
        <v>1854</v>
      </c>
      <c r="P3112" s="1">
        <v>997</v>
      </c>
      <c r="Q3112" s="1" t="s">
        <v>42</v>
      </c>
      <c r="S3112" s="1" t="s">
        <v>42</v>
      </c>
      <c r="T3112" s="1" t="s">
        <v>273</v>
      </c>
      <c r="U3112" s="1">
        <v>98</v>
      </c>
      <c r="V3112" s="5">
        <v>43649</v>
      </c>
      <c r="W3112" s="5">
        <v>42320</v>
      </c>
      <c r="X3112" s="1">
        <v>1320000</v>
      </c>
      <c r="Y3112" s="1">
        <v>1385000</v>
      </c>
      <c r="Z3112" s="5">
        <v>42418</v>
      </c>
      <c r="AA3112" s="1">
        <v>1346840</v>
      </c>
      <c r="AB3112" s="1" t="s">
        <v>1968</v>
      </c>
      <c r="AC3112" s="5">
        <v>43032</v>
      </c>
      <c r="AF3112" s="1">
        <v>10128</v>
      </c>
      <c r="AJ3112" s="1">
        <v>2017</v>
      </c>
      <c r="AK3112" s="1" t="s">
        <v>108</v>
      </c>
      <c r="AL3112" s="1">
        <v>82</v>
      </c>
    </row>
    <row r="3113" spans="1:38" x14ac:dyDescent="0.2">
      <c r="A3113" s="2" t="str">
        <f>HYPERLINK("https://www.compass.com/listing/88-lexington-avenue-unit-505-manhattan-ny-10016/29378559759992753/","88 Lexington Ave, Unit 505")</f>
        <v>88 Lexington Ave, Unit 505</v>
      </c>
      <c r="B3113" s="2" t="str">
        <f t="shared" ref="B3113:B3119" si="529">HYPERLINK("https://www.compass.com/building/88-90-lexington-avenue-manhattan-ny/281903945159296309/","88 &amp; 90 Lexington Avenue")</f>
        <v>88 &amp; 90 Lexington Avenue</v>
      </c>
      <c r="C3113" s="1" t="s">
        <v>40</v>
      </c>
      <c r="D3113" s="1" t="s">
        <v>41</v>
      </c>
      <c r="E3113" s="3">
        <v>4206711</v>
      </c>
      <c r="F3113" s="1">
        <v>1968.5124005615301</v>
      </c>
      <c r="G3113" s="1">
        <v>5</v>
      </c>
      <c r="H3113" s="1">
        <v>3</v>
      </c>
      <c r="I3113" s="1">
        <v>2</v>
      </c>
      <c r="J3113" s="1">
        <v>2.5</v>
      </c>
      <c r="K3113" s="1">
        <v>2</v>
      </c>
      <c r="L3113" s="1">
        <v>1</v>
      </c>
      <c r="M3113" s="4">
        <v>2137</v>
      </c>
      <c r="N3113" s="1">
        <v>2011</v>
      </c>
      <c r="O3113" s="1">
        <v>4521</v>
      </c>
      <c r="P3113" s="1">
        <v>2510</v>
      </c>
      <c r="Q3113" s="1" t="s">
        <v>42</v>
      </c>
      <c r="S3113" s="1" t="s">
        <v>42</v>
      </c>
      <c r="T3113" s="1" t="s">
        <v>273</v>
      </c>
      <c r="U3113" s="1">
        <v>5</v>
      </c>
      <c r="V3113" s="5">
        <v>43673</v>
      </c>
      <c r="W3113" s="5">
        <v>42558</v>
      </c>
      <c r="X3113" s="1">
        <v>4350000</v>
      </c>
      <c r="Y3113" s="1">
        <v>4350000</v>
      </c>
      <c r="Z3113" s="5">
        <v>42563</v>
      </c>
      <c r="AA3113" s="1">
        <v>4206711</v>
      </c>
      <c r="AB3113" s="1" t="s">
        <v>1969</v>
      </c>
      <c r="AC3113" s="5">
        <v>42594</v>
      </c>
      <c r="AF3113" s="1">
        <v>10016</v>
      </c>
      <c r="AI3113" s="1" t="s">
        <v>78</v>
      </c>
      <c r="AJ3113" s="1">
        <v>1927</v>
      </c>
      <c r="AK3113" s="1" t="s">
        <v>46</v>
      </c>
      <c r="AL3113" s="1">
        <v>70</v>
      </c>
    </row>
    <row r="3114" spans="1:38" x14ac:dyDescent="0.2">
      <c r="A3114" s="2" t="str">
        <f>HYPERLINK("https://www.compass.com/listing/88-lexington-avenue-unit-605-manhattan-ny-10016/29378560774937553/","88 Lexington Ave, Unit 605")</f>
        <v>88 Lexington Ave, Unit 605</v>
      </c>
      <c r="B3114" s="2" t="str">
        <f t="shared" si="529"/>
        <v>88 &amp; 90 Lexington Avenue</v>
      </c>
      <c r="C3114" s="1" t="s">
        <v>40</v>
      </c>
      <c r="D3114" s="1" t="s">
        <v>41</v>
      </c>
      <c r="E3114" s="3">
        <v>4380644</v>
      </c>
      <c r="F3114" s="1">
        <v>2049.9036031820301</v>
      </c>
      <c r="G3114" s="1">
        <v>5</v>
      </c>
      <c r="H3114" s="1">
        <v>3</v>
      </c>
      <c r="I3114" s="1">
        <v>2</v>
      </c>
      <c r="J3114" s="1">
        <v>2</v>
      </c>
      <c r="K3114" s="1">
        <v>2</v>
      </c>
      <c r="M3114" s="4">
        <v>2137</v>
      </c>
      <c r="N3114" s="1">
        <v>2021</v>
      </c>
      <c r="O3114" s="1">
        <v>4543</v>
      </c>
      <c r="P3114" s="1">
        <v>2522</v>
      </c>
      <c r="Q3114" s="1" t="s">
        <v>42</v>
      </c>
      <c r="S3114" s="1" t="s">
        <v>42</v>
      </c>
      <c r="T3114" s="1" t="s">
        <v>273</v>
      </c>
      <c r="U3114" s="1">
        <v>291</v>
      </c>
      <c r="V3114" s="5">
        <v>43673</v>
      </c>
      <c r="W3114" s="5">
        <v>42259</v>
      </c>
      <c r="X3114" s="1">
        <v>4425000</v>
      </c>
      <c r="Y3114" s="1">
        <v>4425000</v>
      </c>
      <c r="Z3114" s="5">
        <v>42550</v>
      </c>
      <c r="AA3114" s="1">
        <v>4380644</v>
      </c>
      <c r="AB3114" s="1" t="s">
        <v>1970</v>
      </c>
      <c r="AC3114" s="5">
        <v>42613</v>
      </c>
      <c r="AF3114" s="1">
        <v>10016</v>
      </c>
      <c r="AI3114" s="1" t="s">
        <v>78</v>
      </c>
      <c r="AJ3114" s="1">
        <v>1927</v>
      </c>
      <c r="AK3114" s="1" t="s">
        <v>46</v>
      </c>
      <c r="AL3114" s="1">
        <v>70</v>
      </c>
    </row>
    <row r="3115" spans="1:38" x14ac:dyDescent="0.2">
      <c r="A3115" s="2" t="str">
        <f>HYPERLINK("https://www.compass.com/listing/88-lexington-avenue-unit-1003-manhattan-ny-10016/29378568333150241/","88 Lexington Ave, Unit 1003")</f>
        <v>88 Lexington Ave, Unit 1003</v>
      </c>
      <c r="B3115" s="2" t="str">
        <f t="shared" si="529"/>
        <v>88 &amp; 90 Lexington Avenue</v>
      </c>
      <c r="C3115" s="1" t="s">
        <v>40</v>
      </c>
      <c r="D3115" s="1" t="s">
        <v>41</v>
      </c>
      <c r="E3115" s="3">
        <v>3222529</v>
      </c>
      <c r="F3115" s="1">
        <v>2091.1933809214702</v>
      </c>
      <c r="G3115" s="1">
        <v>5</v>
      </c>
      <c r="H3115" s="1">
        <v>2</v>
      </c>
      <c r="I3115" s="1">
        <v>2</v>
      </c>
      <c r="J3115" s="1">
        <v>2</v>
      </c>
      <c r="K3115" s="1">
        <v>2</v>
      </c>
      <c r="M3115" s="4">
        <v>1541</v>
      </c>
      <c r="N3115" s="1">
        <v>1485</v>
      </c>
      <c r="O3115" s="1">
        <v>3339</v>
      </c>
      <c r="P3115" s="1">
        <v>1854</v>
      </c>
      <c r="Q3115" s="1" t="s">
        <v>42</v>
      </c>
      <c r="S3115" s="1" t="s">
        <v>42</v>
      </c>
      <c r="T3115" s="1" t="s">
        <v>273</v>
      </c>
      <c r="U3115" s="1">
        <v>193</v>
      </c>
      <c r="V3115" s="5">
        <v>43673</v>
      </c>
      <c r="W3115" s="5">
        <v>42374</v>
      </c>
      <c r="X3115" s="1">
        <v>3200000</v>
      </c>
      <c r="Y3115" s="1">
        <v>3200000</v>
      </c>
      <c r="Z3115" s="5">
        <v>42567</v>
      </c>
      <c r="AA3115" s="1">
        <v>3222529</v>
      </c>
      <c r="AB3115" s="1" t="s">
        <v>1971</v>
      </c>
      <c r="AC3115" s="5">
        <v>42682</v>
      </c>
      <c r="AF3115" s="1">
        <v>10016</v>
      </c>
      <c r="AI3115" s="1" t="s">
        <v>78</v>
      </c>
      <c r="AJ3115" s="1">
        <v>1927</v>
      </c>
      <c r="AK3115" s="1" t="s">
        <v>46</v>
      </c>
      <c r="AL3115" s="1">
        <v>70</v>
      </c>
    </row>
    <row r="3116" spans="1:38" x14ac:dyDescent="0.2">
      <c r="A3116" s="2" t="str">
        <f>HYPERLINK("https://www.compass.com/listing/88-lexington-avenue-unit-1402-manhattan-ny-10016/29378572158355553/","88 Lexington Ave, Unit 1402")</f>
        <v>88 Lexington Ave, Unit 1402</v>
      </c>
      <c r="B3116" s="2" t="str">
        <f t="shared" si="529"/>
        <v>88 &amp; 90 Lexington Avenue</v>
      </c>
      <c r="C3116" s="1" t="s">
        <v>40</v>
      </c>
      <c r="D3116" s="1" t="s">
        <v>41</v>
      </c>
      <c r="E3116" s="3">
        <v>3627715</v>
      </c>
      <c r="F3116" s="1">
        <v>1936.8473037907099</v>
      </c>
      <c r="G3116" s="1">
        <v>5</v>
      </c>
      <c r="H3116" s="1">
        <v>2</v>
      </c>
      <c r="I3116" s="1">
        <v>2</v>
      </c>
      <c r="J3116" s="1">
        <v>2</v>
      </c>
      <c r="K3116" s="1">
        <v>2</v>
      </c>
      <c r="M3116" s="4">
        <v>1873</v>
      </c>
      <c r="N3116" s="1">
        <v>1831</v>
      </c>
      <c r="O3116" s="1">
        <v>3772</v>
      </c>
      <c r="P3116" s="1">
        <v>1941</v>
      </c>
      <c r="Q3116" s="1" t="s">
        <v>42</v>
      </c>
      <c r="S3116" s="1" t="s">
        <v>42</v>
      </c>
      <c r="T3116" s="1" t="s">
        <v>273</v>
      </c>
      <c r="V3116" s="5">
        <v>43675</v>
      </c>
      <c r="W3116" s="5">
        <v>42507</v>
      </c>
      <c r="X3116" s="1">
        <v>3645000</v>
      </c>
      <c r="Y3116" s="1">
        <v>3645000</v>
      </c>
      <c r="Z3116" s="5">
        <v>42507</v>
      </c>
      <c r="AA3116" s="1">
        <v>3627715</v>
      </c>
      <c r="AB3116" s="1" t="s">
        <v>1972</v>
      </c>
      <c r="AC3116" s="5">
        <v>42570</v>
      </c>
      <c r="AF3116" s="1">
        <v>10016</v>
      </c>
      <c r="AI3116" s="1" t="s">
        <v>78</v>
      </c>
      <c r="AJ3116" s="1">
        <v>1927</v>
      </c>
      <c r="AK3116" s="1" t="s">
        <v>46</v>
      </c>
      <c r="AL3116" s="1">
        <v>70</v>
      </c>
    </row>
    <row r="3117" spans="1:38" x14ac:dyDescent="0.2">
      <c r="A3117" s="2" t="str">
        <f>HYPERLINK("https://www.compass.com/listing/88-lexington-avenue-unit-1206-manhattan-ny-10016/70892566140217457/","88 Lexington Ave, Unit 1206")</f>
        <v>88 Lexington Ave, Unit 1206</v>
      </c>
      <c r="B3117" s="2" t="str">
        <f t="shared" si="529"/>
        <v>88 &amp; 90 Lexington Avenue</v>
      </c>
      <c r="C3117" s="1" t="s">
        <v>40</v>
      </c>
      <c r="D3117" s="1" t="s">
        <v>41</v>
      </c>
      <c r="E3117" s="3">
        <v>4934227</v>
      </c>
      <c r="F3117" s="1">
        <v>2127.7391116860699</v>
      </c>
      <c r="G3117" s="1">
        <v>5</v>
      </c>
      <c r="H3117" s="1">
        <v>3</v>
      </c>
      <c r="I3117" s="1">
        <v>3</v>
      </c>
      <c r="J3117" s="1">
        <v>3.5</v>
      </c>
      <c r="K3117" s="1">
        <v>3</v>
      </c>
      <c r="L3117" s="1">
        <v>1</v>
      </c>
      <c r="M3117" s="4">
        <v>2319</v>
      </c>
      <c r="N3117" s="1">
        <v>2421</v>
      </c>
      <c r="O3117" s="1">
        <v>5024</v>
      </c>
      <c r="P3117" s="1">
        <v>2603</v>
      </c>
      <c r="Q3117" s="1" t="s">
        <v>42</v>
      </c>
      <c r="S3117" s="1" t="s">
        <v>42</v>
      </c>
      <c r="T3117" s="1" t="s">
        <v>273</v>
      </c>
      <c r="U3117" s="1">
        <v>72</v>
      </c>
      <c r="V3117" s="5">
        <v>43673</v>
      </c>
      <c r="W3117" s="5">
        <v>42325</v>
      </c>
      <c r="X3117" s="1">
        <v>5100000</v>
      </c>
      <c r="Y3117" s="1">
        <v>5100000</v>
      </c>
      <c r="Z3117" s="5">
        <v>42397</v>
      </c>
      <c r="AA3117" s="1">
        <v>4934227</v>
      </c>
      <c r="AB3117" s="1" t="s">
        <v>1973</v>
      </c>
      <c r="AC3117" s="5">
        <v>42573</v>
      </c>
      <c r="AF3117" s="1">
        <v>10016</v>
      </c>
      <c r="AI3117" s="1" t="s">
        <v>78</v>
      </c>
      <c r="AJ3117" s="1">
        <v>1927</v>
      </c>
      <c r="AK3117" s="1" t="s">
        <v>46</v>
      </c>
      <c r="AL3117" s="1">
        <v>70</v>
      </c>
    </row>
    <row r="3118" spans="1:38" x14ac:dyDescent="0.2">
      <c r="A3118" s="2" t="str">
        <f>HYPERLINK("https://www.compass.com/listing/88-lexington-avenue-unit-806-manhattan-ny-10016/783360290622706521/","88 Lexington Ave, Unit 806")</f>
        <v>88 Lexington Ave, Unit 806</v>
      </c>
      <c r="B3118" s="2" t="str">
        <f t="shared" si="529"/>
        <v>88 &amp; 90 Lexington Avenue</v>
      </c>
      <c r="C3118" s="1" t="s">
        <v>40</v>
      </c>
      <c r="D3118" s="1" t="s">
        <v>41</v>
      </c>
      <c r="E3118" s="3">
        <v>4209314</v>
      </c>
      <c r="F3118" s="1">
        <v>1815.14206123329</v>
      </c>
      <c r="G3118" s="1">
        <v>5</v>
      </c>
      <c r="H3118" s="1">
        <v>3</v>
      </c>
      <c r="I3118" s="1">
        <v>3</v>
      </c>
      <c r="J3118" s="1">
        <v>3</v>
      </c>
      <c r="K3118" s="1">
        <v>3</v>
      </c>
      <c r="M3118" s="4">
        <v>2319</v>
      </c>
      <c r="N3118" s="1">
        <v>2208</v>
      </c>
      <c r="O3118" s="1">
        <v>4559</v>
      </c>
      <c r="P3118" s="1">
        <v>2351</v>
      </c>
      <c r="Q3118" s="1" t="s">
        <v>42</v>
      </c>
      <c r="S3118" s="1" t="s">
        <v>42</v>
      </c>
      <c r="T3118" s="1" t="s">
        <v>273</v>
      </c>
      <c r="U3118" s="1">
        <v>61</v>
      </c>
      <c r="V3118" s="5">
        <v>42998</v>
      </c>
      <c r="W3118" s="5">
        <v>42263</v>
      </c>
      <c r="X3118" s="1">
        <v>4720000</v>
      </c>
      <c r="Y3118" s="1">
        <v>4720000</v>
      </c>
      <c r="AA3118" s="1">
        <v>4209314.4400000004</v>
      </c>
      <c r="AB3118" s="1" t="s">
        <v>1974</v>
      </c>
      <c r="AC3118" s="5">
        <v>42985</v>
      </c>
      <c r="AF3118" s="1">
        <v>10016</v>
      </c>
      <c r="AI3118" s="1" t="s">
        <v>78</v>
      </c>
      <c r="AJ3118" s="1">
        <v>1927</v>
      </c>
      <c r="AK3118" s="1" t="s">
        <v>46</v>
      </c>
      <c r="AL3118" s="1">
        <v>70</v>
      </c>
    </row>
    <row r="3119" spans="1:38" x14ac:dyDescent="0.2">
      <c r="A3119" s="2" t="str">
        <f>HYPERLINK("https://www.compass.com/listing/88-lexington-avenue-unit-406-manhattan-ny-10016/29517560923822433/","88 Lexington Ave, Unit 406")</f>
        <v>88 Lexington Ave, Unit 406</v>
      </c>
      <c r="B3119" s="2" t="str">
        <f t="shared" si="529"/>
        <v>88 &amp; 90 Lexington Avenue</v>
      </c>
      <c r="C3119" s="1" t="s">
        <v>40</v>
      </c>
      <c r="D3119" s="1" t="s">
        <v>41</v>
      </c>
      <c r="E3119" s="3">
        <v>2973061</v>
      </c>
      <c r="F3119" s="1">
        <v>1830.7025862068899</v>
      </c>
      <c r="G3119" s="1">
        <v>4</v>
      </c>
      <c r="H3119" s="1">
        <v>2</v>
      </c>
      <c r="I3119" s="1">
        <v>2</v>
      </c>
      <c r="J3119" s="1">
        <v>2.5</v>
      </c>
      <c r="K3119" s="1">
        <v>2</v>
      </c>
      <c r="L3119" s="1">
        <v>1</v>
      </c>
      <c r="M3119" s="4">
        <v>1624</v>
      </c>
      <c r="N3119" s="1">
        <v>1593</v>
      </c>
      <c r="O3119" s="1">
        <v>4324</v>
      </c>
      <c r="P3119" s="1">
        <v>2731</v>
      </c>
      <c r="Q3119" s="1" t="s">
        <v>42</v>
      </c>
      <c r="S3119" s="1" t="s">
        <v>42</v>
      </c>
      <c r="T3119" s="1" t="s">
        <v>273</v>
      </c>
      <c r="V3119" s="5">
        <v>43643</v>
      </c>
      <c r="W3119" s="5">
        <v>43201</v>
      </c>
      <c r="X3119" s="1">
        <v>3150000</v>
      </c>
      <c r="Y3119" s="1">
        <v>3150000</v>
      </c>
      <c r="Z3119" s="5">
        <v>43201</v>
      </c>
      <c r="AA3119" s="1">
        <v>2973061</v>
      </c>
      <c r="AB3119" s="1" t="s">
        <v>1975</v>
      </c>
      <c r="AC3119" s="5">
        <v>43284</v>
      </c>
      <c r="AF3119" s="1">
        <v>10016</v>
      </c>
      <c r="AI3119" s="1" t="s">
        <v>78</v>
      </c>
      <c r="AJ3119" s="1">
        <v>1927</v>
      </c>
      <c r="AK3119" s="1" t="s">
        <v>46</v>
      </c>
      <c r="AL3119" s="1">
        <v>70</v>
      </c>
    </row>
    <row r="3120" spans="1:38" x14ac:dyDescent="0.2">
      <c r="A3120" s="2" t="str">
        <f>HYPERLINK("https://www.compass.com/listing/200-east-94th-street-unit-402-manhattan-ny-10128/455661088022288105/","200 E 94th St, Unit 402")</f>
        <v>200 E 94th St, Unit 402</v>
      </c>
      <c r="B3120" s="2" t="str">
        <f t="shared" ref="B3120:B3121" si="530">HYPERLINK("https://www.compass.com/building/carnegie-park-condominium-manhattan-ny/282049797358118613/","Carnegie Park Condominium")</f>
        <v>Carnegie Park Condominium</v>
      </c>
      <c r="C3120" s="1" t="s">
        <v>82</v>
      </c>
      <c r="D3120" s="1" t="s">
        <v>41</v>
      </c>
      <c r="E3120" s="3">
        <v>1013449</v>
      </c>
      <c r="F3120" s="1">
        <v>1311.0591849935299</v>
      </c>
      <c r="G3120" s="1">
        <v>3</v>
      </c>
      <c r="H3120" s="1">
        <v>1</v>
      </c>
      <c r="I3120" s="1">
        <v>1</v>
      </c>
      <c r="J3120" s="1">
        <v>1</v>
      </c>
      <c r="K3120" s="1">
        <v>1</v>
      </c>
      <c r="M3120" s="1">
        <v>773</v>
      </c>
      <c r="N3120" s="1">
        <v>893</v>
      </c>
      <c r="O3120" s="1">
        <v>1833</v>
      </c>
      <c r="P3120" s="1">
        <v>940</v>
      </c>
      <c r="Q3120" s="1" t="s">
        <v>42</v>
      </c>
      <c r="S3120" s="1" t="s">
        <v>42</v>
      </c>
      <c r="T3120" s="1" t="s">
        <v>273</v>
      </c>
      <c r="U3120" s="1">
        <v>69</v>
      </c>
      <c r="V3120" s="5">
        <v>44145</v>
      </c>
      <c r="W3120" s="5">
        <v>43873</v>
      </c>
      <c r="X3120" s="1">
        <v>1175000</v>
      </c>
      <c r="Y3120" s="1">
        <v>1095000</v>
      </c>
      <c r="Z3120" s="5">
        <v>44037</v>
      </c>
      <c r="AA3120" s="1">
        <v>1013448.75</v>
      </c>
      <c r="AB3120" s="1" t="s">
        <v>1976</v>
      </c>
      <c r="AC3120" s="5">
        <v>44124</v>
      </c>
      <c r="AF3120" s="1">
        <v>10128</v>
      </c>
      <c r="AI3120" s="1" t="s">
        <v>185</v>
      </c>
      <c r="AJ3120" s="1">
        <v>1986</v>
      </c>
      <c r="AK3120" s="1" t="s">
        <v>108</v>
      </c>
      <c r="AL3120" s="1">
        <v>287</v>
      </c>
    </row>
    <row r="3121" spans="1:38" x14ac:dyDescent="0.2">
      <c r="A3121" s="2" t="str">
        <f>HYPERLINK("https://www.compass.com/listing/200-east-94th-street-unit-2417-manhattan-ny-10128/29423497012912673/","200 E 94th St, Unit 2417")</f>
        <v>200 E 94th St, Unit 2417</v>
      </c>
      <c r="B3121" s="2" t="str">
        <f t="shared" si="530"/>
        <v>Carnegie Park Condominium</v>
      </c>
      <c r="C3121" s="1" t="s">
        <v>82</v>
      </c>
      <c r="D3121" s="1" t="s">
        <v>41</v>
      </c>
      <c r="E3121" s="3">
        <v>3495000</v>
      </c>
      <c r="F3121" s="1">
        <v>1859.04255319148</v>
      </c>
      <c r="G3121" s="1">
        <v>6</v>
      </c>
      <c r="H3121" s="1">
        <v>4</v>
      </c>
      <c r="I3121" s="1">
        <v>3</v>
      </c>
      <c r="J3121" s="1">
        <v>3</v>
      </c>
      <c r="K3121" s="1">
        <v>3</v>
      </c>
      <c r="M3121" s="4">
        <v>1880</v>
      </c>
      <c r="N3121" s="1">
        <v>1963</v>
      </c>
      <c r="O3121" s="1">
        <v>4049</v>
      </c>
      <c r="P3121" s="1">
        <v>2086</v>
      </c>
      <c r="Q3121" s="1" t="s">
        <v>42</v>
      </c>
      <c r="S3121" s="1" t="s">
        <v>42</v>
      </c>
      <c r="T3121" s="1" t="s">
        <v>273</v>
      </c>
      <c r="U3121" s="1">
        <v>194</v>
      </c>
      <c r="V3121" s="5">
        <v>43663</v>
      </c>
      <c r="W3121" s="5">
        <v>42419</v>
      </c>
      <c r="X3121" s="1">
        <v>3645000</v>
      </c>
      <c r="Y3121" s="1">
        <v>3495000</v>
      </c>
      <c r="AA3121" s="1">
        <v>3495000</v>
      </c>
      <c r="AB3121" s="1" t="s">
        <v>1977</v>
      </c>
      <c r="AC3121" s="5">
        <v>42613</v>
      </c>
      <c r="AF3121" s="1">
        <v>10128</v>
      </c>
      <c r="AI3121" s="1" t="s">
        <v>163</v>
      </c>
      <c r="AJ3121" s="1">
        <v>1986</v>
      </c>
      <c r="AK3121" s="1" t="s">
        <v>108</v>
      </c>
      <c r="AL3121" s="1">
        <v>287</v>
      </c>
    </row>
    <row r="3122" spans="1:38" x14ac:dyDescent="0.2">
      <c r="A3122" s="2" t="str">
        <f>HYPERLINK("https://www.compass.com/listing/565-broome-street-unit-n8c-manhattan-ny-10013/784627582174422353/","565 Broome St, Unit N8C")</f>
        <v>565 Broome St, Unit N8C</v>
      </c>
      <c r="B3122" s="2" t="str">
        <f t="shared" ref="B3122:B3126" si="531">HYPERLINK("https://www.compass.com/building/565-broome-soho-manhattan-ny/292813251698267109/","565 Broome Soho")</f>
        <v>565 Broome Soho</v>
      </c>
      <c r="C3122" s="1" t="s">
        <v>53</v>
      </c>
      <c r="D3122" s="1" t="s">
        <v>41</v>
      </c>
      <c r="E3122" s="3">
        <v>3486768</v>
      </c>
      <c r="F3122" s="1">
        <v>2074.2222189173099</v>
      </c>
      <c r="G3122" s="1">
        <v>4</v>
      </c>
      <c r="H3122" s="1">
        <v>2</v>
      </c>
      <c r="I3122" s="1">
        <v>3</v>
      </c>
      <c r="J3122" s="1">
        <v>2.5</v>
      </c>
      <c r="K3122" s="1">
        <v>2</v>
      </c>
      <c r="L3122" s="1">
        <v>1</v>
      </c>
      <c r="M3122" s="4">
        <v>1681</v>
      </c>
      <c r="N3122" s="1">
        <v>2479</v>
      </c>
      <c r="O3122" s="1">
        <v>5213</v>
      </c>
      <c r="P3122" s="1">
        <v>2734</v>
      </c>
      <c r="Q3122" s="1" t="s">
        <v>42</v>
      </c>
      <c r="S3122" s="1" t="s">
        <v>42</v>
      </c>
      <c r="T3122" s="1" t="s">
        <v>273</v>
      </c>
      <c r="V3122" s="5">
        <v>44344</v>
      </c>
      <c r="AA3122" s="1">
        <v>3486767.55</v>
      </c>
      <c r="AB3122" s="1" t="s">
        <v>1978</v>
      </c>
      <c r="AC3122" s="5">
        <v>43560</v>
      </c>
      <c r="AF3122" s="1">
        <v>10013</v>
      </c>
      <c r="AI3122" s="1" t="s">
        <v>48</v>
      </c>
      <c r="AJ3122" s="1">
        <v>2019</v>
      </c>
      <c r="AK3122" s="1" t="s">
        <v>46</v>
      </c>
      <c r="AL3122" s="1">
        <v>115</v>
      </c>
    </row>
    <row r="3123" spans="1:38" x14ac:dyDescent="0.2">
      <c r="A3123" s="2" t="str">
        <f>HYPERLINK("https://www.compass.com/listing/565-broome-street-unit-s9c-manhattan-ny-10013/803308026425724337/","565 Broome St, Unit S9C")</f>
        <v>565 Broome St, Unit S9C</v>
      </c>
      <c r="B3123" s="2" t="str">
        <f t="shared" si="531"/>
        <v>565 Broome Soho</v>
      </c>
      <c r="C3123" s="1" t="s">
        <v>53</v>
      </c>
      <c r="D3123" s="1" t="s">
        <v>41</v>
      </c>
      <c r="E3123" s="3">
        <v>3400000</v>
      </c>
      <c r="F3123" s="1">
        <v>2022.60559190957</v>
      </c>
      <c r="G3123" s="1">
        <v>4</v>
      </c>
      <c r="H3123" s="1">
        <v>2</v>
      </c>
      <c r="I3123" s="1">
        <v>3</v>
      </c>
      <c r="J3123" s="1">
        <v>2.5</v>
      </c>
      <c r="K3123" s="1">
        <v>2</v>
      </c>
      <c r="L3123" s="1">
        <v>1</v>
      </c>
      <c r="M3123" s="4">
        <v>1681</v>
      </c>
      <c r="N3123" s="1">
        <v>2479</v>
      </c>
      <c r="O3123" s="1">
        <v>5213</v>
      </c>
      <c r="P3123" s="1">
        <v>2734</v>
      </c>
      <c r="Q3123" s="1" t="s">
        <v>42</v>
      </c>
      <c r="S3123" s="1" t="s">
        <v>42</v>
      </c>
      <c r="T3123" s="1" t="s">
        <v>273</v>
      </c>
      <c r="V3123" s="5">
        <v>44344</v>
      </c>
      <c r="AA3123" s="1">
        <v>3400000</v>
      </c>
      <c r="AB3123" s="1" t="s">
        <v>1262</v>
      </c>
      <c r="AC3123" s="5">
        <v>43714</v>
      </c>
      <c r="AF3123" s="1">
        <v>10013</v>
      </c>
      <c r="AI3123" s="1" t="s">
        <v>48</v>
      </c>
      <c r="AJ3123" s="1">
        <v>2019</v>
      </c>
      <c r="AK3123" s="1" t="s">
        <v>49</v>
      </c>
      <c r="AL3123" s="1">
        <v>115</v>
      </c>
    </row>
    <row r="3124" spans="1:38" x14ac:dyDescent="0.2">
      <c r="A3124" s="2" t="str">
        <f>HYPERLINK("https://www.compass.com/listing/565-broome-street-unit-s20a-manhattan-ny-10013/786303309004059185/","565 Broome St, Unit S20A")</f>
        <v>565 Broome St, Unit S20A</v>
      </c>
      <c r="B3124" s="2" t="str">
        <f t="shared" si="531"/>
        <v>565 Broome Soho</v>
      </c>
      <c r="C3124" s="1" t="s">
        <v>53</v>
      </c>
      <c r="D3124" s="1" t="s">
        <v>41</v>
      </c>
      <c r="E3124" s="3">
        <v>5330697</v>
      </c>
      <c r="F3124" s="1">
        <v>2618.2205304518602</v>
      </c>
      <c r="G3124" s="1">
        <v>4</v>
      </c>
      <c r="H3124" s="1">
        <v>2</v>
      </c>
      <c r="I3124" s="1">
        <v>3</v>
      </c>
      <c r="J3124" s="1">
        <v>2.5</v>
      </c>
      <c r="K3124" s="1">
        <v>2</v>
      </c>
      <c r="L3124" s="1">
        <v>1</v>
      </c>
      <c r="M3124" s="4">
        <v>2036</v>
      </c>
      <c r="N3124" s="1">
        <v>3135</v>
      </c>
      <c r="O3124" s="1">
        <v>6593</v>
      </c>
      <c r="P3124" s="1">
        <v>3458</v>
      </c>
      <c r="Q3124" s="1" t="s">
        <v>42</v>
      </c>
      <c r="S3124" s="1" t="s">
        <v>42</v>
      </c>
      <c r="T3124" s="1" t="s">
        <v>273</v>
      </c>
      <c r="V3124" s="5">
        <v>44344</v>
      </c>
      <c r="AA3124" s="1">
        <v>5330697</v>
      </c>
      <c r="AB3124" s="1" t="s">
        <v>1648</v>
      </c>
      <c r="AC3124" s="5">
        <v>43588</v>
      </c>
      <c r="AF3124" s="1">
        <v>10013</v>
      </c>
      <c r="AI3124" s="1" t="s">
        <v>48</v>
      </c>
      <c r="AJ3124" s="1">
        <v>2019</v>
      </c>
      <c r="AK3124" s="1" t="s">
        <v>49</v>
      </c>
      <c r="AL3124" s="1">
        <v>115</v>
      </c>
    </row>
    <row r="3125" spans="1:38" x14ac:dyDescent="0.2">
      <c r="A3125" s="2" t="str">
        <f>HYPERLINK("https://www.compass.com/listing/565-broome-street-unit-s18a-manhattan-ny-10013/786303496017738265/","565 Broome St, Unit S18A")</f>
        <v>565 Broome St, Unit S18A</v>
      </c>
      <c r="B3125" s="2" t="str">
        <f t="shared" si="531"/>
        <v>565 Broome Soho</v>
      </c>
      <c r="C3125" s="1" t="s">
        <v>53</v>
      </c>
      <c r="D3125" s="1" t="s">
        <v>41</v>
      </c>
      <c r="E3125" s="3">
        <v>5093057</v>
      </c>
      <c r="F3125" s="1">
        <v>2501.5015569744501</v>
      </c>
      <c r="G3125" s="1">
        <v>4</v>
      </c>
      <c r="H3125" s="1">
        <v>2</v>
      </c>
      <c r="I3125" s="1">
        <v>3</v>
      </c>
      <c r="J3125" s="1">
        <v>2.5</v>
      </c>
      <c r="K3125" s="1">
        <v>2</v>
      </c>
      <c r="L3125" s="1">
        <v>1</v>
      </c>
      <c r="M3125" s="4">
        <v>2036</v>
      </c>
      <c r="N3125" s="1">
        <v>3106</v>
      </c>
      <c r="O3125" s="1">
        <v>6531</v>
      </c>
      <c r="P3125" s="1">
        <v>3425</v>
      </c>
      <c r="Q3125" s="1" t="s">
        <v>42</v>
      </c>
      <c r="S3125" s="1" t="s">
        <v>42</v>
      </c>
      <c r="T3125" s="1" t="s">
        <v>273</v>
      </c>
      <c r="V3125" s="5">
        <v>44344</v>
      </c>
      <c r="AA3125" s="1">
        <v>5093057.17</v>
      </c>
      <c r="AB3125" s="1" t="s">
        <v>1645</v>
      </c>
      <c r="AC3125" s="5">
        <v>43573</v>
      </c>
      <c r="AF3125" s="1">
        <v>10013</v>
      </c>
      <c r="AI3125" s="1" t="s">
        <v>48</v>
      </c>
      <c r="AJ3125" s="1">
        <v>2019</v>
      </c>
      <c r="AK3125" s="1" t="s">
        <v>49</v>
      </c>
      <c r="AL3125" s="1">
        <v>115</v>
      </c>
    </row>
    <row r="3126" spans="1:38" x14ac:dyDescent="0.2">
      <c r="A3126" s="2" t="str">
        <f>HYPERLINK("https://www.compass.com/listing/565-broome-street-unit-s11c-manhattan-ny-10013/786341111427500537/","565 Broome St, Unit S11C")</f>
        <v>565 Broome St, Unit S11C</v>
      </c>
      <c r="B3126" s="2" t="str">
        <f t="shared" si="531"/>
        <v>565 Broome Soho</v>
      </c>
      <c r="C3126" s="1" t="s">
        <v>53</v>
      </c>
      <c r="D3126" s="1" t="s">
        <v>41</v>
      </c>
      <c r="E3126" s="3">
        <v>4025000</v>
      </c>
      <c r="F3126" s="1">
        <v>2394.4080904223601</v>
      </c>
      <c r="G3126" s="1">
        <v>4</v>
      </c>
      <c r="H3126" s="1">
        <v>2</v>
      </c>
      <c r="I3126" s="1">
        <v>3</v>
      </c>
      <c r="J3126" s="1">
        <v>2.5</v>
      </c>
      <c r="K3126" s="1">
        <v>2</v>
      </c>
      <c r="L3126" s="1">
        <v>1</v>
      </c>
      <c r="M3126" s="4">
        <v>1681</v>
      </c>
      <c r="N3126" s="1">
        <v>2503</v>
      </c>
      <c r="O3126" s="1">
        <v>5264</v>
      </c>
      <c r="P3126" s="1">
        <v>2761</v>
      </c>
      <c r="Q3126" s="1" t="s">
        <v>42</v>
      </c>
      <c r="S3126" s="1" t="s">
        <v>42</v>
      </c>
      <c r="T3126" s="1" t="s">
        <v>273</v>
      </c>
      <c r="V3126" s="5">
        <v>44344</v>
      </c>
      <c r="AA3126" s="1">
        <v>4025000</v>
      </c>
      <c r="AB3126" s="1" t="s">
        <v>1636</v>
      </c>
      <c r="AC3126" s="5">
        <v>43608</v>
      </c>
      <c r="AF3126" s="1">
        <v>10013</v>
      </c>
      <c r="AI3126" s="1" t="s">
        <v>48</v>
      </c>
      <c r="AJ3126" s="1">
        <v>2019</v>
      </c>
      <c r="AK3126" s="1" t="s">
        <v>49</v>
      </c>
      <c r="AL3126" s="1">
        <v>115</v>
      </c>
    </row>
    <row r="3127" spans="1:38" x14ac:dyDescent="0.2">
      <c r="A3127" s="2" t="str">
        <f>HYPERLINK("https://www.compass.com/listing/300-east-64th-street-unit-7c-manhattan-ny-10065/345593058816440017/","300 E 64th St, Unit 7C")</f>
        <v>300 E 64th St, Unit 7C</v>
      </c>
      <c r="B3127" s="2" t="str">
        <f>HYPERLINK("https://www.compass.com/building/300-e-64th-st-manhattan-ny-10065/282038617012979925/","300 E 64th St")</f>
        <v>300 E 64th St</v>
      </c>
      <c r="C3127" s="1" t="s">
        <v>82</v>
      </c>
      <c r="D3127" s="1" t="s">
        <v>41</v>
      </c>
      <c r="E3127" s="3">
        <v>860000</v>
      </c>
      <c r="F3127" s="1">
        <v>983.98169336384399</v>
      </c>
      <c r="G3127" s="1">
        <v>3</v>
      </c>
      <c r="H3127" s="1">
        <v>1</v>
      </c>
      <c r="I3127" s="1">
        <v>1</v>
      </c>
      <c r="J3127" s="1">
        <v>1</v>
      </c>
      <c r="K3127" s="1">
        <v>1</v>
      </c>
      <c r="M3127" s="1">
        <v>874</v>
      </c>
      <c r="N3127" s="1">
        <v>1069</v>
      </c>
      <c r="O3127" s="1">
        <v>2654</v>
      </c>
      <c r="P3127" s="1">
        <v>1585</v>
      </c>
      <c r="Q3127" s="1" t="s">
        <v>42</v>
      </c>
      <c r="S3127" s="1" t="s">
        <v>42</v>
      </c>
      <c r="T3127" s="1" t="s">
        <v>273</v>
      </c>
      <c r="U3127" s="1">
        <v>117</v>
      </c>
      <c r="V3127" s="5">
        <v>43901</v>
      </c>
      <c r="W3127" s="5">
        <v>43728</v>
      </c>
      <c r="X3127" s="1">
        <v>925000</v>
      </c>
      <c r="Y3127" s="1">
        <v>860000</v>
      </c>
      <c r="Z3127" s="5">
        <v>43864</v>
      </c>
      <c r="AA3127" s="1">
        <v>860000</v>
      </c>
      <c r="AB3127" s="1" t="s">
        <v>1979</v>
      </c>
      <c r="AC3127" s="5">
        <v>43886</v>
      </c>
      <c r="AF3127" s="1">
        <v>10065</v>
      </c>
      <c r="AI3127" s="1" t="s">
        <v>189</v>
      </c>
      <c r="AJ3127" s="1">
        <v>1996</v>
      </c>
      <c r="AK3127" s="1" t="s">
        <v>46</v>
      </c>
      <c r="AL3127" s="1">
        <v>103</v>
      </c>
    </row>
    <row r="3128" spans="1:38" x14ac:dyDescent="0.2">
      <c r="A3128" s="2" t="str">
        <f>HYPERLINK("https://www.compass.com/listing/88-lexington-avenue-unit-902-manhattan-ny-10016/29378566512745553/","88 Lexington Ave, Unit 902")</f>
        <v>88 Lexington Ave, Unit 902</v>
      </c>
      <c r="B3128" s="2" t="str">
        <f t="shared" ref="B3128:B3130" si="532">HYPERLINK("https://www.compass.com/building/88-90-lexington-avenue-manhattan-ny/281903945159296309/","88 &amp; 90 Lexington Avenue")</f>
        <v>88 &amp; 90 Lexington Avenue</v>
      </c>
      <c r="C3128" s="1" t="s">
        <v>40</v>
      </c>
      <c r="D3128" s="1" t="s">
        <v>41</v>
      </c>
      <c r="E3128" s="3">
        <v>3439751</v>
      </c>
      <c r="F3128" s="1">
        <v>1836.49279231179</v>
      </c>
      <c r="G3128" s="1">
        <v>5</v>
      </c>
      <c r="H3128" s="1">
        <v>2</v>
      </c>
      <c r="I3128" s="1">
        <v>2</v>
      </c>
      <c r="J3128" s="1">
        <v>2</v>
      </c>
      <c r="K3128" s="1">
        <v>2</v>
      </c>
      <c r="M3128" s="4">
        <v>1873</v>
      </c>
      <c r="N3128" s="1">
        <v>1797</v>
      </c>
      <c r="O3128" s="1">
        <v>4040</v>
      </c>
      <c r="P3128" s="1">
        <v>2243</v>
      </c>
      <c r="Q3128" s="1" t="s">
        <v>42</v>
      </c>
      <c r="S3128" s="1" t="s">
        <v>42</v>
      </c>
      <c r="T3128" s="1" t="s">
        <v>273</v>
      </c>
      <c r="U3128" s="1">
        <v>95</v>
      </c>
      <c r="V3128" s="5">
        <v>43664</v>
      </c>
      <c r="W3128" s="5">
        <v>42164</v>
      </c>
      <c r="X3128" s="1">
        <v>3475000</v>
      </c>
      <c r="Y3128" s="1">
        <v>3475000</v>
      </c>
      <c r="Z3128" s="5">
        <v>42277</v>
      </c>
      <c r="AA3128" s="1">
        <v>3439751</v>
      </c>
      <c r="AB3128" s="1" t="s">
        <v>1980</v>
      </c>
      <c r="AC3128" s="5">
        <v>42591</v>
      </c>
      <c r="AF3128" s="1">
        <v>10016</v>
      </c>
      <c r="AI3128" s="1" t="s">
        <v>78</v>
      </c>
      <c r="AJ3128" s="1">
        <v>1927</v>
      </c>
      <c r="AK3128" s="1" t="s">
        <v>46</v>
      </c>
      <c r="AL3128" s="1">
        <v>70</v>
      </c>
    </row>
    <row r="3129" spans="1:38" x14ac:dyDescent="0.2">
      <c r="A3129" s="2" t="str">
        <f>HYPERLINK("https://www.compass.com/listing/88-lexington-avenue-unit-702-manhattan-ny-10016/29507143212283681/","88 Lexington Ave, Unit 702")</f>
        <v>88 Lexington Ave, Unit 702</v>
      </c>
      <c r="B3129" s="2" t="str">
        <f t="shared" si="532"/>
        <v>88 &amp; 90 Lexington Avenue</v>
      </c>
      <c r="C3129" s="1" t="s">
        <v>40</v>
      </c>
      <c r="D3129" s="1" t="s">
        <v>41</v>
      </c>
      <c r="E3129" s="3">
        <v>3401091</v>
      </c>
      <c r="F3129" s="1">
        <v>1815.85210891617</v>
      </c>
      <c r="G3129" s="1">
        <v>5</v>
      </c>
      <c r="H3129" s="1">
        <v>2</v>
      </c>
      <c r="I3129" s="1">
        <v>2</v>
      </c>
      <c r="J3129" s="1">
        <v>2</v>
      </c>
      <c r="K3129" s="1">
        <v>2</v>
      </c>
      <c r="M3129" s="4">
        <v>1873</v>
      </c>
      <c r="N3129" s="1">
        <v>1720</v>
      </c>
      <c r="O3129" s="1">
        <v>3898</v>
      </c>
      <c r="P3129" s="1">
        <v>2178</v>
      </c>
      <c r="Q3129" s="1" t="s">
        <v>42</v>
      </c>
      <c r="S3129" s="1" t="s">
        <v>42</v>
      </c>
      <c r="T3129" s="1" t="s">
        <v>273</v>
      </c>
      <c r="V3129" s="5">
        <v>43676</v>
      </c>
      <c r="W3129" s="5">
        <v>42531</v>
      </c>
      <c r="X3129" s="1">
        <v>3400000</v>
      </c>
      <c r="Y3129" s="1">
        <v>3400000</v>
      </c>
      <c r="Z3129" s="5">
        <v>42531</v>
      </c>
      <c r="AA3129" s="1">
        <v>3401091</v>
      </c>
      <c r="AB3129" s="1" t="s">
        <v>1981</v>
      </c>
      <c r="AC3129" s="5">
        <v>42536</v>
      </c>
      <c r="AF3129" s="1">
        <v>10016</v>
      </c>
      <c r="AI3129" s="1" t="s">
        <v>78</v>
      </c>
      <c r="AJ3129" s="1">
        <v>1927</v>
      </c>
      <c r="AK3129" s="1" t="s">
        <v>46</v>
      </c>
      <c r="AL3129" s="1">
        <v>70</v>
      </c>
    </row>
    <row r="3130" spans="1:38" x14ac:dyDescent="0.2">
      <c r="A3130" s="2" t="str">
        <f>HYPERLINK("https://www.compass.com/listing/88-lexington-avenue-unit-706-manhattan-ny-10016/803339292940429529/","88 Lexington Ave, Unit 706")</f>
        <v>88 Lexington Ave, Unit 706</v>
      </c>
      <c r="B3130" s="2" t="str">
        <f t="shared" si="532"/>
        <v>88 &amp; 90 Lexington Avenue</v>
      </c>
      <c r="C3130" s="1" t="s">
        <v>40</v>
      </c>
      <c r="D3130" s="1" t="s">
        <v>41</v>
      </c>
      <c r="E3130" s="3">
        <v>4433286</v>
      </c>
      <c r="F3130" s="1">
        <v>1919.1715194805099</v>
      </c>
      <c r="G3130" s="1">
        <v>5</v>
      </c>
      <c r="H3130" s="1">
        <v>3</v>
      </c>
      <c r="I3130" s="1">
        <v>3</v>
      </c>
      <c r="J3130" s="1">
        <v>3.5</v>
      </c>
      <c r="K3130" s="1">
        <v>3</v>
      </c>
      <c r="L3130" s="1">
        <v>1</v>
      </c>
      <c r="M3130" s="4">
        <v>2310</v>
      </c>
      <c r="N3130" s="1">
        <v>2195</v>
      </c>
      <c r="O3130" s="1">
        <v>5383</v>
      </c>
      <c r="P3130" s="1">
        <v>3188</v>
      </c>
      <c r="Q3130" s="1" t="s">
        <v>42</v>
      </c>
      <c r="S3130" s="1" t="s">
        <v>42</v>
      </c>
      <c r="T3130" s="1" t="s">
        <v>273</v>
      </c>
      <c r="U3130" s="1">
        <v>138</v>
      </c>
      <c r="V3130" s="5">
        <v>42822</v>
      </c>
      <c r="W3130" s="5">
        <v>42563</v>
      </c>
      <c r="X3130" s="1">
        <v>4620000</v>
      </c>
      <c r="Y3130" s="1">
        <v>4620000</v>
      </c>
      <c r="Z3130" s="5">
        <v>42766</v>
      </c>
      <c r="AA3130" s="1">
        <v>4433286.21</v>
      </c>
      <c r="AB3130" s="1" t="s">
        <v>1982</v>
      </c>
      <c r="AC3130" s="5">
        <v>42802</v>
      </c>
      <c r="AF3130" s="1">
        <v>10016</v>
      </c>
      <c r="AI3130" s="1" t="s">
        <v>78</v>
      </c>
      <c r="AJ3130" s="1">
        <v>1927</v>
      </c>
      <c r="AK3130" s="1" t="s">
        <v>46</v>
      </c>
      <c r="AL3130" s="1">
        <v>70</v>
      </c>
    </row>
    <row r="3131" spans="1:38" x14ac:dyDescent="0.2">
      <c r="A3131" s="2" t="str">
        <f>HYPERLINK("https://www.compass.com/listing/90-lexington-avenue-unit-5b-manhattan-ny-10016/29378549743994641/","90 Lexington Ave, Unit 5B")</f>
        <v>90 Lexington Ave, Unit 5B</v>
      </c>
      <c r="B3131" s="2" t="str">
        <f t="shared" ref="B3131:B3133" si="533">HYPERLINK("https://www.compass.com/building/88-90-lexington-avenue-manhattan-ny/281941431524842901/","88 &amp; 90 Lexington Avenue")</f>
        <v>88 &amp; 90 Lexington Avenue</v>
      </c>
      <c r="C3131" s="1" t="s">
        <v>40</v>
      </c>
      <c r="D3131" s="1" t="s">
        <v>41</v>
      </c>
      <c r="E3131" s="3">
        <v>3076401</v>
      </c>
      <c r="F3131" s="1">
        <v>2009.4062704114899</v>
      </c>
      <c r="G3131" s="1">
        <v>5</v>
      </c>
      <c r="H3131" s="1">
        <v>2</v>
      </c>
      <c r="I3131" s="1">
        <v>2</v>
      </c>
      <c r="J3131" s="1">
        <v>2.5</v>
      </c>
      <c r="K3131" s="1">
        <v>2</v>
      </c>
      <c r="L3131" s="1">
        <v>1</v>
      </c>
      <c r="M3131" s="4">
        <v>1531</v>
      </c>
      <c r="N3131" s="1">
        <v>1631</v>
      </c>
      <c r="O3131" s="1">
        <v>3658</v>
      </c>
      <c r="P3131" s="1">
        <v>2027</v>
      </c>
      <c r="Q3131" s="1" t="s">
        <v>42</v>
      </c>
      <c r="S3131" s="1" t="s">
        <v>42</v>
      </c>
      <c r="T3131" s="1" t="s">
        <v>273</v>
      </c>
      <c r="U3131" s="1">
        <v>64</v>
      </c>
      <c r="V3131" s="5">
        <v>43663</v>
      </c>
      <c r="W3131" s="5">
        <v>42535</v>
      </c>
      <c r="X3131" s="1">
        <v>3040000</v>
      </c>
      <c r="Y3131" s="1">
        <v>3040000</v>
      </c>
      <c r="Z3131" s="5">
        <v>42599</v>
      </c>
      <c r="AA3131" s="1">
        <v>3076401</v>
      </c>
      <c r="AB3131" s="1" t="s">
        <v>1983</v>
      </c>
      <c r="AC3131" s="5">
        <v>42784</v>
      </c>
      <c r="AF3131" s="1">
        <v>10016</v>
      </c>
      <c r="AI3131" s="1" t="s">
        <v>122</v>
      </c>
      <c r="AJ3131" s="1">
        <v>1957</v>
      </c>
      <c r="AK3131" s="1" t="s">
        <v>46</v>
      </c>
      <c r="AL3131" s="1">
        <v>49</v>
      </c>
    </row>
    <row r="3132" spans="1:38" x14ac:dyDescent="0.2">
      <c r="A3132" s="2" t="str">
        <f>HYPERLINK("https://www.compass.com/listing/90-lexington-avenue-unit-6b-manhattan-ny-10016/29378551790738241/","90 Lexington Ave, Unit 6B")</f>
        <v>90 Lexington Ave, Unit 6B</v>
      </c>
      <c r="B3132" s="2" t="str">
        <f t="shared" si="533"/>
        <v>88 &amp; 90 Lexington Avenue</v>
      </c>
      <c r="C3132" s="1" t="s">
        <v>40</v>
      </c>
      <c r="D3132" s="1" t="s">
        <v>41</v>
      </c>
      <c r="E3132" s="3">
        <v>3128332</v>
      </c>
      <c r="F3132" s="1">
        <v>2032.7043534762799</v>
      </c>
      <c r="G3132" s="1">
        <v>5</v>
      </c>
      <c r="H3132" s="1">
        <v>2</v>
      </c>
      <c r="I3132" s="1">
        <v>2</v>
      </c>
      <c r="J3132" s="1">
        <v>2</v>
      </c>
      <c r="K3132" s="1">
        <v>2</v>
      </c>
      <c r="M3132" s="4">
        <v>1539</v>
      </c>
      <c r="N3132" s="1">
        <v>1608</v>
      </c>
      <c r="O3132" s="1">
        <v>3187</v>
      </c>
      <c r="P3132" s="1">
        <v>1579</v>
      </c>
      <c r="Q3132" s="1" t="s">
        <v>42</v>
      </c>
      <c r="S3132" s="1" t="s">
        <v>42</v>
      </c>
      <c r="T3132" s="1" t="s">
        <v>273</v>
      </c>
      <c r="U3132" s="1">
        <v>28</v>
      </c>
      <c r="V3132" s="5">
        <v>43673</v>
      </c>
      <c r="W3132" s="5">
        <v>42164</v>
      </c>
      <c r="X3132" s="1">
        <v>3050000</v>
      </c>
      <c r="Y3132" s="1">
        <v>3050000</v>
      </c>
      <c r="Z3132" s="5">
        <v>42248</v>
      </c>
      <c r="AA3132" s="1">
        <v>3128332</v>
      </c>
      <c r="AB3132" s="1" t="s">
        <v>1984</v>
      </c>
      <c r="AC3132" s="5">
        <v>42718</v>
      </c>
      <c r="AF3132" s="1">
        <v>10016</v>
      </c>
      <c r="AI3132" s="1" t="s">
        <v>122</v>
      </c>
      <c r="AJ3132" s="1">
        <v>1957</v>
      </c>
      <c r="AK3132" s="1" t="s">
        <v>46</v>
      </c>
      <c r="AL3132" s="1">
        <v>49</v>
      </c>
    </row>
    <row r="3133" spans="1:38" x14ac:dyDescent="0.2">
      <c r="A3133" s="2" t="str">
        <f>HYPERLINK("https://www.compass.com/listing/90-lexington-avenue-unit-10d-manhattan-ny-10016/29378557327296385/","90 Lexington Ave, Unit 10D")</f>
        <v>90 Lexington Ave, Unit 10D</v>
      </c>
      <c r="B3133" s="2" t="str">
        <f t="shared" si="533"/>
        <v>88 &amp; 90 Lexington Avenue</v>
      </c>
      <c r="C3133" s="1" t="s">
        <v>40</v>
      </c>
      <c r="D3133" s="1" t="s">
        <v>41</v>
      </c>
      <c r="E3133" s="3">
        <v>3476017</v>
      </c>
      <c r="F3133" s="1">
        <v>2258.6205328135102</v>
      </c>
      <c r="G3133" s="1">
        <v>4</v>
      </c>
      <c r="H3133" s="1">
        <v>2</v>
      </c>
      <c r="I3133" s="1">
        <v>2</v>
      </c>
      <c r="J3133" s="1">
        <v>2.5</v>
      </c>
      <c r="K3133" s="1">
        <v>2</v>
      </c>
      <c r="L3133" s="1">
        <v>1</v>
      </c>
      <c r="M3133" s="4">
        <v>1539</v>
      </c>
      <c r="N3133" s="1">
        <v>1692</v>
      </c>
      <c r="O3133" s="1">
        <v>3357</v>
      </c>
      <c r="P3133" s="1">
        <v>1665</v>
      </c>
      <c r="Q3133" s="1" t="s">
        <v>42</v>
      </c>
      <c r="S3133" s="1" t="s">
        <v>42</v>
      </c>
      <c r="T3133" s="1" t="s">
        <v>273</v>
      </c>
      <c r="V3133" s="5">
        <v>43664</v>
      </c>
      <c r="W3133" s="5">
        <v>42434</v>
      </c>
      <c r="X3133" s="1">
        <v>3450000</v>
      </c>
      <c r="Y3133" s="1">
        <v>3450000</v>
      </c>
      <c r="Z3133" s="5">
        <v>42434</v>
      </c>
      <c r="AA3133" s="1">
        <v>3476017</v>
      </c>
      <c r="AB3133" s="1" t="s">
        <v>1985</v>
      </c>
      <c r="AC3133" s="5">
        <v>42880</v>
      </c>
      <c r="AF3133" s="1">
        <v>10016</v>
      </c>
      <c r="AI3133" s="1" t="s">
        <v>122</v>
      </c>
      <c r="AJ3133" s="1">
        <v>1957</v>
      </c>
      <c r="AK3133" s="1" t="s">
        <v>46</v>
      </c>
      <c r="AL3133" s="1">
        <v>49</v>
      </c>
    </row>
    <row r="3134" spans="1:38" x14ac:dyDescent="0.2">
      <c r="A3134" s="2" t="str">
        <f>HYPERLINK("https://www.compass.com/listing/12-east-88th-street-unit-7b-manhattan-ny-10128/29420045620828961/","12 E 88th St, Unit 7B")</f>
        <v>12 E 88th St, Unit 7B</v>
      </c>
      <c r="B3134" s="2" t="str">
        <f t="shared" ref="B3134:B3135" si="534">HYPERLINK("https://www.compass.com/building/12-e-88th-st-manhattan-ny-10128/282046316798827461/","12 E 88th St")</f>
        <v>12 E 88th St</v>
      </c>
      <c r="C3134" s="1" t="s">
        <v>82</v>
      </c>
      <c r="D3134" s="1" t="s">
        <v>41</v>
      </c>
      <c r="E3134" s="3">
        <v>6350000</v>
      </c>
      <c r="F3134" s="1">
        <v>2133.7365591397802</v>
      </c>
      <c r="G3134" s="1">
        <v>5</v>
      </c>
      <c r="H3134" s="1">
        <v>3</v>
      </c>
      <c r="I3134" s="1">
        <v>4</v>
      </c>
      <c r="J3134" s="1">
        <v>3.5</v>
      </c>
      <c r="M3134" s="4">
        <v>2976</v>
      </c>
      <c r="N3134" s="1">
        <v>3618</v>
      </c>
      <c r="O3134" s="1">
        <v>7586</v>
      </c>
      <c r="P3134" s="1">
        <v>3968</v>
      </c>
      <c r="Q3134" s="1" t="s">
        <v>42</v>
      </c>
      <c r="S3134" s="1" t="s">
        <v>42</v>
      </c>
      <c r="T3134" s="1" t="s">
        <v>273</v>
      </c>
      <c r="U3134" s="1">
        <v>79</v>
      </c>
      <c r="V3134" s="5">
        <v>43641</v>
      </c>
      <c r="W3134" s="5">
        <v>42631</v>
      </c>
      <c r="X3134" s="1">
        <v>6995000</v>
      </c>
      <c r="Y3134" s="1">
        <v>6995000</v>
      </c>
      <c r="Z3134" s="5">
        <v>42710</v>
      </c>
      <c r="AA3134" s="1">
        <v>6350000</v>
      </c>
      <c r="AB3134" s="1" t="s">
        <v>1986</v>
      </c>
      <c r="AC3134" s="5">
        <v>43089</v>
      </c>
      <c r="AF3134" s="1">
        <v>10128</v>
      </c>
      <c r="AI3134" s="1" t="s">
        <v>177</v>
      </c>
      <c r="AJ3134" s="1">
        <v>1931</v>
      </c>
      <c r="AK3134" s="1" t="s">
        <v>49</v>
      </c>
      <c r="AL3134" s="1">
        <v>39</v>
      </c>
    </row>
    <row r="3135" spans="1:38" x14ac:dyDescent="0.2">
      <c r="A3135" s="2" t="str">
        <f>HYPERLINK("https://www.compass.com/listing/12-east-88th-street-unit-2c-manhattan-ny-10128/29509525954440609/","12 E 88th St, Unit 2C")</f>
        <v>12 E 88th St, Unit 2C</v>
      </c>
      <c r="B3135" s="2" t="str">
        <f t="shared" si="534"/>
        <v>12 E 88th St</v>
      </c>
      <c r="C3135" s="1" t="s">
        <v>82</v>
      </c>
      <c r="D3135" s="1" t="s">
        <v>41</v>
      </c>
      <c r="E3135" s="3">
        <v>2390000</v>
      </c>
      <c r="F3135" s="1">
        <v>1738.1818181818101</v>
      </c>
      <c r="G3135" s="1">
        <v>4</v>
      </c>
      <c r="H3135" s="1">
        <v>2</v>
      </c>
      <c r="I3135" s="1">
        <v>3</v>
      </c>
      <c r="J3135" s="1">
        <v>2.5</v>
      </c>
      <c r="K3135" s="1">
        <v>2</v>
      </c>
      <c r="L3135" s="1">
        <v>1</v>
      </c>
      <c r="M3135" s="4">
        <v>1375</v>
      </c>
      <c r="N3135" s="1">
        <v>1644</v>
      </c>
      <c r="O3135" s="1">
        <v>3475.5699999999902</v>
      </c>
      <c r="P3135" s="1">
        <v>1831.5833333333301</v>
      </c>
      <c r="Q3135" s="1" t="s">
        <v>42</v>
      </c>
      <c r="S3135" s="1" t="s">
        <v>42</v>
      </c>
      <c r="T3135" s="1" t="s">
        <v>273</v>
      </c>
      <c r="U3135" s="1">
        <v>566</v>
      </c>
      <c r="V3135" s="5">
        <v>43809</v>
      </c>
      <c r="W3135" s="5">
        <v>43174</v>
      </c>
      <c r="X3135" s="1">
        <v>3250000</v>
      </c>
      <c r="Y3135" s="1">
        <v>2595000</v>
      </c>
      <c r="AA3135" s="1">
        <v>2390000</v>
      </c>
      <c r="AB3135" s="1" t="s">
        <v>1987</v>
      </c>
      <c r="AC3135" s="5">
        <v>43795</v>
      </c>
      <c r="AF3135" s="1">
        <v>10128</v>
      </c>
      <c r="AI3135" s="1" t="s">
        <v>177</v>
      </c>
      <c r="AJ3135" s="1">
        <v>1931</v>
      </c>
      <c r="AK3135" s="1" t="s">
        <v>46</v>
      </c>
      <c r="AL3135" s="1">
        <v>39</v>
      </c>
    </row>
    <row r="3136" spans="1:38" x14ac:dyDescent="0.2">
      <c r="A3136" s="2" t="str">
        <f>HYPERLINK("https://www.compass.com/listing/88-lexington-avenue-unit-906-manhattan-ny-10016/206529717891843873/","88 Lexington Ave, Unit 906")</f>
        <v>88 Lexington Ave, Unit 906</v>
      </c>
      <c r="B3136" s="2" t="str">
        <f t="shared" ref="B3136:B3143" si="535">HYPERLINK("https://www.compass.com/building/88-90-lexington-avenue-manhattan-ny/281903945159296309/","88 &amp; 90 Lexington Avenue")</f>
        <v>88 &amp; 90 Lexington Avenue</v>
      </c>
      <c r="C3136" s="1" t="s">
        <v>40</v>
      </c>
      <c r="D3136" s="1" t="s">
        <v>41</v>
      </c>
      <c r="E3136" s="3">
        <v>4683741</v>
      </c>
      <c r="F3136" s="1">
        <v>2019.7244501940399</v>
      </c>
      <c r="G3136" s="1">
        <v>5</v>
      </c>
      <c r="H3136" s="1">
        <v>3</v>
      </c>
      <c r="I3136" s="1">
        <v>3</v>
      </c>
      <c r="J3136" s="1">
        <v>3.5</v>
      </c>
      <c r="K3136" s="1">
        <v>3</v>
      </c>
      <c r="L3136" s="1">
        <v>1</v>
      </c>
      <c r="M3136" s="4">
        <v>2319</v>
      </c>
      <c r="N3136" s="1">
        <v>2225</v>
      </c>
      <c r="O3136" s="1">
        <v>5456</v>
      </c>
      <c r="P3136" s="1">
        <v>3231</v>
      </c>
      <c r="Q3136" s="1" t="s">
        <v>42</v>
      </c>
      <c r="S3136" s="1" t="s">
        <v>42</v>
      </c>
      <c r="T3136" s="1" t="s">
        <v>273</v>
      </c>
      <c r="V3136" s="5">
        <v>43662</v>
      </c>
      <c r="W3136" s="5">
        <v>42815</v>
      </c>
      <c r="X3136" s="1">
        <v>4820000</v>
      </c>
      <c r="Y3136" s="1">
        <v>4820000</v>
      </c>
      <c r="Z3136" s="5">
        <v>42815</v>
      </c>
      <c r="AA3136" s="1">
        <v>4683741</v>
      </c>
      <c r="AB3136" s="1" t="s">
        <v>1988</v>
      </c>
      <c r="AC3136" s="5">
        <v>42886</v>
      </c>
      <c r="AF3136" s="1">
        <v>10016</v>
      </c>
      <c r="AI3136" s="1" t="s">
        <v>78</v>
      </c>
      <c r="AJ3136" s="1">
        <v>1927</v>
      </c>
      <c r="AK3136" s="1" t="s">
        <v>46</v>
      </c>
      <c r="AL3136" s="1">
        <v>70</v>
      </c>
    </row>
    <row r="3137" spans="1:38" x14ac:dyDescent="0.2">
      <c r="A3137" s="2" t="str">
        <f>HYPERLINK("https://www.compass.com/listing/88-lexington-avenue-unit-507-manhattan-ny-10016/29378560288404209/","88 Lexington Ave, Unit 507")</f>
        <v>88 Lexington Ave, Unit 507</v>
      </c>
      <c r="B3137" s="2" t="str">
        <f t="shared" si="535"/>
        <v>88 &amp; 90 Lexington Avenue</v>
      </c>
      <c r="C3137" s="1" t="s">
        <v>40</v>
      </c>
      <c r="D3137" s="1" t="s">
        <v>41</v>
      </c>
      <c r="E3137" s="3">
        <v>3086230</v>
      </c>
      <c r="F3137" s="1">
        <v>1855.8208057726999</v>
      </c>
      <c r="G3137" s="1">
        <v>5</v>
      </c>
      <c r="H3137" s="1">
        <v>2</v>
      </c>
      <c r="I3137" s="1">
        <v>2</v>
      </c>
      <c r="J3137" s="1">
        <v>2</v>
      </c>
      <c r="K3137" s="1">
        <v>2</v>
      </c>
      <c r="M3137" s="4">
        <v>1663</v>
      </c>
      <c r="N3137" s="1">
        <v>1565</v>
      </c>
      <c r="O3137" s="1">
        <v>3838</v>
      </c>
      <c r="P3137" s="1">
        <v>2273</v>
      </c>
      <c r="Q3137" s="1" t="s">
        <v>42</v>
      </c>
      <c r="S3137" s="1" t="s">
        <v>42</v>
      </c>
      <c r="T3137" s="1" t="s">
        <v>273</v>
      </c>
      <c r="U3137" s="1">
        <v>115</v>
      </c>
      <c r="V3137" s="5">
        <v>43677</v>
      </c>
      <c r="W3137" s="5">
        <v>42802</v>
      </c>
      <c r="X3137" s="1">
        <v>3210000</v>
      </c>
      <c r="Y3137" s="1">
        <v>3210000</v>
      </c>
      <c r="Z3137" s="5">
        <v>42917</v>
      </c>
      <c r="AA3137" s="1">
        <v>3086230</v>
      </c>
      <c r="AB3137" s="1" t="s">
        <v>1989</v>
      </c>
      <c r="AC3137" s="5">
        <v>42931</v>
      </c>
      <c r="AF3137" s="1">
        <v>10016</v>
      </c>
      <c r="AI3137" s="1" t="s">
        <v>78</v>
      </c>
      <c r="AJ3137" s="1">
        <v>1927</v>
      </c>
      <c r="AK3137" s="1" t="s">
        <v>46</v>
      </c>
      <c r="AL3137" s="1">
        <v>70</v>
      </c>
    </row>
    <row r="3138" spans="1:38" x14ac:dyDescent="0.2">
      <c r="A3138" s="2" t="str">
        <f>HYPERLINK("https://www.compass.com/listing/88-lexington-avenue-unit-606-manhattan-ny-10016/29378561236387777/","88 Lexington Ave, Unit 606")</f>
        <v>88 Lexington Ave, Unit 606</v>
      </c>
      <c r="B3138" s="2" t="str">
        <f t="shared" si="535"/>
        <v>88 &amp; 90 Lexington Avenue</v>
      </c>
      <c r="C3138" s="1" t="s">
        <v>40</v>
      </c>
      <c r="D3138" s="1" t="s">
        <v>41</v>
      </c>
      <c r="E3138" s="3">
        <v>3063287</v>
      </c>
      <c r="F3138" s="1">
        <v>1886.2604679802901</v>
      </c>
      <c r="G3138" s="1">
        <v>4</v>
      </c>
      <c r="H3138" s="1">
        <v>2</v>
      </c>
      <c r="I3138" s="1">
        <v>2</v>
      </c>
      <c r="J3138" s="1">
        <v>2.5</v>
      </c>
      <c r="K3138" s="1">
        <v>2</v>
      </c>
      <c r="L3138" s="1">
        <v>1</v>
      </c>
      <c r="M3138" s="4">
        <v>1624</v>
      </c>
      <c r="N3138" s="1">
        <v>1535</v>
      </c>
      <c r="O3138" s="1">
        <v>4293</v>
      </c>
      <c r="P3138" s="1">
        <v>2758</v>
      </c>
      <c r="Q3138" s="1" t="s">
        <v>42</v>
      </c>
      <c r="S3138" s="1" t="s">
        <v>42</v>
      </c>
      <c r="T3138" s="1" t="s">
        <v>273</v>
      </c>
      <c r="U3138" s="1">
        <v>93</v>
      </c>
      <c r="V3138" s="5">
        <v>43649</v>
      </c>
      <c r="W3138" s="5">
        <v>42978</v>
      </c>
      <c r="X3138" s="1">
        <v>3250000</v>
      </c>
      <c r="Y3138" s="1">
        <v>3250000</v>
      </c>
      <c r="Z3138" s="5">
        <v>43071</v>
      </c>
      <c r="AA3138" s="1">
        <v>3063287</v>
      </c>
      <c r="AB3138" s="1" t="s">
        <v>1990</v>
      </c>
      <c r="AC3138" s="5">
        <v>43099</v>
      </c>
      <c r="AF3138" s="1">
        <v>10016</v>
      </c>
      <c r="AI3138" s="1" t="s">
        <v>78</v>
      </c>
      <c r="AJ3138" s="1">
        <v>1927</v>
      </c>
      <c r="AK3138" s="1" t="s">
        <v>46</v>
      </c>
      <c r="AL3138" s="1">
        <v>70</v>
      </c>
    </row>
    <row r="3139" spans="1:38" x14ac:dyDescent="0.2">
      <c r="A3139" s="2" t="str">
        <f>HYPERLINK("https://www.compass.com/listing/88-lexington-avenue-unit-705-manhattan-ny-10016/29378563056644897/","88 Lexington Ave, Unit 705")</f>
        <v>88 Lexington Ave, Unit 705</v>
      </c>
      <c r="B3139" s="2" t="str">
        <f t="shared" si="535"/>
        <v>88 &amp; 90 Lexington Avenue</v>
      </c>
      <c r="C3139" s="1" t="s">
        <v>40</v>
      </c>
      <c r="D3139" s="1" t="s">
        <v>41</v>
      </c>
      <c r="E3139" s="3">
        <v>5512551</v>
      </c>
      <c r="F3139" s="1">
        <v>2115.33039140445</v>
      </c>
      <c r="G3139" s="1">
        <v>6</v>
      </c>
      <c r="H3139" s="1">
        <v>4</v>
      </c>
      <c r="I3139" s="1">
        <v>3</v>
      </c>
      <c r="J3139" s="1">
        <v>3</v>
      </c>
      <c r="K3139" s="1">
        <v>3</v>
      </c>
      <c r="M3139" s="4">
        <v>2606</v>
      </c>
      <c r="N3139" s="1">
        <v>2476</v>
      </c>
      <c r="O3139" s="1">
        <v>5566</v>
      </c>
      <c r="P3139" s="1">
        <v>3090</v>
      </c>
      <c r="Q3139" s="1" t="s">
        <v>42</v>
      </c>
      <c r="S3139" s="1" t="s">
        <v>42</v>
      </c>
      <c r="T3139" s="1" t="s">
        <v>273</v>
      </c>
      <c r="U3139" s="1">
        <v>120</v>
      </c>
      <c r="V3139" s="5">
        <v>43668</v>
      </c>
      <c r="W3139" s="5">
        <v>42564</v>
      </c>
      <c r="X3139" s="1">
        <v>5625000</v>
      </c>
      <c r="Y3139" s="1">
        <v>5625000</v>
      </c>
      <c r="Z3139" s="5">
        <v>42684</v>
      </c>
      <c r="AA3139" s="1">
        <v>5512551</v>
      </c>
      <c r="AB3139" s="1" t="s">
        <v>1991</v>
      </c>
      <c r="AC3139" s="5">
        <v>42749</v>
      </c>
      <c r="AF3139" s="1">
        <v>10016</v>
      </c>
      <c r="AI3139" s="1" t="s">
        <v>78</v>
      </c>
      <c r="AJ3139" s="1">
        <v>1927</v>
      </c>
      <c r="AK3139" s="1" t="s">
        <v>46</v>
      </c>
      <c r="AL3139" s="1">
        <v>70</v>
      </c>
    </row>
    <row r="3140" spans="1:38" x14ac:dyDescent="0.2">
      <c r="A3140" s="2" t="str">
        <f>HYPERLINK("https://www.compass.com/listing/88-lexington-avenue-unit-805-manhattan-ny-10016/29378565036350529/","88 Lexington Ave, Unit 805")</f>
        <v>88 Lexington Ave, Unit 805</v>
      </c>
      <c r="B3140" s="2" t="str">
        <f t="shared" si="535"/>
        <v>88 &amp; 90 Lexington Avenue</v>
      </c>
      <c r="C3140" s="1" t="s">
        <v>40</v>
      </c>
      <c r="D3140" s="1" t="s">
        <v>41</v>
      </c>
      <c r="E3140" s="3">
        <v>5602734</v>
      </c>
      <c r="F3140" s="1">
        <v>2149.9363008442001</v>
      </c>
      <c r="G3140" s="1">
        <v>6</v>
      </c>
      <c r="H3140" s="1">
        <v>4</v>
      </c>
      <c r="I3140" s="1">
        <v>3</v>
      </c>
      <c r="J3140" s="1">
        <v>3.5</v>
      </c>
      <c r="K3140" s="1">
        <v>3</v>
      </c>
      <c r="L3140" s="1">
        <v>1</v>
      </c>
      <c r="M3140" s="4">
        <v>2606</v>
      </c>
      <c r="N3140" s="1">
        <v>2488</v>
      </c>
      <c r="O3140" s="1">
        <v>6101</v>
      </c>
      <c r="P3140" s="1">
        <v>3613</v>
      </c>
      <c r="Q3140" s="1" t="s">
        <v>42</v>
      </c>
      <c r="S3140" s="1" t="s">
        <v>42</v>
      </c>
      <c r="T3140" s="1" t="s">
        <v>273</v>
      </c>
      <c r="U3140" s="1">
        <v>160</v>
      </c>
      <c r="V3140" s="5">
        <v>43662</v>
      </c>
      <c r="W3140" s="5">
        <v>42670</v>
      </c>
      <c r="X3140" s="1">
        <v>5750000</v>
      </c>
      <c r="Y3140" s="1">
        <v>5750000</v>
      </c>
      <c r="Z3140" s="5">
        <v>42830</v>
      </c>
      <c r="AA3140" s="1">
        <v>5602734</v>
      </c>
      <c r="AB3140" s="1" t="s">
        <v>1992</v>
      </c>
      <c r="AC3140" s="5">
        <v>42895</v>
      </c>
      <c r="AF3140" s="1">
        <v>10016</v>
      </c>
      <c r="AI3140" s="1" t="s">
        <v>78</v>
      </c>
      <c r="AJ3140" s="1">
        <v>1927</v>
      </c>
      <c r="AK3140" s="1" t="s">
        <v>46</v>
      </c>
      <c r="AL3140" s="1">
        <v>70</v>
      </c>
    </row>
    <row r="3141" spans="1:38" x14ac:dyDescent="0.2">
      <c r="A3141" s="2" t="str">
        <f>HYPERLINK("https://www.compass.com/listing/88-lexington-avenue-unit-806-manhattan-ny-10016/29378565640407041/","88 Lexington Ave, Unit 806")</f>
        <v>88 Lexington Ave, Unit 806</v>
      </c>
      <c r="B3141" s="2" t="str">
        <f t="shared" si="535"/>
        <v>88 &amp; 90 Lexington Avenue</v>
      </c>
      <c r="C3141" s="1" t="s">
        <v>40</v>
      </c>
      <c r="D3141" s="1" t="s">
        <v>41</v>
      </c>
      <c r="E3141" s="3">
        <v>4209314</v>
      </c>
      <c r="F3141" s="1">
        <v>1815.1418714963299</v>
      </c>
      <c r="G3141" s="1">
        <v>5</v>
      </c>
      <c r="H3141" s="1">
        <v>3</v>
      </c>
      <c r="I3141" s="1">
        <v>3</v>
      </c>
      <c r="J3141" s="1">
        <v>3.5</v>
      </c>
      <c r="K3141" s="1">
        <v>3</v>
      </c>
      <c r="L3141" s="1">
        <v>1</v>
      </c>
      <c r="M3141" s="4">
        <v>2319</v>
      </c>
      <c r="N3141" s="1">
        <v>2214</v>
      </c>
      <c r="O3141" s="1">
        <v>6191</v>
      </c>
      <c r="P3141" s="1">
        <v>3977</v>
      </c>
      <c r="Q3141" s="1" t="s">
        <v>42</v>
      </c>
      <c r="S3141" s="1" t="s">
        <v>42</v>
      </c>
      <c r="T3141" s="1" t="s">
        <v>273</v>
      </c>
      <c r="U3141" s="1">
        <v>154</v>
      </c>
      <c r="V3141" s="5">
        <v>43650</v>
      </c>
      <c r="W3141" s="5">
        <v>42753</v>
      </c>
      <c r="X3141" s="1">
        <v>4720000</v>
      </c>
      <c r="Y3141" s="1">
        <v>4720000</v>
      </c>
      <c r="Z3141" s="5">
        <v>42914</v>
      </c>
      <c r="AA3141" s="1">
        <v>4209314</v>
      </c>
      <c r="AB3141" s="1" t="s">
        <v>1974</v>
      </c>
      <c r="AC3141" s="5">
        <v>42986</v>
      </c>
      <c r="AF3141" s="1">
        <v>10016</v>
      </c>
      <c r="AI3141" s="1" t="s">
        <v>78</v>
      </c>
      <c r="AJ3141" s="1">
        <v>1927</v>
      </c>
      <c r="AK3141" s="1" t="s">
        <v>46</v>
      </c>
      <c r="AL3141" s="1">
        <v>70</v>
      </c>
    </row>
    <row r="3142" spans="1:38" x14ac:dyDescent="0.2">
      <c r="A3142" s="2" t="str">
        <f>HYPERLINK("https://www.compass.com/listing/88-lexington-avenue-unit-1202-manhattan-ny-10016/29378570933618769/","88 Lexington Ave, Unit 1202")</f>
        <v>88 Lexington Ave, Unit 1202</v>
      </c>
      <c r="B3142" s="2" t="str">
        <f t="shared" si="535"/>
        <v>88 &amp; 90 Lexington Avenue</v>
      </c>
      <c r="C3142" s="1" t="s">
        <v>40</v>
      </c>
      <c r="D3142" s="1" t="s">
        <v>41</v>
      </c>
      <c r="E3142" s="3">
        <v>3490145</v>
      </c>
      <c r="F3142" s="1">
        <v>1863.39829151094</v>
      </c>
      <c r="G3142" s="1">
        <v>5</v>
      </c>
      <c r="H3142" s="1">
        <v>2</v>
      </c>
      <c r="I3142" s="1">
        <v>2</v>
      </c>
      <c r="J3142" s="1">
        <v>2.5</v>
      </c>
      <c r="K3142" s="1">
        <v>2</v>
      </c>
      <c r="L3142" s="1">
        <v>1</v>
      </c>
      <c r="M3142" s="4">
        <v>1873</v>
      </c>
      <c r="N3142" s="1">
        <v>1823</v>
      </c>
      <c r="O3142" s="1">
        <v>4470</v>
      </c>
      <c r="P3142" s="1">
        <v>2647</v>
      </c>
      <c r="Q3142" s="1" t="s">
        <v>42</v>
      </c>
      <c r="S3142" s="1" t="s">
        <v>42</v>
      </c>
      <c r="T3142" s="1" t="s">
        <v>273</v>
      </c>
      <c r="U3142" s="1">
        <v>117</v>
      </c>
      <c r="V3142" s="5">
        <v>43662</v>
      </c>
      <c r="W3142" s="5">
        <v>42629</v>
      </c>
      <c r="X3142" s="1">
        <v>3595000</v>
      </c>
      <c r="Y3142" s="1">
        <v>3595000</v>
      </c>
      <c r="Z3142" s="5">
        <v>42781</v>
      </c>
      <c r="AA3142" s="1">
        <v>3490145</v>
      </c>
      <c r="AB3142" s="1" t="s">
        <v>1993</v>
      </c>
      <c r="AC3142" s="5">
        <v>42851</v>
      </c>
      <c r="AF3142" s="1">
        <v>10016</v>
      </c>
      <c r="AI3142" s="1" t="s">
        <v>78</v>
      </c>
      <c r="AJ3142" s="1">
        <v>1927</v>
      </c>
      <c r="AK3142" s="1" t="s">
        <v>46</v>
      </c>
      <c r="AL3142" s="1">
        <v>70</v>
      </c>
    </row>
    <row r="3143" spans="1:38" x14ac:dyDescent="0.2">
      <c r="A3143" s="2" t="str">
        <f>HYPERLINK("https://www.compass.com/listing/88-lexington-avenue-unit-1205-manhattan-ny-10016/29378571369755537/","88 Lexington Ave, Unit 1205")</f>
        <v>88 Lexington Ave, Unit 1205</v>
      </c>
      <c r="B3143" s="2" t="str">
        <f t="shared" si="535"/>
        <v>88 &amp; 90 Lexington Avenue</v>
      </c>
      <c r="C3143" s="1" t="s">
        <v>40</v>
      </c>
      <c r="D3143" s="1" t="s">
        <v>41</v>
      </c>
      <c r="E3143" s="3">
        <v>6039378</v>
      </c>
      <c r="F3143" s="1">
        <v>2214.6600660066001</v>
      </c>
      <c r="G3143" s="1">
        <v>6</v>
      </c>
      <c r="H3143" s="1">
        <v>4</v>
      </c>
      <c r="I3143" s="1">
        <v>4</v>
      </c>
      <c r="J3143" s="1">
        <v>4.5</v>
      </c>
      <c r="K3143" s="1">
        <v>4</v>
      </c>
      <c r="L3143" s="1">
        <v>1</v>
      </c>
      <c r="M3143" s="4">
        <v>2727</v>
      </c>
      <c r="N3143" s="1">
        <v>2596</v>
      </c>
      <c r="O3143" s="1">
        <v>7375</v>
      </c>
      <c r="P3143" s="1">
        <v>4779</v>
      </c>
      <c r="Q3143" s="1" t="s">
        <v>42</v>
      </c>
      <c r="S3143" s="1" t="s">
        <v>42</v>
      </c>
      <c r="T3143" s="1" t="s">
        <v>273</v>
      </c>
      <c r="V3143" s="5">
        <v>43650</v>
      </c>
      <c r="W3143" s="5">
        <v>42739</v>
      </c>
      <c r="X3143" s="1">
        <v>6200000</v>
      </c>
      <c r="Y3143" s="1">
        <v>6200000</v>
      </c>
      <c r="Z3143" s="5">
        <v>42739</v>
      </c>
      <c r="AA3143" s="1">
        <v>6039378</v>
      </c>
      <c r="AB3143" s="1" t="s">
        <v>1994</v>
      </c>
      <c r="AC3143" s="5">
        <v>42980</v>
      </c>
      <c r="AF3143" s="1">
        <v>10016</v>
      </c>
      <c r="AI3143" s="1" t="s">
        <v>78</v>
      </c>
      <c r="AJ3143" s="1">
        <v>1927</v>
      </c>
      <c r="AK3143" s="1" t="s">
        <v>46</v>
      </c>
      <c r="AL3143" s="1">
        <v>70</v>
      </c>
    </row>
    <row r="3144" spans="1:38" x14ac:dyDescent="0.2">
      <c r="A3144" s="2" t="str">
        <f>HYPERLINK("https://www.compass.com/listing/200-east-94th-street-unit-912-manhattan-ny-10128/803344594976869049/","200 E 94th St, Unit 912")</f>
        <v>200 E 94th St, Unit 912</v>
      </c>
      <c r="B3144" s="2" t="str">
        <f>HYPERLINK("https://www.compass.com/building/carnegie-park-condominium-manhattan-ny/282049797358118613/","Carnegie Park Condominium")</f>
        <v>Carnegie Park Condominium</v>
      </c>
      <c r="C3144" s="1" t="s">
        <v>82</v>
      </c>
      <c r="D3144" s="1" t="s">
        <v>41</v>
      </c>
      <c r="E3144" s="3">
        <v>1025000</v>
      </c>
      <c r="F3144" s="1">
        <v>1453.9007092198499</v>
      </c>
      <c r="G3144" s="1">
        <v>3</v>
      </c>
      <c r="H3144" s="1">
        <v>1</v>
      </c>
      <c r="I3144" s="1">
        <v>1</v>
      </c>
      <c r="J3144" s="1">
        <v>1</v>
      </c>
      <c r="M3144" s="1">
        <v>705</v>
      </c>
      <c r="N3144" s="1">
        <v>779</v>
      </c>
      <c r="O3144" s="1">
        <v>1578</v>
      </c>
      <c r="P3144" s="1">
        <v>799</v>
      </c>
      <c r="Q3144" s="1" t="s">
        <v>42</v>
      </c>
      <c r="S3144" s="1" t="s">
        <v>42</v>
      </c>
      <c r="T3144" s="1" t="s">
        <v>273</v>
      </c>
      <c r="U3144" s="1">
        <v>42</v>
      </c>
      <c r="V3144" s="5">
        <v>42887</v>
      </c>
      <c r="W3144" s="5">
        <v>42800</v>
      </c>
      <c r="X3144" s="1">
        <v>1040000</v>
      </c>
      <c r="Y3144" s="1">
        <v>1040000</v>
      </c>
      <c r="Z3144" s="5">
        <v>42843</v>
      </c>
      <c r="AA3144" s="1">
        <v>1025000</v>
      </c>
      <c r="AB3144" s="1" t="s">
        <v>1753</v>
      </c>
      <c r="AC3144" s="5">
        <v>42962</v>
      </c>
      <c r="AF3144" s="1">
        <v>10128</v>
      </c>
      <c r="AI3144" s="1" t="s">
        <v>163</v>
      </c>
      <c r="AJ3144" s="1">
        <v>1986</v>
      </c>
      <c r="AK3144" s="1" t="s">
        <v>46</v>
      </c>
      <c r="AL3144" s="1">
        <v>287</v>
      </c>
    </row>
    <row r="3145" spans="1:38" x14ac:dyDescent="0.2">
      <c r="A3145" s="2" t="str">
        <f>HYPERLINK("https://www.compass.com/listing/90-lexington-avenue-unit-7c-manhattan-ny-10016/29378553669863233/","90 Lexington Ave, Unit 7C")</f>
        <v>90 Lexington Ave, Unit 7C</v>
      </c>
      <c r="B3145" s="2" t="str">
        <f>HYPERLINK("https://www.compass.com/building/88-90-lexington-avenue-manhattan-ny/281941431524842901/","88 &amp; 90 Lexington Avenue")</f>
        <v>88 &amp; 90 Lexington Avenue</v>
      </c>
      <c r="C3145" s="1" t="s">
        <v>40</v>
      </c>
      <c r="D3145" s="1" t="s">
        <v>41</v>
      </c>
      <c r="E3145" s="3">
        <v>4369104</v>
      </c>
      <c r="F3145" s="1">
        <v>2157.58222222222</v>
      </c>
      <c r="G3145" s="1">
        <v>6</v>
      </c>
      <c r="H3145" s="1">
        <v>3</v>
      </c>
      <c r="I3145" s="1">
        <v>4</v>
      </c>
      <c r="J3145" s="1">
        <v>4</v>
      </c>
      <c r="K3145" s="1">
        <v>4</v>
      </c>
      <c r="M3145" s="4">
        <v>2025</v>
      </c>
      <c r="N3145" s="1">
        <v>2151</v>
      </c>
      <c r="O3145" s="1">
        <v>4823</v>
      </c>
      <c r="P3145" s="1">
        <v>2672</v>
      </c>
      <c r="Q3145" s="1" t="s">
        <v>42</v>
      </c>
      <c r="S3145" s="1" t="s">
        <v>42</v>
      </c>
      <c r="T3145" s="1" t="s">
        <v>273</v>
      </c>
      <c r="U3145" s="1">
        <v>261</v>
      </c>
      <c r="V3145" s="5">
        <v>43662</v>
      </c>
      <c r="W3145" s="5">
        <v>42564</v>
      </c>
      <c r="X3145" s="1">
        <v>4579000</v>
      </c>
      <c r="Y3145" s="1">
        <v>4579000</v>
      </c>
      <c r="AA3145" s="1">
        <v>4369104</v>
      </c>
      <c r="AB3145" s="1" t="s">
        <v>1995</v>
      </c>
      <c r="AC3145" s="5">
        <v>42826</v>
      </c>
      <c r="AF3145" s="1">
        <v>10016</v>
      </c>
      <c r="AI3145" s="1" t="s">
        <v>118</v>
      </c>
      <c r="AJ3145" s="1">
        <v>1957</v>
      </c>
      <c r="AK3145" s="1" t="s">
        <v>46</v>
      </c>
      <c r="AL3145" s="1">
        <v>49</v>
      </c>
    </row>
    <row r="3146" spans="1:38" x14ac:dyDescent="0.2">
      <c r="A3146" s="2" t="str">
        <f>HYPERLINK("https://www.compass.com/listing/565-broome-street-unit-n16b-manhattan-ny-10013/841578901783703985/","565 Broome St, Unit N16B")</f>
        <v>565 Broome St, Unit N16B</v>
      </c>
      <c r="B3146" s="2" t="str">
        <f>HYPERLINK("https://www.compass.com/building/565-broome-soho-manhattan-ny/292813251698267109/","565 Broome Soho")</f>
        <v>565 Broome Soho</v>
      </c>
      <c r="C3146" s="1" t="s">
        <v>53</v>
      </c>
      <c r="D3146" s="1" t="s">
        <v>41</v>
      </c>
      <c r="E3146" s="3">
        <v>14635000</v>
      </c>
      <c r="F3146" s="1">
        <v>4092.56152125279</v>
      </c>
      <c r="H3146" s="1">
        <v>4</v>
      </c>
      <c r="J3146" s="1">
        <v>3.5</v>
      </c>
      <c r="K3146" s="1">
        <v>3</v>
      </c>
      <c r="L3146" s="1">
        <v>1</v>
      </c>
      <c r="M3146" s="4">
        <v>3576</v>
      </c>
      <c r="N3146" s="1">
        <v>6263</v>
      </c>
      <c r="O3146" s="1">
        <v>13171</v>
      </c>
      <c r="P3146" s="1">
        <v>6908</v>
      </c>
      <c r="Q3146" s="1" t="s">
        <v>42</v>
      </c>
      <c r="S3146" s="1" t="s">
        <v>42</v>
      </c>
      <c r="T3146" s="1" t="s">
        <v>273</v>
      </c>
      <c r="AA3146" s="1">
        <v>14635000</v>
      </c>
      <c r="AB3146" s="1" t="s">
        <v>1996</v>
      </c>
      <c r="AC3146" s="5">
        <v>43643</v>
      </c>
      <c r="AF3146" s="1">
        <v>10013</v>
      </c>
      <c r="AI3146" s="1" t="s">
        <v>48</v>
      </c>
      <c r="AJ3146" s="1">
        <v>2019</v>
      </c>
      <c r="AK3146" s="1" t="s">
        <v>49</v>
      </c>
      <c r="AL3146" s="1">
        <v>115</v>
      </c>
    </row>
    <row r="3147" spans="1:38" x14ac:dyDescent="0.2">
      <c r="A3147" s="2" t="str">
        <f>HYPERLINK("https://www.compass.com/listing/90-lexington-avenue-unit-5c-manhattan-ny-10016/29378550163354177/","90 Lexington Ave, Unit 5C")</f>
        <v>90 Lexington Ave, Unit 5C</v>
      </c>
      <c r="B3147" s="2" t="str">
        <f>HYPERLINK("https://www.compass.com/building/88-90-lexington-avenue-manhattan-ny/281941431524842901/","88 &amp; 90 Lexington Avenue")</f>
        <v>88 &amp; 90 Lexington Avenue</v>
      </c>
      <c r="C3147" s="1" t="s">
        <v>40</v>
      </c>
      <c r="D3147" s="1" t="s">
        <v>41</v>
      </c>
      <c r="E3147" s="3">
        <v>4178273</v>
      </c>
      <c r="F3147" s="1">
        <v>2063.3446913580201</v>
      </c>
      <c r="G3147" s="1">
        <v>6</v>
      </c>
      <c r="H3147" s="1">
        <v>3</v>
      </c>
      <c r="I3147" s="1">
        <v>4</v>
      </c>
      <c r="J3147" s="1">
        <v>4</v>
      </c>
      <c r="K3147" s="1">
        <v>4</v>
      </c>
      <c r="M3147" s="4">
        <v>2025</v>
      </c>
      <c r="N3147" s="1">
        <v>2177</v>
      </c>
      <c r="O3147" s="1">
        <v>5818</v>
      </c>
      <c r="P3147" s="1">
        <v>3641</v>
      </c>
      <c r="Q3147" s="1" t="s">
        <v>42</v>
      </c>
      <c r="S3147" s="1" t="s">
        <v>42</v>
      </c>
      <c r="T3147" s="1" t="s">
        <v>273</v>
      </c>
      <c r="V3147" s="5">
        <v>43641</v>
      </c>
      <c r="W3147" s="5">
        <v>43154</v>
      </c>
      <c r="X3147" s="1">
        <v>4429000</v>
      </c>
      <c r="Y3147" s="1">
        <v>4429000</v>
      </c>
      <c r="Z3147" s="5">
        <v>43154</v>
      </c>
      <c r="AA3147" s="1">
        <v>4178273</v>
      </c>
      <c r="AB3147" s="1" t="s">
        <v>1997</v>
      </c>
      <c r="AC3147" s="5">
        <v>43229</v>
      </c>
      <c r="AF3147" s="1">
        <v>10016</v>
      </c>
      <c r="AI3147" s="1" t="s">
        <v>118</v>
      </c>
      <c r="AJ3147" s="1">
        <v>1957</v>
      </c>
      <c r="AK3147" s="1" t="s">
        <v>46</v>
      </c>
      <c r="AL3147" s="1">
        <v>49</v>
      </c>
    </row>
    <row r="3148" spans="1:38" x14ac:dyDescent="0.2">
      <c r="A3148" s="2" t="str">
        <f>HYPERLINK("https://www.compass.com/listing/360-east-89th-street-unit-28a-manhattan-ny-10128/182468302478527729/","360 E 89th St, Unit 28A")</f>
        <v>360 E 89th St, Unit 28A</v>
      </c>
      <c r="B3148" s="2" t="str">
        <f t="shared" ref="B3148:B3154" si="536">HYPERLINK("https://www.compass.com/building/citizen360-manhattan-ny/282052027553444853/","Citizen360")</f>
        <v>Citizen360</v>
      </c>
      <c r="C3148" s="1" t="s">
        <v>82</v>
      </c>
      <c r="D3148" s="1" t="s">
        <v>41</v>
      </c>
      <c r="E3148" s="3">
        <v>5700000</v>
      </c>
      <c r="F3148" s="1">
        <v>1991.6142557651899</v>
      </c>
      <c r="G3148" s="1">
        <v>7</v>
      </c>
      <c r="H3148" s="1">
        <v>4</v>
      </c>
      <c r="I3148" s="1">
        <v>5</v>
      </c>
      <c r="J3148" s="1">
        <v>4.5</v>
      </c>
      <c r="K3148" s="1">
        <v>4</v>
      </c>
      <c r="L3148" s="1">
        <v>1</v>
      </c>
      <c r="M3148" s="4">
        <v>2862</v>
      </c>
      <c r="N3148" s="1">
        <v>2970.66</v>
      </c>
      <c r="O3148" s="1">
        <v>5172.18</v>
      </c>
      <c r="P3148" s="1">
        <v>2201.5</v>
      </c>
      <c r="Q3148" s="1" t="s">
        <v>42</v>
      </c>
      <c r="S3148" s="1" t="s">
        <v>42</v>
      </c>
      <c r="T3148" s="1" t="s">
        <v>273</v>
      </c>
      <c r="U3148" s="1">
        <v>71</v>
      </c>
      <c r="V3148" s="5">
        <v>43803</v>
      </c>
      <c r="W3148" s="5">
        <v>43634</v>
      </c>
      <c r="X3148" s="1">
        <v>6200000</v>
      </c>
      <c r="Y3148" s="1">
        <v>6200000</v>
      </c>
      <c r="Z3148" s="5">
        <v>43705</v>
      </c>
      <c r="AA3148" s="1">
        <v>5700000</v>
      </c>
      <c r="AB3148" s="1" t="s">
        <v>1998</v>
      </c>
      <c r="AC3148" s="5">
        <v>43775</v>
      </c>
      <c r="AF3148" s="1">
        <v>10128</v>
      </c>
      <c r="AJ3148" s="1">
        <v>2017</v>
      </c>
      <c r="AK3148" s="1" t="s">
        <v>108</v>
      </c>
      <c r="AL3148" s="1">
        <v>82</v>
      </c>
    </row>
    <row r="3149" spans="1:38" x14ac:dyDescent="0.2">
      <c r="A3149" s="2" t="str">
        <f>HYPERLINK("https://www.compass.com/listing/360-east-89th-street-unit-26a-manhattan-ny-10128/29514379762370161/","360 E 89th St, Unit 26A")</f>
        <v>360 E 89th St, Unit 26A</v>
      </c>
      <c r="B3149" s="2" t="str">
        <f t="shared" si="536"/>
        <v>Citizen360</v>
      </c>
      <c r="C3149" s="1" t="s">
        <v>82</v>
      </c>
      <c r="D3149" s="1" t="s">
        <v>41</v>
      </c>
      <c r="E3149" s="3">
        <v>6250000</v>
      </c>
      <c r="F3149" s="1">
        <v>2183.7875611460499</v>
      </c>
      <c r="G3149" s="1">
        <v>6</v>
      </c>
      <c r="H3149" s="1">
        <v>4</v>
      </c>
      <c r="I3149" s="1">
        <v>5</v>
      </c>
      <c r="J3149" s="1">
        <v>4.5</v>
      </c>
      <c r="K3149" s="1">
        <v>4</v>
      </c>
      <c r="L3149" s="1">
        <v>1</v>
      </c>
      <c r="M3149" s="4">
        <v>2862</v>
      </c>
      <c r="N3149" s="1">
        <v>2945</v>
      </c>
      <c r="O3149" s="1">
        <v>4543</v>
      </c>
      <c r="P3149" s="1">
        <v>1598</v>
      </c>
      <c r="Q3149" s="1" t="s">
        <v>42</v>
      </c>
      <c r="S3149" s="1" t="s">
        <v>42</v>
      </c>
      <c r="T3149" s="1" t="s">
        <v>273</v>
      </c>
      <c r="U3149" s="1">
        <v>117</v>
      </c>
      <c r="V3149" s="5">
        <v>43647</v>
      </c>
      <c r="W3149" s="5">
        <v>43143</v>
      </c>
      <c r="X3149" s="1">
        <v>6355000</v>
      </c>
      <c r="Y3149" s="1">
        <v>6250000</v>
      </c>
      <c r="Z3149" s="5">
        <v>43278</v>
      </c>
      <c r="AA3149" s="1">
        <v>6250000</v>
      </c>
      <c r="AB3149" s="1" t="s">
        <v>1999</v>
      </c>
      <c r="AC3149" s="5">
        <v>43322</v>
      </c>
      <c r="AF3149" s="1">
        <v>10128</v>
      </c>
      <c r="AJ3149" s="1">
        <v>2017</v>
      </c>
      <c r="AK3149" s="1" t="s">
        <v>46</v>
      </c>
      <c r="AL3149" s="1">
        <v>82</v>
      </c>
    </row>
    <row r="3150" spans="1:38" x14ac:dyDescent="0.2">
      <c r="A3150" s="2" t="str">
        <f>HYPERLINK("https://www.compass.com/listing/360-east-89th-street-unit-27a-manhattan-ny-10128/29580295296523441/","360 E 89th St, Unit 27A")</f>
        <v>360 E 89th St, Unit 27A</v>
      </c>
      <c r="B3150" s="2" t="str">
        <f t="shared" si="536"/>
        <v>Citizen360</v>
      </c>
      <c r="C3150" s="1" t="s">
        <v>82</v>
      </c>
      <c r="D3150" s="1" t="s">
        <v>41</v>
      </c>
      <c r="E3150" s="3">
        <v>5500000</v>
      </c>
      <c r="F3150" s="1">
        <v>1921.73305380852</v>
      </c>
      <c r="G3150" s="1">
        <v>6</v>
      </c>
      <c r="H3150" s="1">
        <v>4</v>
      </c>
      <c r="I3150" s="1">
        <v>5</v>
      </c>
      <c r="J3150" s="1">
        <v>4.5</v>
      </c>
      <c r="K3150" s="1">
        <v>4</v>
      </c>
      <c r="L3150" s="1">
        <v>1</v>
      </c>
      <c r="M3150" s="4">
        <v>2862</v>
      </c>
      <c r="N3150" s="1">
        <v>2957</v>
      </c>
      <c r="O3150" s="1">
        <v>4546</v>
      </c>
      <c r="P3150" s="1">
        <v>1589</v>
      </c>
      <c r="Q3150" s="1" t="s">
        <v>42</v>
      </c>
      <c r="S3150" s="1" t="s">
        <v>42</v>
      </c>
      <c r="T3150" s="1" t="s">
        <v>273</v>
      </c>
      <c r="U3150" s="1">
        <v>53</v>
      </c>
      <c r="V3150" s="5">
        <v>43694</v>
      </c>
      <c r="W3150" s="5">
        <v>43582</v>
      </c>
      <c r="X3150" s="1">
        <v>6150000</v>
      </c>
      <c r="Y3150" s="1">
        <v>5785000</v>
      </c>
      <c r="Z3150" s="5">
        <v>43635</v>
      </c>
      <c r="AA3150" s="1">
        <v>5500000</v>
      </c>
      <c r="AB3150" s="1" t="s">
        <v>2000</v>
      </c>
      <c r="AC3150" s="5">
        <v>43642</v>
      </c>
      <c r="AF3150" s="1">
        <v>10128</v>
      </c>
      <c r="AJ3150" s="1">
        <v>2017</v>
      </c>
      <c r="AK3150" s="1" t="s">
        <v>108</v>
      </c>
      <c r="AL3150" s="1">
        <v>82</v>
      </c>
    </row>
    <row r="3151" spans="1:38" x14ac:dyDescent="0.2">
      <c r="A3151" s="2" t="str">
        <f>HYPERLINK("https://www.compass.com/listing/360-east-89th-street-unit-5e-manhattan-ny-10128/29424448247551681/","360 E 89th St, Unit 5E")</f>
        <v>360 E 89th St, Unit 5E</v>
      </c>
      <c r="B3151" s="2" t="str">
        <f t="shared" si="536"/>
        <v>Citizen360</v>
      </c>
      <c r="C3151" s="1" t="s">
        <v>82</v>
      </c>
      <c r="D3151" s="1" t="s">
        <v>41</v>
      </c>
      <c r="E3151" s="3">
        <v>2288721</v>
      </c>
      <c r="F3151" s="1">
        <v>1402.4025735294099</v>
      </c>
      <c r="G3151" s="1">
        <v>4</v>
      </c>
      <c r="H3151" s="1">
        <v>2</v>
      </c>
      <c r="I3151" s="1">
        <v>2</v>
      </c>
      <c r="J3151" s="1">
        <v>2.5</v>
      </c>
      <c r="K3151" s="1">
        <v>2</v>
      </c>
      <c r="L3151" s="1">
        <v>1</v>
      </c>
      <c r="M3151" s="4">
        <v>1632</v>
      </c>
      <c r="N3151" s="1">
        <v>1493</v>
      </c>
      <c r="O3151" s="1">
        <v>3229</v>
      </c>
      <c r="P3151" s="1">
        <v>1736</v>
      </c>
      <c r="Q3151" s="1" t="s">
        <v>42</v>
      </c>
      <c r="S3151" s="1" t="s">
        <v>42</v>
      </c>
      <c r="T3151" s="1" t="s">
        <v>273</v>
      </c>
      <c r="V3151" s="5">
        <v>43649</v>
      </c>
      <c r="W3151" s="5">
        <v>42482</v>
      </c>
      <c r="X3151" s="1">
        <v>2315000</v>
      </c>
      <c r="Y3151" s="1">
        <v>2315000</v>
      </c>
      <c r="Z3151" s="5">
        <v>42482</v>
      </c>
      <c r="AA3151" s="1">
        <v>2288721</v>
      </c>
      <c r="AB3151" s="1" t="s">
        <v>2001</v>
      </c>
      <c r="AC3151" s="5">
        <v>43034</v>
      </c>
      <c r="AF3151" s="1">
        <v>10128</v>
      </c>
      <c r="AJ3151" s="1">
        <v>2017</v>
      </c>
      <c r="AK3151" s="1" t="s">
        <v>108</v>
      </c>
      <c r="AL3151" s="1">
        <v>82</v>
      </c>
    </row>
    <row r="3152" spans="1:38" x14ac:dyDescent="0.2">
      <c r="A3152" s="2" t="str">
        <f>HYPERLINK("https://www.compass.com/listing/360-east-89th-street-unit-9c-manhattan-ny-10128/29424452265627649/","360 E 89th St, Unit 9C")</f>
        <v>360 E 89th St, Unit 9C</v>
      </c>
      <c r="B3152" s="2" t="str">
        <f t="shared" si="536"/>
        <v>Citizen360</v>
      </c>
      <c r="C3152" s="1" t="s">
        <v>82</v>
      </c>
      <c r="D3152" s="1" t="s">
        <v>41</v>
      </c>
      <c r="E3152" s="3">
        <v>2460000</v>
      </c>
      <c r="F3152" s="1">
        <v>1479.2543595911</v>
      </c>
      <c r="G3152" s="1">
        <v>4</v>
      </c>
      <c r="H3152" s="1">
        <v>2</v>
      </c>
      <c r="I3152" s="1">
        <v>2</v>
      </c>
      <c r="J3152" s="1">
        <v>2.5</v>
      </c>
      <c r="K3152" s="1">
        <v>2</v>
      </c>
      <c r="L3152" s="1">
        <v>1</v>
      </c>
      <c r="M3152" s="4">
        <v>1663</v>
      </c>
      <c r="N3152" s="1">
        <v>1589</v>
      </c>
      <c r="O3152" s="1">
        <v>3437</v>
      </c>
      <c r="P3152" s="1">
        <v>1848</v>
      </c>
      <c r="Q3152" s="1" t="s">
        <v>42</v>
      </c>
      <c r="S3152" s="1" t="s">
        <v>42</v>
      </c>
      <c r="T3152" s="1" t="s">
        <v>273</v>
      </c>
      <c r="U3152" s="1">
        <v>95</v>
      </c>
      <c r="V3152" s="5">
        <v>43650</v>
      </c>
      <c r="W3152" s="5">
        <v>42482</v>
      </c>
      <c r="X3152" s="1">
        <v>2460000</v>
      </c>
      <c r="Y3152" s="1">
        <v>2460000</v>
      </c>
      <c r="Z3152" s="5">
        <v>42577</v>
      </c>
      <c r="AA3152" s="1">
        <v>2460000</v>
      </c>
      <c r="AB3152" s="1" t="s">
        <v>2002</v>
      </c>
      <c r="AC3152" s="5">
        <v>43039</v>
      </c>
      <c r="AF3152" s="1">
        <v>10128</v>
      </c>
      <c r="AJ3152" s="1">
        <v>2017</v>
      </c>
      <c r="AK3152" s="1" t="s">
        <v>108</v>
      </c>
      <c r="AL3152" s="1">
        <v>82</v>
      </c>
    </row>
    <row r="3153" spans="1:38" x14ac:dyDescent="0.2">
      <c r="A3153" s="2" t="str">
        <f>HYPERLINK("https://www.compass.com/listing/360-east-89th-street-unit-12c-manhattan-ny-10128/29424456032180001/","360 E 89th St, Unit 12C")</f>
        <v>360 E 89th St, Unit 12C</v>
      </c>
      <c r="B3153" s="2" t="str">
        <f t="shared" si="536"/>
        <v>Citizen360</v>
      </c>
      <c r="C3153" s="1" t="s">
        <v>82</v>
      </c>
      <c r="D3153" s="1" t="s">
        <v>41</v>
      </c>
      <c r="E3153" s="3">
        <v>2695000</v>
      </c>
      <c r="F3153" s="1">
        <v>1618.6186186186101</v>
      </c>
      <c r="G3153" s="1">
        <v>4</v>
      </c>
      <c r="H3153" s="1">
        <v>2</v>
      </c>
      <c r="I3153" s="1">
        <v>2</v>
      </c>
      <c r="J3153" s="1">
        <v>2.5</v>
      </c>
      <c r="K3153" s="1">
        <v>2</v>
      </c>
      <c r="L3153" s="1">
        <v>1</v>
      </c>
      <c r="M3153" s="4">
        <v>1665</v>
      </c>
      <c r="N3153" s="1">
        <v>1613</v>
      </c>
      <c r="O3153" s="1">
        <v>3490</v>
      </c>
      <c r="P3153" s="1">
        <v>1877</v>
      </c>
      <c r="Q3153" s="1" t="s">
        <v>42</v>
      </c>
      <c r="S3153" s="1" t="s">
        <v>42</v>
      </c>
      <c r="T3153" s="1" t="s">
        <v>273</v>
      </c>
      <c r="U3153" s="1">
        <v>90</v>
      </c>
      <c r="V3153" s="5">
        <v>43650</v>
      </c>
      <c r="W3153" s="5">
        <v>42482</v>
      </c>
      <c r="X3153" s="1">
        <v>2750000</v>
      </c>
      <c r="Y3153" s="1">
        <v>2750000</v>
      </c>
      <c r="Z3153" s="5">
        <v>42572</v>
      </c>
      <c r="AA3153" s="1">
        <v>2695000</v>
      </c>
      <c r="AB3153" s="1" t="s">
        <v>2003</v>
      </c>
      <c r="AC3153" s="5">
        <v>43038</v>
      </c>
      <c r="AF3153" s="1">
        <v>10128</v>
      </c>
      <c r="AJ3153" s="1">
        <v>2017</v>
      </c>
      <c r="AK3153" s="1" t="s">
        <v>108</v>
      </c>
      <c r="AL3153" s="1">
        <v>82</v>
      </c>
    </row>
    <row r="3154" spans="1:38" x14ac:dyDescent="0.2">
      <c r="A3154" s="2" t="str">
        <f>HYPERLINK("https://www.compass.com/listing/360-east-89th-street-unit-14b-manhattan-ny-10128/29424456493486145/","360 E 89th St, Unit 14B")</f>
        <v>360 E 89th St, Unit 14B</v>
      </c>
      <c r="B3154" s="2" t="str">
        <f t="shared" si="536"/>
        <v>Citizen360</v>
      </c>
      <c r="C3154" s="1" t="s">
        <v>82</v>
      </c>
      <c r="D3154" s="1" t="s">
        <v>41</v>
      </c>
      <c r="E3154" s="3">
        <v>2558558</v>
      </c>
      <c r="F3154" s="1">
        <v>1700.0385382059801</v>
      </c>
      <c r="G3154" s="1">
        <v>4</v>
      </c>
      <c r="H3154" s="1">
        <v>2</v>
      </c>
      <c r="I3154" s="1">
        <v>2</v>
      </c>
      <c r="J3154" s="1">
        <v>2</v>
      </c>
      <c r="K3154" s="1">
        <v>2</v>
      </c>
      <c r="M3154" s="4">
        <v>1505</v>
      </c>
      <c r="N3154" s="1">
        <v>1465</v>
      </c>
      <c r="O3154" s="1">
        <v>3169</v>
      </c>
      <c r="P3154" s="1">
        <v>1704</v>
      </c>
      <c r="Q3154" s="1" t="s">
        <v>42</v>
      </c>
      <c r="S3154" s="1" t="s">
        <v>42</v>
      </c>
      <c r="T3154" s="1" t="s">
        <v>273</v>
      </c>
      <c r="V3154" s="5">
        <v>43694</v>
      </c>
      <c r="W3154" s="5">
        <v>42419</v>
      </c>
      <c r="X3154" s="1">
        <v>2510000</v>
      </c>
      <c r="Y3154" s="1">
        <v>2510000</v>
      </c>
      <c r="Z3154" s="5">
        <v>42419</v>
      </c>
      <c r="AA3154" s="1">
        <v>2558558</v>
      </c>
      <c r="AB3154" s="1" t="s">
        <v>2004</v>
      </c>
      <c r="AC3154" s="5">
        <v>43088</v>
      </c>
      <c r="AF3154" s="1">
        <v>10128</v>
      </c>
      <c r="AJ3154" s="1">
        <v>2017</v>
      </c>
      <c r="AK3154" s="1" t="s">
        <v>108</v>
      </c>
      <c r="AL3154" s="1">
        <v>82</v>
      </c>
    </row>
    <row r="3155" spans="1:38" x14ac:dyDescent="0.2">
      <c r="A3155" s="2" t="str">
        <f>HYPERLINK("https://www.compass.com/listing/200-east-94th-street-unit-1114-manhattan-ny-10128/393434480609623409/","200 E 94th St, Unit 1114")</f>
        <v>200 E 94th St, Unit 1114</v>
      </c>
      <c r="B3155" s="2" t="str">
        <f>HYPERLINK("https://www.compass.com/building/carnegie-park-condominium-manhattan-ny/282049797358118613/","Carnegie Park Condominium")</f>
        <v>Carnegie Park Condominium</v>
      </c>
      <c r="C3155" s="1" t="s">
        <v>82</v>
      </c>
      <c r="D3155" s="1" t="s">
        <v>41</v>
      </c>
      <c r="E3155" s="3">
        <v>1525000</v>
      </c>
      <c r="F3155" s="1">
        <v>1431.9248826291</v>
      </c>
      <c r="G3155" s="1">
        <v>4</v>
      </c>
      <c r="H3155" s="1">
        <v>2</v>
      </c>
      <c r="I3155" s="1">
        <v>2</v>
      </c>
      <c r="J3155" s="1">
        <v>2</v>
      </c>
      <c r="K3155" s="1">
        <v>2</v>
      </c>
      <c r="M3155" s="4">
        <v>1065</v>
      </c>
      <c r="N3155" s="1">
        <v>1232</v>
      </c>
      <c r="O3155" s="1">
        <v>2529</v>
      </c>
      <c r="P3155" s="1">
        <v>1297</v>
      </c>
      <c r="Q3155" s="1" t="s">
        <v>42</v>
      </c>
      <c r="S3155" s="1" t="s">
        <v>42</v>
      </c>
      <c r="T3155" s="1" t="s">
        <v>273</v>
      </c>
      <c r="U3155" s="1">
        <v>395</v>
      </c>
      <c r="V3155" s="5">
        <v>44413</v>
      </c>
      <c r="W3155" s="5">
        <v>43790</v>
      </c>
      <c r="X3155" s="1">
        <v>1875000</v>
      </c>
      <c r="Y3155" s="1">
        <v>1795000</v>
      </c>
      <c r="Z3155" s="5">
        <v>44280</v>
      </c>
      <c r="AA3155" s="1">
        <v>1525000</v>
      </c>
      <c r="AB3155" s="1" t="s">
        <v>2005</v>
      </c>
      <c r="AC3155" s="5">
        <v>44343</v>
      </c>
      <c r="AF3155" s="1">
        <v>10128</v>
      </c>
      <c r="AI3155" s="1" t="s">
        <v>185</v>
      </c>
      <c r="AJ3155" s="1">
        <v>1986</v>
      </c>
      <c r="AK3155" s="1" t="s">
        <v>46</v>
      </c>
      <c r="AL3155" s="1">
        <v>287</v>
      </c>
    </row>
    <row r="3156" spans="1:38" x14ac:dyDescent="0.2">
      <c r="A3156" s="2" t="str">
        <f>HYPERLINK("https://www.compass.com/listing/88-lexington-avenue-unit-1102-manhattan-ny-10016/29378569650161729/","88 Lexington Ave, Unit 1102")</f>
        <v>88 Lexington Ave, Unit 1102</v>
      </c>
      <c r="B3156" s="2" t="str">
        <f>HYPERLINK("https://www.compass.com/building/88-90-lexington-avenue-manhattan-ny/281903945159296309/","88 &amp; 90 Lexington Avenue")</f>
        <v>88 &amp; 90 Lexington Avenue</v>
      </c>
      <c r="C3156" s="1" t="s">
        <v>40</v>
      </c>
      <c r="D3156" s="1" t="s">
        <v>41</v>
      </c>
      <c r="E3156" s="3">
        <v>3427514</v>
      </c>
      <c r="F3156" s="1">
        <v>1829.95942338494</v>
      </c>
      <c r="G3156" s="1">
        <v>5</v>
      </c>
      <c r="H3156" s="1">
        <v>2</v>
      </c>
      <c r="I3156" s="1">
        <v>2</v>
      </c>
      <c r="J3156" s="1">
        <v>2.5</v>
      </c>
      <c r="K3156" s="1">
        <v>2</v>
      </c>
      <c r="L3156" s="1">
        <v>1</v>
      </c>
      <c r="M3156" s="4">
        <v>1873</v>
      </c>
      <c r="N3156" s="1">
        <v>1814</v>
      </c>
      <c r="O3156" s="1">
        <v>5073</v>
      </c>
      <c r="P3156" s="1">
        <v>3259</v>
      </c>
      <c r="Q3156" s="1" t="s">
        <v>42</v>
      </c>
      <c r="S3156" s="1" t="s">
        <v>42</v>
      </c>
      <c r="T3156" s="1" t="s">
        <v>273</v>
      </c>
      <c r="U3156" s="1">
        <v>144</v>
      </c>
      <c r="V3156" s="5">
        <v>43661</v>
      </c>
      <c r="W3156" s="5">
        <v>42891</v>
      </c>
      <c r="X3156" s="1">
        <v>3550000</v>
      </c>
      <c r="Y3156" s="1">
        <v>3550000</v>
      </c>
      <c r="Z3156" s="5">
        <v>43035</v>
      </c>
      <c r="AA3156" s="1">
        <v>3427514</v>
      </c>
      <c r="AB3156" s="1" t="s">
        <v>2006</v>
      </c>
      <c r="AC3156" s="5">
        <v>43042</v>
      </c>
      <c r="AF3156" s="1">
        <v>10016</v>
      </c>
      <c r="AI3156" s="1" t="s">
        <v>78</v>
      </c>
      <c r="AJ3156" s="1">
        <v>1927</v>
      </c>
      <c r="AK3156" s="1" t="s">
        <v>46</v>
      </c>
      <c r="AL3156" s="1">
        <v>70</v>
      </c>
    </row>
    <row r="3157" spans="1:38" x14ac:dyDescent="0.2">
      <c r="A3157" s="2" t="str">
        <f>HYPERLINK("https://www.compass.com/listing/200-east-94th-street-unit-2314-manhattan-ny-10128/99149598412595217/","200 E 94th St, Unit 2314")</f>
        <v>200 E 94th St, Unit 2314</v>
      </c>
      <c r="B3157" s="2" t="str">
        <f>HYPERLINK("https://www.compass.com/building/carnegie-park-condominium-manhattan-ny/282049797358118613/","Carnegie Park Condominium")</f>
        <v>Carnegie Park Condominium</v>
      </c>
      <c r="C3157" s="1" t="s">
        <v>82</v>
      </c>
      <c r="D3157" s="1" t="s">
        <v>41</v>
      </c>
      <c r="E3157" s="3">
        <v>1689658</v>
      </c>
      <c r="F3157" s="1">
        <v>1586.5333333333299</v>
      </c>
      <c r="G3157" s="1">
        <v>4</v>
      </c>
      <c r="H3157" s="1">
        <v>2</v>
      </c>
      <c r="I3157" s="1">
        <v>2</v>
      </c>
      <c r="J3157" s="1">
        <v>2</v>
      </c>
      <c r="K3157" s="1">
        <v>2</v>
      </c>
      <c r="M3157" s="4">
        <v>1065</v>
      </c>
      <c r="N3157" s="1">
        <v>1237</v>
      </c>
      <c r="O3157" s="1">
        <v>2312</v>
      </c>
      <c r="P3157" s="1">
        <v>1075</v>
      </c>
      <c r="Q3157" s="1" t="s">
        <v>42</v>
      </c>
      <c r="S3157" s="1" t="s">
        <v>42</v>
      </c>
      <c r="T3157" s="1" t="s">
        <v>273</v>
      </c>
      <c r="U3157" s="1">
        <v>114</v>
      </c>
      <c r="V3157" s="5">
        <v>43642</v>
      </c>
      <c r="W3157" s="5">
        <v>43389</v>
      </c>
      <c r="X3157" s="1">
        <v>1950000</v>
      </c>
      <c r="Y3157" s="1">
        <v>1850000</v>
      </c>
      <c r="Z3157" s="5">
        <v>43503</v>
      </c>
      <c r="AA3157" s="1">
        <v>1689658</v>
      </c>
      <c r="AB3157" s="1" t="s">
        <v>2007</v>
      </c>
      <c r="AC3157" s="5">
        <v>43538</v>
      </c>
      <c r="AF3157" s="1">
        <v>10128</v>
      </c>
      <c r="AI3157" s="1" t="s">
        <v>163</v>
      </c>
      <c r="AJ3157" s="1">
        <v>1986</v>
      </c>
      <c r="AK3157" s="1" t="s">
        <v>49</v>
      </c>
      <c r="AL3157" s="1">
        <v>287</v>
      </c>
    </row>
    <row r="3158" spans="1:38" x14ac:dyDescent="0.2">
      <c r="A3158" s="2" t="str">
        <f>HYPERLINK("https://www.compass.com/listing/360-east-89th-street-unit-29a-manhattan-ny-10128/338364246638957521/","360 E 89th St, Unit 29A")</f>
        <v>360 E 89th St, Unit 29A</v>
      </c>
      <c r="B3158" s="2" t="str">
        <f>HYPERLINK("https://www.compass.com/building/citizen360-manhattan-ny/282052027553444853/","Citizen360")</f>
        <v>Citizen360</v>
      </c>
      <c r="C3158" s="1" t="s">
        <v>82</v>
      </c>
      <c r="D3158" s="1" t="s">
        <v>41</v>
      </c>
      <c r="E3158" s="3">
        <v>4900000</v>
      </c>
      <c r="F3158" s="1">
        <v>1712.0894479384999</v>
      </c>
      <c r="G3158" s="1">
        <v>7</v>
      </c>
      <c r="H3158" s="1">
        <v>4</v>
      </c>
      <c r="I3158" s="1">
        <v>5</v>
      </c>
      <c r="J3158" s="1">
        <v>4.5</v>
      </c>
      <c r="K3158" s="1">
        <v>4</v>
      </c>
      <c r="L3158" s="1">
        <v>1</v>
      </c>
      <c r="M3158" s="4">
        <v>2862</v>
      </c>
      <c r="N3158" s="1">
        <v>2984</v>
      </c>
      <c r="O3158" s="1">
        <v>5206</v>
      </c>
      <c r="P3158" s="1">
        <v>2222</v>
      </c>
      <c r="Q3158" s="1" t="s">
        <v>42</v>
      </c>
      <c r="S3158" s="1" t="s">
        <v>42</v>
      </c>
      <c r="T3158" s="1" t="s">
        <v>273</v>
      </c>
      <c r="U3158" s="1">
        <v>388</v>
      </c>
      <c r="V3158" s="5">
        <v>44293</v>
      </c>
      <c r="W3158" s="5">
        <v>43718</v>
      </c>
      <c r="X3158" s="1">
        <v>6250000</v>
      </c>
      <c r="Y3158" s="1">
        <v>5750000</v>
      </c>
      <c r="Z3158" s="5">
        <v>44201</v>
      </c>
      <c r="AA3158" s="1">
        <v>4900000</v>
      </c>
      <c r="AB3158" s="1" t="s">
        <v>2008</v>
      </c>
      <c r="AC3158" s="5">
        <v>44286</v>
      </c>
      <c r="AF3158" s="1">
        <v>10128</v>
      </c>
      <c r="AJ3158" s="1">
        <v>2017</v>
      </c>
      <c r="AK3158" s="1" t="s">
        <v>108</v>
      </c>
      <c r="AL3158" s="1">
        <v>82</v>
      </c>
    </row>
    <row r="3159" spans="1:38" x14ac:dyDescent="0.2">
      <c r="A3159" s="2" t="str">
        <f>HYPERLINK("https://www.compass.com/listing/565-broome-street-unit-n11c-manhattan-ny-10013/29514994664105537/","565 Broome St, Unit N11C")</f>
        <v>565 Broome St, Unit N11C</v>
      </c>
      <c r="B3159" s="2" t="str">
        <f>HYPERLINK("https://www.compass.com/building/565-broome-soho-manhattan-ny/292813251698267109/","565 Broome Soho")</f>
        <v>565 Broome Soho</v>
      </c>
      <c r="C3159" s="1" t="s">
        <v>53</v>
      </c>
      <c r="D3159" s="1" t="s">
        <v>41</v>
      </c>
      <c r="E3159" s="3">
        <v>4029859</v>
      </c>
      <c r="F3159" s="1">
        <v>2397.2987745389601</v>
      </c>
      <c r="G3159" s="1">
        <v>4</v>
      </c>
      <c r="H3159" s="1">
        <v>2</v>
      </c>
      <c r="I3159" s="1">
        <v>3</v>
      </c>
      <c r="J3159" s="1">
        <v>2.5</v>
      </c>
      <c r="K3159" s="1">
        <v>2</v>
      </c>
      <c r="L3159" s="1">
        <v>1</v>
      </c>
      <c r="M3159" s="4">
        <v>1681</v>
      </c>
      <c r="N3159" s="1">
        <v>2516</v>
      </c>
      <c r="O3159" s="1">
        <v>5291</v>
      </c>
      <c r="P3159" s="1">
        <v>2775</v>
      </c>
      <c r="Q3159" s="1" t="s">
        <v>42</v>
      </c>
      <c r="S3159" s="1" t="s">
        <v>42</v>
      </c>
      <c r="T3159" s="1" t="s">
        <v>273</v>
      </c>
      <c r="U3159" s="1">
        <v>29</v>
      </c>
      <c r="V3159" s="5">
        <v>44327</v>
      </c>
      <c r="W3159" s="5">
        <v>42612</v>
      </c>
      <c r="X3159" s="1">
        <v>4275000</v>
      </c>
      <c r="Y3159" s="1">
        <v>4275000</v>
      </c>
      <c r="Z3159" s="5">
        <v>42642</v>
      </c>
      <c r="AA3159" s="1">
        <v>4029859.24</v>
      </c>
      <c r="AB3159" s="1" t="s">
        <v>2009</v>
      </c>
      <c r="AC3159" s="5">
        <v>43605</v>
      </c>
      <c r="AF3159" s="1">
        <v>10013</v>
      </c>
      <c r="AI3159" s="1" t="s">
        <v>48</v>
      </c>
      <c r="AJ3159" s="1">
        <v>2019</v>
      </c>
      <c r="AK3159" s="1" t="s">
        <v>46</v>
      </c>
      <c r="AL3159" s="1">
        <v>115</v>
      </c>
    </row>
    <row r="3160" spans="1:38" x14ac:dyDescent="0.2">
      <c r="A3160" s="2" t="str">
        <f>HYPERLINK("https://www.compass.com/listing/360-east-89th-street-unit-5b-manhattan-ny-10128/29424447442177985/","360 E 89th St, Unit 5B")</f>
        <v>360 E 89th St, Unit 5B</v>
      </c>
      <c r="B3160" s="2" t="str">
        <f>HYPERLINK("https://www.compass.com/building/citizen360-manhattan-ny/282052027553444853/","Citizen360")</f>
        <v>Citizen360</v>
      </c>
      <c r="C3160" s="1" t="s">
        <v>82</v>
      </c>
      <c r="D3160" s="1" t="s">
        <v>41</v>
      </c>
      <c r="E3160" s="3">
        <v>2215000</v>
      </c>
      <c r="F3160" s="1">
        <v>1562.05923836389</v>
      </c>
      <c r="G3160" s="1">
        <v>4</v>
      </c>
      <c r="H3160" s="1">
        <v>2</v>
      </c>
      <c r="I3160" s="1">
        <v>2</v>
      </c>
      <c r="J3160" s="1">
        <v>2</v>
      </c>
      <c r="K3160" s="1">
        <v>2</v>
      </c>
      <c r="M3160" s="4">
        <v>1418</v>
      </c>
      <c r="N3160" s="1">
        <v>1328</v>
      </c>
      <c r="O3160" s="1">
        <v>2873</v>
      </c>
      <c r="P3160" s="1">
        <v>1545</v>
      </c>
      <c r="Q3160" s="1" t="s">
        <v>42</v>
      </c>
      <c r="S3160" s="1" t="s">
        <v>42</v>
      </c>
      <c r="T3160" s="1" t="s">
        <v>273</v>
      </c>
      <c r="U3160" s="1">
        <v>333</v>
      </c>
      <c r="V3160" s="5">
        <v>43637</v>
      </c>
      <c r="W3160" s="5">
        <v>42830</v>
      </c>
      <c r="X3160" s="1">
        <v>2215000</v>
      </c>
      <c r="Y3160" s="1">
        <v>2215000</v>
      </c>
      <c r="Z3160" s="5">
        <v>43166</v>
      </c>
      <c r="AA3160" s="1">
        <v>2215000</v>
      </c>
      <c r="AB3160" s="1" t="s">
        <v>2010</v>
      </c>
      <c r="AC3160" s="5">
        <v>43252</v>
      </c>
      <c r="AF3160" s="1">
        <v>10128</v>
      </c>
      <c r="AJ3160" s="1">
        <v>2017</v>
      </c>
      <c r="AK3160" s="1" t="s">
        <v>108</v>
      </c>
      <c r="AL3160" s="1">
        <v>82</v>
      </c>
    </row>
    <row r="3161" spans="1:38" x14ac:dyDescent="0.2">
      <c r="A3161" s="2" t="str">
        <f>HYPERLINK("https://www.compass.com/listing/565-broome-street-unit-n16a-manhattan-ny-10013/780145082292461865/","565 Broome St, Unit N16A")</f>
        <v>565 Broome St, Unit N16A</v>
      </c>
      <c r="B3161" s="2" t="str">
        <f t="shared" ref="B3161:B3166" si="537">HYPERLINK("https://www.compass.com/building/565-broome-soho-manhattan-ny/292813251698267109/","565 Broome Soho")</f>
        <v>565 Broome Soho</v>
      </c>
      <c r="C3161" s="1" t="s">
        <v>53</v>
      </c>
      <c r="D3161" s="1" t="s">
        <v>41</v>
      </c>
      <c r="E3161" s="3">
        <v>11500000</v>
      </c>
      <c r="F3161" s="1">
        <v>3385.34000588754</v>
      </c>
      <c r="G3161" s="1">
        <v>6</v>
      </c>
      <c r="H3161" s="1">
        <v>3</v>
      </c>
      <c r="I3161" s="1">
        <v>4</v>
      </c>
      <c r="J3161" s="1">
        <v>3.5</v>
      </c>
      <c r="K3161" s="1">
        <v>3</v>
      </c>
      <c r="L3161" s="1">
        <v>1</v>
      </c>
      <c r="M3161" s="4">
        <v>3397</v>
      </c>
      <c r="N3161" s="1">
        <v>5992</v>
      </c>
      <c r="O3161" s="1">
        <v>12601</v>
      </c>
      <c r="P3161" s="1">
        <v>6609</v>
      </c>
      <c r="Q3161" s="1" t="s">
        <v>42</v>
      </c>
      <c r="S3161" s="1" t="s">
        <v>42</v>
      </c>
      <c r="T3161" s="1" t="s">
        <v>273</v>
      </c>
      <c r="V3161" s="5">
        <v>44344</v>
      </c>
      <c r="AA3161" s="1">
        <v>11500000</v>
      </c>
      <c r="AB3161" s="1" t="s">
        <v>275</v>
      </c>
      <c r="AC3161" s="5">
        <v>44021</v>
      </c>
      <c r="AF3161" s="1">
        <v>10013</v>
      </c>
      <c r="AI3161" s="1" t="s">
        <v>61</v>
      </c>
      <c r="AJ3161" s="1">
        <v>2019</v>
      </c>
      <c r="AK3161" s="1" t="s">
        <v>46</v>
      </c>
      <c r="AL3161" s="1">
        <v>115</v>
      </c>
    </row>
    <row r="3162" spans="1:38" x14ac:dyDescent="0.2">
      <c r="A3162" s="2" t="str">
        <f>HYPERLINK("https://www.compass.com/listing/565-broome-street-unit-n24a-manhattan-ny-10013/780145102600743745/","565 Broome St, Unit N24A")</f>
        <v>565 Broome St, Unit N24A</v>
      </c>
      <c r="B3162" s="2" t="str">
        <f t="shared" si="537"/>
        <v>565 Broome Soho</v>
      </c>
      <c r="C3162" s="1" t="s">
        <v>53</v>
      </c>
      <c r="D3162" s="1" t="s">
        <v>41</v>
      </c>
      <c r="E3162" s="3">
        <v>6995000</v>
      </c>
      <c r="F3162" s="1">
        <v>2784.6337579617798</v>
      </c>
      <c r="G3162" s="1">
        <v>6</v>
      </c>
      <c r="H3162" s="1">
        <v>3</v>
      </c>
      <c r="I3162" s="1">
        <v>4</v>
      </c>
      <c r="J3162" s="1">
        <v>3.5</v>
      </c>
      <c r="K3162" s="1">
        <v>3</v>
      </c>
      <c r="L3162" s="1">
        <v>1</v>
      </c>
      <c r="M3162" s="4">
        <v>2512</v>
      </c>
      <c r="N3162" s="1">
        <v>3941</v>
      </c>
      <c r="O3162" s="1">
        <v>8287</v>
      </c>
      <c r="P3162" s="1">
        <v>4346</v>
      </c>
      <c r="Q3162" s="1" t="s">
        <v>42</v>
      </c>
      <c r="S3162" s="1" t="s">
        <v>42</v>
      </c>
      <c r="T3162" s="1" t="s">
        <v>273</v>
      </c>
      <c r="V3162" s="5">
        <v>44344</v>
      </c>
      <c r="AA3162" s="1">
        <v>6995000</v>
      </c>
      <c r="AB3162" s="1" t="s">
        <v>1654</v>
      </c>
      <c r="AC3162" s="5">
        <v>44180</v>
      </c>
      <c r="AF3162" s="1">
        <v>10013</v>
      </c>
      <c r="AI3162" s="1" t="s">
        <v>48</v>
      </c>
      <c r="AJ3162" s="1">
        <v>2019</v>
      </c>
      <c r="AK3162" s="1" t="s">
        <v>49</v>
      </c>
      <c r="AL3162" s="1">
        <v>115</v>
      </c>
    </row>
    <row r="3163" spans="1:38" x14ac:dyDescent="0.2">
      <c r="A3163" s="2" t="str">
        <f>HYPERLINK("https://www.compass.com/listing/565-broome-street-unit-n18b-manhattan-ny-10013/780145117288682673/","565 Broome St, Unit N18B")</f>
        <v>565 Broome St, Unit N18B</v>
      </c>
      <c r="B3163" s="2" t="str">
        <f t="shared" si="537"/>
        <v>565 Broome Soho</v>
      </c>
      <c r="C3163" s="1" t="s">
        <v>53</v>
      </c>
      <c r="D3163" s="1" t="s">
        <v>41</v>
      </c>
      <c r="E3163" s="3">
        <v>5700000</v>
      </c>
      <c r="F3163" s="1">
        <v>2375.98999583159</v>
      </c>
      <c r="G3163" s="1">
        <v>6</v>
      </c>
      <c r="H3163" s="1">
        <v>3</v>
      </c>
      <c r="I3163" s="1">
        <v>4</v>
      </c>
      <c r="J3163" s="1">
        <v>3.5</v>
      </c>
      <c r="K3163" s="1">
        <v>3</v>
      </c>
      <c r="L3163" s="1">
        <v>1</v>
      </c>
      <c r="M3163" s="4">
        <v>2399</v>
      </c>
      <c r="N3163" s="1">
        <v>3659</v>
      </c>
      <c r="O3163" s="1">
        <v>7695</v>
      </c>
      <c r="P3163" s="1">
        <v>4036</v>
      </c>
      <c r="Q3163" s="1" t="s">
        <v>42</v>
      </c>
      <c r="S3163" s="1" t="s">
        <v>42</v>
      </c>
      <c r="T3163" s="1" t="s">
        <v>273</v>
      </c>
      <c r="V3163" s="5">
        <v>44344</v>
      </c>
      <c r="AA3163" s="1">
        <v>5700000</v>
      </c>
      <c r="AB3163" s="1" t="s">
        <v>1642</v>
      </c>
      <c r="AC3163" s="5">
        <v>43644</v>
      </c>
      <c r="AF3163" s="1">
        <v>10013</v>
      </c>
      <c r="AI3163" s="1" t="s">
        <v>48</v>
      </c>
      <c r="AJ3163" s="1">
        <v>2019</v>
      </c>
      <c r="AK3163" s="1" t="s">
        <v>46</v>
      </c>
      <c r="AL3163" s="1">
        <v>115</v>
      </c>
    </row>
    <row r="3164" spans="1:38" x14ac:dyDescent="0.2">
      <c r="A3164" s="2" t="str">
        <f>HYPERLINK("https://www.compass.com/listing/565-broome-street-unit-s19a-manhattan-ny-10013/803339826707103497/","565 Broome St, Unit S19A")</f>
        <v>565 Broome St, Unit S19A</v>
      </c>
      <c r="B3164" s="2" t="str">
        <f t="shared" si="537"/>
        <v>565 Broome Soho</v>
      </c>
      <c r="C3164" s="1" t="s">
        <v>53</v>
      </c>
      <c r="D3164" s="1" t="s">
        <v>41</v>
      </c>
      <c r="E3164" s="3">
        <v>11064869</v>
      </c>
      <c r="F3164" s="1">
        <v>2494.89726719278</v>
      </c>
      <c r="G3164" s="1">
        <v>5</v>
      </c>
      <c r="H3164" s="1">
        <v>3</v>
      </c>
      <c r="I3164" s="1">
        <v>4</v>
      </c>
      <c r="J3164" s="1">
        <v>3.5</v>
      </c>
      <c r="K3164" s="1">
        <v>3</v>
      </c>
      <c r="L3164" s="1">
        <v>1</v>
      </c>
      <c r="M3164" s="4">
        <v>4435</v>
      </c>
      <c r="N3164" s="1">
        <v>6795</v>
      </c>
      <c r="O3164" s="1">
        <v>14292</v>
      </c>
      <c r="P3164" s="1">
        <v>7497</v>
      </c>
      <c r="Q3164" s="1" t="s">
        <v>42</v>
      </c>
      <c r="S3164" s="1" t="s">
        <v>42</v>
      </c>
      <c r="T3164" s="1" t="s">
        <v>273</v>
      </c>
      <c r="V3164" s="5">
        <v>44344</v>
      </c>
      <c r="AA3164" s="1">
        <v>11064869.380000001</v>
      </c>
      <c r="AB3164" s="1" t="s">
        <v>1266</v>
      </c>
      <c r="AC3164" s="5">
        <v>43643</v>
      </c>
      <c r="AF3164" s="1">
        <v>10013</v>
      </c>
      <c r="AI3164" s="1" t="s">
        <v>48</v>
      </c>
      <c r="AJ3164" s="1">
        <v>2019</v>
      </c>
      <c r="AK3164" s="1" t="s">
        <v>49</v>
      </c>
      <c r="AL3164" s="1">
        <v>115</v>
      </c>
    </row>
    <row r="3165" spans="1:38" x14ac:dyDescent="0.2">
      <c r="A3165" s="2" t="str">
        <f>HYPERLINK("https://www.compass.com/listing/565-broome-street-unit-s25a-manhattan-ny-10013/803355362996615985/","565 Broome St, Unit S25A")</f>
        <v>565 Broome St, Unit S25A</v>
      </c>
      <c r="B3165" s="2" t="str">
        <f t="shared" si="537"/>
        <v>565 Broome Soho</v>
      </c>
      <c r="C3165" s="1" t="s">
        <v>53</v>
      </c>
      <c r="D3165" s="1" t="s">
        <v>41</v>
      </c>
      <c r="E3165" s="3">
        <v>6750000</v>
      </c>
      <c r="F3165" s="1">
        <v>3008.0213903743302</v>
      </c>
      <c r="G3165" s="1">
        <v>5</v>
      </c>
      <c r="H3165" s="1">
        <v>3</v>
      </c>
      <c r="I3165" s="1">
        <v>4</v>
      </c>
      <c r="J3165" s="1">
        <v>3.5</v>
      </c>
      <c r="K3165" s="1">
        <v>3</v>
      </c>
      <c r="L3165" s="1">
        <v>1</v>
      </c>
      <c r="M3165" s="4">
        <v>2244</v>
      </c>
      <c r="N3165" s="1">
        <v>3536</v>
      </c>
      <c r="O3165" s="1">
        <v>7437</v>
      </c>
      <c r="P3165" s="1">
        <v>3901</v>
      </c>
      <c r="Q3165" s="1" t="s">
        <v>42</v>
      </c>
      <c r="S3165" s="1" t="s">
        <v>42</v>
      </c>
      <c r="T3165" s="1" t="s">
        <v>273</v>
      </c>
      <c r="V3165" s="5">
        <v>44344</v>
      </c>
      <c r="AA3165" s="1">
        <v>6750000</v>
      </c>
      <c r="AB3165" s="1" t="s">
        <v>1309</v>
      </c>
      <c r="AC3165" s="5">
        <v>43641</v>
      </c>
      <c r="AF3165" s="1">
        <v>10013</v>
      </c>
      <c r="AI3165" s="1" t="s">
        <v>48</v>
      </c>
      <c r="AJ3165" s="1">
        <v>2019</v>
      </c>
      <c r="AK3165" s="1" t="s">
        <v>49</v>
      </c>
      <c r="AL3165" s="1">
        <v>115</v>
      </c>
    </row>
    <row r="3166" spans="1:38" x14ac:dyDescent="0.2">
      <c r="A3166" s="2" t="str">
        <f>HYPERLINK("https://www.compass.com/listing/565-broome-street-unit-n7e-manhattan-ny-10013/841578220713290929/","565 Broome St, Unit N7E")</f>
        <v>565 Broome St, Unit N7E</v>
      </c>
      <c r="B3166" s="2" t="str">
        <f t="shared" si="537"/>
        <v>565 Broome Soho</v>
      </c>
      <c r="C3166" s="1" t="s">
        <v>53</v>
      </c>
      <c r="D3166" s="1" t="s">
        <v>41</v>
      </c>
      <c r="E3166" s="3">
        <v>5450000</v>
      </c>
      <c r="F3166" s="1">
        <v>2312.2613491726702</v>
      </c>
      <c r="H3166" s="1">
        <v>3</v>
      </c>
      <c r="J3166" s="1">
        <v>3.5</v>
      </c>
      <c r="K3166" s="1">
        <v>3</v>
      </c>
      <c r="L3166" s="1">
        <v>1</v>
      </c>
      <c r="M3166" s="4">
        <v>2357</v>
      </c>
      <c r="S3166" s="1" t="s">
        <v>42</v>
      </c>
      <c r="T3166" s="1" t="s">
        <v>273</v>
      </c>
      <c r="V3166" s="5">
        <v>44415</v>
      </c>
      <c r="W3166" s="5">
        <v>43762</v>
      </c>
      <c r="X3166" s="1">
        <v>5450000</v>
      </c>
      <c r="Y3166" s="1">
        <v>5450000</v>
      </c>
      <c r="Z3166" s="5">
        <v>43762</v>
      </c>
      <c r="AA3166" s="1">
        <v>5450000</v>
      </c>
      <c r="AB3166" s="1" t="s">
        <v>275</v>
      </c>
      <c r="AC3166" s="5">
        <v>44411</v>
      </c>
      <c r="AF3166" s="1">
        <v>10013</v>
      </c>
      <c r="AI3166" s="1" t="s">
        <v>48</v>
      </c>
      <c r="AJ3166" s="1">
        <v>2019</v>
      </c>
      <c r="AK3166" s="1" t="s">
        <v>46</v>
      </c>
      <c r="AL3166" s="1">
        <v>115</v>
      </c>
    </row>
    <row r="3167" spans="1:38" x14ac:dyDescent="0.2">
      <c r="A3167" s="2" t="str">
        <f>HYPERLINK("https://www.compass.com/listing/200-east-94th-street-unit-2317-manhattan-ny-10128/441218738717769201/","200 E 94th St, Unit 2317")</f>
        <v>200 E 94th St, Unit 2317</v>
      </c>
      <c r="B3167" s="2" t="str">
        <f>HYPERLINK("https://www.compass.com/building/carnegie-park-condominium-manhattan-ny/282049797358118613/","Carnegie Park Condominium")</f>
        <v>Carnegie Park Condominium</v>
      </c>
      <c r="C3167" s="1" t="s">
        <v>82</v>
      </c>
      <c r="D3167" s="1" t="s">
        <v>41</v>
      </c>
      <c r="E3167" s="3">
        <v>1672000</v>
      </c>
      <c r="F3167" s="1">
        <v>1600</v>
      </c>
      <c r="G3167" s="1">
        <v>4</v>
      </c>
      <c r="H3167" s="1">
        <v>2</v>
      </c>
      <c r="I3167" s="1">
        <v>2</v>
      </c>
      <c r="J3167" s="1">
        <v>2</v>
      </c>
      <c r="K3167" s="1">
        <v>2</v>
      </c>
      <c r="M3167" s="4">
        <v>1045</v>
      </c>
      <c r="N3167" s="1">
        <v>1245</v>
      </c>
      <c r="O3167" s="1">
        <v>2552</v>
      </c>
      <c r="P3167" s="1">
        <v>1307</v>
      </c>
      <c r="Q3167" s="1" t="s">
        <v>42</v>
      </c>
      <c r="S3167" s="1" t="s">
        <v>42</v>
      </c>
      <c r="T3167" s="1" t="s">
        <v>273</v>
      </c>
      <c r="U3167" s="1">
        <v>32</v>
      </c>
      <c r="V3167" s="5">
        <v>43952</v>
      </c>
      <c r="W3167" s="5">
        <v>43860</v>
      </c>
      <c r="X3167" s="1">
        <v>1795000</v>
      </c>
      <c r="Y3167" s="1">
        <v>1795000</v>
      </c>
      <c r="Z3167" s="5">
        <v>43893</v>
      </c>
      <c r="AA3167" s="1">
        <v>1672000</v>
      </c>
      <c r="AB3167" s="1" t="s">
        <v>2011</v>
      </c>
      <c r="AC3167" s="5">
        <v>43942</v>
      </c>
      <c r="AF3167" s="1">
        <v>10128</v>
      </c>
      <c r="AI3167" s="1" t="s">
        <v>185</v>
      </c>
      <c r="AJ3167" s="1">
        <v>1986</v>
      </c>
      <c r="AK3167" s="1" t="s">
        <v>108</v>
      </c>
      <c r="AL3167" s="1">
        <v>287</v>
      </c>
    </row>
    <row r="3168" spans="1:38" x14ac:dyDescent="0.2">
      <c r="A3168" s="2" t="str">
        <f>HYPERLINK("https://www.compass.com/listing/90-lexington-avenue-unit-3f-manhattan-ny-10016/29378547806149393/","90 Lexington Ave, Unit 3F")</f>
        <v>90 Lexington Ave, Unit 3F</v>
      </c>
      <c r="B3168" s="2" t="str">
        <f t="shared" ref="B3168:B3170" si="538">HYPERLINK("https://www.compass.com/building/88-90-lexington-avenue-manhattan-ny/281941431524842901/","88 &amp; 90 Lexington Avenue")</f>
        <v>88 &amp; 90 Lexington Avenue</v>
      </c>
      <c r="C3168" s="1" t="s">
        <v>40</v>
      </c>
      <c r="D3168" s="1" t="s">
        <v>41</v>
      </c>
      <c r="E3168" s="3">
        <v>1564014</v>
      </c>
      <c r="F3168" s="1">
        <v>1452.1951067780799</v>
      </c>
      <c r="H3168" s="1">
        <v>1</v>
      </c>
      <c r="J3168" s="1">
        <v>1.5</v>
      </c>
      <c r="K3168" s="1">
        <v>1</v>
      </c>
      <c r="L3168" s="1">
        <v>1</v>
      </c>
      <c r="M3168" s="4">
        <v>1077</v>
      </c>
      <c r="N3168" s="1">
        <v>1212.1099999999999</v>
      </c>
      <c r="O3168" s="1">
        <v>3073.51</v>
      </c>
      <c r="P3168" s="1">
        <v>1861.4166666666599</v>
      </c>
      <c r="Q3168" s="1" t="s">
        <v>42</v>
      </c>
      <c r="S3168" s="1" t="s">
        <v>42</v>
      </c>
      <c r="T3168" s="1" t="s">
        <v>273</v>
      </c>
      <c r="AA3168" s="1">
        <v>1564014.13</v>
      </c>
      <c r="AB3168" s="1" t="s">
        <v>2012</v>
      </c>
      <c r="AC3168" s="5">
        <v>42621</v>
      </c>
      <c r="AF3168" s="1">
        <v>10016</v>
      </c>
      <c r="AI3168" s="1" t="s">
        <v>118</v>
      </c>
      <c r="AJ3168" s="1">
        <v>1957</v>
      </c>
      <c r="AK3168" s="1" t="s">
        <v>49</v>
      </c>
      <c r="AL3168" s="1">
        <v>49</v>
      </c>
    </row>
    <row r="3169" spans="1:38" x14ac:dyDescent="0.2">
      <c r="A3169" s="2" t="str">
        <f>HYPERLINK("https://www.compass.com/listing/90-lexington-avenue-unit-5f-manhattan-ny-10016/29378551077783329/","90 Lexington Ave, Unit 5F")</f>
        <v>90 Lexington Ave, Unit 5F</v>
      </c>
      <c r="B3169" s="2" t="str">
        <f t="shared" si="538"/>
        <v>88 &amp; 90 Lexington Avenue</v>
      </c>
      <c r="C3169" s="1" t="s">
        <v>40</v>
      </c>
      <c r="D3169" s="1" t="s">
        <v>41</v>
      </c>
      <c r="E3169" s="3">
        <v>1465290</v>
      </c>
      <c r="F3169" s="1">
        <v>1360.52885793871</v>
      </c>
      <c r="H3169" s="1">
        <v>1</v>
      </c>
      <c r="J3169" s="1">
        <v>1.5</v>
      </c>
      <c r="K3169" s="1">
        <v>1</v>
      </c>
      <c r="L3169" s="1">
        <v>1</v>
      </c>
      <c r="M3169" s="4">
        <v>1077</v>
      </c>
      <c r="N3169" s="1">
        <v>1177.03</v>
      </c>
      <c r="O3169" s="1">
        <v>3056.8199999999902</v>
      </c>
      <c r="P3169" s="1">
        <v>1879.75</v>
      </c>
      <c r="Q3169" s="1" t="s">
        <v>42</v>
      </c>
      <c r="S3169" s="1" t="s">
        <v>42</v>
      </c>
      <c r="T3169" s="1" t="s">
        <v>273</v>
      </c>
      <c r="AA3169" s="1">
        <v>1465289.58</v>
      </c>
      <c r="AB3169" s="1" t="s">
        <v>2013</v>
      </c>
      <c r="AC3169" s="5">
        <v>42521</v>
      </c>
      <c r="AF3169" s="1">
        <v>10016</v>
      </c>
      <c r="AI3169" s="1" t="s">
        <v>118</v>
      </c>
      <c r="AJ3169" s="1">
        <v>1957</v>
      </c>
      <c r="AK3169" s="1" t="s">
        <v>49</v>
      </c>
      <c r="AL3169" s="1">
        <v>49</v>
      </c>
    </row>
    <row r="3170" spans="1:38" x14ac:dyDescent="0.2">
      <c r="A3170" s="2" t="str">
        <f>HYPERLINK("https://www.compass.com/listing/90-lexington-avenue-unit-10f-manhattan-ny-10016/29378557713101505/","90 Lexington Ave, Unit 10F")</f>
        <v>90 Lexington Ave, Unit 10F</v>
      </c>
      <c r="B3170" s="2" t="str">
        <f t="shared" si="538"/>
        <v>88 &amp; 90 Lexington Avenue</v>
      </c>
      <c r="C3170" s="1" t="s">
        <v>40</v>
      </c>
      <c r="D3170" s="1" t="s">
        <v>41</v>
      </c>
      <c r="E3170" s="3">
        <v>1539594</v>
      </c>
      <c r="F3170" s="1">
        <v>1429.5208913649001</v>
      </c>
      <c r="H3170" s="1">
        <v>1</v>
      </c>
      <c r="J3170" s="1">
        <v>1.5</v>
      </c>
      <c r="K3170" s="1">
        <v>1</v>
      </c>
      <c r="L3170" s="1">
        <v>1</v>
      </c>
      <c r="M3170" s="4">
        <v>1077</v>
      </c>
      <c r="N3170" s="1">
        <v>1254</v>
      </c>
      <c r="O3170" s="1">
        <v>3019</v>
      </c>
      <c r="P3170" s="1">
        <v>1765</v>
      </c>
      <c r="Q3170" s="1" t="s">
        <v>42</v>
      </c>
      <c r="S3170" s="1" t="s">
        <v>42</v>
      </c>
      <c r="T3170" s="1" t="s">
        <v>273</v>
      </c>
      <c r="AA3170" s="1">
        <v>1539594</v>
      </c>
      <c r="AB3170" s="1" t="s">
        <v>2014</v>
      </c>
      <c r="AC3170" s="5">
        <v>42597</v>
      </c>
      <c r="AF3170" s="1">
        <v>10016</v>
      </c>
      <c r="AI3170" s="1" t="s">
        <v>118</v>
      </c>
      <c r="AJ3170" s="1">
        <v>1957</v>
      </c>
      <c r="AK3170" s="1" t="s">
        <v>49</v>
      </c>
      <c r="AL3170" s="1">
        <v>49</v>
      </c>
    </row>
    <row r="3171" spans="1:38" x14ac:dyDescent="0.2">
      <c r="A3171" s="2" t="str">
        <f>HYPERLINK("https://www.compass.com/listing/15-west-61st-street-unit-22d-manhattan-ny-10023/487522242696378009/","15 W 61st St, Unit 22D")</f>
        <v>15 W 61st St, Unit 22D</v>
      </c>
      <c r="B3171" s="2" t="str">
        <f t="shared" ref="B3171:B3172" si="539">HYPERLINK("https://www.compass.com/building/the-park-loggia-manhattan-ny/292861833130357557/","The Park Loggia")</f>
        <v>The Park Loggia</v>
      </c>
      <c r="C3171" s="1" t="s">
        <v>57</v>
      </c>
      <c r="D3171" s="1" t="s">
        <v>41</v>
      </c>
      <c r="E3171" s="3">
        <v>3454866</v>
      </c>
      <c r="F3171" s="1">
        <v>2578.2579477611898</v>
      </c>
      <c r="G3171" s="1">
        <v>4</v>
      </c>
      <c r="H3171" s="1">
        <v>2</v>
      </c>
      <c r="I3171" s="1">
        <v>2</v>
      </c>
      <c r="J3171" s="1">
        <v>2</v>
      </c>
      <c r="K3171" s="1">
        <v>2</v>
      </c>
      <c r="M3171" s="4">
        <v>1340</v>
      </c>
      <c r="N3171" s="1">
        <v>1415</v>
      </c>
      <c r="O3171" s="1">
        <v>2776</v>
      </c>
      <c r="P3171" s="1">
        <v>1361</v>
      </c>
      <c r="Q3171" s="1" t="s">
        <v>42</v>
      </c>
      <c r="S3171" s="1" t="s">
        <v>42</v>
      </c>
      <c r="T3171" s="1" t="s">
        <v>273</v>
      </c>
      <c r="U3171" s="1">
        <v>256</v>
      </c>
      <c r="V3171" s="5">
        <v>43925</v>
      </c>
      <c r="W3171" s="5">
        <v>43654</v>
      </c>
      <c r="X3171" s="1">
        <v>3427200</v>
      </c>
      <c r="Y3171" s="1">
        <v>3427200</v>
      </c>
      <c r="AA3171" s="1">
        <v>3454865.65</v>
      </c>
      <c r="AB3171" s="1" t="s">
        <v>2015</v>
      </c>
      <c r="AC3171" s="5">
        <v>43917</v>
      </c>
      <c r="AF3171" s="1">
        <v>10023</v>
      </c>
      <c r="AI3171" s="1" t="s">
        <v>1071</v>
      </c>
      <c r="AJ3171" s="1">
        <v>2019</v>
      </c>
      <c r="AK3171" s="1" t="s">
        <v>108</v>
      </c>
      <c r="AL3171" s="1">
        <v>172</v>
      </c>
    </row>
    <row r="3172" spans="1:38" x14ac:dyDescent="0.2">
      <c r="A3172" s="2" t="str">
        <f>HYPERLINK("https://www.compass.com/listing/15-west-61st-street-unit-12b-manhattan-ny-10023/531328631786882361/","15 W 61st St, Unit 12B")</f>
        <v>15 W 61st St, Unit 12B</v>
      </c>
      <c r="B3172" s="2" t="str">
        <f t="shared" si="539"/>
        <v>The Park Loggia</v>
      </c>
      <c r="C3172" s="1" t="s">
        <v>57</v>
      </c>
      <c r="D3172" s="1" t="s">
        <v>41</v>
      </c>
      <c r="E3172" s="3">
        <v>3195072</v>
      </c>
      <c r="F3172" s="1">
        <v>2564.2631942214998</v>
      </c>
      <c r="G3172" s="1">
        <v>4</v>
      </c>
      <c r="H3172" s="1">
        <v>2</v>
      </c>
      <c r="I3172" s="1">
        <v>2</v>
      </c>
      <c r="J3172" s="1">
        <v>2</v>
      </c>
      <c r="K3172" s="1">
        <v>2</v>
      </c>
      <c r="M3172" s="4">
        <v>1246</v>
      </c>
      <c r="N3172" s="1">
        <v>1320</v>
      </c>
      <c r="O3172" s="1">
        <v>2590</v>
      </c>
      <c r="P3172" s="1">
        <v>1270</v>
      </c>
      <c r="Q3172" s="1" t="s">
        <v>42</v>
      </c>
      <c r="S3172" s="1" t="s">
        <v>42</v>
      </c>
      <c r="T3172" s="1" t="s">
        <v>273</v>
      </c>
      <c r="U3172" s="1">
        <v>209</v>
      </c>
      <c r="V3172" s="5">
        <v>43988</v>
      </c>
      <c r="W3172" s="5">
        <v>43700</v>
      </c>
      <c r="X3172" s="1">
        <v>3093750</v>
      </c>
      <c r="Y3172" s="1">
        <v>3093750</v>
      </c>
      <c r="AA3172" s="1">
        <v>3195071.94</v>
      </c>
      <c r="AB3172" s="1" t="s">
        <v>2016</v>
      </c>
      <c r="AC3172" s="5">
        <v>43984</v>
      </c>
      <c r="AF3172" s="1">
        <v>10023</v>
      </c>
      <c r="AI3172" s="1" t="s">
        <v>1071</v>
      </c>
      <c r="AJ3172" s="1">
        <v>2019</v>
      </c>
      <c r="AK3172" s="1" t="s">
        <v>108</v>
      </c>
      <c r="AL3172" s="1">
        <v>172</v>
      </c>
    </row>
    <row r="3173" spans="1:38" x14ac:dyDescent="0.2">
      <c r="A3173" s="2" t="str">
        <f>HYPERLINK("https://www.compass.com/listing/88-lexington-avenue-unit-1506-manhattan-ny-10016/212982581321353425/","88 Lexington Ave, Unit 1506")</f>
        <v>88 Lexington Ave, Unit 1506</v>
      </c>
      <c r="B3173" s="2" t="str">
        <f t="shared" ref="B3173:B3178" si="540">HYPERLINK("https://www.compass.com/building/88-90-lexington-avenue-manhattan-ny/281903945159296309/","88 &amp; 90 Lexington Avenue")</f>
        <v>88 &amp; 90 Lexington Avenue</v>
      </c>
      <c r="C3173" s="1" t="s">
        <v>40</v>
      </c>
      <c r="D3173" s="1" t="s">
        <v>41</v>
      </c>
      <c r="E3173" s="3">
        <v>5992946</v>
      </c>
      <c r="F3173" s="1">
        <v>2645.8922737306798</v>
      </c>
      <c r="G3173" s="1">
        <v>5</v>
      </c>
      <c r="H3173" s="1">
        <v>3</v>
      </c>
      <c r="I3173" s="1">
        <v>3</v>
      </c>
      <c r="J3173" s="1">
        <v>3</v>
      </c>
      <c r="K3173" s="1">
        <v>3</v>
      </c>
      <c r="M3173" s="4">
        <v>2265</v>
      </c>
      <c r="N3173" s="1">
        <v>2379.08</v>
      </c>
      <c r="O3173" s="1">
        <v>4912.3500000000004</v>
      </c>
      <c r="P3173" s="1">
        <v>2533.25</v>
      </c>
      <c r="Q3173" s="1" t="s">
        <v>42</v>
      </c>
      <c r="S3173" s="1" t="s">
        <v>42</v>
      </c>
      <c r="T3173" s="1" t="s">
        <v>273</v>
      </c>
      <c r="V3173" s="5">
        <v>43673</v>
      </c>
      <c r="W3173" s="5">
        <v>42222</v>
      </c>
      <c r="X3173" s="1">
        <v>5850000</v>
      </c>
      <c r="Y3173" s="1">
        <v>5850000</v>
      </c>
      <c r="Z3173" s="5">
        <v>42222</v>
      </c>
      <c r="AA3173" s="1">
        <v>5992945.8700000001</v>
      </c>
      <c r="AB3173" s="1" t="s">
        <v>2017</v>
      </c>
      <c r="AC3173" s="5">
        <v>42628</v>
      </c>
      <c r="AF3173" s="1">
        <v>10016</v>
      </c>
      <c r="AI3173" s="1" t="s">
        <v>117</v>
      </c>
      <c r="AJ3173" s="1">
        <v>1927</v>
      </c>
      <c r="AK3173" s="1" t="s">
        <v>46</v>
      </c>
      <c r="AL3173" s="1">
        <v>70</v>
      </c>
    </row>
    <row r="3174" spans="1:38" x14ac:dyDescent="0.2">
      <c r="A3174" s="2" t="str">
        <f>HYPERLINK("https://www.compass.com/listing/88-lexington-avenue-unit-706-manhattan-ny-10016/29378563484457985/","88 Lexington Ave, Unit 706")</f>
        <v>88 Lexington Ave, Unit 706</v>
      </c>
      <c r="B3174" s="2" t="str">
        <f t="shared" si="540"/>
        <v>88 &amp; 90 Lexington Avenue</v>
      </c>
      <c r="C3174" s="1" t="s">
        <v>40</v>
      </c>
      <c r="D3174" s="1" t="s">
        <v>41</v>
      </c>
      <c r="E3174" s="3">
        <v>4433286</v>
      </c>
      <c r="F3174" s="1">
        <v>1919.1715194805099</v>
      </c>
      <c r="G3174" s="1">
        <v>5</v>
      </c>
      <c r="H3174" s="1">
        <v>3</v>
      </c>
      <c r="I3174" s="1">
        <v>3</v>
      </c>
      <c r="J3174" s="1">
        <v>3</v>
      </c>
      <c r="K3174" s="1">
        <v>3</v>
      </c>
      <c r="M3174" s="4">
        <v>2310</v>
      </c>
      <c r="N3174" s="1">
        <v>2189</v>
      </c>
      <c r="O3174" s="1">
        <v>4519</v>
      </c>
      <c r="P3174" s="1">
        <v>2330</v>
      </c>
      <c r="Q3174" s="1" t="s">
        <v>42</v>
      </c>
      <c r="S3174" s="1" t="s">
        <v>42</v>
      </c>
      <c r="T3174" s="1" t="s">
        <v>273</v>
      </c>
      <c r="U3174" s="1">
        <v>111</v>
      </c>
      <c r="V3174" s="5">
        <v>42998</v>
      </c>
      <c r="W3174" s="5">
        <v>42152</v>
      </c>
      <c r="X3174" s="1">
        <v>4620000</v>
      </c>
      <c r="Y3174" s="1">
        <v>4620000</v>
      </c>
      <c r="AA3174" s="1">
        <v>4433286.21</v>
      </c>
      <c r="AB3174" s="1" t="s">
        <v>1982</v>
      </c>
      <c r="AC3174" s="5">
        <v>42802</v>
      </c>
      <c r="AF3174" s="1">
        <v>10016</v>
      </c>
      <c r="AI3174" s="1" t="s">
        <v>78</v>
      </c>
      <c r="AJ3174" s="1">
        <v>1927</v>
      </c>
      <c r="AK3174" s="1" t="s">
        <v>46</v>
      </c>
      <c r="AL3174" s="1">
        <v>70</v>
      </c>
    </row>
    <row r="3175" spans="1:38" x14ac:dyDescent="0.2">
      <c r="A3175" s="2" t="str">
        <f>HYPERLINK("https://www.compass.com/listing/88-lexington-avenue-unit-1405-manhattan-ny-10016/29378572669989793/","88 Lexington Ave, Unit 1405")</f>
        <v>88 Lexington Ave, Unit 1405</v>
      </c>
      <c r="B3175" s="2" t="str">
        <f t="shared" si="540"/>
        <v>88 &amp; 90 Lexington Avenue</v>
      </c>
      <c r="C3175" s="1" t="s">
        <v>40</v>
      </c>
      <c r="D3175" s="1" t="s">
        <v>41</v>
      </c>
      <c r="E3175" s="3">
        <v>4509974</v>
      </c>
      <c r="F3175" s="1">
        <v>2253.8600699650101</v>
      </c>
      <c r="G3175" s="1">
        <v>5</v>
      </c>
      <c r="H3175" s="1">
        <v>3</v>
      </c>
      <c r="I3175" s="1">
        <v>2</v>
      </c>
      <c r="J3175" s="1">
        <v>2</v>
      </c>
      <c r="K3175" s="1">
        <v>2</v>
      </c>
      <c r="M3175" s="4">
        <v>2001</v>
      </c>
      <c r="N3175" s="1">
        <v>1951</v>
      </c>
      <c r="O3175" s="1">
        <v>4029</v>
      </c>
      <c r="P3175" s="1">
        <v>2078</v>
      </c>
      <c r="Q3175" s="1" t="s">
        <v>42</v>
      </c>
      <c r="S3175" s="1" t="s">
        <v>42</v>
      </c>
      <c r="T3175" s="1" t="s">
        <v>273</v>
      </c>
      <c r="V3175" s="5">
        <v>43675</v>
      </c>
      <c r="W3175" s="5">
        <v>42321</v>
      </c>
      <c r="X3175" s="1">
        <v>4400000</v>
      </c>
      <c r="Y3175" s="1">
        <v>4400000</v>
      </c>
      <c r="Z3175" s="5">
        <v>42321</v>
      </c>
      <c r="AA3175" s="1">
        <v>4509974</v>
      </c>
      <c r="AB3175" s="1" t="s">
        <v>2018</v>
      </c>
      <c r="AC3175" s="5">
        <v>42565</v>
      </c>
      <c r="AF3175" s="1">
        <v>10016</v>
      </c>
      <c r="AI3175" s="1" t="s">
        <v>78</v>
      </c>
      <c r="AJ3175" s="1">
        <v>1927</v>
      </c>
      <c r="AK3175" s="1" t="s">
        <v>46</v>
      </c>
      <c r="AL3175" s="1">
        <v>70</v>
      </c>
    </row>
    <row r="3176" spans="1:38" x14ac:dyDescent="0.2">
      <c r="A3176" s="2" t="str">
        <f>HYPERLINK("https://www.compass.com/listing/88-lexington-avenue-unit-1502-manhattan-ny-10016/29378573089414321/","88 Lexington Ave, Unit 1502")</f>
        <v>88 Lexington Ave, Unit 1502</v>
      </c>
      <c r="B3176" s="2" t="str">
        <f t="shared" si="540"/>
        <v>88 &amp; 90 Lexington Avenue</v>
      </c>
      <c r="C3176" s="1" t="s">
        <v>40</v>
      </c>
      <c r="D3176" s="1" t="s">
        <v>41</v>
      </c>
      <c r="E3176" s="3">
        <v>3535691</v>
      </c>
      <c r="F3176" s="1">
        <v>2475.9740896358499</v>
      </c>
      <c r="G3176" s="1">
        <v>4</v>
      </c>
      <c r="H3176" s="1">
        <v>2</v>
      </c>
      <c r="I3176" s="1">
        <v>2</v>
      </c>
      <c r="J3176" s="1">
        <v>2</v>
      </c>
      <c r="K3176" s="1">
        <v>2</v>
      </c>
      <c r="M3176" s="4">
        <v>1428</v>
      </c>
      <c r="N3176" s="1">
        <v>1506</v>
      </c>
      <c r="O3176" s="1">
        <v>3110</v>
      </c>
      <c r="P3176" s="1">
        <v>1604</v>
      </c>
      <c r="Q3176" s="1" t="s">
        <v>42</v>
      </c>
      <c r="S3176" s="1" t="s">
        <v>42</v>
      </c>
      <c r="T3176" s="1" t="s">
        <v>273</v>
      </c>
      <c r="V3176" s="5">
        <v>43701</v>
      </c>
      <c r="W3176" s="5">
        <v>42241</v>
      </c>
      <c r="X3176" s="1">
        <v>3450000</v>
      </c>
      <c r="Y3176" s="1">
        <v>3450000</v>
      </c>
      <c r="Z3176" s="5">
        <v>42241</v>
      </c>
      <c r="AA3176" s="1">
        <v>3535691</v>
      </c>
      <c r="AB3176" s="1" t="s">
        <v>2019</v>
      </c>
      <c r="AC3176" s="5">
        <v>42628</v>
      </c>
      <c r="AF3176" s="1">
        <v>10016</v>
      </c>
      <c r="AI3176" s="1" t="s">
        <v>117</v>
      </c>
      <c r="AJ3176" s="1">
        <v>1927</v>
      </c>
      <c r="AK3176" s="1" t="s">
        <v>46</v>
      </c>
      <c r="AL3176" s="1">
        <v>70</v>
      </c>
    </row>
    <row r="3177" spans="1:38" x14ac:dyDescent="0.2">
      <c r="A3177" s="2" t="str">
        <f>HYPERLINK("https://www.compass.com/listing/88-lexington-avenue-unit-507-manhattan-ny-10016/784670291635370817/","88 Lexington Ave, Unit 507")</f>
        <v>88 Lexington Ave, Unit 507</v>
      </c>
      <c r="B3177" s="2" t="str">
        <f t="shared" si="540"/>
        <v>88 &amp; 90 Lexington Avenue</v>
      </c>
      <c r="C3177" s="1" t="s">
        <v>40</v>
      </c>
      <c r="D3177" s="1" t="s">
        <v>41</v>
      </c>
      <c r="E3177" s="3">
        <v>3086230</v>
      </c>
      <c r="F3177" s="1">
        <v>1855.8210523150899</v>
      </c>
      <c r="G3177" s="1">
        <v>5</v>
      </c>
      <c r="H3177" s="1">
        <v>2</v>
      </c>
      <c r="I3177" s="1">
        <v>2</v>
      </c>
      <c r="J3177" s="1">
        <v>2</v>
      </c>
      <c r="K3177" s="1">
        <v>2</v>
      </c>
      <c r="M3177" s="4">
        <v>1663</v>
      </c>
      <c r="N3177" s="1">
        <v>1560</v>
      </c>
      <c r="O3177" s="1">
        <v>3221</v>
      </c>
      <c r="P3177" s="1">
        <v>1661</v>
      </c>
      <c r="Q3177" s="1" t="s">
        <v>42</v>
      </c>
      <c r="S3177" s="1" t="s">
        <v>42</v>
      </c>
      <c r="T3177" s="1" t="s">
        <v>273</v>
      </c>
      <c r="U3177" s="1">
        <v>109</v>
      </c>
      <c r="V3177" s="5">
        <v>42998</v>
      </c>
      <c r="W3177" s="5">
        <v>42152</v>
      </c>
      <c r="X3177" s="1">
        <v>3242000</v>
      </c>
      <c r="Y3177" s="1">
        <v>3242000</v>
      </c>
      <c r="AA3177" s="1">
        <v>3086230.41</v>
      </c>
      <c r="AB3177" s="1" t="s">
        <v>1989</v>
      </c>
      <c r="AC3177" s="5">
        <v>42930</v>
      </c>
      <c r="AF3177" s="1">
        <v>10016</v>
      </c>
      <c r="AI3177" s="1" t="s">
        <v>78</v>
      </c>
      <c r="AJ3177" s="1">
        <v>1927</v>
      </c>
      <c r="AK3177" s="1" t="s">
        <v>46</v>
      </c>
      <c r="AL3177" s="1">
        <v>70</v>
      </c>
    </row>
    <row r="3178" spans="1:38" x14ac:dyDescent="0.2">
      <c r="A3178" s="2" t="str">
        <f>HYPERLINK("https://www.compass.com/listing/88-lexington-avenue-unit-805-manhattan-ny-10016/784764227103717497/","88 Lexington Ave, Unit 805")</f>
        <v>88 Lexington Ave, Unit 805</v>
      </c>
      <c r="B3178" s="2" t="str">
        <f t="shared" si="540"/>
        <v>88 &amp; 90 Lexington Avenue</v>
      </c>
      <c r="C3178" s="1" t="s">
        <v>40</v>
      </c>
      <c r="D3178" s="1" t="s">
        <v>41</v>
      </c>
      <c r="E3178" s="3">
        <v>5602734</v>
      </c>
      <c r="F3178" s="1">
        <v>2149.93635072908</v>
      </c>
      <c r="G3178" s="1">
        <v>6</v>
      </c>
      <c r="H3178" s="1">
        <v>4</v>
      </c>
      <c r="I3178" s="1">
        <v>3</v>
      </c>
      <c r="J3178" s="1">
        <v>3</v>
      </c>
      <c r="K3178" s="1">
        <v>3</v>
      </c>
      <c r="M3178" s="4">
        <v>2606</v>
      </c>
      <c r="N3178" s="1">
        <v>2481</v>
      </c>
      <c r="O3178" s="1">
        <v>5123</v>
      </c>
      <c r="P3178" s="1">
        <v>2642</v>
      </c>
      <c r="Q3178" s="1" t="s">
        <v>42</v>
      </c>
      <c r="S3178" s="1" t="s">
        <v>42</v>
      </c>
      <c r="T3178" s="1" t="s">
        <v>273</v>
      </c>
      <c r="U3178" s="1">
        <v>102</v>
      </c>
      <c r="V3178" s="5">
        <v>42998</v>
      </c>
      <c r="W3178" s="5">
        <v>42163</v>
      </c>
      <c r="X3178" s="1">
        <v>5750000</v>
      </c>
      <c r="Y3178" s="1">
        <v>5750000</v>
      </c>
      <c r="AA3178" s="1">
        <v>5602734.1299999999</v>
      </c>
      <c r="AB3178" s="1" t="s">
        <v>1992</v>
      </c>
      <c r="AC3178" s="5">
        <v>42894</v>
      </c>
      <c r="AF3178" s="1">
        <v>10016</v>
      </c>
      <c r="AI3178" s="1" t="s">
        <v>78</v>
      </c>
      <c r="AJ3178" s="1">
        <v>1927</v>
      </c>
      <c r="AK3178" s="1" t="s">
        <v>46</v>
      </c>
      <c r="AL3178" s="1">
        <v>70</v>
      </c>
    </row>
    <row r="3179" spans="1:38" x14ac:dyDescent="0.2">
      <c r="A3179" s="2" t="str">
        <f>HYPERLINK("https://www.compass.com/listing/200-east-94th-street-unit-1614-manhattan-ny-10128/29507984212224801/","200 E 94th St, Unit 1614")</f>
        <v>200 E 94th St, Unit 1614</v>
      </c>
      <c r="B3179" s="2" t="str">
        <f>HYPERLINK("https://www.compass.com/building/carnegie-park-condominium-manhattan-ny/282049797358118613/","Carnegie Park Condominium")</f>
        <v>Carnegie Park Condominium</v>
      </c>
      <c r="C3179" s="1" t="s">
        <v>82</v>
      </c>
      <c r="D3179" s="1" t="s">
        <v>41</v>
      </c>
      <c r="E3179" s="3">
        <v>2855870</v>
      </c>
      <c r="F3179" s="1">
        <v>1332.02891791044</v>
      </c>
      <c r="G3179" s="1">
        <v>7</v>
      </c>
      <c r="H3179" s="1">
        <v>4</v>
      </c>
      <c r="I3179" s="1">
        <v>4</v>
      </c>
      <c r="J3179" s="1">
        <v>4</v>
      </c>
      <c r="K3179" s="1">
        <v>4</v>
      </c>
      <c r="M3179" s="4">
        <v>2144</v>
      </c>
      <c r="N3179" s="1">
        <v>2425</v>
      </c>
      <c r="O3179" s="1">
        <v>4496</v>
      </c>
      <c r="P3179" s="1">
        <v>2071</v>
      </c>
      <c r="Q3179" s="1" t="s">
        <v>42</v>
      </c>
      <c r="S3179" s="1" t="s">
        <v>42</v>
      </c>
      <c r="T3179" s="1" t="s">
        <v>273</v>
      </c>
      <c r="U3179" s="1">
        <v>174</v>
      </c>
      <c r="V3179" s="5">
        <v>43806</v>
      </c>
      <c r="W3179" s="5">
        <v>43222</v>
      </c>
      <c r="X3179" s="1">
        <v>3395000</v>
      </c>
      <c r="Y3179" s="1">
        <v>3395000</v>
      </c>
      <c r="Z3179" s="5">
        <v>43510</v>
      </c>
      <c r="AA3179" s="1">
        <v>2855870</v>
      </c>
      <c r="AB3179" s="1" t="s">
        <v>2020</v>
      </c>
      <c r="AC3179" s="5">
        <v>43596</v>
      </c>
      <c r="AF3179" s="1">
        <v>10128</v>
      </c>
      <c r="AI3179" s="1" t="s">
        <v>245</v>
      </c>
      <c r="AJ3179" s="1">
        <v>1986</v>
      </c>
      <c r="AK3179" s="1" t="s">
        <v>46</v>
      </c>
      <c r="AL3179" s="1">
        <v>287</v>
      </c>
    </row>
    <row r="3180" spans="1:38" x14ac:dyDescent="0.2">
      <c r="A3180" s="2" t="str">
        <f>HYPERLINK("https://www.compass.com/listing/88-lexington-avenue-unit-1806-manhattan-ny-10016/29378574884653201/","88 Lexington Ave, Unit 1806")</f>
        <v>88 Lexington Ave, Unit 1806</v>
      </c>
      <c r="B3180" s="2" t="str">
        <f>HYPERLINK("https://www.compass.com/building/88-90-lexington-avenue-manhattan-ny/281903945159296309/","88 &amp; 90 Lexington Avenue")</f>
        <v>88 &amp; 90 Lexington Avenue</v>
      </c>
      <c r="C3180" s="1" t="s">
        <v>40</v>
      </c>
      <c r="D3180" s="1" t="s">
        <v>41</v>
      </c>
      <c r="E3180" s="3">
        <v>5208934</v>
      </c>
      <c r="F3180" s="1">
        <v>2319.2048085485299</v>
      </c>
      <c r="G3180" s="1">
        <v>5</v>
      </c>
      <c r="H3180" s="1">
        <v>3</v>
      </c>
      <c r="I3180" s="1">
        <v>3</v>
      </c>
      <c r="J3180" s="1">
        <v>3.5</v>
      </c>
      <c r="K3180" s="1">
        <v>3</v>
      </c>
      <c r="L3180" s="1">
        <v>1</v>
      </c>
      <c r="M3180" s="4">
        <v>2246</v>
      </c>
      <c r="N3180" s="1">
        <v>2238</v>
      </c>
      <c r="O3180" s="1">
        <v>6257</v>
      </c>
      <c r="P3180" s="1">
        <v>4019</v>
      </c>
      <c r="Q3180" s="1" t="s">
        <v>42</v>
      </c>
      <c r="S3180" s="1" t="s">
        <v>42</v>
      </c>
      <c r="T3180" s="1" t="s">
        <v>273</v>
      </c>
      <c r="V3180" s="5">
        <v>43650</v>
      </c>
      <c r="W3180" s="5">
        <v>42899</v>
      </c>
      <c r="X3180" s="1">
        <v>5350000</v>
      </c>
      <c r="Y3180" s="1">
        <v>5350000</v>
      </c>
      <c r="Z3180" s="5">
        <v>42899</v>
      </c>
      <c r="AA3180" s="1">
        <v>5208934</v>
      </c>
      <c r="AB3180" s="1" t="s">
        <v>2021</v>
      </c>
      <c r="AC3180" s="5">
        <v>43186</v>
      </c>
      <c r="AF3180" s="1">
        <v>10016</v>
      </c>
      <c r="AI3180" s="1" t="s">
        <v>78</v>
      </c>
      <c r="AJ3180" s="1">
        <v>1927</v>
      </c>
      <c r="AK3180" s="1" t="s">
        <v>46</v>
      </c>
      <c r="AL3180" s="1">
        <v>70</v>
      </c>
    </row>
    <row r="3181" spans="1:38" x14ac:dyDescent="0.2">
      <c r="A3181" s="2" t="str">
        <f>HYPERLINK("https://www.compass.com/listing/565-broome-street-unit-n12a-manhattan-ny-10013/779089500964930049/","565 Broome St, Unit N12A")</f>
        <v>565 Broome St, Unit N12A</v>
      </c>
      <c r="B3181" s="2" t="str">
        <f t="shared" ref="B3181:B3194" si="541">HYPERLINK("https://www.compass.com/building/565-broome-soho-manhattan-ny/292813251698267109/","565 Broome Soho")</f>
        <v>565 Broome Soho</v>
      </c>
      <c r="C3181" s="1" t="s">
        <v>53</v>
      </c>
      <c r="D3181" s="1" t="s">
        <v>41</v>
      </c>
      <c r="E3181" s="3">
        <v>3200000</v>
      </c>
      <c r="F3181" s="1">
        <v>2211.4720110573599</v>
      </c>
      <c r="G3181" s="1">
        <v>4</v>
      </c>
      <c r="H3181" s="1">
        <v>2</v>
      </c>
      <c r="I3181" s="1">
        <v>3</v>
      </c>
      <c r="J3181" s="1">
        <v>2.5</v>
      </c>
      <c r="K3181" s="1">
        <v>2</v>
      </c>
      <c r="L3181" s="1">
        <v>1</v>
      </c>
      <c r="M3181" s="4">
        <v>1447</v>
      </c>
      <c r="N3181" s="1">
        <v>2176</v>
      </c>
      <c r="O3181" s="1">
        <v>4576</v>
      </c>
      <c r="P3181" s="1">
        <v>2400</v>
      </c>
      <c r="Q3181" s="1" t="s">
        <v>42</v>
      </c>
      <c r="S3181" s="1" t="s">
        <v>42</v>
      </c>
      <c r="T3181" s="1" t="s">
        <v>273</v>
      </c>
      <c r="V3181" s="5">
        <v>44344</v>
      </c>
      <c r="AA3181" s="1">
        <v>3200000</v>
      </c>
      <c r="AB3181" s="1" t="s">
        <v>1688</v>
      </c>
      <c r="AC3181" s="5">
        <v>44134</v>
      </c>
      <c r="AF3181" s="1">
        <v>10013</v>
      </c>
      <c r="AI3181" s="1" t="s">
        <v>48</v>
      </c>
      <c r="AJ3181" s="1">
        <v>2019</v>
      </c>
      <c r="AK3181" s="1" t="s">
        <v>49</v>
      </c>
      <c r="AL3181" s="1">
        <v>115</v>
      </c>
    </row>
    <row r="3182" spans="1:38" x14ac:dyDescent="0.2">
      <c r="A3182" s="2" t="str">
        <f>HYPERLINK("https://www.compass.com/listing/565-broome-street-unit-n11a-manhattan-ny-10013/779309676969519097/","565 Broome St, Unit N11A")</f>
        <v>565 Broome St, Unit N11A</v>
      </c>
      <c r="B3182" s="2" t="str">
        <f t="shared" si="541"/>
        <v>565 Broome Soho</v>
      </c>
      <c r="C3182" s="1" t="s">
        <v>53</v>
      </c>
      <c r="D3182" s="1" t="s">
        <v>41</v>
      </c>
      <c r="E3182" s="3">
        <v>3100000</v>
      </c>
      <c r="F3182" s="1">
        <v>2142.3635107118098</v>
      </c>
      <c r="G3182" s="1">
        <v>4</v>
      </c>
      <c r="H3182" s="1">
        <v>2</v>
      </c>
      <c r="I3182" s="1">
        <v>3</v>
      </c>
      <c r="J3182" s="1">
        <v>2.5</v>
      </c>
      <c r="K3182" s="1">
        <v>2</v>
      </c>
      <c r="L3182" s="1">
        <v>1</v>
      </c>
      <c r="M3182" s="4">
        <v>1447</v>
      </c>
      <c r="N3182" s="1">
        <v>2165</v>
      </c>
      <c r="O3182" s="1">
        <v>4553</v>
      </c>
      <c r="P3182" s="1">
        <v>2388</v>
      </c>
      <c r="Q3182" s="1" t="s">
        <v>42</v>
      </c>
      <c r="S3182" s="1" t="s">
        <v>42</v>
      </c>
      <c r="T3182" s="1" t="s">
        <v>273</v>
      </c>
      <c r="V3182" s="5">
        <v>44344</v>
      </c>
      <c r="AA3182" s="1">
        <v>3100000</v>
      </c>
      <c r="AB3182" s="1" t="s">
        <v>1633</v>
      </c>
      <c r="AC3182" s="5">
        <v>44133</v>
      </c>
      <c r="AF3182" s="1">
        <v>10013</v>
      </c>
      <c r="AI3182" s="1" t="s">
        <v>48</v>
      </c>
      <c r="AJ3182" s="1">
        <v>2019</v>
      </c>
      <c r="AK3182" s="1" t="s">
        <v>49</v>
      </c>
      <c r="AL3182" s="1">
        <v>115</v>
      </c>
    </row>
    <row r="3183" spans="1:38" x14ac:dyDescent="0.2">
      <c r="A3183" s="2" t="str">
        <f>HYPERLINK("https://www.compass.com/listing/565-broome-street-unit-n11c-manhattan-ny-10013/779101466660367241/","565 Broome St, Unit N11C")</f>
        <v>565 Broome St, Unit N11C</v>
      </c>
      <c r="B3183" s="2" t="str">
        <f t="shared" si="541"/>
        <v>565 Broome Soho</v>
      </c>
      <c r="C3183" s="1" t="s">
        <v>53</v>
      </c>
      <c r="D3183" s="1" t="s">
        <v>41</v>
      </c>
      <c r="E3183" s="3">
        <v>4029859</v>
      </c>
      <c r="F3183" s="1">
        <v>2397.2987745389601</v>
      </c>
      <c r="G3183" s="1">
        <v>4</v>
      </c>
      <c r="H3183" s="1">
        <v>2</v>
      </c>
      <c r="I3183" s="1">
        <v>3</v>
      </c>
      <c r="J3183" s="1">
        <v>2.5</v>
      </c>
      <c r="K3183" s="1">
        <v>2</v>
      </c>
      <c r="L3183" s="1">
        <v>1</v>
      </c>
      <c r="M3183" s="4">
        <v>1681</v>
      </c>
      <c r="N3183" s="1">
        <v>2516</v>
      </c>
      <c r="O3183" s="1">
        <v>5291</v>
      </c>
      <c r="P3183" s="1">
        <v>2775</v>
      </c>
      <c r="Q3183" s="1" t="s">
        <v>42</v>
      </c>
      <c r="S3183" s="1" t="s">
        <v>42</v>
      </c>
      <c r="T3183" s="1" t="s">
        <v>273</v>
      </c>
      <c r="V3183" s="5">
        <v>44344</v>
      </c>
      <c r="AA3183" s="1">
        <v>4029859.24</v>
      </c>
      <c r="AB3183" s="1" t="s">
        <v>2009</v>
      </c>
      <c r="AC3183" s="5">
        <v>43605</v>
      </c>
      <c r="AF3183" s="1">
        <v>10013</v>
      </c>
      <c r="AI3183" s="1" t="s">
        <v>48</v>
      </c>
      <c r="AJ3183" s="1">
        <v>2019</v>
      </c>
      <c r="AK3183" s="1" t="s">
        <v>49</v>
      </c>
      <c r="AL3183" s="1">
        <v>115</v>
      </c>
    </row>
    <row r="3184" spans="1:38" x14ac:dyDescent="0.2">
      <c r="A3184" s="2" t="str">
        <f>HYPERLINK("https://www.compass.com/listing/565-broome-street-unit-n10c-manhattan-ny-10013/779121117570087889/","565 Broome St, Unit N10C")</f>
        <v>565 Broome St, Unit N10C</v>
      </c>
      <c r="B3184" s="2" t="str">
        <f t="shared" si="541"/>
        <v>565 Broome Soho</v>
      </c>
      <c r="C3184" s="1" t="s">
        <v>53</v>
      </c>
      <c r="D3184" s="1" t="s">
        <v>41</v>
      </c>
      <c r="E3184" s="3">
        <v>3792486</v>
      </c>
      <c r="F3184" s="1">
        <v>2256.0894051159999</v>
      </c>
      <c r="G3184" s="1">
        <v>4</v>
      </c>
      <c r="H3184" s="1">
        <v>2</v>
      </c>
      <c r="I3184" s="1">
        <v>3</v>
      </c>
      <c r="J3184" s="1">
        <v>2.5</v>
      </c>
      <c r="K3184" s="1">
        <v>2</v>
      </c>
      <c r="L3184" s="1">
        <v>1</v>
      </c>
      <c r="M3184" s="4">
        <v>1681</v>
      </c>
      <c r="N3184" s="1">
        <v>2503</v>
      </c>
      <c r="O3184" s="1">
        <v>5264</v>
      </c>
      <c r="P3184" s="1">
        <v>2761</v>
      </c>
      <c r="Q3184" s="1" t="s">
        <v>42</v>
      </c>
      <c r="S3184" s="1" t="s">
        <v>42</v>
      </c>
      <c r="T3184" s="1" t="s">
        <v>273</v>
      </c>
      <c r="V3184" s="5">
        <v>44344</v>
      </c>
      <c r="AA3184" s="1">
        <v>3792486.29</v>
      </c>
      <c r="AB3184" s="1" t="s">
        <v>1627</v>
      </c>
      <c r="AC3184" s="5">
        <v>43567</v>
      </c>
      <c r="AF3184" s="1">
        <v>10013</v>
      </c>
      <c r="AI3184" s="1" t="s">
        <v>48</v>
      </c>
      <c r="AJ3184" s="1">
        <v>2019</v>
      </c>
      <c r="AK3184" s="1" t="s">
        <v>49</v>
      </c>
      <c r="AL3184" s="1">
        <v>115</v>
      </c>
    </row>
    <row r="3185" spans="1:38" x14ac:dyDescent="0.2">
      <c r="A3185" s="2" t="str">
        <f>HYPERLINK("https://www.compass.com/listing/565-broome-street-unit-n18a-manhattan-ny-10013/780145116836211577/","565 Broome St, Unit N18A")</f>
        <v>565 Broome St, Unit N18A</v>
      </c>
      <c r="B3185" s="2" t="str">
        <f t="shared" si="541"/>
        <v>565 Broome Soho</v>
      </c>
      <c r="C3185" s="1" t="s">
        <v>53</v>
      </c>
      <c r="D3185" s="1" t="s">
        <v>41</v>
      </c>
      <c r="E3185" s="3">
        <v>5185780</v>
      </c>
      <c r="F3185" s="1">
        <v>2547.0432220039202</v>
      </c>
      <c r="G3185" s="1">
        <v>4</v>
      </c>
      <c r="H3185" s="1">
        <v>2</v>
      </c>
      <c r="I3185" s="1">
        <v>3</v>
      </c>
      <c r="J3185" s="1">
        <v>2.5</v>
      </c>
      <c r="K3185" s="1">
        <v>2</v>
      </c>
      <c r="L3185" s="1">
        <v>1</v>
      </c>
      <c r="M3185" s="4">
        <v>2036</v>
      </c>
      <c r="N3185" s="1">
        <v>3106</v>
      </c>
      <c r="O3185" s="1">
        <v>6531</v>
      </c>
      <c r="P3185" s="1">
        <v>3425</v>
      </c>
      <c r="Q3185" s="1" t="s">
        <v>42</v>
      </c>
      <c r="S3185" s="1" t="s">
        <v>42</v>
      </c>
      <c r="T3185" s="1" t="s">
        <v>273</v>
      </c>
      <c r="V3185" s="5">
        <v>44344</v>
      </c>
      <c r="AA3185" s="1">
        <v>5185780</v>
      </c>
      <c r="AB3185" s="1" t="s">
        <v>1646</v>
      </c>
      <c r="AC3185" s="5">
        <v>43573</v>
      </c>
      <c r="AF3185" s="1">
        <v>10013</v>
      </c>
      <c r="AI3185" s="1" t="s">
        <v>48</v>
      </c>
      <c r="AJ3185" s="1">
        <v>2019</v>
      </c>
      <c r="AK3185" s="1" t="s">
        <v>49</v>
      </c>
      <c r="AL3185" s="1">
        <v>115</v>
      </c>
    </row>
    <row r="3186" spans="1:38" x14ac:dyDescent="0.2">
      <c r="A3186" s="2" t="str">
        <f>HYPERLINK("https://www.compass.com/listing/565-broome-street-unit-spha-manhattan-ny-10013/780885180571304841/","565 Broome St, Unit SPHA")</f>
        <v>565 Broome St, Unit SPHA</v>
      </c>
      <c r="B3186" s="2" t="str">
        <f t="shared" si="541"/>
        <v>565 Broome Soho</v>
      </c>
      <c r="C3186" s="1" t="s">
        <v>53</v>
      </c>
      <c r="D3186" s="1" t="s">
        <v>41</v>
      </c>
      <c r="E3186" s="3">
        <v>7157327</v>
      </c>
      <c r="F3186" s="1">
        <v>3494.78857421875</v>
      </c>
      <c r="H3186" s="1">
        <v>2</v>
      </c>
      <c r="J3186" s="1">
        <v>2.5</v>
      </c>
      <c r="K3186" s="1">
        <v>2</v>
      </c>
      <c r="L3186" s="1">
        <v>1</v>
      </c>
      <c r="M3186" s="4">
        <v>2048</v>
      </c>
      <c r="N3186" s="1">
        <v>3302</v>
      </c>
      <c r="O3186" s="1">
        <v>6228</v>
      </c>
      <c r="P3186" s="1">
        <v>2926</v>
      </c>
      <c r="Q3186" s="1" t="s">
        <v>42</v>
      </c>
      <c r="S3186" s="1" t="s">
        <v>42</v>
      </c>
      <c r="T3186" s="1" t="s">
        <v>273</v>
      </c>
      <c r="AA3186" s="1">
        <v>7157327</v>
      </c>
      <c r="AB3186" s="1" t="s">
        <v>2022</v>
      </c>
      <c r="AC3186" s="5">
        <v>44302</v>
      </c>
      <c r="AF3186" s="1">
        <v>10013</v>
      </c>
      <c r="AI3186" s="1" t="s">
        <v>48</v>
      </c>
      <c r="AJ3186" s="1">
        <v>2019</v>
      </c>
      <c r="AK3186" s="1" t="s">
        <v>49</v>
      </c>
      <c r="AL3186" s="1">
        <v>115</v>
      </c>
    </row>
    <row r="3187" spans="1:38" x14ac:dyDescent="0.2">
      <c r="A3187" s="2" t="str">
        <f>HYPERLINK("https://www.compass.com/listing/565-broome-street-unit-n21a-manhattan-ny-10013/781987656454564729/","565 Broome St, Unit N21A")</f>
        <v>565 Broome St, Unit N21A</v>
      </c>
      <c r="B3187" s="2" t="str">
        <f t="shared" si="541"/>
        <v>565 Broome Soho</v>
      </c>
      <c r="C3187" s="1" t="s">
        <v>53</v>
      </c>
      <c r="D3187" s="1" t="s">
        <v>41</v>
      </c>
      <c r="E3187" s="3">
        <v>5050000</v>
      </c>
      <c r="F3187" s="1">
        <v>2480.3536345776001</v>
      </c>
      <c r="G3187" s="1">
        <v>4</v>
      </c>
      <c r="H3187" s="1">
        <v>2</v>
      </c>
      <c r="I3187" s="1">
        <v>3</v>
      </c>
      <c r="J3187" s="1">
        <v>2.5</v>
      </c>
      <c r="K3187" s="1">
        <v>2</v>
      </c>
      <c r="L3187" s="1">
        <v>1</v>
      </c>
      <c r="M3187" s="4">
        <v>2036</v>
      </c>
      <c r="N3187" s="1">
        <v>3150</v>
      </c>
      <c r="O3187" s="1">
        <v>6624</v>
      </c>
      <c r="P3187" s="1">
        <v>3474</v>
      </c>
      <c r="Q3187" s="1" t="s">
        <v>42</v>
      </c>
      <c r="S3187" s="1" t="s">
        <v>42</v>
      </c>
      <c r="T3187" s="1" t="s">
        <v>273</v>
      </c>
      <c r="V3187" s="5">
        <v>44344</v>
      </c>
      <c r="AA3187" s="1">
        <v>5050000</v>
      </c>
      <c r="AB3187" s="1" t="s">
        <v>1647</v>
      </c>
      <c r="AC3187" s="5">
        <v>44091</v>
      </c>
      <c r="AF3187" s="1">
        <v>10013</v>
      </c>
      <c r="AI3187" s="1" t="s">
        <v>48</v>
      </c>
      <c r="AJ3187" s="1">
        <v>2019</v>
      </c>
      <c r="AK3187" s="1" t="s">
        <v>49</v>
      </c>
      <c r="AL3187" s="1">
        <v>115</v>
      </c>
    </row>
    <row r="3188" spans="1:38" x14ac:dyDescent="0.2">
      <c r="A3188" s="2" t="str">
        <f>HYPERLINK("https://www.compass.com/listing/565-broome-street-unit-s12a-manhattan-ny-10013/786287569735508089/","565 Broome St, Unit S12A")</f>
        <v>565 Broome St, Unit S12A</v>
      </c>
      <c r="B3188" s="2" t="str">
        <f t="shared" si="541"/>
        <v>565 Broome Soho</v>
      </c>
      <c r="C3188" s="1" t="s">
        <v>53</v>
      </c>
      <c r="D3188" s="1" t="s">
        <v>41</v>
      </c>
      <c r="E3188" s="3">
        <v>3600000</v>
      </c>
      <c r="F3188" s="1">
        <v>2487.9060124395301</v>
      </c>
      <c r="G3188" s="1">
        <v>4</v>
      </c>
      <c r="H3188" s="1">
        <v>2</v>
      </c>
      <c r="I3188" s="1">
        <v>3</v>
      </c>
      <c r="J3188" s="1">
        <v>2.5</v>
      </c>
      <c r="K3188" s="1">
        <v>2</v>
      </c>
      <c r="L3188" s="1">
        <v>1</v>
      </c>
      <c r="M3188" s="4">
        <v>1447</v>
      </c>
      <c r="N3188" s="1">
        <v>2165</v>
      </c>
      <c r="O3188" s="1">
        <v>4553</v>
      </c>
      <c r="P3188" s="1">
        <v>2388</v>
      </c>
      <c r="Q3188" s="1" t="s">
        <v>42</v>
      </c>
      <c r="S3188" s="1" t="s">
        <v>42</v>
      </c>
      <c r="T3188" s="1" t="s">
        <v>273</v>
      </c>
      <c r="V3188" s="5">
        <v>44344</v>
      </c>
      <c r="AA3188" s="1">
        <v>3600000</v>
      </c>
      <c r="AB3188" s="1" t="s">
        <v>1634</v>
      </c>
      <c r="AC3188" s="5">
        <v>43585</v>
      </c>
      <c r="AF3188" s="1">
        <v>10013</v>
      </c>
      <c r="AI3188" s="1" t="s">
        <v>48</v>
      </c>
      <c r="AJ3188" s="1">
        <v>2019</v>
      </c>
      <c r="AK3188" s="1" t="s">
        <v>49</v>
      </c>
      <c r="AL3188" s="1">
        <v>115</v>
      </c>
    </row>
    <row r="3189" spans="1:38" x14ac:dyDescent="0.2">
      <c r="A3189" s="2" t="str">
        <f>HYPERLINK("https://www.compass.com/listing/565-broome-street-unit-s11a-manhattan-ny-10013/786345907144235881/","565 Broome St, Unit S11A")</f>
        <v>565 Broome St, Unit S11A</v>
      </c>
      <c r="B3189" s="2" t="str">
        <f t="shared" si="541"/>
        <v>565 Broome Soho</v>
      </c>
      <c r="C3189" s="1" t="s">
        <v>53</v>
      </c>
      <c r="D3189" s="1" t="s">
        <v>41</v>
      </c>
      <c r="E3189" s="3">
        <v>3636274</v>
      </c>
      <c r="F3189" s="1">
        <v>2512.97454733932</v>
      </c>
      <c r="G3189" s="1">
        <v>4</v>
      </c>
      <c r="H3189" s="1">
        <v>2</v>
      </c>
      <c r="I3189" s="1">
        <v>3</v>
      </c>
      <c r="J3189" s="1">
        <v>2.5</v>
      </c>
      <c r="K3189" s="1">
        <v>2</v>
      </c>
      <c r="L3189" s="1">
        <v>1</v>
      </c>
      <c r="M3189" s="4">
        <v>1447</v>
      </c>
      <c r="N3189" s="1">
        <v>2155</v>
      </c>
      <c r="O3189" s="1">
        <v>4532</v>
      </c>
      <c r="P3189" s="1">
        <v>2377</v>
      </c>
      <c r="Q3189" s="1" t="s">
        <v>42</v>
      </c>
      <c r="S3189" s="1" t="s">
        <v>42</v>
      </c>
      <c r="T3189" s="1" t="s">
        <v>273</v>
      </c>
      <c r="V3189" s="5">
        <v>44344</v>
      </c>
      <c r="AA3189" s="1">
        <v>3636274.17</v>
      </c>
      <c r="AB3189" s="1" t="s">
        <v>1635</v>
      </c>
      <c r="AC3189" s="5">
        <v>43621</v>
      </c>
      <c r="AF3189" s="1">
        <v>10013</v>
      </c>
      <c r="AI3189" s="1" t="s">
        <v>48</v>
      </c>
      <c r="AJ3189" s="1">
        <v>2019</v>
      </c>
      <c r="AK3189" s="1" t="s">
        <v>49</v>
      </c>
      <c r="AL3189" s="1">
        <v>115</v>
      </c>
    </row>
    <row r="3190" spans="1:38" x14ac:dyDescent="0.2">
      <c r="A3190" s="2" t="str">
        <f>HYPERLINK("https://www.compass.com/listing/565-broome-street-unit-s7c-manhattan-ny-10013/803352806995983993/","565 Broome St, Unit S7C")</f>
        <v>565 Broome St, Unit S7C</v>
      </c>
      <c r="B3190" s="2" t="str">
        <f t="shared" si="541"/>
        <v>565 Broome Soho</v>
      </c>
      <c r="C3190" s="1" t="s">
        <v>53</v>
      </c>
      <c r="D3190" s="1" t="s">
        <v>41</v>
      </c>
      <c r="E3190" s="3">
        <v>3750000</v>
      </c>
      <c r="F3190" s="1">
        <v>2230.8149910767402</v>
      </c>
      <c r="G3190" s="1">
        <v>4</v>
      </c>
      <c r="H3190" s="1">
        <v>2</v>
      </c>
      <c r="I3190" s="1">
        <v>3</v>
      </c>
      <c r="J3190" s="1">
        <v>2.5</v>
      </c>
      <c r="K3190" s="1">
        <v>2</v>
      </c>
      <c r="L3190" s="1">
        <v>1</v>
      </c>
      <c r="M3190" s="4">
        <v>1681</v>
      </c>
      <c r="N3190" s="1">
        <v>2455</v>
      </c>
      <c r="O3190" s="1">
        <v>5163</v>
      </c>
      <c r="P3190" s="1">
        <v>2708</v>
      </c>
      <c r="Q3190" s="1" t="s">
        <v>42</v>
      </c>
      <c r="S3190" s="1" t="s">
        <v>42</v>
      </c>
      <c r="T3190" s="1" t="s">
        <v>273</v>
      </c>
      <c r="V3190" s="5">
        <v>44344</v>
      </c>
      <c r="AA3190" s="1">
        <v>3750000</v>
      </c>
      <c r="AB3190" s="1" t="s">
        <v>1628</v>
      </c>
      <c r="AC3190" s="5">
        <v>43852</v>
      </c>
      <c r="AF3190" s="1">
        <v>10013</v>
      </c>
      <c r="AI3190" s="1" t="s">
        <v>48</v>
      </c>
      <c r="AJ3190" s="1">
        <v>2019</v>
      </c>
      <c r="AK3190" s="1" t="s">
        <v>46</v>
      </c>
      <c r="AL3190" s="1">
        <v>115</v>
      </c>
    </row>
    <row r="3191" spans="1:38" x14ac:dyDescent="0.2">
      <c r="A3191" s="2" t="str">
        <f>HYPERLINK("https://www.compass.com/listing/565-broome-street-unit-n7c-manhattan-ny-10013/803354807074995049/","565 Broome St, Unit N7C")</f>
        <v>565 Broome St, Unit N7C</v>
      </c>
      <c r="B3191" s="2" t="str">
        <f t="shared" si="541"/>
        <v>565 Broome Soho</v>
      </c>
      <c r="C3191" s="1" t="s">
        <v>53</v>
      </c>
      <c r="D3191" s="1" t="s">
        <v>41</v>
      </c>
      <c r="E3191" s="3">
        <v>3590000</v>
      </c>
      <c r="F3191" s="1">
        <v>2135.6335514574598</v>
      </c>
      <c r="G3191" s="1">
        <v>4</v>
      </c>
      <c r="H3191" s="1">
        <v>2</v>
      </c>
      <c r="I3191" s="1">
        <v>3</v>
      </c>
      <c r="J3191" s="1">
        <v>2.5</v>
      </c>
      <c r="K3191" s="1">
        <v>2</v>
      </c>
      <c r="L3191" s="1">
        <v>1</v>
      </c>
      <c r="M3191" s="4">
        <v>1681</v>
      </c>
      <c r="N3191" s="1">
        <v>2467</v>
      </c>
      <c r="O3191" s="1">
        <v>5188</v>
      </c>
      <c r="P3191" s="1">
        <v>2721</v>
      </c>
      <c r="Q3191" s="1" t="s">
        <v>42</v>
      </c>
      <c r="S3191" s="1" t="s">
        <v>42</v>
      </c>
      <c r="T3191" s="1" t="s">
        <v>273</v>
      </c>
      <c r="V3191" s="5">
        <v>44344</v>
      </c>
      <c r="AA3191" s="1">
        <v>3590000</v>
      </c>
      <c r="AB3191" s="1" t="s">
        <v>1626</v>
      </c>
      <c r="AC3191" s="5">
        <v>43559</v>
      </c>
      <c r="AF3191" s="1">
        <v>10013</v>
      </c>
      <c r="AI3191" s="1" t="s">
        <v>48</v>
      </c>
      <c r="AJ3191" s="1">
        <v>2019</v>
      </c>
      <c r="AK3191" s="1" t="s">
        <v>46</v>
      </c>
      <c r="AL3191" s="1">
        <v>115</v>
      </c>
    </row>
    <row r="3192" spans="1:38" x14ac:dyDescent="0.2">
      <c r="A3192" s="2" t="str">
        <f>HYPERLINK("https://www.compass.com/listing/565-broome-street-unit-n9c-manhattan-ny-10013/803395997497689313/","565 Broome St, Unit N9C")</f>
        <v>565 Broome St, Unit N9C</v>
      </c>
      <c r="B3192" s="2" t="str">
        <f t="shared" si="541"/>
        <v>565 Broome Soho</v>
      </c>
      <c r="C3192" s="1" t="s">
        <v>53</v>
      </c>
      <c r="D3192" s="1" t="s">
        <v>41</v>
      </c>
      <c r="E3192" s="3">
        <v>4024393</v>
      </c>
      <c r="F3192" s="1">
        <v>2394.0469958358099</v>
      </c>
      <c r="G3192" s="1">
        <v>4</v>
      </c>
      <c r="H3192" s="1">
        <v>2</v>
      </c>
      <c r="I3192" s="1">
        <v>3</v>
      </c>
      <c r="J3192" s="1">
        <v>2.5</v>
      </c>
      <c r="K3192" s="1">
        <v>2</v>
      </c>
      <c r="L3192" s="1">
        <v>1</v>
      </c>
      <c r="M3192" s="4">
        <v>1681</v>
      </c>
      <c r="N3192" s="1">
        <v>2491</v>
      </c>
      <c r="O3192" s="1">
        <v>5239</v>
      </c>
      <c r="P3192" s="1">
        <v>2748</v>
      </c>
      <c r="Q3192" s="1" t="s">
        <v>42</v>
      </c>
      <c r="S3192" s="1" t="s">
        <v>42</v>
      </c>
      <c r="T3192" s="1" t="s">
        <v>273</v>
      </c>
      <c r="V3192" s="5">
        <v>44344</v>
      </c>
      <c r="AA3192" s="1">
        <v>4024393</v>
      </c>
      <c r="AB3192" s="1" t="s">
        <v>1637</v>
      </c>
      <c r="AC3192" s="5">
        <v>43636</v>
      </c>
      <c r="AF3192" s="1">
        <v>10013</v>
      </c>
      <c r="AI3192" s="1" t="s">
        <v>48</v>
      </c>
      <c r="AJ3192" s="1">
        <v>2019</v>
      </c>
      <c r="AK3192" s="1" t="s">
        <v>49</v>
      </c>
      <c r="AL3192" s="1">
        <v>115</v>
      </c>
    </row>
    <row r="3193" spans="1:38" x14ac:dyDescent="0.2">
      <c r="A3193" s="2" t="str">
        <f>HYPERLINK("https://www.compass.com/listing/565-broome-street-unit-n19a-manhattan-ny-10013/803405955958047361/","565 Broome St, Unit N19A")</f>
        <v>565 Broome St, Unit N19A</v>
      </c>
      <c r="B3193" s="2" t="str">
        <f t="shared" si="541"/>
        <v>565 Broome Soho</v>
      </c>
      <c r="C3193" s="1" t="s">
        <v>53</v>
      </c>
      <c r="D3193" s="1" t="s">
        <v>41</v>
      </c>
      <c r="E3193" s="3">
        <v>4830553</v>
      </c>
      <c r="F3193" s="1">
        <v>2372.57023575638</v>
      </c>
      <c r="G3193" s="1">
        <v>4</v>
      </c>
      <c r="H3193" s="1">
        <v>2</v>
      </c>
      <c r="I3193" s="1">
        <v>3</v>
      </c>
      <c r="J3193" s="1">
        <v>2.5</v>
      </c>
      <c r="K3193" s="1">
        <v>2</v>
      </c>
      <c r="L3193" s="1">
        <v>1</v>
      </c>
      <c r="M3193" s="4">
        <v>2036</v>
      </c>
      <c r="N3193" s="1">
        <v>3120</v>
      </c>
      <c r="O3193" s="1">
        <v>6562</v>
      </c>
      <c r="P3193" s="1">
        <v>3442</v>
      </c>
      <c r="Q3193" s="1" t="s">
        <v>42</v>
      </c>
      <c r="S3193" s="1" t="s">
        <v>42</v>
      </c>
      <c r="T3193" s="1" t="s">
        <v>273</v>
      </c>
      <c r="V3193" s="5">
        <v>44344</v>
      </c>
      <c r="AA3193" s="1">
        <v>4830553</v>
      </c>
      <c r="AB3193" s="1" t="s">
        <v>1649</v>
      </c>
      <c r="AC3193" s="5">
        <v>43648</v>
      </c>
      <c r="AF3193" s="1">
        <v>10013</v>
      </c>
      <c r="AI3193" s="1" t="s">
        <v>48</v>
      </c>
      <c r="AJ3193" s="1">
        <v>2019</v>
      </c>
      <c r="AK3193" s="1" t="s">
        <v>49</v>
      </c>
      <c r="AL3193" s="1">
        <v>115</v>
      </c>
    </row>
    <row r="3194" spans="1:38" x14ac:dyDescent="0.2">
      <c r="A3194" s="2" t="str">
        <f>HYPERLINK("https://www.compass.com/listing/565-broome-street-unit-s10c-manhattan-ny-10013/803430568276628537/","565 Broome St, Unit S10C")</f>
        <v>565 Broome St, Unit S10C</v>
      </c>
      <c r="B3194" s="2" t="str">
        <f t="shared" si="541"/>
        <v>565 Broome Soho</v>
      </c>
      <c r="C3194" s="1" t="s">
        <v>53</v>
      </c>
      <c r="D3194" s="1" t="s">
        <v>41</v>
      </c>
      <c r="E3194" s="3">
        <v>4000000</v>
      </c>
      <c r="F3194" s="1">
        <v>2379.5359904818501</v>
      </c>
      <c r="G3194" s="1">
        <v>4</v>
      </c>
      <c r="H3194" s="1">
        <v>2</v>
      </c>
      <c r="I3194" s="1">
        <v>3</v>
      </c>
      <c r="J3194" s="1">
        <v>2.5</v>
      </c>
      <c r="K3194" s="1">
        <v>2</v>
      </c>
      <c r="L3194" s="1">
        <v>1</v>
      </c>
      <c r="M3194" s="4">
        <v>1681</v>
      </c>
      <c r="N3194" s="1">
        <v>2491</v>
      </c>
      <c r="O3194" s="1">
        <v>5239</v>
      </c>
      <c r="P3194" s="1">
        <v>2748</v>
      </c>
      <c r="Q3194" s="1" t="s">
        <v>42</v>
      </c>
      <c r="S3194" s="1" t="s">
        <v>42</v>
      </c>
      <c r="T3194" s="1" t="s">
        <v>273</v>
      </c>
      <c r="V3194" s="5">
        <v>44344</v>
      </c>
      <c r="AA3194" s="1">
        <v>4000000</v>
      </c>
      <c r="AB3194" s="1" t="s">
        <v>1289</v>
      </c>
      <c r="AC3194" s="5">
        <v>43641</v>
      </c>
      <c r="AF3194" s="1">
        <v>10013</v>
      </c>
      <c r="AI3194" s="1" t="s">
        <v>48</v>
      </c>
      <c r="AJ3194" s="1">
        <v>2019</v>
      </c>
      <c r="AK3194" s="1" t="s">
        <v>49</v>
      </c>
      <c r="AL3194" s="1">
        <v>115</v>
      </c>
    </row>
    <row r="3195" spans="1:38" x14ac:dyDescent="0.2">
      <c r="A3195" s="2" t="str">
        <f>HYPERLINK("https://www.compass.com/listing/12-east-88th-street-unit-10b-manhattan-ny-10128/29509525350510337/","12 E 88th St, Unit 10B")</f>
        <v>12 E 88th St, Unit 10B</v>
      </c>
      <c r="B3195" s="2" t="str">
        <f t="shared" ref="B3195:B3196" si="542">HYPERLINK("https://www.compass.com/building/12-e-88th-st-manhattan-ny-10128/282046316798827461/","12 E 88th St")</f>
        <v>12 E 88th St</v>
      </c>
      <c r="C3195" s="1" t="s">
        <v>82</v>
      </c>
      <c r="D3195" s="1" t="s">
        <v>41</v>
      </c>
      <c r="E3195" s="3">
        <v>8750000</v>
      </c>
      <c r="F3195" s="1">
        <v>2371.2737127371201</v>
      </c>
      <c r="G3195" s="1">
        <v>7</v>
      </c>
      <c r="H3195" s="1">
        <v>5</v>
      </c>
      <c r="I3195" s="1">
        <v>6</v>
      </c>
      <c r="J3195" s="1">
        <v>5.5</v>
      </c>
      <c r="K3195" s="1">
        <v>5</v>
      </c>
      <c r="L3195" s="1">
        <v>1</v>
      </c>
      <c r="M3195" s="4">
        <v>3690</v>
      </c>
      <c r="N3195" s="1">
        <v>4538</v>
      </c>
      <c r="O3195" s="1">
        <v>9394</v>
      </c>
      <c r="P3195" s="1">
        <v>4856</v>
      </c>
      <c r="Q3195" s="1" t="s">
        <v>42</v>
      </c>
      <c r="S3195" s="1" t="s">
        <v>42</v>
      </c>
      <c r="T3195" s="1" t="s">
        <v>273</v>
      </c>
      <c r="U3195" s="1">
        <v>86</v>
      </c>
      <c r="V3195" s="5">
        <v>43630</v>
      </c>
      <c r="W3195" s="5">
        <v>43175</v>
      </c>
      <c r="X3195" s="1">
        <v>9500000</v>
      </c>
      <c r="Y3195" s="1">
        <v>9500000</v>
      </c>
      <c r="Z3195" s="5">
        <v>43261</v>
      </c>
      <c r="AA3195" s="1">
        <v>8750000</v>
      </c>
      <c r="AB3195" s="1" t="s">
        <v>2023</v>
      </c>
      <c r="AC3195" s="5">
        <v>43445</v>
      </c>
      <c r="AF3195" s="1">
        <v>10128</v>
      </c>
      <c r="AI3195" s="1" t="s">
        <v>177</v>
      </c>
      <c r="AJ3195" s="1">
        <v>1931</v>
      </c>
      <c r="AK3195" s="1" t="s">
        <v>46</v>
      </c>
      <c r="AL3195" s="1">
        <v>39</v>
      </c>
    </row>
    <row r="3196" spans="1:38" x14ac:dyDescent="0.2">
      <c r="A3196" s="2" t="str">
        <f>HYPERLINK("https://www.compass.com/listing/12-east-88th-street-unit-ph11a-manhattan-ny-10128/48996279082151809/","12 E 88th St, Unit PH11A")</f>
        <v>12 E 88th St, Unit PH11A</v>
      </c>
      <c r="B3196" s="2" t="str">
        <f t="shared" si="542"/>
        <v>12 E 88th St</v>
      </c>
      <c r="C3196" s="1" t="s">
        <v>82</v>
      </c>
      <c r="D3196" s="1" t="s">
        <v>41</v>
      </c>
      <c r="E3196" s="3">
        <v>10325000</v>
      </c>
      <c r="F3196" s="1">
        <v>2562.03473945409</v>
      </c>
      <c r="G3196" s="1">
        <v>7</v>
      </c>
      <c r="H3196" s="1">
        <v>4</v>
      </c>
      <c r="I3196" s="1">
        <v>5</v>
      </c>
      <c r="J3196" s="1">
        <v>4.5</v>
      </c>
      <c r="K3196" s="1">
        <v>4</v>
      </c>
      <c r="L3196" s="1">
        <v>1</v>
      </c>
      <c r="M3196" s="4">
        <v>4030</v>
      </c>
      <c r="N3196" s="1">
        <v>5445</v>
      </c>
      <c r="O3196" s="1">
        <v>11272</v>
      </c>
      <c r="P3196" s="1">
        <v>5827</v>
      </c>
      <c r="Q3196" s="1" t="s">
        <v>42</v>
      </c>
      <c r="S3196" s="1" t="s">
        <v>42</v>
      </c>
      <c r="T3196" s="1" t="s">
        <v>273</v>
      </c>
      <c r="U3196" s="1">
        <v>192</v>
      </c>
      <c r="V3196" s="5">
        <v>43734</v>
      </c>
      <c r="W3196" s="5">
        <v>43320</v>
      </c>
      <c r="X3196" s="1">
        <v>12500000</v>
      </c>
      <c r="Y3196" s="1">
        <v>11500000</v>
      </c>
      <c r="Z3196" s="5">
        <v>43514</v>
      </c>
      <c r="AA3196" s="1">
        <v>10325000</v>
      </c>
      <c r="AB3196" s="1" t="s">
        <v>2024</v>
      </c>
      <c r="AC3196" s="5">
        <v>43675</v>
      </c>
      <c r="AF3196" s="1">
        <v>10128</v>
      </c>
      <c r="AI3196" s="1" t="s">
        <v>137</v>
      </c>
      <c r="AJ3196" s="1">
        <v>1931</v>
      </c>
      <c r="AK3196" s="1" t="s">
        <v>46</v>
      </c>
      <c r="AL3196" s="1">
        <v>39</v>
      </c>
    </row>
    <row r="3197" spans="1:38" x14ac:dyDescent="0.2">
      <c r="A3197" s="2" t="str">
        <f>HYPERLINK("https://www.compass.com/listing/88-lexington-avenue-unit-1706-manhattan-ny-10016/29378574431591617/","88 Lexington Ave, Unit 1706")</f>
        <v>88 Lexington Ave, Unit 1706</v>
      </c>
      <c r="B3197" s="2" t="str">
        <f>HYPERLINK("https://www.compass.com/building/88-90-lexington-avenue-manhattan-ny/281903945159296309/","88 &amp; 90 Lexington Avenue")</f>
        <v>88 &amp; 90 Lexington Avenue</v>
      </c>
      <c r="C3197" s="1" t="s">
        <v>40</v>
      </c>
      <c r="D3197" s="1" t="s">
        <v>41</v>
      </c>
      <c r="E3197" s="3">
        <v>5033040</v>
      </c>
      <c r="F3197" s="1">
        <v>2290.8693673190701</v>
      </c>
      <c r="G3197" s="1">
        <v>5</v>
      </c>
      <c r="H3197" s="1">
        <v>3</v>
      </c>
      <c r="I3197" s="1">
        <v>3</v>
      </c>
      <c r="J3197" s="1">
        <v>3.5</v>
      </c>
      <c r="K3197" s="1">
        <v>3</v>
      </c>
      <c r="L3197" s="1">
        <v>1</v>
      </c>
      <c r="M3197" s="4">
        <v>2197</v>
      </c>
      <c r="N3197" s="1">
        <v>2179</v>
      </c>
      <c r="O3197" s="1">
        <v>4898</v>
      </c>
      <c r="P3197" s="1">
        <v>2719</v>
      </c>
      <c r="Q3197" s="1" t="s">
        <v>42</v>
      </c>
      <c r="S3197" s="1" t="s">
        <v>42</v>
      </c>
      <c r="T3197" s="1" t="s">
        <v>273</v>
      </c>
      <c r="V3197" s="5">
        <v>43662</v>
      </c>
      <c r="W3197" s="5">
        <v>42620</v>
      </c>
      <c r="X3197" s="1">
        <v>5075000</v>
      </c>
      <c r="Y3197" s="1">
        <v>5075000</v>
      </c>
      <c r="Z3197" s="5">
        <v>42620</v>
      </c>
      <c r="AA3197" s="1">
        <v>5033040</v>
      </c>
      <c r="AB3197" s="1" t="s">
        <v>2025</v>
      </c>
      <c r="AC3197" s="5">
        <v>42875</v>
      </c>
      <c r="AF3197" s="1">
        <v>10016</v>
      </c>
      <c r="AI3197" s="1" t="s">
        <v>78</v>
      </c>
      <c r="AJ3197" s="1">
        <v>1927</v>
      </c>
      <c r="AK3197" s="1" t="s">
        <v>46</v>
      </c>
      <c r="AL3197" s="1">
        <v>70</v>
      </c>
    </row>
    <row r="3198" spans="1:38" x14ac:dyDescent="0.2">
      <c r="A3198" s="2" t="str">
        <f>HYPERLINK("https://www.compass.com/listing/12-east-88th-street-unit-9a-manhattan-ny-10128/29509525660813441/","12 E 88th St, Unit 9A")</f>
        <v>12 E 88th St, Unit 9A</v>
      </c>
      <c r="B3198" s="2" t="str">
        <f>HYPERLINK("https://www.compass.com/building/12-e-88th-st-manhattan-ny-10128/282046316798827461/","12 E 88th St")</f>
        <v>12 E 88th St</v>
      </c>
      <c r="C3198" s="1" t="s">
        <v>82</v>
      </c>
      <c r="D3198" s="1" t="s">
        <v>41</v>
      </c>
      <c r="E3198" s="3">
        <v>7483750</v>
      </c>
      <c r="F3198" s="1">
        <v>2511.3255033557002</v>
      </c>
      <c r="G3198" s="1">
        <v>7.5</v>
      </c>
      <c r="H3198" s="1">
        <v>4</v>
      </c>
      <c r="I3198" s="1">
        <v>5</v>
      </c>
      <c r="J3198" s="1">
        <v>4.5</v>
      </c>
      <c r="M3198" s="4">
        <v>2980</v>
      </c>
      <c r="N3198" s="1">
        <v>3651</v>
      </c>
      <c r="O3198" s="1">
        <v>7645</v>
      </c>
      <c r="P3198" s="1">
        <v>3994</v>
      </c>
      <c r="Q3198" s="1" t="s">
        <v>42</v>
      </c>
      <c r="S3198" s="1" t="s">
        <v>42</v>
      </c>
      <c r="T3198" s="1" t="s">
        <v>273</v>
      </c>
      <c r="U3198" s="1">
        <v>146</v>
      </c>
      <c r="V3198" s="5">
        <v>43630</v>
      </c>
      <c r="W3198" s="5">
        <v>42631</v>
      </c>
      <c r="X3198" s="1">
        <v>7875000</v>
      </c>
      <c r="Y3198" s="1">
        <v>7875000</v>
      </c>
      <c r="Z3198" s="5">
        <v>42777</v>
      </c>
      <c r="AA3198" s="1">
        <v>7483750</v>
      </c>
      <c r="AB3198" s="1" t="s">
        <v>275</v>
      </c>
      <c r="AC3198" s="5">
        <v>42777</v>
      </c>
      <c r="AF3198" s="1">
        <v>10128</v>
      </c>
      <c r="AI3198" s="1" t="s">
        <v>177</v>
      </c>
      <c r="AJ3198" s="1">
        <v>1931</v>
      </c>
      <c r="AK3198" s="1" t="s">
        <v>49</v>
      </c>
      <c r="AL3198" s="1">
        <v>39</v>
      </c>
    </row>
    <row r="3199" spans="1:38" x14ac:dyDescent="0.2">
      <c r="A3199" s="2" t="str">
        <f>HYPERLINK("https://www.compass.com/listing/88-lexington-avenue-unit-702-manhattan-ny-10016/803424113620315529/","88 Lexington Ave, Unit 702")</f>
        <v>88 Lexington Ave, Unit 702</v>
      </c>
      <c r="B3199" s="2" t="str">
        <f>HYPERLINK("https://www.compass.com/building/88-90-lexington-avenue-manhattan-ny/281903945159296309/","88 &amp; 90 Lexington Avenue")</f>
        <v>88 &amp; 90 Lexington Avenue</v>
      </c>
      <c r="C3199" s="1" t="s">
        <v>40</v>
      </c>
      <c r="D3199" s="1" t="s">
        <v>41</v>
      </c>
      <c r="E3199" s="3">
        <v>3300000</v>
      </c>
      <c r="F3199" s="1">
        <v>1761.8793379604899</v>
      </c>
      <c r="G3199" s="1">
        <v>5</v>
      </c>
      <c r="H3199" s="1">
        <v>2</v>
      </c>
      <c r="I3199" s="1">
        <v>3</v>
      </c>
      <c r="J3199" s="1">
        <v>2.5</v>
      </c>
      <c r="K3199" s="1">
        <v>2</v>
      </c>
      <c r="L3199" s="1">
        <v>1</v>
      </c>
      <c r="M3199" s="4">
        <v>1873</v>
      </c>
      <c r="N3199" s="1">
        <v>1720</v>
      </c>
      <c r="O3199" s="1">
        <v>4854</v>
      </c>
      <c r="P3199" s="1">
        <v>3134</v>
      </c>
      <c r="Q3199" s="1" t="s">
        <v>42</v>
      </c>
      <c r="S3199" s="1" t="s">
        <v>42</v>
      </c>
      <c r="T3199" s="1" t="s">
        <v>273</v>
      </c>
      <c r="U3199" s="1">
        <v>99</v>
      </c>
      <c r="V3199" s="5">
        <v>43578</v>
      </c>
      <c r="W3199" s="5">
        <v>43396</v>
      </c>
      <c r="X3199" s="1">
        <v>3495000</v>
      </c>
      <c r="Y3199" s="1">
        <v>3495000</v>
      </c>
      <c r="AA3199" s="1">
        <v>3300000</v>
      </c>
      <c r="AB3199" s="1" t="s">
        <v>2026</v>
      </c>
      <c r="AC3199" s="5">
        <v>43643</v>
      </c>
      <c r="AF3199" s="1">
        <v>10016</v>
      </c>
      <c r="AI3199" s="1" t="s">
        <v>78</v>
      </c>
      <c r="AJ3199" s="1">
        <v>1927</v>
      </c>
      <c r="AK3199" s="1" t="s">
        <v>46</v>
      </c>
      <c r="AL3199" s="1">
        <v>70</v>
      </c>
    </row>
    <row r="3200" spans="1:38" x14ac:dyDescent="0.2">
      <c r="A3200" s="2" t="str">
        <f>HYPERLINK("https://www.compass.com/listing/200-east-94th-street-unit-808-manhattan-ny-10128/347819434965686305/","200 E 94th St, Unit 808")</f>
        <v>200 E 94th St, Unit 808</v>
      </c>
      <c r="B3200" s="2" t="str">
        <f>HYPERLINK("https://www.compass.com/building/carnegie-park-condominium-manhattan-ny/282049797358118613/","Carnegie Park Condominium")</f>
        <v>Carnegie Park Condominium</v>
      </c>
      <c r="C3200" s="1" t="s">
        <v>82</v>
      </c>
      <c r="D3200" s="1" t="s">
        <v>41</v>
      </c>
      <c r="E3200" s="3">
        <v>1615000</v>
      </c>
      <c r="F3200" s="1">
        <v>1305.5780113177</v>
      </c>
      <c r="G3200" s="1">
        <v>4.5</v>
      </c>
      <c r="H3200" s="1">
        <v>2</v>
      </c>
      <c r="I3200" s="1">
        <v>2</v>
      </c>
      <c r="J3200" s="1">
        <v>2</v>
      </c>
      <c r="K3200" s="1">
        <v>2</v>
      </c>
      <c r="M3200" s="4">
        <v>1237</v>
      </c>
      <c r="N3200" s="1">
        <v>1415</v>
      </c>
      <c r="O3200" s="1">
        <v>2955</v>
      </c>
      <c r="P3200" s="1">
        <v>1540</v>
      </c>
      <c r="Q3200" s="1" t="s">
        <v>42</v>
      </c>
      <c r="S3200" s="1" t="s">
        <v>42</v>
      </c>
      <c r="T3200" s="1" t="s">
        <v>273</v>
      </c>
      <c r="U3200" s="1">
        <v>175</v>
      </c>
      <c r="V3200" s="5">
        <v>44259</v>
      </c>
      <c r="W3200" s="5">
        <v>43731</v>
      </c>
      <c r="X3200" s="1">
        <v>1990000</v>
      </c>
      <c r="Y3200" s="1">
        <v>1699000</v>
      </c>
      <c r="Z3200" s="5">
        <v>44142</v>
      </c>
      <c r="AA3200" s="1">
        <v>1615000</v>
      </c>
      <c r="AB3200" s="1" t="s">
        <v>2027</v>
      </c>
      <c r="AC3200" s="5">
        <v>44257</v>
      </c>
      <c r="AF3200" s="1">
        <v>10128</v>
      </c>
      <c r="AI3200" s="1" t="s">
        <v>245</v>
      </c>
      <c r="AJ3200" s="1">
        <v>1986</v>
      </c>
      <c r="AK3200" s="1" t="s">
        <v>46</v>
      </c>
      <c r="AL3200" s="1">
        <v>287</v>
      </c>
    </row>
    <row r="3201" spans="1:38" x14ac:dyDescent="0.2">
      <c r="A3201" s="2" t="str">
        <f>HYPERLINK("https://www.compass.com/listing/360-east-89th-street-unit-10b-manhattan-ny-10128/29424453138110209/","360 E 89th St, Unit 10B")</f>
        <v>360 E 89th St, Unit 10B</v>
      </c>
      <c r="B3201" s="2" t="str">
        <f>HYPERLINK("https://www.compass.com/building/citizen360-manhattan-ny/282052027553444853/","Citizen360")</f>
        <v>Citizen360</v>
      </c>
      <c r="C3201" s="1" t="s">
        <v>82</v>
      </c>
      <c r="D3201" s="1" t="s">
        <v>41</v>
      </c>
      <c r="E3201" s="3">
        <v>1631950</v>
      </c>
      <c r="F3201" s="1">
        <v>1393.63791631084</v>
      </c>
      <c r="G3201" s="1">
        <v>3</v>
      </c>
      <c r="H3201" s="1">
        <v>1</v>
      </c>
      <c r="I3201" s="1">
        <v>1</v>
      </c>
      <c r="J3201" s="1">
        <v>1.5</v>
      </c>
      <c r="K3201" s="1">
        <v>1</v>
      </c>
      <c r="L3201" s="1">
        <v>1</v>
      </c>
      <c r="M3201" s="4">
        <v>1171</v>
      </c>
      <c r="N3201" s="1">
        <v>1124</v>
      </c>
      <c r="O3201" s="1">
        <v>2431</v>
      </c>
      <c r="P3201" s="1">
        <v>1307</v>
      </c>
      <c r="Q3201" s="1" t="s">
        <v>42</v>
      </c>
      <c r="S3201" s="1" t="s">
        <v>42</v>
      </c>
      <c r="T3201" s="1" t="s">
        <v>273</v>
      </c>
      <c r="U3201" s="1">
        <v>23</v>
      </c>
      <c r="V3201" s="5">
        <v>43641</v>
      </c>
      <c r="W3201" s="5">
        <v>42711</v>
      </c>
      <c r="X3201" s="1">
        <v>1625000</v>
      </c>
      <c r="Y3201" s="1">
        <v>1625000</v>
      </c>
      <c r="Z3201" s="5">
        <v>42734</v>
      </c>
      <c r="AA3201" s="1">
        <v>1631950</v>
      </c>
      <c r="AB3201" s="1" t="s">
        <v>2028</v>
      </c>
      <c r="AC3201" s="5">
        <v>43074</v>
      </c>
      <c r="AF3201" s="1">
        <v>10128</v>
      </c>
      <c r="AJ3201" s="1">
        <v>2017</v>
      </c>
      <c r="AK3201" s="1" t="s">
        <v>108</v>
      </c>
      <c r="AL3201" s="1">
        <v>82</v>
      </c>
    </row>
    <row r="3202" spans="1:38" x14ac:dyDescent="0.2">
      <c r="A3202" s="2" t="str">
        <f>HYPERLINK("https://www.compass.com/listing/503-west-24th-street-unit-ph-manhattan-ny-10001/29369750337468145/","503 W 24th St, Unit PH")</f>
        <v>503 W 24th St, Unit PH</v>
      </c>
      <c r="B3202" s="2" t="str">
        <f t="shared" ref="B3202:B3205" si="543">HYPERLINK("https://www.compass.com/building/the-getty-residences-manhattan-ny/455668780274722637/","The Getty Residences")</f>
        <v>The Getty Residences</v>
      </c>
      <c r="C3202" s="1" t="s">
        <v>62</v>
      </c>
      <c r="D3202" s="1" t="s">
        <v>41</v>
      </c>
      <c r="E3202" s="3">
        <v>59058500</v>
      </c>
      <c r="F3202" s="1">
        <v>4021.41495301647</v>
      </c>
      <c r="M3202" s="4">
        <v>14686</v>
      </c>
      <c r="Q3202" s="1" t="s">
        <v>42</v>
      </c>
      <c r="S3202" s="1" t="s">
        <v>42</v>
      </c>
      <c r="T3202" s="1" t="s">
        <v>273</v>
      </c>
      <c r="AA3202" s="1">
        <v>59058500</v>
      </c>
      <c r="AB3202" s="1" t="s">
        <v>2029</v>
      </c>
      <c r="AC3202" s="5">
        <v>43216</v>
      </c>
      <c r="AF3202" s="1">
        <v>10001</v>
      </c>
      <c r="AJ3202" s="1">
        <v>2018</v>
      </c>
      <c r="AK3202" s="1" t="s">
        <v>49</v>
      </c>
      <c r="AL3202" s="1">
        <v>5</v>
      </c>
    </row>
    <row r="3203" spans="1:38" x14ac:dyDescent="0.2">
      <c r="A3203" s="2" t="str">
        <f>HYPERLINK("https://www.compass.com/listing/503-west-24th-street-unit-3-manhattan-ny-10001/817122489496973353/","503 W 24th St, Unit 3")</f>
        <v>503 W 24th St, Unit 3</v>
      </c>
      <c r="B3203" s="2" t="str">
        <f t="shared" si="543"/>
        <v>The Getty Residences</v>
      </c>
      <c r="C3203" s="1" t="s">
        <v>62</v>
      </c>
      <c r="D3203" s="1" t="s">
        <v>41</v>
      </c>
      <c r="E3203" s="3">
        <v>10209300</v>
      </c>
      <c r="F3203" s="1">
        <v>1809.5179014533801</v>
      </c>
      <c r="H3203" s="1" t="s">
        <v>99</v>
      </c>
      <c r="M3203" s="4">
        <v>5642</v>
      </c>
      <c r="Q3203" s="1" t="s">
        <v>42</v>
      </c>
      <c r="S3203" s="1" t="s">
        <v>42</v>
      </c>
      <c r="T3203" s="1" t="s">
        <v>273</v>
      </c>
      <c r="AA3203" s="1">
        <v>10209300</v>
      </c>
      <c r="AB3203" s="1" t="s">
        <v>2030</v>
      </c>
      <c r="AC3203" s="5">
        <v>44358</v>
      </c>
      <c r="AF3203" s="1">
        <v>10001</v>
      </c>
      <c r="AJ3203" s="1">
        <v>2018</v>
      </c>
      <c r="AK3203" s="1" t="s">
        <v>49</v>
      </c>
      <c r="AL3203" s="1">
        <v>5</v>
      </c>
    </row>
    <row r="3204" spans="1:38" x14ac:dyDescent="0.2">
      <c r="A3204" s="2" t="str">
        <f>HYPERLINK("https://www.compass.com/listing/503-west-24th-street-unit-2-manhattan-ny-10001/833056422757094545/","503 W 24th St, Unit 2")</f>
        <v>503 W 24th St, Unit 2</v>
      </c>
      <c r="B3204" s="2" t="str">
        <f t="shared" si="543"/>
        <v>The Getty Residences</v>
      </c>
      <c r="C3204" s="1" t="s">
        <v>62</v>
      </c>
      <c r="D3204" s="1" t="s">
        <v>41</v>
      </c>
      <c r="E3204" s="3">
        <v>8700000</v>
      </c>
      <c r="F3204" s="1">
        <v>1843.2203389830499</v>
      </c>
      <c r="M3204" s="4">
        <v>4720</v>
      </c>
      <c r="Q3204" s="1" t="s">
        <v>42</v>
      </c>
      <c r="S3204" s="1" t="s">
        <v>42</v>
      </c>
      <c r="T3204" s="1" t="s">
        <v>273</v>
      </c>
      <c r="AA3204" s="1">
        <v>8700000</v>
      </c>
      <c r="AB3204" s="1" t="s">
        <v>2031</v>
      </c>
      <c r="AC3204" s="5">
        <v>44368</v>
      </c>
      <c r="AF3204" s="1">
        <v>10001</v>
      </c>
      <c r="AJ3204" s="1">
        <v>2018</v>
      </c>
      <c r="AK3204" s="1" t="s">
        <v>49</v>
      </c>
      <c r="AL3204" s="1">
        <v>5</v>
      </c>
    </row>
    <row r="3205" spans="1:38" x14ac:dyDescent="0.2">
      <c r="A3205" s="2" t="str">
        <f>HYPERLINK("https://www.compass.com/listing/503-west-24th-street-unit-4-manhattan-ny-10001/842484910985341305/","503 W 24th St, Unit 4")</f>
        <v>503 W 24th St, Unit 4</v>
      </c>
      <c r="B3205" s="2" t="str">
        <f t="shared" si="543"/>
        <v>The Getty Residences</v>
      </c>
      <c r="C3205" s="1" t="s">
        <v>62</v>
      </c>
      <c r="D3205" s="1" t="s">
        <v>41</v>
      </c>
      <c r="E3205" s="3">
        <v>11800000</v>
      </c>
      <c r="F3205" s="1">
        <v>2126.8925739004999</v>
      </c>
      <c r="M3205" s="4">
        <v>5548</v>
      </c>
      <c r="Q3205" s="1" t="s">
        <v>42</v>
      </c>
      <c r="S3205" s="1" t="s">
        <v>42</v>
      </c>
      <c r="T3205" s="1" t="s">
        <v>273</v>
      </c>
      <c r="AA3205" s="1">
        <v>11800000</v>
      </c>
      <c r="AB3205" s="1" t="s">
        <v>2032</v>
      </c>
      <c r="AC3205" s="5">
        <v>44358</v>
      </c>
      <c r="AF3205" s="1">
        <v>10001</v>
      </c>
      <c r="AJ3205" s="1">
        <v>2018</v>
      </c>
      <c r="AK3205" s="1" t="s">
        <v>49</v>
      </c>
      <c r="AL3205" s="1">
        <v>5</v>
      </c>
    </row>
    <row r="3206" spans="1:38" x14ac:dyDescent="0.2">
      <c r="A3206" s="2" t="str">
        <f>HYPERLINK("https://www.compass.com/listing/1-west-end-avenue-unit-10j-manhattan-ny-10023/29397387168545889/","1 W End Ave, Unit 10J")</f>
        <v>1 W End Ave, Unit 10J</v>
      </c>
      <c r="B3206" s="2" t="str">
        <f>HYPERLINK("https://www.compass.com/building/1-w-end-ave-manhattan-ny-10023/455676159137755317/","1 W End Ave")</f>
        <v>1 W End Ave</v>
      </c>
      <c r="C3206" s="1" t="s">
        <v>57</v>
      </c>
      <c r="D3206" s="1" t="s">
        <v>41</v>
      </c>
      <c r="E3206" s="3">
        <v>2981871</v>
      </c>
      <c r="F3206" s="1">
        <v>2006.6426648721399</v>
      </c>
      <c r="G3206" s="1">
        <v>4</v>
      </c>
      <c r="H3206" s="1">
        <v>2</v>
      </c>
      <c r="I3206" s="1">
        <v>2</v>
      </c>
      <c r="J3206" s="1">
        <v>2.5</v>
      </c>
      <c r="K3206" s="1">
        <v>2</v>
      </c>
      <c r="L3206" s="1">
        <v>1</v>
      </c>
      <c r="M3206" s="4">
        <v>1486</v>
      </c>
      <c r="N3206" s="1">
        <v>1688</v>
      </c>
      <c r="O3206" s="1">
        <v>1789</v>
      </c>
      <c r="P3206" s="1">
        <v>101</v>
      </c>
      <c r="Q3206" s="1" t="s">
        <v>42</v>
      </c>
      <c r="S3206" s="1" t="s">
        <v>42</v>
      </c>
      <c r="T3206" s="1" t="s">
        <v>273</v>
      </c>
      <c r="U3206" s="1">
        <v>89</v>
      </c>
      <c r="V3206" s="5">
        <v>43694</v>
      </c>
      <c r="W3206" s="5">
        <v>42182</v>
      </c>
      <c r="X3206" s="1">
        <v>2920000</v>
      </c>
      <c r="Y3206" s="1">
        <v>2920000</v>
      </c>
      <c r="Z3206" s="5">
        <v>42271</v>
      </c>
      <c r="AA3206" s="1">
        <v>2981871</v>
      </c>
      <c r="AB3206" s="1" t="s">
        <v>2033</v>
      </c>
      <c r="AC3206" s="5">
        <v>43117</v>
      </c>
      <c r="AF3206" s="1">
        <v>10023</v>
      </c>
      <c r="AI3206" s="1" t="s">
        <v>60</v>
      </c>
      <c r="AJ3206" s="1">
        <v>2017</v>
      </c>
      <c r="AK3206" s="1" t="s">
        <v>108</v>
      </c>
      <c r="AL3206" s="1">
        <v>246</v>
      </c>
    </row>
    <row r="3207" spans="1:38" x14ac:dyDescent="0.2">
      <c r="A3207" s="2" t="str">
        <f>HYPERLINK("https://www.compass.com/listing/90-lexington-avenue-unit-3b-manhattan-ny-10016/90250218003619041/","90 Lexington Ave, Unit 3B")</f>
        <v>90 Lexington Ave, Unit 3B</v>
      </c>
      <c r="B3207" s="2" t="str">
        <f>HYPERLINK("https://www.compass.com/building/88-90-lexington-avenue-manhattan-ny/281941431524842901/","88 &amp; 90 Lexington Avenue")</f>
        <v>88 &amp; 90 Lexington Avenue</v>
      </c>
      <c r="C3207" s="1" t="s">
        <v>40</v>
      </c>
      <c r="D3207" s="1" t="s">
        <v>41</v>
      </c>
      <c r="E3207" s="3">
        <v>363970</v>
      </c>
      <c r="F3207" s="1">
        <v>234.819032258064</v>
      </c>
      <c r="H3207" s="1">
        <v>2</v>
      </c>
      <c r="J3207" s="1">
        <v>2</v>
      </c>
      <c r="K3207" s="1">
        <v>2</v>
      </c>
      <c r="M3207" s="4">
        <v>1550</v>
      </c>
      <c r="N3207" s="1">
        <v>1596</v>
      </c>
      <c r="O3207" s="1">
        <v>3163</v>
      </c>
      <c r="P3207" s="1">
        <v>1567</v>
      </c>
      <c r="Q3207" s="1" t="s">
        <v>42</v>
      </c>
      <c r="S3207" s="1" t="s">
        <v>42</v>
      </c>
      <c r="T3207" s="1" t="s">
        <v>273</v>
      </c>
      <c r="AA3207" s="1">
        <v>363969.5</v>
      </c>
      <c r="AB3207" s="1" t="s">
        <v>2034</v>
      </c>
      <c r="AC3207" s="5">
        <v>43339</v>
      </c>
      <c r="AF3207" s="1">
        <v>10016</v>
      </c>
      <c r="AI3207" s="1" t="s">
        <v>118</v>
      </c>
      <c r="AJ3207" s="1">
        <v>1957</v>
      </c>
      <c r="AK3207" s="1" t="s">
        <v>49</v>
      </c>
      <c r="AL3207" s="1">
        <v>49</v>
      </c>
    </row>
    <row r="3208" spans="1:38" x14ac:dyDescent="0.2">
      <c r="A3208" s="2" t="str">
        <f>HYPERLINK("https://www.compass.com/listing/360-east-89th-street-unit-22b-manhattan-ny-10128/29424461845485441/","360 E 89th St, Unit 22B")</f>
        <v>360 E 89th St, Unit 22B</v>
      </c>
      <c r="B3208" s="2" t="str">
        <f t="shared" ref="B3208:B3211" si="544">HYPERLINK("https://www.compass.com/building/citizen360-manhattan-ny/282052027553444853/","Citizen360")</f>
        <v>Citizen360</v>
      </c>
      <c r="C3208" s="1" t="s">
        <v>82</v>
      </c>
      <c r="D3208" s="1" t="s">
        <v>41</v>
      </c>
      <c r="E3208" s="3">
        <v>2800000</v>
      </c>
      <c r="F3208" s="1">
        <v>1880.4566823371299</v>
      </c>
      <c r="G3208" s="1">
        <v>4</v>
      </c>
      <c r="H3208" s="1">
        <v>2</v>
      </c>
      <c r="I3208" s="1">
        <v>2</v>
      </c>
      <c r="J3208" s="1">
        <v>2</v>
      </c>
      <c r="K3208" s="1">
        <v>2</v>
      </c>
      <c r="M3208" s="4">
        <v>1489</v>
      </c>
      <c r="N3208" s="1">
        <v>1524</v>
      </c>
      <c r="O3208" s="1">
        <v>3296</v>
      </c>
      <c r="P3208" s="1">
        <v>1772</v>
      </c>
      <c r="Q3208" s="1" t="s">
        <v>42</v>
      </c>
      <c r="S3208" s="1" t="s">
        <v>42</v>
      </c>
      <c r="T3208" s="1" t="s">
        <v>273</v>
      </c>
      <c r="V3208" s="5">
        <v>43661</v>
      </c>
      <c r="W3208" s="5">
        <v>42819</v>
      </c>
      <c r="X3208" s="1">
        <v>2850000</v>
      </c>
      <c r="Y3208" s="1">
        <v>2850000</v>
      </c>
      <c r="Z3208" s="5">
        <v>42819</v>
      </c>
      <c r="AA3208" s="1">
        <v>2800000</v>
      </c>
      <c r="AB3208" s="1" t="s">
        <v>2035</v>
      </c>
      <c r="AC3208" s="5">
        <v>43179</v>
      </c>
      <c r="AF3208" s="1">
        <v>10128</v>
      </c>
      <c r="AJ3208" s="1">
        <v>2017</v>
      </c>
      <c r="AK3208" s="1" t="s">
        <v>108</v>
      </c>
      <c r="AL3208" s="1">
        <v>82</v>
      </c>
    </row>
    <row r="3209" spans="1:38" x14ac:dyDescent="0.2">
      <c r="A3209" s="2" t="str">
        <f>HYPERLINK("https://www.compass.com/listing/360-east-89th-street-unit-23b-manhattan-ny-10128/29424462826939681/","360 E 89th St, Unit 23B")</f>
        <v>360 E 89th St, Unit 23B</v>
      </c>
      <c r="B3209" s="2" t="str">
        <f t="shared" si="544"/>
        <v>Citizen360</v>
      </c>
      <c r="C3209" s="1" t="s">
        <v>82</v>
      </c>
      <c r="D3209" s="1" t="s">
        <v>41</v>
      </c>
      <c r="E3209" s="3">
        <v>2843668</v>
      </c>
      <c r="F3209" s="1">
        <v>1909.7837474815301</v>
      </c>
      <c r="G3209" s="1">
        <v>4</v>
      </c>
      <c r="H3209" s="1">
        <v>2</v>
      </c>
      <c r="I3209" s="1">
        <v>2</v>
      </c>
      <c r="J3209" s="1">
        <v>2</v>
      </c>
      <c r="K3209" s="1">
        <v>2</v>
      </c>
      <c r="M3209" s="4">
        <v>1489</v>
      </c>
      <c r="N3209" s="1">
        <v>1512</v>
      </c>
      <c r="O3209" s="1">
        <v>3270</v>
      </c>
      <c r="P3209" s="1">
        <v>1758</v>
      </c>
      <c r="Q3209" s="1" t="s">
        <v>42</v>
      </c>
      <c r="S3209" s="1" t="s">
        <v>42</v>
      </c>
      <c r="T3209" s="1" t="s">
        <v>273</v>
      </c>
      <c r="V3209" s="5">
        <v>43654</v>
      </c>
      <c r="W3209" s="5">
        <v>42741</v>
      </c>
      <c r="X3209" s="1">
        <v>2875000</v>
      </c>
      <c r="Y3209" s="1">
        <v>2875000</v>
      </c>
      <c r="Z3209" s="5">
        <v>42741</v>
      </c>
      <c r="AA3209" s="1">
        <v>2843668</v>
      </c>
      <c r="AB3209" s="1" t="s">
        <v>2036</v>
      </c>
      <c r="AC3209" s="5">
        <v>43201</v>
      </c>
      <c r="AF3209" s="1">
        <v>10128</v>
      </c>
      <c r="AJ3209" s="1">
        <v>2017</v>
      </c>
      <c r="AK3209" s="1" t="s">
        <v>108</v>
      </c>
      <c r="AL3209" s="1">
        <v>82</v>
      </c>
    </row>
    <row r="3210" spans="1:38" x14ac:dyDescent="0.2">
      <c r="A3210" s="2" t="str">
        <f>HYPERLINK("https://www.compass.com/listing/360-east-89th-street-unit-21c-manhattan-ny-10128/7224406472439313/","360 E 89th St, Unit 21C")</f>
        <v>360 E 89th St, Unit 21C</v>
      </c>
      <c r="B3210" s="2" t="str">
        <f t="shared" si="544"/>
        <v>Citizen360</v>
      </c>
      <c r="C3210" s="1" t="s">
        <v>82</v>
      </c>
      <c r="D3210" s="1" t="s">
        <v>41</v>
      </c>
      <c r="E3210" s="3">
        <v>3000000</v>
      </c>
      <c r="F3210" s="1">
        <v>1806.14087898856</v>
      </c>
      <c r="G3210" s="1">
        <v>4</v>
      </c>
      <c r="H3210" s="1">
        <v>2</v>
      </c>
      <c r="I3210" s="1">
        <v>2</v>
      </c>
      <c r="J3210" s="1">
        <v>2.5</v>
      </c>
      <c r="K3210" s="1">
        <v>2</v>
      </c>
      <c r="L3210" s="1">
        <v>1</v>
      </c>
      <c r="M3210" s="4">
        <v>1661</v>
      </c>
      <c r="N3210" s="1">
        <v>1671</v>
      </c>
      <c r="O3210" s="1">
        <v>3614</v>
      </c>
      <c r="P3210" s="1">
        <v>1943</v>
      </c>
      <c r="Q3210" s="1" t="s">
        <v>42</v>
      </c>
      <c r="S3210" s="1" t="s">
        <v>42</v>
      </c>
      <c r="T3210" s="1" t="s">
        <v>273</v>
      </c>
      <c r="V3210" s="5">
        <v>43647</v>
      </c>
      <c r="W3210" s="5">
        <v>42570</v>
      </c>
      <c r="X3210" s="1">
        <v>3025000</v>
      </c>
      <c r="Y3210" s="1">
        <v>3025000</v>
      </c>
      <c r="Z3210" s="5">
        <v>42570</v>
      </c>
      <c r="AA3210" s="1">
        <v>3000000</v>
      </c>
      <c r="AB3210" s="1" t="s">
        <v>2037</v>
      </c>
      <c r="AC3210" s="5">
        <v>43259</v>
      </c>
      <c r="AF3210" s="1">
        <v>10128</v>
      </c>
      <c r="AJ3210" s="1">
        <v>2017</v>
      </c>
      <c r="AK3210" s="1" t="s">
        <v>108</v>
      </c>
      <c r="AL3210" s="1">
        <v>82</v>
      </c>
    </row>
    <row r="3211" spans="1:38" x14ac:dyDescent="0.2">
      <c r="A3211" s="2" t="str">
        <f>HYPERLINK("https://www.compass.com/listing/360-east-89th-street-unit-7c-manhattan-ny-10128/29424450311136289/","360 E 89th St, Unit 7C")</f>
        <v>360 E 89th St, Unit 7C</v>
      </c>
      <c r="B3211" s="2" t="str">
        <f t="shared" si="544"/>
        <v>Citizen360</v>
      </c>
      <c r="C3211" s="1" t="s">
        <v>82</v>
      </c>
      <c r="D3211" s="1" t="s">
        <v>41</v>
      </c>
      <c r="E3211" s="3">
        <v>1440824</v>
      </c>
      <c r="F3211" s="1">
        <v>1574.67103825136</v>
      </c>
      <c r="G3211" s="1">
        <v>3</v>
      </c>
      <c r="H3211" s="1">
        <v>1</v>
      </c>
      <c r="I3211" s="1">
        <v>1</v>
      </c>
      <c r="J3211" s="1">
        <v>1</v>
      </c>
      <c r="K3211" s="1">
        <v>1</v>
      </c>
      <c r="M3211" s="1">
        <v>915</v>
      </c>
      <c r="N3211" s="1">
        <v>1006</v>
      </c>
      <c r="O3211" s="1">
        <v>1872</v>
      </c>
      <c r="P3211" s="1">
        <v>866</v>
      </c>
      <c r="Q3211" s="1" t="s">
        <v>42</v>
      </c>
      <c r="S3211" s="1" t="s">
        <v>42</v>
      </c>
      <c r="T3211" s="1" t="s">
        <v>273</v>
      </c>
      <c r="V3211" s="5">
        <v>43650</v>
      </c>
      <c r="W3211" s="5">
        <v>42482</v>
      </c>
      <c r="X3211" s="1">
        <v>1415000</v>
      </c>
      <c r="Y3211" s="1">
        <v>1415000</v>
      </c>
      <c r="Z3211" s="5">
        <v>42482</v>
      </c>
      <c r="AA3211" s="1">
        <v>1440824</v>
      </c>
      <c r="AB3211" s="1" t="s">
        <v>2038</v>
      </c>
      <c r="AC3211" s="5">
        <v>43034</v>
      </c>
      <c r="AF3211" s="1">
        <v>10128</v>
      </c>
      <c r="AJ3211" s="1">
        <v>2017</v>
      </c>
      <c r="AK3211" s="1" t="s">
        <v>108</v>
      </c>
      <c r="AL3211" s="1">
        <v>82</v>
      </c>
    </row>
    <row r="3212" spans="1:38" x14ac:dyDescent="0.2">
      <c r="A3212" s="2" t="str">
        <f>HYPERLINK("https://www.compass.com/listing/565-broome-street-unit-n5c-manhattan-ny-10013/373597165506511073/","565 Broome St, Unit N5C")</f>
        <v>565 Broome St, Unit N5C</v>
      </c>
      <c r="B3212" s="2" t="str">
        <f t="shared" ref="B3212:B3214" si="545">HYPERLINK("https://www.compass.com/building/565-broome-soho-manhattan-ny/292813251698267109/","565 Broome Soho")</f>
        <v>565 Broome Soho</v>
      </c>
      <c r="C3212" s="1" t="s">
        <v>53</v>
      </c>
      <c r="D3212" s="1" t="s">
        <v>41</v>
      </c>
      <c r="E3212" s="3">
        <v>2381959</v>
      </c>
      <c r="F3212" s="1">
        <v>1998.2873657718101</v>
      </c>
      <c r="H3212" s="1">
        <v>2</v>
      </c>
      <c r="J3212" s="1">
        <v>2</v>
      </c>
      <c r="K3212" s="1">
        <v>2</v>
      </c>
      <c r="M3212" s="4">
        <v>1192</v>
      </c>
      <c r="N3212" s="1">
        <v>1661</v>
      </c>
      <c r="O3212" s="1">
        <v>3494</v>
      </c>
      <c r="P3212" s="1">
        <v>1833</v>
      </c>
      <c r="Q3212" s="1" t="s">
        <v>42</v>
      </c>
      <c r="S3212" s="1" t="s">
        <v>42</v>
      </c>
      <c r="T3212" s="1" t="s">
        <v>273</v>
      </c>
      <c r="AA3212" s="1">
        <v>2381958.54</v>
      </c>
      <c r="AB3212" s="1" t="s">
        <v>2039</v>
      </c>
      <c r="AC3212" s="5">
        <v>43733</v>
      </c>
      <c r="AF3212" s="1">
        <v>10013</v>
      </c>
      <c r="AI3212" s="1" t="s">
        <v>48</v>
      </c>
      <c r="AJ3212" s="1">
        <v>2019</v>
      </c>
      <c r="AK3212" s="1" t="s">
        <v>49</v>
      </c>
      <c r="AL3212" s="1">
        <v>115</v>
      </c>
    </row>
    <row r="3213" spans="1:38" x14ac:dyDescent="0.2">
      <c r="A3213" s="2" t="str">
        <f>HYPERLINK("https://www.compass.com/listing/565-broome-street-unit-n5c-manhattan-ny-10013/780144813570739161/","565 Broome St, Unit N5C")</f>
        <v>565 Broome St, Unit N5C</v>
      </c>
      <c r="B3213" s="2" t="str">
        <f t="shared" si="545"/>
        <v>565 Broome Soho</v>
      </c>
      <c r="C3213" s="1" t="s">
        <v>53</v>
      </c>
      <c r="D3213" s="1" t="s">
        <v>41</v>
      </c>
      <c r="E3213" s="3">
        <v>2323000</v>
      </c>
      <c r="F3213" s="1">
        <v>1948.8255033557</v>
      </c>
      <c r="G3213" s="1">
        <v>4</v>
      </c>
      <c r="H3213" s="1">
        <v>2</v>
      </c>
      <c r="I3213" s="1">
        <v>2</v>
      </c>
      <c r="J3213" s="1">
        <v>2</v>
      </c>
      <c r="K3213" s="1">
        <v>2</v>
      </c>
      <c r="M3213" s="4">
        <v>1192</v>
      </c>
      <c r="N3213" s="1">
        <v>1661</v>
      </c>
      <c r="O3213" s="1">
        <v>3494</v>
      </c>
      <c r="P3213" s="1">
        <v>1833</v>
      </c>
      <c r="Q3213" s="1" t="s">
        <v>42</v>
      </c>
      <c r="S3213" s="1" t="s">
        <v>42</v>
      </c>
      <c r="T3213" s="1" t="s">
        <v>273</v>
      </c>
      <c r="V3213" s="5">
        <v>44344</v>
      </c>
      <c r="AA3213" s="1">
        <v>2323000</v>
      </c>
      <c r="AB3213" s="1" t="s">
        <v>275</v>
      </c>
      <c r="AC3213" s="5">
        <v>43745</v>
      </c>
      <c r="AF3213" s="1">
        <v>10013</v>
      </c>
      <c r="AI3213" s="1" t="s">
        <v>48</v>
      </c>
      <c r="AJ3213" s="1">
        <v>2019</v>
      </c>
      <c r="AK3213" s="1" t="s">
        <v>49</v>
      </c>
      <c r="AL3213" s="1">
        <v>115</v>
      </c>
    </row>
    <row r="3214" spans="1:38" x14ac:dyDescent="0.2">
      <c r="A3214" s="2" t="str">
        <f>HYPERLINK("https://www.compass.com/listing/565-broome-street-unit-n6c-manhattan-ny-10013/781987997610941329/","565 Broome St, Unit N6C")</f>
        <v>565 Broome St, Unit N6C</v>
      </c>
      <c r="B3214" s="2" t="str">
        <f t="shared" si="545"/>
        <v>565 Broome Soho</v>
      </c>
      <c r="C3214" s="1" t="s">
        <v>53</v>
      </c>
      <c r="D3214" s="1" t="s">
        <v>41</v>
      </c>
      <c r="E3214" s="3">
        <v>2064346</v>
      </c>
      <c r="F3214" s="1">
        <v>1731.83422818791</v>
      </c>
      <c r="G3214" s="1">
        <v>4</v>
      </c>
      <c r="H3214" s="1">
        <v>2</v>
      </c>
      <c r="I3214" s="1">
        <v>2</v>
      </c>
      <c r="J3214" s="1">
        <v>2</v>
      </c>
      <c r="K3214" s="1">
        <v>2</v>
      </c>
      <c r="M3214" s="4">
        <v>1192</v>
      </c>
      <c r="N3214" s="1">
        <v>1669</v>
      </c>
      <c r="O3214" s="1">
        <v>3511</v>
      </c>
      <c r="P3214" s="1">
        <v>1842</v>
      </c>
      <c r="Q3214" s="1" t="s">
        <v>42</v>
      </c>
      <c r="S3214" s="1" t="s">
        <v>42</v>
      </c>
      <c r="T3214" s="1" t="s">
        <v>273</v>
      </c>
      <c r="V3214" s="5">
        <v>44344</v>
      </c>
      <c r="AA3214" s="1">
        <v>2064346.4</v>
      </c>
      <c r="AB3214" s="1" t="s">
        <v>2040</v>
      </c>
      <c r="AC3214" s="5">
        <v>44140</v>
      </c>
      <c r="AF3214" s="1">
        <v>10013</v>
      </c>
      <c r="AI3214" s="1" t="s">
        <v>48</v>
      </c>
      <c r="AJ3214" s="1">
        <v>2019</v>
      </c>
      <c r="AK3214" s="1" t="s">
        <v>49</v>
      </c>
      <c r="AL3214" s="1">
        <v>115</v>
      </c>
    </row>
    <row r="3215" spans="1:38" x14ac:dyDescent="0.2">
      <c r="A3215" s="2" t="str">
        <f>HYPERLINK("https://www.compass.com/listing/1-west-end-avenue-unit-32d-manhattan-ny-10023/29397356222894257/","1 W End Ave, Unit 32D")</f>
        <v>1 W End Ave, Unit 32D</v>
      </c>
      <c r="B3215" s="2" t="str">
        <f>HYPERLINK("https://www.compass.com/building/1-w-end-ave-manhattan-ny-10023/455676159137755317/","1 W End Ave")</f>
        <v>1 W End Ave</v>
      </c>
      <c r="C3215" s="1" t="s">
        <v>57</v>
      </c>
      <c r="D3215" s="1" t="s">
        <v>41</v>
      </c>
      <c r="E3215" s="3">
        <v>5378769</v>
      </c>
      <c r="F3215" s="1">
        <v>2167.9840870616599</v>
      </c>
      <c r="G3215" s="1">
        <v>5</v>
      </c>
      <c r="H3215" s="1">
        <v>3</v>
      </c>
      <c r="I3215" s="1">
        <v>3</v>
      </c>
      <c r="J3215" s="1">
        <v>3.5</v>
      </c>
      <c r="K3215" s="1">
        <v>3</v>
      </c>
      <c r="L3215" s="1">
        <v>1</v>
      </c>
      <c r="M3215" s="4">
        <v>2481</v>
      </c>
      <c r="N3215" s="1">
        <v>2737</v>
      </c>
      <c r="O3215" s="1">
        <v>2901</v>
      </c>
      <c r="P3215" s="1">
        <v>164</v>
      </c>
      <c r="Q3215" s="1" t="s">
        <v>42</v>
      </c>
      <c r="S3215" s="1" t="s">
        <v>42</v>
      </c>
      <c r="T3215" s="1" t="s">
        <v>273</v>
      </c>
      <c r="U3215" s="1">
        <v>395</v>
      </c>
      <c r="V3215" s="5">
        <v>43636</v>
      </c>
      <c r="W3215" s="5">
        <v>42472</v>
      </c>
      <c r="X3215" s="1">
        <v>5725000</v>
      </c>
      <c r="Y3215" s="1">
        <v>5725000</v>
      </c>
      <c r="Z3215" s="5">
        <v>42913</v>
      </c>
      <c r="AA3215" s="1">
        <v>5378768.5199999996</v>
      </c>
      <c r="AB3215" s="1" t="s">
        <v>2041</v>
      </c>
      <c r="AC3215" s="5">
        <v>43237</v>
      </c>
      <c r="AF3215" s="1">
        <v>10023</v>
      </c>
      <c r="AI3215" s="1" t="s">
        <v>60</v>
      </c>
      <c r="AJ3215" s="1">
        <v>2017</v>
      </c>
      <c r="AK3215" s="1" t="s">
        <v>108</v>
      </c>
      <c r="AL3215" s="1">
        <v>246</v>
      </c>
    </row>
    <row r="3216" spans="1:38" x14ac:dyDescent="0.2">
      <c r="A3216" s="2" t="str">
        <f>HYPERLINK("https://www.compass.com/listing/360-east-89th-street-unit-9a-manhattan-ny-10128/29424451493930033/","360 E 89th St, Unit 9A")</f>
        <v>360 E 89th St, Unit 9A</v>
      </c>
      <c r="B3216" s="2" t="str">
        <f>HYPERLINK("https://www.compass.com/building/citizen360-manhattan-ny/282052027553444853/","Citizen360")</f>
        <v>Citizen360</v>
      </c>
      <c r="C3216" s="1" t="s">
        <v>82</v>
      </c>
      <c r="D3216" s="1" t="s">
        <v>41</v>
      </c>
      <c r="E3216" s="3">
        <v>3465818</v>
      </c>
      <c r="F3216" s="1">
        <v>1691.4680331869199</v>
      </c>
      <c r="G3216" s="1">
        <v>5</v>
      </c>
      <c r="H3216" s="1">
        <v>3</v>
      </c>
      <c r="I3216" s="1">
        <v>3</v>
      </c>
      <c r="J3216" s="1">
        <v>3.5</v>
      </c>
      <c r="K3216" s="1">
        <v>3</v>
      </c>
      <c r="L3216" s="1">
        <v>1</v>
      </c>
      <c r="M3216" s="4">
        <v>2049</v>
      </c>
      <c r="N3216" s="1">
        <v>1957</v>
      </c>
      <c r="O3216" s="1">
        <v>4233</v>
      </c>
      <c r="P3216" s="1">
        <v>2276</v>
      </c>
      <c r="Q3216" s="1" t="s">
        <v>42</v>
      </c>
      <c r="S3216" s="1" t="s">
        <v>42</v>
      </c>
      <c r="T3216" s="1" t="s">
        <v>273</v>
      </c>
      <c r="U3216" s="1">
        <v>33</v>
      </c>
      <c r="V3216" s="5">
        <v>43659</v>
      </c>
      <c r="W3216" s="5">
        <v>42671</v>
      </c>
      <c r="X3216" s="1">
        <v>3580000</v>
      </c>
      <c r="Y3216" s="1">
        <v>3580000</v>
      </c>
      <c r="Z3216" s="5">
        <v>42704</v>
      </c>
      <c r="AA3216" s="1">
        <v>3465818</v>
      </c>
      <c r="AB3216" s="1" t="s">
        <v>2042</v>
      </c>
      <c r="AC3216" s="5">
        <v>43048</v>
      </c>
      <c r="AF3216" s="1">
        <v>10128</v>
      </c>
      <c r="AJ3216" s="1">
        <v>2017</v>
      </c>
      <c r="AK3216" s="1" t="s">
        <v>108</v>
      </c>
      <c r="AL3216" s="1">
        <v>82</v>
      </c>
    </row>
    <row r="3217" spans="1:38" x14ac:dyDescent="0.2">
      <c r="A3217" s="2" t="str">
        <f>HYPERLINK("https://www.compass.com/listing/12-east-88th-street-unit-6c-manhattan-ny-10128/29420044916124513/","12 E 88th St, Unit 6C")</f>
        <v>12 E 88th St, Unit 6C</v>
      </c>
      <c r="B3217" s="2" t="str">
        <f>HYPERLINK("https://www.compass.com/building/12-e-88th-st-manhattan-ny-10128/282046316798827461/","12 E 88th St")</f>
        <v>12 E 88th St</v>
      </c>
      <c r="C3217" s="1" t="s">
        <v>82</v>
      </c>
      <c r="D3217" s="1" t="s">
        <v>41</v>
      </c>
      <c r="E3217" s="3">
        <v>3309313</v>
      </c>
      <c r="F3217" s="1">
        <v>2401.5333817126202</v>
      </c>
      <c r="G3217" s="1">
        <v>4</v>
      </c>
      <c r="H3217" s="1">
        <v>2</v>
      </c>
      <c r="I3217" s="1">
        <v>2</v>
      </c>
      <c r="J3217" s="1">
        <v>2</v>
      </c>
      <c r="M3217" s="4">
        <v>1378</v>
      </c>
      <c r="N3217" s="1">
        <v>2658</v>
      </c>
      <c r="O3217" s="1">
        <v>4395</v>
      </c>
      <c r="P3217" s="1">
        <v>1737</v>
      </c>
      <c r="Q3217" s="1" t="s">
        <v>42</v>
      </c>
      <c r="S3217" s="1" t="s">
        <v>42</v>
      </c>
      <c r="T3217" s="1" t="s">
        <v>273</v>
      </c>
      <c r="V3217" s="5">
        <v>43629</v>
      </c>
      <c r="W3217" s="5">
        <v>43048</v>
      </c>
      <c r="X3217" s="1">
        <v>4600000</v>
      </c>
      <c r="Y3217" s="1">
        <v>4600000</v>
      </c>
      <c r="Z3217" s="5">
        <v>43048</v>
      </c>
      <c r="AA3217" s="1">
        <v>3309313</v>
      </c>
      <c r="AB3217" s="1" t="s">
        <v>2043</v>
      </c>
      <c r="AC3217" s="5">
        <v>43085</v>
      </c>
      <c r="AF3217" s="1">
        <v>10128</v>
      </c>
      <c r="AI3217" s="1" t="s">
        <v>177</v>
      </c>
      <c r="AJ3217" s="1">
        <v>1931</v>
      </c>
      <c r="AK3217" s="1" t="s">
        <v>49</v>
      </c>
      <c r="AL3217" s="1">
        <v>39</v>
      </c>
    </row>
    <row r="3218" spans="1:38" x14ac:dyDescent="0.2">
      <c r="A3218" s="2" t="str">
        <f>HYPERLINK("https://www.compass.com/listing/200-east-94th-street-unit-1112-manhattan-ny-10128/716274028661623481/","200 E 94th St, Unit 1112")</f>
        <v>200 E 94th St, Unit 1112</v>
      </c>
      <c r="B3218" s="2" t="str">
        <f>HYPERLINK("https://www.compass.com/building/carnegie-park-condominium-manhattan-ny/282049797358118613/","Carnegie Park Condominium")</f>
        <v>Carnegie Park Condominium</v>
      </c>
      <c r="C3218" s="1" t="s">
        <v>82</v>
      </c>
      <c r="D3218" s="1" t="s">
        <v>41</v>
      </c>
      <c r="E3218" s="3">
        <v>1040000</v>
      </c>
      <c r="F3218" s="1">
        <v>1475.1773049645301</v>
      </c>
      <c r="G3218" s="1">
        <v>3</v>
      </c>
      <c r="H3218" s="1">
        <v>1</v>
      </c>
      <c r="I3218" s="1">
        <v>1</v>
      </c>
      <c r="J3218" s="1">
        <v>1</v>
      </c>
      <c r="K3218" s="1">
        <v>1</v>
      </c>
      <c r="M3218" s="1">
        <v>705</v>
      </c>
      <c r="N3218" s="1">
        <v>839</v>
      </c>
      <c r="O3218" s="1">
        <v>1669</v>
      </c>
      <c r="P3218" s="1">
        <v>830</v>
      </c>
      <c r="Q3218" s="1" t="s">
        <v>42</v>
      </c>
      <c r="S3218" s="1" t="s">
        <v>42</v>
      </c>
      <c r="T3218" s="1" t="s">
        <v>273</v>
      </c>
      <c r="V3218" s="5">
        <v>44330</v>
      </c>
      <c r="W3218" s="5">
        <v>44238</v>
      </c>
      <c r="X3218" s="1">
        <v>1050000</v>
      </c>
      <c r="Y3218" s="1">
        <v>1050000</v>
      </c>
      <c r="Z3218" s="5">
        <v>44238</v>
      </c>
      <c r="AA3218" s="1">
        <v>1040000</v>
      </c>
      <c r="AB3218" s="1" t="s">
        <v>1811</v>
      </c>
      <c r="AC3218" s="5">
        <v>44321</v>
      </c>
      <c r="AF3218" s="1">
        <v>10128</v>
      </c>
      <c r="AI3218" s="1" t="s">
        <v>163</v>
      </c>
      <c r="AJ3218" s="1">
        <v>1986</v>
      </c>
      <c r="AK3218" s="1" t="s">
        <v>108</v>
      </c>
      <c r="AL3218" s="1">
        <v>287</v>
      </c>
    </row>
    <row r="3219" spans="1:38" x14ac:dyDescent="0.2">
      <c r="A3219" s="2" t="str">
        <f>HYPERLINK("https://www.compass.com/listing/301-east-80th-street-unit-4d-manhattan-ny-10075/833056428226068025/","301 E 80th St, Unit 4D")</f>
        <v>301 E 80th St, Unit 4D</v>
      </c>
      <c r="B3219" s="2" t="str">
        <f>HYPERLINK("https://www.compass.com/building/beckford-tower-manhattan-ny/293529721147268613/","Beckford Tower")</f>
        <v>Beckford Tower</v>
      </c>
      <c r="C3219" s="1" t="s">
        <v>82</v>
      </c>
      <c r="D3219" s="1" t="s">
        <v>41</v>
      </c>
      <c r="E3219" s="3">
        <v>1900000</v>
      </c>
      <c r="F3219" s="1">
        <v>1746.3235294117601</v>
      </c>
      <c r="G3219" s="1">
        <v>4</v>
      </c>
      <c r="H3219" s="1">
        <v>1</v>
      </c>
      <c r="I3219" s="1">
        <v>2</v>
      </c>
      <c r="J3219" s="1">
        <v>1.5</v>
      </c>
      <c r="K3219" s="1">
        <v>1</v>
      </c>
      <c r="L3219" s="1">
        <v>1</v>
      </c>
      <c r="M3219" s="4">
        <v>1088</v>
      </c>
      <c r="N3219" s="1">
        <v>1324</v>
      </c>
      <c r="O3219" s="1">
        <v>2836</v>
      </c>
      <c r="P3219" s="1">
        <v>1512</v>
      </c>
      <c r="Q3219" s="1" t="s">
        <v>42</v>
      </c>
      <c r="S3219" s="1" t="s">
        <v>42</v>
      </c>
      <c r="T3219" s="1" t="s">
        <v>273</v>
      </c>
      <c r="V3219" s="5">
        <v>44412</v>
      </c>
      <c r="AA3219" s="1">
        <v>1900000</v>
      </c>
      <c r="AB3219" s="1" t="s">
        <v>2044</v>
      </c>
      <c r="AC3219" s="5">
        <v>44384</v>
      </c>
      <c r="AF3219" s="1">
        <v>10075</v>
      </c>
      <c r="AI3219" s="1" t="s">
        <v>182</v>
      </c>
      <c r="AJ3219" s="1">
        <v>2019</v>
      </c>
      <c r="AK3219" s="1" t="s">
        <v>49</v>
      </c>
      <c r="AL3219" s="1">
        <v>72</v>
      </c>
    </row>
    <row r="3220" spans="1:38" x14ac:dyDescent="0.2">
      <c r="A3220" s="2" t="str">
        <f>HYPERLINK("https://www.compass.com/listing/15-west-61st-street-unit-27d-manhattan-ny-10023/477244539971821793/","15 W 61st St, Unit 27D")</f>
        <v>15 W 61st St, Unit 27D</v>
      </c>
      <c r="B3220" s="2" t="str">
        <f>HYPERLINK("https://www.compass.com/building/the-park-loggia-manhattan-ny/292861833130357557/","The Park Loggia")</f>
        <v>The Park Loggia</v>
      </c>
      <c r="C3220" s="1" t="s">
        <v>57</v>
      </c>
      <c r="D3220" s="1" t="s">
        <v>41</v>
      </c>
      <c r="E3220" s="3">
        <v>3675210</v>
      </c>
      <c r="F3220" s="1">
        <v>2698.3923494860401</v>
      </c>
      <c r="G3220" s="1">
        <v>4</v>
      </c>
      <c r="H3220" s="1">
        <v>2</v>
      </c>
      <c r="I3220" s="1">
        <v>2</v>
      </c>
      <c r="J3220" s="1">
        <v>2</v>
      </c>
      <c r="K3220" s="1">
        <v>2</v>
      </c>
      <c r="M3220" s="4">
        <v>1362</v>
      </c>
      <c r="N3220" s="1">
        <v>1437</v>
      </c>
      <c r="O3220" s="1">
        <v>2820</v>
      </c>
      <c r="P3220" s="1">
        <v>1383</v>
      </c>
      <c r="Q3220" s="1" t="s">
        <v>42</v>
      </c>
      <c r="S3220" s="1" t="s">
        <v>42</v>
      </c>
      <c r="T3220" s="1" t="s">
        <v>273</v>
      </c>
      <c r="U3220" s="1">
        <v>125</v>
      </c>
      <c r="V3220" s="5">
        <v>43911</v>
      </c>
      <c r="W3220" s="5">
        <v>43777</v>
      </c>
      <c r="X3220" s="1">
        <v>3600500</v>
      </c>
      <c r="Y3220" s="1">
        <v>3600500</v>
      </c>
      <c r="AA3220" s="1">
        <v>3675210.38</v>
      </c>
      <c r="AB3220" s="1" t="s">
        <v>2045</v>
      </c>
      <c r="AC3220" s="5">
        <v>43903</v>
      </c>
      <c r="AF3220" s="1">
        <v>10023</v>
      </c>
      <c r="AI3220" s="1" t="s">
        <v>1071</v>
      </c>
      <c r="AJ3220" s="1">
        <v>2019</v>
      </c>
      <c r="AK3220" s="1" t="s">
        <v>108</v>
      </c>
      <c r="AL3220" s="1">
        <v>172</v>
      </c>
    </row>
    <row r="3221" spans="1:38" x14ac:dyDescent="0.2">
      <c r="A3221" s="2" t="str">
        <f>HYPERLINK("https://www.compass.com/listing/180-east-88th-street-unit-14b-manhattan-ny-10128/733783233424977521/","180 E 88th St, Unit 14B")</f>
        <v>180 E 88th St, Unit 14B</v>
      </c>
      <c r="B3221" s="2" t="str">
        <f t="shared" ref="B3221:B3222" si="546">HYPERLINK("https://www.compass.com/building/180-e-88th-st-manhattan-ny-10128/282058835781256373/","180 E 88th St")</f>
        <v>180 E 88th St</v>
      </c>
      <c r="C3221" s="1" t="s">
        <v>82</v>
      </c>
      <c r="D3221" s="1" t="s">
        <v>41</v>
      </c>
      <c r="E3221" s="3">
        <v>5485000</v>
      </c>
      <c r="F3221" s="1">
        <v>2634.48607108549</v>
      </c>
      <c r="G3221" s="1">
        <v>5.5</v>
      </c>
      <c r="H3221" s="1">
        <v>3</v>
      </c>
      <c r="I3221" s="1">
        <v>2</v>
      </c>
      <c r="J3221" s="1">
        <v>1.5</v>
      </c>
      <c r="K3221" s="1">
        <v>1</v>
      </c>
      <c r="L3221" s="1">
        <v>1</v>
      </c>
      <c r="M3221" s="4">
        <v>2082</v>
      </c>
      <c r="N3221" s="1">
        <v>3168</v>
      </c>
      <c r="O3221" s="1">
        <v>6110</v>
      </c>
      <c r="P3221" s="1">
        <v>2942</v>
      </c>
      <c r="Q3221" s="1" t="s">
        <v>42</v>
      </c>
      <c r="S3221" s="1" t="s">
        <v>42</v>
      </c>
      <c r="T3221" s="1" t="s">
        <v>273</v>
      </c>
      <c r="U3221" s="1">
        <v>1</v>
      </c>
      <c r="V3221" s="5">
        <v>44331</v>
      </c>
      <c r="W3221" s="5">
        <v>44263</v>
      </c>
      <c r="X3221" s="1">
        <v>5985000</v>
      </c>
      <c r="Y3221" s="1">
        <v>5985000</v>
      </c>
      <c r="Z3221" s="5">
        <v>44265</v>
      </c>
      <c r="AA3221" s="1">
        <v>5485000</v>
      </c>
      <c r="AB3221" s="1" t="s">
        <v>2046</v>
      </c>
      <c r="AC3221" s="5">
        <v>44328</v>
      </c>
      <c r="AF3221" s="1">
        <v>10128</v>
      </c>
      <c r="AJ3221" s="1">
        <v>2019</v>
      </c>
      <c r="AK3221" s="1" t="s">
        <v>46</v>
      </c>
      <c r="AL3221" s="1">
        <v>48</v>
      </c>
    </row>
    <row r="3222" spans="1:38" x14ac:dyDescent="0.2">
      <c r="A3222" s="2" t="str">
        <f>HYPERLINK("https://www.compass.com/listing/180-east-88th-street-unit-11a-manhattan-ny-10128/29509492894934433/","180 E 88th St, Unit 11A")</f>
        <v>180 E 88th St, Unit 11A</v>
      </c>
      <c r="B3222" s="2" t="str">
        <f t="shared" si="546"/>
        <v>180 E 88th St</v>
      </c>
      <c r="C3222" s="1" t="s">
        <v>82</v>
      </c>
      <c r="D3222" s="1" t="s">
        <v>41</v>
      </c>
      <c r="E3222" s="3">
        <v>4200000</v>
      </c>
      <c r="F3222" s="1">
        <v>2151.6393442622898</v>
      </c>
      <c r="G3222" s="1">
        <v>5</v>
      </c>
      <c r="H3222" s="1">
        <v>3</v>
      </c>
      <c r="I3222" s="1">
        <v>4</v>
      </c>
      <c r="J3222" s="1">
        <v>3.5</v>
      </c>
      <c r="K3222" s="1">
        <v>3</v>
      </c>
      <c r="L3222" s="1">
        <v>1</v>
      </c>
      <c r="M3222" s="4">
        <v>1952</v>
      </c>
      <c r="N3222" s="1">
        <v>2852</v>
      </c>
      <c r="O3222" s="1">
        <v>5950</v>
      </c>
      <c r="P3222" s="1">
        <v>3098</v>
      </c>
      <c r="Q3222" s="1" t="s">
        <v>42</v>
      </c>
      <c r="S3222" s="1" t="s">
        <v>42</v>
      </c>
      <c r="T3222" s="1" t="s">
        <v>273</v>
      </c>
      <c r="V3222" s="5">
        <v>43694</v>
      </c>
      <c r="W3222" s="5">
        <v>42873</v>
      </c>
      <c r="X3222" s="1">
        <v>4485000</v>
      </c>
      <c r="Y3222" s="1">
        <v>4485000</v>
      </c>
      <c r="Z3222" s="5">
        <v>42873</v>
      </c>
      <c r="AA3222" s="1">
        <v>4200000</v>
      </c>
      <c r="AB3222" s="1" t="s">
        <v>2047</v>
      </c>
      <c r="AC3222" s="5">
        <v>43642</v>
      </c>
      <c r="AF3222" s="1">
        <v>10128</v>
      </c>
      <c r="AJ3222" s="1">
        <v>2019</v>
      </c>
      <c r="AK3222" s="1" t="s">
        <v>46</v>
      </c>
      <c r="AL3222" s="1">
        <v>48</v>
      </c>
    </row>
    <row r="3223" spans="1:38" x14ac:dyDescent="0.2">
      <c r="A3223" s="2" t="str">
        <f>HYPERLINK("https://www.compass.com/listing/360-east-89th-street-unit-19a-manhattan-ny-10128/146388761763178305/","360 E 89th St, Unit 19A")</f>
        <v>360 E 89th St, Unit 19A</v>
      </c>
      <c r="B3223" s="2" t="str">
        <f>HYPERLINK("https://www.compass.com/building/citizen360-manhattan-ny/282052027553444853/","Citizen360")</f>
        <v>Citizen360</v>
      </c>
      <c r="C3223" s="1" t="s">
        <v>82</v>
      </c>
      <c r="D3223" s="1" t="s">
        <v>41</v>
      </c>
      <c r="E3223" s="3">
        <v>3650000</v>
      </c>
      <c r="F3223" s="1">
        <v>1781.3567593948201</v>
      </c>
      <c r="G3223" s="1">
        <v>5.5</v>
      </c>
      <c r="H3223" s="1">
        <v>3</v>
      </c>
      <c r="I3223" s="1">
        <v>4</v>
      </c>
      <c r="J3223" s="1">
        <v>3.5</v>
      </c>
      <c r="K3223" s="1">
        <v>3</v>
      </c>
      <c r="L3223" s="1">
        <v>1</v>
      </c>
      <c r="M3223" s="4">
        <v>2049</v>
      </c>
      <c r="N3223" s="1">
        <v>2041</v>
      </c>
      <c r="O3223" s="1">
        <v>3149</v>
      </c>
      <c r="P3223" s="1">
        <v>1108</v>
      </c>
      <c r="Q3223" s="1" t="s">
        <v>42</v>
      </c>
      <c r="S3223" s="1" t="s">
        <v>42</v>
      </c>
      <c r="T3223" s="1" t="s">
        <v>273</v>
      </c>
      <c r="V3223" s="5">
        <v>43637</v>
      </c>
      <c r="W3223" s="5">
        <v>43455</v>
      </c>
      <c r="X3223" s="1">
        <v>3800000</v>
      </c>
      <c r="Y3223" s="1">
        <v>3800000</v>
      </c>
      <c r="Z3223" s="5">
        <v>43455</v>
      </c>
      <c r="AA3223" s="1">
        <v>3650000</v>
      </c>
      <c r="AB3223" s="1" t="s">
        <v>2048</v>
      </c>
      <c r="AC3223" s="5">
        <v>43501</v>
      </c>
      <c r="AF3223" s="1">
        <v>10128</v>
      </c>
      <c r="AJ3223" s="1">
        <v>2017</v>
      </c>
      <c r="AK3223" s="1" t="s">
        <v>46</v>
      </c>
      <c r="AL3223" s="1">
        <v>82</v>
      </c>
    </row>
    <row r="3224" spans="1:38" x14ac:dyDescent="0.2">
      <c r="A3224" s="2" t="str">
        <f>HYPERLINK("https://www.compass.com/listing/180-east-88th-street-unit-10a-manhattan-ny-10128/21730733802421569/","180 E 88th St, Unit 10A")</f>
        <v>180 E 88th St, Unit 10A</v>
      </c>
      <c r="B3224" s="2" t="str">
        <f t="shared" ref="B3224:B3225" si="547">HYPERLINK("https://www.compass.com/building/180-e-88th-st-manhattan-ny-10128/282058835781256373/","180 E 88th St")</f>
        <v>180 E 88th St</v>
      </c>
      <c r="C3224" s="1" t="s">
        <v>82</v>
      </c>
      <c r="D3224" s="1" t="s">
        <v>41</v>
      </c>
      <c r="E3224" s="3">
        <v>4100000</v>
      </c>
      <c r="F3224" s="1">
        <v>2100.4098360655698</v>
      </c>
      <c r="G3224" s="1">
        <v>5</v>
      </c>
      <c r="H3224" s="1">
        <v>3</v>
      </c>
      <c r="I3224" s="1">
        <v>4</v>
      </c>
      <c r="J3224" s="1">
        <v>3.5</v>
      </c>
      <c r="K3224" s="1">
        <v>3</v>
      </c>
      <c r="L3224" s="1">
        <v>1</v>
      </c>
      <c r="M3224" s="4">
        <v>1952</v>
      </c>
      <c r="N3224" s="1">
        <v>2853</v>
      </c>
      <c r="O3224" s="1">
        <v>5100</v>
      </c>
      <c r="P3224" s="1">
        <v>2247</v>
      </c>
      <c r="Q3224" s="1" t="s">
        <v>42</v>
      </c>
      <c r="S3224" s="1" t="s">
        <v>42</v>
      </c>
      <c r="T3224" s="1" t="s">
        <v>273</v>
      </c>
      <c r="U3224" s="1">
        <v>409</v>
      </c>
      <c r="V3224" s="5">
        <v>44230</v>
      </c>
      <c r="W3224" s="5">
        <v>43550</v>
      </c>
      <c r="Y3224" s="1">
        <v>4585000</v>
      </c>
      <c r="Z3224" s="5">
        <v>44141</v>
      </c>
      <c r="AA3224" s="1">
        <v>4100000</v>
      </c>
      <c r="AB3224" s="1" t="s">
        <v>2049</v>
      </c>
      <c r="AC3224" s="5">
        <v>44182</v>
      </c>
      <c r="AF3224" s="1">
        <v>10128</v>
      </c>
      <c r="AI3224" s="1" t="s">
        <v>216</v>
      </c>
      <c r="AJ3224" s="1">
        <v>2019</v>
      </c>
      <c r="AK3224" s="1" t="s">
        <v>46</v>
      </c>
      <c r="AL3224" s="1">
        <v>48</v>
      </c>
    </row>
    <row r="3225" spans="1:38" x14ac:dyDescent="0.2">
      <c r="A3225" s="2" t="str">
        <f>HYPERLINK("https://www.compass.com/listing/180-east-88th-street-unit-12a-manhattan-ny-10128/333107428966702705/","180 E 88th St, Unit 12A")</f>
        <v>180 E 88th St, Unit 12A</v>
      </c>
      <c r="B3225" s="2" t="str">
        <f t="shared" si="547"/>
        <v>180 E 88th St</v>
      </c>
      <c r="C3225" s="1" t="s">
        <v>82</v>
      </c>
      <c r="D3225" s="1" t="s">
        <v>41</v>
      </c>
      <c r="E3225" s="3">
        <v>4095000</v>
      </c>
      <c r="F3225" s="1">
        <v>2097.8483606557302</v>
      </c>
      <c r="G3225" s="1">
        <v>5</v>
      </c>
      <c r="H3225" s="1">
        <v>3</v>
      </c>
      <c r="I3225" s="1">
        <v>4</v>
      </c>
      <c r="J3225" s="1">
        <v>3.5</v>
      </c>
      <c r="K3225" s="1">
        <v>3</v>
      </c>
      <c r="L3225" s="1">
        <v>1</v>
      </c>
      <c r="M3225" s="4">
        <v>1952</v>
      </c>
      <c r="N3225" s="1">
        <v>2835</v>
      </c>
      <c r="O3225" s="1">
        <v>5068</v>
      </c>
      <c r="P3225" s="1">
        <v>2233</v>
      </c>
      <c r="Q3225" s="1" t="s">
        <v>42</v>
      </c>
      <c r="S3225" s="1" t="s">
        <v>42</v>
      </c>
      <c r="T3225" s="1" t="s">
        <v>273</v>
      </c>
      <c r="U3225" s="1">
        <v>325</v>
      </c>
      <c r="V3225" s="5">
        <v>44230</v>
      </c>
      <c r="W3225" s="5">
        <v>43711</v>
      </c>
      <c r="X3225" s="1">
        <v>4635000</v>
      </c>
      <c r="Y3225" s="1">
        <v>4635000</v>
      </c>
      <c r="Z3225" s="5">
        <v>44131</v>
      </c>
      <c r="AA3225" s="1">
        <v>4095000</v>
      </c>
      <c r="AB3225" s="1" t="s">
        <v>2050</v>
      </c>
      <c r="AC3225" s="5">
        <v>44144</v>
      </c>
      <c r="AF3225" s="1">
        <v>10128</v>
      </c>
      <c r="AI3225" s="1" t="s">
        <v>177</v>
      </c>
      <c r="AJ3225" s="1">
        <v>2019</v>
      </c>
      <c r="AK3225" s="1" t="s">
        <v>46</v>
      </c>
      <c r="AL3225" s="1">
        <v>48</v>
      </c>
    </row>
    <row r="3226" spans="1:38" x14ac:dyDescent="0.2">
      <c r="A3226" s="2" t="str">
        <f>HYPERLINK("https://www.compass.com/listing/200-east-94th-street-unit-phe-manhattan-ny-10128/29423511793640305/","200 E 94th St, Unit PHE")</f>
        <v>200 E 94th St, Unit PHE</v>
      </c>
      <c r="B3226" s="2" t="str">
        <f>HYPERLINK("https://www.compass.com/building/carnegie-park-condominium-manhattan-ny/282049797358118613/","Carnegie Park Condominium")</f>
        <v>Carnegie Park Condominium</v>
      </c>
      <c r="C3226" s="1" t="s">
        <v>82</v>
      </c>
      <c r="D3226" s="1" t="s">
        <v>41</v>
      </c>
      <c r="E3226" s="3">
        <v>5327500</v>
      </c>
      <c r="F3226" s="1">
        <v>2059.3351372245802</v>
      </c>
      <c r="G3226" s="1">
        <v>7</v>
      </c>
      <c r="H3226" s="1">
        <v>4</v>
      </c>
      <c r="J3226" s="1">
        <v>3.5</v>
      </c>
      <c r="M3226" s="4">
        <v>2587</v>
      </c>
      <c r="N3226" s="1">
        <v>2839</v>
      </c>
      <c r="O3226" s="1">
        <v>5855</v>
      </c>
      <c r="P3226" s="1">
        <v>3016</v>
      </c>
      <c r="Q3226" s="1" t="s">
        <v>42</v>
      </c>
      <c r="S3226" s="1" t="s">
        <v>42</v>
      </c>
      <c r="T3226" s="1" t="s">
        <v>273</v>
      </c>
      <c r="U3226" s="1">
        <v>290</v>
      </c>
      <c r="V3226" s="5">
        <v>43699</v>
      </c>
      <c r="W3226" s="5">
        <v>42529</v>
      </c>
      <c r="X3226" s="1">
        <v>5975000</v>
      </c>
      <c r="Y3226" s="1">
        <v>5750000</v>
      </c>
      <c r="Z3226" s="5">
        <v>42819</v>
      </c>
      <c r="AA3226" s="1">
        <v>5327500</v>
      </c>
      <c r="AB3226" s="1" t="s">
        <v>2051</v>
      </c>
      <c r="AC3226" s="5">
        <v>42985</v>
      </c>
      <c r="AF3226" s="1">
        <v>10128</v>
      </c>
      <c r="AI3226" s="1" t="s">
        <v>163</v>
      </c>
      <c r="AJ3226" s="1">
        <v>1986</v>
      </c>
      <c r="AK3226" s="1" t="s">
        <v>49</v>
      </c>
      <c r="AL3226" s="1">
        <v>287</v>
      </c>
    </row>
    <row r="3227" spans="1:38" x14ac:dyDescent="0.2">
      <c r="A3227" s="2" t="str">
        <f>HYPERLINK("https://www.compass.com/listing/360-east-89th-street-unit-19c-manhattan-ny-10128/29424459580548321/","360 E 89th St, Unit 19C")</f>
        <v>360 E 89th St, Unit 19C</v>
      </c>
      <c r="B3227" s="2" t="str">
        <f>HYPERLINK("https://www.compass.com/building/citizen360-manhattan-ny/282052027553444853/","Citizen360")</f>
        <v>Citizen360</v>
      </c>
      <c r="C3227" s="1" t="s">
        <v>82</v>
      </c>
      <c r="D3227" s="1" t="s">
        <v>41</v>
      </c>
      <c r="E3227" s="3">
        <v>3060399</v>
      </c>
      <c r="F3227" s="1">
        <v>1842.5039133052301</v>
      </c>
      <c r="G3227" s="1">
        <v>4</v>
      </c>
      <c r="H3227" s="1">
        <v>2</v>
      </c>
      <c r="I3227" s="1">
        <v>2</v>
      </c>
      <c r="J3227" s="1">
        <v>2.5</v>
      </c>
      <c r="K3227" s="1">
        <v>2</v>
      </c>
      <c r="L3227" s="1">
        <v>1</v>
      </c>
      <c r="M3227" s="4">
        <v>1661</v>
      </c>
      <c r="N3227" s="1">
        <v>1674</v>
      </c>
      <c r="O3227" s="1">
        <v>3621</v>
      </c>
      <c r="P3227" s="1">
        <v>1947</v>
      </c>
      <c r="Q3227" s="1" t="s">
        <v>42</v>
      </c>
      <c r="S3227" s="1" t="s">
        <v>42</v>
      </c>
      <c r="T3227" s="1" t="s">
        <v>273</v>
      </c>
      <c r="V3227" s="5">
        <v>43648</v>
      </c>
      <c r="Y3227" s="1">
        <v>3080000</v>
      </c>
      <c r="Z3227" s="5">
        <v>43041</v>
      </c>
      <c r="AA3227" s="1">
        <v>3060399</v>
      </c>
      <c r="AB3227" s="1" t="s">
        <v>2052</v>
      </c>
      <c r="AC3227" s="5">
        <v>43137</v>
      </c>
      <c r="AF3227" s="1">
        <v>10128</v>
      </c>
      <c r="AJ3227" s="1">
        <v>2017</v>
      </c>
      <c r="AK3227" s="1" t="s">
        <v>108</v>
      </c>
      <c r="AL3227" s="1">
        <v>82</v>
      </c>
    </row>
    <row r="3228" spans="1:38" x14ac:dyDescent="0.2">
      <c r="A3228" s="2" t="str">
        <f>HYPERLINK("https://www.compass.com/listing/1-west-end-avenue-unit-16a-manhattan-ny-10023/29397325042437841/","1 W End Ave, Unit 16A")</f>
        <v>1 W End Ave, Unit 16A</v>
      </c>
      <c r="B3228" s="2" t="str">
        <f>HYPERLINK("https://www.compass.com/building/1-w-end-ave-manhattan-ny-10023/455676159137755317/","1 W End Ave")</f>
        <v>1 W End Ave</v>
      </c>
      <c r="C3228" s="1" t="s">
        <v>57</v>
      </c>
      <c r="D3228" s="1" t="s">
        <v>41</v>
      </c>
      <c r="E3228" s="3">
        <v>4714755</v>
      </c>
      <c r="F3228" s="1">
        <v>1734.6412803532</v>
      </c>
      <c r="G3228" s="1">
        <v>5</v>
      </c>
      <c r="H3228" s="1">
        <v>3</v>
      </c>
      <c r="I3228" s="1">
        <v>3</v>
      </c>
      <c r="J3228" s="1">
        <v>3</v>
      </c>
      <c r="M3228" s="4">
        <v>2718</v>
      </c>
      <c r="N3228" s="1">
        <v>3043</v>
      </c>
      <c r="O3228" s="1">
        <v>3214</v>
      </c>
      <c r="P3228" s="1">
        <v>171</v>
      </c>
      <c r="Q3228" s="1" t="s">
        <v>42</v>
      </c>
      <c r="S3228" s="1" t="s">
        <v>42</v>
      </c>
      <c r="T3228" s="1" t="s">
        <v>273</v>
      </c>
      <c r="U3228" s="1">
        <v>68</v>
      </c>
      <c r="V3228" s="5">
        <v>43700</v>
      </c>
      <c r="W3228" s="5">
        <v>43093</v>
      </c>
      <c r="X3228" s="1">
        <v>5000000</v>
      </c>
      <c r="Y3228" s="1">
        <v>5000000</v>
      </c>
      <c r="Z3228" s="5">
        <v>43161</v>
      </c>
      <c r="AA3228" s="1">
        <v>4714755</v>
      </c>
      <c r="AB3228" s="1" t="s">
        <v>2053</v>
      </c>
      <c r="AC3228" s="5">
        <v>43196</v>
      </c>
      <c r="AF3228" s="1">
        <v>10023</v>
      </c>
      <c r="AI3228" s="1" t="s">
        <v>2054</v>
      </c>
      <c r="AJ3228" s="1">
        <v>2017</v>
      </c>
      <c r="AK3228" s="1" t="s">
        <v>55</v>
      </c>
      <c r="AL3228" s="1">
        <v>246</v>
      </c>
    </row>
    <row r="3229" spans="1:38" x14ac:dyDescent="0.2">
      <c r="A3229" s="2" t="str">
        <f>HYPERLINK("https://www.compass.com/listing/15-west-61st-street-unit-28d-manhattan-ny-10023/508079165420121809/","15 W 61st St, Unit 28D")</f>
        <v>15 W 61st St, Unit 28D</v>
      </c>
      <c r="B3229" s="2" t="str">
        <f>HYPERLINK("https://www.compass.com/building/the-park-loggia-manhattan-ny/292861833130357557/","The Park Loggia")</f>
        <v>The Park Loggia</v>
      </c>
      <c r="C3229" s="1" t="s">
        <v>57</v>
      </c>
      <c r="D3229" s="1" t="s">
        <v>41</v>
      </c>
      <c r="E3229" s="3">
        <v>3750000</v>
      </c>
      <c r="F3229" s="1">
        <v>2753.3039647577002</v>
      </c>
      <c r="G3229" s="1">
        <v>4</v>
      </c>
      <c r="H3229" s="1">
        <v>2</v>
      </c>
      <c r="I3229" s="1">
        <v>2</v>
      </c>
      <c r="J3229" s="1">
        <v>2</v>
      </c>
      <c r="K3229" s="1">
        <v>2</v>
      </c>
      <c r="M3229" s="4">
        <v>1362</v>
      </c>
      <c r="N3229" s="1">
        <v>1437</v>
      </c>
      <c r="O3229" s="1">
        <v>2820</v>
      </c>
      <c r="P3229" s="1">
        <v>1383</v>
      </c>
      <c r="Q3229" s="1" t="s">
        <v>42</v>
      </c>
      <c r="S3229" s="1" t="s">
        <v>42</v>
      </c>
      <c r="T3229" s="1" t="s">
        <v>273</v>
      </c>
      <c r="U3229" s="1">
        <v>248</v>
      </c>
      <c r="V3229" s="5">
        <v>43981</v>
      </c>
      <c r="W3229" s="5">
        <v>43661</v>
      </c>
      <c r="X3229" s="1">
        <v>3750000</v>
      </c>
      <c r="Y3229" s="1">
        <v>3750000</v>
      </c>
      <c r="AA3229" s="1">
        <v>3750000</v>
      </c>
      <c r="AB3229" s="1" t="s">
        <v>2055</v>
      </c>
      <c r="AC3229" s="5">
        <v>43952</v>
      </c>
      <c r="AF3229" s="1">
        <v>10023</v>
      </c>
      <c r="AI3229" s="1" t="s">
        <v>1071</v>
      </c>
      <c r="AJ3229" s="1">
        <v>2019</v>
      </c>
      <c r="AK3229" s="1" t="s">
        <v>108</v>
      </c>
      <c r="AL3229" s="1">
        <v>172</v>
      </c>
    </row>
    <row r="3230" spans="1:38" x14ac:dyDescent="0.2">
      <c r="A3230" s="2" t="str">
        <f>HYPERLINK("https://www.compass.com/listing/300-east-64th-street-unit-5e-manhattan-ny-10065/29415709859681137/","300 E 64th St, Unit 5E")</f>
        <v>300 E 64th St, Unit 5E</v>
      </c>
      <c r="B3230" s="2" t="str">
        <f>HYPERLINK("https://www.compass.com/building/300-e-64th-st-manhattan-ny-10065/282038617012979925/","300 E 64th St")</f>
        <v>300 E 64th St</v>
      </c>
      <c r="C3230" s="1" t="s">
        <v>82</v>
      </c>
      <c r="D3230" s="1" t="s">
        <v>41</v>
      </c>
      <c r="E3230" s="3">
        <v>955000</v>
      </c>
      <c r="F3230" s="1">
        <v>1508.6887835703001</v>
      </c>
      <c r="G3230" s="1">
        <v>3</v>
      </c>
      <c r="H3230" s="1">
        <v>1</v>
      </c>
      <c r="I3230" s="1">
        <v>1</v>
      </c>
      <c r="J3230" s="1">
        <v>1</v>
      </c>
      <c r="M3230" s="1">
        <v>633</v>
      </c>
      <c r="N3230" s="1">
        <v>713</v>
      </c>
      <c r="O3230" s="1">
        <v>1980</v>
      </c>
      <c r="P3230" s="1">
        <v>1267</v>
      </c>
      <c r="Q3230" s="1" t="s">
        <v>42</v>
      </c>
      <c r="S3230" s="1" t="s">
        <v>42</v>
      </c>
      <c r="T3230" s="1" t="s">
        <v>273</v>
      </c>
      <c r="U3230" s="1">
        <v>130</v>
      </c>
      <c r="V3230" s="5">
        <v>43642</v>
      </c>
      <c r="W3230" s="5">
        <v>43067</v>
      </c>
      <c r="X3230" s="1">
        <v>975000</v>
      </c>
      <c r="Y3230" s="1">
        <v>975000</v>
      </c>
      <c r="Z3230" s="5">
        <v>43197</v>
      </c>
      <c r="AA3230" s="1">
        <v>955000</v>
      </c>
      <c r="AB3230" s="1" t="s">
        <v>2056</v>
      </c>
      <c r="AC3230" s="5">
        <v>43221</v>
      </c>
      <c r="AF3230" s="1">
        <v>10065</v>
      </c>
      <c r="AI3230" s="1" t="s">
        <v>189</v>
      </c>
      <c r="AJ3230" s="1">
        <v>1996</v>
      </c>
      <c r="AK3230" s="1" t="s">
        <v>49</v>
      </c>
      <c r="AL3230" s="1">
        <v>103</v>
      </c>
    </row>
    <row r="3231" spans="1:38" x14ac:dyDescent="0.2">
      <c r="A3231" s="2" t="str">
        <f>HYPERLINK("https://www.compass.com/listing/180-east-88th-street-unit-9a-manhattan-ny-10128/29641174780219137/","180 E 88th St, Unit 9A")</f>
        <v>180 E 88th St, Unit 9A</v>
      </c>
      <c r="B3231" s="2" t="str">
        <f>HYPERLINK("https://www.compass.com/building/180-e-88th-st-manhattan-ny-10128/282058835781256373/","180 E 88th St")</f>
        <v>180 E 88th St</v>
      </c>
      <c r="C3231" s="1" t="s">
        <v>82</v>
      </c>
      <c r="D3231" s="1" t="s">
        <v>41</v>
      </c>
      <c r="E3231" s="3">
        <v>4220000</v>
      </c>
      <c r="F3231" s="1">
        <v>2031.7766008666299</v>
      </c>
      <c r="G3231" s="1">
        <v>5</v>
      </c>
      <c r="H3231" s="1">
        <v>3</v>
      </c>
      <c r="I3231" s="1">
        <v>4</v>
      </c>
      <c r="J3231" s="1">
        <v>3.5</v>
      </c>
      <c r="K3231" s="1">
        <v>3</v>
      </c>
      <c r="L3231" s="1">
        <v>1</v>
      </c>
      <c r="M3231" s="4">
        <v>2077</v>
      </c>
      <c r="N3231" s="1">
        <v>2991</v>
      </c>
      <c r="O3231" s="1">
        <v>5346</v>
      </c>
      <c r="P3231" s="1">
        <v>2355</v>
      </c>
      <c r="Q3231" s="1" t="s">
        <v>42</v>
      </c>
      <c r="S3231" s="1" t="s">
        <v>42</v>
      </c>
      <c r="T3231" s="1" t="s">
        <v>273</v>
      </c>
      <c r="U3231" s="1">
        <v>8</v>
      </c>
      <c r="V3231" s="5">
        <v>44260</v>
      </c>
      <c r="W3231" s="5">
        <v>44141</v>
      </c>
      <c r="Y3231" s="1">
        <v>4700000</v>
      </c>
      <c r="Z3231" s="5">
        <v>44149</v>
      </c>
      <c r="AA3231" s="1">
        <v>4220000</v>
      </c>
      <c r="AB3231" s="1" t="s">
        <v>2057</v>
      </c>
      <c r="AC3231" s="5">
        <v>44253</v>
      </c>
      <c r="AF3231" s="1">
        <v>10128</v>
      </c>
      <c r="AI3231" s="1" t="s">
        <v>135</v>
      </c>
      <c r="AJ3231" s="1">
        <v>2019</v>
      </c>
      <c r="AK3231" s="1" t="s">
        <v>49</v>
      </c>
      <c r="AL3231" s="1">
        <v>48</v>
      </c>
    </row>
    <row r="3232" spans="1:38" x14ac:dyDescent="0.2">
      <c r="A3232" s="2" t="str">
        <f>HYPERLINK("https://www.compass.com/listing/360-east-89th-street-unit-16a-manhattan-ny-10128/25369541915785649/","360 E 89th St, Unit 16A")</f>
        <v>360 E 89th St, Unit 16A</v>
      </c>
      <c r="B3232" s="2" t="str">
        <f t="shared" ref="B3232:B3235" si="548">HYPERLINK("https://www.compass.com/building/citizen360-manhattan-ny/282052027553444853/","Citizen360")</f>
        <v>Citizen360</v>
      </c>
      <c r="C3232" s="1" t="s">
        <v>82</v>
      </c>
      <c r="D3232" s="1" t="s">
        <v>41</v>
      </c>
      <c r="E3232" s="3">
        <v>3750000</v>
      </c>
      <c r="F3232" s="1">
        <v>1830.16105417276</v>
      </c>
      <c r="G3232" s="1">
        <v>6</v>
      </c>
      <c r="H3232" s="1">
        <v>3</v>
      </c>
      <c r="I3232" s="1">
        <v>3</v>
      </c>
      <c r="J3232" s="1">
        <v>3.5</v>
      </c>
      <c r="K3232" s="1">
        <v>3</v>
      </c>
      <c r="L3232" s="1">
        <v>1</v>
      </c>
      <c r="M3232" s="4">
        <v>2049</v>
      </c>
      <c r="N3232" s="1">
        <v>2013</v>
      </c>
      <c r="O3232" s="1">
        <v>4355</v>
      </c>
      <c r="P3232" s="1">
        <v>2342</v>
      </c>
      <c r="Q3232" s="1" t="s">
        <v>42</v>
      </c>
      <c r="S3232" s="1" t="s">
        <v>42</v>
      </c>
      <c r="T3232" s="1" t="s">
        <v>273</v>
      </c>
      <c r="U3232" s="1">
        <v>2</v>
      </c>
      <c r="V3232" s="5">
        <v>43641</v>
      </c>
      <c r="W3232" s="5">
        <v>43198</v>
      </c>
      <c r="X3232" s="1">
        <v>3890000</v>
      </c>
      <c r="Y3232" s="1">
        <v>3750000</v>
      </c>
      <c r="Z3232" s="5">
        <v>43200</v>
      </c>
      <c r="AA3232" s="1">
        <v>3750000</v>
      </c>
      <c r="AB3232" s="1" t="s">
        <v>2058</v>
      </c>
      <c r="AC3232" s="5">
        <v>43283</v>
      </c>
      <c r="AF3232" s="1">
        <v>10128</v>
      </c>
      <c r="AJ3232" s="1">
        <v>2017</v>
      </c>
      <c r="AK3232" s="1" t="s">
        <v>108</v>
      </c>
      <c r="AL3232" s="1">
        <v>82</v>
      </c>
    </row>
    <row r="3233" spans="1:38" x14ac:dyDescent="0.2">
      <c r="A3233" s="2" t="str">
        <f>HYPERLINK("https://www.compass.com/listing/360-east-89th-street-unit-22c-manhattan-ny-10128/29424462399066241/","360 E 89th St, Unit 22C")</f>
        <v>360 E 89th St, Unit 22C</v>
      </c>
      <c r="B3233" s="2" t="str">
        <f t="shared" si="548"/>
        <v>Citizen360</v>
      </c>
      <c r="C3233" s="1" t="s">
        <v>82</v>
      </c>
      <c r="D3233" s="1" t="s">
        <v>41</v>
      </c>
      <c r="E3233" s="3">
        <v>3138960</v>
      </c>
      <c r="F3233" s="1">
        <v>1889.8013245033101</v>
      </c>
      <c r="G3233" s="1">
        <v>4</v>
      </c>
      <c r="H3233" s="1">
        <v>2</v>
      </c>
      <c r="I3233" s="1">
        <v>2</v>
      </c>
      <c r="J3233" s="1">
        <v>2.5</v>
      </c>
      <c r="K3233" s="1">
        <v>2</v>
      </c>
      <c r="L3233" s="1">
        <v>1</v>
      </c>
      <c r="M3233" s="4">
        <v>1661</v>
      </c>
      <c r="N3233" s="1">
        <v>1678</v>
      </c>
      <c r="O3233" s="1">
        <v>3629</v>
      </c>
      <c r="P3233" s="1">
        <v>1951</v>
      </c>
      <c r="Q3233" s="1" t="s">
        <v>42</v>
      </c>
      <c r="S3233" s="1" t="s">
        <v>42</v>
      </c>
      <c r="T3233" s="1" t="s">
        <v>273</v>
      </c>
      <c r="V3233" s="5">
        <v>43659</v>
      </c>
      <c r="W3233" s="5">
        <v>42746</v>
      </c>
      <c r="X3233" s="1">
        <v>3155000</v>
      </c>
      <c r="Y3233" s="1">
        <v>3155000</v>
      </c>
      <c r="Z3233" s="5">
        <v>42746</v>
      </c>
      <c r="AA3233" s="1">
        <v>3138960</v>
      </c>
      <c r="AB3233" s="1" t="s">
        <v>2059</v>
      </c>
      <c r="AC3233" s="5">
        <v>43181</v>
      </c>
      <c r="AF3233" s="1">
        <v>10128</v>
      </c>
      <c r="AJ3233" s="1">
        <v>2017</v>
      </c>
      <c r="AK3233" s="1" t="s">
        <v>108</v>
      </c>
      <c r="AL3233" s="1">
        <v>82</v>
      </c>
    </row>
    <row r="3234" spans="1:38" x14ac:dyDescent="0.2">
      <c r="A3234" s="2" t="str">
        <f>HYPERLINK("https://www.compass.com/listing/360-east-89th-street-unit-23c-manhattan-ny-10128/29424463254771601/","360 E 89th St, Unit 23C")</f>
        <v>360 E 89th St, Unit 23C</v>
      </c>
      <c r="B3234" s="2" t="str">
        <f t="shared" si="548"/>
        <v>Citizen360</v>
      </c>
      <c r="C3234" s="1" t="s">
        <v>82</v>
      </c>
      <c r="D3234" s="1" t="s">
        <v>41</v>
      </c>
      <c r="E3234" s="3">
        <v>3150000</v>
      </c>
      <c r="F3234" s="1">
        <v>1896.4479229379799</v>
      </c>
      <c r="G3234" s="1">
        <v>4</v>
      </c>
      <c r="H3234" s="1">
        <v>2</v>
      </c>
      <c r="I3234" s="1">
        <v>2</v>
      </c>
      <c r="J3234" s="1">
        <v>2.5</v>
      </c>
      <c r="K3234" s="1">
        <v>2</v>
      </c>
      <c r="L3234" s="1">
        <v>1</v>
      </c>
      <c r="M3234" s="4">
        <v>1661</v>
      </c>
      <c r="N3234" s="1">
        <v>1686</v>
      </c>
      <c r="O3234" s="1">
        <v>3647</v>
      </c>
      <c r="P3234" s="1">
        <v>1961</v>
      </c>
      <c r="Q3234" s="1" t="s">
        <v>42</v>
      </c>
      <c r="S3234" s="1" t="s">
        <v>42</v>
      </c>
      <c r="T3234" s="1" t="s">
        <v>273</v>
      </c>
      <c r="V3234" s="5">
        <v>43647</v>
      </c>
      <c r="W3234" s="5">
        <v>42670</v>
      </c>
      <c r="X3234" s="1">
        <v>3180000</v>
      </c>
      <c r="Y3234" s="1">
        <v>3180000</v>
      </c>
      <c r="Z3234" s="5">
        <v>42670</v>
      </c>
      <c r="AA3234" s="1">
        <v>3150000</v>
      </c>
      <c r="AB3234" s="1" t="s">
        <v>2060</v>
      </c>
      <c r="AC3234" s="5">
        <v>43164</v>
      </c>
      <c r="AF3234" s="1">
        <v>10128</v>
      </c>
      <c r="AJ3234" s="1">
        <v>2017</v>
      </c>
      <c r="AK3234" s="1" t="s">
        <v>108</v>
      </c>
      <c r="AL3234" s="1">
        <v>82</v>
      </c>
    </row>
    <row r="3235" spans="1:38" x14ac:dyDescent="0.2">
      <c r="A3235" s="2" t="str">
        <f>HYPERLINK("https://www.compass.com/listing/360-east-89th-street-unit-12a-manhattan-ny-10128/29424455067422769/","360 E 89th St, Unit 12A")</f>
        <v>360 E 89th St, Unit 12A</v>
      </c>
      <c r="B3235" s="2" t="str">
        <f t="shared" si="548"/>
        <v>Citizen360</v>
      </c>
      <c r="C3235" s="1" t="s">
        <v>82</v>
      </c>
      <c r="D3235" s="1" t="s">
        <v>41</v>
      </c>
      <c r="E3235" s="3">
        <v>3610000</v>
      </c>
      <c r="F3235" s="1">
        <v>1761.83504148365</v>
      </c>
      <c r="G3235" s="1">
        <v>5</v>
      </c>
      <c r="H3235" s="1">
        <v>3</v>
      </c>
      <c r="I3235" s="1">
        <v>3</v>
      </c>
      <c r="J3235" s="1">
        <v>3.5</v>
      </c>
      <c r="K3235" s="1">
        <v>3</v>
      </c>
      <c r="L3235" s="1">
        <v>1</v>
      </c>
      <c r="M3235" s="4">
        <v>2049</v>
      </c>
      <c r="N3235" s="1">
        <v>1985</v>
      </c>
      <c r="O3235" s="1">
        <v>4294</v>
      </c>
      <c r="P3235" s="1">
        <v>2309</v>
      </c>
      <c r="Q3235" s="1" t="s">
        <v>42</v>
      </c>
      <c r="S3235" s="1" t="s">
        <v>42</v>
      </c>
      <c r="T3235" s="1" t="s">
        <v>273</v>
      </c>
      <c r="U3235" s="1">
        <v>106</v>
      </c>
      <c r="V3235" s="5">
        <v>43649</v>
      </c>
      <c r="W3235" s="5">
        <v>42565</v>
      </c>
      <c r="X3235" s="1">
        <v>3685000</v>
      </c>
      <c r="Y3235" s="1">
        <v>3685000</v>
      </c>
      <c r="Z3235" s="5">
        <v>42756</v>
      </c>
      <c r="AA3235" s="1">
        <v>3610000</v>
      </c>
      <c r="AB3235" s="1" t="s">
        <v>2061</v>
      </c>
      <c r="AC3235" s="5">
        <v>43035</v>
      </c>
      <c r="AF3235" s="1">
        <v>10128</v>
      </c>
      <c r="AJ3235" s="1">
        <v>2017</v>
      </c>
      <c r="AK3235" s="1" t="s">
        <v>108</v>
      </c>
      <c r="AL3235" s="1">
        <v>82</v>
      </c>
    </row>
    <row r="3236" spans="1:38" x14ac:dyDescent="0.2">
      <c r="A3236" s="2" t="str">
        <f>HYPERLINK("https://www.compass.com/listing/200-east-94th-street-unit-226-manhattan-ny-10128/29669368220628449/","200 E 94th St, Unit 226")</f>
        <v>200 E 94th St, Unit 226</v>
      </c>
      <c r="B3236" s="2" t="str">
        <f t="shared" ref="B3236:B3238" si="549">HYPERLINK("https://www.compass.com/building/carnegie-park-condominium-manhattan-ny/282049797358118613/","Carnegie Park Condominium")</f>
        <v>Carnegie Park Condominium</v>
      </c>
      <c r="C3236" s="1" t="s">
        <v>82</v>
      </c>
      <c r="D3236" s="1" t="s">
        <v>41</v>
      </c>
      <c r="E3236" s="3">
        <v>936738</v>
      </c>
      <c r="F3236" s="1">
        <v>1330.59384943181</v>
      </c>
      <c r="H3236" s="1">
        <v>1</v>
      </c>
      <c r="J3236" s="1">
        <v>1</v>
      </c>
      <c r="M3236" s="1">
        <v>704</v>
      </c>
      <c r="N3236" s="1">
        <v>762</v>
      </c>
      <c r="O3236" s="1">
        <v>1590</v>
      </c>
      <c r="P3236" s="1">
        <v>828</v>
      </c>
      <c r="Q3236" s="1" t="s">
        <v>42</v>
      </c>
      <c r="S3236" s="1" t="s">
        <v>42</v>
      </c>
      <c r="T3236" s="1" t="s">
        <v>273</v>
      </c>
      <c r="AA3236" s="1">
        <v>936738.07</v>
      </c>
      <c r="AB3236" s="1" t="s">
        <v>2062</v>
      </c>
      <c r="AC3236" s="5">
        <v>42570</v>
      </c>
      <c r="AF3236" s="1">
        <v>10128</v>
      </c>
      <c r="AI3236" s="1" t="s">
        <v>163</v>
      </c>
      <c r="AJ3236" s="1">
        <v>1986</v>
      </c>
      <c r="AK3236" s="1" t="s">
        <v>55</v>
      </c>
      <c r="AL3236" s="1">
        <v>287</v>
      </c>
    </row>
    <row r="3237" spans="1:38" x14ac:dyDescent="0.2">
      <c r="A3237" s="2" t="str">
        <f>HYPERLINK("https://www.compass.com/listing/200-east-94th-street-unit-1116-manhattan-ny-10128/70921628883696353/","200 E 94th St, Unit 1116")</f>
        <v>200 E 94th St, Unit 1116</v>
      </c>
      <c r="B3237" s="2" t="str">
        <f t="shared" si="549"/>
        <v>Carnegie Park Condominium</v>
      </c>
      <c r="C3237" s="1" t="s">
        <v>82</v>
      </c>
      <c r="D3237" s="1" t="s">
        <v>41</v>
      </c>
      <c r="E3237" s="3">
        <v>940234</v>
      </c>
      <c r="F3237" s="1">
        <v>1335.56021306818</v>
      </c>
      <c r="H3237" s="1">
        <v>1</v>
      </c>
      <c r="J3237" s="1">
        <v>1</v>
      </c>
      <c r="M3237" s="1">
        <v>704</v>
      </c>
      <c r="N3237" s="1">
        <v>782</v>
      </c>
      <c r="O3237" s="1">
        <v>1613</v>
      </c>
      <c r="P3237" s="1">
        <v>831</v>
      </c>
      <c r="Q3237" s="1" t="s">
        <v>42</v>
      </c>
      <c r="S3237" s="1" t="s">
        <v>42</v>
      </c>
      <c r="T3237" s="1" t="s">
        <v>273</v>
      </c>
      <c r="AA3237" s="1">
        <v>940234.39</v>
      </c>
      <c r="AB3237" s="1" t="s">
        <v>2063</v>
      </c>
      <c r="AC3237" s="5">
        <v>42404</v>
      </c>
      <c r="AF3237" s="1">
        <v>10128</v>
      </c>
      <c r="AI3237" s="1" t="s">
        <v>163</v>
      </c>
      <c r="AJ3237" s="1">
        <v>1986</v>
      </c>
      <c r="AK3237" s="1" t="s">
        <v>55</v>
      </c>
      <c r="AL3237" s="1">
        <v>287</v>
      </c>
    </row>
    <row r="3238" spans="1:38" x14ac:dyDescent="0.2">
      <c r="A3238" s="2" t="str">
        <f>HYPERLINK("https://www.compass.com/listing/200-east-94th-street-unit-417-manhattan-ny-10128/441218739682342761/","200 E 94th St, Unit 417")</f>
        <v>200 E 94th St, Unit 417</v>
      </c>
      <c r="B3238" s="2" t="str">
        <f t="shared" si="549"/>
        <v>Carnegie Park Condominium</v>
      </c>
      <c r="C3238" s="1" t="s">
        <v>82</v>
      </c>
      <c r="D3238" s="1" t="s">
        <v>41</v>
      </c>
      <c r="E3238" s="3">
        <v>2919148</v>
      </c>
      <c r="F3238" s="1">
        <v>1624.4561992209201</v>
      </c>
      <c r="G3238" s="1">
        <v>5</v>
      </c>
      <c r="H3238" s="1">
        <v>3</v>
      </c>
      <c r="I3238" s="1">
        <v>4</v>
      </c>
      <c r="J3238" s="1">
        <v>4</v>
      </c>
      <c r="K3238" s="1">
        <v>4</v>
      </c>
      <c r="M3238" s="4">
        <v>1797</v>
      </c>
      <c r="N3238" s="1">
        <v>2074</v>
      </c>
      <c r="O3238" s="1">
        <v>4251</v>
      </c>
      <c r="P3238" s="1">
        <v>2177</v>
      </c>
      <c r="Q3238" s="1" t="s">
        <v>42</v>
      </c>
      <c r="S3238" s="1" t="s">
        <v>42</v>
      </c>
      <c r="T3238" s="1" t="s">
        <v>273</v>
      </c>
      <c r="V3238" s="5">
        <v>44282</v>
      </c>
      <c r="W3238" s="5">
        <v>43860</v>
      </c>
      <c r="X3238" s="1">
        <v>2995000</v>
      </c>
      <c r="Y3238" s="1">
        <v>2995000</v>
      </c>
      <c r="Z3238" s="5">
        <v>43860</v>
      </c>
      <c r="AA3238" s="1">
        <v>2919147.79</v>
      </c>
      <c r="AB3238" s="1" t="s">
        <v>2064</v>
      </c>
      <c r="AC3238" s="5">
        <v>44244</v>
      </c>
      <c r="AF3238" s="1">
        <v>10128</v>
      </c>
      <c r="AI3238" s="1" t="s">
        <v>185</v>
      </c>
      <c r="AJ3238" s="1">
        <v>1986</v>
      </c>
      <c r="AK3238" s="1" t="s">
        <v>108</v>
      </c>
      <c r="AL3238" s="1">
        <v>287</v>
      </c>
    </row>
    <row r="3239" spans="1:38" x14ac:dyDescent="0.2">
      <c r="A3239" s="2" t="str">
        <f>HYPERLINK("https://www.compass.com/listing/277-5th-avenue-unit-40c-manhattan-ny-10016/801526493460387705/","277 5th Ave, Unit 40C")</f>
        <v>277 5th Ave, Unit 40C</v>
      </c>
      <c r="B3239" s="2" t="str">
        <f>HYPERLINK("https://www.compass.com/building/277-fifth-avenue-manhattan-ny/281939285475645317/","277 FIFTH AVENUE")</f>
        <v>277 FIFTH AVENUE</v>
      </c>
      <c r="C3239" s="1" t="s">
        <v>40</v>
      </c>
      <c r="D3239" s="1" t="s">
        <v>41</v>
      </c>
      <c r="E3239" s="3">
        <v>3800000</v>
      </c>
      <c r="F3239" s="1">
        <v>2720.1145311381501</v>
      </c>
      <c r="G3239" s="1">
        <v>4</v>
      </c>
      <c r="H3239" s="1">
        <v>2</v>
      </c>
      <c r="I3239" s="1">
        <v>2</v>
      </c>
      <c r="J3239" s="1">
        <v>2</v>
      </c>
      <c r="K3239" s="1">
        <v>2</v>
      </c>
      <c r="M3239" s="4">
        <v>1397</v>
      </c>
      <c r="N3239" s="1">
        <v>2011</v>
      </c>
      <c r="O3239" s="1">
        <v>3795</v>
      </c>
      <c r="P3239" s="1">
        <v>1784</v>
      </c>
      <c r="Q3239" s="1" t="s">
        <v>42</v>
      </c>
      <c r="S3239" s="1" t="s">
        <v>42</v>
      </c>
      <c r="T3239" s="1" t="s">
        <v>273</v>
      </c>
      <c r="V3239" s="5">
        <v>44419</v>
      </c>
      <c r="W3239" s="5">
        <v>44357</v>
      </c>
      <c r="X3239" s="1">
        <v>4475000</v>
      </c>
      <c r="Y3239" s="1">
        <v>4475000</v>
      </c>
      <c r="Z3239" s="5">
        <v>44358</v>
      </c>
      <c r="AA3239" s="1">
        <v>3800000</v>
      </c>
      <c r="AB3239" s="1" t="s">
        <v>2065</v>
      </c>
      <c r="AC3239" s="5">
        <v>44361</v>
      </c>
      <c r="AF3239" s="1">
        <v>10016</v>
      </c>
      <c r="AI3239" s="1" t="s">
        <v>118</v>
      </c>
      <c r="AJ3239" s="1">
        <v>2019</v>
      </c>
      <c r="AK3239" s="1" t="s">
        <v>49</v>
      </c>
      <c r="AL3239" s="1">
        <v>130</v>
      </c>
    </row>
    <row r="3240" spans="1:38" x14ac:dyDescent="0.2">
      <c r="A3240" s="2" t="str">
        <f>HYPERLINK("https://www.compass.com/listing/180-east-88th-street-unit-32b-manhattan-ny-10128/608709294273245409/","180 E 88th St, Unit 32B")</f>
        <v>180 E 88th St, Unit 32B</v>
      </c>
      <c r="B3240" s="2" t="str">
        <f t="shared" ref="B3240:B3241" si="550">HYPERLINK("https://www.compass.com/building/180-e-88th-st-manhattan-ny-10128/282058835781256373/","180 E 88th St")</f>
        <v>180 E 88th St</v>
      </c>
      <c r="C3240" s="1" t="s">
        <v>82</v>
      </c>
      <c r="D3240" s="1" t="s">
        <v>41</v>
      </c>
      <c r="E3240" s="3">
        <v>7025000</v>
      </c>
      <c r="F3240" s="1">
        <v>2941.7922948073701</v>
      </c>
      <c r="G3240" s="1">
        <v>7.5</v>
      </c>
      <c r="H3240" s="1">
        <v>4</v>
      </c>
      <c r="I3240" s="1">
        <v>4</v>
      </c>
      <c r="J3240" s="1">
        <v>3.5</v>
      </c>
      <c r="K3240" s="1">
        <v>3</v>
      </c>
      <c r="L3240" s="1">
        <v>1</v>
      </c>
      <c r="M3240" s="4">
        <v>2388</v>
      </c>
      <c r="N3240" s="1">
        <v>3766</v>
      </c>
      <c r="O3240" s="1">
        <v>6731</v>
      </c>
      <c r="P3240" s="1">
        <v>2965</v>
      </c>
      <c r="Q3240" s="1" t="s">
        <v>42</v>
      </c>
      <c r="S3240" s="1" t="s">
        <v>42</v>
      </c>
      <c r="T3240" s="1" t="s">
        <v>273</v>
      </c>
      <c r="U3240" s="1">
        <v>4</v>
      </c>
      <c r="V3240" s="5">
        <v>44230</v>
      </c>
      <c r="W3240" s="5">
        <v>44091</v>
      </c>
      <c r="X3240" s="1">
        <v>7875000</v>
      </c>
      <c r="Y3240" s="1">
        <v>7875000</v>
      </c>
      <c r="Z3240" s="5">
        <v>44095</v>
      </c>
      <c r="AA3240" s="1">
        <v>7025000</v>
      </c>
      <c r="AB3240" s="1" t="s">
        <v>2066</v>
      </c>
      <c r="AC3240" s="5">
        <v>44165</v>
      </c>
      <c r="AF3240" s="1">
        <v>10128</v>
      </c>
      <c r="AJ3240" s="1">
        <v>2019</v>
      </c>
      <c r="AK3240" s="1" t="s">
        <v>49</v>
      </c>
      <c r="AL3240" s="1">
        <v>48</v>
      </c>
    </row>
    <row r="3241" spans="1:38" x14ac:dyDescent="0.2">
      <c r="A3241" s="2" t="str">
        <f>HYPERLINK("https://www.compass.com/listing/180-east-88th-street-unit-18b-manhattan-ny-10128/29509494270640113/","180 E 88th St, Unit 18B")</f>
        <v>180 E 88th St, Unit 18B</v>
      </c>
      <c r="B3241" s="2" t="str">
        <f t="shared" si="550"/>
        <v>180 E 88th St</v>
      </c>
      <c r="C3241" s="1" t="s">
        <v>82</v>
      </c>
      <c r="D3241" s="1" t="s">
        <v>41</v>
      </c>
      <c r="E3241" s="3">
        <v>6500000</v>
      </c>
      <c r="F3241" s="1">
        <v>2742.6160337552701</v>
      </c>
      <c r="G3241" s="1">
        <v>7</v>
      </c>
      <c r="H3241" s="1">
        <v>4</v>
      </c>
      <c r="I3241" s="1">
        <v>4</v>
      </c>
      <c r="J3241" s="1">
        <v>3.5</v>
      </c>
      <c r="K3241" s="1">
        <v>3</v>
      </c>
      <c r="L3241" s="1">
        <v>1</v>
      </c>
      <c r="M3241" s="4">
        <v>2370</v>
      </c>
      <c r="N3241" s="1">
        <v>3529</v>
      </c>
      <c r="O3241" s="1">
        <v>7362</v>
      </c>
      <c r="P3241" s="1">
        <v>3833</v>
      </c>
      <c r="Q3241" s="1" t="s">
        <v>42</v>
      </c>
      <c r="S3241" s="1" t="s">
        <v>42</v>
      </c>
      <c r="T3241" s="1" t="s">
        <v>273</v>
      </c>
      <c r="U3241" s="1">
        <v>10</v>
      </c>
      <c r="V3241" s="5">
        <v>43834</v>
      </c>
      <c r="W3241" s="5">
        <v>42766</v>
      </c>
      <c r="X3241" s="1">
        <v>6500000</v>
      </c>
      <c r="Y3241" s="1">
        <v>6500000</v>
      </c>
      <c r="Z3241" s="5">
        <v>42776</v>
      </c>
      <c r="AA3241" s="1">
        <v>6500000</v>
      </c>
      <c r="AB3241" s="1" t="s">
        <v>2067</v>
      </c>
      <c r="AC3241" s="5">
        <v>43822</v>
      </c>
      <c r="AF3241" s="1">
        <v>10128</v>
      </c>
      <c r="AJ3241" s="1">
        <v>2019</v>
      </c>
      <c r="AK3241" s="1" t="s">
        <v>49</v>
      </c>
      <c r="AL3241" s="1">
        <v>48</v>
      </c>
    </row>
    <row r="3242" spans="1:38" x14ac:dyDescent="0.2">
      <c r="A3242" s="2" t="str">
        <f>HYPERLINK("https://www.compass.com/listing/360-east-89th-street-unit-20a-manhattan-ny-10128/29424460100654945/","360 E 89th St, Unit 20A")</f>
        <v>360 E 89th St, Unit 20A</v>
      </c>
      <c r="B3242" s="2" t="str">
        <f t="shared" ref="B3242:B3247" si="551">HYPERLINK("https://www.compass.com/building/citizen360-manhattan-ny/282052027553444853/","Citizen360")</f>
        <v>Citizen360</v>
      </c>
      <c r="C3242" s="1" t="s">
        <v>82</v>
      </c>
      <c r="D3242" s="1" t="s">
        <v>41</v>
      </c>
      <c r="E3242" s="3">
        <v>3850000</v>
      </c>
      <c r="F3242" s="1">
        <v>1878.9653489507</v>
      </c>
      <c r="G3242" s="1">
        <v>5</v>
      </c>
      <c r="H3242" s="1">
        <v>3</v>
      </c>
      <c r="I3242" s="1">
        <v>3</v>
      </c>
      <c r="J3242" s="1">
        <v>3.5</v>
      </c>
      <c r="K3242" s="1">
        <v>3</v>
      </c>
      <c r="L3242" s="1">
        <v>1</v>
      </c>
      <c r="M3242" s="4">
        <v>2049</v>
      </c>
      <c r="N3242" s="1">
        <v>2051</v>
      </c>
      <c r="O3242" s="1">
        <v>4437</v>
      </c>
      <c r="P3242" s="1">
        <v>2386</v>
      </c>
      <c r="Q3242" s="1" t="s">
        <v>42</v>
      </c>
      <c r="S3242" s="1" t="s">
        <v>42</v>
      </c>
      <c r="T3242" s="1" t="s">
        <v>273</v>
      </c>
      <c r="V3242" s="5">
        <v>43641</v>
      </c>
      <c r="W3242" s="5">
        <v>43162</v>
      </c>
      <c r="X3242" s="1">
        <v>4030000</v>
      </c>
      <c r="Y3242" s="1">
        <v>4030000</v>
      </c>
      <c r="Z3242" s="5">
        <v>43162</v>
      </c>
      <c r="AA3242" s="1">
        <v>3850000</v>
      </c>
      <c r="AB3242" s="1" t="s">
        <v>2068</v>
      </c>
      <c r="AC3242" s="5">
        <v>43188</v>
      </c>
      <c r="AF3242" s="1">
        <v>10128</v>
      </c>
      <c r="AJ3242" s="1">
        <v>2017</v>
      </c>
      <c r="AK3242" s="1" t="s">
        <v>108</v>
      </c>
      <c r="AL3242" s="1">
        <v>82</v>
      </c>
    </row>
    <row r="3243" spans="1:38" x14ac:dyDescent="0.2">
      <c r="A3243" s="2" t="str">
        <f>HYPERLINK("https://www.compass.com/listing/360-east-89th-street-unit-28b-manhattan-ny-10128/29424465595180481/","360 E 89th St, Unit 28B")</f>
        <v>360 E 89th St, Unit 28B</v>
      </c>
      <c r="B3243" s="2" t="str">
        <f t="shared" si="551"/>
        <v>Citizen360</v>
      </c>
      <c r="C3243" s="1" t="s">
        <v>82</v>
      </c>
      <c r="D3243" s="1" t="s">
        <v>41</v>
      </c>
      <c r="E3243" s="3">
        <v>5200000</v>
      </c>
      <c r="F3243" s="1">
        <v>2151.42738932561</v>
      </c>
      <c r="G3243" s="1">
        <v>5.5</v>
      </c>
      <c r="H3243" s="1">
        <v>3</v>
      </c>
      <c r="I3243" s="1">
        <v>3</v>
      </c>
      <c r="J3243" s="1">
        <v>3.5</v>
      </c>
      <c r="K3243" s="1">
        <v>3</v>
      </c>
      <c r="L3243" s="1">
        <v>1</v>
      </c>
      <c r="M3243" s="4">
        <v>2417</v>
      </c>
      <c r="N3243" s="1">
        <v>2509</v>
      </c>
      <c r="O3243" s="1">
        <v>5427</v>
      </c>
      <c r="P3243" s="1">
        <v>2918</v>
      </c>
      <c r="Q3243" s="1" t="s">
        <v>42</v>
      </c>
      <c r="S3243" s="1" t="s">
        <v>42</v>
      </c>
      <c r="T3243" s="1" t="s">
        <v>273</v>
      </c>
      <c r="U3243" s="1">
        <v>67</v>
      </c>
      <c r="V3243" s="5">
        <v>43694</v>
      </c>
      <c r="W3243" s="5">
        <v>42889</v>
      </c>
      <c r="X3243" s="1">
        <v>5375000</v>
      </c>
      <c r="Y3243" s="1">
        <v>5375000</v>
      </c>
      <c r="Z3243" s="5">
        <v>42956</v>
      </c>
      <c r="AA3243" s="1">
        <v>5200000</v>
      </c>
      <c r="AB3243" s="1" t="s">
        <v>2069</v>
      </c>
      <c r="AC3243" s="5">
        <v>43202</v>
      </c>
      <c r="AF3243" s="1">
        <v>10128</v>
      </c>
      <c r="AJ3243" s="1">
        <v>2017</v>
      </c>
      <c r="AK3243" s="1" t="s">
        <v>108</v>
      </c>
      <c r="AL3243" s="1">
        <v>82</v>
      </c>
    </row>
    <row r="3244" spans="1:38" x14ac:dyDescent="0.2">
      <c r="A3244" s="2" t="str">
        <f>HYPERLINK("https://www.compass.com/listing/360-east-89th-street-unit-30b-manhattan-ny-10128/29514382379712385/","360 E 89th St, Unit 30B")</f>
        <v>360 E 89th St, Unit 30B</v>
      </c>
      <c r="B3244" s="2" t="str">
        <f t="shared" si="551"/>
        <v>Citizen360</v>
      </c>
      <c r="C3244" s="1" t="s">
        <v>82</v>
      </c>
      <c r="D3244" s="1" t="s">
        <v>41</v>
      </c>
      <c r="E3244" s="3">
        <v>5399475</v>
      </c>
      <c r="F3244" s="1">
        <v>2233.9573851882501</v>
      </c>
      <c r="G3244" s="1">
        <v>5</v>
      </c>
      <c r="H3244" s="1">
        <v>3</v>
      </c>
      <c r="I3244" s="1">
        <v>3</v>
      </c>
      <c r="J3244" s="1">
        <v>3.5</v>
      </c>
      <c r="K3244" s="1">
        <v>3</v>
      </c>
      <c r="L3244" s="1">
        <v>1</v>
      </c>
      <c r="M3244" s="4">
        <v>2417</v>
      </c>
      <c r="N3244" s="1">
        <v>2531</v>
      </c>
      <c r="O3244" s="1">
        <v>3891</v>
      </c>
      <c r="P3244" s="1">
        <v>1360</v>
      </c>
      <c r="Q3244" s="1" t="s">
        <v>42</v>
      </c>
      <c r="S3244" s="1" t="s">
        <v>42</v>
      </c>
      <c r="T3244" s="1" t="s">
        <v>273</v>
      </c>
      <c r="U3244" s="1">
        <v>171</v>
      </c>
      <c r="V3244" s="5">
        <v>43637</v>
      </c>
      <c r="W3244" s="5">
        <v>43120</v>
      </c>
      <c r="X3244" s="1">
        <v>5475000</v>
      </c>
      <c r="Y3244" s="1">
        <v>5300000</v>
      </c>
      <c r="Z3244" s="5">
        <v>43291</v>
      </c>
      <c r="AA3244" s="1">
        <v>5399475</v>
      </c>
      <c r="AB3244" s="1" t="s">
        <v>2070</v>
      </c>
      <c r="AC3244" s="5">
        <v>43321</v>
      </c>
      <c r="AF3244" s="1">
        <v>10128</v>
      </c>
      <c r="AJ3244" s="1">
        <v>2017</v>
      </c>
      <c r="AK3244" s="1" t="s">
        <v>46</v>
      </c>
      <c r="AL3244" s="1">
        <v>82</v>
      </c>
    </row>
    <row r="3245" spans="1:38" x14ac:dyDescent="0.2">
      <c r="A3245" s="2" t="str">
        <f>HYPERLINK("https://www.compass.com/listing/360-east-89th-street-unit-25b-manhattan-ny-10128/29514382966860369/","360 E 89th St, Unit 25B")</f>
        <v>360 E 89th St, Unit 25B</v>
      </c>
      <c r="B3245" s="2" t="str">
        <f t="shared" si="551"/>
        <v>Citizen360</v>
      </c>
      <c r="C3245" s="1" t="s">
        <v>82</v>
      </c>
      <c r="D3245" s="1" t="s">
        <v>41</v>
      </c>
      <c r="E3245" s="3">
        <v>5100000</v>
      </c>
      <c r="F3245" s="1">
        <v>2110.05378568473</v>
      </c>
      <c r="G3245" s="1">
        <v>5</v>
      </c>
      <c r="H3245" s="1">
        <v>3</v>
      </c>
      <c r="I3245" s="1">
        <v>3</v>
      </c>
      <c r="J3245" s="1">
        <v>3.5</v>
      </c>
      <c r="K3245" s="1">
        <v>3</v>
      </c>
      <c r="L3245" s="1">
        <v>1</v>
      </c>
      <c r="M3245" s="4">
        <v>2417</v>
      </c>
      <c r="N3245" s="1">
        <v>2475</v>
      </c>
      <c r="O3245" s="1">
        <v>3805</v>
      </c>
      <c r="P3245" s="1">
        <v>1330</v>
      </c>
      <c r="Q3245" s="1" t="s">
        <v>42</v>
      </c>
      <c r="S3245" s="1" t="s">
        <v>42</v>
      </c>
      <c r="T3245" s="1" t="s">
        <v>273</v>
      </c>
      <c r="V3245" s="5">
        <v>43675</v>
      </c>
      <c r="W3245" s="5">
        <v>43271</v>
      </c>
      <c r="X3245" s="1">
        <v>5225000</v>
      </c>
      <c r="Y3245" s="1">
        <v>5225000</v>
      </c>
      <c r="Z3245" s="5">
        <v>43271</v>
      </c>
      <c r="AA3245" s="1">
        <v>5100000</v>
      </c>
      <c r="AB3245" s="1" t="s">
        <v>2071</v>
      </c>
      <c r="AC3245" s="5">
        <v>43332</v>
      </c>
      <c r="AF3245" s="1">
        <v>10128</v>
      </c>
      <c r="AJ3245" s="1">
        <v>2017</v>
      </c>
      <c r="AK3245" s="1" t="s">
        <v>46</v>
      </c>
      <c r="AL3245" s="1">
        <v>82</v>
      </c>
    </row>
    <row r="3246" spans="1:38" x14ac:dyDescent="0.2">
      <c r="A3246" s="2" t="str">
        <f>HYPERLINK("https://www.compass.com/listing/360-east-89th-street-unit-31b-manhattan-ny-10128/29580295573340801/","360 E 89th St, Unit 31B")</f>
        <v>360 E 89th St, Unit 31B</v>
      </c>
      <c r="B3246" s="2" t="str">
        <f t="shared" si="551"/>
        <v>Citizen360</v>
      </c>
      <c r="C3246" s="1" t="s">
        <v>82</v>
      </c>
      <c r="D3246" s="1" t="s">
        <v>41</v>
      </c>
      <c r="E3246" s="3">
        <v>5000000</v>
      </c>
      <c r="F3246" s="1">
        <v>2068.68018204385</v>
      </c>
      <c r="G3246" s="1">
        <v>5</v>
      </c>
      <c r="H3246" s="1">
        <v>3</v>
      </c>
      <c r="I3246" s="1">
        <v>4</v>
      </c>
      <c r="J3246" s="1">
        <v>3.5</v>
      </c>
      <c r="K3246" s="1">
        <v>3</v>
      </c>
      <c r="L3246" s="1">
        <v>1</v>
      </c>
      <c r="M3246" s="4">
        <v>2417</v>
      </c>
      <c r="N3246" s="1">
        <v>2542</v>
      </c>
      <c r="O3246" s="1">
        <v>3908</v>
      </c>
      <c r="P3246" s="1">
        <v>1366</v>
      </c>
      <c r="Q3246" s="1" t="s">
        <v>42</v>
      </c>
      <c r="S3246" s="1" t="s">
        <v>42</v>
      </c>
      <c r="T3246" s="1" t="s">
        <v>273</v>
      </c>
      <c r="U3246" s="1">
        <v>289</v>
      </c>
      <c r="V3246" s="5">
        <v>43632</v>
      </c>
      <c r="W3246" s="5">
        <v>43286</v>
      </c>
      <c r="X3246" s="1">
        <v>5475000</v>
      </c>
      <c r="Y3246" s="1">
        <v>5325000</v>
      </c>
      <c r="Z3246" s="5">
        <v>43576</v>
      </c>
      <c r="AA3246" s="1">
        <v>5000000</v>
      </c>
      <c r="AB3246" s="1" t="s">
        <v>2072</v>
      </c>
      <c r="AC3246" s="5">
        <v>43581</v>
      </c>
      <c r="AF3246" s="1">
        <v>10128</v>
      </c>
      <c r="AJ3246" s="1">
        <v>2017</v>
      </c>
      <c r="AK3246" s="1" t="s">
        <v>108</v>
      </c>
      <c r="AL3246" s="1">
        <v>82</v>
      </c>
    </row>
    <row r="3247" spans="1:38" x14ac:dyDescent="0.2">
      <c r="A3247" s="2" t="str">
        <f>HYPERLINK("https://www.compass.com/listing/360-east-89th-street-unit-15a-manhattan-ny-10128/29424457407911729/","360 E 89th St, Unit 15A")</f>
        <v>360 E 89th St, Unit 15A</v>
      </c>
      <c r="B3247" s="2" t="str">
        <f t="shared" si="551"/>
        <v>Citizen360</v>
      </c>
      <c r="C3247" s="1" t="s">
        <v>82</v>
      </c>
      <c r="D3247" s="1" t="s">
        <v>41</v>
      </c>
      <c r="E3247" s="3">
        <v>3755000</v>
      </c>
      <c r="F3247" s="1">
        <v>1832.6012689116601</v>
      </c>
      <c r="G3247" s="1">
        <v>5.5</v>
      </c>
      <c r="H3247" s="1">
        <v>3</v>
      </c>
      <c r="I3247" s="1">
        <v>3</v>
      </c>
      <c r="J3247" s="1">
        <v>3.5</v>
      </c>
      <c r="K3247" s="1">
        <v>3</v>
      </c>
      <c r="L3247" s="1">
        <v>1</v>
      </c>
      <c r="M3247" s="4">
        <v>2049</v>
      </c>
      <c r="N3247" s="1">
        <v>2004</v>
      </c>
      <c r="O3247" s="1">
        <v>4335</v>
      </c>
      <c r="P3247" s="1">
        <v>2331</v>
      </c>
      <c r="Q3247" s="1" t="s">
        <v>42</v>
      </c>
      <c r="S3247" s="1" t="s">
        <v>42</v>
      </c>
      <c r="T3247" s="1" t="s">
        <v>273</v>
      </c>
      <c r="U3247" s="1">
        <v>2</v>
      </c>
      <c r="V3247" s="5">
        <v>43649</v>
      </c>
      <c r="W3247" s="5">
        <v>42830</v>
      </c>
      <c r="X3247" s="1">
        <v>3755000</v>
      </c>
      <c r="Y3247" s="1">
        <v>3755000</v>
      </c>
      <c r="Z3247" s="5">
        <v>42832</v>
      </c>
      <c r="AA3247" s="1">
        <v>3755000</v>
      </c>
      <c r="AB3247" s="1" t="s">
        <v>2073</v>
      </c>
      <c r="AC3247" s="5">
        <v>43031</v>
      </c>
      <c r="AF3247" s="1">
        <v>10128</v>
      </c>
      <c r="AJ3247" s="1">
        <v>2017</v>
      </c>
      <c r="AK3247" s="1" t="s">
        <v>108</v>
      </c>
      <c r="AL3247" s="1">
        <v>82</v>
      </c>
    </row>
    <row r="3248" spans="1:38" x14ac:dyDescent="0.2">
      <c r="A3248" s="2" t="str">
        <f>HYPERLINK("https://www.compass.com/listing/200-east-94th-street-unit-525-manhattan-ny-10128/29423438712085873/","200 E 94th St, Unit 525")</f>
        <v>200 E 94th St, Unit 525</v>
      </c>
      <c r="B3248" s="2" t="str">
        <f>HYPERLINK("https://www.compass.com/building/carnegie-park-condominium-manhattan-ny/282049797358118613/","Carnegie Park Condominium")</f>
        <v>Carnegie Park Condominium</v>
      </c>
      <c r="C3248" s="1" t="s">
        <v>82</v>
      </c>
      <c r="D3248" s="1" t="s">
        <v>41</v>
      </c>
      <c r="E3248" s="3">
        <v>945278</v>
      </c>
      <c r="F3248" s="1">
        <v>1338.92086402266</v>
      </c>
      <c r="M3248" s="1">
        <v>706</v>
      </c>
      <c r="Q3248" s="1" t="s">
        <v>42</v>
      </c>
      <c r="S3248" s="1" t="s">
        <v>42</v>
      </c>
      <c r="T3248" s="1" t="s">
        <v>273</v>
      </c>
      <c r="AA3248" s="1">
        <v>945278.13</v>
      </c>
      <c r="AB3248" s="1" t="s">
        <v>2074</v>
      </c>
      <c r="AC3248" s="5">
        <v>42440</v>
      </c>
      <c r="AF3248" s="1">
        <v>10128</v>
      </c>
      <c r="AI3248" s="1" t="s">
        <v>163</v>
      </c>
      <c r="AJ3248" s="1">
        <v>1986</v>
      </c>
      <c r="AK3248" s="1" t="s">
        <v>55</v>
      </c>
      <c r="AL3248" s="1">
        <v>287</v>
      </c>
    </row>
    <row r="3249" spans="1:38" x14ac:dyDescent="0.2">
      <c r="A3249" s="2" t="str">
        <f>HYPERLINK("https://www.compass.com/listing/180-east-88th-street-unit-38e-manhattan-ny-10128/29509493440167889/","180 E 88th St, Unit 38E")</f>
        <v>180 E 88th St, Unit 38E</v>
      </c>
      <c r="B3249" s="2" t="str">
        <f t="shared" ref="B3249:B3250" si="552">HYPERLINK("https://www.compass.com/building/180-e-88th-st-manhattan-ny-10128/282058835781256373/","180 E 88th St")</f>
        <v>180 E 88th St</v>
      </c>
      <c r="C3249" s="1" t="s">
        <v>82</v>
      </c>
      <c r="D3249" s="1" t="s">
        <v>41</v>
      </c>
      <c r="E3249" s="3">
        <v>11229515</v>
      </c>
      <c r="F3249" s="1">
        <v>3490.6792042275401</v>
      </c>
      <c r="G3249" s="1">
        <v>7</v>
      </c>
      <c r="H3249" s="1">
        <v>3</v>
      </c>
      <c r="I3249" s="1">
        <v>4</v>
      </c>
      <c r="J3249" s="1">
        <v>3.5</v>
      </c>
      <c r="K3249" s="1">
        <v>3</v>
      </c>
      <c r="L3249" s="1">
        <v>1</v>
      </c>
      <c r="M3249" s="4">
        <v>3217</v>
      </c>
      <c r="N3249" s="1">
        <v>5262</v>
      </c>
      <c r="O3249" s="1">
        <v>10978</v>
      </c>
      <c r="P3249" s="1">
        <v>5716</v>
      </c>
      <c r="Q3249" s="1" t="s">
        <v>42</v>
      </c>
      <c r="S3249" s="1" t="s">
        <v>42</v>
      </c>
      <c r="T3249" s="1" t="s">
        <v>273</v>
      </c>
      <c r="U3249" s="1">
        <v>1</v>
      </c>
      <c r="V3249" s="5">
        <v>44230</v>
      </c>
      <c r="W3249" s="5">
        <v>42858</v>
      </c>
      <c r="X3249" s="1">
        <v>12750000</v>
      </c>
      <c r="Y3249" s="1">
        <v>12750000</v>
      </c>
      <c r="Z3249" s="5">
        <v>42860</v>
      </c>
      <c r="AA3249" s="1">
        <v>12750000</v>
      </c>
      <c r="AB3249" s="1" t="s">
        <v>275</v>
      </c>
      <c r="AC3249" s="5">
        <v>44020</v>
      </c>
      <c r="AF3249" s="1">
        <v>10128</v>
      </c>
      <c r="AJ3249" s="1">
        <v>2019</v>
      </c>
      <c r="AK3249" s="1" t="s">
        <v>49</v>
      </c>
      <c r="AL3249" s="1">
        <v>48</v>
      </c>
    </row>
    <row r="3250" spans="1:38" x14ac:dyDescent="0.2">
      <c r="A3250" s="2" t="str">
        <f>HYPERLINK("https://www.compass.com/listing/180-east-88th-street-unit-8a-manhattan-ny-10128/29509493725406641/","180 E 88th St, Unit 8A")</f>
        <v>180 E 88th St, Unit 8A</v>
      </c>
      <c r="B3250" s="2" t="str">
        <f t="shared" si="552"/>
        <v>180 E 88th St</v>
      </c>
      <c r="C3250" s="1" t="s">
        <v>82</v>
      </c>
      <c r="D3250" s="1" t="s">
        <v>41</v>
      </c>
      <c r="E3250" s="3">
        <v>5100000</v>
      </c>
      <c r="F3250" s="1">
        <v>2402.26095148374</v>
      </c>
      <c r="G3250" s="1">
        <v>4</v>
      </c>
      <c r="H3250" s="1">
        <v>3</v>
      </c>
      <c r="I3250" s="1">
        <v>4</v>
      </c>
      <c r="J3250" s="1">
        <v>3.5</v>
      </c>
      <c r="K3250" s="1">
        <v>3</v>
      </c>
      <c r="L3250" s="1">
        <v>1</v>
      </c>
      <c r="M3250" s="4">
        <v>2123</v>
      </c>
      <c r="N3250" s="1">
        <v>3137</v>
      </c>
      <c r="O3250" s="1">
        <v>6544</v>
      </c>
      <c r="P3250" s="1">
        <v>3407</v>
      </c>
      <c r="Q3250" s="1" t="s">
        <v>42</v>
      </c>
      <c r="S3250" s="1" t="s">
        <v>42</v>
      </c>
      <c r="T3250" s="1" t="s">
        <v>273</v>
      </c>
      <c r="U3250" s="1">
        <v>36</v>
      </c>
      <c r="V3250" s="5">
        <v>43694</v>
      </c>
      <c r="W3250" s="5">
        <v>42864</v>
      </c>
      <c r="X3250" s="1">
        <v>5250000</v>
      </c>
      <c r="Y3250" s="1">
        <v>5250000</v>
      </c>
      <c r="Z3250" s="5">
        <v>42900</v>
      </c>
      <c r="AA3250" s="1">
        <v>5100000</v>
      </c>
      <c r="AB3250" s="1" t="s">
        <v>2075</v>
      </c>
      <c r="AC3250" s="5">
        <v>43615</v>
      </c>
      <c r="AF3250" s="1">
        <v>10128</v>
      </c>
      <c r="AI3250" s="1" t="s">
        <v>216</v>
      </c>
      <c r="AJ3250" s="1">
        <v>2019</v>
      </c>
      <c r="AK3250" s="1" t="s">
        <v>46</v>
      </c>
      <c r="AL3250" s="1">
        <v>48</v>
      </c>
    </row>
    <row r="3251" spans="1:38" x14ac:dyDescent="0.2">
      <c r="A3251" s="2" t="str">
        <f>HYPERLINK("https://www.compass.com/listing/200-east-94th-street-unit-522-manhattan-ny-10128/29423438099653089/","200 E 94th St, Unit 522")</f>
        <v>200 E 94th St, Unit 522</v>
      </c>
      <c r="B3251" s="2" t="str">
        <f>HYPERLINK("https://www.compass.com/building/carnegie-park-condominium-manhattan-ny/282049797358118613/","Carnegie Park Condominium")</f>
        <v>Carnegie Park Condominium</v>
      </c>
      <c r="C3251" s="1" t="s">
        <v>82</v>
      </c>
      <c r="D3251" s="1" t="s">
        <v>41</v>
      </c>
      <c r="E3251" s="3">
        <v>1800000</v>
      </c>
      <c r="F3251" s="1">
        <v>1280.22759601706</v>
      </c>
      <c r="H3251" s="1">
        <v>3</v>
      </c>
      <c r="J3251" s="1">
        <v>2</v>
      </c>
      <c r="K3251" s="1">
        <v>2</v>
      </c>
      <c r="M3251" s="4">
        <v>1406</v>
      </c>
      <c r="N3251" s="1">
        <v>1638.05</v>
      </c>
      <c r="O3251" s="1">
        <v>3042.51</v>
      </c>
      <c r="P3251" s="1">
        <v>1404.5</v>
      </c>
      <c r="Q3251" s="1" t="s">
        <v>42</v>
      </c>
      <c r="S3251" s="1" t="s">
        <v>42</v>
      </c>
      <c r="T3251" s="1" t="s">
        <v>273</v>
      </c>
      <c r="AA3251" s="1">
        <v>1800000</v>
      </c>
      <c r="AB3251" s="1" t="s">
        <v>2076</v>
      </c>
      <c r="AC3251" s="5">
        <v>42894</v>
      </c>
      <c r="AF3251" s="1">
        <v>10128</v>
      </c>
      <c r="AI3251" s="1" t="s">
        <v>163</v>
      </c>
      <c r="AJ3251" s="1">
        <v>1986</v>
      </c>
      <c r="AK3251" s="1" t="s">
        <v>55</v>
      </c>
      <c r="AL3251" s="1">
        <v>287</v>
      </c>
    </row>
    <row r="3252" spans="1:38" x14ac:dyDescent="0.2">
      <c r="A3252" s="2" t="str">
        <f>HYPERLINK("https://www.compass.com/listing/12-east-88th-street-unit-5b-manhattan-ny-10128/29509527372089553/","12 E 88th St, Unit 5B")</f>
        <v>12 E 88th St, Unit 5B</v>
      </c>
      <c r="B3252" s="2" t="str">
        <f>HYPERLINK("https://www.compass.com/building/12-e-88th-st-manhattan-ny-10128/282046316798827461/","12 E 88th St")</f>
        <v>12 E 88th St</v>
      </c>
      <c r="C3252" s="1" t="s">
        <v>82</v>
      </c>
      <c r="D3252" s="1" t="s">
        <v>41</v>
      </c>
      <c r="E3252" s="3">
        <v>8100000</v>
      </c>
      <c r="F3252" s="1">
        <v>2195.1219512195098</v>
      </c>
      <c r="G3252" s="1">
        <v>8</v>
      </c>
      <c r="H3252" s="1">
        <v>5</v>
      </c>
      <c r="I3252" s="1">
        <v>6</v>
      </c>
      <c r="J3252" s="1">
        <v>5.5</v>
      </c>
      <c r="K3252" s="1">
        <v>5</v>
      </c>
      <c r="L3252" s="1">
        <v>1</v>
      </c>
      <c r="M3252" s="4">
        <v>3690</v>
      </c>
      <c r="N3252" s="1">
        <v>4450</v>
      </c>
      <c r="O3252" s="1">
        <v>9213</v>
      </c>
      <c r="P3252" s="1">
        <v>4763</v>
      </c>
      <c r="Q3252" s="1" t="s">
        <v>42</v>
      </c>
      <c r="S3252" s="1" t="s">
        <v>42</v>
      </c>
      <c r="T3252" s="1" t="s">
        <v>273</v>
      </c>
      <c r="U3252" s="1">
        <v>90</v>
      </c>
      <c r="V3252" s="5">
        <v>43636</v>
      </c>
      <c r="W3252" s="5">
        <v>43279</v>
      </c>
      <c r="X3252" s="1">
        <v>8950000</v>
      </c>
      <c r="Y3252" s="1">
        <v>8950000</v>
      </c>
      <c r="Z3252" s="5">
        <v>43369</v>
      </c>
      <c r="AA3252" s="1">
        <v>8100000</v>
      </c>
      <c r="AB3252" s="1" t="s">
        <v>2077</v>
      </c>
      <c r="AC3252" s="5">
        <v>43419</v>
      </c>
      <c r="AF3252" s="1">
        <v>10128</v>
      </c>
      <c r="AI3252" s="1" t="s">
        <v>177</v>
      </c>
      <c r="AJ3252" s="1">
        <v>1931</v>
      </c>
      <c r="AK3252" s="1" t="s">
        <v>46</v>
      </c>
      <c r="AL3252" s="1">
        <v>39</v>
      </c>
    </row>
    <row r="3253" spans="1:38" x14ac:dyDescent="0.2">
      <c r="A3253" s="2" t="str">
        <f>HYPERLINK("https://www.compass.com/listing/88-lexington-avenue-unit-1806-manhattan-ny-10016/248470862460717377/","88 Lexington Ave, Unit 1806")</f>
        <v>88 Lexington Ave, Unit 1806</v>
      </c>
      <c r="B3253" s="2" t="str">
        <f>HYPERLINK("https://www.compass.com/building/88-90-lexington-avenue-manhattan-ny/281903945159296309/","88 &amp; 90 Lexington Avenue")</f>
        <v>88 &amp; 90 Lexington Avenue</v>
      </c>
      <c r="C3253" s="1" t="s">
        <v>40</v>
      </c>
      <c r="D3253" s="1" t="s">
        <v>41</v>
      </c>
      <c r="E3253" s="3">
        <v>3840000</v>
      </c>
      <c r="F3253" s="1">
        <v>1709.70614425645</v>
      </c>
      <c r="G3253" s="1">
        <v>5</v>
      </c>
      <c r="H3253" s="1">
        <v>3</v>
      </c>
      <c r="I3253" s="1">
        <v>4</v>
      </c>
      <c r="J3253" s="1">
        <v>3.5</v>
      </c>
      <c r="K3253" s="1">
        <v>3</v>
      </c>
      <c r="L3253" s="1">
        <v>1</v>
      </c>
      <c r="M3253" s="4">
        <v>2246</v>
      </c>
      <c r="N3253" s="1">
        <v>2237.5300000000002</v>
      </c>
      <c r="O3253" s="1">
        <v>6779.82</v>
      </c>
      <c r="P3253" s="1">
        <v>4542.25</v>
      </c>
      <c r="Q3253" s="1" t="s">
        <v>42</v>
      </c>
      <c r="S3253" s="1" t="s">
        <v>42</v>
      </c>
      <c r="T3253" s="1" t="s">
        <v>273</v>
      </c>
      <c r="U3253" s="1">
        <v>234</v>
      </c>
      <c r="V3253" s="5">
        <v>43910</v>
      </c>
      <c r="W3253" s="5">
        <v>43594</v>
      </c>
      <c r="X3253" s="1">
        <v>5295000</v>
      </c>
      <c r="Y3253" s="1">
        <v>3995000</v>
      </c>
      <c r="Z3253" s="5">
        <v>43829</v>
      </c>
      <c r="AA3253" s="1">
        <v>3840000</v>
      </c>
      <c r="AB3253" s="1" t="s">
        <v>2078</v>
      </c>
      <c r="AC3253" s="5">
        <v>43902</v>
      </c>
      <c r="AF3253" s="1">
        <v>10016</v>
      </c>
      <c r="AI3253" s="1" t="s">
        <v>206</v>
      </c>
      <c r="AJ3253" s="1">
        <v>1927</v>
      </c>
      <c r="AK3253" s="1" t="s">
        <v>46</v>
      </c>
      <c r="AL3253" s="1">
        <v>70</v>
      </c>
    </row>
    <row r="3254" spans="1:38" x14ac:dyDescent="0.2">
      <c r="A3254" s="2" t="str">
        <f>HYPERLINK("https://www.compass.com/listing/200-east-94th-street-unit-217-manhattan-ny-10128/29423422496906321/","200 E 94th St, Unit 217")</f>
        <v>200 E 94th St, Unit 217</v>
      </c>
      <c r="B3254" s="2" t="str">
        <f>HYPERLINK("https://www.compass.com/building/carnegie-park-condominium-manhattan-ny/282049797358118613/","Carnegie Park Condominium")</f>
        <v>Carnegie Park Condominium</v>
      </c>
      <c r="C3254" s="1" t="s">
        <v>82</v>
      </c>
      <c r="D3254" s="1" t="s">
        <v>41</v>
      </c>
      <c r="E3254" s="3">
        <v>1294042</v>
      </c>
      <c r="F3254" s="1">
        <v>1210.5167820392801</v>
      </c>
      <c r="H3254" s="1">
        <v>2</v>
      </c>
      <c r="J3254" s="1">
        <v>2</v>
      </c>
      <c r="K3254" s="1">
        <v>2</v>
      </c>
      <c r="M3254" s="4">
        <v>1069</v>
      </c>
      <c r="N3254" s="1">
        <v>1226</v>
      </c>
      <c r="O3254" s="1">
        <v>2437</v>
      </c>
      <c r="P3254" s="1">
        <v>1211</v>
      </c>
      <c r="Q3254" s="1" t="s">
        <v>42</v>
      </c>
      <c r="S3254" s="1" t="s">
        <v>42</v>
      </c>
      <c r="T3254" s="1" t="s">
        <v>273</v>
      </c>
      <c r="AA3254" s="1">
        <v>1294042.44</v>
      </c>
      <c r="AB3254" s="1" t="s">
        <v>2079</v>
      </c>
      <c r="AC3254" s="5">
        <v>42411</v>
      </c>
      <c r="AF3254" s="1">
        <v>10128</v>
      </c>
      <c r="AI3254" s="1" t="s">
        <v>163</v>
      </c>
      <c r="AJ3254" s="1">
        <v>1986</v>
      </c>
      <c r="AK3254" s="1" t="s">
        <v>55</v>
      </c>
      <c r="AL3254" s="1">
        <v>287</v>
      </c>
    </row>
    <row r="3255" spans="1:38" x14ac:dyDescent="0.2">
      <c r="A3255" s="2" t="str">
        <f>HYPERLINK("https://www.compass.com/listing/88-lexington-avenue-unit-ph1-manhattan-ny-10016/461609178818441617/","88 Lexington Ave, Unit PH1")</f>
        <v>88 Lexington Ave, Unit PH1</v>
      </c>
      <c r="B3255" s="2" t="str">
        <f>HYPERLINK("https://www.compass.com/building/88-90-lexington-avenue-manhattan-ny/281903945159296309/","88 &amp; 90 Lexington Avenue")</f>
        <v>88 &amp; 90 Lexington Avenue</v>
      </c>
      <c r="C3255" s="1" t="s">
        <v>40</v>
      </c>
      <c r="D3255" s="1" t="s">
        <v>41</v>
      </c>
      <c r="E3255" s="3">
        <v>7500000</v>
      </c>
      <c r="F3255" s="1">
        <v>2334.2670401493901</v>
      </c>
      <c r="G3255" s="1">
        <v>7</v>
      </c>
      <c r="H3255" s="1">
        <v>4</v>
      </c>
      <c r="I3255" s="1">
        <v>5</v>
      </c>
      <c r="J3255" s="1">
        <v>4.5</v>
      </c>
      <c r="K3255" s="1">
        <v>4</v>
      </c>
      <c r="L3255" s="1">
        <v>1</v>
      </c>
      <c r="M3255" s="4">
        <v>3213</v>
      </c>
      <c r="N3255" s="1">
        <v>3777</v>
      </c>
      <c r="O3255" s="1">
        <v>11010</v>
      </c>
      <c r="P3255" s="1">
        <v>7233</v>
      </c>
      <c r="Q3255" s="1" t="s">
        <v>42</v>
      </c>
      <c r="S3255" s="1" t="s">
        <v>42</v>
      </c>
      <c r="T3255" s="1" t="s">
        <v>273</v>
      </c>
      <c r="U3255" s="1">
        <v>49</v>
      </c>
      <c r="V3255" s="5">
        <v>44363</v>
      </c>
      <c r="W3255" s="5">
        <v>44281</v>
      </c>
      <c r="Y3255" s="1">
        <v>9750000</v>
      </c>
      <c r="Z3255" s="5">
        <v>44330</v>
      </c>
      <c r="AA3255" s="1">
        <v>7500000</v>
      </c>
      <c r="AB3255" s="1" t="s">
        <v>2080</v>
      </c>
      <c r="AC3255" s="5">
        <v>44362</v>
      </c>
      <c r="AF3255" s="1">
        <v>10016</v>
      </c>
      <c r="AI3255" s="1" t="s">
        <v>2081</v>
      </c>
      <c r="AJ3255" s="1">
        <v>1927</v>
      </c>
      <c r="AK3255" s="1" t="s">
        <v>46</v>
      </c>
      <c r="AL3255" s="1">
        <v>70</v>
      </c>
    </row>
    <row r="3256" spans="1:38" x14ac:dyDescent="0.2">
      <c r="A3256" s="2" t="str">
        <f>HYPERLINK("https://www.compass.com/listing/12-east-88th-street-unit-1c-manhattan-ny-10128/29420043037132113/","12 E 88th St, Unit 1C")</f>
        <v>12 E 88th St, Unit 1C</v>
      </c>
      <c r="B3256" s="2" t="str">
        <f>HYPERLINK("https://www.compass.com/building/12-e-88th-st-manhattan-ny-10128/282046316798827461/","12 E 88th St")</f>
        <v>12 E 88th St</v>
      </c>
      <c r="C3256" s="1" t="s">
        <v>82</v>
      </c>
      <c r="D3256" s="1" t="s">
        <v>41</v>
      </c>
      <c r="E3256" s="3">
        <v>3300000</v>
      </c>
      <c r="F3256" s="1">
        <v>2033.27171903881</v>
      </c>
      <c r="G3256" s="1">
        <v>5</v>
      </c>
      <c r="H3256" s="1">
        <v>3</v>
      </c>
      <c r="I3256" s="1">
        <v>2</v>
      </c>
      <c r="J3256" s="1">
        <v>2</v>
      </c>
      <c r="K3256" s="1">
        <v>2</v>
      </c>
      <c r="M3256" s="4">
        <v>1623</v>
      </c>
      <c r="N3256" s="1">
        <v>2157</v>
      </c>
      <c r="O3256" s="1">
        <v>4466</v>
      </c>
      <c r="P3256" s="1">
        <v>2309</v>
      </c>
      <c r="Q3256" s="1" t="s">
        <v>42</v>
      </c>
      <c r="S3256" s="1" t="s">
        <v>42</v>
      </c>
      <c r="T3256" s="1" t="s">
        <v>273</v>
      </c>
      <c r="U3256" s="1">
        <v>380</v>
      </c>
      <c r="V3256" s="5">
        <v>44338</v>
      </c>
      <c r="W3256" s="5">
        <v>42709</v>
      </c>
      <c r="X3256" s="1">
        <v>3350000</v>
      </c>
      <c r="Y3256" s="1">
        <v>3350000</v>
      </c>
      <c r="Z3256" s="5">
        <v>43073</v>
      </c>
      <c r="AA3256" s="1">
        <v>3300000</v>
      </c>
      <c r="AB3256" s="1" t="s">
        <v>2082</v>
      </c>
      <c r="AC3256" s="5">
        <v>43259</v>
      </c>
      <c r="AF3256" s="1">
        <v>10128</v>
      </c>
      <c r="AI3256" s="1" t="s">
        <v>216</v>
      </c>
      <c r="AJ3256" s="1">
        <v>1931</v>
      </c>
      <c r="AK3256" s="1" t="s">
        <v>49</v>
      </c>
      <c r="AL3256" s="1">
        <v>39</v>
      </c>
    </row>
    <row r="3257" spans="1:38" x14ac:dyDescent="0.2">
      <c r="A3257" s="2" t="str">
        <f>HYPERLINK("https://www.compass.com/listing/180-east-88th-street-unit-7b-manhattan-ny-10128/759143116820951201/","180 E 88th St, Unit 7B")</f>
        <v>180 E 88th St, Unit 7B</v>
      </c>
      <c r="B3257" s="2" t="str">
        <f>HYPERLINK("https://www.compass.com/building/180-e-88th-st-manhattan-ny-10128/282058835781256373/","180 E 88th St")</f>
        <v>180 E 88th St</v>
      </c>
      <c r="C3257" s="1" t="s">
        <v>82</v>
      </c>
      <c r="D3257" s="1" t="s">
        <v>41</v>
      </c>
      <c r="E3257" s="3">
        <v>1445000</v>
      </c>
      <c r="F3257" s="1">
        <v>1952.7027027027</v>
      </c>
      <c r="G3257" s="1">
        <v>2</v>
      </c>
      <c r="H3257" s="1" t="s">
        <v>99</v>
      </c>
      <c r="J3257" s="1">
        <v>1</v>
      </c>
      <c r="M3257" s="1">
        <v>740</v>
      </c>
      <c r="N3257" s="1">
        <v>1094</v>
      </c>
      <c r="O3257" s="1">
        <v>2110</v>
      </c>
      <c r="P3257" s="1">
        <v>1016</v>
      </c>
      <c r="Q3257" s="1" t="s">
        <v>42</v>
      </c>
      <c r="S3257" s="1" t="s">
        <v>42</v>
      </c>
      <c r="T3257" s="1" t="s">
        <v>273</v>
      </c>
      <c r="U3257" s="1">
        <v>8</v>
      </c>
      <c r="V3257" s="5">
        <v>44343</v>
      </c>
      <c r="W3257" s="5">
        <v>44298</v>
      </c>
      <c r="X3257" s="1">
        <v>1550000</v>
      </c>
      <c r="Y3257" s="1">
        <v>1550000</v>
      </c>
      <c r="Z3257" s="5">
        <v>44306</v>
      </c>
      <c r="AA3257" s="1">
        <v>1445000</v>
      </c>
      <c r="AB3257" s="1" t="s">
        <v>2083</v>
      </c>
      <c r="AC3257" s="5">
        <v>44337</v>
      </c>
      <c r="AF3257" s="1">
        <v>10128</v>
      </c>
      <c r="AJ3257" s="1">
        <v>2019</v>
      </c>
      <c r="AK3257" s="1" t="s">
        <v>49</v>
      </c>
      <c r="AL3257" s="1">
        <v>48</v>
      </c>
    </row>
    <row r="3258" spans="1:38" x14ac:dyDescent="0.2">
      <c r="A3258" s="2" t="str">
        <f>HYPERLINK("https://www.compass.com/listing/301-east-80th-street-unit-10b-manhattan-ny-10075/487486975939881129/","301 E 80th St, Unit 10B")</f>
        <v>301 E 80th St, Unit 10B</v>
      </c>
      <c r="B3258" s="2" t="str">
        <f t="shared" ref="B3258:B3259" si="553">HYPERLINK("https://www.compass.com/building/beckford-tower-manhattan-ny/293529721147268613/","Beckford Tower")</f>
        <v>Beckford Tower</v>
      </c>
      <c r="C3258" s="1" t="s">
        <v>82</v>
      </c>
      <c r="D3258" s="1" t="s">
        <v>41</v>
      </c>
      <c r="E3258" s="3">
        <v>3425000</v>
      </c>
      <c r="F3258" s="1">
        <v>2160.8832807570898</v>
      </c>
      <c r="G3258" s="1">
        <v>5.5</v>
      </c>
      <c r="H3258" s="1">
        <v>2</v>
      </c>
      <c r="I3258" s="1">
        <v>3</v>
      </c>
      <c r="J3258" s="1">
        <v>2.5</v>
      </c>
      <c r="K3258" s="1">
        <v>2</v>
      </c>
      <c r="L3258" s="1">
        <v>1</v>
      </c>
      <c r="M3258" s="4">
        <v>1585</v>
      </c>
      <c r="N3258" s="1">
        <v>1986</v>
      </c>
      <c r="O3258" s="1">
        <v>4255</v>
      </c>
      <c r="P3258" s="1">
        <v>2269</v>
      </c>
      <c r="Q3258" s="1" t="s">
        <v>42</v>
      </c>
      <c r="S3258" s="1" t="s">
        <v>42</v>
      </c>
      <c r="T3258" s="1" t="s">
        <v>273</v>
      </c>
      <c r="U3258" s="1">
        <v>195</v>
      </c>
      <c r="V3258" s="5">
        <v>44391</v>
      </c>
      <c r="W3258" s="5">
        <v>43740</v>
      </c>
      <c r="X3258" s="1">
        <v>3625000</v>
      </c>
      <c r="Y3258" s="1">
        <v>3625000</v>
      </c>
      <c r="AA3258" s="1">
        <v>3425000</v>
      </c>
      <c r="AB3258" s="1" t="s">
        <v>2084</v>
      </c>
      <c r="AC3258" s="5">
        <v>44385</v>
      </c>
      <c r="AF3258" s="1">
        <v>10075</v>
      </c>
      <c r="AI3258" s="1" t="s">
        <v>182</v>
      </c>
      <c r="AJ3258" s="1">
        <v>2019</v>
      </c>
      <c r="AK3258" s="1" t="s">
        <v>49</v>
      </c>
      <c r="AL3258" s="1">
        <v>72</v>
      </c>
    </row>
    <row r="3259" spans="1:38" x14ac:dyDescent="0.2">
      <c r="A3259" s="2" t="str">
        <f>HYPERLINK("https://www.compass.com/listing/301-east-80th-street-unit-11b-manhattan-ny-10075/563706677151831033/","301 E 80th St, Unit 11B")</f>
        <v>301 E 80th St, Unit 11B</v>
      </c>
      <c r="B3259" s="2" t="str">
        <f t="shared" si="553"/>
        <v>Beckford Tower</v>
      </c>
      <c r="C3259" s="1" t="s">
        <v>82</v>
      </c>
      <c r="D3259" s="1" t="s">
        <v>41</v>
      </c>
      <c r="E3259" s="3">
        <v>3350000</v>
      </c>
      <c r="F3259" s="1">
        <v>2113.5646687697099</v>
      </c>
      <c r="G3259" s="1">
        <v>5</v>
      </c>
      <c r="H3259" s="1">
        <v>2</v>
      </c>
      <c r="I3259" s="1">
        <v>3</v>
      </c>
      <c r="J3259" s="1">
        <v>2.5</v>
      </c>
      <c r="K3259" s="1">
        <v>2</v>
      </c>
      <c r="L3259" s="1">
        <v>1</v>
      </c>
      <c r="M3259" s="4">
        <v>1585</v>
      </c>
      <c r="N3259" s="1">
        <v>1996</v>
      </c>
      <c r="O3259" s="1">
        <v>4275</v>
      </c>
      <c r="P3259" s="1">
        <v>2279</v>
      </c>
      <c r="Q3259" s="1" t="s">
        <v>42</v>
      </c>
      <c r="S3259" s="1" t="s">
        <v>42</v>
      </c>
      <c r="T3259" s="1" t="s">
        <v>273</v>
      </c>
      <c r="V3259" s="5">
        <v>44288</v>
      </c>
      <c r="W3259" s="5">
        <v>43741</v>
      </c>
      <c r="Y3259" s="1">
        <v>3850000</v>
      </c>
      <c r="AA3259" s="1">
        <v>3350000</v>
      </c>
      <c r="AB3259" s="1" t="s">
        <v>2085</v>
      </c>
      <c r="AC3259" s="5">
        <v>44396</v>
      </c>
      <c r="AF3259" s="1">
        <v>10075</v>
      </c>
      <c r="AI3259" s="1" t="s">
        <v>182</v>
      </c>
      <c r="AJ3259" s="1">
        <v>2019</v>
      </c>
      <c r="AK3259" s="1" t="s">
        <v>49</v>
      </c>
      <c r="AL3259" s="1">
        <v>72</v>
      </c>
    </row>
    <row r="3260" spans="1:38" x14ac:dyDescent="0.2">
      <c r="A3260" s="2" t="str">
        <f>HYPERLINK("https://www.compass.com/listing/1-west-end-avenue-unit-27e-manhattan-ny-10023/56470351835653969/","1 W End Ave, Unit 27E")</f>
        <v>1 W End Ave, Unit 27E</v>
      </c>
      <c r="B3260" s="2" t="str">
        <f>HYPERLINK("https://www.compass.com/building/1-w-end-ave-manhattan-ny-10023/455676159137755317/","1 W End Ave")</f>
        <v>1 W End Ave</v>
      </c>
      <c r="C3260" s="1" t="s">
        <v>57</v>
      </c>
      <c r="D3260" s="1" t="s">
        <v>41</v>
      </c>
      <c r="E3260" s="3">
        <v>5263655</v>
      </c>
      <c r="F3260" s="1">
        <v>2142.3097273097201</v>
      </c>
      <c r="G3260" s="1">
        <v>6</v>
      </c>
      <c r="H3260" s="1">
        <v>3</v>
      </c>
      <c r="I3260" s="1">
        <v>4</v>
      </c>
      <c r="J3260" s="1">
        <v>3.5</v>
      </c>
      <c r="K3260" s="1">
        <v>3</v>
      </c>
      <c r="L3260" s="1">
        <v>1</v>
      </c>
      <c r="M3260" s="4">
        <v>2457</v>
      </c>
      <c r="N3260" s="1">
        <v>2816</v>
      </c>
      <c r="O3260" s="1">
        <v>2974</v>
      </c>
      <c r="P3260" s="1">
        <v>158</v>
      </c>
      <c r="Q3260" s="1" t="s">
        <v>42</v>
      </c>
      <c r="S3260" s="1" t="s">
        <v>42</v>
      </c>
      <c r="T3260" s="1" t="s">
        <v>273</v>
      </c>
      <c r="U3260" s="1">
        <v>3</v>
      </c>
      <c r="V3260" s="5">
        <v>44343</v>
      </c>
      <c r="W3260" s="5">
        <v>43330</v>
      </c>
      <c r="X3260" s="1">
        <v>5475000</v>
      </c>
      <c r="Y3260" s="1">
        <v>5475000</v>
      </c>
      <c r="Z3260" s="5">
        <v>43333</v>
      </c>
      <c r="AA3260" s="1">
        <v>5263655</v>
      </c>
      <c r="AB3260" s="1" t="s">
        <v>2086</v>
      </c>
      <c r="AC3260" s="5">
        <v>43379</v>
      </c>
      <c r="AF3260" s="1">
        <v>10023</v>
      </c>
      <c r="AI3260" s="1" t="s">
        <v>2087</v>
      </c>
      <c r="AJ3260" s="1">
        <v>2017</v>
      </c>
      <c r="AK3260" s="1" t="s">
        <v>55</v>
      </c>
      <c r="AL3260" s="1">
        <v>246</v>
      </c>
    </row>
    <row r="3261" spans="1:38" x14ac:dyDescent="0.2">
      <c r="A3261" s="2" t="str">
        <f>HYPERLINK("https://www.compass.com/listing/200-east-94th-street-unit-916-manhattan-ny-10128/167862016512422961/","200 E 94th St, Unit 916")</f>
        <v>200 E 94th St, Unit 916</v>
      </c>
      <c r="B3261" s="2" t="str">
        <f t="shared" ref="B3261:B3276" si="554">HYPERLINK("https://www.compass.com/building/carnegie-park-condominium-manhattan-ny/282049797358118613/","Carnegie Park Condominium")</f>
        <v>Carnegie Park Condominium</v>
      </c>
      <c r="C3261" s="1" t="s">
        <v>82</v>
      </c>
      <c r="D3261" s="1" t="s">
        <v>41</v>
      </c>
      <c r="E3261" s="3">
        <v>970763</v>
      </c>
      <c r="F3261" s="1">
        <v>1378.9245880681799</v>
      </c>
      <c r="H3261" s="1">
        <v>1</v>
      </c>
      <c r="J3261" s="1">
        <v>1</v>
      </c>
      <c r="M3261" s="1">
        <v>704</v>
      </c>
      <c r="N3261" s="1">
        <v>778</v>
      </c>
      <c r="O3261" s="1">
        <v>1605</v>
      </c>
      <c r="P3261" s="1">
        <v>827</v>
      </c>
      <c r="Q3261" s="1" t="s">
        <v>42</v>
      </c>
      <c r="S3261" s="1" t="s">
        <v>42</v>
      </c>
      <c r="T3261" s="1" t="s">
        <v>273</v>
      </c>
      <c r="AA3261" s="1">
        <v>970762.91</v>
      </c>
      <c r="AB3261" s="1" t="s">
        <v>2088</v>
      </c>
      <c r="AC3261" s="5">
        <v>42409</v>
      </c>
      <c r="AF3261" s="1">
        <v>10128</v>
      </c>
      <c r="AI3261" s="1" t="s">
        <v>163</v>
      </c>
      <c r="AJ3261" s="1">
        <v>1986</v>
      </c>
      <c r="AK3261" s="1" t="s">
        <v>55</v>
      </c>
      <c r="AL3261" s="1">
        <v>287</v>
      </c>
    </row>
    <row r="3262" spans="1:38" x14ac:dyDescent="0.2">
      <c r="A3262" s="2" t="str">
        <f>HYPERLINK("https://www.compass.com/listing/200-east-94th-street-unit-2211-manhattan-ny-10128/226571587229412817/","200 E 94th St, Unit 2211")</f>
        <v>200 E 94th St, Unit 2211</v>
      </c>
      <c r="B3262" s="2" t="str">
        <f t="shared" si="554"/>
        <v>Carnegie Park Condominium</v>
      </c>
      <c r="C3262" s="1" t="s">
        <v>82</v>
      </c>
      <c r="D3262" s="1" t="s">
        <v>41</v>
      </c>
      <c r="E3262" s="3">
        <v>1291342</v>
      </c>
      <c r="F3262" s="1">
        <v>1512.11053864168</v>
      </c>
      <c r="H3262" s="1">
        <v>1</v>
      </c>
      <c r="J3262" s="1">
        <v>1</v>
      </c>
      <c r="K3262" s="1">
        <v>1</v>
      </c>
      <c r="M3262" s="1">
        <v>854</v>
      </c>
      <c r="N3262" s="1">
        <v>1024</v>
      </c>
      <c r="O3262" s="1">
        <v>2099</v>
      </c>
      <c r="P3262" s="1">
        <v>1075</v>
      </c>
      <c r="Q3262" s="1" t="s">
        <v>42</v>
      </c>
      <c r="S3262" s="1" t="s">
        <v>42</v>
      </c>
      <c r="T3262" s="1" t="s">
        <v>273</v>
      </c>
      <c r="AA3262" s="1">
        <v>1291342.3999999999</v>
      </c>
      <c r="AB3262" s="1" t="s">
        <v>2089</v>
      </c>
      <c r="AC3262" s="5">
        <v>43544</v>
      </c>
      <c r="AF3262" s="1">
        <v>10128</v>
      </c>
      <c r="AI3262" s="1" t="s">
        <v>163</v>
      </c>
      <c r="AJ3262" s="1">
        <v>1986</v>
      </c>
      <c r="AK3262" s="1" t="s">
        <v>55</v>
      </c>
      <c r="AL3262" s="1">
        <v>287</v>
      </c>
    </row>
    <row r="3263" spans="1:38" x14ac:dyDescent="0.2">
      <c r="A3263" s="2" t="str">
        <f>HYPERLINK("https://www.compass.com/listing/200-east-94th-street-unit-226-manhattan-ny-10128/277166016058894961/","200 E 94th St, Unit 226")</f>
        <v>200 E 94th St, Unit 226</v>
      </c>
      <c r="B3263" s="2" t="str">
        <f t="shared" si="554"/>
        <v>Carnegie Park Condominium</v>
      </c>
      <c r="C3263" s="1" t="s">
        <v>82</v>
      </c>
      <c r="D3263" s="1" t="s">
        <v>41</v>
      </c>
      <c r="E3263" s="3">
        <v>969810</v>
      </c>
      <c r="F3263" s="1">
        <v>1377.57109375</v>
      </c>
      <c r="H3263" s="1">
        <v>1</v>
      </c>
      <c r="J3263" s="1">
        <v>1</v>
      </c>
      <c r="M3263" s="1">
        <v>704</v>
      </c>
      <c r="N3263" s="1">
        <v>762</v>
      </c>
      <c r="O3263" s="1">
        <v>1590</v>
      </c>
      <c r="P3263" s="1">
        <v>828</v>
      </c>
      <c r="Q3263" s="1" t="s">
        <v>42</v>
      </c>
      <c r="S3263" s="1" t="s">
        <v>42</v>
      </c>
      <c r="T3263" s="1" t="s">
        <v>273</v>
      </c>
      <c r="AA3263" s="1">
        <v>969810.05</v>
      </c>
      <c r="AB3263" s="1" t="s">
        <v>2090</v>
      </c>
      <c r="AC3263" s="5">
        <v>43586</v>
      </c>
      <c r="AF3263" s="1">
        <v>10128</v>
      </c>
      <c r="AI3263" s="1" t="s">
        <v>163</v>
      </c>
      <c r="AJ3263" s="1">
        <v>1986</v>
      </c>
      <c r="AK3263" s="1" t="s">
        <v>55</v>
      </c>
      <c r="AL3263" s="1">
        <v>287</v>
      </c>
    </row>
    <row r="3264" spans="1:38" x14ac:dyDescent="0.2">
      <c r="A3264" s="2" t="str">
        <f>HYPERLINK("https://www.compass.com/listing/200-east-94th-street-unit-402-manhattan-ny-10128/277166048782869153/","200 E 94th St, Unit 402")</f>
        <v>200 E 94th St, Unit 402</v>
      </c>
      <c r="B3264" s="2" t="str">
        <f t="shared" si="554"/>
        <v>Carnegie Park Condominium</v>
      </c>
      <c r="C3264" s="1" t="s">
        <v>82</v>
      </c>
      <c r="D3264" s="1" t="s">
        <v>41</v>
      </c>
      <c r="E3264" s="3">
        <v>1076770</v>
      </c>
      <c r="F3264" s="1">
        <v>1392.9756791720499</v>
      </c>
      <c r="H3264" s="1">
        <v>1</v>
      </c>
      <c r="J3264" s="1">
        <v>1</v>
      </c>
      <c r="K3264" s="1">
        <v>1</v>
      </c>
      <c r="M3264" s="1">
        <v>773</v>
      </c>
      <c r="N3264" s="1">
        <v>893</v>
      </c>
      <c r="O3264" s="1">
        <v>1833</v>
      </c>
      <c r="P3264" s="1">
        <v>940</v>
      </c>
      <c r="Q3264" s="1" t="s">
        <v>42</v>
      </c>
      <c r="S3264" s="1" t="s">
        <v>42</v>
      </c>
      <c r="T3264" s="1" t="s">
        <v>273</v>
      </c>
      <c r="AA3264" s="1">
        <v>1076770.2</v>
      </c>
      <c r="AB3264" s="1" t="s">
        <v>2091</v>
      </c>
      <c r="AC3264" s="5">
        <v>43588</v>
      </c>
      <c r="AF3264" s="1">
        <v>10128</v>
      </c>
      <c r="AI3264" s="1" t="s">
        <v>163</v>
      </c>
      <c r="AJ3264" s="1">
        <v>1986</v>
      </c>
      <c r="AK3264" s="1" t="s">
        <v>55</v>
      </c>
      <c r="AL3264" s="1">
        <v>287</v>
      </c>
    </row>
    <row r="3265" spans="1:38" x14ac:dyDescent="0.2">
      <c r="A3265" s="2" t="str">
        <f>HYPERLINK("https://www.compass.com/listing/200-east-94th-street-unit-2216-manhattan-ny-10128/277166185559177313/","200 E 94th St, Unit 2216")</f>
        <v>200 E 94th St, Unit 2216</v>
      </c>
      <c r="B3265" s="2" t="str">
        <f t="shared" si="554"/>
        <v>Carnegie Park Condominium</v>
      </c>
      <c r="C3265" s="1" t="s">
        <v>82</v>
      </c>
      <c r="D3265" s="1" t="s">
        <v>41</v>
      </c>
      <c r="E3265" s="3">
        <v>1081697</v>
      </c>
      <c r="F3265" s="1">
        <v>1536.5007954545399</v>
      </c>
      <c r="H3265" s="1">
        <v>1</v>
      </c>
      <c r="J3265" s="1">
        <v>1</v>
      </c>
      <c r="K3265" s="1">
        <v>1</v>
      </c>
      <c r="M3265" s="1">
        <v>704</v>
      </c>
      <c r="N3265" s="1">
        <v>832</v>
      </c>
      <c r="O3265" s="1">
        <v>1730</v>
      </c>
      <c r="P3265" s="1">
        <v>898</v>
      </c>
      <c r="Q3265" s="1" t="s">
        <v>42</v>
      </c>
      <c r="S3265" s="1" t="s">
        <v>42</v>
      </c>
      <c r="T3265" s="1" t="s">
        <v>273</v>
      </c>
      <c r="AA3265" s="1">
        <v>1081696.56</v>
      </c>
      <c r="AB3265" s="1" t="s">
        <v>2092</v>
      </c>
      <c r="AC3265" s="5">
        <v>43595</v>
      </c>
      <c r="AF3265" s="1">
        <v>10128</v>
      </c>
      <c r="AI3265" s="1" t="s">
        <v>163</v>
      </c>
      <c r="AJ3265" s="1">
        <v>1986</v>
      </c>
      <c r="AK3265" s="1" t="s">
        <v>55</v>
      </c>
      <c r="AL3265" s="1">
        <v>287</v>
      </c>
    </row>
    <row r="3266" spans="1:38" x14ac:dyDescent="0.2">
      <c r="A3266" s="2" t="str">
        <f>HYPERLINK("https://www.compass.com/listing/200-east-94th-street-unit-2311-manhattan-ny-10128/277166194451102993/","200 E 94th St, Unit 2311")</f>
        <v>200 E 94th St, Unit 2311</v>
      </c>
      <c r="B3266" s="2" t="str">
        <f t="shared" si="554"/>
        <v>Carnegie Park Condominium</v>
      </c>
      <c r="C3266" s="1" t="s">
        <v>82</v>
      </c>
      <c r="D3266" s="1" t="s">
        <v>41</v>
      </c>
      <c r="E3266" s="3">
        <v>1329343</v>
      </c>
      <c r="F3266" s="1">
        <v>1556.60771662763</v>
      </c>
      <c r="H3266" s="1">
        <v>1</v>
      </c>
      <c r="J3266" s="1">
        <v>1</v>
      </c>
      <c r="K3266" s="1">
        <v>1</v>
      </c>
      <c r="M3266" s="1">
        <v>854</v>
      </c>
      <c r="N3266" s="1">
        <v>968</v>
      </c>
      <c r="O3266" s="1">
        <v>1996</v>
      </c>
      <c r="P3266" s="1">
        <v>1028</v>
      </c>
      <c r="Q3266" s="1" t="s">
        <v>42</v>
      </c>
      <c r="S3266" s="1" t="s">
        <v>42</v>
      </c>
      <c r="T3266" s="1" t="s">
        <v>273</v>
      </c>
      <c r="AA3266" s="1">
        <v>1329342.99</v>
      </c>
      <c r="AB3266" s="1" t="s">
        <v>2093</v>
      </c>
      <c r="AC3266" s="5">
        <v>43615</v>
      </c>
      <c r="AF3266" s="1">
        <v>10128</v>
      </c>
      <c r="AI3266" s="1" t="s">
        <v>163</v>
      </c>
      <c r="AJ3266" s="1">
        <v>1986</v>
      </c>
      <c r="AK3266" s="1" t="s">
        <v>55</v>
      </c>
      <c r="AL3266" s="1">
        <v>287</v>
      </c>
    </row>
    <row r="3267" spans="1:38" x14ac:dyDescent="0.2">
      <c r="A3267" s="2" t="str">
        <f>HYPERLINK("https://www.compass.com/listing/200-east-94th-street-unit-125-manhattan-ny-10128/29423418554260497/","200 E 94th St, Unit 125")</f>
        <v>200 E 94th St, Unit 125</v>
      </c>
      <c r="B3267" s="2" t="str">
        <f t="shared" si="554"/>
        <v>Carnegie Park Condominium</v>
      </c>
      <c r="C3267" s="1" t="s">
        <v>82</v>
      </c>
      <c r="D3267" s="1" t="s">
        <v>41</v>
      </c>
      <c r="E3267" s="3">
        <v>958299</v>
      </c>
      <c r="F3267" s="1">
        <v>1357.36402266288</v>
      </c>
      <c r="H3267" s="1">
        <v>1</v>
      </c>
      <c r="J3267" s="1">
        <v>1</v>
      </c>
      <c r="K3267" s="1">
        <v>1</v>
      </c>
      <c r="M3267" s="1">
        <v>706</v>
      </c>
      <c r="N3267" s="1">
        <v>789.88</v>
      </c>
      <c r="O3267" s="1">
        <v>1631.71</v>
      </c>
      <c r="P3267" s="1">
        <v>841.83333333333303</v>
      </c>
      <c r="Q3267" s="1" t="s">
        <v>42</v>
      </c>
      <c r="S3267" s="1" t="s">
        <v>42</v>
      </c>
      <c r="T3267" s="1" t="s">
        <v>273</v>
      </c>
      <c r="AA3267" s="1">
        <v>958299</v>
      </c>
      <c r="AB3267" s="1" t="s">
        <v>2094</v>
      </c>
      <c r="AC3267" s="5">
        <v>42475</v>
      </c>
      <c r="AF3267" s="1">
        <v>10128</v>
      </c>
      <c r="AI3267" s="1" t="s">
        <v>163</v>
      </c>
      <c r="AJ3267" s="1">
        <v>1986</v>
      </c>
      <c r="AK3267" s="1" t="s">
        <v>55</v>
      </c>
      <c r="AL3267" s="1">
        <v>287</v>
      </c>
    </row>
    <row r="3268" spans="1:38" x14ac:dyDescent="0.2">
      <c r="A3268" s="2" t="str">
        <f>HYPERLINK("https://www.compass.com/listing/200-east-94th-street-unit-402-manhattan-ny-10128/29423435255914913/","200 E 94th St, Unit 402")</f>
        <v>200 E 94th St, Unit 402</v>
      </c>
      <c r="B3268" s="2" t="str">
        <f t="shared" si="554"/>
        <v>Carnegie Park Condominium</v>
      </c>
      <c r="C3268" s="1" t="s">
        <v>82</v>
      </c>
      <c r="D3268" s="1" t="s">
        <v>41</v>
      </c>
      <c r="E3268" s="3">
        <v>1027047</v>
      </c>
      <c r="F3268" s="1">
        <v>1328.6502716688201</v>
      </c>
      <c r="H3268" s="1">
        <v>1</v>
      </c>
      <c r="J3268" s="1">
        <v>1</v>
      </c>
      <c r="K3268" s="1">
        <v>1</v>
      </c>
      <c r="M3268" s="1">
        <v>773</v>
      </c>
      <c r="N3268" s="1">
        <v>893</v>
      </c>
      <c r="O3268" s="1">
        <v>1833</v>
      </c>
      <c r="P3268" s="1">
        <v>940</v>
      </c>
      <c r="Q3268" s="1" t="s">
        <v>42</v>
      </c>
      <c r="S3268" s="1" t="s">
        <v>42</v>
      </c>
      <c r="T3268" s="1" t="s">
        <v>273</v>
      </c>
      <c r="AA3268" s="1">
        <v>1027046.66</v>
      </c>
      <c r="AB3268" s="1" t="s">
        <v>2095</v>
      </c>
      <c r="AC3268" s="5">
        <v>42485</v>
      </c>
      <c r="AF3268" s="1">
        <v>10128</v>
      </c>
      <c r="AI3268" s="1" t="s">
        <v>163</v>
      </c>
      <c r="AJ3268" s="1">
        <v>1986</v>
      </c>
      <c r="AK3268" s="1" t="s">
        <v>55</v>
      </c>
      <c r="AL3268" s="1">
        <v>287</v>
      </c>
    </row>
    <row r="3269" spans="1:38" x14ac:dyDescent="0.2">
      <c r="A3269" s="2" t="str">
        <f>HYPERLINK("https://www.compass.com/listing/200-east-94th-street-unit-602-manhattan-ny-10128/29423449231336177/","200 E 94th St, Unit 602")</f>
        <v>200 E 94th St, Unit 602</v>
      </c>
      <c r="B3269" s="2" t="str">
        <f t="shared" si="554"/>
        <v>Carnegie Park Condominium</v>
      </c>
      <c r="C3269" s="1" t="s">
        <v>82</v>
      </c>
      <c r="D3269" s="1" t="s">
        <v>41</v>
      </c>
      <c r="E3269" s="3">
        <v>1009247</v>
      </c>
      <c r="F3269" s="1">
        <v>1305.62306597671</v>
      </c>
      <c r="H3269" s="1">
        <v>1</v>
      </c>
      <c r="J3269" s="1">
        <v>1</v>
      </c>
      <c r="M3269" s="1">
        <v>773</v>
      </c>
      <c r="N3269" s="1">
        <v>846</v>
      </c>
      <c r="O3269" s="1">
        <v>1745</v>
      </c>
      <c r="P3269" s="1">
        <v>899</v>
      </c>
      <c r="Q3269" s="1" t="s">
        <v>42</v>
      </c>
      <c r="S3269" s="1" t="s">
        <v>42</v>
      </c>
      <c r="T3269" s="1" t="s">
        <v>273</v>
      </c>
      <c r="AA3269" s="1">
        <v>1009246.63</v>
      </c>
      <c r="AB3269" s="1" t="s">
        <v>2096</v>
      </c>
      <c r="AC3269" s="5">
        <v>42480</v>
      </c>
      <c r="AF3269" s="1">
        <v>10128</v>
      </c>
      <c r="AI3269" s="1" t="s">
        <v>163</v>
      </c>
      <c r="AJ3269" s="1">
        <v>1986</v>
      </c>
      <c r="AK3269" s="1" t="s">
        <v>55</v>
      </c>
      <c r="AL3269" s="1">
        <v>287</v>
      </c>
    </row>
    <row r="3270" spans="1:38" x14ac:dyDescent="0.2">
      <c r="A3270" s="2" t="str">
        <f>HYPERLINK("https://www.compass.com/listing/200-east-94th-street-unit-1111-manhattan-ny-10128/29423470815280401/","200 E 94th St, Unit 1111")</f>
        <v>200 E 94th St, Unit 1111</v>
      </c>
      <c r="B3270" s="2" t="str">
        <f t="shared" si="554"/>
        <v>Carnegie Park Condominium</v>
      </c>
      <c r="C3270" s="1" t="s">
        <v>82</v>
      </c>
      <c r="D3270" s="1" t="s">
        <v>41</v>
      </c>
      <c r="E3270" s="3">
        <v>1200600</v>
      </c>
      <c r="F3270" s="1">
        <v>1405.85455503512</v>
      </c>
      <c r="H3270" s="1">
        <v>1</v>
      </c>
      <c r="J3270" s="1">
        <v>1</v>
      </c>
      <c r="K3270" s="1">
        <v>1</v>
      </c>
      <c r="M3270" s="1">
        <v>854</v>
      </c>
      <c r="N3270" s="1">
        <v>944</v>
      </c>
      <c r="O3270" s="1">
        <v>1969</v>
      </c>
      <c r="P3270" s="1">
        <v>1025</v>
      </c>
      <c r="Q3270" s="1" t="s">
        <v>42</v>
      </c>
      <c r="S3270" s="1" t="s">
        <v>42</v>
      </c>
      <c r="T3270" s="1" t="s">
        <v>273</v>
      </c>
      <c r="AA3270" s="1">
        <v>1200599.79</v>
      </c>
      <c r="AB3270" s="1" t="s">
        <v>2097</v>
      </c>
      <c r="AC3270" s="5">
        <v>42374</v>
      </c>
      <c r="AF3270" s="1">
        <v>10128</v>
      </c>
      <c r="AI3270" s="1" t="s">
        <v>163</v>
      </c>
      <c r="AJ3270" s="1">
        <v>1986</v>
      </c>
      <c r="AK3270" s="1" t="s">
        <v>55</v>
      </c>
      <c r="AL3270" s="1">
        <v>287</v>
      </c>
    </row>
    <row r="3271" spans="1:38" x14ac:dyDescent="0.2">
      <c r="A3271" s="2" t="str">
        <f>HYPERLINK("https://www.compass.com/listing/200-east-94th-street-unit-1511-manhattan-ny-10128/29423478608297361/","200 E 94th St, Unit 1511")</f>
        <v>200 E 94th St, Unit 1511</v>
      </c>
      <c r="B3271" s="2" t="str">
        <f t="shared" si="554"/>
        <v>Carnegie Park Condominium</v>
      </c>
      <c r="C3271" s="1" t="s">
        <v>82</v>
      </c>
      <c r="D3271" s="1" t="s">
        <v>41</v>
      </c>
      <c r="E3271" s="3">
        <v>966431</v>
      </c>
      <c r="F3271" s="1">
        <v>1131.65194379391</v>
      </c>
      <c r="H3271" s="1">
        <v>1</v>
      </c>
      <c r="J3271" s="1">
        <v>1</v>
      </c>
      <c r="K3271" s="1">
        <v>1</v>
      </c>
      <c r="M3271" s="1">
        <v>854</v>
      </c>
      <c r="N3271" s="1">
        <v>1018</v>
      </c>
      <c r="O3271" s="1">
        <v>1871</v>
      </c>
      <c r="P3271" s="1">
        <v>853</v>
      </c>
      <c r="Q3271" s="1" t="s">
        <v>42</v>
      </c>
      <c r="S3271" s="1" t="s">
        <v>42</v>
      </c>
      <c r="T3271" s="1" t="s">
        <v>273</v>
      </c>
      <c r="AA3271" s="1">
        <v>966430.76</v>
      </c>
      <c r="AB3271" s="1" t="s">
        <v>2098</v>
      </c>
      <c r="AC3271" s="5">
        <v>42352</v>
      </c>
      <c r="AF3271" s="1">
        <v>10128</v>
      </c>
      <c r="AI3271" s="1" t="s">
        <v>163</v>
      </c>
      <c r="AJ3271" s="1">
        <v>1986</v>
      </c>
      <c r="AK3271" s="1" t="s">
        <v>55</v>
      </c>
      <c r="AL3271" s="1">
        <v>287</v>
      </c>
    </row>
    <row r="3272" spans="1:38" x14ac:dyDescent="0.2">
      <c r="A3272" s="2" t="str">
        <f>HYPERLINK("https://www.compass.com/listing/200-east-94th-street-unit-1611-manhattan-ny-10128/29423479824654529/","200 E 94th St, Unit 1611")</f>
        <v>200 E 94th St, Unit 1611</v>
      </c>
      <c r="B3272" s="2" t="str">
        <f t="shared" si="554"/>
        <v>Carnegie Park Condominium</v>
      </c>
      <c r="C3272" s="1" t="s">
        <v>82</v>
      </c>
      <c r="D3272" s="1" t="s">
        <v>41</v>
      </c>
      <c r="E3272" s="3">
        <v>1246459</v>
      </c>
      <c r="F3272" s="1">
        <v>1459.5538641686101</v>
      </c>
      <c r="H3272" s="1">
        <v>1</v>
      </c>
      <c r="J3272" s="1">
        <v>1</v>
      </c>
      <c r="K3272" s="1">
        <v>1</v>
      </c>
      <c r="M3272" s="1">
        <v>854</v>
      </c>
      <c r="N3272" s="1">
        <v>1020.9</v>
      </c>
      <c r="O3272" s="1">
        <v>1107.31666666666</v>
      </c>
      <c r="P3272" s="1">
        <v>86.4166666666666</v>
      </c>
      <c r="Q3272" s="1" t="s">
        <v>42</v>
      </c>
      <c r="S3272" s="1" t="s">
        <v>42</v>
      </c>
      <c r="T3272" s="1" t="s">
        <v>273</v>
      </c>
      <c r="AA3272" s="1">
        <v>1246459</v>
      </c>
      <c r="AB3272" s="1" t="s">
        <v>2099</v>
      </c>
      <c r="AC3272" s="5">
        <v>42397</v>
      </c>
      <c r="AF3272" s="1">
        <v>10128</v>
      </c>
      <c r="AI3272" s="1" t="s">
        <v>163</v>
      </c>
      <c r="AJ3272" s="1">
        <v>1986</v>
      </c>
      <c r="AK3272" s="1" t="s">
        <v>55</v>
      </c>
      <c r="AL3272" s="1">
        <v>287</v>
      </c>
    </row>
    <row r="3273" spans="1:38" x14ac:dyDescent="0.2">
      <c r="A3273" s="2" t="str">
        <f>HYPERLINK("https://www.compass.com/listing/200-east-94th-street-unit-1711-manhattan-ny-10128/29423481502367185/","200 E 94th St, Unit 1711")</f>
        <v>200 E 94th St, Unit 1711</v>
      </c>
      <c r="B3273" s="2" t="str">
        <f t="shared" si="554"/>
        <v>Carnegie Park Condominium</v>
      </c>
      <c r="C3273" s="1" t="s">
        <v>82</v>
      </c>
      <c r="D3273" s="1" t="s">
        <v>41</v>
      </c>
      <c r="E3273" s="3">
        <v>986815</v>
      </c>
      <c r="F3273" s="1">
        <v>1155.52077283372</v>
      </c>
      <c r="H3273" s="1">
        <v>1</v>
      </c>
      <c r="J3273" s="1">
        <v>1</v>
      </c>
      <c r="K3273" s="1">
        <v>1</v>
      </c>
      <c r="M3273" s="1">
        <v>854</v>
      </c>
      <c r="N3273" s="1">
        <v>1023</v>
      </c>
      <c r="O3273" s="1">
        <v>1896</v>
      </c>
      <c r="P3273" s="1">
        <v>873</v>
      </c>
      <c r="Q3273" s="1" t="s">
        <v>42</v>
      </c>
      <c r="S3273" s="1" t="s">
        <v>42</v>
      </c>
      <c r="T3273" s="1" t="s">
        <v>273</v>
      </c>
      <c r="AA3273" s="1">
        <v>986814.74</v>
      </c>
      <c r="AB3273" s="1" t="s">
        <v>2100</v>
      </c>
      <c r="AC3273" s="5">
        <v>42376</v>
      </c>
      <c r="AF3273" s="1">
        <v>10128</v>
      </c>
      <c r="AI3273" s="1" t="s">
        <v>163</v>
      </c>
      <c r="AJ3273" s="1">
        <v>1986</v>
      </c>
      <c r="AK3273" s="1" t="s">
        <v>55</v>
      </c>
      <c r="AL3273" s="1">
        <v>287</v>
      </c>
    </row>
    <row r="3274" spans="1:38" x14ac:dyDescent="0.2">
      <c r="A3274" s="2" t="str">
        <f>HYPERLINK("https://www.compass.com/listing/200-east-94th-street-unit-2216-manhattan-ny-10128/29423491618973201/","200 E 94th St, Unit 2216")</f>
        <v>200 E 94th St, Unit 2216</v>
      </c>
      <c r="B3274" s="2" t="str">
        <f t="shared" si="554"/>
        <v>Carnegie Park Condominium</v>
      </c>
      <c r="C3274" s="1" t="s">
        <v>82</v>
      </c>
      <c r="D3274" s="1" t="s">
        <v>41</v>
      </c>
      <c r="E3274" s="3">
        <v>1031972</v>
      </c>
      <c r="F3274" s="1">
        <v>1465.8689914772699</v>
      </c>
      <c r="H3274" s="1">
        <v>1</v>
      </c>
      <c r="J3274" s="1">
        <v>1</v>
      </c>
      <c r="K3274" s="1">
        <v>1</v>
      </c>
      <c r="M3274" s="1">
        <v>704</v>
      </c>
      <c r="N3274" s="1">
        <v>832</v>
      </c>
      <c r="O3274" s="1">
        <v>1730</v>
      </c>
      <c r="P3274" s="1">
        <v>898</v>
      </c>
      <c r="Q3274" s="1" t="s">
        <v>42</v>
      </c>
      <c r="S3274" s="1" t="s">
        <v>42</v>
      </c>
      <c r="T3274" s="1" t="s">
        <v>273</v>
      </c>
      <c r="AA3274" s="1">
        <v>1031971.77</v>
      </c>
      <c r="AB3274" s="1" t="s">
        <v>2101</v>
      </c>
      <c r="AC3274" s="5">
        <v>42327</v>
      </c>
      <c r="AF3274" s="1">
        <v>10128</v>
      </c>
      <c r="AI3274" s="1" t="s">
        <v>163</v>
      </c>
      <c r="AJ3274" s="1">
        <v>1986</v>
      </c>
      <c r="AK3274" s="1" t="s">
        <v>55</v>
      </c>
      <c r="AL3274" s="1">
        <v>287</v>
      </c>
    </row>
    <row r="3275" spans="1:38" x14ac:dyDescent="0.2">
      <c r="A3275" s="2" t="str">
        <f>HYPERLINK("https://www.compass.com/listing/200-east-94th-street-unit-2211-manhattan-ny-10128/29423492608828961/","200 E 94th St, Unit 2211")</f>
        <v>200 E 94th St, Unit 2211</v>
      </c>
      <c r="B3275" s="2" t="str">
        <f t="shared" si="554"/>
        <v>Carnegie Park Condominium</v>
      </c>
      <c r="C3275" s="1" t="s">
        <v>82</v>
      </c>
      <c r="D3275" s="1" t="s">
        <v>41</v>
      </c>
      <c r="E3275" s="3">
        <v>1239175</v>
      </c>
      <c r="F3275" s="1">
        <v>1451.02428571428</v>
      </c>
      <c r="H3275" s="1">
        <v>1</v>
      </c>
      <c r="J3275" s="1">
        <v>1</v>
      </c>
      <c r="K3275" s="1">
        <v>1</v>
      </c>
      <c r="M3275" s="1">
        <v>854</v>
      </c>
      <c r="N3275" s="1">
        <v>1024</v>
      </c>
      <c r="O3275" s="1">
        <v>2099</v>
      </c>
      <c r="P3275" s="1">
        <v>1075</v>
      </c>
      <c r="Q3275" s="1" t="s">
        <v>42</v>
      </c>
      <c r="S3275" s="1" t="s">
        <v>42</v>
      </c>
      <c r="T3275" s="1" t="s">
        <v>273</v>
      </c>
      <c r="AA3275" s="1">
        <v>1239174.74</v>
      </c>
      <c r="AB3275" s="1" t="s">
        <v>2102</v>
      </c>
      <c r="AC3275" s="5">
        <v>42424</v>
      </c>
      <c r="AF3275" s="1">
        <v>10128</v>
      </c>
      <c r="AI3275" s="1" t="s">
        <v>163</v>
      </c>
      <c r="AJ3275" s="1">
        <v>1986</v>
      </c>
      <c r="AK3275" s="1" t="s">
        <v>55</v>
      </c>
      <c r="AL3275" s="1">
        <v>287</v>
      </c>
    </row>
    <row r="3276" spans="1:38" x14ac:dyDescent="0.2">
      <c r="A3276" s="2" t="str">
        <f>HYPERLINK("https://www.compass.com/listing/200-east-94th-street-unit-2311-manhattan-ny-10128/785240673996433153/","200 E 94th St, Unit 2311")</f>
        <v>200 E 94th St, Unit 2311</v>
      </c>
      <c r="B3276" s="2" t="str">
        <f t="shared" si="554"/>
        <v>Carnegie Park Condominium</v>
      </c>
      <c r="C3276" s="1" t="s">
        <v>82</v>
      </c>
      <c r="D3276" s="1" t="s">
        <v>41</v>
      </c>
      <c r="E3276" s="3">
        <v>1120000</v>
      </c>
      <c r="F3276" s="1">
        <v>1311.47540983606</v>
      </c>
      <c r="H3276" s="1">
        <v>1</v>
      </c>
      <c r="J3276" s="1">
        <v>1</v>
      </c>
      <c r="K3276" s="1">
        <v>1</v>
      </c>
      <c r="M3276" s="1">
        <v>854</v>
      </c>
      <c r="N3276" s="1">
        <v>968</v>
      </c>
      <c r="O3276" s="1">
        <v>1996</v>
      </c>
      <c r="P3276" s="1">
        <v>1028</v>
      </c>
      <c r="Q3276" s="1" t="s">
        <v>42</v>
      </c>
      <c r="S3276" s="1" t="s">
        <v>42</v>
      </c>
      <c r="T3276" s="1" t="s">
        <v>273</v>
      </c>
      <c r="AA3276" s="1">
        <v>1120000</v>
      </c>
      <c r="AB3276" s="1" t="s">
        <v>2103</v>
      </c>
      <c r="AC3276" s="5">
        <v>44322</v>
      </c>
      <c r="AF3276" s="1">
        <v>10128</v>
      </c>
      <c r="AI3276" s="1" t="s">
        <v>163</v>
      </c>
      <c r="AJ3276" s="1">
        <v>1986</v>
      </c>
      <c r="AK3276" s="1" t="s">
        <v>55</v>
      </c>
      <c r="AL3276" s="1">
        <v>287</v>
      </c>
    </row>
    <row r="3277" spans="1:38" x14ac:dyDescent="0.2">
      <c r="A3277" s="2" t="str">
        <f>HYPERLINK("https://www.compass.com/listing/360-east-89th-street-unit-8a-manhattan-ny-10128/29424450671859425/","360 E 89th St, Unit 8A")</f>
        <v>360 E 89th St, Unit 8A</v>
      </c>
      <c r="B3277" s="2" t="str">
        <f t="shared" ref="B3277:B3280" si="555">HYPERLINK("https://www.compass.com/building/citizen360-manhattan-ny/282052027553444853/","Citizen360")</f>
        <v>Citizen360</v>
      </c>
      <c r="C3277" s="1" t="s">
        <v>82</v>
      </c>
      <c r="D3277" s="1" t="s">
        <v>41</v>
      </c>
      <c r="E3277" s="3">
        <v>4890350</v>
      </c>
      <c r="F3277" s="1">
        <v>2200.87758775877</v>
      </c>
      <c r="G3277" s="1">
        <v>5</v>
      </c>
      <c r="H3277" s="1">
        <v>3</v>
      </c>
      <c r="I3277" s="1">
        <v>3</v>
      </c>
      <c r="J3277" s="1">
        <v>3.5</v>
      </c>
      <c r="K3277" s="1">
        <v>3</v>
      </c>
      <c r="L3277" s="1">
        <v>1</v>
      </c>
      <c r="M3277" s="4">
        <v>2222</v>
      </c>
      <c r="N3277" s="1">
        <v>2438</v>
      </c>
      <c r="O3277" s="1">
        <v>5274</v>
      </c>
      <c r="P3277" s="1">
        <v>2836</v>
      </c>
      <c r="Q3277" s="1" t="s">
        <v>42</v>
      </c>
      <c r="S3277" s="1" t="s">
        <v>42</v>
      </c>
      <c r="T3277" s="1" t="s">
        <v>273</v>
      </c>
      <c r="U3277" s="1">
        <v>26</v>
      </c>
      <c r="V3277" s="5">
        <v>43641</v>
      </c>
      <c r="W3277" s="5">
        <v>42670</v>
      </c>
      <c r="X3277" s="1">
        <v>5000000</v>
      </c>
      <c r="Y3277" s="1">
        <v>5000000</v>
      </c>
      <c r="Z3277" s="5">
        <v>42696</v>
      </c>
      <c r="AA3277" s="1">
        <v>4890350</v>
      </c>
      <c r="AB3277" s="1" t="s">
        <v>2104</v>
      </c>
      <c r="AC3277" s="5">
        <v>43088</v>
      </c>
      <c r="AF3277" s="1">
        <v>10128</v>
      </c>
      <c r="AI3277" s="1" t="s">
        <v>177</v>
      </c>
      <c r="AJ3277" s="1">
        <v>2017</v>
      </c>
      <c r="AK3277" s="1" t="s">
        <v>46</v>
      </c>
      <c r="AL3277" s="1">
        <v>82</v>
      </c>
    </row>
    <row r="3278" spans="1:38" x14ac:dyDescent="0.2">
      <c r="A3278" s="2" t="str">
        <f>HYPERLINK("https://www.compass.com/listing/360-east-89th-street-unit-18a-manhattan-ny-10128/29424459169452129/","360 E 89th St, Unit 18A")</f>
        <v>360 E 89th St, Unit 18A</v>
      </c>
      <c r="B3278" s="2" t="str">
        <f t="shared" si="555"/>
        <v>Citizen360</v>
      </c>
      <c r="C3278" s="1" t="s">
        <v>82</v>
      </c>
      <c r="D3278" s="1" t="s">
        <v>41</v>
      </c>
      <c r="E3278" s="3">
        <v>3815000</v>
      </c>
      <c r="F3278" s="1">
        <v>1861.88384577842</v>
      </c>
      <c r="G3278" s="1">
        <v>5</v>
      </c>
      <c r="H3278" s="1">
        <v>3</v>
      </c>
      <c r="I3278" s="1">
        <v>3</v>
      </c>
      <c r="J3278" s="1">
        <v>3.5</v>
      </c>
      <c r="K3278" s="1">
        <v>3</v>
      </c>
      <c r="L3278" s="1">
        <v>1</v>
      </c>
      <c r="M3278" s="4">
        <v>2049</v>
      </c>
      <c r="N3278" s="1">
        <v>2033</v>
      </c>
      <c r="O3278" s="1">
        <v>4397</v>
      </c>
      <c r="P3278" s="1">
        <v>2364</v>
      </c>
      <c r="Q3278" s="1" t="s">
        <v>42</v>
      </c>
      <c r="S3278" s="1" t="s">
        <v>42</v>
      </c>
      <c r="T3278" s="1" t="s">
        <v>273</v>
      </c>
      <c r="U3278" s="1">
        <v>158</v>
      </c>
      <c r="V3278" s="5">
        <v>43648</v>
      </c>
      <c r="W3278" s="5">
        <v>42671</v>
      </c>
      <c r="X3278" s="1">
        <v>3960000</v>
      </c>
      <c r="Y3278" s="1">
        <v>3960000</v>
      </c>
      <c r="Z3278" s="5">
        <v>42829</v>
      </c>
      <c r="AA3278" s="1">
        <v>3815000</v>
      </c>
      <c r="AB3278" s="1" t="s">
        <v>2105</v>
      </c>
      <c r="AC3278" s="5">
        <v>43168</v>
      </c>
      <c r="AF3278" s="1">
        <v>10128</v>
      </c>
      <c r="AJ3278" s="1">
        <v>2017</v>
      </c>
      <c r="AK3278" s="1" t="s">
        <v>108</v>
      </c>
      <c r="AL3278" s="1">
        <v>82</v>
      </c>
    </row>
    <row r="3279" spans="1:38" x14ac:dyDescent="0.2">
      <c r="A3279" s="2" t="str">
        <f>HYPERLINK("https://www.compass.com/listing/360-east-89th-street-unit-20a-manhattan-ny-10128/29424460100654961/","360 E 89th St, Unit 20A")</f>
        <v>360 E 89th St, Unit 20A</v>
      </c>
      <c r="B3279" s="2" t="str">
        <f t="shared" si="555"/>
        <v>Citizen360</v>
      </c>
      <c r="C3279" s="1" t="s">
        <v>82</v>
      </c>
      <c r="D3279" s="1" t="s">
        <v>41</v>
      </c>
      <c r="E3279" s="3">
        <v>3850000</v>
      </c>
      <c r="G3279" s="1">
        <v>5</v>
      </c>
      <c r="H3279" s="1">
        <v>3</v>
      </c>
      <c r="I3279" s="1">
        <v>3</v>
      </c>
      <c r="J3279" s="1">
        <v>3.5</v>
      </c>
      <c r="K3279" s="1">
        <v>3</v>
      </c>
      <c r="L3279" s="1">
        <v>1</v>
      </c>
      <c r="N3279" s="1">
        <v>2051</v>
      </c>
      <c r="O3279" s="1">
        <v>4437</v>
      </c>
      <c r="P3279" s="1">
        <v>2386</v>
      </c>
      <c r="Q3279" s="1" t="s">
        <v>42</v>
      </c>
      <c r="S3279" s="1" t="s">
        <v>42</v>
      </c>
      <c r="T3279" s="1" t="s">
        <v>273</v>
      </c>
      <c r="V3279" s="5">
        <v>43199</v>
      </c>
      <c r="W3279" s="5">
        <v>43188</v>
      </c>
      <c r="X3279" s="1">
        <v>3850000</v>
      </c>
      <c r="Y3279" s="1">
        <v>3850000</v>
      </c>
      <c r="AA3279" s="1">
        <v>3850000</v>
      </c>
      <c r="AB3279" s="1" t="s">
        <v>2068</v>
      </c>
      <c r="AC3279" s="5">
        <v>43188</v>
      </c>
      <c r="AF3279" s="1">
        <v>10128</v>
      </c>
      <c r="AJ3279" s="1">
        <v>2017</v>
      </c>
      <c r="AK3279" s="1" t="s">
        <v>46</v>
      </c>
      <c r="AL3279" s="1">
        <v>82</v>
      </c>
    </row>
    <row r="3280" spans="1:38" x14ac:dyDescent="0.2">
      <c r="A3280" s="2" t="str">
        <f>HYPERLINK("https://www.compass.com/listing/360-east-89th-street-unit-23a-manhattan-ny-10128/29514383562409745/","360 E 89th St, Unit 23A")</f>
        <v>360 E 89th St, Unit 23A</v>
      </c>
      <c r="B3280" s="2" t="str">
        <f t="shared" si="555"/>
        <v>Citizen360</v>
      </c>
      <c r="C3280" s="1" t="s">
        <v>82</v>
      </c>
      <c r="D3280" s="1" t="s">
        <v>41</v>
      </c>
      <c r="E3280" s="3">
        <v>4100000</v>
      </c>
      <c r="F3280" s="1">
        <v>2000.9760858955501</v>
      </c>
      <c r="G3280" s="1">
        <v>6</v>
      </c>
      <c r="H3280" s="1">
        <v>3</v>
      </c>
      <c r="I3280" s="1">
        <v>3</v>
      </c>
      <c r="J3280" s="1">
        <v>3.5</v>
      </c>
      <c r="K3280" s="1">
        <v>3</v>
      </c>
      <c r="L3280" s="1">
        <v>1</v>
      </c>
      <c r="M3280" s="4">
        <v>2049</v>
      </c>
      <c r="N3280" s="1">
        <v>2080</v>
      </c>
      <c r="O3280" s="1">
        <v>3197</v>
      </c>
      <c r="P3280" s="1">
        <v>1117</v>
      </c>
      <c r="Q3280" s="1" t="s">
        <v>42</v>
      </c>
      <c r="S3280" s="1" t="s">
        <v>42</v>
      </c>
      <c r="T3280" s="1" t="s">
        <v>273</v>
      </c>
      <c r="V3280" s="5">
        <v>43659</v>
      </c>
      <c r="W3280" s="5">
        <v>43258</v>
      </c>
      <c r="X3280" s="1">
        <v>4235000</v>
      </c>
      <c r="Y3280" s="1">
        <v>4235000</v>
      </c>
      <c r="Z3280" s="5">
        <v>43258</v>
      </c>
      <c r="AA3280" s="1">
        <v>4100000</v>
      </c>
      <c r="AB3280" s="1" t="s">
        <v>2106</v>
      </c>
      <c r="AC3280" s="5">
        <v>43326</v>
      </c>
      <c r="AF3280" s="1">
        <v>10128</v>
      </c>
      <c r="AJ3280" s="1">
        <v>2017</v>
      </c>
      <c r="AK3280" s="1" t="s">
        <v>46</v>
      </c>
      <c r="AL3280" s="1">
        <v>82</v>
      </c>
    </row>
    <row r="3281" spans="1:38" x14ac:dyDescent="0.2">
      <c r="A3281" s="2" t="str">
        <f>HYPERLINK("https://www.compass.com/listing/200-east-94th-street-unit-220-manhattan-ny-10128/167861949370000961/","200 E 94th St, Unit 220")</f>
        <v>200 E 94th St, Unit 220</v>
      </c>
      <c r="B3281" s="2" t="str">
        <f t="shared" ref="B3281:B3295" si="556">HYPERLINK("https://www.compass.com/building/carnegie-park-condominium-manhattan-ny/282049797358118613/","Carnegie Park Condominium")</f>
        <v>Carnegie Park Condominium</v>
      </c>
      <c r="C3281" s="1" t="s">
        <v>82</v>
      </c>
      <c r="D3281" s="1" t="s">
        <v>41</v>
      </c>
      <c r="E3281" s="3">
        <v>868976</v>
      </c>
      <c r="F3281" s="1">
        <v>1196.9360468319501</v>
      </c>
      <c r="H3281" s="1">
        <v>1</v>
      </c>
      <c r="J3281" s="1">
        <v>1</v>
      </c>
      <c r="M3281" s="1">
        <v>726</v>
      </c>
      <c r="N3281" s="1">
        <v>787</v>
      </c>
      <c r="O3281" s="1">
        <v>1623</v>
      </c>
      <c r="P3281" s="1">
        <v>836</v>
      </c>
      <c r="Q3281" s="1" t="s">
        <v>42</v>
      </c>
      <c r="S3281" s="1" t="s">
        <v>42</v>
      </c>
      <c r="T3281" s="1" t="s">
        <v>273</v>
      </c>
      <c r="AA3281" s="1">
        <v>868975.57</v>
      </c>
      <c r="AB3281" s="1" t="s">
        <v>2107</v>
      </c>
      <c r="AC3281" s="5">
        <v>42454</v>
      </c>
      <c r="AF3281" s="1">
        <v>10128</v>
      </c>
      <c r="AI3281" s="1" t="s">
        <v>163</v>
      </c>
      <c r="AJ3281" s="1">
        <v>1986</v>
      </c>
      <c r="AK3281" s="1" t="s">
        <v>55</v>
      </c>
      <c r="AL3281" s="1">
        <v>287</v>
      </c>
    </row>
    <row r="3282" spans="1:38" x14ac:dyDescent="0.2">
      <c r="A3282" s="2" t="str">
        <f>HYPERLINK("https://www.compass.com/listing/200-east-94th-street-unit-606-manhattan-ny-10128/167862003996597121/","200 E 94th St, Unit 606")</f>
        <v>200 E 94th St, Unit 606</v>
      </c>
      <c r="B3282" s="2" t="str">
        <f t="shared" si="556"/>
        <v>Carnegie Park Condominium</v>
      </c>
      <c r="C3282" s="1" t="s">
        <v>82</v>
      </c>
      <c r="D3282" s="1" t="s">
        <v>41</v>
      </c>
      <c r="E3282" s="3">
        <v>899495</v>
      </c>
      <c r="F3282" s="1">
        <v>1263.3350561797699</v>
      </c>
      <c r="H3282" s="1">
        <v>1</v>
      </c>
      <c r="J3282" s="1">
        <v>1</v>
      </c>
      <c r="M3282" s="1">
        <v>712</v>
      </c>
      <c r="N3282" s="1">
        <v>780</v>
      </c>
      <c r="O3282" s="1">
        <v>1609</v>
      </c>
      <c r="P3282" s="1">
        <v>829</v>
      </c>
      <c r="Q3282" s="1" t="s">
        <v>42</v>
      </c>
      <c r="S3282" s="1" t="s">
        <v>42</v>
      </c>
      <c r="T3282" s="1" t="s">
        <v>273</v>
      </c>
      <c r="AA3282" s="1">
        <v>899494.56</v>
      </c>
      <c r="AB3282" s="1" t="s">
        <v>2108</v>
      </c>
      <c r="AC3282" s="5">
        <v>42444</v>
      </c>
      <c r="AF3282" s="1">
        <v>10128</v>
      </c>
      <c r="AI3282" s="1" t="s">
        <v>163</v>
      </c>
      <c r="AJ3282" s="1">
        <v>1986</v>
      </c>
      <c r="AK3282" s="1" t="s">
        <v>55</v>
      </c>
      <c r="AL3282" s="1">
        <v>287</v>
      </c>
    </row>
    <row r="3283" spans="1:38" x14ac:dyDescent="0.2">
      <c r="A3283" s="2" t="str">
        <f>HYPERLINK("https://www.compass.com/listing/200-east-94th-street-unit-126-manhattan-ny-10128/29423418872963121/","200 E 94th St, Unit 126")</f>
        <v>200 E 94th St, Unit 126</v>
      </c>
      <c r="B3283" s="2" t="str">
        <f t="shared" si="556"/>
        <v>Carnegie Park Condominium</v>
      </c>
      <c r="C3283" s="1" t="s">
        <v>82</v>
      </c>
      <c r="D3283" s="1" t="s">
        <v>41</v>
      </c>
      <c r="E3283" s="3">
        <v>868862</v>
      </c>
      <c r="F3283" s="1">
        <v>1234.1782954545399</v>
      </c>
      <c r="H3283" s="1">
        <v>1</v>
      </c>
      <c r="J3283" s="1">
        <v>1</v>
      </c>
      <c r="K3283" s="1">
        <v>1</v>
      </c>
      <c r="M3283" s="1">
        <v>704</v>
      </c>
      <c r="N3283" s="1">
        <v>788</v>
      </c>
      <c r="O3283" s="1">
        <v>1611</v>
      </c>
      <c r="P3283" s="1">
        <v>823</v>
      </c>
      <c r="Q3283" s="1" t="s">
        <v>42</v>
      </c>
      <c r="S3283" s="1" t="s">
        <v>42</v>
      </c>
      <c r="T3283" s="1" t="s">
        <v>273</v>
      </c>
      <c r="AA3283" s="1">
        <v>868861.52</v>
      </c>
      <c r="AB3283" s="1" t="s">
        <v>2109</v>
      </c>
      <c r="AC3283" s="5">
        <v>42495</v>
      </c>
      <c r="AF3283" s="1">
        <v>10128</v>
      </c>
      <c r="AI3283" s="1" t="s">
        <v>163</v>
      </c>
      <c r="AJ3283" s="1">
        <v>1986</v>
      </c>
      <c r="AK3283" s="1" t="s">
        <v>55</v>
      </c>
      <c r="AL3283" s="1">
        <v>287</v>
      </c>
    </row>
    <row r="3284" spans="1:38" x14ac:dyDescent="0.2">
      <c r="A3284" s="2" t="str">
        <f>HYPERLINK("https://www.compass.com/listing/200-east-94th-street-unit-316-manhattan-ny-10128/29423423218317649/","200 E 94th St, Unit 316")</f>
        <v>200 E 94th St, Unit 316</v>
      </c>
      <c r="B3284" s="2" t="str">
        <f t="shared" si="556"/>
        <v>Carnegie Park Condominium</v>
      </c>
      <c r="C3284" s="1" t="s">
        <v>82</v>
      </c>
      <c r="D3284" s="1" t="s">
        <v>41</v>
      </c>
      <c r="E3284" s="3">
        <v>873972</v>
      </c>
      <c r="F3284" s="1">
        <v>1241.43767045454</v>
      </c>
      <c r="H3284" s="1">
        <v>1</v>
      </c>
      <c r="J3284" s="1">
        <v>1</v>
      </c>
      <c r="K3284" s="1">
        <v>1</v>
      </c>
      <c r="M3284" s="1">
        <v>704</v>
      </c>
      <c r="N3284" s="1">
        <v>791</v>
      </c>
      <c r="O3284" s="1">
        <v>1618</v>
      </c>
      <c r="P3284" s="1">
        <v>827</v>
      </c>
      <c r="Q3284" s="1" t="s">
        <v>42</v>
      </c>
      <c r="S3284" s="1" t="s">
        <v>42</v>
      </c>
      <c r="T3284" s="1" t="s">
        <v>273</v>
      </c>
      <c r="AA3284" s="1">
        <v>873972.12</v>
      </c>
      <c r="AB3284" s="1" t="s">
        <v>2110</v>
      </c>
      <c r="AC3284" s="5">
        <v>42453</v>
      </c>
      <c r="AF3284" s="1">
        <v>10128</v>
      </c>
      <c r="AI3284" s="1" t="s">
        <v>163</v>
      </c>
      <c r="AJ3284" s="1">
        <v>1986</v>
      </c>
      <c r="AK3284" s="1" t="s">
        <v>55</v>
      </c>
      <c r="AL3284" s="1">
        <v>287</v>
      </c>
    </row>
    <row r="3285" spans="1:38" x14ac:dyDescent="0.2">
      <c r="A3285" s="2" t="str">
        <f>HYPERLINK("https://www.compass.com/listing/200-east-94th-street-unit-412-manhattan-ny-10128/29423436572981841/","200 E 94th St, Unit 412")</f>
        <v>200 E 94th St, Unit 412</v>
      </c>
      <c r="B3285" s="2" t="str">
        <f t="shared" si="556"/>
        <v>Carnegie Park Condominium</v>
      </c>
      <c r="C3285" s="1" t="s">
        <v>82</v>
      </c>
      <c r="D3285" s="1" t="s">
        <v>41</v>
      </c>
      <c r="E3285" s="3">
        <v>853621</v>
      </c>
      <c r="F3285" s="1">
        <v>1210.8104680851</v>
      </c>
      <c r="H3285" s="1">
        <v>1</v>
      </c>
      <c r="J3285" s="1">
        <v>1</v>
      </c>
      <c r="K3285" s="1">
        <v>1</v>
      </c>
      <c r="M3285" s="1">
        <v>705</v>
      </c>
      <c r="N3285" s="1">
        <v>768</v>
      </c>
      <c r="O3285" s="1">
        <v>1584</v>
      </c>
      <c r="P3285" s="1">
        <v>816</v>
      </c>
      <c r="Q3285" s="1" t="s">
        <v>42</v>
      </c>
      <c r="S3285" s="1" t="s">
        <v>42</v>
      </c>
      <c r="T3285" s="1" t="s">
        <v>273</v>
      </c>
      <c r="AA3285" s="1">
        <v>853621.38</v>
      </c>
      <c r="AB3285" s="1" t="s">
        <v>2111</v>
      </c>
      <c r="AC3285" s="5">
        <v>42605</v>
      </c>
      <c r="AF3285" s="1">
        <v>10128</v>
      </c>
      <c r="AI3285" s="1" t="s">
        <v>163</v>
      </c>
      <c r="AJ3285" s="1">
        <v>1986</v>
      </c>
      <c r="AK3285" s="1" t="s">
        <v>55</v>
      </c>
      <c r="AL3285" s="1">
        <v>287</v>
      </c>
    </row>
    <row r="3286" spans="1:38" x14ac:dyDescent="0.2">
      <c r="A3286" s="2" t="str">
        <f>HYPERLINK("https://www.compass.com/listing/200-east-94th-street-unit-526-manhattan-ny-10128/29423438401698417/","200 E 94th St, Unit 526")</f>
        <v>200 E 94th St, Unit 526</v>
      </c>
      <c r="B3286" s="2" t="str">
        <f t="shared" si="556"/>
        <v>Carnegie Park Condominium</v>
      </c>
      <c r="C3286" s="1" t="s">
        <v>82</v>
      </c>
      <c r="D3286" s="1" t="s">
        <v>41</v>
      </c>
      <c r="E3286" s="3">
        <v>884174</v>
      </c>
      <c r="F3286" s="1">
        <v>1255.9285511363601</v>
      </c>
      <c r="H3286" s="1">
        <v>1</v>
      </c>
      <c r="J3286" s="1">
        <v>1</v>
      </c>
      <c r="K3286" s="1">
        <v>1</v>
      </c>
      <c r="M3286" s="1">
        <v>704</v>
      </c>
      <c r="N3286" s="1">
        <v>796</v>
      </c>
      <c r="O3286" s="1">
        <v>1621</v>
      </c>
      <c r="P3286" s="1">
        <v>825</v>
      </c>
      <c r="Q3286" s="1" t="s">
        <v>42</v>
      </c>
      <c r="S3286" s="1" t="s">
        <v>42</v>
      </c>
      <c r="T3286" s="1" t="s">
        <v>273</v>
      </c>
      <c r="AA3286" s="1">
        <v>884173.7</v>
      </c>
      <c r="AB3286" s="1" t="s">
        <v>2112</v>
      </c>
      <c r="AC3286" s="5">
        <v>42457</v>
      </c>
      <c r="AF3286" s="1">
        <v>10128</v>
      </c>
      <c r="AI3286" s="1" t="s">
        <v>163</v>
      </c>
      <c r="AJ3286" s="1">
        <v>1986</v>
      </c>
      <c r="AK3286" s="1" t="s">
        <v>55</v>
      </c>
      <c r="AL3286" s="1">
        <v>287</v>
      </c>
    </row>
    <row r="3287" spans="1:38" x14ac:dyDescent="0.2">
      <c r="A3287" s="2" t="str">
        <f>HYPERLINK("https://www.compass.com/listing/200-east-94th-street-unit-519-manhattan-ny-10128/29423439374776977/","200 E 94th St, Unit 519")</f>
        <v>200 E 94th St, Unit 519</v>
      </c>
      <c r="B3287" s="2" t="str">
        <f t="shared" si="556"/>
        <v>Carnegie Park Condominium</v>
      </c>
      <c r="C3287" s="1" t="s">
        <v>82</v>
      </c>
      <c r="D3287" s="1" t="s">
        <v>41</v>
      </c>
      <c r="E3287" s="3">
        <v>843562</v>
      </c>
      <c r="F3287" s="1">
        <v>1157.14995884773</v>
      </c>
      <c r="H3287" s="1">
        <v>1</v>
      </c>
      <c r="J3287" s="1">
        <v>1</v>
      </c>
      <c r="K3287" s="1">
        <v>1</v>
      </c>
      <c r="M3287" s="1">
        <v>729</v>
      </c>
      <c r="N3287" s="1">
        <v>824</v>
      </c>
      <c r="O3287" s="1">
        <v>1674</v>
      </c>
      <c r="P3287" s="1">
        <v>850</v>
      </c>
      <c r="Q3287" s="1" t="s">
        <v>42</v>
      </c>
      <c r="S3287" s="1" t="s">
        <v>42</v>
      </c>
      <c r="T3287" s="1" t="s">
        <v>273</v>
      </c>
      <c r="AA3287" s="1">
        <v>843562.32</v>
      </c>
      <c r="AB3287" s="1" t="s">
        <v>2113</v>
      </c>
      <c r="AC3287" s="5">
        <v>42328</v>
      </c>
      <c r="AF3287" s="1">
        <v>10128</v>
      </c>
      <c r="AI3287" s="1" t="s">
        <v>163</v>
      </c>
      <c r="AJ3287" s="1">
        <v>1986</v>
      </c>
      <c r="AK3287" s="1" t="s">
        <v>55</v>
      </c>
      <c r="AL3287" s="1">
        <v>287</v>
      </c>
    </row>
    <row r="3288" spans="1:38" x14ac:dyDescent="0.2">
      <c r="A3288" s="2" t="str">
        <f>HYPERLINK("https://www.compass.com/listing/200-east-94th-street-unit-506-manhattan-ny-10128/29423442965110241/","200 E 94th St, Unit 506")</f>
        <v>200 E 94th St, Unit 506</v>
      </c>
      <c r="B3288" s="2" t="str">
        <f t="shared" si="556"/>
        <v>Carnegie Park Condominium</v>
      </c>
      <c r="C3288" s="1" t="s">
        <v>82</v>
      </c>
      <c r="D3288" s="1" t="s">
        <v>41</v>
      </c>
      <c r="E3288" s="3">
        <v>890969</v>
      </c>
      <c r="F3288" s="1">
        <v>1251.36060393258</v>
      </c>
      <c r="H3288" s="1">
        <v>1</v>
      </c>
      <c r="J3288" s="1">
        <v>1</v>
      </c>
      <c r="K3288" s="1">
        <v>1</v>
      </c>
      <c r="M3288" s="1">
        <v>712</v>
      </c>
      <c r="N3288" s="1">
        <v>806</v>
      </c>
      <c r="O3288" s="1">
        <v>1485</v>
      </c>
      <c r="P3288" s="1">
        <v>679</v>
      </c>
      <c r="Q3288" s="1" t="s">
        <v>42</v>
      </c>
      <c r="S3288" s="1" t="s">
        <v>42</v>
      </c>
      <c r="T3288" s="1" t="s">
        <v>273</v>
      </c>
      <c r="AA3288" s="1">
        <v>890968.75</v>
      </c>
      <c r="AB3288" s="1" t="s">
        <v>2114</v>
      </c>
      <c r="AC3288" s="5">
        <v>42424</v>
      </c>
      <c r="AF3288" s="1">
        <v>10128</v>
      </c>
      <c r="AI3288" s="1" t="s">
        <v>163</v>
      </c>
      <c r="AJ3288" s="1">
        <v>1986</v>
      </c>
      <c r="AK3288" s="1" t="s">
        <v>55</v>
      </c>
      <c r="AL3288" s="1">
        <v>287</v>
      </c>
    </row>
    <row r="3289" spans="1:38" x14ac:dyDescent="0.2">
      <c r="A3289" s="2" t="str">
        <f>HYPERLINK("https://www.compass.com/listing/200-east-94th-street-unit-702-manhattan-ny-10128/29423455665463073/","200 E 94th St, Unit 702")</f>
        <v>200 E 94th St, Unit 702</v>
      </c>
      <c r="B3289" s="2" t="str">
        <f t="shared" si="556"/>
        <v>Carnegie Park Condominium</v>
      </c>
      <c r="C3289" s="1" t="s">
        <v>82</v>
      </c>
      <c r="D3289" s="1" t="s">
        <v>41</v>
      </c>
      <c r="E3289" s="3">
        <v>855330</v>
      </c>
      <c r="F3289" s="1">
        <v>1106.50711513583</v>
      </c>
      <c r="H3289" s="1">
        <v>1</v>
      </c>
      <c r="J3289" s="1">
        <v>1</v>
      </c>
      <c r="K3289" s="1">
        <v>1</v>
      </c>
      <c r="M3289" s="1">
        <v>773</v>
      </c>
      <c r="N3289" s="1">
        <v>848</v>
      </c>
      <c r="O3289" s="1">
        <v>1749</v>
      </c>
      <c r="P3289" s="1">
        <v>901</v>
      </c>
      <c r="Q3289" s="1" t="s">
        <v>42</v>
      </c>
      <c r="S3289" s="1" t="s">
        <v>42</v>
      </c>
      <c r="T3289" s="1" t="s">
        <v>273</v>
      </c>
      <c r="AA3289" s="1">
        <v>855330</v>
      </c>
      <c r="AB3289" s="1" t="s">
        <v>2115</v>
      </c>
      <c r="AC3289" s="5">
        <v>42345</v>
      </c>
      <c r="AF3289" s="1">
        <v>10128</v>
      </c>
      <c r="AI3289" s="1" t="s">
        <v>163</v>
      </c>
      <c r="AJ3289" s="1">
        <v>1986</v>
      </c>
      <c r="AK3289" s="1" t="s">
        <v>55</v>
      </c>
      <c r="AL3289" s="1">
        <v>287</v>
      </c>
    </row>
    <row r="3290" spans="1:38" x14ac:dyDescent="0.2">
      <c r="A3290" s="2" t="str">
        <f>HYPERLINK("https://www.compass.com/listing/200-east-94th-street-unit-912-manhattan-ny-10128/29423465765347297/","200 E 94th St, Unit 912")</f>
        <v>200 E 94th St, Unit 912</v>
      </c>
      <c r="B3290" s="2" t="str">
        <f t="shared" si="556"/>
        <v>Carnegie Park Condominium</v>
      </c>
      <c r="C3290" s="1" t="s">
        <v>82</v>
      </c>
      <c r="D3290" s="1" t="s">
        <v>41</v>
      </c>
      <c r="E3290" s="3">
        <v>858760</v>
      </c>
      <c r="F3290" s="1">
        <v>1218.0995177304901</v>
      </c>
      <c r="H3290" s="1">
        <v>1</v>
      </c>
      <c r="J3290" s="1">
        <v>1</v>
      </c>
      <c r="M3290" s="1">
        <v>705</v>
      </c>
      <c r="N3290" s="1">
        <v>779</v>
      </c>
      <c r="O3290" s="1">
        <v>1578</v>
      </c>
      <c r="P3290" s="1">
        <v>799</v>
      </c>
      <c r="Q3290" s="1" t="s">
        <v>42</v>
      </c>
      <c r="S3290" s="1" t="s">
        <v>42</v>
      </c>
      <c r="T3290" s="1" t="s">
        <v>273</v>
      </c>
      <c r="AA3290" s="1">
        <v>858760.16</v>
      </c>
      <c r="AB3290" s="1" t="s">
        <v>2116</v>
      </c>
      <c r="AC3290" s="5">
        <v>42384</v>
      </c>
      <c r="AF3290" s="1">
        <v>10128</v>
      </c>
      <c r="AI3290" s="1" t="s">
        <v>163</v>
      </c>
      <c r="AJ3290" s="1">
        <v>1986</v>
      </c>
      <c r="AK3290" s="1" t="s">
        <v>55</v>
      </c>
      <c r="AL3290" s="1">
        <v>287</v>
      </c>
    </row>
    <row r="3291" spans="1:38" x14ac:dyDescent="0.2">
      <c r="A3291" s="2" t="str">
        <f>HYPERLINK("https://www.compass.com/listing/200-east-94th-street-unit-1112-manhattan-ny-10128/29423472316785841/","200 E 94th St, Unit 1112")</f>
        <v>200 E 94th St, Unit 1112</v>
      </c>
      <c r="B3291" s="2" t="str">
        <f t="shared" si="556"/>
        <v>Carnegie Park Condominium</v>
      </c>
      <c r="C3291" s="1" t="s">
        <v>82</v>
      </c>
      <c r="D3291" s="1" t="s">
        <v>41</v>
      </c>
      <c r="E3291" s="3">
        <v>858779</v>
      </c>
      <c r="F3291" s="1">
        <v>1218.12643971631</v>
      </c>
      <c r="H3291" s="1">
        <v>1</v>
      </c>
      <c r="J3291" s="1">
        <v>1</v>
      </c>
      <c r="M3291" s="1">
        <v>705</v>
      </c>
      <c r="N3291" s="1">
        <v>783</v>
      </c>
      <c r="O3291" s="1">
        <v>1615</v>
      </c>
      <c r="P3291" s="1">
        <v>832</v>
      </c>
      <c r="Q3291" s="1" t="s">
        <v>42</v>
      </c>
      <c r="S3291" s="1" t="s">
        <v>42</v>
      </c>
      <c r="T3291" s="1" t="s">
        <v>273</v>
      </c>
      <c r="AA3291" s="1">
        <v>858779.14</v>
      </c>
      <c r="AB3291" s="1" t="s">
        <v>2117</v>
      </c>
      <c r="AC3291" s="5">
        <v>42356</v>
      </c>
      <c r="AF3291" s="1">
        <v>10128</v>
      </c>
      <c r="AI3291" s="1" t="s">
        <v>163</v>
      </c>
      <c r="AJ3291" s="1">
        <v>1986</v>
      </c>
      <c r="AK3291" s="1" t="s">
        <v>55</v>
      </c>
      <c r="AL3291" s="1">
        <v>287</v>
      </c>
    </row>
    <row r="3292" spans="1:38" x14ac:dyDescent="0.2">
      <c r="A3292" s="2" t="str">
        <f>HYPERLINK("https://www.compass.com/listing/200-east-94th-street-unit-1212-manhattan-ny-10128/29423474313274577/","200 E 94th St, Unit 1212")</f>
        <v>200 E 94th St, Unit 1212</v>
      </c>
      <c r="B3292" s="2" t="str">
        <f t="shared" si="556"/>
        <v>Carnegie Park Condominium</v>
      </c>
      <c r="C3292" s="1" t="s">
        <v>82</v>
      </c>
      <c r="D3292" s="1" t="s">
        <v>41</v>
      </c>
      <c r="E3292" s="3">
        <v>863880</v>
      </c>
      <c r="F3292" s="1">
        <v>1225.36151773049</v>
      </c>
      <c r="H3292" s="1">
        <v>1</v>
      </c>
      <c r="J3292" s="1">
        <v>1</v>
      </c>
      <c r="K3292" s="1">
        <v>1</v>
      </c>
      <c r="M3292" s="1">
        <v>705</v>
      </c>
      <c r="N3292" s="1">
        <v>841.83</v>
      </c>
      <c r="O3292" s="1">
        <v>1711.83</v>
      </c>
      <c r="P3292" s="1">
        <v>870</v>
      </c>
      <c r="Q3292" s="1" t="s">
        <v>42</v>
      </c>
      <c r="S3292" s="1" t="s">
        <v>42</v>
      </c>
      <c r="T3292" s="1" t="s">
        <v>273</v>
      </c>
      <c r="AA3292" s="1">
        <v>863879.87</v>
      </c>
      <c r="AB3292" s="1" t="s">
        <v>2118</v>
      </c>
      <c r="AC3292" s="5">
        <v>42324</v>
      </c>
      <c r="AF3292" s="1">
        <v>10128</v>
      </c>
      <c r="AI3292" s="1" t="s">
        <v>163</v>
      </c>
      <c r="AJ3292" s="1">
        <v>1986</v>
      </c>
      <c r="AK3292" s="1" t="s">
        <v>55</v>
      </c>
      <c r="AL3292" s="1">
        <v>287</v>
      </c>
    </row>
    <row r="3293" spans="1:38" x14ac:dyDescent="0.2">
      <c r="A3293" s="2" t="str">
        <f>HYPERLINK("https://www.compass.com/listing/200-east-94th-street-unit-2910-manhattan-ny-10128/29423508228417361/","200 E 94th St, Unit 2910")</f>
        <v>200 E 94th St, Unit 2910</v>
      </c>
      <c r="B3293" s="2" t="str">
        <f t="shared" si="556"/>
        <v>Carnegie Park Condominium</v>
      </c>
      <c r="C3293" s="1" t="s">
        <v>82</v>
      </c>
      <c r="D3293" s="1" t="s">
        <v>41</v>
      </c>
      <c r="E3293" s="3">
        <v>874399</v>
      </c>
      <c r="F3293" s="1">
        <v>1175.2677822580599</v>
      </c>
      <c r="H3293" s="1">
        <v>1</v>
      </c>
      <c r="M3293" s="1">
        <v>744</v>
      </c>
      <c r="N3293" s="1">
        <v>862</v>
      </c>
      <c r="O3293" s="1">
        <v>1778</v>
      </c>
      <c r="P3293" s="1">
        <v>916</v>
      </c>
      <c r="Q3293" s="1" t="s">
        <v>42</v>
      </c>
      <c r="S3293" s="1" t="s">
        <v>42</v>
      </c>
      <c r="T3293" s="1" t="s">
        <v>273</v>
      </c>
      <c r="AA3293" s="1">
        <v>874399.23</v>
      </c>
      <c r="AB3293" s="1" t="s">
        <v>2119</v>
      </c>
      <c r="AC3293" s="5">
        <v>42354</v>
      </c>
      <c r="AF3293" s="1">
        <v>10128</v>
      </c>
      <c r="AI3293" s="1" t="s">
        <v>163</v>
      </c>
      <c r="AJ3293" s="1">
        <v>1986</v>
      </c>
      <c r="AK3293" s="1" t="s">
        <v>55</v>
      </c>
      <c r="AL3293" s="1">
        <v>287</v>
      </c>
    </row>
    <row r="3294" spans="1:38" x14ac:dyDescent="0.2">
      <c r="A3294" s="2" t="str">
        <f>HYPERLINK("https://www.compass.com/listing/200-east-94th-street-unit-706-manhattan-ny-10128/29507983918567233/","200 E 94th St, Unit 706")</f>
        <v>200 E 94th St, Unit 706</v>
      </c>
      <c r="B3294" s="2" t="str">
        <f t="shared" si="556"/>
        <v>Carnegie Park Condominium</v>
      </c>
      <c r="C3294" s="1" t="s">
        <v>82</v>
      </c>
      <c r="D3294" s="1" t="s">
        <v>41</v>
      </c>
      <c r="E3294" s="3">
        <v>904596</v>
      </c>
      <c r="F3294" s="1">
        <v>1270.4999859550501</v>
      </c>
      <c r="H3294" s="1">
        <v>1</v>
      </c>
      <c r="J3294" s="1">
        <v>1</v>
      </c>
      <c r="M3294" s="1">
        <v>712</v>
      </c>
      <c r="N3294" s="1">
        <v>809</v>
      </c>
      <c r="O3294" s="1">
        <v>1500</v>
      </c>
      <c r="P3294" s="1">
        <v>691</v>
      </c>
      <c r="Q3294" s="1" t="s">
        <v>42</v>
      </c>
      <c r="S3294" s="1" t="s">
        <v>42</v>
      </c>
      <c r="T3294" s="1" t="s">
        <v>273</v>
      </c>
      <c r="AA3294" s="1">
        <v>904595.99</v>
      </c>
      <c r="AB3294" s="1" t="s">
        <v>2120</v>
      </c>
      <c r="AC3294" s="5">
        <v>42436</v>
      </c>
      <c r="AF3294" s="1">
        <v>10128</v>
      </c>
      <c r="AI3294" s="1" t="s">
        <v>163</v>
      </c>
      <c r="AJ3294" s="1">
        <v>1986</v>
      </c>
      <c r="AK3294" s="1" t="s">
        <v>55</v>
      </c>
      <c r="AL3294" s="1">
        <v>287</v>
      </c>
    </row>
    <row r="3295" spans="1:38" x14ac:dyDescent="0.2">
      <c r="A3295" s="2" t="str">
        <f>HYPERLINK("https://www.compass.com/listing/200-east-94th-street-unit-412-manhattan-ny-10128/842484911547433969/","200 E 94th St, Unit 412")</f>
        <v>200 E 94th St, Unit 412</v>
      </c>
      <c r="B3295" s="2" t="str">
        <f t="shared" si="556"/>
        <v>Carnegie Park Condominium</v>
      </c>
      <c r="C3295" s="1" t="s">
        <v>82</v>
      </c>
      <c r="D3295" s="1" t="s">
        <v>41</v>
      </c>
      <c r="E3295" s="3">
        <v>905000</v>
      </c>
      <c r="F3295" s="1">
        <v>1283.68794326241</v>
      </c>
      <c r="H3295" s="1">
        <v>1</v>
      </c>
      <c r="J3295" s="1">
        <v>1</v>
      </c>
      <c r="K3295" s="1">
        <v>1</v>
      </c>
      <c r="M3295" s="1">
        <v>705</v>
      </c>
      <c r="N3295" s="1">
        <v>768</v>
      </c>
      <c r="O3295" s="1">
        <v>1584</v>
      </c>
      <c r="P3295" s="1">
        <v>816</v>
      </c>
      <c r="Q3295" s="1" t="s">
        <v>42</v>
      </c>
      <c r="S3295" s="1" t="s">
        <v>42</v>
      </c>
      <c r="T3295" s="1" t="s">
        <v>273</v>
      </c>
      <c r="AA3295" s="1">
        <v>905000</v>
      </c>
      <c r="AB3295" s="1" t="s">
        <v>2121</v>
      </c>
      <c r="AC3295" s="5">
        <v>44398</v>
      </c>
      <c r="AF3295" s="1">
        <v>10128</v>
      </c>
      <c r="AI3295" s="1" t="s">
        <v>163</v>
      </c>
      <c r="AJ3295" s="1">
        <v>1986</v>
      </c>
      <c r="AK3295" s="1" t="s">
        <v>55</v>
      </c>
      <c r="AL3295" s="1">
        <v>287</v>
      </c>
    </row>
    <row r="3296" spans="1:38" x14ac:dyDescent="0.2">
      <c r="A3296" s="2" t="str">
        <f>HYPERLINK("https://www.compass.com/listing/301-east-80th-street-unit-27a-manhattan-ny-10075/845138224098499713/","301 E 80th St, Unit 27A")</f>
        <v>301 E 80th St, Unit 27A</v>
      </c>
      <c r="B3296" s="2" t="str">
        <f>HYPERLINK("https://www.compass.com/building/beckford-tower-manhattan-ny/293529721147268613/","Beckford Tower")</f>
        <v>Beckford Tower</v>
      </c>
      <c r="C3296" s="1" t="s">
        <v>82</v>
      </c>
      <c r="D3296" s="1" t="s">
        <v>41</v>
      </c>
      <c r="E3296" s="3">
        <v>6600000</v>
      </c>
      <c r="F3296" s="1">
        <v>2447.1635150166799</v>
      </c>
      <c r="G3296" s="1">
        <v>8</v>
      </c>
      <c r="H3296" s="1">
        <v>3</v>
      </c>
      <c r="I3296" s="1">
        <v>4</v>
      </c>
      <c r="J3296" s="1">
        <v>3.5</v>
      </c>
      <c r="K3296" s="1">
        <v>3</v>
      </c>
      <c r="L3296" s="1">
        <v>1</v>
      </c>
      <c r="M3296" s="4">
        <v>2697</v>
      </c>
      <c r="N3296" s="1">
        <v>3656</v>
      </c>
      <c r="O3296" s="1">
        <v>7831</v>
      </c>
      <c r="P3296" s="1">
        <v>4175</v>
      </c>
      <c r="Q3296" s="1" t="s">
        <v>42</v>
      </c>
      <c r="S3296" s="1" t="s">
        <v>42</v>
      </c>
      <c r="T3296" s="1" t="s">
        <v>273</v>
      </c>
      <c r="U3296" s="1">
        <v>100</v>
      </c>
      <c r="V3296" s="5">
        <v>44412</v>
      </c>
      <c r="W3296" s="5">
        <v>44284</v>
      </c>
      <c r="X3296" s="1">
        <v>1</v>
      </c>
      <c r="Y3296" s="1">
        <v>1</v>
      </c>
      <c r="AA3296" s="1">
        <v>6600000</v>
      </c>
      <c r="AB3296" s="1" t="s">
        <v>2122</v>
      </c>
      <c r="AC3296" s="5">
        <v>44384</v>
      </c>
      <c r="AF3296" s="1">
        <v>10075</v>
      </c>
      <c r="AI3296" s="1" t="s">
        <v>182</v>
      </c>
      <c r="AJ3296" s="1">
        <v>2019</v>
      </c>
      <c r="AK3296" s="1" t="s">
        <v>49</v>
      </c>
      <c r="AL3296" s="1">
        <v>72</v>
      </c>
    </row>
    <row r="3297" spans="1:38" x14ac:dyDescent="0.2">
      <c r="A3297" s="2" t="str">
        <f>HYPERLINK("https://www.compass.com/listing/180-east-88th-street-unit-24b-manhattan-ny-10128/29336578937712737/","180 E 88th St, Unit 24B")</f>
        <v>180 E 88th St, Unit 24B</v>
      </c>
      <c r="B3297" s="2" t="str">
        <f>HYPERLINK("https://www.compass.com/building/180-e-88th-st-manhattan-ny-10128/282058835781256373/","180 E 88th St")</f>
        <v>180 E 88th St</v>
      </c>
      <c r="C3297" s="1" t="s">
        <v>82</v>
      </c>
      <c r="D3297" s="1" t="s">
        <v>41</v>
      </c>
      <c r="E3297" s="3">
        <v>6535000</v>
      </c>
      <c r="F3297" s="1">
        <v>2757.3839662447199</v>
      </c>
      <c r="G3297" s="1">
        <v>7</v>
      </c>
      <c r="H3297" s="1">
        <v>4</v>
      </c>
      <c r="I3297" s="1">
        <v>4</v>
      </c>
      <c r="J3297" s="1">
        <v>3.5</v>
      </c>
      <c r="K3297" s="1">
        <v>3</v>
      </c>
      <c r="L3297" s="1">
        <v>1</v>
      </c>
      <c r="M3297" s="4">
        <v>2370</v>
      </c>
      <c r="N3297" s="1">
        <v>3743</v>
      </c>
      <c r="O3297" s="1">
        <v>7219</v>
      </c>
      <c r="P3297" s="1">
        <v>3476</v>
      </c>
      <c r="Q3297" s="1" t="s">
        <v>42</v>
      </c>
      <c r="S3297" s="1" t="s">
        <v>42</v>
      </c>
      <c r="T3297" s="1" t="s">
        <v>273</v>
      </c>
      <c r="U3297" s="1">
        <v>348</v>
      </c>
      <c r="V3297" s="5">
        <v>44365</v>
      </c>
      <c r="W3297" s="5">
        <v>43881</v>
      </c>
      <c r="Y3297" s="1">
        <v>6875000</v>
      </c>
      <c r="Z3297" s="5">
        <v>44323</v>
      </c>
      <c r="AA3297" s="1">
        <v>6535000</v>
      </c>
      <c r="AB3297" s="1" t="s">
        <v>2123</v>
      </c>
      <c r="AC3297" s="5">
        <v>44362</v>
      </c>
      <c r="AF3297" s="1">
        <v>10128</v>
      </c>
      <c r="AJ3297" s="1">
        <v>2019</v>
      </c>
      <c r="AK3297" s="1" t="s">
        <v>46</v>
      </c>
      <c r="AL3297" s="1">
        <v>48</v>
      </c>
    </row>
    <row r="3298" spans="1:38" x14ac:dyDescent="0.2">
      <c r="A3298" s="2" t="str">
        <f>HYPERLINK("https://www.compass.com/listing/225-east-81st-street-unit-1triplex-manhattan-ny-10028/4852322919335861425/","225 E 81st St, Unit 1TRIPLEX")</f>
        <v>225 E 81st St, Unit 1TRIPLEX</v>
      </c>
      <c r="B3298" s="2" t="str">
        <f>HYPERLINK("https://www.compass.com/building/the-justin-manhattan-ny/282057109682552965/","The Justin")</f>
        <v>The Justin</v>
      </c>
      <c r="C3298" s="1" t="s">
        <v>82</v>
      </c>
      <c r="D3298" s="1" t="s">
        <v>41</v>
      </c>
      <c r="E3298" s="3">
        <v>5500000</v>
      </c>
      <c r="F3298" s="1">
        <v>1416.7954662545001</v>
      </c>
      <c r="G3298" s="1">
        <v>5.5</v>
      </c>
      <c r="H3298" s="1">
        <v>4</v>
      </c>
      <c r="I3298" s="1">
        <v>4</v>
      </c>
      <c r="J3298" s="1">
        <v>3.5</v>
      </c>
      <c r="K3298" s="1">
        <v>3</v>
      </c>
      <c r="L3298" s="1">
        <v>1</v>
      </c>
      <c r="M3298" s="4">
        <v>3882</v>
      </c>
      <c r="N3298" s="1">
        <v>4063.07</v>
      </c>
      <c r="O3298" s="1">
        <v>5638.55</v>
      </c>
      <c r="P3298" s="1">
        <v>1575.5</v>
      </c>
      <c r="Q3298" s="1" t="s">
        <v>42</v>
      </c>
      <c r="S3298" s="1" t="s">
        <v>42</v>
      </c>
      <c r="T3298" s="1" t="s">
        <v>273</v>
      </c>
      <c r="U3298" s="1">
        <v>44</v>
      </c>
      <c r="V3298" s="5">
        <v>42317</v>
      </c>
      <c r="W3298" s="5">
        <v>42080</v>
      </c>
      <c r="X3298" s="1">
        <v>5995000</v>
      </c>
      <c r="Y3298" s="1">
        <v>5995000</v>
      </c>
      <c r="Z3298" s="5">
        <v>42125</v>
      </c>
      <c r="AA3298" s="1">
        <v>5500000</v>
      </c>
      <c r="AB3298" s="1" t="s">
        <v>275</v>
      </c>
      <c r="AC3298" s="5">
        <v>42317</v>
      </c>
      <c r="AF3298" s="1">
        <v>10028</v>
      </c>
      <c r="AI3298" s="1" t="s">
        <v>2124</v>
      </c>
      <c r="AJ3298" s="1">
        <v>1920</v>
      </c>
      <c r="AK3298" s="1" t="s">
        <v>143</v>
      </c>
      <c r="AL3298" s="1">
        <v>5</v>
      </c>
    </row>
    <row r="3299" spans="1:38" x14ac:dyDescent="0.2">
      <c r="A3299" s="2" t="str">
        <f>HYPERLINK("https://www.compass.com/listing/77-charlton-street-unit-n10e-manhattan-ny-10014/812767335557004001/","77 Charlton St, Unit N10E")</f>
        <v>77 Charlton St, Unit N10E</v>
      </c>
      <c r="B3299" s="2" t="str">
        <f t="shared" ref="B3299:B3300" si="557">HYPERLINK("https://www.compass.com/building/77-charlton-st-manhattan-ny-10014/282058735872933093/","77 Charlton St")</f>
        <v>77 Charlton St</v>
      </c>
      <c r="C3299" s="1" t="s">
        <v>53</v>
      </c>
      <c r="D3299" s="1" t="s">
        <v>41</v>
      </c>
      <c r="E3299" s="3">
        <v>1092582</v>
      </c>
      <c r="F3299" s="1">
        <v>1930.35733215547</v>
      </c>
      <c r="H3299" s="1" t="s">
        <v>99</v>
      </c>
      <c r="J3299" s="1">
        <v>1</v>
      </c>
      <c r="K3299" s="1">
        <v>1</v>
      </c>
      <c r="M3299" s="1">
        <v>566</v>
      </c>
      <c r="N3299" s="1">
        <v>668</v>
      </c>
      <c r="O3299" s="1">
        <v>1650</v>
      </c>
      <c r="P3299" s="1">
        <v>982</v>
      </c>
      <c r="Q3299" s="1" t="s">
        <v>42</v>
      </c>
      <c r="S3299" s="1" t="s">
        <v>42</v>
      </c>
      <c r="T3299" s="1" t="s">
        <v>273</v>
      </c>
      <c r="AA3299" s="1">
        <v>1092582.25</v>
      </c>
      <c r="AB3299" s="1" t="s">
        <v>2125</v>
      </c>
      <c r="AC3299" s="5">
        <v>44337</v>
      </c>
      <c r="AF3299" s="1">
        <v>10014</v>
      </c>
      <c r="AI3299" s="1" t="s">
        <v>48</v>
      </c>
      <c r="AJ3299" s="1">
        <v>2019</v>
      </c>
      <c r="AK3299" s="1" t="s">
        <v>49</v>
      </c>
      <c r="AL3299" s="1">
        <v>161</v>
      </c>
    </row>
    <row r="3300" spans="1:38" x14ac:dyDescent="0.2">
      <c r="A3300" s="2" t="str">
        <f>HYPERLINK("https://www.compass.com/listing/77-charlton-street-unit-s10e-manhattan-ny-10014/848290349834639545/","77 Charlton St, Unit S10E")</f>
        <v>77 Charlton St, Unit S10E</v>
      </c>
      <c r="B3300" s="2" t="str">
        <f t="shared" si="557"/>
        <v>77 Charlton St</v>
      </c>
      <c r="C3300" s="1" t="s">
        <v>53</v>
      </c>
      <c r="D3300" s="1" t="s">
        <v>41</v>
      </c>
      <c r="E3300" s="3">
        <v>1089528</v>
      </c>
      <c r="Q3300" s="1" t="s">
        <v>42</v>
      </c>
      <c r="S3300" s="1" t="s">
        <v>42</v>
      </c>
      <c r="T3300" s="1" t="s">
        <v>273</v>
      </c>
      <c r="AA3300" s="1">
        <v>1089527.5</v>
      </c>
      <c r="AB3300" s="1" t="s">
        <v>2126</v>
      </c>
      <c r="AC3300" s="5">
        <v>44392</v>
      </c>
      <c r="AF3300" s="1">
        <v>10014</v>
      </c>
      <c r="AI3300" s="1" t="s">
        <v>48</v>
      </c>
      <c r="AJ3300" s="1">
        <v>2019</v>
      </c>
      <c r="AK3300" s="1" t="s">
        <v>49</v>
      </c>
      <c r="AL3300" s="1">
        <v>161</v>
      </c>
    </row>
    <row r="3301" spans="1:38" x14ac:dyDescent="0.2">
      <c r="A3301" s="2" t="str">
        <f>HYPERLINK("https://www.compass.com/listing/200-east-94th-street-unit-905-manhattan-ny-10128/29423463408139361/","200 E 94th St, Unit 905")</f>
        <v>200 E 94th St, Unit 905</v>
      </c>
      <c r="B3301" s="2" t="str">
        <f>HYPERLINK("https://www.compass.com/building/carnegie-park-condominium-manhattan-ny/282049797358118613/","Carnegie Park Condominium")</f>
        <v>Carnegie Park Condominium</v>
      </c>
      <c r="C3301" s="1" t="s">
        <v>82</v>
      </c>
      <c r="D3301" s="1" t="s">
        <v>41</v>
      </c>
      <c r="E3301" s="3">
        <v>710189</v>
      </c>
      <c r="F3301" s="1">
        <v>1392.5269803921501</v>
      </c>
      <c r="H3301" s="1" t="s">
        <v>99</v>
      </c>
      <c r="J3301" s="1">
        <v>1</v>
      </c>
      <c r="K3301" s="1">
        <v>1</v>
      </c>
      <c r="M3301" s="1">
        <v>510</v>
      </c>
      <c r="N3301" s="1">
        <v>604</v>
      </c>
      <c r="O3301" s="1">
        <v>1235</v>
      </c>
      <c r="P3301" s="1">
        <v>631</v>
      </c>
      <c r="Q3301" s="1" t="s">
        <v>42</v>
      </c>
      <c r="S3301" s="1" t="s">
        <v>42</v>
      </c>
      <c r="T3301" s="1" t="s">
        <v>273</v>
      </c>
      <c r="AA3301" s="1">
        <v>710188.76</v>
      </c>
      <c r="AB3301" s="1" t="s">
        <v>2127</v>
      </c>
      <c r="AC3301" s="5">
        <v>42381</v>
      </c>
      <c r="AF3301" s="1">
        <v>10128</v>
      </c>
      <c r="AI3301" s="1" t="s">
        <v>163</v>
      </c>
      <c r="AJ3301" s="1">
        <v>1986</v>
      </c>
      <c r="AK3301" s="1" t="s">
        <v>55</v>
      </c>
      <c r="AL3301" s="1">
        <v>287</v>
      </c>
    </row>
    <row r="3302" spans="1:38" x14ac:dyDescent="0.2">
      <c r="A3302" s="2" t="str">
        <f>HYPERLINK("https://www.compass.com/listing/505-513-west-43rd-street-unit-3l-manhattan-ny-10036/774056802730915017/","505-513 W 43rd St, Unit 3L")</f>
        <v>505-513 W 43rd St, Unit 3L</v>
      </c>
      <c r="B3302" s="2" t="str">
        <f>HYPERLINK("https://www.compass.com/building/charlie-west-manhattan-ny/292918554372621509/","Charlie West")</f>
        <v>Charlie West</v>
      </c>
      <c r="C3302" s="1" t="s">
        <v>90</v>
      </c>
      <c r="D3302" s="1" t="s">
        <v>41</v>
      </c>
      <c r="E3302" s="3">
        <v>1016659</v>
      </c>
      <c r="F3302" s="1">
        <v>1581.11780715396</v>
      </c>
      <c r="G3302" s="1">
        <v>3</v>
      </c>
      <c r="H3302" s="1">
        <v>1</v>
      </c>
      <c r="I3302" s="1">
        <v>1</v>
      </c>
      <c r="J3302" s="1">
        <v>1</v>
      </c>
      <c r="K3302" s="1">
        <v>1</v>
      </c>
      <c r="M3302" s="1">
        <v>643</v>
      </c>
      <c r="N3302" s="1">
        <v>676.53</v>
      </c>
      <c r="O3302" s="1">
        <v>2036.83</v>
      </c>
      <c r="Q3302" s="1" t="s">
        <v>158</v>
      </c>
      <c r="S3302" s="1" t="s">
        <v>158</v>
      </c>
      <c r="T3302" s="1" t="s">
        <v>273</v>
      </c>
      <c r="U3302" s="1">
        <v>13</v>
      </c>
      <c r="V3302" s="5">
        <v>44422</v>
      </c>
      <c r="W3302" s="5">
        <v>44319</v>
      </c>
      <c r="X3302" s="1">
        <v>995000</v>
      </c>
      <c r="Y3302" s="1">
        <v>995000</v>
      </c>
      <c r="Z3302" s="5">
        <v>44333</v>
      </c>
      <c r="AA3302" s="1">
        <v>1016658.75</v>
      </c>
      <c r="AB3302" s="1" t="s">
        <v>2128</v>
      </c>
      <c r="AC3302" s="5">
        <v>44376</v>
      </c>
      <c r="AF3302" s="1">
        <v>10036</v>
      </c>
      <c r="AI3302" s="1" t="s">
        <v>118</v>
      </c>
      <c r="AJ3302" s="1">
        <v>2019</v>
      </c>
      <c r="AK3302" s="1" t="s">
        <v>46</v>
      </c>
      <c r="AL3302" s="1">
        <v>123</v>
      </c>
    </row>
    <row r="3303" spans="1:38" x14ac:dyDescent="0.2">
      <c r="A3303" s="2" t="str">
        <f>HYPERLINK("https://www.compass.com/listing/200-east-94th-street-unit-315-manhattan-ny-10128/167861952574492225/","200 E 94th St, Unit 315")</f>
        <v>200 E 94th St, Unit 315</v>
      </c>
      <c r="B3303" s="2" t="str">
        <f t="shared" ref="B3303:B3317" si="558">HYPERLINK("https://www.compass.com/building/carnegie-park-condominium-manhattan-ny/282049797358118613/","Carnegie Park Condominium")</f>
        <v>Carnegie Park Condominium</v>
      </c>
      <c r="C3303" s="1" t="s">
        <v>82</v>
      </c>
      <c r="D3303" s="1" t="s">
        <v>41</v>
      </c>
      <c r="E3303" s="3">
        <v>1569231</v>
      </c>
      <c r="F3303" s="1">
        <v>1458.39289033457</v>
      </c>
      <c r="H3303" s="1">
        <v>2</v>
      </c>
      <c r="J3303" s="1">
        <v>2</v>
      </c>
      <c r="M3303" s="4">
        <v>1076</v>
      </c>
      <c r="N3303" s="1">
        <v>1166</v>
      </c>
      <c r="O3303" s="1">
        <v>2405</v>
      </c>
      <c r="P3303" s="1">
        <v>1239</v>
      </c>
      <c r="Q3303" s="1" t="s">
        <v>42</v>
      </c>
      <c r="S3303" s="1" t="s">
        <v>42</v>
      </c>
      <c r="T3303" s="1" t="s">
        <v>273</v>
      </c>
      <c r="AA3303" s="1">
        <v>1569230.75</v>
      </c>
      <c r="AB3303" s="1" t="s">
        <v>2129</v>
      </c>
      <c r="AC3303" s="5">
        <v>42534</v>
      </c>
      <c r="AF3303" s="1">
        <v>10128</v>
      </c>
      <c r="AI3303" s="1" t="s">
        <v>163</v>
      </c>
      <c r="AJ3303" s="1">
        <v>1986</v>
      </c>
      <c r="AK3303" s="1" t="s">
        <v>55</v>
      </c>
      <c r="AL3303" s="1">
        <v>287</v>
      </c>
    </row>
    <row r="3304" spans="1:38" x14ac:dyDescent="0.2">
      <c r="A3304" s="2" t="str">
        <f>HYPERLINK("https://www.compass.com/listing/200-east-94th-street-unit-315-manhattan-ny-10128/212051332335527377/","200 E 94th St, Unit 315")</f>
        <v>200 E 94th St, Unit 315</v>
      </c>
      <c r="B3304" s="2" t="str">
        <f t="shared" si="558"/>
        <v>Carnegie Park Condominium</v>
      </c>
      <c r="C3304" s="1" t="s">
        <v>82</v>
      </c>
      <c r="D3304" s="1" t="s">
        <v>41</v>
      </c>
      <c r="E3304" s="3">
        <v>1637812</v>
      </c>
      <c r="F3304" s="1">
        <v>1522.1305576208099</v>
      </c>
      <c r="H3304" s="1">
        <v>2</v>
      </c>
      <c r="J3304" s="1">
        <v>2</v>
      </c>
      <c r="K3304" s="1">
        <v>2</v>
      </c>
      <c r="M3304" s="4">
        <v>1076</v>
      </c>
      <c r="N3304" s="1">
        <v>1207</v>
      </c>
      <c r="O3304" s="1">
        <v>2509</v>
      </c>
      <c r="P3304" s="1">
        <v>1302</v>
      </c>
      <c r="Q3304" s="1" t="s">
        <v>42</v>
      </c>
      <c r="S3304" s="1" t="s">
        <v>42</v>
      </c>
      <c r="T3304" s="1" t="s">
        <v>273</v>
      </c>
      <c r="AA3304" s="1">
        <v>1637812.48</v>
      </c>
      <c r="AB3304" s="1" t="s">
        <v>2130</v>
      </c>
      <c r="AC3304" s="5">
        <v>43538</v>
      </c>
      <c r="AF3304" s="1">
        <v>10128</v>
      </c>
      <c r="AI3304" s="1" t="s">
        <v>163</v>
      </c>
      <c r="AJ3304" s="1">
        <v>1986</v>
      </c>
      <c r="AK3304" s="1" t="s">
        <v>55</v>
      </c>
      <c r="AL3304" s="1">
        <v>287</v>
      </c>
    </row>
    <row r="3305" spans="1:38" x14ac:dyDescent="0.2">
      <c r="A3305" s="2" t="str">
        <f>HYPERLINK("https://www.compass.com/listing/200-east-94th-street-unit-2315-manhattan-ny-10128/277166191112436497/","200 E 94th St, Unit 2315")</f>
        <v>200 E 94th St, Unit 2315</v>
      </c>
      <c r="B3305" s="2" t="str">
        <f t="shared" si="558"/>
        <v>Carnegie Park Condominium</v>
      </c>
      <c r="C3305" s="1" t="s">
        <v>82</v>
      </c>
      <c r="D3305" s="1" t="s">
        <v>41</v>
      </c>
      <c r="E3305" s="3">
        <v>1680885</v>
      </c>
      <c r="F3305" s="1">
        <v>1562.1605855018499</v>
      </c>
      <c r="H3305" s="1">
        <v>2</v>
      </c>
      <c r="J3305" s="1">
        <v>2</v>
      </c>
      <c r="K3305" s="1">
        <v>2</v>
      </c>
      <c r="M3305" s="4">
        <v>1076</v>
      </c>
      <c r="N3305" s="1">
        <v>1280</v>
      </c>
      <c r="O3305" s="1">
        <v>2624</v>
      </c>
      <c r="P3305" s="1">
        <v>1344</v>
      </c>
      <c r="Q3305" s="1" t="s">
        <v>42</v>
      </c>
      <c r="S3305" s="1" t="s">
        <v>42</v>
      </c>
      <c r="T3305" s="1" t="s">
        <v>273</v>
      </c>
      <c r="AA3305" s="1">
        <v>1680884.79</v>
      </c>
      <c r="AB3305" s="1" t="s">
        <v>2131</v>
      </c>
      <c r="AC3305" s="5">
        <v>43592</v>
      </c>
      <c r="AF3305" s="1">
        <v>10128</v>
      </c>
      <c r="AI3305" s="1" t="s">
        <v>163</v>
      </c>
      <c r="AJ3305" s="1">
        <v>1986</v>
      </c>
      <c r="AK3305" s="1" t="s">
        <v>55</v>
      </c>
      <c r="AL3305" s="1">
        <v>287</v>
      </c>
    </row>
    <row r="3306" spans="1:38" x14ac:dyDescent="0.2">
      <c r="A3306" s="2" t="str">
        <f>HYPERLINK("https://www.compass.com/listing/200-east-94th-street-unit-308-manhattan-ny-10128/29423429031567617/","200 E 94th St, Unit 308")</f>
        <v>200 E 94th St, Unit 308</v>
      </c>
      <c r="B3306" s="2" t="str">
        <f t="shared" si="558"/>
        <v>Carnegie Park Condominium</v>
      </c>
      <c r="C3306" s="1" t="s">
        <v>82</v>
      </c>
      <c r="D3306" s="1" t="s">
        <v>41</v>
      </c>
      <c r="E3306" s="3">
        <v>1533301</v>
      </c>
      <c r="F3306" s="1">
        <v>1239.53167340339</v>
      </c>
      <c r="H3306" s="1">
        <v>2</v>
      </c>
      <c r="J3306" s="1">
        <v>2</v>
      </c>
      <c r="K3306" s="1">
        <v>2</v>
      </c>
      <c r="M3306" s="4">
        <v>1237</v>
      </c>
      <c r="N3306" s="1">
        <v>1393.08</v>
      </c>
      <c r="O3306" s="1">
        <v>2583.41</v>
      </c>
      <c r="P3306" s="1">
        <v>1190.3333333333301</v>
      </c>
      <c r="Q3306" s="1" t="s">
        <v>42</v>
      </c>
      <c r="S3306" s="1" t="s">
        <v>42</v>
      </c>
      <c r="T3306" s="1" t="s">
        <v>273</v>
      </c>
      <c r="AA3306" s="1">
        <v>1533300.68</v>
      </c>
      <c r="AB3306" s="1" t="s">
        <v>2132</v>
      </c>
      <c r="AC3306" s="5">
        <v>42382</v>
      </c>
      <c r="AF3306" s="1">
        <v>10128</v>
      </c>
      <c r="AI3306" s="1" t="s">
        <v>163</v>
      </c>
      <c r="AJ3306" s="1">
        <v>1986</v>
      </c>
      <c r="AK3306" s="1" t="s">
        <v>55</v>
      </c>
      <c r="AL3306" s="1">
        <v>287</v>
      </c>
    </row>
    <row r="3307" spans="1:38" x14ac:dyDescent="0.2">
      <c r="A3307" s="2" t="str">
        <f>HYPERLINK("https://www.compass.com/listing/200-east-94th-street-unit-314-manhattan-ny-10128/29423429652389041/","200 E 94th St, Unit 314")</f>
        <v>200 E 94th St, Unit 314</v>
      </c>
      <c r="B3307" s="2" t="str">
        <f t="shared" si="558"/>
        <v>Carnegie Park Condominium</v>
      </c>
      <c r="C3307" s="1" t="s">
        <v>82</v>
      </c>
      <c r="D3307" s="1" t="s">
        <v>41</v>
      </c>
      <c r="E3307" s="3">
        <v>1542649</v>
      </c>
      <c r="F3307" s="1">
        <v>1448.49647887323</v>
      </c>
      <c r="H3307" s="1">
        <v>2</v>
      </c>
      <c r="J3307" s="1">
        <v>2</v>
      </c>
      <c r="K3307" s="1">
        <v>2</v>
      </c>
      <c r="M3307" s="4">
        <v>1065</v>
      </c>
      <c r="N3307" s="1">
        <v>1237</v>
      </c>
      <c r="O3307" s="1">
        <v>2291</v>
      </c>
      <c r="P3307" s="1">
        <v>1054</v>
      </c>
      <c r="Q3307" s="1" t="s">
        <v>42</v>
      </c>
      <c r="S3307" s="1" t="s">
        <v>42</v>
      </c>
      <c r="T3307" s="1" t="s">
        <v>273</v>
      </c>
      <c r="AA3307" s="1">
        <v>1542648.75</v>
      </c>
      <c r="AB3307" s="1" t="s">
        <v>2133</v>
      </c>
      <c r="AC3307" s="5">
        <v>42366</v>
      </c>
      <c r="AF3307" s="1">
        <v>10128</v>
      </c>
      <c r="AI3307" s="1" t="s">
        <v>163</v>
      </c>
      <c r="AJ3307" s="1">
        <v>1986</v>
      </c>
      <c r="AK3307" s="1" t="s">
        <v>55</v>
      </c>
      <c r="AL3307" s="1">
        <v>287</v>
      </c>
    </row>
    <row r="3308" spans="1:38" x14ac:dyDescent="0.2">
      <c r="A3308" s="2" t="str">
        <f>HYPERLINK("https://www.compass.com/listing/200-east-94th-street-unit-517-manhattan-ny-10128/29423440473684657/","200 E 94th St, Unit 517")</f>
        <v>200 E 94th St, Unit 517</v>
      </c>
      <c r="B3308" s="2" t="str">
        <f t="shared" si="558"/>
        <v>Carnegie Park Condominium</v>
      </c>
      <c r="C3308" s="1" t="s">
        <v>82</v>
      </c>
      <c r="D3308" s="1" t="s">
        <v>41</v>
      </c>
      <c r="E3308" s="3">
        <v>1501946</v>
      </c>
      <c r="F3308" s="1">
        <v>1405.00115996258</v>
      </c>
      <c r="H3308" s="1">
        <v>2</v>
      </c>
      <c r="J3308" s="1">
        <v>2</v>
      </c>
      <c r="K3308" s="1">
        <v>2</v>
      </c>
      <c r="M3308" s="4">
        <v>1069</v>
      </c>
      <c r="N3308" s="1">
        <v>1163</v>
      </c>
      <c r="O3308" s="1">
        <v>2409</v>
      </c>
      <c r="P3308" s="1">
        <v>1246</v>
      </c>
      <c r="Q3308" s="1" t="s">
        <v>42</v>
      </c>
      <c r="S3308" s="1" t="s">
        <v>42</v>
      </c>
      <c r="T3308" s="1" t="s">
        <v>273</v>
      </c>
      <c r="AA3308" s="1">
        <v>1501946.24</v>
      </c>
      <c r="AB3308" s="1" t="s">
        <v>2134</v>
      </c>
      <c r="AC3308" s="5">
        <v>42474</v>
      </c>
      <c r="AF3308" s="1">
        <v>10128</v>
      </c>
      <c r="AI3308" s="1" t="s">
        <v>163</v>
      </c>
      <c r="AJ3308" s="1">
        <v>1986</v>
      </c>
      <c r="AK3308" s="1" t="s">
        <v>55</v>
      </c>
      <c r="AL3308" s="1">
        <v>287</v>
      </c>
    </row>
    <row r="3309" spans="1:38" x14ac:dyDescent="0.2">
      <c r="A3309" s="2" t="str">
        <f>HYPERLINK("https://www.compass.com/listing/200-east-94th-street-unit-507-manhattan-ny-10128/29423441530649313/","200 E 94th St, Unit 507")</f>
        <v>200 E 94th St, Unit 507</v>
      </c>
      <c r="B3309" s="2" t="str">
        <f t="shared" si="558"/>
        <v>Carnegie Park Condominium</v>
      </c>
      <c r="C3309" s="1" t="s">
        <v>82</v>
      </c>
      <c r="D3309" s="1" t="s">
        <v>41</v>
      </c>
      <c r="E3309" s="3">
        <v>1462014</v>
      </c>
      <c r="F3309" s="1">
        <v>1180.94806138933</v>
      </c>
      <c r="H3309" s="1">
        <v>2</v>
      </c>
      <c r="J3309" s="1">
        <v>2</v>
      </c>
      <c r="K3309" s="1">
        <v>2</v>
      </c>
      <c r="M3309" s="4">
        <v>1238</v>
      </c>
      <c r="N3309" s="1">
        <v>1343.82</v>
      </c>
      <c r="O3309" s="1">
        <v>2547.2600000000002</v>
      </c>
      <c r="P3309" s="1">
        <v>1203.4166666666599</v>
      </c>
      <c r="Q3309" s="1" t="s">
        <v>42</v>
      </c>
      <c r="S3309" s="1" t="s">
        <v>42</v>
      </c>
      <c r="T3309" s="1" t="s">
        <v>273</v>
      </c>
      <c r="AA3309" s="1">
        <v>1462013.7</v>
      </c>
      <c r="AB3309" s="1" t="s">
        <v>2135</v>
      </c>
      <c r="AC3309" s="5">
        <v>42355</v>
      </c>
      <c r="AF3309" s="1">
        <v>10128</v>
      </c>
      <c r="AI3309" s="1" t="s">
        <v>163</v>
      </c>
      <c r="AJ3309" s="1">
        <v>1986</v>
      </c>
      <c r="AK3309" s="1" t="s">
        <v>55</v>
      </c>
      <c r="AL3309" s="1">
        <v>287</v>
      </c>
    </row>
    <row r="3310" spans="1:38" x14ac:dyDescent="0.2">
      <c r="A3310" s="2" t="str">
        <f>HYPERLINK("https://www.compass.com/listing/200-east-94th-street-unit-508-manhattan-ny-10128/29423443342533233/","200 E 94th St, Unit 508")</f>
        <v>200 E 94th St, Unit 508</v>
      </c>
      <c r="B3310" s="2" t="str">
        <f t="shared" si="558"/>
        <v>Carnegie Park Condominium</v>
      </c>
      <c r="C3310" s="1" t="s">
        <v>82</v>
      </c>
      <c r="D3310" s="1" t="s">
        <v>41</v>
      </c>
      <c r="E3310" s="3">
        <v>1553656</v>
      </c>
      <c r="F3310" s="1">
        <v>1255.9872271624899</v>
      </c>
      <c r="H3310" s="1">
        <v>2</v>
      </c>
      <c r="J3310" s="1">
        <v>2</v>
      </c>
      <c r="K3310" s="1">
        <v>2</v>
      </c>
      <c r="M3310" s="4">
        <v>1237</v>
      </c>
      <c r="N3310" s="1">
        <v>1440.05</v>
      </c>
      <c r="O3310" s="1">
        <v>2668.05</v>
      </c>
      <c r="P3310" s="1">
        <v>1228</v>
      </c>
      <c r="Q3310" s="1" t="s">
        <v>42</v>
      </c>
      <c r="S3310" s="1" t="s">
        <v>42</v>
      </c>
      <c r="T3310" s="1" t="s">
        <v>273</v>
      </c>
      <c r="AA3310" s="1">
        <v>1553656.2</v>
      </c>
      <c r="AB3310" s="1" t="s">
        <v>2136</v>
      </c>
      <c r="AC3310" s="5">
        <v>42349</v>
      </c>
      <c r="AF3310" s="1">
        <v>10128</v>
      </c>
      <c r="AI3310" s="1" t="s">
        <v>163</v>
      </c>
      <c r="AJ3310" s="1">
        <v>1986</v>
      </c>
      <c r="AK3310" s="1" t="s">
        <v>55</v>
      </c>
      <c r="AL3310" s="1">
        <v>287</v>
      </c>
    </row>
    <row r="3311" spans="1:38" x14ac:dyDescent="0.2">
      <c r="A3311" s="2" t="str">
        <f>HYPERLINK("https://www.compass.com/listing/200-east-94th-street-unit-808-manhattan-ny-10128/29423460614741873/","200 E 94th St, Unit 808")</f>
        <v>200 E 94th St, Unit 808</v>
      </c>
      <c r="B3311" s="2" t="str">
        <f t="shared" si="558"/>
        <v>Carnegie Park Condominium</v>
      </c>
      <c r="C3311" s="1" t="s">
        <v>82</v>
      </c>
      <c r="D3311" s="1" t="s">
        <v>41</v>
      </c>
      <c r="E3311" s="3">
        <v>1563943</v>
      </c>
      <c r="F3311" s="1">
        <v>1264.30320937752</v>
      </c>
      <c r="H3311" s="1">
        <v>2</v>
      </c>
      <c r="J3311" s="1">
        <v>2</v>
      </c>
      <c r="K3311" s="1">
        <v>2</v>
      </c>
      <c r="M3311" s="4">
        <v>1237</v>
      </c>
      <c r="N3311" s="1">
        <v>1415</v>
      </c>
      <c r="O3311" s="1">
        <v>2955</v>
      </c>
      <c r="P3311" s="1">
        <v>1540</v>
      </c>
      <c r="Q3311" s="1" t="s">
        <v>42</v>
      </c>
      <c r="S3311" s="1" t="s">
        <v>42</v>
      </c>
      <c r="T3311" s="1" t="s">
        <v>273</v>
      </c>
      <c r="AA3311" s="1">
        <v>1563943.07</v>
      </c>
      <c r="AB3311" s="1" t="s">
        <v>2137</v>
      </c>
      <c r="AC3311" s="5">
        <v>42353</v>
      </c>
      <c r="AF3311" s="1">
        <v>10128</v>
      </c>
      <c r="AI3311" s="1" t="s">
        <v>163</v>
      </c>
      <c r="AJ3311" s="1">
        <v>1986</v>
      </c>
      <c r="AK3311" s="1" t="s">
        <v>55</v>
      </c>
      <c r="AL3311" s="1">
        <v>287</v>
      </c>
    </row>
    <row r="3312" spans="1:38" x14ac:dyDescent="0.2">
      <c r="A3312" s="2" t="str">
        <f>HYPERLINK("https://www.compass.com/listing/200-east-94th-street-unit-1015-manhattan-ny-10128/29423466469981361/","200 E 94th St, Unit 1015")</f>
        <v>200 E 94th St, Unit 1015</v>
      </c>
      <c r="B3312" s="2" t="str">
        <f t="shared" si="558"/>
        <v>Carnegie Park Condominium</v>
      </c>
      <c r="C3312" s="1" t="s">
        <v>82</v>
      </c>
      <c r="D3312" s="1" t="s">
        <v>41</v>
      </c>
      <c r="E3312" s="3">
        <v>1675130</v>
      </c>
      <c r="F3312" s="1">
        <v>1556.8120817843801</v>
      </c>
      <c r="H3312" s="1">
        <v>2</v>
      </c>
      <c r="J3312" s="1">
        <v>2</v>
      </c>
      <c r="K3312" s="1">
        <v>2</v>
      </c>
      <c r="M3312" s="4">
        <v>1076</v>
      </c>
      <c r="N3312" s="1">
        <v>1253</v>
      </c>
      <c r="O3312" s="1">
        <v>2568</v>
      </c>
      <c r="P3312" s="1">
        <v>1315</v>
      </c>
      <c r="Q3312" s="1" t="s">
        <v>42</v>
      </c>
      <c r="S3312" s="1" t="s">
        <v>42</v>
      </c>
      <c r="T3312" s="1" t="s">
        <v>273</v>
      </c>
      <c r="AA3312" s="1">
        <v>1675129.8</v>
      </c>
      <c r="AB3312" s="1" t="s">
        <v>2138</v>
      </c>
      <c r="AC3312" s="5">
        <v>42347</v>
      </c>
      <c r="AF3312" s="1">
        <v>10128</v>
      </c>
      <c r="AI3312" s="1" t="s">
        <v>163</v>
      </c>
      <c r="AJ3312" s="1">
        <v>1986</v>
      </c>
      <c r="AK3312" s="1" t="s">
        <v>55</v>
      </c>
      <c r="AL3312" s="1">
        <v>287</v>
      </c>
    </row>
    <row r="3313" spans="1:38" x14ac:dyDescent="0.2">
      <c r="A3313" s="2" t="str">
        <f>HYPERLINK("https://www.compass.com/listing/200-east-94th-street-unit-1415-manhattan-ny-10128/29423474934095985/","200 E 94th St, Unit 1415")</f>
        <v>200 E 94th St, Unit 1415</v>
      </c>
      <c r="B3313" s="2" t="str">
        <f t="shared" si="558"/>
        <v>Carnegie Park Condominium</v>
      </c>
      <c r="C3313" s="1" t="s">
        <v>82</v>
      </c>
      <c r="D3313" s="1" t="s">
        <v>41</v>
      </c>
      <c r="E3313" s="3">
        <v>1654793</v>
      </c>
      <c r="F3313" s="1">
        <v>1537.9119609665399</v>
      </c>
      <c r="H3313" s="1">
        <v>2</v>
      </c>
      <c r="J3313" s="1">
        <v>2</v>
      </c>
      <c r="M3313" s="4">
        <v>1076</v>
      </c>
      <c r="N3313" s="1">
        <v>1188</v>
      </c>
      <c r="O3313" s="1">
        <v>2450</v>
      </c>
      <c r="P3313" s="1">
        <v>1262</v>
      </c>
      <c r="Q3313" s="1" t="s">
        <v>42</v>
      </c>
      <c r="S3313" s="1" t="s">
        <v>42</v>
      </c>
      <c r="T3313" s="1" t="s">
        <v>273</v>
      </c>
      <c r="AA3313" s="1">
        <v>1654793.27</v>
      </c>
      <c r="AB3313" s="1" t="s">
        <v>2139</v>
      </c>
      <c r="AC3313" s="5">
        <v>42347</v>
      </c>
      <c r="AF3313" s="1">
        <v>10128</v>
      </c>
      <c r="AI3313" s="1" t="s">
        <v>163</v>
      </c>
      <c r="AJ3313" s="1">
        <v>1986</v>
      </c>
      <c r="AK3313" s="1" t="s">
        <v>55</v>
      </c>
      <c r="AL3313" s="1">
        <v>287</v>
      </c>
    </row>
    <row r="3314" spans="1:38" x14ac:dyDescent="0.2">
      <c r="A3314" s="2" t="str">
        <f>HYPERLINK("https://www.compass.com/listing/200-east-94th-street-unit-2315-manhattan-ny-10128/29423493909118721/","200 E 94th St, Unit 2315")</f>
        <v>200 E 94th St, Unit 2315</v>
      </c>
      <c r="B3314" s="2" t="str">
        <f t="shared" si="558"/>
        <v>Carnegie Park Condominium</v>
      </c>
      <c r="C3314" s="1" t="s">
        <v>82</v>
      </c>
      <c r="D3314" s="1" t="s">
        <v>41</v>
      </c>
      <c r="E3314" s="3">
        <v>1614149</v>
      </c>
      <c r="F3314" s="1">
        <v>1500.1381598513001</v>
      </c>
      <c r="H3314" s="1">
        <v>2</v>
      </c>
      <c r="J3314" s="1">
        <v>2</v>
      </c>
      <c r="K3314" s="1">
        <v>2</v>
      </c>
      <c r="M3314" s="4">
        <v>1076</v>
      </c>
      <c r="N3314" s="1">
        <v>1207</v>
      </c>
      <c r="O3314" s="1">
        <v>2489</v>
      </c>
      <c r="P3314" s="1">
        <v>1282</v>
      </c>
      <c r="Q3314" s="1" t="s">
        <v>42</v>
      </c>
      <c r="S3314" s="1" t="s">
        <v>42</v>
      </c>
      <c r="T3314" s="1" t="s">
        <v>273</v>
      </c>
      <c r="AA3314" s="1">
        <v>1614148.66</v>
      </c>
      <c r="AB3314" s="1" t="s">
        <v>2140</v>
      </c>
      <c r="AC3314" s="5">
        <v>42356</v>
      </c>
      <c r="AF3314" s="1">
        <v>10128</v>
      </c>
      <c r="AI3314" s="1" t="s">
        <v>163</v>
      </c>
      <c r="AJ3314" s="1">
        <v>1986</v>
      </c>
      <c r="AK3314" s="1" t="s">
        <v>55</v>
      </c>
      <c r="AL3314" s="1">
        <v>287</v>
      </c>
    </row>
    <row r="3315" spans="1:38" x14ac:dyDescent="0.2">
      <c r="A3315" s="2" t="str">
        <f>HYPERLINK("https://www.compass.com/listing/200-east-94th-street-unit-2314-manhattan-ny-10128/29423496132108817/","200 E 94th St, Unit 2314")</f>
        <v>200 E 94th St, Unit 2314</v>
      </c>
      <c r="B3315" s="2" t="str">
        <f t="shared" si="558"/>
        <v>Carnegie Park Condominium</v>
      </c>
      <c r="C3315" s="1" t="s">
        <v>82</v>
      </c>
      <c r="D3315" s="1" t="s">
        <v>41</v>
      </c>
      <c r="E3315" s="3">
        <v>1624279</v>
      </c>
      <c r="F3315" s="1">
        <v>1525.1445727699499</v>
      </c>
      <c r="H3315" s="1">
        <v>2</v>
      </c>
      <c r="J3315" s="1">
        <v>2</v>
      </c>
      <c r="K3315" s="1">
        <v>2</v>
      </c>
      <c r="M3315" s="4">
        <v>1065</v>
      </c>
      <c r="N3315" s="1">
        <v>1237</v>
      </c>
      <c r="O3315" s="1">
        <v>2312</v>
      </c>
      <c r="P3315" s="1">
        <v>1075</v>
      </c>
      <c r="Q3315" s="1" t="s">
        <v>42</v>
      </c>
      <c r="S3315" s="1" t="s">
        <v>42</v>
      </c>
      <c r="T3315" s="1" t="s">
        <v>273</v>
      </c>
      <c r="AA3315" s="1">
        <v>1624278.97</v>
      </c>
      <c r="AB3315" s="1" t="s">
        <v>2141</v>
      </c>
      <c r="AC3315" s="5">
        <v>42326</v>
      </c>
      <c r="AF3315" s="1">
        <v>10128</v>
      </c>
      <c r="AI3315" s="1" t="s">
        <v>163</v>
      </c>
      <c r="AJ3315" s="1">
        <v>1986</v>
      </c>
      <c r="AK3315" s="1" t="s">
        <v>55</v>
      </c>
      <c r="AL3315" s="1">
        <v>287</v>
      </c>
    </row>
    <row r="3316" spans="1:38" x14ac:dyDescent="0.2">
      <c r="A3316" s="2" t="str">
        <f>HYPERLINK("https://www.compass.com/listing/200-east-94th-street-unit-601-manhattan-ny-10128/29507984866479985/","200 E 94th St, Unit 601")</f>
        <v>200 E 94th St, Unit 601</v>
      </c>
      <c r="B3316" s="2" t="str">
        <f t="shared" si="558"/>
        <v>Carnegie Park Condominium</v>
      </c>
      <c r="C3316" s="1" t="s">
        <v>82</v>
      </c>
      <c r="D3316" s="1" t="s">
        <v>41</v>
      </c>
      <c r="E3316" s="3">
        <v>1415305</v>
      </c>
      <c r="F3316" s="1">
        <v>1350.4820992366399</v>
      </c>
      <c r="H3316" s="1">
        <v>2</v>
      </c>
      <c r="J3316" s="1">
        <v>2</v>
      </c>
      <c r="M3316" s="4">
        <v>1048</v>
      </c>
      <c r="N3316" s="1">
        <v>1182</v>
      </c>
      <c r="O3316" s="1">
        <v>2192</v>
      </c>
      <c r="P3316" s="1">
        <v>1010</v>
      </c>
      <c r="Q3316" s="1" t="s">
        <v>42</v>
      </c>
      <c r="S3316" s="1" t="s">
        <v>42</v>
      </c>
      <c r="T3316" s="1" t="s">
        <v>273</v>
      </c>
      <c r="AA3316" s="1">
        <v>1415305.24</v>
      </c>
      <c r="AB3316" s="1" t="s">
        <v>2142</v>
      </c>
      <c r="AC3316" s="5">
        <v>42398</v>
      </c>
      <c r="AF3316" s="1">
        <v>10128</v>
      </c>
      <c r="AI3316" s="1" t="s">
        <v>163</v>
      </c>
      <c r="AJ3316" s="1">
        <v>1986</v>
      </c>
      <c r="AK3316" s="1" t="s">
        <v>55</v>
      </c>
      <c r="AL3316" s="1">
        <v>287</v>
      </c>
    </row>
    <row r="3317" spans="1:38" x14ac:dyDescent="0.2">
      <c r="A3317" s="2" t="str">
        <f>HYPERLINK("https://www.compass.com/listing/200-east-94th-street-unit-1714-manhattan-ny-10128/840321497334970841/","200 E 94th St, Unit 1714")</f>
        <v>200 E 94th St, Unit 1714</v>
      </c>
      <c r="B3317" s="2" t="str">
        <f t="shared" si="558"/>
        <v>Carnegie Park Condominium</v>
      </c>
      <c r="C3317" s="1" t="s">
        <v>82</v>
      </c>
      <c r="D3317" s="1" t="s">
        <v>41</v>
      </c>
      <c r="E3317" s="3">
        <v>1630000</v>
      </c>
      <c r="F3317" s="1">
        <v>1530.51643192488</v>
      </c>
      <c r="H3317" s="1">
        <v>2</v>
      </c>
      <c r="J3317" s="1">
        <v>2</v>
      </c>
      <c r="K3317" s="1">
        <v>2</v>
      </c>
      <c r="M3317" s="4">
        <v>1065</v>
      </c>
      <c r="N3317" s="1">
        <v>1224</v>
      </c>
      <c r="O3317" s="1">
        <v>2544</v>
      </c>
      <c r="P3317" s="1">
        <v>1320</v>
      </c>
      <c r="Q3317" s="1" t="s">
        <v>42</v>
      </c>
      <c r="S3317" s="1" t="s">
        <v>42</v>
      </c>
      <c r="T3317" s="1" t="s">
        <v>273</v>
      </c>
      <c r="AA3317" s="1">
        <v>1630000</v>
      </c>
      <c r="AB3317" s="1" t="s">
        <v>2143</v>
      </c>
      <c r="AC3317" s="5">
        <v>44389</v>
      </c>
      <c r="AF3317" s="1">
        <v>10128</v>
      </c>
      <c r="AI3317" s="1" t="s">
        <v>163</v>
      </c>
      <c r="AJ3317" s="1">
        <v>1986</v>
      </c>
      <c r="AK3317" s="1" t="s">
        <v>55</v>
      </c>
      <c r="AL3317" s="1">
        <v>287</v>
      </c>
    </row>
    <row r="3318" spans="1:38" x14ac:dyDescent="0.2">
      <c r="A3318" s="2" t="str">
        <f>HYPERLINK("https://www.compass.com/listing/301-east-80th-street-unit-18a-manhattan-ny-10075/836826445856977513/","301 E 80th St, Unit 18A")</f>
        <v>301 E 80th St, Unit 18A</v>
      </c>
      <c r="B3318" s="2" t="str">
        <f>HYPERLINK("https://www.compass.com/building/beckford-tower-manhattan-ny/293529721147268613/","Beckford Tower")</f>
        <v>Beckford Tower</v>
      </c>
      <c r="C3318" s="1" t="s">
        <v>82</v>
      </c>
      <c r="D3318" s="1" t="s">
        <v>41</v>
      </c>
      <c r="E3318" s="3">
        <v>7025000</v>
      </c>
      <c r="F3318" s="1">
        <v>2309.3359631821099</v>
      </c>
      <c r="G3318" s="1">
        <v>10</v>
      </c>
      <c r="H3318" s="1">
        <v>4</v>
      </c>
      <c r="I3318" s="1">
        <v>5</v>
      </c>
      <c r="J3318" s="1">
        <v>4.5</v>
      </c>
      <c r="K3318" s="1">
        <v>4</v>
      </c>
      <c r="L3318" s="1">
        <v>1</v>
      </c>
      <c r="M3318" s="4">
        <v>3042</v>
      </c>
      <c r="N3318" s="1">
        <v>3958</v>
      </c>
      <c r="O3318" s="1">
        <v>8479</v>
      </c>
      <c r="P3318" s="1">
        <v>4521</v>
      </c>
      <c r="Q3318" s="1" t="s">
        <v>42</v>
      </c>
      <c r="S3318" s="1" t="s">
        <v>42</v>
      </c>
      <c r="T3318" s="1" t="s">
        <v>273</v>
      </c>
      <c r="U3318" s="1">
        <v>73</v>
      </c>
      <c r="V3318" s="5">
        <v>44406</v>
      </c>
      <c r="W3318" s="5">
        <v>44284</v>
      </c>
      <c r="X3318" s="1">
        <v>1</v>
      </c>
      <c r="Y3318" s="1">
        <v>1</v>
      </c>
      <c r="AA3318" s="1">
        <v>7025000</v>
      </c>
      <c r="AB3318" s="1" t="s">
        <v>2144</v>
      </c>
      <c r="AC3318" s="5">
        <v>44357</v>
      </c>
      <c r="AF3318" s="1">
        <v>10075</v>
      </c>
      <c r="AI3318" s="1" t="s">
        <v>182</v>
      </c>
      <c r="AJ3318" s="1">
        <v>2019</v>
      </c>
      <c r="AK3318" s="1" t="s">
        <v>49</v>
      </c>
      <c r="AL3318" s="1">
        <v>72</v>
      </c>
    </row>
    <row r="3319" spans="1:38" x14ac:dyDescent="0.2">
      <c r="A3319" s="2" t="str">
        <f>HYPERLINK("https://www.compass.com/listing/200-east-94th-street-unit-321-manhattan-ny-10128/29423425667735745/","200 E 94th St, Unit 321")</f>
        <v>200 E 94th St, Unit 321</v>
      </c>
      <c r="B3319" s="2" t="str">
        <f t="shared" ref="B3319:B3349" si="559">HYPERLINK("https://www.compass.com/building/carnegie-park-condominium-manhattan-ny/282049797358118613/","Carnegie Park Condominium")</f>
        <v>Carnegie Park Condominium</v>
      </c>
      <c r="C3319" s="1" t="s">
        <v>82</v>
      </c>
      <c r="D3319" s="1" t="s">
        <v>41</v>
      </c>
      <c r="E3319" s="3">
        <v>1951557</v>
      </c>
      <c r="F3319" s="1">
        <v>1388.0203200568899</v>
      </c>
      <c r="H3319" s="1">
        <v>3</v>
      </c>
      <c r="J3319" s="1">
        <v>2</v>
      </c>
      <c r="K3319" s="1">
        <v>2</v>
      </c>
      <c r="M3319" s="4">
        <v>1406</v>
      </c>
      <c r="N3319" s="1">
        <v>1614</v>
      </c>
      <c r="O3319" s="1">
        <v>3328</v>
      </c>
      <c r="P3319" s="1">
        <v>1714</v>
      </c>
      <c r="Q3319" s="1" t="s">
        <v>42</v>
      </c>
      <c r="S3319" s="1" t="s">
        <v>42</v>
      </c>
      <c r="T3319" s="1" t="s">
        <v>273</v>
      </c>
      <c r="AA3319" s="1">
        <v>1951556.57</v>
      </c>
      <c r="AB3319" s="1" t="s">
        <v>2145</v>
      </c>
      <c r="AC3319" s="5">
        <v>42452</v>
      </c>
      <c r="AF3319" s="1">
        <v>10128</v>
      </c>
      <c r="AI3319" s="1" t="s">
        <v>163</v>
      </c>
      <c r="AJ3319" s="1">
        <v>1986</v>
      </c>
      <c r="AK3319" s="1" t="s">
        <v>55</v>
      </c>
      <c r="AL3319" s="1">
        <v>287</v>
      </c>
    </row>
    <row r="3320" spans="1:38" x14ac:dyDescent="0.2">
      <c r="A3320" s="2" t="str">
        <f>HYPERLINK("https://www.compass.com/listing/200-east-94th-street-unit-522-manhattan-ny-10128/29423438099653073/","200 E 94th St, Unit 522")</f>
        <v>200 E 94th St, Unit 522</v>
      </c>
      <c r="B3320" s="2" t="str">
        <f t="shared" si="559"/>
        <v>Carnegie Park Condominium</v>
      </c>
      <c r="C3320" s="1" t="s">
        <v>82</v>
      </c>
      <c r="D3320" s="1" t="s">
        <v>41</v>
      </c>
      <c r="E3320" s="3">
        <v>1971988</v>
      </c>
      <c r="F3320" s="1">
        <v>1402.5517425319999</v>
      </c>
      <c r="H3320" s="1">
        <v>3</v>
      </c>
      <c r="J3320" s="1">
        <v>2</v>
      </c>
      <c r="K3320" s="1">
        <v>2</v>
      </c>
      <c r="M3320" s="4">
        <v>1406</v>
      </c>
      <c r="N3320" s="1">
        <v>1638.05</v>
      </c>
      <c r="O3320" s="1">
        <v>3042.51</v>
      </c>
      <c r="P3320" s="1">
        <v>1404.5</v>
      </c>
      <c r="Q3320" s="1" t="s">
        <v>42</v>
      </c>
      <c r="S3320" s="1" t="s">
        <v>42</v>
      </c>
      <c r="T3320" s="1" t="s">
        <v>273</v>
      </c>
      <c r="AA3320" s="1">
        <v>1971987.75</v>
      </c>
      <c r="AB3320" s="1" t="s">
        <v>2146</v>
      </c>
      <c r="AC3320" s="5">
        <v>42509</v>
      </c>
      <c r="AF3320" s="1">
        <v>10128</v>
      </c>
      <c r="AI3320" s="1" t="s">
        <v>163</v>
      </c>
      <c r="AJ3320" s="1">
        <v>1986</v>
      </c>
      <c r="AK3320" s="1" t="s">
        <v>55</v>
      </c>
      <c r="AL3320" s="1">
        <v>287</v>
      </c>
    </row>
    <row r="3321" spans="1:38" x14ac:dyDescent="0.2">
      <c r="A3321" s="2" t="str">
        <f>HYPERLINK("https://www.compass.com/listing/200-east-94th-street-unit-1109-manhattan-ny-10128/29423471184388145/","200 E 94th St, Unit 1109")</f>
        <v>200 E 94th St, Unit 1109</v>
      </c>
      <c r="B3321" s="2" t="str">
        <f t="shared" si="559"/>
        <v>Carnegie Park Condominium</v>
      </c>
      <c r="C3321" s="1" t="s">
        <v>82</v>
      </c>
      <c r="D3321" s="1" t="s">
        <v>41</v>
      </c>
      <c r="E3321" s="3">
        <v>2094994</v>
      </c>
      <c r="F3321" s="1">
        <v>1329.3111611675099</v>
      </c>
      <c r="H3321" s="1">
        <v>3</v>
      </c>
      <c r="J3321" s="1">
        <v>2</v>
      </c>
      <c r="K3321" s="1">
        <v>2</v>
      </c>
      <c r="M3321" s="4">
        <v>1576</v>
      </c>
      <c r="N3321" s="1">
        <v>1783</v>
      </c>
      <c r="O3321" s="1">
        <v>3645</v>
      </c>
      <c r="P3321" s="1">
        <v>1862</v>
      </c>
      <c r="Q3321" s="1" t="s">
        <v>42</v>
      </c>
      <c r="S3321" s="1" t="s">
        <v>42</v>
      </c>
      <c r="T3321" s="1" t="s">
        <v>273</v>
      </c>
      <c r="AA3321" s="1">
        <v>2094994.39</v>
      </c>
      <c r="AB3321" s="1" t="s">
        <v>2147</v>
      </c>
      <c r="AC3321" s="5">
        <v>42486</v>
      </c>
      <c r="AF3321" s="1">
        <v>10128</v>
      </c>
      <c r="AI3321" s="1" t="s">
        <v>163</v>
      </c>
      <c r="AJ3321" s="1">
        <v>1986</v>
      </c>
      <c r="AK3321" s="1" t="s">
        <v>55</v>
      </c>
      <c r="AL3321" s="1">
        <v>287</v>
      </c>
    </row>
    <row r="3322" spans="1:38" x14ac:dyDescent="0.2">
      <c r="A3322" s="2" t="str">
        <f>HYPERLINK("https://www.compass.com/listing/200-east-94th-street-unit-501-manhattan-ny-10128/29507984556050545/","200 E 94th St, Unit 501")</f>
        <v>200 E 94th St, Unit 501</v>
      </c>
      <c r="B3322" s="2" t="str">
        <f t="shared" si="559"/>
        <v>Carnegie Park Condominium</v>
      </c>
      <c r="C3322" s="1" t="s">
        <v>82</v>
      </c>
      <c r="D3322" s="1" t="s">
        <v>41</v>
      </c>
      <c r="E3322" s="3">
        <v>2028661</v>
      </c>
      <c r="F3322" s="1">
        <v>1305.4444208494201</v>
      </c>
      <c r="H3322" s="1">
        <v>3</v>
      </c>
      <c r="J3322" s="1">
        <v>2</v>
      </c>
      <c r="K3322" s="1">
        <v>2</v>
      </c>
      <c r="M3322" s="4">
        <v>1554</v>
      </c>
      <c r="N3322" s="1">
        <v>1747</v>
      </c>
      <c r="O3322" s="1">
        <v>3260</v>
      </c>
      <c r="P3322" s="1">
        <v>1513</v>
      </c>
      <c r="Q3322" s="1" t="s">
        <v>42</v>
      </c>
      <c r="S3322" s="1" t="s">
        <v>42</v>
      </c>
      <c r="T3322" s="1" t="s">
        <v>273</v>
      </c>
      <c r="AA3322" s="1">
        <v>2028660.63</v>
      </c>
      <c r="AB3322" s="1" t="s">
        <v>2148</v>
      </c>
      <c r="AC3322" s="5">
        <v>42432</v>
      </c>
      <c r="AF3322" s="1">
        <v>10128</v>
      </c>
      <c r="AI3322" s="1" t="s">
        <v>163</v>
      </c>
      <c r="AJ3322" s="1">
        <v>1986</v>
      </c>
      <c r="AK3322" s="1" t="s">
        <v>55</v>
      </c>
      <c r="AL3322" s="1">
        <v>287</v>
      </c>
    </row>
    <row r="3323" spans="1:38" x14ac:dyDescent="0.2">
      <c r="A3323" s="2" t="str">
        <f>HYPERLINK("https://www.compass.com/listing/200-east-94th-street-unit-525-manhattan-ny-10128/837410569743883689/","200 E 94th St, Unit 525")</f>
        <v>200 E 94th St, Unit 525</v>
      </c>
      <c r="B3323" s="2" t="str">
        <f t="shared" si="559"/>
        <v>Carnegie Park Condominium</v>
      </c>
      <c r="C3323" s="1" t="s">
        <v>82</v>
      </c>
      <c r="D3323" s="1" t="s">
        <v>41</v>
      </c>
      <c r="E3323" s="3">
        <v>1112500</v>
      </c>
      <c r="F3323" s="1">
        <v>1575.7790368271901</v>
      </c>
      <c r="M3323" s="1">
        <v>706</v>
      </c>
      <c r="Q3323" s="1" t="s">
        <v>42</v>
      </c>
      <c r="S3323" s="1" t="s">
        <v>42</v>
      </c>
      <c r="T3323" s="1" t="s">
        <v>273</v>
      </c>
      <c r="AA3323" s="1">
        <v>1112500</v>
      </c>
      <c r="AB3323" s="1" t="s">
        <v>2149</v>
      </c>
      <c r="AC3323" s="5">
        <v>44396</v>
      </c>
      <c r="AF3323" s="1">
        <v>10128</v>
      </c>
      <c r="AI3323" s="1" t="s">
        <v>163</v>
      </c>
      <c r="AJ3323" s="1">
        <v>1986</v>
      </c>
      <c r="AK3323" s="1" t="s">
        <v>55</v>
      </c>
      <c r="AL3323" s="1">
        <v>287</v>
      </c>
    </row>
    <row r="3324" spans="1:38" x14ac:dyDescent="0.2">
      <c r="A3324" s="2" t="str">
        <f>HYPERLINK("https://www.compass.com/listing/200-east-94th-street-unit-605-manhattan-ny-10128/277166083335570929/","200 E 94th St, Unit 605")</f>
        <v>200 E 94th St, Unit 605</v>
      </c>
      <c r="B3324" s="2" t="str">
        <f t="shared" si="559"/>
        <v>Carnegie Park Condominium</v>
      </c>
      <c r="C3324" s="1" t="s">
        <v>82</v>
      </c>
      <c r="D3324" s="1" t="s">
        <v>41</v>
      </c>
      <c r="E3324" s="3">
        <v>774559</v>
      </c>
      <c r="F3324" s="1">
        <v>1518.74219607843</v>
      </c>
      <c r="H3324" s="1" t="s">
        <v>153</v>
      </c>
      <c r="J3324" s="1">
        <v>1</v>
      </c>
      <c r="K3324" s="1">
        <v>1</v>
      </c>
      <c r="M3324" s="1">
        <v>510</v>
      </c>
      <c r="N3324" s="1">
        <v>597</v>
      </c>
      <c r="O3324" s="1">
        <v>1225</v>
      </c>
      <c r="P3324" s="1">
        <v>628</v>
      </c>
      <c r="Q3324" s="1" t="s">
        <v>42</v>
      </c>
      <c r="S3324" s="1" t="s">
        <v>42</v>
      </c>
      <c r="T3324" s="1" t="s">
        <v>273</v>
      </c>
      <c r="AA3324" s="1">
        <v>774558.52</v>
      </c>
      <c r="AB3324" s="1" t="s">
        <v>2150</v>
      </c>
      <c r="AC3324" s="5">
        <v>43621</v>
      </c>
      <c r="AF3324" s="1">
        <v>10128</v>
      </c>
      <c r="AI3324" s="1" t="s">
        <v>163</v>
      </c>
      <c r="AJ3324" s="1">
        <v>1986</v>
      </c>
      <c r="AK3324" s="1" t="s">
        <v>55</v>
      </c>
      <c r="AL3324" s="1">
        <v>287</v>
      </c>
    </row>
    <row r="3325" spans="1:38" x14ac:dyDescent="0.2">
      <c r="A3325" s="2" t="str">
        <f>HYPERLINK("https://www.compass.com/listing/200-east-94th-street-unit-511-manhattan-ny-10128/29423440826015153/","200 E 94th St, Unit 511")</f>
        <v>200 E 94th St, Unit 511</v>
      </c>
      <c r="B3325" s="2" t="str">
        <f t="shared" si="559"/>
        <v>Carnegie Park Condominium</v>
      </c>
      <c r="C3325" s="1" t="s">
        <v>82</v>
      </c>
      <c r="D3325" s="1" t="s">
        <v>41</v>
      </c>
      <c r="E3325" s="3">
        <v>815135</v>
      </c>
      <c r="F3325" s="1">
        <v>954.49090163934397</v>
      </c>
      <c r="M3325" s="1">
        <v>854</v>
      </c>
      <c r="Q3325" s="1" t="s">
        <v>42</v>
      </c>
      <c r="S3325" s="1" t="s">
        <v>42</v>
      </c>
      <c r="T3325" s="1" t="s">
        <v>273</v>
      </c>
      <c r="AA3325" s="1">
        <v>815135.23</v>
      </c>
      <c r="AB3325" s="1" t="s">
        <v>2151</v>
      </c>
      <c r="AC3325" s="5">
        <v>42368</v>
      </c>
      <c r="AF3325" s="1">
        <v>10128</v>
      </c>
      <c r="AI3325" s="1" t="s">
        <v>163</v>
      </c>
      <c r="AJ3325" s="1">
        <v>1986</v>
      </c>
      <c r="AK3325" s="1" t="s">
        <v>55</v>
      </c>
      <c r="AL3325" s="1">
        <v>287</v>
      </c>
    </row>
    <row r="3326" spans="1:38" x14ac:dyDescent="0.2">
      <c r="A3326" s="2" t="str">
        <f>HYPERLINK("https://www.compass.com/listing/200-east-94th-street-unit-605-manhattan-ny-10128/29423448300200657/","200 E 94th St, Unit 605")</f>
        <v>200 E 94th St, Unit 605</v>
      </c>
      <c r="B3326" s="2" t="str">
        <f t="shared" si="559"/>
        <v>Carnegie Park Condominium</v>
      </c>
      <c r="C3326" s="1" t="s">
        <v>82</v>
      </c>
      <c r="D3326" s="1" t="s">
        <v>41</v>
      </c>
      <c r="E3326" s="3">
        <v>745799</v>
      </c>
      <c r="F3326" s="1">
        <v>1462.3510784313701</v>
      </c>
      <c r="H3326" s="1" t="s">
        <v>153</v>
      </c>
      <c r="J3326" s="1">
        <v>1</v>
      </c>
      <c r="K3326" s="1">
        <v>1</v>
      </c>
      <c r="M3326" s="1">
        <v>510</v>
      </c>
      <c r="N3326" s="1">
        <v>597</v>
      </c>
      <c r="O3326" s="1">
        <v>1225</v>
      </c>
      <c r="P3326" s="1">
        <v>628</v>
      </c>
      <c r="Q3326" s="1" t="s">
        <v>42</v>
      </c>
      <c r="S3326" s="1" t="s">
        <v>42</v>
      </c>
      <c r="T3326" s="1" t="s">
        <v>273</v>
      </c>
      <c r="AA3326" s="1">
        <v>745799.05</v>
      </c>
      <c r="AB3326" s="1" t="s">
        <v>2152</v>
      </c>
      <c r="AC3326" s="5">
        <v>42430</v>
      </c>
      <c r="AF3326" s="1">
        <v>10128</v>
      </c>
      <c r="AI3326" s="1" t="s">
        <v>163</v>
      </c>
      <c r="AJ3326" s="1">
        <v>1986</v>
      </c>
      <c r="AK3326" s="1" t="s">
        <v>55</v>
      </c>
      <c r="AL3326" s="1">
        <v>287</v>
      </c>
    </row>
    <row r="3327" spans="1:38" x14ac:dyDescent="0.2">
      <c r="A3327" s="2" t="str">
        <f>HYPERLINK("https://www.compass.com/listing/200-east-94th-street-unit-717-manhattan-ny-10128/167862008165800241/","200 E 94th St, Unit 717")</f>
        <v>200 E 94th St, Unit 717</v>
      </c>
      <c r="B3327" s="2" t="str">
        <f t="shared" si="559"/>
        <v>Carnegie Park Condominium</v>
      </c>
      <c r="C3327" s="1" t="s">
        <v>82</v>
      </c>
      <c r="D3327" s="1" t="s">
        <v>41</v>
      </c>
      <c r="E3327" s="3">
        <v>1787076</v>
      </c>
      <c r="F3327" s="1">
        <v>1671.72649204864</v>
      </c>
      <c r="H3327" s="1">
        <v>2</v>
      </c>
      <c r="J3327" s="1">
        <v>2</v>
      </c>
      <c r="M3327" s="4">
        <v>1069</v>
      </c>
      <c r="N3327" s="1">
        <v>1167</v>
      </c>
      <c r="O3327" s="1">
        <v>2407</v>
      </c>
      <c r="P3327" s="1">
        <v>1240</v>
      </c>
      <c r="Q3327" s="1" t="s">
        <v>42</v>
      </c>
      <c r="S3327" s="1" t="s">
        <v>42</v>
      </c>
      <c r="T3327" s="1" t="s">
        <v>273</v>
      </c>
      <c r="AA3327" s="1">
        <v>1787075.62</v>
      </c>
      <c r="AB3327" s="1" t="s">
        <v>2153</v>
      </c>
      <c r="AC3327" s="5">
        <v>42375</v>
      </c>
      <c r="AF3327" s="1">
        <v>10128</v>
      </c>
      <c r="AI3327" s="1" t="s">
        <v>163</v>
      </c>
      <c r="AJ3327" s="1">
        <v>1986</v>
      </c>
      <c r="AK3327" s="1" t="s">
        <v>55</v>
      </c>
      <c r="AL3327" s="1">
        <v>287</v>
      </c>
    </row>
    <row r="3328" spans="1:38" x14ac:dyDescent="0.2">
      <c r="A3328" s="2" t="str">
        <f>HYPERLINK("https://www.compass.com/listing/200-east-94th-street-unit-915-manhattan-ny-10128/228017031352440433/","200 E 94th St, Unit 915")</f>
        <v>200 E 94th St, Unit 915</v>
      </c>
      <c r="B3328" s="2" t="str">
        <f t="shared" si="559"/>
        <v>Carnegie Park Condominium</v>
      </c>
      <c r="C3328" s="1" t="s">
        <v>82</v>
      </c>
      <c r="D3328" s="1" t="s">
        <v>41</v>
      </c>
      <c r="E3328" s="3">
        <v>1787412</v>
      </c>
      <c r="F3328" s="1">
        <v>1661.16392193308</v>
      </c>
      <c r="H3328" s="1">
        <v>2</v>
      </c>
      <c r="J3328" s="1">
        <v>2</v>
      </c>
      <c r="K3328" s="1">
        <v>2</v>
      </c>
      <c r="M3328" s="4">
        <v>1076</v>
      </c>
      <c r="N3328" s="1">
        <v>1220</v>
      </c>
      <c r="O3328" s="1">
        <v>2537</v>
      </c>
      <c r="P3328" s="1">
        <v>1317</v>
      </c>
      <c r="Q3328" s="1" t="s">
        <v>42</v>
      </c>
      <c r="S3328" s="1" t="s">
        <v>42</v>
      </c>
      <c r="T3328" s="1" t="s">
        <v>273</v>
      </c>
      <c r="AA3328" s="1">
        <v>1787412.38</v>
      </c>
      <c r="AB3328" s="1" t="s">
        <v>2154</v>
      </c>
      <c r="AC3328" s="5">
        <v>43552</v>
      </c>
      <c r="AF3328" s="1">
        <v>10128</v>
      </c>
      <c r="AI3328" s="1" t="s">
        <v>163</v>
      </c>
      <c r="AJ3328" s="1">
        <v>1986</v>
      </c>
      <c r="AK3328" s="1" t="s">
        <v>55</v>
      </c>
      <c r="AL3328" s="1">
        <v>287</v>
      </c>
    </row>
    <row r="3329" spans="1:38" x14ac:dyDescent="0.2">
      <c r="A3329" s="2" t="str">
        <f>HYPERLINK("https://www.compass.com/listing/200-east-94th-street-unit-1015-manhattan-ny-10128/277166128868940609/","200 E 94th St, Unit 1015")</f>
        <v>200 E 94th St, Unit 1015</v>
      </c>
      <c r="B3329" s="2" t="str">
        <f t="shared" si="559"/>
        <v>Carnegie Park Condominium</v>
      </c>
      <c r="C3329" s="1" t="s">
        <v>82</v>
      </c>
      <c r="D3329" s="1" t="s">
        <v>41</v>
      </c>
      <c r="E3329" s="3">
        <v>1742864</v>
      </c>
      <c r="F3329" s="1">
        <v>1619.76164498141</v>
      </c>
      <c r="H3329" s="1">
        <v>2</v>
      </c>
      <c r="J3329" s="1">
        <v>2</v>
      </c>
      <c r="K3329" s="1">
        <v>2</v>
      </c>
      <c r="M3329" s="4">
        <v>1076</v>
      </c>
      <c r="N3329" s="1">
        <v>1253</v>
      </c>
      <c r="O3329" s="1">
        <v>2568</v>
      </c>
      <c r="P3329" s="1">
        <v>1315</v>
      </c>
      <c r="Q3329" s="1" t="s">
        <v>42</v>
      </c>
      <c r="S3329" s="1" t="s">
        <v>42</v>
      </c>
      <c r="T3329" s="1" t="s">
        <v>273</v>
      </c>
      <c r="AA3329" s="1">
        <v>1742863.53</v>
      </c>
      <c r="AB3329" s="1" t="s">
        <v>2155</v>
      </c>
      <c r="AC3329" s="5">
        <v>43577</v>
      </c>
      <c r="AF3329" s="1">
        <v>10128</v>
      </c>
      <c r="AI3329" s="1" t="s">
        <v>163</v>
      </c>
      <c r="AJ3329" s="1">
        <v>1986</v>
      </c>
      <c r="AK3329" s="1" t="s">
        <v>55</v>
      </c>
      <c r="AL3329" s="1">
        <v>287</v>
      </c>
    </row>
    <row r="3330" spans="1:38" x14ac:dyDescent="0.2">
      <c r="A3330" s="2" t="str">
        <f>HYPERLINK("https://www.compass.com/listing/200-east-94th-street-unit-1114-manhattan-ny-10128/277166139077871953/","200 E 94th St, Unit 1114")</f>
        <v>200 E 94th St, Unit 1114</v>
      </c>
      <c r="B3330" s="2" t="str">
        <f t="shared" si="559"/>
        <v>Carnegie Park Condominium</v>
      </c>
      <c r="C3330" s="1" t="s">
        <v>82</v>
      </c>
      <c r="D3330" s="1" t="s">
        <v>41</v>
      </c>
      <c r="E3330" s="3">
        <v>1909408</v>
      </c>
      <c r="F3330" s="1">
        <v>1792.87163380281</v>
      </c>
      <c r="H3330" s="1">
        <v>2</v>
      </c>
      <c r="J3330" s="1">
        <v>2</v>
      </c>
      <c r="K3330" s="1">
        <v>2</v>
      </c>
      <c r="M3330" s="4">
        <v>1065</v>
      </c>
      <c r="N3330" s="1">
        <v>1232</v>
      </c>
      <c r="O3330" s="1">
        <v>2525</v>
      </c>
      <c r="P3330" s="1">
        <v>1293</v>
      </c>
      <c r="Q3330" s="1" t="s">
        <v>42</v>
      </c>
      <c r="S3330" s="1" t="s">
        <v>42</v>
      </c>
      <c r="T3330" s="1" t="s">
        <v>273</v>
      </c>
      <c r="AA3330" s="1">
        <v>1909408.29</v>
      </c>
      <c r="AB3330" s="1" t="s">
        <v>2156</v>
      </c>
      <c r="AC3330" s="5">
        <v>43585</v>
      </c>
      <c r="AF3330" s="1">
        <v>10128</v>
      </c>
      <c r="AI3330" s="1" t="s">
        <v>163</v>
      </c>
      <c r="AJ3330" s="1">
        <v>1986</v>
      </c>
      <c r="AK3330" s="1" t="s">
        <v>55</v>
      </c>
      <c r="AL3330" s="1">
        <v>287</v>
      </c>
    </row>
    <row r="3331" spans="1:38" x14ac:dyDescent="0.2">
      <c r="A3331" s="2" t="str">
        <f>HYPERLINK("https://www.compass.com/listing/200-east-94th-street-unit-2015-manhattan-ny-10128/277166174184210193/","200 E 94th St, Unit 2015")</f>
        <v>200 E 94th St, Unit 2015</v>
      </c>
      <c r="B3331" s="2" t="str">
        <f t="shared" si="559"/>
        <v>Carnegie Park Condominium</v>
      </c>
      <c r="C3331" s="1" t="s">
        <v>82</v>
      </c>
      <c r="D3331" s="1" t="s">
        <v>41</v>
      </c>
      <c r="E3331" s="3">
        <v>1834035</v>
      </c>
      <c r="F3331" s="1">
        <v>1704.49375464684</v>
      </c>
      <c r="H3331" s="1">
        <v>2</v>
      </c>
      <c r="J3331" s="1">
        <v>2</v>
      </c>
      <c r="K3331" s="1">
        <v>2</v>
      </c>
      <c r="M3331" s="4">
        <v>1076</v>
      </c>
      <c r="N3331" s="1">
        <v>1273</v>
      </c>
      <c r="O3331" s="1">
        <v>2610</v>
      </c>
      <c r="P3331" s="1">
        <v>1337</v>
      </c>
      <c r="Q3331" s="1" t="s">
        <v>42</v>
      </c>
      <c r="S3331" s="1" t="s">
        <v>42</v>
      </c>
      <c r="T3331" s="1" t="s">
        <v>273</v>
      </c>
      <c r="AA3331" s="1">
        <v>1834035.28</v>
      </c>
      <c r="AB3331" s="1" t="s">
        <v>2157</v>
      </c>
      <c r="AC3331" s="5">
        <v>43591</v>
      </c>
      <c r="AF3331" s="1">
        <v>10128</v>
      </c>
      <c r="AI3331" s="1" t="s">
        <v>163</v>
      </c>
      <c r="AJ3331" s="1">
        <v>1986</v>
      </c>
      <c r="AK3331" s="1" t="s">
        <v>55</v>
      </c>
      <c r="AL3331" s="1">
        <v>287</v>
      </c>
    </row>
    <row r="3332" spans="1:38" x14ac:dyDescent="0.2">
      <c r="A3332" s="2" t="str">
        <f>HYPERLINK("https://www.compass.com/listing/200-east-94th-street-unit-2317-manhattan-ny-10128/277166193243130289/","200 E 94th St, Unit 2317")</f>
        <v>200 E 94th St, Unit 2317</v>
      </c>
      <c r="B3332" s="2" t="str">
        <f t="shared" si="559"/>
        <v>Carnegie Park Condominium</v>
      </c>
      <c r="C3332" s="1" t="s">
        <v>82</v>
      </c>
      <c r="D3332" s="1" t="s">
        <v>41</v>
      </c>
      <c r="E3332" s="3">
        <v>1800849</v>
      </c>
      <c r="F3332" s="1">
        <v>1723.30037320574</v>
      </c>
      <c r="H3332" s="1">
        <v>2</v>
      </c>
      <c r="J3332" s="1">
        <v>2</v>
      </c>
      <c r="K3332" s="1">
        <v>2</v>
      </c>
      <c r="M3332" s="4">
        <v>1045</v>
      </c>
      <c r="N3332" s="1">
        <v>1245</v>
      </c>
      <c r="O3332" s="1">
        <v>2552</v>
      </c>
      <c r="P3332" s="1">
        <v>1307</v>
      </c>
      <c r="Q3332" s="1" t="s">
        <v>42</v>
      </c>
      <c r="S3332" s="1" t="s">
        <v>42</v>
      </c>
      <c r="T3332" s="1" t="s">
        <v>273</v>
      </c>
      <c r="AA3332" s="1">
        <v>1800848.89</v>
      </c>
      <c r="AB3332" s="1" t="s">
        <v>2158</v>
      </c>
      <c r="AC3332" s="5">
        <v>43619</v>
      </c>
      <c r="AF3332" s="1">
        <v>10128</v>
      </c>
      <c r="AI3332" s="1" t="s">
        <v>163</v>
      </c>
      <c r="AJ3332" s="1">
        <v>1986</v>
      </c>
      <c r="AK3332" s="1" t="s">
        <v>55</v>
      </c>
      <c r="AL3332" s="1">
        <v>287</v>
      </c>
    </row>
    <row r="3333" spans="1:38" x14ac:dyDescent="0.2">
      <c r="A3333" s="2" t="str">
        <f>HYPERLINK("https://www.compass.com/listing/200-east-94th-street-unit-2415-manhattan-ny-10128/277166199979196177/","200 E 94th St, Unit 2415")</f>
        <v>200 E 94th St, Unit 2415</v>
      </c>
      <c r="B3333" s="2" t="str">
        <f t="shared" si="559"/>
        <v>Carnegie Park Condominium</v>
      </c>
      <c r="C3333" s="1" t="s">
        <v>82</v>
      </c>
      <c r="D3333" s="1" t="s">
        <v>41</v>
      </c>
      <c r="E3333" s="3">
        <v>1883291</v>
      </c>
      <c r="F3333" s="1">
        <v>1750.2701858736</v>
      </c>
      <c r="H3333" s="1">
        <v>2</v>
      </c>
      <c r="J3333" s="1">
        <v>2</v>
      </c>
      <c r="K3333" s="1">
        <v>2</v>
      </c>
      <c r="M3333" s="4">
        <v>1076</v>
      </c>
      <c r="N3333" s="1">
        <v>1252</v>
      </c>
      <c r="O3333" s="1">
        <v>2603</v>
      </c>
      <c r="P3333" s="1">
        <v>1351</v>
      </c>
      <c r="Q3333" s="1" t="s">
        <v>42</v>
      </c>
      <c r="S3333" s="1" t="s">
        <v>42</v>
      </c>
      <c r="T3333" s="1" t="s">
        <v>273</v>
      </c>
      <c r="AA3333" s="1">
        <v>1883290.72</v>
      </c>
      <c r="AB3333" s="1" t="s">
        <v>2159</v>
      </c>
      <c r="AC3333" s="5">
        <v>43614</v>
      </c>
      <c r="AF3333" s="1">
        <v>10128</v>
      </c>
      <c r="AI3333" s="1" t="s">
        <v>163</v>
      </c>
      <c r="AJ3333" s="1">
        <v>1986</v>
      </c>
      <c r="AK3333" s="1" t="s">
        <v>55</v>
      </c>
      <c r="AL3333" s="1">
        <v>287</v>
      </c>
    </row>
    <row r="3334" spans="1:38" x14ac:dyDescent="0.2">
      <c r="A3334" s="2" t="str">
        <f>HYPERLINK("https://www.compass.com/listing/200-east-94th-street-unit-222-manhattan-ny-10128/29423420433308721/","200 E 94th St, Unit 222")</f>
        <v>200 E 94th St, Unit 222</v>
      </c>
      <c r="B3334" s="2" t="str">
        <f t="shared" si="559"/>
        <v>Carnegie Park Condominium</v>
      </c>
      <c r="C3334" s="1" t="s">
        <v>82</v>
      </c>
      <c r="D3334" s="1" t="s">
        <v>41</v>
      </c>
      <c r="E3334" s="3">
        <v>1808992</v>
      </c>
      <c r="F3334" s="1">
        <v>1286.6233285917399</v>
      </c>
      <c r="H3334" s="1">
        <v>2</v>
      </c>
      <c r="J3334" s="1">
        <v>2</v>
      </c>
      <c r="K3334" s="1">
        <v>2</v>
      </c>
      <c r="M3334" s="4">
        <v>1406</v>
      </c>
      <c r="N3334" s="1">
        <v>1519</v>
      </c>
      <c r="O3334" s="1">
        <v>3134</v>
      </c>
      <c r="P3334" s="1">
        <v>1615</v>
      </c>
      <c r="Q3334" s="1" t="s">
        <v>42</v>
      </c>
      <c r="S3334" s="1" t="s">
        <v>42</v>
      </c>
      <c r="T3334" s="1" t="s">
        <v>273</v>
      </c>
      <c r="AA3334" s="1">
        <v>1808992.4</v>
      </c>
      <c r="AB3334" s="1" t="s">
        <v>2160</v>
      </c>
      <c r="AC3334" s="5">
        <v>42451</v>
      </c>
      <c r="AF3334" s="1">
        <v>10128</v>
      </c>
      <c r="AI3334" s="1" t="s">
        <v>163</v>
      </c>
      <c r="AJ3334" s="1">
        <v>1986</v>
      </c>
      <c r="AK3334" s="1" t="s">
        <v>55</v>
      </c>
      <c r="AL3334" s="1">
        <v>287</v>
      </c>
    </row>
    <row r="3335" spans="1:38" x14ac:dyDescent="0.2">
      <c r="A3335" s="2" t="str">
        <f>HYPERLINK("https://www.compass.com/listing/200-east-94th-street-unit-608-manhattan-ny-10128/29423450263134977/","200 E 94th St, Unit 608")</f>
        <v>200 E 94th St, Unit 608</v>
      </c>
      <c r="B3335" s="2" t="str">
        <f t="shared" si="559"/>
        <v>Carnegie Park Condominium</v>
      </c>
      <c r="C3335" s="1" t="s">
        <v>82</v>
      </c>
      <c r="D3335" s="1" t="s">
        <v>41</v>
      </c>
      <c r="E3335" s="3">
        <v>1793011</v>
      </c>
      <c r="F3335" s="1">
        <v>1449.48372675828</v>
      </c>
      <c r="H3335" s="1">
        <v>2</v>
      </c>
      <c r="J3335" s="1">
        <v>2</v>
      </c>
      <c r="K3335" s="1">
        <v>2</v>
      </c>
      <c r="M3335" s="4">
        <v>1237</v>
      </c>
      <c r="N3335" s="1">
        <v>1441</v>
      </c>
      <c r="O3335" s="1">
        <v>2971.69</v>
      </c>
      <c r="P3335" s="1">
        <v>1530.6666666666599</v>
      </c>
      <c r="Q3335" s="1" t="s">
        <v>42</v>
      </c>
      <c r="S3335" s="1" t="s">
        <v>42</v>
      </c>
      <c r="T3335" s="1" t="s">
        <v>273</v>
      </c>
      <c r="AA3335" s="1">
        <v>1793011.37</v>
      </c>
      <c r="AB3335" s="1" t="s">
        <v>2161</v>
      </c>
      <c r="AC3335" s="5">
        <v>42429</v>
      </c>
      <c r="AF3335" s="1">
        <v>10128</v>
      </c>
      <c r="AI3335" s="1" t="s">
        <v>163</v>
      </c>
      <c r="AJ3335" s="1">
        <v>1986</v>
      </c>
      <c r="AK3335" s="1" t="s">
        <v>55</v>
      </c>
      <c r="AL3335" s="1">
        <v>287</v>
      </c>
    </row>
    <row r="3336" spans="1:38" x14ac:dyDescent="0.2">
      <c r="A3336" s="2" t="str">
        <f>HYPERLINK("https://www.compass.com/listing/200-east-94th-street-unit-915-manhattan-ny-10128/29423461646540673/","200 E 94th St, Unit 915")</f>
        <v>200 E 94th St, Unit 915</v>
      </c>
      <c r="B3336" s="2" t="str">
        <f t="shared" si="559"/>
        <v>Carnegie Park Condominium</v>
      </c>
      <c r="C3336" s="1" t="s">
        <v>82</v>
      </c>
      <c r="D3336" s="1" t="s">
        <v>41</v>
      </c>
      <c r="E3336" s="3">
        <v>1715850</v>
      </c>
      <c r="F3336" s="1">
        <v>1594.6561524163501</v>
      </c>
      <c r="H3336" s="1">
        <v>2</v>
      </c>
      <c r="J3336" s="1">
        <v>2</v>
      </c>
      <c r="K3336" s="1">
        <v>2</v>
      </c>
      <c r="M3336" s="4">
        <v>1076</v>
      </c>
      <c r="N3336" s="1">
        <v>1220</v>
      </c>
      <c r="O3336" s="1">
        <v>2537</v>
      </c>
      <c r="P3336" s="1">
        <v>1317</v>
      </c>
      <c r="Q3336" s="1" t="s">
        <v>42</v>
      </c>
      <c r="S3336" s="1" t="s">
        <v>42</v>
      </c>
      <c r="T3336" s="1" t="s">
        <v>273</v>
      </c>
      <c r="AA3336" s="1">
        <v>1715850.02</v>
      </c>
      <c r="AB3336" s="1" t="s">
        <v>2162</v>
      </c>
      <c r="AC3336" s="5">
        <v>42433</v>
      </c>
      <c r="AF3336" s="1">
        <v>10128</v>
      </c>
      <c r="AI3336" s="1" t="s">
        <v>163</v>
      </c>
      <c r="AJ3336" s="1">
        <v>1986</v>
      </c>
      <c r="AK3336" s="1" t="s">
        <v>55</v>
      </c>
      <c r="AL3336" s="1">
        <v>287</v>
      </c>
    </row>
    <row r="3337" spans="1:38" x14ac:dyDescent="0.2">
      <c r="A3337" s="2" t="str">
        <f>HYPERLINK("https://www.compass.com/listing/200-east-94th-street-unit-1114-manhattan-ny-10128/29423472711105825/","200 E 94th St, Unit 1114")</f>
        <v>200 E 94th St, Unit 1114</v>
      </c>
      <c r="B3337" s="2" t="str">
        <f t="shared" si="559"/>
        <v>Carnegie Park Condominium</v>
      </c>
      <c r="C3337" s="1" t="s">
        <v>82</v>
      </c>
      <c r="D3337" s="1" t="s">
        <v>41</v>
      </c>
      <c r="E3337" s="3">
        <v>1832871</v>
      </c>
      <c r="F3337" s="1">
        <v>1721.00564319248</v>
      </c>
      <c r="H3337" s="1">
        <v>2</v>
      </c>
      <c r="J3337" s="1">
        <v>2</v>
      </c>
      <c r="K3337" s="1">
        <v>2</v>
      </c>
      <c r="M3337" s="4">
        <v>1065</v>
      </c>
      <c r="N3337" s="1">
        <v>1232</v>
      </c>
      <c r="O3337" s="1">
        <v>2525</v>
      </c>
      <c r="P3337" s="1">
        <v>1293</v>
      </c>
      <c r="Q3337" s="1" t="s">
        <v>42</v>
      </c>
      <c r="S3337" s="1" t="s">
        <v>42</v>
      </c>
      <c r="T3337" s="1" t="s">
        <v>273</v>
      </c>
      <c r="AA3337" s="1">
        <v>1832871.01</v>
      </c>
      <c r="AB3337" s="1" t="s">
        <v>2163</v>
      </c>
      <c r="AC3337" s="5">
        <v>42394</v>
      </c>
      <c r="AF3337" s="1">
        <v>10128</v>
      </c>
      <c r="AI3337" s="1" t="s">
        <v>163</v>
      </c>
      <c r="AJ3337" s="1">
        <v>1986</v>
      </c>
      <c r="AK3337" s="1" t="s">
        <v>55</v>
      </c>
      <c r="AL3337" s="1">
        <v>287</v>
      </c>
    </row>
    <row r="3338" spans="1:38" x14ac:dyDescent="0.2">
      <c r="A3338" s="2" t="str">
        <f>HYPERLINK("https://www.compass.com/listing/200-east-94th-street-unit-1414-manhattan-ny-10128/29423477073191057/","200 E 94th St, Unit 1414")</f>
        <v>200 E 94th St, Unit 1414</v>
      </c>
      <c r="B3338" s="2" t="str">
        <f t="shared" si="559"/>
        <v>Carnegie Park Condominium</v>
      </c>
      <c r="C3338" s="1" t="s">
        <v>82</v>
      </c>
      <c r="D3338" s="1" t="s">
        <v>41</v>
      </c>
      <c r="E3338" s="3">
        <v>1853300</v>
      </c>
      <c r="F3338" s="1">
        <v>1740.1873333333299</v>
      </c>
      <c r="H3338" s="1">
        <v>2</v>
      </c>
      <c r="J3338" s="1">
        <v>2</v>
      </c>
      <c r="K3338" s="1">
        <v>2</v>
      </c>
      <c r="M3338" s="4">
        <v>1065</v>
      </c>
      <c r="N3338" s="1">
        <v>1247</v>
      </c>
      <c r="O3338" s="1">
        <v>2556</v>
      </c>
      <c r="P3338" s="1">
        <v>1309</v>
      </c>
      <c r="Q3338" s="1" t="s">
        <v>42</v>
      </c>
      <c r="S3338" s="1" t="s">
        <v>42</v>
      </c>
      <c r="T3338" s="1" t="s">
        <v>273</v>
      </c>
      <c r="AA3338" s="1">
        <v>1853299.51</v>
      </c>
      <c r="AB3338" s="1" t="s">
        <v>2164</v>
      </c>
      <c r="AC3338" s="5">
        <v>42446</v>
      </c>
      <c r="AF3338" s="1">
        <v>10128</v>
      </c>
      <c r="AI3338" s="1" t="s">
        <v>163</v>
      </c>
      <c r="AJ3338" s="1">
        <v>1986</v>
      </c>
      <c r="AK3338" s="1" t="s">
        <v>55</v>
      </c>
      <c r="AL3338" s="1">
        <v>287</v>
      </c>
    </row>
    <row r="3339" spans="1:38" x14ac:dyDescent="0.2">
      <c r="A3339" s="2" t="str">
        <f>HYPERLINK("https://www.compass.com/listing/200-east-94th-street-unit-1914-manhattan-ny-10128/29423486493598017/","200 E 94th St, Unit 1914")</f>
        <v>200 E 94th St, Unit 1914</v>
      </c>
      <c r="B3339" s="2" t="str">
        <f t="shared" si="559"/>
        <v>Carnegie Park Condominium</v>
      </c>
      <c r="C3339" s="1" t="s">
        <v>82</v>
      </c>
      <c r="D3339" s="1" t="s">
        <v>41</v>
      </c>
      <c r="E3339" s="3">
        <v>1776979</v>
      </c>
      <c r="F3339" s="1">
        <v>1668.52443192488</v>
      </c>
      <c r="H3339" s="1">
        <v>2</v>
      </c>
      <c r="J3339" s="1">
        <v>2</v>
      </c>
      <c r="K3339" s="1">
        <v>2</v>
      </c>
      <c r="M3339" s="4">
        <v>1065</v>
      </c>
      <c r="N3339" s="1">
        <v>1258</v>
      </c>
      <c r="O3339" s="1">
        <v>2579</v>
      </c>
      <c r="P3339" s="1">
        <v>1321</v>
      </c>
      <c r="Q3339" s="1" t="s">
        <v>42</v>
      </c>
      <c r="S3339" s="1" t="s">
        <v>42</v>
      </c>
      <c r="T3339" s="1" t="s">
        <v>273</v>
      </c>
      <c r="AA3339" s="1">
        <v>1776978.52</v>
      </c>
      <c r="AB3339" s="1" t="s">
        <v>2165</v>
      </c>
      <c r="AC3339" s="5">
        <v>42374</v>
      </c>
      <c r="AF3339" s="1">
        <v>10128</v>
      </c>
      <c r="AI3339" s="1" t="s">
        <v>163</v>
      </c>
      <c r="AJ3339" s="1">
        <v>1986</v>
      </c>
      <c r="AK3339" s="1" t="s">
        <v>55</v>
      </c>
      <c r="AL3339" s="1">
        <v>287</v>
      </c>
    </row>
    <row r="3340" spans="1:38" x14ac:dyDescent="0.2">
      <c r="A3340" s="2" t="str">
        <f>HYPERLINK("https://www.compass.com/listing/200-east-94th-street-unit-2015-manhattan-ny-10128/29423486829077937/","200 E 94th St, Unit 2015")</f>
        <v>200 E 94th St, Unit 2015</v>
      </c>
      <c r="B3340" s="2" t="str">
        <f t="shared" si="559"/>
        <v>Carnegie Park Condominium</v>
      </c>
      <c r="C3340" s="1" t="s">
        <v>82</v>
      </c>
      <c r="D3340" s="1" t="s">
        <v>41</v>
      </c>
      <c r="E3340" s="3">
        <v>1766858</v>
      </c>
      <c r="F3340" s="1">
        <v>1642.0610594795501</v>
      </c>
      <c r="H3340" s="1">
        <v>2</v>
      </c>
      <c r="J3340" s="1">
        <v>2</v>
      </c>
      <c r="K3340" s="1">
        <v>2</v>
      </c>
      <c r="M3340" s="4">
        <v>1076</v>
      </c>
      <c r="N3340" s="1">
        <v>1273</v>
      </c>
      <c r="O3340" s="1">
        <v>2610</v>
      </c>
      <c r="P3340" s="1">
        <v>1337</v>
      </c>
      <c r="Q3340" s="1" t="s">
        <v>42</v>
      </c>
      <c r="S3340" s="1" t="s">
        <v>42</v>
      </c>
      <c r="T3340" s="1" t="s">
        <v>273</v>
      </c>
      <c r="AA3340" s="1">
        <v>1766857.7</v>
      </c>
      <c r="AB3340" s="1" t="s">
        <v>2166</v>
      </c>
      <c r="AC3340" s="5">
        <v>42408</v>
      </c>
      <c r="AF3340" s="1">
        <v>10128</v>
      </c>
      <c r="AI3340" s="1" t="s">
        <v>163</v>
      </c>
      <c r="AJ3340" s="1">
        <v>1986</v>
      </c>
      <c r="AK3340" s="1" t="s">
        <v>55</v>
      </c>
      <c r="AL3340" s="1">
        <v>287</v>
      </c>
    </row>
    <row r="3341" spans="1:38" x14ac:dyDescent="0.2">
      <c r="A3341" s="2" t="str">
        <f>HYPERLINK("https://www.compass.com/listing/200-east-94th-street-unit-2014-manhattan-ny-10128/29423488691348961/","200 E 94th St, Unit 2014")</f>
        <v>200 E 94th St, Unit 2014</v>
      </c>
      <c r="B3341" s="2" t="str">
        <f t="shared" si="559"/>
        <v>Carnegie Park Condominium</v>
      </c>
      <c r="C3341" s="1" t="s">
        <v>82</v>
      </c>
      <c r="D3341" s="1" t="s">
        <v>41</v>
      </c>
      <c r="E3341" s="3">
        <v>1914452</v>
      </c>
      <c r="F3341" s="1">
        <v>1779.2300557620799</v>
      </c>
      <c r="H3341" s="1">
        <v>2</v>
      </c>
      <c r="J3341" s="1">
        <v>2</v>
      </c>
      <c r="M3341" s="4">
        <v>1076</v>
      </c>
      <c r="N3341" s="1">
        <v>1230</v>
      </c>
      <c r="O3341" s="1">
        <v>2504</v>
      </c>
      <c r="P3341" s="1">
        <v>1274</v>
      </c>
      <c r="Q3341" s="1" t="s">
        <v>42</v>
      </c>
      <c r="S3341" s="1" t="s">
        <v>42</v>
      </c>
      <c r="T3341" s="1" t="s">
        <v>273</v>
      </c>
      <c r="AA3341" s="1">
        <v>1914451.54</v>
      </c>
      <c r="AB3341" s="1" t="s">
        <v>2167</v>
      </c>
      <c r="AC3341" s="5">
        <v>42543</v>
      </c>
      <c r="AF3341" s="1">
        <v>10128</v>
      </c>
      <c r="AI3341" s="1" t="s">
        <v>163</v>
      </c>
      <c r="AJ3341" s="1">
        <v>1986</v>
      </c>
      <c r="AK3341" s="1" t="s">
        <v>55</v>
      </c>
      <c r="AL3341" s="1">
        <v>287</v>
      </c>
    </row>
    <row r="3342" spans="1:38" x14ac:dyDescent="0.2">
      <c r="A3342" s="2" t="str">
        <f>HYPERLINK("https://www.compass.com/listing/200-east-94th-street-unit-2317-manhattan-ny-10128/29423494857031441/","200 E 94th St, Unit 2317")</f>
        <v>200 E 94th St, Unit 2317</v>
      </c>
      <c r="B3342" s="2" t="str">
        <f t="shared" si="559"/>
        <v>Carnegie Park Condominium</v>
      </c>
      <c r="C3342" s="1" t="s">
        <v>82</v>
      </c>
      <c r="D3342" s="1" t="s">
        <v>41</v>
      </c>
      <c r="E3342" s="3">
        <v>1731100</v>
      </c>
      <c r="F3342" s="1">
        <v>1656.5553397129099</v>
      </c>
      <c r="H3342" s="1">
        <v>2</v>
      </c>
      <c r="J3342" s="1">
        <v>2</v>
      </c>
      <c r="K3342" s="1">
        <v>2</v>
      </c>
      <c r="M3342" s="4">
        <v>1045</v>
      </c>
      <c r="N3342" s="1">
        <v>1245</v>
      </c>
      <c r="O3342" s="1">
        <v>2552</v>
      </c>
      <c r="P3342" s="1">
        <v>1307</v>
      </c>
      <c r="Q3342" s="1" t="s">
        <v>42</v>
      </c>
      <c r="S3342" s="1" t="s">
        <v>42</v>
      </c>
      <c r="T3342" s="1" t="s">
        <v>273</v>
      </c>
      <c r="AA3342" s="1">
        <v>1731100.33</v>
      </c>
      <c r="AB3342" s="1" t="s">
        <v>2168</v>
      </c>
      <c r="AC3342" s="5">
        <v>42374</v>
      </c>
      <c r="AF3342" s="1">
        <v>10128</v>
      </c>
      <c r="AI3342" s="1" t="s">
        <v>163</v>
      </c>
      <c r="AJ3342" s="1">
        <v>1986</v>
      </c>
      <c r="AK3342" s="1" t="s">
        <v>55</v>
      </c>
      <c r="AL3342" s="1">
        <v>287</v>
      </c>
    </row>
    <row r="3343" spans="1:38" x14ac:dyDescent="0.2">
      <c r="A3343" s="2" t="str">
        <f>HYPERLINK("https://www.compass.com/listing/200-east-94th-street-unit-2415-manhattan-ny-10128/29423496450811489/","200 E 94th St, Unit 2415")</f>
        <v>200 E 94th St, Unit 2415</v>
      </c>
      <c r="B3343" s="2" t="str">
        <f t="shared" si="559"/>
        <v>Carnegie Park Condominium</v>
      </c>
      <c r="C3343" s="1" t="s">
        <v>82</v>
      </c>
      <c r="D3343" s="1" t="s">
        <v>41</v>
      </c>
      <c r="E3343" s="3">
        <v>1807626</v>
      </c>
      <c r="F3343" s="1">
        <v>1679.9494888475799</v>
      </c>
      <c r="H3343" s="1">
        <v>2</v>
      </c>
      <c r="J3343" s="1">
        <v>2</v>
      </c>
      <c r="K3343" s="1">
        <v>2</v>
      </c>
      <c r="M3343" s="4">
        <v>1076</v>
      </c>
      <c r="N3343" s="1">
        <v>1252</v>
      </c>
      <c r="O3343" s="1">
        <v>2603</v>
      </c>
      <c r="P3343" s="1">
        <v>1351</v>
      </c>
      <c r="Q3343" s="1" t="s">
        <v>42</v>
      </c>
      <c r="S3343" s="1" t="s">
        <v>42</v>
      </c>
      <c r="T3343" s="1" t="s">
        <v>273</v>
      </c>
      <c r="AA3343" s="1">
        <v>1807625.65</v>
      </c>
      <c r="AB3343" s="1" t="s">
        <v>2169</v>
      </c>
      <c r="AC3343" s="5">
        <v>42377</v>
      </c>
      <c r="AF3343" s="1">
        <v>10128</v>
      </c>
      <c r="AI3343" s="1" t="s">
        <v>163</v>
      </c>
      <c r="AJ3343" s="1">
        <v>1986</v>
      </c>
      <c r="AK3343" s="1" t="s">
        <v>55</v>
      </c>
      <c r="AL3343" s="1">
        <v>287</v>
      </c>
    </row>
    <row r="3344" spans="1:38" x14ac:dyDescent="0.2">
      <c r="A3344" s="2" t="str">
        <f>HYPERLINK("https://www.compass.com/listing/200-east-94th-street-unit-3015-manhattan-ny-10128/29423509193107297/","200 E 94th St, Unit 3015")</f>
        <v>200 E 94th St, Unit 3015</v>
      </c>
      <c r="B3344" s="2" t="str">
        <f t="shared" si="559"/>
        <v>Carnegie Park Condominium</v>
      </c>
      <c r="C3344" s="1" t="s">
        <v>82</v>
      </c>
      <c r="D3344" s="1" t="s">
        <v>41</v>
      </c>
      <c r="E3344" s="3">
        <v>1805284</v>
      </c>
      <c r="F3344" s="1">
        <v>1677.77323420074</v>
      </c>
      <c r="H3344" s="1">
        <v>2</v>
      </c>
      <c r="J3344" s="1">
        <v>2</v>
      </c>
      <c r="K3344" s="1">
        <v>2</v>
      </c>
      <c r="M3344" s="4">
        <v>1076</v>
      </c>
      <c r="N3344" s="1">
        <v>1297</v>
      </c>
      <c r="O3344" s="1">
        <v>2674</v>
      </c>
      <c r="P3344" s="1">
        <v>1377</v>
      </c>
      <c r="Q3344" s="1" t="s">
        <v>42</v>
      </c>
      <c r="S3344" s="1" t="s">
        <v>42</v>
      </c>
      <c r="T3344" s="1" t="s">
        <v>273</v>
      </c>
      <c r="AA3344" s="1">
        <v>1805284</v>
      </c>
      <c r="AB3344" s="1" t="s">
        <v>2170</v>
      </c>
      <c r="AC3344" s="5">
        <v>42640</v>
      </c>
      <c r="AF3344" s="1">
        <v>10128</v>
      </c>
      <c r="AI3344" s="1" t="s">
        <v>163</v>
      </c>
      <c r="AJ3344" s="1">
        <v>1986</v>
      </c>
      <c r="AK3344" s="1" t="s">
        <v>55</v>
      </c>
      <c r="AL3344" s="1">
        <v>287</v>
      </c>
    </row>
    <row r="3345" spans="1:38" x14ac:dyDescent="0.2">
      <c r="A3345" s="2" t="str">
        <f>HYPERLINK("https://www.compass.com/listing/200-east-94th-street-unit-901-manhattan-ny-10128/29507983230757617/","200 E 94th St, Unit 901")</f>
        <v>200 E 94th St, Unit 901</v>
      </c>
      <c r="B3345" s="2" t="str">
        <f t="shared" si="559"/>
        <v>Carnegie Park Condominium</v>
      </c>
      <c r="C3345" s="1" t="s">
        <v>82</v>
      </c>
      <c r="D3345" s="1" t="s">
        <v>41</v>
      </c>
      <c r="E3345" s="3">
        <v>1736083</v>
      </c>
      <c r="F3345" s="1">
        <v>1656.56741412213</v>
      </c>
      <c r="H3345" s="1">
        <v>2</v>
      </c>
      <c r="J3345" s="1">
        <v>2</v>
      </c>
      <c r="K3345" s="1">
        <v>2</v>
      </c>
      <c r="M3345" s="4">
        <v>1048</v>
      </c>
      <c r="N3345" s="1">
        <v>1221</v>
      </c>
      <c r="O3345" s="1">
        <v>2370</v>
      </c>
      <c r="P3345" s="1">
        <v>1149</v>
      </c>
      <c r="Q3345" s="1" t="s">
        <v>42</v>
      </c>
      <c r="S3345" s="1" t="s">
        <v>42</v>
      </c>
      <c r="T3345" s="1" t="s">
        <v>273</v>
      </c>
      <c r="AA3345" s="1">
        <v>1736082.65</v>
      </c>
      <c r="AB3345" s="1" t="s">
        <v>2171</v>
      </c>
      <c r="AC3345" s="5">
        <v>42614</v>
      </c>
      <c r="AF3345" s="1">
        <v>10128</v>
      </c>
      <c r="AI3345" s="1" t="s">
        <v>163</v>
      </c>
      <c r="AJ3345" s="1">
        <v>1986</v>
      </c>
      <c r="AK3345" s="1" t="s">
        <v>55</v>
      </c>
      <c r="AL3345" s="1">
        <v>287</v>
      </c>
    </row>
    <row r="3346" spans="1:38" x14ac:dyDescent="0.2">
      <c r="A3346" s="2" t="str">
        <f>HYPERLINK("https://www.compass.com/listing/200-east-94th-street-unit-1414-manhattan-ny-10128/317781190660075745/","200 E 94th St, Unit 1414")</f>
        <v>200 E 94th St, Unit 1414</v>
      </c>
      <c r="B3346" s="2" t="str">
        <f t="shared" si="559"/>
        <v>Carnegie Park Condominium</v>
      </c>
      <c r="C3346" s="1" t="s">
        <v>82</v>
      </c>
      <c r="D3346" s="1" t="s">
        <v>41</v>
      </c>
      <c r="E3346" s="3">
        <v>1918727</v>
      </c>
      <c r="F3346" s="1">
        <v>1801.62119248826</v>
      </c>
      <c r="H3346" s="1">
        <v>2</v>
      </c>
      <c r="J3346" s="1">
        <v>2</v>
      </c>
      <c r="K3346" s="1">
        <v>2</v>
      </c>
      <c r="M3346" s="4">
        <v>1065</v>
      </c>
      <c r="N3346" s="1">
        <v>1247</v>
      </c>
      <c r="O3346" s="1">
        <v>2556</v>
      </c>
      <c r="P3346" s="1">
        <v>1309</v>
      </c>
      <c r="Q3346" s="1" t="s">
        <v>42</v>
      </c>
      <c r="S3346" s="1" t="s">
        <v>42</v>
      </c>
      <c r="T3346" s="1" t="s">
        <v>273</v>
      </c>
      <c r="AA3346" s="1">
        <v>1918726.57</v>
      </c>
      <c r="AB3346" s="1" t="s">
        <v>2172</v>
      </c>
      <c r="AC3346" s="5">
        <v>43682</v>
      </c>
      <c r="AF3346" s="1">
        <v>10128</v>
      </c>
      <c r="AI3346" s="1" t="s">
        <v>163</v>
      </c>
      <c r="AJ3346" s="1">
        <v>1986</v>
      </c>
      <c r="AK3346" s="1" t="s">
        <v>55</v>
      </c>
      <c r="AL3346" s="1">
        <v>287</v>
      </c>
    </row>
    <row r="3347" spans="1:38" x14ac:dyDescent="0.2">
      <c r="A3347" s="2" t="str">
        <f>HYPERLINK("https://www.compass.com/listing/200-east-94th-street-unit-1914-manhattan-ny-10128/324931699695368321/","200 E 94th St, Unit 1914")</f>
        <v>200 E 94th St, Unit 1914</v>
      </c>
      <c r="B3347" s="2" t="str">
        <f t="shared" si="559"/>
        <v>Carnegie Park Condominium</v>
      </c>
      <c r="C3347" s="1" t="s">
        <v>82</v>
      </c>
      <c r="D3347" s="1" t="s">
        <v>41</v>
      </c>
      <c r="E3347" s="3">
        <v>1848814</v>
      </c>
      <c r="F3347" s="1">
        <v>1735.97603755868</v>
      </c>
      <c r="H3347" s="1">
        <v>2</v>
      </c>
      <c r="J3347" s="1">
        <v>2</v>
      </c>
      <c r="K3347" s="1">
        <v>2</v>
      </c>
      <c r="M3347" s="4">
        <v>1065</v>
      </c>
      <c r="N3347" s="1">
        <v>1258</v>
      </c>
      <c r="O3347" s="1">
        <v>2579</v>
      </c>
      <c r="P3347" s="1">
        <v>1321</v>
      </c>
      <c r="Q3347" s="1" t="s">
        <v>42</v>
      </c>
      <c r="S3347" s="1" t="s">
        <v>42</v>
      </c>
      <c r="T3347" s="1" t="s">
        <v>273</v>
      </c>
      <c r="AA3347" s="1">
        <v>1848814.48</v>
      </c>
      <c r="AB3347" s="1" t="s">
        <v>2173</v>
      </c>
      <c r="AC3347" s="5">
        <v>43628</v>
      </c>
      <c r="AF3347" s="1">
        <v>10128</v>
      </c>
      <c r="AI3347" s="1" t="s">
        <v>163</v>
      </c>
      <c r="AJ3347" s="1">
        <v>1986</v>
      </c>
      <c r="AK3347" s="1" t="s">
        <v>55</v>
      </c>
      <c r="AL3347" s="1">
        <v>287</v>
      </c>
    </row>
    <row r="3348" spans="1:38" x14ac:dyDescent="0.2">
      <c r="A3348" s="2" t="str">
        <f>HYPERLINK("https://www.compass.com/listing/200-east-94th-street-unit-2314-manhattan-ny-10128/822525575946711697/","200 E 94th St, Unit 2314")</f>
        <v>200 E 94th St, Unit 2314</v>
      </c>
      <c r="B3348" s="2" t="str">
        <f t="shared" si="559"/>
        <v>Carnegie Park Condominium</v>
      </c>
      <c r="C3348" s="1" t="s">
        <v>82</v>
      </c>
      <c r="D3348" s="1" t="s">
        <v>41</v>
      </c>
      <c r="E3348" s="3">
        <v>1752536</v>
      </c>
      <c r="F3348" s="1">
        <v>1645.57331455399</v>
      </c>
      <c r="H3348" s="1">
        <v>2</v>
      </c>
      <c r="J3348" s="1">
        <v>2</v>
      </c>
      <c r="K3348" s="1">
        <v>2</v>
      </c>
      <c r="M3348" s="4">
        <v>1065</v>
      </c>
      <c r="N3348" s="1">
        <v>1237</v>
      </c>
      <c r="O3348" s="1">
        <v>2312</v>
      </c>
      <c r="P3348" s="1">
        <v>1075</v>
      </c>
      <c r="Q3348" s="1" t="s">
        <v>42</v>
      </c>
      <c r="S3348" s="1" t="s">
        <v>42</v>
      </c>
      <c r="T3348" s="1" t="s">
        <v>273</v>
      </c>
      <c r="AA3348" s="1">
        <v>1752535.58</v>
      </c>
      <c r="AB3348" s="1" t="s">
        <v>2174</v>
      </c>
      <c r="AC3348" s="5">
        <v>44194</v>
      </c>
      <c r="AF3348" s="1">
        <v>10128</v>
      </c>
      <c r="AI3348" s="1" t="s">
        <v>163</v>
      </c>
      <c r="AJ3348" s="1">
        <v>1986</v>
      </c>
      <c r="AK3348" s="1" t="s">
        <v>55</v>
      </c>
      <c r="AL3348" s="1">
        <v>287</v>
      </c>
    </row>
    <row r="3349" spans="1:38" x14ac:dyDescent="0.2">
      <c r="A3349" s="2" t="str">
        <f>HYPERLINK("https://www.compass.com/listing/200-east-94th-street-unit-517-manhattan-ny-10128/828776562472078113/","200 E 94th St, Unit 517")</f>
        <v>200 E 94th St, Unit 517</v>
      </c>
      <c r="B3349" s="2" t="str">
        <f t="shared" si="559"/>
        <v>Carnegie Park Condominium</v>
      </c>
      <c r="C3349" s="1" t="s">
        <v>82</v>
      </c>
      <c r="D3349" s="1" t="s">
        <v>41</v>
      </c>
      <c r="E3349" s="3">
        <v>1775000</v>
      </c>
      <c r="F3349" s="1">
        <v>1660.4303086997099</v>
      </c>
      <c r="H3349" s="1">
        <v>2</v>
      </c>
      <c r="J3349" s="1">
        <v>2</v>
      </c>
      <c r="K3349" s="1">
        <v>2</v>
      </c>
      <c r="M3349" s="4">
        <v>1069</v>
      </c>
      <c r="N3349" s="1">
        <v>1163</v>
      </c>
      <c r="O3349" s="1">
        <v>2409</v>
      </c>
      <c r="P3349" s="1">
        <v>1246</v>
      </c>
      <c r="Q3349" s="1" t="s">
        <v>42</v>
      </c>
      <c r="S3349" s="1" t="s">
        <v>42</v>
      </c>
      <c r="T3349" s="1" t="s">
        <v>273</v>
      </c>
      <c r="AA3349" s="1">
        <v>1775000</v>
      </c>
      <c r="AB3349" s="1" t="s">
        <v>2175</v>
      </c>
      <c r="AC3349" s="5">
        <v>42909</v>
      </c>
      <c r="AF3349" s="1">
        <v>10128</v>
      </c>
      <c r="AI3349" s="1" t="s">
        <v>163</v>
      </c>
      <c r="AJ3349" s="1">
        <v>1986</v>
      </c>
      <c r="AK3349" s="1" t="s">
        <v>55</v>
      </c>
      <c r="AL3349" s="1">
        <v>287</v>
      </c>
    </row>
    <row r="3350" spans="1:38" x14ac:dyDescent="0.2">
      <c r="A3350" s="2" t="str">
        <f>HYPERLINK("https://www.compass.com/listing/360-east-89th-street-unit-8b-manhattan-ny-10128/29424451099611121/","360 E 89th St, Unit 8B")</f>
        <v>360 E 89th St, Unit 8B</v>
      </c>
      <c r="B3350" s="2" t="str">
        <f>HYPERLINK("https://www.compass.com/building/citizen360-manhattan-ny/282052027553444853/","Citizen360")</f>
        <v>Citizen360</v>
      </c>
      <c r="C3350" s="1" t="s">
        <v>82</v>
      </c>
      <c r="D3350" s="1" t="s">
        <v>41</v>
      </c>
      <c r="E3350" s="3">
        <v>5704950</v>
      </c>
      <c r="F3350" s="1">
        <v>1884.0653896961601</v>
      </c>
      <c r="G3350" s="1">
        <v>5</v>
      </c>
      <c r="H3350" s="1">
        <v>3</v>
      </c>
      <c r="I3350" s="1">
        <v>4</v>
      </c>
      <c r="J3350" s="1">
        <v>4</v>
      </c>
      <c r="K3350" s="1">
        <v>4</v>
      </c>
      <c r="M3350" s="4">
        <v>3028</v>
      </c>
      <c r="N3350" s="1">
        <v>2963</v>
      </c>
      <c r="O3350" s="1">
        <v>6410</v>
      </c>
      <c r="P3350" s="1">
        <v>3447</v>
      </c>
      <c r="Q3350" s="1" t="s">
        <v>42</v>
      </c>
      <c r="S3350" s="1" t="s">
        <v>42</v>
      </c>
      <c r="T3350" s="1" t="s">
        <v>273</v>
      </c>
      <c r="V3350" s="5">
        <v>43649</v>
      </c>
      <c r="W3350" s="5">
        <v>42593</v>
      </c>
      <c r="X3350" s="1">
        <v>5950000</v>
      </c>
      <c r="Y3350" s="1">
        <v>5950000</v>
      </c>
      <c r="Z3350" s="5">
        <v>42593</v>
      </c>
      <c r="AA3350" s="1">
        <v>5704950</v>
      </c>
      <c r="AB3350" s="1" t="s">
        <v>2176</v>
      </c>
      <c r="AC3350" s="5">
        <v>43098</v>
      </c>
      <c r="AF3350" s="1">
        <v>10128</v>
      </c>
      <c r="AI3350" s="1" t="s">
        <v>216</v>
      </c>
      <c r="AJ3350" s="1">
        <v>2017</v>
      </c>
      <c r="AK3350" s="1" t="s">
        <v>108</v>
      </c>
      <c r="AL3350" s="1">
        <v>82</v>
      </c>
    </row>
    <row r="3351" spans="1:38" x14ac:dyDescent="0.2">
      <c r="A3351" s="2" t="str">
        <f>HYPERLINK("https://www.compass.com/listing/180-east-88th-street-unit-36b-manhattan-ny-10128/29509493163419473/","180 E 88th St, Unit 36B")</f>
        <v>180 E 88th St, Unit 36B</v>
      </c>
      <c r="B3351" s="2" t="str">
        <f>HYPERLINK("https://www.compass.com/building/180-e-88th-st-manhattan-ny-10128/282058835781256373/","180 E 88th St")</f>
        <v>180 E 88th St</v>
      </c>
      <c r="C3351" s="1" t="s">
        <v>82</v>
      </c>
      <c r="D3351" s="1" t="s">
        <v>41</v>
      </c>
      <c r="E3351" s="3">
        <v>8399000</v>
      </c>
      <c r="F3351" s="1">
        <v>3517.1691792294801</v>
      </c>
      <c r="G3351" s="1">
        <v>7</v>
      </c>
      <c r="H3351" s="1">
        <v>4</v>
      </c>
      <c r="I3351" s="1">
        <v>4</v>
      </c>
      <c r="J3351" s="1">
        <v>3.5</v>
      </c>
      <c r="K3351" s="1">
        <v>3</v>
      </c>
      <c r="L3351" s="1">
        <v>1</v>
      </c>
      <c r="M3351" s="4">
        <v>2388</v>
      </c>
      <c r="N3351" s="1">
        <v>3873</v>
      </c>
      <c r="O3351" s="1">
        <v>8080</v>
      </c>
      <c r="P3351" s="1">
        <v>4207</v>
      </c>
      <c r="Q3351" s="1" t="s">
        <v>42</v>
      </c>
      <c r="S3351" s="1" t="s">
        <v>42</v>
      </c>
      <c r="T3351" s="1" t="s">
        <v>273</v>
      </c>
      <c r="U3351" s="1">
        <v>12</v>
      </c>
      <c r="V3351" s="5">
        <v>43907</v>
      </c>
      <c r="W3351" s="5">
        <v>42874</v>
      </c>
      <c r="X3351" s="1">
        <v>8450000</v>
      </c>
      <c r="Y3351" s="1">
        <v>8450000</v>
      </c>
      <c r="Z3351" s="5">
        <v>43104</v>
      </c>
      <c r="AA3351" s="1">
        <v>8399000</v>
      </c>
      <c r="AB3351" s="1" t="s">
        <v>2177</v>
      </c>
      <c r="AC3351" s="5">
        <v>43894</v>
      </c>
      <c r="AF3351" s="1">
        <v>10128</v>
      </c>
      <c r="AJ3351" s="1">
        <v>2019</v>
      </c>
      <c r="AK3351" s="1" t="s">
        <v>49</v>
      </c>
      <c r="AL3351" s="1">
        <v>48</v>
      </c>
    </row>
    <row r="3352" spans="1:38" x14ac:dyDescent="0.2">
      <c r="A3352" s="2" t="str">
        <f>HYPERLINK("https://www.compass.com/listing/1-west-end-avenue-unit-16j-manhattan-ny-10023/29397388988797681/","1 W End Ave, Unit 16J")</f>
        <v>1 W End Ave, Unit 16J</v>
      </c>
      <c r="B3352" s="2" t="str">
        <f>HYPERLINK("https://www.compass.com/building/1-w-end-ave-manhattan-ny-10023/455676159137755317/","1 W End Ave")</f>
        <v>1 W End Ave</v>
      </c>
      <c r="C3352" s="1" t="s">
        <v>57</v>
      </c>
      <c r="D3352" s="1" t="s">
        <v>41</v>
      </c>
      <c r="E3352" s="3">
        <v>3165156</v>
      </c>
      <c r="F3352" s="1">
        <v>2128.5513315400099</v>
      </c>
      <c r="G3352" s="1">
        <v>4</v>
      </c>
      <c r="H3352" s="1">
        <v>2</v>
      </c>
      <c r="I3352" s="1">
        <v>2</v>
      </c>
      <c r="J3352" s="1">
        <v>2.5</v>
      </c>
      <c r="K3352" s="1">
        <v>2</v>
      </c>
      <c r="L3352" s="1">
        <v>1</v>
      </c>
      <c r="M3352" s="4">
        <v>1487</v>
      </c>
      <c r="N3352" s="1">
        <v>1687</v>
      </c>
      <c r="O3352" s="1">
        <v>1788</v>
      </c>
      <c r="P3352" s="1">
        <v>101</v>
      </c>
      <c r="Q3352" s="1" t="s">
        <v>42</v>
      </c>
      <c r="S3352" s="1" t="s">
        <v>42</v>
      </c>
      <c r="T3352" s="1" t="s">
        <v>273</v>
      </c>
      <c r="U3352" s="1">
        <v>5</v>
      </c>
      <c r="V3352" s="5">
        <v>43694</v>
      </c>
      <c r="W3352" s="5">
        <v>42455</v>
      </c>
      <c r="X3352" s="1">
        <v>3100000</v>
      </c>
      <c r="Y3352" s="1">
        <v>3100000</v>
      </c>
      <c r="Z3352" s="5">
        <v>42479</v>
      </c>
      <c r="AA3352" s="1">
        <v>3165155.83</v>
      </c>
      <c r="AB3352" s="1" t="s">
        <v>2178</v>
      </c>
      <c r="AC3352" s="5">
        <v>43133</v>
      </c>
      <c r="AF3352" s="1">
        <v>10023</v>
      </c>
      <c r="AI3352" s="1" t="s">
        <v>60</v>
      </c>
      <c r="AJ3352" s="1">
        <v>2017</v>
      </c>
      <c r="AK3352" s="1" t="s">
        <v>108</v>
      </c>
      <c r="AL3352" s="1">
        <v>246</v>
      </c>
    </row>
    <row r="3353" spans="1:38" x14ac:dyDescent="0.2">
      <c r="A3353" s="2" t="str">
        <f>HYPERLINK("https://www.compass.com/listing/301-east-80th-street-unit-7a-manhattan-ny-10075/740611239628893905/","301 E 80th St, Unit 7A")</f>
        <v>301 E 80th St, Unit 7A</v>
      </c>
      <c r="B3353" s="2" t="str">
        <f t="shared" ref="B3353:B3355" si="560">HYPERLINK("https://www.compass.com/building/beckford-tower-manhattan-ny/293529721147268613/","Beckford Tower")</f>
        <v>Beckford Tower</v>
      </c>
      <c r="C3353" s="1" t="s">
        <v>82</v>
      </c>
      <c r="D3353" s="1" t="s">
        <v>41</v>
      </c>
      <c r="E3353" s="3">
        <v>6000000</v>
      </c>
      <c r="F3353" s="1">
        <v>2045.6870098874799</v>
      </c>
      <c r="G3353" s="1">
        <v>9.5</v>
      </c>
      <c r="H3353" s="1">
        <v>4</v>
      </c>
      <c r="I3353" s="1">
        <v>5</v>
      </c>
      <c r="J3353" s="1">
        <v>4.5</v>
      </c>
      <c r="K3353" s="1">
        <v>4</v>
      </c>
      <c r="L3353" s="1">
        <v>1</v>
      </c>
      <c r="M3353" s="4">
        <v>2933</v>
      </c>
      <c r="N3353" s="1">
        <v>3622</v>
      </c>
      <c r="O3353" s="1">
        <v>7759</v>
      </c>
      <c r="P3353" s="1">
        <v>4137</v>
      </c>
      <c r="Q3353" s="1" t="s">
        <v>42</v>
      </c>
      <c r="S3353" s="1" t="s">
        <v>42</v>
      </c>
      <c r="T3353" s="1" t="s">
        <v>273</v>
      </c>
      <c r="U3353" s="1">
        <v>44</v>
      </c>
      <c r="V3353" s="5">
        <v>44427</v>
      </c>
      <c r="W3353" s="5">
        <v>44278</v>
      </c>
      <c r="AA3353" s="1">
        <v>6000000</v>
      </c>
      <c r="AB3353" s="1" t="s">
        <v>2179</v>
      </c>
      <c r="AC3353" s="5">
        <v>44407</v>
      </c>
      <c r="AF3353" s="1">
        <v>10075</v>
      </c>
      <c r="AI3353" s="1" t="s">
        <v>182</v>
      </c>
      <c r="AJ3353" s="1">
        <v>2019</v>
      </c>
      <c r="AK3353" s="1" t="s">
        <v>49</v>
      </c>
      <c r="AL3353" s="1">
        <v>72</v>
      </c>
    </row>
    <row r="3354" spans="1:38" x14ac:dyDescent="0.2">
      <c r="A3354" s="2" t="str">
        <f>HYPERLINK("https://www.compass.com/listing/301-east-80th-street-unit-7c-manhattan-ny-10075/826339638705411609/","301 E 80th St, Unit 7C")</f>
        <v>301 E 80th St, Unit 7C</v>
      </c>
      <c r="B3354" s="2" t="str">
        <f t="shared" si="560"/>
        <v>Beckford Tower</v>
      </c>
      <c r="C3354" s="1" t="s">
        <v>82</v>
      </c>
      <c r="D3354" s="1" t="s">
        <v>41</v>
      </c>
      <c r="E3354" s="3">
        <v>5400000</v>
      </c>
      <c r="F3354" s="1">
        <v>2227.72277227722</v>
      </c>
      <c r="G3354" s="1">
        <v>8</v>
      </c>
      <c r="H3354" s="1">
        <v>3</v>
      </c>
      <c r="I3354" s="1">
        <v>4</v>
      </c>
      <c r="J3354" s="1">
        <v>3.5</v>
      </c>
      <c r="K3354" s="1">
        <v>3</v>
      </c>
      <c r="L3354" s="1">
        <v>1</v>
      </c>
      <c r="M3354" s="4">
        <v>2424</v>
      </c>
      <c r="N3354" s="1">
        <v>2994</v>
      </c>
      <c r="O3354" s="1">
        <v>6413</v>
      </c>
      <c r="P3354" s="1">
        <v>3419</v>
      </c>
      <c r="Q3354" s="1" t="s">
        <v>42</v>
      </c>
      <c r="S3354" s="1" t="s">
        <v>42</v>
      </c>
      <c r="T3354" s="1" t="s">
        <v>273</v>
      </c>
      <c r="U3354" s="1">
        <v>102</v>
      </c>
      <c r="V3354" s="5">
        <v>44395</v>
      </c>
      <c r="W3354" s="5">
        <v>44252</v>
      </c>
      <c r="X3354" s="1">
        <v>1</v>
      </c>
      <c r="Y3354" s="1">
        <v>1</v>
      </c>
      <c r="AA3354" s="1">
        <v>5400000</v>
      </c>
      <c r="AB3354" s="1" t="s">
        <v>2180</v>
      </c>
      <c r="AC3354" s="5">
        <v>44355</v>
      </c>
      <c r="AF3354" s="1">
        <v>10075</v>
      </c>
      <c r="AI3354" s="1" t="s">
        <v>182</v>
      </c>
      <c r="AJ3354" s="1">
        <v>2019</v>
      </c>
      <c r="AK3354" s="1" t="s">
        <v>49</v>
      </c>
      <c r="AL3354" s="1">
        <v>72</v>
      </c>
    </row>
    <row r="3355" spans="1:38" x14ac:dyDescent="0.2">
      <c r="A3355" s="2" t="str">
        <f>HYPERLINK("https://www.compass.com/listing/301-east-80th-street-unit-14c-manhattan-ny-10075/846937302176984833/","301 E 80th St, Unit 14C")</f>
        <v>301 E 80th St, Unit 14C</v>
      </c>
      <c r="B3355" s="2" t="str">
        <f t="shared" si="560"/>
        <v>Beckford Tower</v>
      </c>
      <c r="C3355" s="1" t="s">
        <v>82</v>
      </c>
      <c r="D3355" s="1" t="s">
        <v>41</v>
      </c>
      <c r="E3355" s="3">
        <v>4900000</v>
      </c>
      <c r="F3355" s="1">
        <v>2188.47699866011</v>
      </c>
      <c r="G3355" s="1">
        <v>8</v>
      </c>
      <c r="H3355" s="1">
        <v>3</v>
      </c>
      <c r="I3355" s="1">
        <v>4</v>
      </c>
      <c r="J3355" s="1">
        <v>3.5</v>
      </c>
      <c r="K3355" s="1">
        <v>3</v>
      </c>
      <c r="L3355" s="1">
        <v>1</v>
      </c>
      <c r="M3355" s="4">
        <v>2239</v>
      </c>
      <c r="N3355" s="1">
        <v>2860</v>
      </c>
      <c r="O3355" s="1">
        <v>6126</v>
      </c>
      <c r="P3355" s="1">
        <v>3266</v>
      </c>
      <c r="Q3355" s="1" t="s">
        <v>42</v>
      </c>
      <c r="S3355" s="1" t="s">
        <v>42</v>
      </c>
      <c r="T3355" s="1" t="s">
        <v>273</v>
      </c>
      <c r="U3355" s="1">
        <v>130</v>
      </c>
      <c r="V3355" s="5">
        <v>44420</v>
      </c>
      <c r="W3355" s="5">
        <v>44252</v>
      </c>
      <c r="X3355" s="1">
        <v>1</v>
      </c>
      <c r="Y3355" s="1">
        <v>1</v>
      </c>
      <c r="AA3355" s="1">
        <v>4900000</v>
      </c>
      <c r="AB3355" s="1" t="s">
        <v>2181</v>
      </c>
      <c r="AC3355" s="5">
        <v>44383</v>
      </c>
      <c r="AF3355" s="1">
        <v>10075</v>
      </c>
      <c r="AI3355" s="1" t="s">
        <v>182</v>
      </c>
      <c r="AJ3355" s="1">
        <v>2019</v>
      </c>
      <c r="AK3355" s="1" t="s">
        <v>49</v>
      </c>
      <c r="AL3355" s="1">
        <v>72</v>
      </c>
    </row>
    <row r="3356" spans="1:38" x14ac:dyDescent="0.2">
      <c r="A3356" s="2" t="str">
        <f>HYPERLINK("https://www.compass.com/listing/565-broome-street-unit-n10a-manhattan-ny-10013/779302719734800665/","565 Broome St, Unit N10A")</f>
        <v>565 Broome St, Unit N10A</v>
      </c>
      <c r="B3356" s="2" t="str">
        <f t="shared" ref="B3356:B3358" si="561">HYPERLINK("https://www.compass.com/building/565-broome-soho-manhattan-ny/292813251698267109/","565 Broome Soho")</f>
        <v>565 Broome Soho</v>
      </c>
      <c r="C3356" s="1" t="s">
        <v>53</v>
      </c>
      <c r="D3356" s="1" t="s">
        <v>41</v>
      </c>
      <c r="E3356" s="3">
        <v>2239576</v>
      </c>
      <c r="F3356" s="1">
        <v>2262.19793939393</v>
      </c>
      <c r="G3356" s="1">
        <v>3</v>
      </c>
      <c r="H3356" s="1">
        <v>1</v>
      </c>
      <c r="I3356" s="1">
        <v>2</v>
      </c>
      <c r="J3356" s="1">
        <v>1.5</v>
      </c>
      <c r="K3356" s="1">
        <v>1</v>
      </c>
      <c r="L3356" s="1">
        <v>1</v>
      </c>
      <c r="M3356" s="1">
        <v>990</v>
      </c>
      <c r="N3356" s="1">
        <v>1474</v>
      </c>
      <c r="O3356" s="1">
        <v>3100</v>
      </c>
      <c r="P3356" s="1">
        <v>1626</v>
      </c>
      <c r="Q3356" s="1" t="s">
        <v>42</v>
      </c>
      <c r="S3356" s="1" t="s">
        <v>42</v>
      </c>
      <c r="T3356" s="1" t="s">
        <v>273</v>
      </c>
      <c r="U3356" s="1">
        <v>10</v>
      </c>
      <c r="V3356" s="5">
        <v>44369</v>
      </c>
      <c r="W3356" s="5">
        <v>44316</v>
      </c>
      <c r="X3356" s="1">
        <v>2185000</v>
      </c>
      <c r="Y3356" s="1">
        <v>2185000</v>
      </c>
      <c r="Z3356" s="5">
        <v>44327</v>
      </c>
      <c r="AA3356" s="1">
        <v>2185000</v>
      </c>
      <c r="AB3356" s="1" t="s">
        <v>275</v>
      </c>
      <c r="AC3356" s="5">
        <v>44356</v>
      </c>
      <c r="AF3356" s="1">
        <v>10013</v>
      </c>
      <c r="AI3356" s="1" t="s">
        <v>48</v>
      </c>
      <c r="AJ3356" s="1">
        <v>2019</v>
      </c>
      <c r="AK3356" s="1" t="s">
        <v>49</v>
      </c>
      <c r="AL3356" s="1">
        <v>115</v>
      </c>
    </row>
    <row r="3357" spans="1:38" x14ac:dyDescent="0.2">
      <c r="A3357" s="2" t="str">
        <f>HYPERLINK("https://www.compass.com/listing/565-broome-street-unit-n11d-manhattan-ny-10013/779359523277683257/","565 Broome St, Unit N11D")</f>
        <v>565 Broome St, Unit N11D</v>
      </c>
      <c r="B3357" s="2" t="str">
        <f t="shared" si="561"/>
        <v>565 Broome Soho</v>
      </c>
      <c r="C3357" s="1" t="s">
        <v>53</v>
      </c>
      <c r="D3357" s="1" t="s">
        <v>41</v>
      </c>
      <c r="E3357" s="3">
        <v>2395064</v>
      </c>
      <c r="F3357" s="1">
        <v>2617.556284153</v>
      </c>
      <c r="G3357" s="1">
        <v>3</v>
      </c>
      <c r="H3357" s="1">
        <v>1</v>
      </c>
      <c r="I3357" s="1">
        <v>2</v>
      </c>
      <c r="J3357" s="1">
        <v>1.5</v>
      </c>
      <c r="K3357" s="1">
        <v>1</v>
      </c>
      <c r="L3357" s="1">
        <v>1</v>
      </c>
      <c r="M3357" s="1">
        <v>915</v>
      </c>
      <c r="N3357" s="1">
        <v>1369</v>
      </c>
      <c r="O3357" s="1">
        <v>2879</v>
      </c>
      <c r="P3357" s="1">
        <v>1510</v>
      </c>
      <c r="Q3357" s="1" t="s">
        <v>42</v>
      </c>
      <c r="S3357" s="1" t="s">
        <v>42</v>
      </c>
      <c r="T3357" s="1" t="s">
        <v>273</v>
      </c>
      <c r="U3357" s="1">
        <v>10</v>
      </c>
      <c r="V3357" s="5">
        <v>44369</v>
      </c>
      <c r="W3357" s="5">
        <v>44316</v>
      </c>
      <c r="X3357" s="1">
        <v>2360000</v>
      </c>
      <c r="Y3357" s="1">
        <v>2360000</v>
      </c>
      <c r="Z3357" s="5">
        <v>44327</v>
      </c>
      <c r="AA3357" s="1">
        <v>2360000</v>
      </c>
      <c r="AB3357" s="1" t="s">
        <v>275</v>
      </c>
      <c r="AC3357" s="5">
        <v>44356</v>
      </c>
      <c r="AF3357" s="1">
        <v>10013</v>
      </c>
      <c r="AI3357" s="1" t="s">
        <v>48</v>
      </c>
      <c r="AJ3357" s="1">
        <v>2019</v>
      </c>
      <c r="AK3357" s="1" t="s">
        <v>49</v>
      </c>
      <c r="AL3357" s="1">
        <v>115</v>
      </c>
    </row>
    <row r="3358" spans="1:38" x14ac:dyDescent="0.2">
      <c r="A3358" s="2" t="str">
        <f>HYPERLINK("https://www.compass.com/listing/565-broome-street-unit-n8a-manhattan-ny-10013/784627710591166393/","565 Broome St, Unit N8A")</f>
        <v>565 Broome St, Unit N8A</v>
      </c>
      <c r="B3358" s="2" t="str">
        <f t="shared" si="561"/>
        <v>565 Broome Soho</v>
      </c>
      <c r="C3358" s="1" t="s">
        <v>53</v>
      </c>
      <c r="D3358" s="1" t="s">
        <v>41</v>
      </c>
      <c r="E3358" s="3">
        <v>2075000</v>
      </c>
      <c r="F3358" s="1">
        <v>2095.9595959595899</v>
      </c>
      <c r="G3358" s="1">
        <v>3</v>
      </c>
      <c r="H3358" s="1">
        <v>1</v>
      </c>
      <c r="I3358" s="1">
        <v>2</v>
      </c>
      <c r="J3358" s="1">
        <v>1.5</v>
      </c>
      <c r="K3358" s="1">
        <v>1</v>
      </c>
      <c r="L3358" s="1">
        <v>1</v>
      </c>
      <c r="M3358" s="1">
        <v>990</v>
      </c>
      <c r="N3358" s="1">
        <v>1460</v>
      </c>
      <c r="O3358" s="1">
        <v>3070</v>
      </c>
      <c r="P3358" s="1">
        <v>1610</v>
      </c>
      <c r="Q3358" s="1" t="s">
        <v>42</v>
      </c>
      <c r="S3358" s="1" t="s">
        <v>42</v>
      </c>
      <c r="T3358" s="1" t="s">
        <v>273</v>
      </c>
      <c r="U3358" s="1">
        <v>18</v>
      </c>
      <c r="V3358" s="5">
        <v>44356</v>
      </c>
      <c r="W3358" s="5">
        <v>44316</v>
      </c>
      <c r="X3358" s="1">
        <v>2075000</v>
      </c>
      <c r="Y3358" s="1">
        <v>2075000</v>
      </c>
      <c r="Z3358" s="5">
        <v>44334</v>
      </c>
      <c r="AA3358" s="1">
        <v>2075000</v>
      </c>
      <c r="AB3358" s="1" t="s">
        <v>275</v>
      </c>
      <c r="AC3358" s="5">
        <v>44356</v>
      </c>
      <c r="AF3358" s="1">
        <v>10013</v>
      </c>
      <c r="AI3358" s="1" t="s">
        <v>48</v>
      </c>
      <c r="AJ3358" s="1">
        <v>2019</v>
      </c>
      <c r="AK3358" s="1" t="s">
        <v>46</v>
      </c>
      <c r="AL3358" s="1">
        <v>115</v>
      </c>
    </row>
    <row r="3359" spans="1:38" x14ac:dyDescent="0.2">
      <c r="A3359" s="2" t="str">
        <f>HYPERLINK("https://www.compass.com/listing/235-west-75th-street-unit-511-manhattan-ny-10023/29395871665826113/","235 W 75th St, Unit 511")</f>
        <v>235 W 75th St, Unit 511</v>
      </c>
      <c r="B3359" s="2" t="str">
        <f>HYPERLINK("https://www.compass.com/building/the-astor-manhattan-ny/281958704155269925/","The Astor")</f>
        <v>The Astor</v>
      </c>
      <c r="C3359" s="1" t="s">
        <v>57</v>
      </c>
      <c r="D3359" s="1" t="s">
        <v>41</v>
      </c>
      <c r="E3359" s="3">
        <v>790000</v>
      </c>
      <c r="F3359" s="1">
        <v>730.80481036077697</v>
      </c>
      <c r="H3359" s="1">
        <v>1</v>
      </c>
      <c r="J3359" s="1">
        <v>1.5</v>
      </c>
      <c r="K3359" s="1">
        <v>1</v>
      </c>
      <c r="L3359" s="1">
        <v>1</v>
      </c>
      <c r="M3359" s="4">
        <v>1081</v>
      </c>
      <c r="N3359" s="1">
        <v>1400</v>
      </c>
      <c r="O3359" s="1">
        <v>2933</v>
      </c>
      <c r="P3359" s="1">
        <v>1533</v>
      </c>
      <c r="Q3359" s="1" t="s">
        <v>42</v>
      </c>
      <c r="S3359" s="1" t="s">
        <v>42</v>
      </c>
      <c r="T3359" s="1" t="s">
        <v>273</v>
      </c>
      <c r="AA3359" s="1">
        <v>790000</v>
      </c>
      <c r="AB3359" s="1" t="s">
        <v>2182</v>
      </c>
      <c r="AC3359" s="5">
        <v>42842</v>
      </c>
      <c r="AF3359" s="1">
        <v>10023</v>
      </c>
      <c r="AJ3359" s="1">
        <v>2018</v>
      </c>
      <c r="AK3359" s="1" t="s">
        <v>49</v>
      </c>
      <c r="AL3359" s="1">
        <v>98</v>
      </c>
    </row>
    <row r="3360" spans="1:38" x14ac:dyDescent="0.2">
      <c r="A3360" s="2" t="str">
        <f>HYPERLINK("https://www.compass.com/listing/300-east-64th-street-unit-5g-manhattan-ny-10065/29641178135662417/","300 E 64th St, Unit 5G")</f>
        <v>300 E 64th St, Unit 5G</v>
      </c>
      <c r="B3360" s="2" t="str">
        <f>HYPERLINK("https://www.compass.com/building/300-e-64th-st-manhattan-ny-10065/282038617012979925/","300 E 64th St")</f>
        <v>300 E 64th St</v>
      </c>
      <c r="C3360" s="1" t="s">
        <v>82</v>
      </c>
      <c r="D3360" s="1" t="s">
        <v>41</v>
      </c>
      <c r="E3360" s="3">
        <v>670000</v>
      </c>
      <c r="F3360" s="1">
        <v>1419.4915254237201</v>
      </c>
      <c r="G3360" s="1">
        <v>2</v>
      </c>
      <c r="H3360" s="1" t="s">
        <v>99</v>
      </c>
      <c r="I3360" s="1">
        <v>1</v>
      </c>
      <c r="J3360" s="1">
        <v>1</v>
      </c>
      <c r="K3360" s="1">
        <v>1</v>
      </c>
      <c r="M3360" s="1">
        <v>472</v>
      </c>
      <c r="N3360" s="1">
        <v>550</v>
      </c>
      <c r="O3360" s="1">
        <v>1361</v>
      </c>
      <c r="P3360" s="1">
        <v>811</v>
      </c>
      <c r="Q3360" s="1" t="s">
        <v>42</v>
      </c>
      <c r="S3360" s="1" t="s">
        <v>42</v>
      </c>
      <c r="T3360" s="1" t="s">
        <v>273</v>
      </c>
      <c r="U3360" s="1">
        <v>35</v>
      </c>
      <c r="V3360" s="5">
        <v>44336</v>
      </c>
      <c r="W3360" s="5">
        <v>43281</v>
      </c>
      <c r="X3360" s="1">
        <v>695000</v>
      </c>
      <c r="Y3360" s="1">
        <v>695000</v>
      </c>
      <c r="Z3360" s="5">
        <v>43316</v>
      </c>
      <c r="AA3360" s="1">
        <v>670000</v>
      </c>
      <c r="AB3360" s="1" t="s">
        <v>2183</v>
      </c>
      <c r="AC3360" s="5">
        <v>43383</v>
      </c>
      <c r="AF3360" s="1">
        <v>10065</v>
      </c>
      <c r="AI3360" s="1" t="s">
        <v>185</v>
      </c>
      <c r="AJ3360" s="1">
        <v>1996</v>
      </c>
      <c r="AK3360" s="1" t="s">
        <v>46</v>
      </c>
      <c r="AL3360" s="1">
        <v>103</v>
      </c>
    </row>
    <row r="3361" spans="1:38" x14ac:dyDescent="0.2">
      <c r="A3361" s="2" t="str">
        <f>HYPERLINK("https://www.compass.com/listing/77-charlton-street-unit-s9e-manhattan-ny-10014/805025604340326065/","77 Charlton St, Unit S9E")</f>
        <v>77 Charlton St, Unit S9E</v>
      </c>
      <c r="B3361" s="2" t="str">
        <f t="shared" ref="B3361:B3363" si="562">HYPERLINK("https://www.compass.com/building/77-charlton-st-manhattan-ny-10014/282058735872933093/","77 Charlton St")</f>
        <v>77 Charlton St</v>
      </c>
      <c r="C3361" s="1" t="s">
        <v>53</v>
      </c>
      <c r="D3361" s="1" t="s">
        <v>41</v>
      </c>
      <c r="E3361" s="3">
        <v>1049816</v>
      </c>
      <c r="F3361" s="1">
        <v>1841.7820175438501</v>
      </c>
      <c r="H3361" s="1" t="s">
        <v>99</v>
      </c>
      <c r="J3361" s="1">
        <v>1</v>
      </c>
      <c r="K3361" s="1">
        <v>1</v>
      </c>
      <c r="M3361" s="1">
        <v>570</v>
      </c>
      <c r="N3361" s="1">
        <v>680</v>
      </c>
      <c r="O3361" s="1">
        <v>1652</v>
      </c>
      <c r="P3361" s="1">
        <v>972</v>
      </c>
      <c r="Q3361" s="1" t="s">
        <v>42</v>
      </c>
      <c r="S3361" s="1" t="s">
        <v>42</v>
      </c>
      <c r="T3361" s="1" t="s">
        <v>273</v>
      </c>
      <c r="AA3361" s="1">
        <v>1049815.75</v>
      </c>
      <c r="AB3361" s="1" t="s">
        <v>2184</v>
      </c>
      <c r="AC3361" s="5">
        <v>44341</v>
      </c>
      <c r="AF3361" s="1">
        <v>10014</v>
      </c>
      <c r="AI3361" s="1" t="s">
        <v>48</v>
      </c>
      <c r="AJ3361" s="1">
        <v>2019</v>
      </c>
      <c r="AK3361" s="1" t="s">
        <v>49</v>
      </c>
      <c r="AL3361" s="1">
        <v>161</v>
      </c>
    </row>
    <row r="3362" spans="1:38" x14ac:dyDescent="0.2">
      <c r="A3362" s="2" t="str">
        <f>HYPERLINK("https://www.compass.com/listing/77-charlton-street-unit-s6e-manhattan-ny-10014/816409258694732921/","77 Charlton St, Unit S6E")</f>
        <v>77 Charlton St, Unit S6E</v>
      </c>
      <c r="B3362" s="2" t="str">
        <f t="shared" si="562"/>
        <v>77 Charlton St</v>
      </c>
      <c r="C3362" s="1" t="s">
        <v>53</v>
      </c>
      <c r="D3362" s="1" t="s">
        <v>41</v>
      </c>
      <c r="E3362" s="3">
        <v>1062035</v>
      </c>
      <c r="Q3362" s="1" t="s">
        <v>42</v>
      </c>
      <c r="S3362" s="1" t="s">
        <v>42</v>
      </c>
      <c r="T3362" s="1" t="s">
        <v>273</v>
      </c>
      <c r="AA3362" s="1">
        <v>1062034.75</v>
      </c>
      <c r="AB3362" s="1" t="s">
        <v>2185</v>
      </c>
      <c r="AC3362" s="5">
        <v>44364</v>
      </c>
      <c r="AF3362" s="1">
        <v>10014</v>
      </c>
      <c r="AI3362" s="1" t="s">
        <v>48</v>
      </c>
      <c r="AJ3362" s="1">
        <v>2019</v>
      </c>
      <c r="AK3362" s="1" t="s">
        <v>49</v>
      </c>
      <c r="AL3362" s="1">
        <v>161</v>
      </c>
    </row>
    <row r="3363" spans="1:38" x14ac:dyDescent="0.2">
      <c r="A3363" s="2" t="str">
        <f>HYPERLINK("https://www.compass.com/listing/77-charlton-street-unit-n7e-manhattan-ny-10014/841046800399780489/","77 Charlton St, Unit N7E")</f>
        <v>77 Charlton St, Unit N7E</v>
      </c>
      <c r="B3363" s="2" t="str">
        <f t="shared" si="562"/>
        <v>77 Charlton St</v>
      </c>
      <c r="C3363" s="1" t="s">
        <v>53</v>
      </c>
      <c r="D3363" s="1" t="s">
        <v>41</v>
      </c>
      <c r="E3363" s="3">
        <v>1039377</v>
      </c>
      <c r="Q3363" s="1" t="s">
        <v>42</v>
      </c>
      <c r="S3363" s="1" t="s">
        <v>42</v>
      </c>
      <c r="T3363" s="1" t="s">
        <v>273</v>
      </c>
      <c r="AA3363" s="1">
        <v>1039376.65</v>
      </c>
      <c r="AB3363" s="1" t="s">
        <v>2186</v>
      </c>
      <c r="AC3363" s="5">
        <v>44393</v>
      </c>
      <c r="AF3363" s="1">
        <v>10014</v>
      </c>
      <c r="AI3363" s="1" t="s">
        <v>48</v>
      </c>
      <c r="AJ3363" s="1">
        <v>2019</v>
      </c>
      <c r="AK3363" s="1" t="s">
        <v>49</v>
      </c>
      <c r="AL3363" s="1">
        <v>161</v>
      </c>
    </row>
    <row r="3364" spans="1:38" x14ac:dyDescent="0.2">
      <c r="A3364" s="2" t="str">
        <f>HYPERLINK("https://www.compass.com/listing/301-east-80th-street-unit-26a-manhattan-ny-10075/426101204048915585/","301 E 80th St, Unit 26A")</f>
        <v>301 E 80th St, Unit 26A</v>
      </c>
      <c r="B3364" s="2" t="str">
        <f t="shared" ref="B3364:B3370" si="563">HYPERLINK("https://www.compass.com/building/beckford-tower-manhattan-ny/293529721147268613/","Beckford Tower")</f>
        <v>Beckford Tower</v>
      </c>
      <c r="C3364" s="1" t="s">
        <v>82</v>
      </c>
      <c r="D3364" s="1" t="s">
        <v>41</v>
      </c>
      <c r="E3364" s="3">
        <v>6450000</v>
      </c>
      <c r="F3364" s="1">
        <v>2391.5461624026698</v>
      </c>
      <c r="G3364" s="1">
        <v>7.5</v>
      </c>
      <c r="H3364" s="1">
        <v>3</v>
      </c>
      <c r="I3364" s="1">
        <v>4</v>
      </c>
      <c r="J3364" s="1">
        <v>3.5</v>
      </c>
      <c r="K3364" s="1">
        <v>3</v>
      </c>
      <c r="L3364" s="1">
        <v>1</v>
      </c>
      <c r="M3364" s="4">
        <v>2697</v>
      </c>
      <c r="N3364" s="1">
        <v>3639</v>
      </c>
      <c r="O3364" s="1">
        <v>7796</v>
      </c>
      <c r="P3364" s="1">
        <v>4157</v>
      </c>
      <c r="Q3364" s="1" t="s">
        <v>42</v>
      </c>
      <c r="S3364" s="1" t="s">
        <v>42</v>
      </c>
      <c r="T3364" s="1" t="s">
        <v>273</v>
      </c>
      <c r="U3364" s="1">
        <v>192</v>
      </c>
      <c r="V3364" s="5">
        <v>44396</v>
      </c>
      <c r="W3364" s="5">
        <v>43740</v>
      </c>
      <c r="X3364" s="1">
        <v>6750000</v>
      </c>
      <c r="Y3364" s="1">
        <v>6750000</v>
      </c>
      <c r="AA3364" s="1">
        <v>6450000</v>
      </c>
      <c r="AB3364" s="1" t="s">
        <v>2187</v>
      </c>
      <c r="AC3364" s="5">
        <v>44391</v>
      </c>
      <c r="AF3364" s="1">
        <v>10075</v>
      </c>
      <c r="AI3364" s="1" t="s">
        <v>182</v>
      </c>
      <c r="AJ3364" s="1">
        <v>2019</v>
      </c>
      <c r="AK3364" s="1" t="s">
        <v>49</v>
      </c>
      <c r="AL3364" s="1">
        <v>72</v>
      </c>
    </row>
    <row r="3365" spans="1:38" x14ac:dyDescent="0.2">
      <c r="A3365" s="2" t="str">
        <f>HYPERLINK("https://www.compass.com/listing/301-east-80th-street-unit-7c-manhattan-ny-10075/511457103679526201/","301 E 80th St, Unit 7C")</f>
        <v>301 E 80th St, Unit 7C</v>
      </c>
      <c r="B3365" s="2" t="str">
        <f t="shared" si="563"/>
        <v>Beckford Tower</v>
      </c>
      <c r="C3365" s="1" t="s">
        <v>82</v>
      </c>
      <c r="D3365" s="1" t="s">
        <v>41</v>
      </c>
      <c r="E3365" s="3">
        <v>5400000</v>
      </c>
      <c r="F3365" s="1">
        <v>2227.72277227722</v>
      </c>
      <c r="G3365" s="1">
        <v>7.5</v>
      </c>
      <c r="H3365" s="1">
        <v>3</v>
      </c>
      <c r="I3365" s="1">
        <v>4</v>
      </c>
      <c r="J3365" s="1">
        <v>3.5</v>
      </c>
      <c r="K3365" s="1">
        <v>3</v>
      </c>
      <c r="L3365" s="1">
        <v>1</v>
      </c>
      <c r="M3365" s="4">
        <v>2424</v>
      </c>
      <c r="N3365" s="1">
        <v>2994</v>
      </c>
      <c r="O3365" s="1">
        <v>6413</v>
      </c>
      <c r="P3365" s="1">
        <v>3419</v>
      </c>
      <c r="Q3365" s="1" t="s">
        <v>42</v>
      </c>
      <c r="S3365" s="1" t="s">
        <v>42</v>
      </c>
      <c r="T3365" s="1" t="s">
        <v>273</v>
      </c>
      <c r="U3365" s="1">
        <v>395</v>
      </c>
      <c r="V3365" s="5">
        <v>44280</v>
      </c>
      <c r="W3365" s="5">
        <v>43741</v>
      </c>
      <c r="X3365" s="1">
        <v>5750000</v>
      </c>
      <c r="Y3365" s="1">
        <v>5750000</v>
      </c>
      <c r="AA3365" s="1">
        <v>5400000</v>
      </c>
      <c r="AB3365" s="1" t="s">
        <v>2180</v>
      </c>
      <c r="AC3365" s="5">
        <v>44355</v>
      </c>
      <c r="AF3365" s="1">
        <v>10075</v>
      </c>
      <c r="AI3365" s="1" t="s">
        <v>182</v>
      </c>
      <c r="AJ3365" s="1">
        <v>2019</v>
      </c>
      <c r="AK3365" s="1" t="s">
        <v>49</v>
      </c>
      <c r="AL3365" s="1">
        <v>72</v>
      </c>
    </row>
    <row r="3366" spans="1:38" x14ac:dyDescent="0.2">
      <c r="A3366" s="2" t="str">
        <f>HYPERLINK("https://www.compass.com/listing/301-east-80th-street-unit-14c-manhattan-ny-10075/563706058114433201/","301 E 80th St, Unit 14C")</f>
        <v>301 E 80th St, Unit 14C</v>
      </c>
      <c r="B3366" s="2" t="str">
        <f t="shared" si="563"/>
        <v>Beckford Tower</v>
      </c>
      <c r="C3366" s="1" t="s">
        <v>82</v>
      </c>
      <c r="D3366" s="1" t="s">
        <v>41</v>
      </c>
      <c r="E3366" s="3">
        <v>4900000</v>
      </c>
      <c r="F3366" s="1">
        <v>2188.47699866011</v>
      </c>
      <c r="G3366" s="1">
        <v>7.5</v>
      </c>
      <c r="H3366" s="1">
        <v>3</v>
      </c>
      <c r="I3366" s="1">
        <v>4</v>
      </c>
      <c r="J3366" s="1">
        <v>3.5</v>
      </c>
      <c r="K3366" s="1">
        <v>3</v>
      </c>
      <c r="L3366" s="1">
        <v>1</v>
      </c>
      <c r="M3366" s="4">
        <v>2239</v>
      </c>
      <c r="N3366" s="1">
        <v>2860</v>
      </c>
      <c r="O3366" s="1">
        <v>6126</v>
      </c>
      <c r="P3366" s="1">
        <v>3266</v>
      </c>
      <c r="Q3366" s="1" t="s">
        <v>42</v>
      </c>
      <c r="S3366" s="1" t="s">
        <v>42</v>
      </c>
      <c r="T3366" s="1" t="s">
        <v>273</v>
      </c>
      <c r="V3366" s="5">
        <v>44280</v>
      </c>
      <c r="W3366" s="5">
        <v>43741</v>
      </c>
      <c r="X3366" s="1">
        <v>5495000</v>
      </c>
      <c r="Y3366" s="1">
        <v>5495000</v>
      </c>
      <c r="AA3366" s="1">
        <v>4900000</v>
      </c>
      <c r="AB3366" s="1" t="s">
        <v>2181</v>
      </c>
      <c r="AC3366" s="5">
        <v>44383</v>
      </c>
      <c r="AF3366" s="1">
        <v>10075</v>
      </c>
      <c r="AI3366" s="1" t="s">
        <v>182</v>
      </c>
      <c r="AJ3366" s="1">
        <v>2019</v>
      </c>
      <c r="AK3366" s="1" t="s">
        <v>49</v>
      </c>
      <c r="AL3366" s="1">
        <v>72</v>
      </c>
    </row>
    <row r="3367" spans="1:38" x14ac:dyDescent="0.2">
      <c r="A3367" s="2" t="str">
        <f>HYPERLINK("https://www.compass.com/listing/301-east-80th-street-unit-27a-manhattan-ny-10075/563706273131245881/","301 E 80th St, Unit 27A")</f>
        <v>301 E 80th St, Unit 27A</v>
      </c>
      <c r="B3367" s="2" t="str">
        <f t="shared" si="563"/>
        <v>Beckford Tower</v>
      </c>
      <c r="C3367" s="1" t="s">
        <v>82</v>
      </c>
      <c r="D3367" s="1" t="s">
        <v>41</v>
      </c>
      <c r="E3367" s="3">
        <v>6600000</v>
      </c>
      <c r="F3367" s="1">
        <v>2447.1635150166799</v>
      </c>
      <c r="G3367" s="1">
        <v>7</v>
      </c>
      <c r="H3367" s="1">
        <v>3</v>
      </c>
      <c r="I3367" s="1">
        <v>4</v>
      </c>
      <c r="J3367" s="1">
        <v>3.5</v>
      </c>
      <c r="K3367" s="1">
        <v>3</v>
      </c>
      <c r="L3367" s="1">
        <v>1</v>
      </c>
      <c r="M3367" s="4">
        <v>2697</v>
      </c>
      <c r="N3367" s="1">
        <v>3656</v>
      </c>
      <c r="O3367" s="1">
        <v>7832</v>
      </c>
      <c r="P3367" s="1">
        <v>4176</v>
      </c>
      <c r="Q3367" s="1" t="s">
        <v>42</v>
      </c>
      <c r="S3367" s="1" t="s">
        <v>42</v>
      </c>
      <c r="T3367" s="1" t="s">
        <v>273</v>
      </c>
      <c r="V3367" s="5">
        <v>44288</v>
      </c>
      <c r="W3367" s="5">
        <v>43741</v>
      </c>
      <c r="X3367" s="1">
        <v>7495000</v>
      </c>
      <c r="Y3367" s="1">
        <v>7495000</v>
      </c>
      <c r="AA3367" s="1">
        <v>6600000</v>
      </c>
      <c r="AB3367" s="1" t="s">
        <v>2122</v>
      </c>
      <c r="AC3367" s="5">
        <v>44384</v>
      </c>
      <c r="AF3367" s="1">
        <v>10075</v>
      </c>
      <c r="AI3367" s="1" t="s">
        <v>182</v>
      </c>
      <c r="AJ3367" s="1">
        <v>2019</v>
      </c>
      <c r="AK3367" s="1" t="s">
        <v>49</v>
      </c>
      <c r="AL3367" s="1">
        <v>72</v>
      </c>
    </row>
    <row r="3368" spans="1:38" x14ac:dyDescent="0.2">
      <c r="A3368" s="2" t="str">
        <f>HYPERLINK("https://www.compass.com/listing/301-east-80th-street-unit-8a-manhattan-ny-10075/831103572416606353/","301 E 80th St, Unit 8A")</f>
        <v>301 E 80th St, Unit 8A</v>
      </c>
      <c r="B3368" s="2" t="str">
        <f t="shared" si="563"/>
        <v>Beckford Tower</v>
      </c>
      <c r="C3368" s="1" t="s">
        <v>82</v>
      </c>
      <c r="D3368" s="1" t="s">
        <v>41</v>
      </c>
      <c r="E3368" s="3">
        <v>6350000</v>
      </c>
      <c r="F3368" s="1">
        <v>2355.3412462908</v>
      </c>
      <c r="G3368" s="1">
        <v>8</v>
      </c>
      <c r="H3368" s="1">
        <v>3</v>
      </c>
      <c r="I3368" s="1">
        <v>4</v>
      </c>
      <c r="J3368" s="1">
        <v>3.5</v>
      </c>
      <c r="K3368" s="1">
        <v>3</v>
      </c>
      <c r="L3368" s="1">
        <v>1</v>
      </c>
      <c r="M3368" s="4">
        <v>2696</v>
      </c>
      <c r="N3368" s="1">
        <v>3718</v>
      </c>
      <c r="O3368" s="1">
        <v>7965</v>
      </c>
      <c r="P3368" s="1">
        <v>4247</v>
      </c>
      <c r="Q3368" s="1" t="s">
        <v>42</v>
      </c>
      <c r="S3368" s="1" t="s">
        <v>42</v>
      </c>
      <c r="T3368" s="1" t="s">
        <v>273</v>
      </c>
      <c r="V3368" s="5">
        <v>44399</v>
      </c>
      <c r="AA3368" s="1">
        <v>6350000</v>
      </c>
      <c r="AB3368" s="1" t="s">
        <v>2188</v>
      </c>
      <c r="AC3368" s="5">
        <v>44368</v>
      </c>
      <c r="AF3368" s="1">
        <v>10075</v>
      </c>
      <c r="AI3368" s="1" t="s">
        <v>182</v>
      </c>
      <c r="AJ3368" s="1">
        <v>2019</v>
      </c>
      <c r="AK3368" s="1" t="s">
        <v>49</v>
      </c>
      <c r="AL3368" s="1">
        <v>72</v>
      </c>
    </row>
    <row r="3369" spans="1:38" x14ac:dyDescent="0.2">
      <c r="A3369" s="2" t="str">
        <f>HYPERLINK("https://www.compass.com/listing/301-east-80th-street-unit-14a-manhattan-ny-10075/832343019821513257/","301 E 80th St, Unit 14A")</f>
        <v>301 E 80th St, Unit 14A</v>
      </c>
      <c r="B3369" s="2" t="str">
        <f t="shared" si="563"/>
        <v>Beckford Tower</v>
      </c>
      <c r="C3369" s="1" t="s">
        <v>82</v>
      </c>
      <c r="D3369" s="1" t="s">
        <v>41</v>
      </c>
      <c r="E3369" s="3">
        <v>6200000</v>
      </c>
      <c r="F3369" s="1">
        <v>2370.9369024856501</v>
      </c>
      <c r="G3369" s="1">
        <v>8</v>
      </c>
      <c r="H3369" s="1">
        <v>3</v>
      </c>
      <c r="I3369" s="1">
        <v>4</v>
      </c>
      <c r="J3369" s="1">
        <v>3.5</v>
      </c>
      <c r="K3369" s="1">
        <v>3</v>
      </c>
      <c r="L3369" s="1">
        <v>1</v>
      </c>
      <c r="M3369" s="4">
        <v>2615</v>
      </c>
      <c r="N3369" s="1">
        <v>3340</v>
      </c>
      <c r="O3369" s="1">
        <v>7155</v>
      </c>
      <c r="P3369" s="1">
        <v>3815</v>
      </c>
      <c r="Q3369" s="1" t="s">
        <v>42</v>
      </c>
      <c r="S3369" s="1" t="s">
        <v>42</v>
      </c>
      <c r="T3369" s="1" t="s">
        <v>273</v>
      </c>
      <c r="V3369" s="5">
        <v>44420</v>
      </c>
      <c r="AA3369" s="1">
        <v>6200000</v>
      </c>
      <c r="AB3369" s="1" t="s">
        <v>2189</v>
      </c>
      <c r="AC3369" s="5">
        <v>44363</v>
      </c>
      <c r="AF3369" s="1">
        <v>10075</v>
      </c>
      <c r="AI3369" s="1" t="s">
        <v>182</v>
      </c>
      <c r="AJ3369" s="1">
        <v>2019</v>
      </c>
      <c r="AK3369" s="1" t="s">
        <v>49</v>
      </c>
      <c r="AL3369" s="1">
        <v>72</v>
      </c>
    </row>
    <row r="3370" spans="1:38" x14ac:dyDescent="0.2">
      <c r="A3370" s="2" t="str">
        <f>HYPERLINK("https://www.compass.com/listing/301-east-80th-street-unit-26a-manhattan-ny-10075/836683409100960225/","301 E 80th St, Unit 26A")</f>
        <v>301 E 80th St, Unit 26A</v>
      </c>
      <c r="B3370" s="2" t="str">
        <f t="shared" si="563"/>
        <v>Beckford Tower</v>
      </c>
      <c r="C3370" s="1" t="s">
        <v>82</v>
      </c>
      <c r="D3370" s="1" t="s">
        <v>41</v>
      </c>
      <c r="E3370" s="3">
        <v>6450000</v>
      </c>
      <c r="F3370" s="1">
        <v>2391.5461624026698</v>
      </c>
      <c r="G3370" s="1">
        <v>8</v>
      </c>
      <c r="H3370" s="1">
        <v>3</v>
      </c>
      <c r="I3370" s="1">
        <v>4</v>
      </c>
      <c r="J3370" s="1">
        <v>3.5</v>
      </c>
      <c r="K3370" s="1">
        <v>3</v>
      </c>
      <c r="L3370" s="1">
        <v>1</v>
      </c>
      <c r="M3370" s="4">
        <v>2697</v>
      </c>
      <c r="N3370" s="1">
        <v>3639</v>
      </c>
      <c r="O3370" s="1">
        <v>7796</v>
      </c>
      <c r="P3370" s="1">
        <v>4157</v>
      </c>
      <c r="Q3370" s="1" t="s">
        <v>42</v>
      </c>
      <c r="S3370" s="1" t="s">
        <v>42</v>
      </c>
      <c r="T3370" s="1" t="s">
        <v>273</v>
      </c>
      <c r="V3370" s="5">
        <v>44412</v>
      </c>
      <c r="AA3370" s="1">
        <v>6450000</v>
      </c>
      <c r="AB3370" s="1" t="s">
        <v>2187</v>
      </c>
      <c r="AC3370" s="5">
        <v>44391</v>
      </c>
      <c r="AF3370" s="1">
        <v>10075</v>
      </c>
      <c r="AI3370" s="1" t="s">
        <v>182</v>
      </c>
      <c r="AJ3370" s="1">
        <v>2019</v>
      </c>
      <c r="AK3370" s="1" t="s">
        <v>49</v>
      </c>
      <c r="AL3370" s="1">
        <v>72</v>
      </c>
    </row>
    <row r="3371" spans="1:38" x14ac:dyDescent="0.2">
      <c r="A3371" s="2" t="str">
        <f>HYPERLINK("https://www.compass.com/listing/1-west-end-avenue-unit-21a-manhattan-ny-10023/399702112165825745/","1 W End Ave, Unit 21A")</f>
        <v>1 W End Ave, Unit 21A</v>
      </c>
      <c r="B3371" s="2" t="str">
        <f t="shared" ref="B3371:B3372" si="564">HYPERLINK("https://www.compass.com/building/1-w-end-ave-manhattan-ny-10023/455676159137755317/","1 W End Ave")</f>
        <v>1 W End Ave</v>
      </c>
      <c r="C3371" s="1" t="s">
        <v>57</v>
      </c>
      <c r="D3371" s="1" t="s">
        <v>41</v>
      </c>
      <c r="E3371" s="3">
        <v>4915380</v>
      </c>
      <c r="F3371" s="1">
        <v>1808.4547718910901</v>
      </c>
      <c r="G3371" s="1">
        <v>6</v>
      </c>
      <c r="H3371" s="1">
        <v>3</v>
      </c>
      <c r="I3371" s="1">
        <v>4</v>
      </c>
      <c r="J3371" s="1">
        <v>3.5</v>
      </c>
      <c r="K3371" s="1">
        <v>3</v>
      </c>
      <c r="L3371" s="1">
        <v>1</v>
      </c>
      <c r="M3371" s="4">
        <v>2718</v>
      </c>
      <c r="N3371" s="1">
        <v>3048</v>
      </c>
      <c r="O3371" s="1">
        <v>3226</v>
      </c>
      <c r="P3371" s="1">
        <v>178</v>
      </c>
      <c r="Q3371" s="1" t="s">
        <v>42</v>
      </c>
      <c r="S3371" s="1" t="s">
        <v>42</v>
      </c>
      <c r="T3371" s="1" t="s">
        <v>273</v>
      </c>
      <c r="U3371" s="1">
        <v>238</v>
      </c>
      <c r="V3371" s="5">
        <v>43921</v>
      </c>
      <c r="W3371" s="5">
        <v>43620</v>
      </c>
      <c r="X3371" s="1">
        <v>4995000</v>
      </c>
      <c r="Y3371" s="1">
        <v>4995000</v>
      </c>
      <c r="Z3371" s="5">
        <v>43859</v>
      </c>
      <c r="AA3371" s="1">
        <v>4915380.07</v>
      </c>
      <c r="AB3371" s="1" t="s">
        <v>2190</v>
      </c>
      <c r="AC3371" s="5">
        <v>43914</v>
      </c>
      <c r="AF3371" s="1">
        <v>10023</v>
      </c>
      <c r="AI3371" s="1" t="s">
        <v>102</v>
      </c>
      <c r="AJ3371" s="1">
        <v>2017</v>
      </c>
      <c r="AK3371" s="1" t="s">
        <v>46</v>
      </c>
      <c r="AL3371" s="1">
        <v>246</v>
      </c>
    </row>
    <row r="3372" spans="1:38" x14ac:dyDescent="0.2">
      <c r="A3372" s="2" t="str">
        <f>HYPERLINK("https://www.compass.com/listing/1-west-end-avenue-unit-35d-manhattan-ny-10023/323902384098811121/","1 W End Ave, Unit 35D")</f>
        <v>1 W End Ave, Unit 35D</v>
      </c>
      <c r="B3372" s="2" t="str">
        <f t="shared" si="564"/>
        <v>1 W End Ave</v>
      </c>
      <c r="C3372" s="1" t="s">
        <v>57</v>
      </c>
      <c r="D3372" s="1" t="s">
        <v>41</v>
      </c>
      <c r="E3372" s="3">
        <v>5502187</v>
      </c>
      <c r="F3372" s="1">
        <v>2215.0510547504</v>
      </c>
      <c r="G3372" s="1">
        <v>6</v>
      </c>
      <c r="H3372" s="1">
        <v>3</v>
      </c>
      <c r="I3372" s="1">
        <v>4</v>
      </c>
      <c r="J3372" s="1">
        <v>3.5</v>
      </c>
      <c r="K3372" s="1">
        <v>3</v>
      </c>
      <c r="L3372" s="1">
        <v>1</v>
      </c>
      <c r="M3372" s="4">
        <v>2484</v>
      </c>
      <c r="N3372" s="1">
        <v>2840</v>
      </c>
      <c r="O3372" s="1">
        <v>2840</v>
      </c>
      <c r="Q3372" s="1" t="s">
        <v>42</v>
      </c>
      <c r="S3372" s="1" t="s">
        <v>42</v>
      </c>
      <c r="T3372" s="1" t="s">
        <v>273</v>
      </c>
      <c r="V3372" s="5">
        <v>43745</v>
      </c>
      <c r="W3372" s="5">
        <v>43699</v>
      </c>
      <c r="X3372" s="1">
        <v>5875000</v>
      </c>
      <c r="Y3372" s="1">
        <v>5875000</v>
      </c>
      <c r="Z3372" s="5">
        <v>43699</v>
      </c>
      <c r="AA3372" s="1">
        <v>5502186.8200000003</v>
      </c>
      <c r="AB3372" s="1" t="s">
        <v>2191</v>
      </c>
      <c r="AC3372" s="5">
        <v>43733</v>
      </c>
      <c r="AF3372" s="1">
        <v>10023</v>
      </c>
      <c r="AI3372" s="1" t="s">
        <v>205</v>
      </c>
      <c r="AJ3372" s="1">
        <v>2017</v>
      </c>
      <c r="AK3372" s="1" t="s">
        <v>55</v>
      </c>
      <c r="AL3372" s="1">
        <v>246</v>
      </c>
    </row>
    <row r="3373" spans="1:38" x14ac:dyDescent="0.2">
      <c r="A3373" s="2" t="str">
        <f>HYPERLINK("https://www.compass.com/listing/301-east-80th-street-unit-22a-manhattan-ny-10075/714572691921933353/","301 E 80th St, Unit 22A")</f>
        <v>301 E 80th St, Unit 22A</v>
      </c>
      <c r="B3373" s="2" t="str">
        <f>HYPERLINK("https://www.compass.com/building/beckford-tower-manhattan-ny/293529721147268613/","Beckford Tower")</f>
        <v>Beckford Tower</v>
      </c>
      <c r="C3373" s="1" t="s">
        <v>82</v>
      </c>
      <c r="D3373" s="1" t="s">
        <v>41</v>
      </c>
      <c r="E3373" s="3">
        <v>8450000</v>
      </c>
      <c r="F3373" s="1">
        <v>2776.8649359185001</v>
      </c>
      <c r="G3373" s="1">
        <v>7</v>
      </c>
      <c r="H3373" s="1">
        <v>4</v>
      </c>
      <c r="I3373" s="1">
        <v>5</v>
      </c>
      <c r="J3373" s="1">
        <v>4.5</v>
      </c>
      <c r="K3373" s="1">
        <v>4</v>
      </c>
      <c r="L3373" s="1">
        <v>1</v>
      </c>
      <c r="M3373" s="4">
        <v>3043</v>
      </c>
      <c r="N3373" s="1">
        <v>4033</v>
      </c>
      <c r="O3373" s="1">
        <v>8640</v>
      </c>
      <c r="P3373" s="1">
        <v>4607</v>
      </c>
      <c r="Q3373" s="1" t="s">
        <v>42</v>
      </c>
      <c r="S3373" s="1" t="s">
        <v>42</v>
      </c>
      <c r="T3373" s="1" t="s">
        <v>273</v>
      </c>
      <c r="U3373" s="1">
        <v>98</v>
      </c>
      <c r="V3373" s="5">
        <v>44422</v>
      </c>
      <c r="W3373" s="5">
        <v>44239</v>
      </c>
      <c r="Y3373" s="1">
        <v>8450000</v>
      </c>
      <c r="AA3373" s="1">
        <v>8450000</v>
      </c>
      <c r="AB3373" s="1" t="s">
        <v>275</v>
      </c>
      <c r="AC3373" s="5">
        <v>44411</v>
      </c>
      <c r="AF3373" s="1">
        <v>10075</v>
      </c>
      <c r="AI3373" s="1" t="s">
        <v>182</v>
      </c>
      <c r="AJ3373" s="1">
        <v>2019</v>
      </c>
      <c r="AK3373" s="1" t="s">
        <v>49</v>
      </c>
      <c r="AL3373" s="1">
        <v>72</v>
      </c>
    </row>
    <row r="3374" spans="1:38" x14ac:dyDescent="0.2">
      <c r="A3374" s="2" t="str">
        <f>HYPERLINK("https://www.compass.com/listing/300-east-64th-street-unit-7d-manhattan-ny-10065/29415715698206001/","300 E 64th St, Unit 7D")</f>
        <v>300 E 64th St, Unit 7D</v>
      </c>
      <c r="B3374" s="2" t="str">
        <f>HYPERLINK("https://www.compass.com/building/300-e-64th-st-manhattan-ny-10065/282038617012979925/","300 E 64th St")</f>
        <v>300 E 64th St</v>
      </c>
      <c r="C3374" s="1" t="s">
        <v>82</v>
      </c>
      <c r="D3374" s="1" t="s">
        <v>41</v>
      </c>
      <c r="E3374" s="3">
        <v>1165000</v>
      </c>
      <c r="F3374" s="1">
        <v>1606.8965517241299</v>
      </c>
      <c r="G3374" s="1">
        <v>4</v>
      </c>
      <c r="H3374" s="1">
        <v>1</v>
      </c>
      <c r="I3374" s="1">
        <v>1</v>
      </c>
      <c r="J3374" s="1">
        <v>1</v>
      </c>
      <c r="K3374" s="1">
        <v>1</v>
      </c>
      <c r="M3374" s="1">
        <v>725</v>
      </c>
      <c r="N3374" s="1">
        <v>818.14</v>
      </c>
      <c r="O3374" s="1">
        <v>1885.1399999999901</v>
      </c>
      <c r="P3374" s="1">
        <v>1067</v>
      </c>
      <c r="Q3374" s="1" t="s">
        <v>42</v>
      </c>
      <c r="S3374" s="1" t="s">
        <v>42</v>
      </c>
      <c r="T3374" s="1" t="s">
        <v>273</v>
      </c>
      <c r="U3374" s="1">
        <v>6</v>
      </c>
      <c r="V3374" s="5">
        <v>43325</v>
      </c>
      <c r="W3374" s="5">
        <v>43228</v>
      </c>
      <c r="X3374" s="1">
        <v>1160000</v>
      </c>
      <c r="Y3374" s="1">
        <v>1160000</v>
      </c>
      <c r="AA3374" s="1">
        <v>1165000</v>
      </c>
      <c r="AB3374" s="1" t="s">
        <v>2192</v>
      </c>
      <c r="AC3374" s="5">
        <v>43301</v>
      </c>
      <c r="AF3374" s="1">
        <v>10065</v>
      </c>
      <c r="AI3374" s="1" t="s">
        <v>83</v>
      </c>
      <c r="AJ3374" s="1">
        <v>1996</v>
      </c>
      <c r="AK3374" s="1" t="s">
        <v>46</v>
      </c>
      <c r="AL3374" s="1">
        <v>103</v>
      </c>
    </row>
    <row r="3375" spans="1:38" x14ac:dyDescent="0.2">
      <c r="A3375" s="2" t="str">
        <f>HYPERLINK("https://www.compass.com/listing/301-east-80th-street-unit-11a-manhattan-ny-10075/825076942611787745/","301 E 80th St, Unit 11A")</f>
        <v>301 E 80th St, Unit 11A</v>
      </c>
      <c r="B3375" s="2" t="str">
        <f t="shared" ref="B3375:B3380" si="565">HYPERLINK("https://www.compass.com/building/beckford-tower-manhattan-ny/293529721147268613/","Beckford Tower")</f>
        <v>Beckford Tower</v>
      </c>
      <c r="C3375" s="1" t="s">
        <v>82</v>
      </c>
      <c r="D3375" s="1" t="s">
        <v>41</v>
      </c>
      <c r="E3375" s="3">
        <v>5700000</v>
      </c>
      <c r="F3375" s="1">
        <v>2179.73231357552</v>
      </c>
      <c r="H3375" s="1" t="s">
        <v>99</v>
      </c>
      <c r="M3375" s="4">
        <v>2615</v>
      </c>
      <c r="N3375" s="1">
        <v>3292</v>
      </c>
      <c r="O3375" s="1">
        <v>7053</v>
      </c>
      <c r="P3375" s="1">
        <v>3761</v>
      </c>
      <c r="Q3375" s="1" t="s">
        <v>42</v>
      </c>
      <c r="S3375" s="1" t="s">
        <v>42</v>
      </c>
      <c r="T3375" s="1" t="s">
        <v>273</v>
      </c>
      <c r="U3375" s="1">
        <v>612</v>
      </c>
      <c r="V3375" s="5">
        <v>44397</v>
      </c>
      <c r="W3375" s="5">
        <v>43665</v>
      </c>
      <c r="X3375" s="1">
        <v>1</v>
      </c>
      <c r="Y3375" s="1">
        <v>1</v>
      </c>
      <c r="AA3375" s="1">
        <v>5700000</v>
      </c>
      <c r="AB3375" s="1" t="s">
        <v>2193</v>
      </c>
      <c r="AC3375" s="5">
        <v>44371</v>
      </c>
      <c r="AF3375" s="1">
        <v>10075</v>
      </c>
      <c r="AI3375" s="1" t="s">
        <v>182</v>
      </c>
      <c r="AJ3375" s="1">
        <v>2019</v>
      </c>
      <c r="AK3375" s="1" t="s">
        <v>49</v>
      </c>
      <c r="AL3375" s="1">
        <v>72</v>
      </c>
    </row>
    <row r="3376" spans="1:38" x14ac:dyDescent="0.2">
      <c r="A3376" s="2" t="str">
        <f>HYPERLINK("https://www.compass.com/listing/301-east-80th-street-unit-12a-manhattan-ny-10075/829943637039771129/","301 E 80th St, Unit 12A")</f>
        <v>301 E 80th St, Unit 12A</v>
      </c>
      <c r="B3376" s="2" t="str">
        <f t="shared" si="565"/>
        <v>Beckford Tower</v>
      </c>
      <c r="C3376" s="1" t="s">
        <v>82</v>
      </c>
      <c r="D3376" s="1" t="s">
        <v>41</v>
      </c>
      <c r="E3376" s="3">
        <v>5800000</v>
      </c>
      <c r="F3376" s="1">
        <v>2217.97323135755</v>
      </c>
      <c r="H3376" s="1" t="s">
        <v>99</v>
      </c>
      <c r="M3376" s="4">
        <v>2615</v>
      </c>
      <c r="N3376" s="1">
        <v>3308</v>
      </c>
      <c r="O3376" s="1">
        <v>7087</v>
      </c>
      <c r="P3376" s="1">
        <v>3779</v>
      </c>
      <c r="Q3376" s="1" t="s">
        <v>42</v>
      </c>
      <c r="S3376" s="1" t="s">
        <v>42</v>
      </c>
      <c r="T3376" s="1" t="s">
        <v>273</v>
      </c>
      <c r="U3376" s="1">
        <v>611</v>
      </c>
      <c r="V3376" s="5">
        <v>44397</v>
      </c>
      <c r="W3376" s="5">
        <v>43665</v>
      </c>
      <c r="X3376" s="1">
        <v>1</v>
      </c>
      <c r="Y3376" s="1">
        <v>1</v>
      </c>
      <c r="AA3376" s="1">
        <v>5800000</v>
      </c>
      <c r="AB3376" s="1" t="s">
        <v>2194</v>
      </c>
      <c r="AC3376" s="5">
        <v>44370</v>
      </c>
      <c r="AF3376" s="1">
        <v>10075</v>
      </c>
      <c r="AI3376" s="1" t="s">
        <v>182</v>
      </c>
      <c r="AJ3376" s="1">
        <v>2019</v>
      </c>
      <c r="AK3376" s="1" t="s">
        <v>49</v>
      </c>
      <c r="AL3376" s="1">
        <v>72</v>
      </c>
    </row>
    <row r="3377" spans="1:38" x14ac:dyDescent="0.2">
      <c r="A3377" s="2" t="str">
        <f>HYPERLINK("https://www.compass.com/listing/301-east-80th-street-unit-26b-manhattan-ny-10075/563706185025587433/","301 E 80th St, Unit 26B")</f>
        <v>301 E 80th St, Unit 26B</v>
      </c>
      <c r="B3377" s="2" t="str">
        <f t="shared" si="565"/>
        <v>Beckford Tower</v>
      </c>
      <c r="C3377" s="1" t="s">
        <v>82</v>
      </c>
      <c r="D3377" s="1" t="s">
        <v>41</v>
      </c>
      <c r="E3377" s="3">
        <v>10300000</v>
      </c>
      <c r="F3377" s="1">
        <v>2713.3825079030498</v>
      </c>
      <c r="G3377" s="1">
        <v>11.5</v>
      </c>
      <c r="H3377" s="1">
        <v>5</v>
      </c>
      <c r="I3377" s="1">
        <v>6</v>
      </c>
      <c r="J3377" s="1">
        <v>5.5</v>
      </c>
      <c r="K3377" s="1">
        <v>5</v>
      </c>
      <c r="L3377" s="1">
        <v>1</v>
      </c>
      <c r="M3377" s="4">
        <v>3796</v>
      </c>
      <c r="N3377" s="1">
        <v>5122</v>
      </c>
      <c r="O3377" s="1">
        <v>10973</v>
      </c>
      <c r="P3377" s="1">
        <v>5851</v>
      </c>
      <c r="Q3377" s="1" t="s">
        <v>42</v>
      </c>
      <c r="S3377" s="1" t="s">
        <v>42</v>
      </c>
      <c r="T3377" s="1" t="s">
        <v>273</v>
      </c>
      <c r="V3377" s="5">
        <v>44288</v>
      </c>
      <c r="W3377" s="5">
        <v>43740</v>
      </c>
      <c r="X3377" s="1">
        <v>11350000</v>
      </c>
      <c r="Y3377" s="1">
        <v>11350000</v>
      </c>
      <c r="AA3377" s="1">
        <v>10300000</v>
      </c>
      <c r="AB3377" s="1" t="s">
        <v>2195</v>
      </c>
      <c r="AC3377" s="5">
        <v>44378</v>
      </c>
      <c r="AF3377" s="1">
        <v>10075</v>
      </c>
      <c r="AI3377" s="1" t="s">
        <v>182</v>
      </c>
      <c r="AJ3377" s="1">
        <v>2019</v>
      </c>
      <c r="AK3377" s="1" t="s">
        <v>49</v>
      </c>
      <c r="AL3377" s="1">
        <v>72</v>
      </c>
    </row>
    <row r="3378" spans="1:38" x14ac:dyDescent="0.2">
      <c r="A3378" s="2" t="str">
        <f>HYPERLINK("https://www.compass.com/listing/301-east-80th-street-unit-18a-manhattan-ny-10075/563706310041158041/","301 E 80th St, Unit 18A")</f>
        <v>301 E 80th St, Unit 18A</v>
      </c>
      <c r="B3378" s="2" t="str">
        <f t="shared" si="565"/>
        <v>Beckford Tower</v>
      </c>
      <c r="C3378" s="1" t="s">
        <v>82</v>
      </c>
      <c r="D3378" s="1" t="s">
        <v>41</v>
      </c>
      <c r="E3378" s="3">
        <v>7025000</v>
      </c>
      <c r="F3378" s="1">
        <v>2309.3359631821099</v>
      </c>
      <c r="G3378" s="1">
        <v>9</v>
      </c>
      <c r="H3378" s="1">
        <v>4</v>
      </c>
      <c r="I3378" s="1">
        <v>5</v>
      </c>
      <c r="J3378" s="1">
        <v>4.5</v>
      </c>
      <c r="K3378" s="1">
        <v>4</v>
      </c>
      <c r="L3378" s="1">
        <v>1</v>
      </c>
      <c r="M3378" s="4">
        <v>3042</v>
      </c>
      <c r="N3378" s="1">
        <v>3958</v>
      </c>
      <c r="O3378" s="1">
        <v>8479</v>
      </c>
      <c r="P3378" s="1">
        <v>4521</v>
      </c>
      <c r="Q3378" s="1" t="s">
        <v>42</v>
      </c>
      <c r="S3378" s="1" t="s">
        <v>42</v>
      </c>
      <c r="T3378" s="1" t="s">
        <v>273</v>
      </c>
      <c r="V3378" s="5">
        <v>44372</v>
      </c>
      <c r="W3378" s="5">
        <v>43741</v>
      </c>
      <c r="X3378" s="1">
        <v>7500000</v>
      </c>
      <c r="Y3378" s="1">
        <v>7500000</v>
      </c>
      <c r="AA3378" s="1">
        <v>7025000</v>
      </c>
      <c r="AB3378" s="1" t="s">
        <v>2144</v>
      </c>
      <c r="AC3378" s="5">
        <v>44357</v>
      </c>
      <c r="AF3378" s="1">
        <v>10075</v>
      </c>
      <c r="AI3378" s="1" t="s">
        <v>182</v>
      </c>
      <c r="AJ3378" s="1">
        <v>2019</v>
      </c>
      <c r="AK3378" s="1" t="s">
        <v>49</v>
      </c>
      <c r="AL3378" s="1">
        <v>72</v>
      </c>
    </row>
    <row r="3379" spans="1:38" x14ac:dyDescent="0.2">
      <c r="A3379" s="2" t="str">
        <f>HYPERLINK("https://www.compass.com/listing/301-east-80th-street-unit-22b-manhattan-ny-10075/689283821908546913/","301 E 80th St, Unit 22B")</f>
        <v>301 E 80th St, Unit 22B</v>
      </c>
      <c r="B3379" s="2" t="str">
        <f t="shared" si="565"/>
        <v>Beckford Tower</v>
      </c>
      <c r="C3379" s="1" t="s">
        <v>82</v>
      </c>
      <c r="D3379" s="1" t="s">
        <v>41</v>
      </c>
      <c r="E3379" s="3">
        <v>8250000</v>
      </c>
      <c r="F3379" s="1">
        <v>2393.3855526544799</v>
      </c>
      <c r="G3379" s="1">
        <v>9</v>
      </c>
      <c r="H3379" s="1">
        <v>4</v>
      </c>
      <c r="I3379" s="1">
        <v>5</v>
      </c>
      <c r="J3379" s="1">
        <v>4.5</v>
      </c>
      <c r="K3379" s="1">
        <v>4</v>
      </c>
      <c r="L3379" s="1">
        <v>1</v>
      </c>
      <c r="M3379" s="4">
        <v>3447</v>
      </c>
      <c r="N3379" s="1">
        <v>4568</v>
      </c>
      <c r="O3379" s="1">
        <v>9786</v>
      </c>
      <c r="P3379" s="1">
        <v>5218</v>
      </c>
      <c r="Q3379" s="1" t="s">
        <v>42</v>
      </c>
      <c r="S3379" s="1" t="s">
        <v>42</v>
      </c>
      <c r="T3379" s="1" t="s">
        <v>273</v>
      </c>
      <c r="V3379" s="5">
        <v>44280</v>
      </c>
      <c r="W3379" s="5">
        <v>43740</v>
      </c>
      <c r="X3379" s="1">
        <v>9500000</v>
      </c>
      <c r="Y3379" s="1">
        <v>9500000</v>
      </c>
      <c r="AA3379" s="1">
        <v>8250000</v>
      </c>
      <c r="AB3379" s="1" t="s">
        <v>2196</v>
      </c>
      <c r="AC3379" s="5">
        <v>44364</v>
      </c>
      <c r="AF3379" s="1">
        <v>10075</v>
      </c>
      <c r="AI3379" s="1" t="s">
        <v>182</v>
      </c>
      <c r="AJ3379" s="1">
        <v>2019</v>
      </c>
      <c r="AK3379" s="1" t="s">
        <v>49</v>
      </c>
      <c r="AL3379" s="1">
        <v>72</v>
      </c>
    </row>
    <row r="3380" spans="1:38" x14ac:dyDescent="0.2">
      <c r="A3380" s="2" t="str">
        <f>HYPERLINK("https://www.compass.com/listing/301-east-80th-street-unit-17a-manhattan-ny-10075/840321485867477385/","301 E 80th St, Unit 17A")</f>
        <v>301 E 80th St, Unit 17A</v>
      </c>
      <c r="B3380" s="2" t="str">
        <f t="shared" si="565"/>
        <v>Beckford Tower</v>
      </c>
      <c r="C3380" s="1" t="s">
        <v>82</v>
      </c>
      <c r="D3380" s="1" t="s">
        <v>41</v>
      </c>
      <c r="E3380" s="3">
        <v>6903368</v>
      </c>
      <c r="F3380" s="1">
        <v>2269.3519000657402</v>
      </c>
      <c r="G3380" s="1">
        <v>9</v>
      </c>
      <c r="H3380" s="1">
        <v>4</v>
      </c>
      <c r="I3380" s="1">
        <v>5</v>
      </c>
      <c r="J3380" s="1">
        <v>4.5</v>
      </c>
      <c r="K3380" s="1">
        <v>4</v>
      </c>
      <c r="L3380" s="1">
        <v>1</v>
      </c>
      <c r="M3380" s="4">
        <v>3042</v>
      </c>
      <c r="N3380" s="1">
        <v>3940</v>
      </c>
      <c r="O3380" s="1">
        <v>8440</v>
      </c>
      <c r="P3380" s="1">
        <v>4500</v>
      </c>
      <c r="Q3380" s="1" t="s">
        <v>42</v>
      </c>
      <c r="S3380" s="1" t="s">
        <v>42</v>
      </c>
      <c r="T3380" s="1" t="s">
        <v>273</v>
      </c>
      <c r="V3380" s="5">
        <v>44412</v>
      </c>
      <c r="AA3380" s="1">
        <v>6903368.4800000004</v>
      </c>
      <c r="AB3380" s="1" t="s">
        <v>2197</v>
      </c>
      <c r="AC3380" s="5">
        <v>44390</v>
      </c>
      <c r="AF3380" s="1">
        <v>10075</v>
      </c>
      <c r="AI3380" s="1" t="s">
        <v>182</v>
      </c>
      <c r="AJ3380" s="1">
        <v>2019</v>
      </c>
      <c r="AK3380" s="1" t="s">
        <v>49</v>
      </c>
      <c r="AL3380" s="1">
        <v>72</v>
      </c>
    </row>
    <row r="3381" spans="1:38" x14ac:dyDescent="0.2">
      <c r="A3381" s="2" t="str">
        <f>HYPERLINK("https://www.compass.com/listing/20-east-end-avenue-unit-6a-manhattan-ny-10028/29425937560926785/","20 E End Ave, Unit 6A")</f>
        <v>20 E End Ave, Unit 6A</v>
      </c>
      <c r="B3381" s="2" t="str">
        <f>HYPERLINK("https://www.compass.com/building/20-e-end-ave-manhattan-ny-10028/281985490498985157/","20 E End Ave")</f>
        <v>20 E End Ave</v>
      </c>
      <c r="C3381" s="1" t="s">
        <v>82</v>
      </c>
      <c r="D3381" s="1" t="s">
        <v>41</v>
      </c>
      <c r="E3381" s="3">
        <v>6640158</v>
      </c>
      <c r="F3381" s="1">
        <v>2401.5037974683501</v>
      </c>
      <c r="G3381" s="1">
        <v>5</v>
      </c>
      <c r="H3381" s="1">
        <v>3</v>
      </c>
      <c r="I3381" s="1">
        <v>3</v>
      </c>
      <c r="J3381" s="1">
        <v>3.5</v>
      </c>
      <c r="K3381" s="1">
        <v>3</v>
      </c>
      <c r="L3381" s="1">
        <v>1</v>
      </c>
      <c r="M3381" s="4">
        <v>2765</v>
      </c>
      <c r="N3381" s="1">
        <v>3370</v>
      </c>
      <c r="O3381" s="1">
        <v>6973</v>
      </c>
      <c r="P3381" s="1">
        <v>3603</v>
      </c>
      <c r="Q3381" s="1" t="s">
        <v>42</v>
      </c>
      <c r="S3381" s="1" t="s">
        <v>42</v>
      </c>
      <c r="T3381" s="1" t="s">
        <v>273</v>
      </c>
      <c r="U3381" s="1">
        <v>105</v>
      </c>
      <c r="V3381" s="5">
        <v>43649</v>
      </c>
      <c r="W3381" s="5">
        <v>42943</v>
      </c>
      <c r="X3381" s="1">
        <v>6575000</v>
      </c>
      <c r="Y3381" s="1">
        <v>6575000</v>
      </c>
      <c r="Z3381" s="5">
        <v>43048</v>
      </c>
      <c r="AA3381" s="1">
        <v>6640158</v>
      </c>
      <c r="AB3381" s="1" t="s">
        <v>2198</v>
      </c>
      <c r="AC3381" s="5">
        <v>43098</v>
      </c>
      <c r="AF3381" s="1">
        <v>10028</v>
      </c>
      <c r="AJ3381" s="1">
        <v>2017</v>
      </c>
      <c r="AK3381" s="1" t="s">
        <v>46</v>
      </c>
      <c r="AL3381" s="1">
        <v>41</v>
      </c>
    </row>
    <row r="3382" spans="1:38" x14ac:dyDescent="0.2">
      <c r="A3382" s="2" t="str">
        <f>HYPERLINK("https://www.compass.com/listing/301-east-80th-street-unit-5c-manhattan-ny-10075/826193024636546153/","301 E 80th St, Unit 5C")</f>
        <v>301 E 80th St, Unit 5C</v>
      </c>
      <c r="B3382" s="2" t="str">
        <f>HYPERLINK("https://www.compass.com/building/beckford-tower-manhattan-ny/293529721147268613/","Beckford Tower")</f>
        <v>Beckford Tower</v>
      </c>
      <c r="C3382" s="1" t="s">
        <v>82</v>
      </c>
      <c r="D3382" s="1" t="s">
        <v>41</v>
      </c>
      <c r="E3382" s="3">
        <v>5200000</v>
      </c>
      <c r="F3382" s="1">
        <v>2145.2145214521402</v>
      </c>
      <c r="G3382" s="1">
        <v>8</v>
      </c>
      <c r="H3382" s="1">
        <v>3</v>
      </c>
      <c r="I3382" s="1">
        <v>4</v>
      </c>
      <c r="J3382" s="1">
        <v>3.5</v>
      </c>
      <c r="K3382" s="1">
        <v>3</v>
      </c>
      <c r="L3382" s="1">
        <v>1</v>
      </c>
      <c r="M3382" s="4">
        <v>2424</v>
      </c>
      <c r="N3382" s="1">
        <v>2964</v>
      </c>
      <c r="O3382" s="1">
        <v>6350</v>
      </c>
      <c r="P3382" s="1">
        <v>3386</v>
      </c>
      <c r="Q3382" s="1" t="s">
        <v>42</v>
      </c>
      <c r="S3382" s="1" t="s">
        <v>42</v>
      </c>
      <c r="T3382" s="1" t="s">
        <v>273</v>
      </c>
      <c r="U3382" s="1">
        <v>100</v>
      </c>
      <c r="V3382" s="5">
        <v>44395</v>
      </c>
      <c r="W3382" s="5">
        <v>44253</v>
      </c>
      <c r="X3382" s="1">
        <v>1</v>
      </c>
      <c r="Y3382" s="1">
        <v>1</v>
      </c>
      <c r="AA3382" s="1">
        <v>5200000</v>
      </c>
      <c r="AB3382" s="1" t="s">
        <v>2199</v>
      </c>
      <c r="AC3382" s="5">
        <v>44354</v>
      </c>
      <c r="AF3382" s="1">
        <v>10075</v>
      </c>
      <c r="AI3382" s="1" t="s">
        <v>182</v>
      </c>
      <c r="AJ3382" s="1">
        <v>2019</v>
      </c>
      <c r="AK3382" s="1" t="s">
        <v>49</v>
      </c>
      <c r="AL3382" s="1">
        <v>72</v>
      </c>
    </row>
    <row r="3383" spans="1:38" x14ac:dyDescent="0.2">
      <c r="A3383" s="2" t="str">
        <f>HYPERLINK("https://www.compass.com/listing/200-east-94th-street-unit-817-manhattan-ny-10128/29423458240756737/","200 E 94th St, Unit 817")</f>
        <v>200 E 94th St, Unit 817</v>
      </c>
      <c r="B3383" s="2" t="str">
        <f t="shared" ref="B3383:B3384" si="566">HYPERLINK("https://www.compass.com/building/carnegie-park-condominium-manhattan-ny/282049797358118613/","Carnegie Park Condominium")</f>
        <v>Carnegie Park Condominium</v>
      </c>
      <c r="C3383" s="1" t="s">
        <v>82</v>
      </c>
      <c r="D3383" s="1" t="s">
        <v>41</v>
      </c>
      <c r="E3383" s="3">
        <v>2037055</v>
      </c>
      <c r="F3383" s="1">
        <v>992.71709064327399</v>
      </c>
      <c r="H3383" s="1">
        <v>2</v>
      </c>
      <c r="J3383" s="1">
        <v>2</v>
      </c>
      <c r="K3383" s="1">
        <v>2</v>
      </c>
      <c r="M3383" s="4">
        <v>2052</v>
      </c>
      <c r="N3383" s="1">
        <v>1328</v>
      </c>
      <c r="O3383" s="1">
        <v>2482</v>
      </c>
      <c r="P3383" s="1">
        <v>1154</v>
      </c>
      <c r="Q3383" s="1" t="s">
        <v>42</v>
      </c>
      <c r="S3383" s="1" t="s">
        <v>42</v>
      </c>
      <c r="T3383" s="1" t="s">
        <v>273</v>
      </c>
      <c r="AA3383" s="1">
        <v>2037055.47</v>
      </c>
      <c r="AB3383" s="1" t="s">
        <v>2200</v>
      </c>
      <c r="AC3383" s="5">
        <v>42422</v>
      </c>
      <c r="AF3383" s="1">
        <v>10128</v>
      </c>
      <c r="AI3383" s="1" t="s">
        <v>163</v>
      </c>
      <c r="AJ3383" s="1">
        <v>1986</v>
      </c>
      <c r="AK3383" s="1" t="s">
        <v>55</v>
      </c>
      <c r="AL3383" s="1">
        <v>287</v>
      </c>
    </row>
    <row r="3384" spans="1:38" x14ac:dyDescent="0.2">
      <c r="A3384" s="2" t="str">
        <f>HYPERLINK("https://www.compass.com/listing/200-east-94th-street-unit-904-manhattan-ny-10128/29423464699994033/","200 E 94th St, Unit 904")</f>
        <v>200 E 94th St, Unit 904</v>
      </c>
      <c r="B3384" s="2" t="str">
        <f t="shared" si="566"/>
        <v>Carnegie Park Condominium</v>
      </c>
      <c r="C3384" s="1" t="s">
        <v>82</v>
      </c>
      <c r="D3384" s="1" t="s">
        <v>41</v>
      </c>
      <c r="E3384" s="3">
        <v>2196083</v>
      </c>
      <c r="F3384" s="1">
        <v>1560.8267164179099</v>
      </c>
      <c r="H3384" s="1">
        <v>2</v>
      </c>
      <c r="J3384" s="1">
        <v>2</v>
      </c>
      <c r="K3384" s="1">
        <v>2</v>
      </c>
      <c r="M3384" s="4">
        <v>1407</v>
      </c>
      <c r="O3384" s="1">
        <v>1681</v>
      </c>
      <c r="P3384" s="1">
        <v>1681</v>
      </c>
      <c r="Q3384" s="1" t="s">
        <v>42</v>
      </c>
      <c r="S3384" s="1" t="s">
        <v>42</v>
      </c>
      <c r="T3384" s="1" t="s">
        <v>273</v>
      </c>
      <c r="AA3384" s="1">
        <v>2196083.19</v>
      </c>
      <c r="AB3384" s="1" t="s">
        <v>2201</v>
      </c>
      <c r="AC3384" s="5">
        <v>42564</v>
      </c>
      <c r="AF3384" s="1">
        <v>10128</v>
      </c>
      <c r="AI3384" s="1" t="s">
        <v>163</v>
      </c>
      <c r="AJ3384" s="1">
        <v>1986</v>
      </c>
      <c r="AK3384" s="1" t="s">
        <v>55</v>
      </c>
      <c r="AL3384" s="1">
        <v>287</v>
      </c>
    </row>
    <row r="3385" spans="1:38" x14ac:dyDescent="0.2">
      <c r="A3385" s="2" t="str">
        <f>HYPERLINK("https://www.compass.com/listing/77-charlton-street-unit-s3c-manhattan-ny-10014/780142305263360817/","77 Charlton St, Unit S3C")</f>
        <v>77 Charlton St, Unit S3C</v>
      </c>
      <c r="B3385" s="2" t="str">
        <f t="shared" ref="B3385:B3391" si="567">HYPERLINK("https://www.compass.com/building/77-charlton-st-manhattan-ny-10014/282058735872933093/","77 Charlton St")</f>
        <v>77 Charlton St</v>
      </c>
      <c r="C3385" s="1" t="s">
        <v>53</v>
      </c>
      <c r="D3385" s="1" t="s">
        <v>41</v>
      </c>
      <c r="E3385" s="3">
        <v>1937730</v>
      </c>
      <c r="Q3385" s="1" t="s">
        <v>42</v>
      </c>
      <c r="S3385" s="1" t="s">
        <v>42</v>
      </c>
      <c r="T3385" s="1" t="s">
        <v>273</v>
      </c>
      <c r="AA3385" s="1">
        <v>1937729.75</v>
      </c>
      <c r="AB3385" s="1" t="s">
        <v>2202</v>
      </c>
      <c r="AC3385" s="5">
        <v>44316</v>
      </c>
      <c r="AF3385" s="1">
        <v>10014</v>
      </c>
      <c r="AI3385" s="1" t="s">
        <v>48</v>
      </c>
      <c r="AJ3385" s="1">
        <v>2019</v>
      </c>
      <c r="AK3385" s="1" t="s">
        <v>49</v>
      </c>
      <c r="AL3385" s="1">
        <v>161</v>
      </c>
    </row>
    <row r="3386" spans="1:38" x14ac:dyDescent="0.2">
      <c r="A3386" s="2" t="str">
        <f>HYPERLINK("https://www.compass.com/listing/77-charlton-street-unit-s6c-manhattan-ny-10014/800440180007234649/","77 Charlton St, Unit S6C")</f>
        <v>77 Charlton St, Unit S6C</v>
      </c>
      <c r="B3386" s="2" t="str">
        <f t="shared" si="567"/>
        <v>77 Charlton St</v>
      </c>
      <c r="C3386" s="1" t="s">
        <v>53</v>
      </c>
      <c r="D3386" s="1" t="s">
        <v>41</v>
      </c>
      <c r="E3386" s="3">
        <v>2026979</v>
      </c>
      <c r="Q3386" s="1" t="s">
        <v>42</v>
      </c>
      <c r="S3386" s="1" t="s">
        <v>42</v>
      </c>
      <c r="T3386" s="1" t="s">
        <v>273</v>
      </c>
      <c r="AA3386" s="1">
        <v>2026979.36</v>
      </c>
      <c r="AB3386" s="1" t="s">
        <v>2203</v>
      </c>
      <c r="AC3386" s="5">
        <v>44341</v>
      </c>
      <c r="AF3386" s="1">
        <v>10014</v>
      </c>
      <c r="AI3386" s="1" t="s">
        <v>48</v>
      </c>
      <c r="AJ3386" s="1">
        <v>2019</v>
      </c>
      <c r="AK3386" s="1" t="s">
        <v>49</v>
      </c>
      <c r="AL3386" s="1">
        <v>161</v>
      </c>
    </row>
    <row r="3387" spans="1:38" x14ac:dyDescent="0.2">
      <c r="A3387" s="2" t="str">
        <f>HYPERLINK("https://www.compass.com/listing/77-charlton-street-unit-s2b-manhattan-ny-10014/816018218548748705/","77 Charlton St, Unit S2B")</f>
        <v>77 Charlton St, Unit S2B</v>
      </c>
      <c r="B3387" s="2" t="str">
        <f t="shared" si="567"/>
        <v>77 Charlton St</v>
      </c>
      <c r="C3387" s="1" t="s">
        <v>53</v>
      </c>
      <c r="D3387" s="1" t="s">
        <v>41</v>
      </c>
      <c r="E3387" s="3">
        <v>2003916</v>
      </c>
      <c r="Q3387" s="1" t="s">
        <v>42</v>
      </c>
      <c r="S3387" s="1" t="s">
        <v>42</v>
      </c>
      <c r="T3387" s="1" t="s">
        <v>273</v>
      </c>
      <c r="AA3387" s="1">
        <v>2003916</v>
      </c>
      <c r="AB3387" s="1" t="s">
        <v>2204</v>
      </c>
      <c r="AC3387" s="5">
        <v>44358</v>
      </c>
      <c r="AF3387" s="1">
        <v>10014</v>
      </c>
      <c r="AI3387" s="1" t="s">
        <v>48</v>
      </c>
      <c r="AJ3387" s="1">
        <v>2019</v>
      </c>
      <c r="AK3387" s="1" t="s">
        <v>49</v>
      </c>
      <c r="AL3387" s="1">
        <v>161</v>
      </c>
    </row>
    <row r="3388" spans="1:38" x14ac:dyDescent="0.2">
      <c r="A3388" s="2" t="str">
        <f>HYPERLINK("https://www.compass.com/listing/77-charlton-street-unit-s5d-manhattan-ny-10014/822905490676131841/","77 Charlton St, Unit S5D")</f>
        <v>77 Charlton St, Unit S5D</v>
      </c>
      <c r="B3388" s="2" t="str">
        <f t="shared" si="567"/>
        <v>77 Charlton St</v>
      </c>
      <c r="C3388" s="1" t="s">
        <v>53</v>
      </c>
      <c r="D3388" s="1" t="s">
        <v>41</v>
      </c>
      <c r="E3388" s="3">
        <v>2132500</v>
      </c>
      <c r="Q3388" s="1" t="s">
        <v>42</v>
      </c>
      <c r="S3388" s="1" t="s">
        <v>42</v>
      </c>
      <c r="T3388" s="1" t="s">
        <v>273</v>
      </c>
      <c r="AA3388" s="1">
        <v>2132500</v>
      </c>
      <c r="AB3388" s="1" t="s">
        <v>2205</v>
      </c>
      <c r="AC3388" s="5">
        <v>44364</v>
      </c>
      <c r="AF3388" s="1">
        <v>10014</v>
      </c>
      <c r="AI3388" s="1" t="s">
        <v>48</v>
      </c>
      <c r="AJ3388" s="1">
        <v>2019</v>
      </c>
      <c r="AK3388" s="1" t="s">
        <v>49</v>
      </c>
      <c r="AL3388" s="1">
        <v>161</v>
      </c>
    </row>
    <row r="3389" spans="1:38" x14ac:dyDescent="0.2">
      <c r="A3389" s="2" t="str">
        <f>HYPERLINK("https://www.compass.com/listing/77-charlton-street-unit-s4a-manhattan-ny-10014/825822741438016281/","77 Charlton St, Unit S4A")</f>
        <v>77 Charlton St, Unit S4A</v>
      </c>
      <c r="B3389" s="2" t="str">
        <f t="shared" si="567"/>
        <v>77 Charlton St</v>
      </c>
      <c r="C3389" s="1" t="s">
        <v>53</v>
      </c>
      <c r="D3389" s="1" t="s">
        <v>41</v>
      </c>
      <c r="E3389" s="3">
        <v>1983000</v>
      </c>
      <c r="Q3389" s="1" t="s">
        <v>42</v>
      </c>
      <c r="S3389" s="1" t="s">
        <v>42</v>
      </c>
      <c r="T3389" s="1" t="s">
        <v>273</v>
      </c>
      <c r="AA3389" s="1">
        <v>1983000</v>
      </c>
      <c r="AB3389" s="1" t="s">
        <v>2206</v>
      </c>
      <c r="AC3389" s="5">
        <v>44355</v>
      </c>
      <c r="AF3389" s="1">
        <v>10014</v>
      </c>
      <c r="AI3389" s="1" t="s">
        <v>48</v>
      </c>
      <c r="AJ3389" s="1">
        <v>2019</v>
      </c>
      <c r="AK3389" s="1" t="s">
        <v>49</v>
      </c>
      <c r="AL3389" s="1">
        <v>161</v>
      </c>
    </row>
    <row r="3390" spans="1:38" x14ac:dyDescent="0.2">
      <c r="A3390" s="2" t="str">
        <f>HYPERLINK("https://www.compass.com/listing/77-charlton-street-unit-s4c-manhattan-ny-10014/831818848279867593/","77 Charlton St, Unit S4C")</f>
        <v>77 Charlton St, Unit S4C</v>
      </c>
      <c r="B3390" s="2" t="str">
        <f t="shared" si="567"/>
        <v>77 Charlton St</v>
      </c>
      <c r="C3390" s="1" t="s">
        <v>53</v>
      </c>
      <c r="D3390" s="1" t="s">
        <v>41</v>
      </c>
      <c r="E3390" s="3">
        <v>1973369</v>
      </c>
      <c r="Q3390" s="1" t="s">
        <v>42</v>
      </c>
      <c r="S3390" s="1" t="s">
        <v>42</v>
      </c>
      <c r="T3390" s="1" t="s">
        <v>273</v>
      </c>
      <c r="AA3390" s="1">
        <v>1973368.5</v>
      </c>
      <c r="AB3390" s="1" t="s">
        <v>2207</v>
      </c>
      <c r="AC3390" s="5">
        <v>44377</v>
      </c>
      <c r="AF3390" s="1">
        <v>10014</v>
      </c>
      <c r="AI3390" s="1" t="s">
        <v>48</v>
      </c>
      <c r="AJ3390" s="1">
        <v>2019</v>
      </c>
      <c r="AK3390" s="1" t="s">
        <v>49</v>
      </c>
      <c r="AL3390" s="1">
        <v>161</v>
      </c>
    </row>
    <row r="3391" spans="1:38" x14ac:dyDescent="0.2">
      <c r="A3391" s="2" t="str">
        <f>HYPERLINK("https://www.compass.com/listing/77-charlton-street-unit-s3a-manhattan-ny-10014/848290321414035121/","77 Charlton St, Unit S3A")</f>
        <v>77 Charlton St, Unit S3A</v>
      </c>
      <c r="B3391" s="2" t="str">
        <f t="shared" si="567"/>
        <v>77 Charlton St</v>
      </c>
      <c r="C3391" s="1" t="s">
        <v>53</v>
      </c>
      <c r="D3391" s="1" t="s">
        <v>41</v>
      </c>
      <c r="E3391" s="3">
        <v>2026318</v>
      </c>
      <c r="Q3391" s="1" t="s">
        <v>42</v>
      </c>
      <c r="S3391" s="1" t="s">
        <v>42</v>
      </c>
      <c r="T3391" s="1" t="s">
        <v>273</v>
      </c>
      <c r="AA3391" s="1">
        <v>2026317.5</v>
      </c>
      <c r="AB3391" s="1" t="s">
        <v>2208</v>
      </c>
      <c r="AC3391" s="5">
        <v>44406</v>
      </c>
      <c r="AF3391" s="1">
        <v>10014</v>
      </c>
      <c r="AI3391" s="1" t="s">
        <v>48</v>
      </c>
      <c r="AJ3391" s="1">
        <v>2019</v>
      </c>
      <c r="AK3391" s="1" t="s">
        <v>49</v>
      </c>
      <c r="AL3391" s="1">
        <v>161</v>
      </c>
    </row>
    <row r="3392" spans="1:38" x14ac:dyDescent="0.2">
      <c r="A3392" s="2" t="str">
        <f>HYPERLINK("https://www.compass.com/listing/1-west-end-avenue-unit-23f-manhattan-ny-10023/213763177811322401/","1 W End Ave, Unit 23F")</f>
        <v>1 W End Ave, Unit 23F</v>
      </c>
      <c r="B3392" s="2" t="str">
        <f>HYPERLINK("https://www.compass.com/building/1-w-end-ave-manhattan-ny-10023/455676159137755317/","1 W End Ave")</f>
        <v>1 W End Ave</v>
      </c>
      <c r="C3392" s="1" t="s">
        <v>57</v>
      </c>
      <c r="D3392" s="1" t="s">
        <v>41</v>
      </c>
      <c r="E3392" s="3">
        <v>5855543</v>
      </c>
      <c r="F3392" s="1">
        <v>2064.7189703808099</v>
      </c>
      <c r="G3392" s="1">
        <v>6</v>
      </c>
      <c r="H3392" s="1">
        <v>4</v>
      </c>
      <c r="I3392" s="1">
        <v>5</v>
      </c>
      <c r="J3392" s="1">
        <v>4.5</v>
      </c>
      <c r="K3392" s="1">
        <v>4</v>
      </c>
      <c r="L3392" s="1">
        <v>1</v>
      </c>
      <c r="M3392" s="4">
        <v>2836</v>
      </c>
      <c r="N3392" s="1">
        <v>3373</v>
      </c>
      <c r="O3392" s="1">
        <v>3563</v>
      </c>
      <c r="P3392" s="1">
        <v>190</v>
      </c>
      <c r="Q3392" s="1" t="s">
        <v>42</v>
      </c>
      <c r="S3392" s="1" t="s">
        <v>42</v>
      </c>
      <c r="T3392" s="1" t="s">
        <v>273</v>
      </c>
      <c r="U3392" s="1">
        <v>96</v>
      </c>
      <c r="V3392" s="5">
        <v>43694</v>
      </c>
      <c r="W3392" s="5">
        <v>43408</v>
      </c>
      <c r="X3392" s="1">
        <v>6350000</v>
      </c>
      <c r="Y3392" s="1">
        <v>6350000</v>
      </c>
      <c r="Z3392" s="5">
        <v>43504</v>
      </c>
      <c r="AA3392" s="1">
        <v>5855543</v>
      </c>
      <c r="AB3392" s="1" t="s">
        <v>2209</v>
      </c>
      <c r="AC3392" s="5">
        <v>43617</v>
      </c>
      <c r="AF3392" s="1">
        <v>10023</v>
      </c>
      <c r="AI3392" s="1" t="s">
        <v>60</v>
      </c>
      <c r="AJ3392" s="1">
        <v>2017</v>
      </c>
      <c r="AK3392" s="1" t="s">
        <v>55</v>
      </c>
      <c r="AL3392" s="1">
        <v>246</v>
      </c>
    </row>
    <row r="3393" spans="1:38" x14ac:dyDescent="0.2">
      <c r="A3393" s="2" t="str">
        <f>HYPERLINK("https://www.compass.com/listing/360-east-89th-street-unit-30a-manhattan-ny-10128/29424466442375377/","360 E 89th St, Unit 30A")</f>
        <v>360 E 89th St, Unit 30A</v>
      </c>
      <c r="B3393" s="2" t="str">
        <f t="shared" ref="B3393:B3394" si="568">HYPERLINK("https://www.compass.com/building/citizen360-manhattan-ny/282052027553444853/","Citizen360")</f>
        <v>Citizen360</v>
      </c>
      <c r="C3393" s="1" t="s">
        <v>82</v>
      </c>
      <c r="D3393" s="1" t="s">
        <v>41</v>
      </c>
      <c r="E3393" s="3">
        <v>6484000</v>
      </c>
      <c r="F3393" s="1">
        <v>2265.5485674353599</v>
      </c>
      <c r="G3393" s="1">
        <v>6</v>
      </c>
      <c r="H3393" s="1">
        <v>4</v>
      </c>
      <c r="I3393" s="1">
        <v>4</v>
      </c>
      <c r="J3393" s="1">
        <v>4.5</v>
      </c>
      <c r="K3393" s="1">
        <v>4</v>
      </c>
      <c r="L3393" s="1">
        <v>1</v>
      </c>
      <c r="M3393" s="4">
        <v>2862</v>
      </c>
      <c r="N3393" s="1">
        <v>2998</v>
      </c>
      <c r="O3393" s="1">
        <v>6484</v>
      </c>
      <c r="P3393" s="1">
        <v>3486</v>
      </c>
      <c r="Q3393" s="1" t="s">
        <v>42</v>
      </c>
      <c r="S3393" s="1" t="s">
        <v>42</v>
      </c>
      <c r="T3393" s="1" t="s">
        <v>273</v>
      </c>
      <c r="V3393" s="5">
        <v>43641</v>
      </c>
      <c r="W3393" s="5">
        <v>42769</v>
      </c>
      <c r="X3393" s="1">
        <v>6595000</v>
      </c>
      <c r="Y3393" s="1">
        <v>6595000</v>
      </c>
      <c r="Z3393" s="5">
        <v>42769</v>
      </c>
      <c r="AA3393" s="1">
        <v>6484000</v>
      </c>
      <c r="AB3393" s="1" t="s">
        <v>2210</v>
      </c>
      <c r="AC3393" s="5">
        <v>43108</v>
      </c>
      <c r="AF3393" s="1">
        <v>10128</v>
      </c>
      <c r="AJ3393" s="1">
        <v>2017</v>
      </c>
      <c r="AK3393" s="1" t="s">
        <v>108</v>
      </c>
      <c r="AL3393" s="1">
        <v>82</v>
      </c>
    </row>
    <row r="3394" spans="1:38" x14ac:dyDescent="0.2">
      <c r="A3394" s="2" t="str">
        <f>HYPERLINK("https://www.compass.com/listing/360-east-89th-street-unit-ph-32a-manhattan-ny-10128/4864015600831184385/","360 E 89th St, Unit PH/32A")</f>
        <v>360 E 89th St, Unit PH/32A</v>
      </c>
      <c r="B3394" s="2" t="str">
        <f t="shared" si="568"/>
        <v>Citizen360</v>
      </c>
      <c r="C3394" s="1" t="s">
        <v>82</v>
      </c>
      <c r="D3394" s="1" t="s">
        <v>41</v>
      </c>
      <c r="E3394" s="3">
        <v>20370000</v>
      </c>
      <c r="F3394" s="1">
        <v>2741.5881561238202</v>
      </c>
      <c r="G3394" s="1">
        <v>8</v>
      </c>
      <c r="H3394" s="1">
        <v>6</v>
      </c>
      <c r="I3394" s="1">
        <v>8</v>
      </c>
      <c r="J3394" s="1">
        <v>7.5</v>
      </c>
      <c r="K3394" s="1">
        <v>7</v>
      </c>
      <c r="L3394" s="1">
        <v>1</v>
      </c>
      <c r="M3394" s="4">
        <v>7430</v>
      </c>
      <c r="N3394" s="1">
        <v>8542</v>
      </c>
      <c r="O3394" s="1">
        <v>18477</v>
      </c>
      <c r="P3394" s="1">
        <v>9935</v>
      </c>
      <c r="Q3394" s="1" t="s">
        <v>42</v>
      </c>
      <c r="S3394" s="1" t="s">
        <v>42</v>
      </c>
      <c r="T3394" s="1" t="s">
        <v>273</v>
      </c>
      <c r="U3394" s="1">
        <v>547</v>
      </c>
      <c r="V3394" s="5">
        <v>43412</v>
      </c>
      <c r="W3394" s="5">
        <v>42621</v>
      </c>
      <c r="X3394" s="1">
        <v>20558628</v>
      </c>
      <c r="Y3394" s="1">
        <v>20370000</v>
      </c>
      <c r="AA3394" s="1">
        <v>20370000</v>
      </c>
      <c r="AB3394" s="1" t="s">
        <v>275</v>
      </c>
      <c r="AC3394" s="5">
        <v>43168</v>
      </c>
      <c r="AF3394" s="1">
        <v>10128</v>
      </c>
      <c r="AJ3394" s="1">
        <v>2017</v>
      </c>
      <c r="AK3394" s="1" t="s">
        <v>108</v>
      </c>
      <c r="AL3394" s="1">
        <v>82</v>
      </c>
    </row>
    <row r="3395" spans="1:38" x14ac:dyDescent="0.2">
      <c r="A3395" s="2" t="str">
        <f>HYPERLINK("https://www.compass.com/listing/301-east-80th-street-unit-9a-manhattan-ny-10075/817122479908546713/","301 E 80th St, Unit 9A")</f>
        <v>301 E 80th St, Unit 9A</v>
      </c>
      <c r="B3395" s="2" t="str">
        <f t="shared" ref="B3395:B3396" si="569">HYPERLINK("https://www.compass.com/building/beckford-tower-manhattan-ny/293529721147268613/","Beckford Tower")</f>
        <v>Beckford Tower</v>
      </c>
      <c r="C3395" s="1" t="s">
        <v>82</v>
      </c>
      <c r="D3395" s="1" t="s">
        <v>41</v>
      </c>
      <c r="E3395" s="3">
        <v>5375000</v>
      </c>
      <c r="F3395" s="1">
        <v>2055.4493307839298</v>
      </c>
      <c r="G3395" s="1">
        <v>7.5</v>
      </c>
      <c r="H3395" s="1">
        <v>3</v>
      </c>
      <c r="I3395" s="1">
        <v>4</v>
      </c>
      <c r="J3395" s="1">
        <v>3.5</v>
      </c>
      <c r="K3395" s="1">
        <v>3</v>
      </c>
      <c r="L3395" s="1">
        <v>1</v>
      </c>
      <c r="M3395" s="4">
        <v>2615</v>
      </c>
      <c r="N3395" s="1">
        <v>3261</v>
      </c>
      <c r="O3395" s="1">
        <v>6986</v>
      </c>
      <c r="P3395" s="1">
        <v>3725</v>
      </c>
      <c r="Q3395" s="1" t="s">
        <v>42</v>
      </c>
      <c r="S3395" s="1" t="s">
        <v>42</v>
      </c>
      <c r="T3395" s="1" t="s">
        <v>273</v>
      </c>
      <c r="U3395" s="1">
        <v>611</v>
      </c>
      <c r="V3395" s="5">
        <v>44397</v>
      </c>
      <c r="W3395" s="5">
        <v>43665</v>
      </c>
      <c r="X3395" s="1">
        <v>1</v>
      </c>
      <c r="Y3395" s="1">
        <v>1</v>
      </c>
      <c r="AA3395" s="1">
        <v>5375000</v>
      </c>
      <c r="AB3395" s="1" t="s">
        <v>2211</v>
      </c>
      <c r="AC3395" s="5">
        <v>44370</v>
      </c>
      <c r="AF3395" s="1">
        <v>10075</v>
      </c>
      <c r="AI3395" s="1" t="s">
        <v>182</v>
      </c>
      <c r="AJ3395" s="1">
        <v>2019</v>
      </c>
      <c r="AK3395" s="1" t="s">
        <v>49</v>
      </c>
      <c r="AL3395" s="1">
        <v>72</v>
      </c>
    </row>
    <row r="3396" spans="1:38" x14ac:dyDescent="0.2">
      <c r="A3396" s="2" t="str">
        <f>HYPERLINK("https://www.compass.com/listing/301-east-80th-street-unit-10a-manhattan-ny-10075/829995525327910337/","301 E 80th St, Unit 10A")</f>
        <v>301 E 80th St, Unit 10A</v>
      </c>
      <c r="B3396" s="2" t="str">
        <f t="shared" si="569"/>
        <v>Beckford Tower</v>
      </c>
      <c r="C3396" s="1" t="s">
        <v>82</v>
      </c>
      <c r="D3396" s="1" t="s">
        <v>41</v>
      </c>
      <c r="E3396" s="3">
        <v>5553368</v>
      </c>
      <c r="F3396" s="1">
        <v>2123.6590745697899</v>
      </c>
      <c r="G3396" s="1">
        <v>7.5</v>
      </c>
      <c r="H3396" s="1">
        <v>3</v>
      </c>
      <c r="I3396" s="1">
        <v>4</v>
      </c>
      <c r="J3396" s="1">
        <v>3.5</v>
      </c>
      <c r="K3396" s="1">
        <v>3</v>
      </c>
      <c r="L3396" s="1">
        <v>1</v>
      </c>
      <c r="M3396" s="4">
        <v>2615</v>
      </c>
      <c r="N3396" s="1">
        <v>3277</v>
      </c>
      <c r="O3396" s="1">
        <v>7020</v>
      </c>
      <c r="P3396" s="1">
        <v>3743</v>
      </c>
      <c r="Q3396" s="1" t="s">
        <v>42</v>
      </c>
      <c r="S3396" s="1" t="s">
        <v>42</v>
      </c>
      <c r="T3396" s="1" t="s">
        <v>273</v>
      </c>
      <c r="U3396" s="1">
        <v>619</v>
      </c>
      <c r="V3396" s="5">
        <v>44397</v>
      </c>
      <c r="W3396" s="5">
        <v>43665</v>
      </c>
      <c r="X3396" s="1">
        <v>1</v>
      </c>
      <c r="Y3396" s="1">
        <v>1</v>
      </c>
      <c r="AA3396" s="1">
        <v>5553368.4800000004</v>
      </c>
      <c r="AB3396" s="1" t="s">
        <v>2212</v>
      </c>
      <c r="AC3396" s="5">
        <v>44378</v>
      </c>
      <c r="AF3396" s="1">
        <v>10075</v>
      </c>
      <c r="AI3396" s="1" t="s">
        <v>182</v>
      </c>
      <c r="AJ3396" s="1">
        <v>2019</v>
      </c>
      <c r="AK3396" s="1" t="s">
        <v>49</v>
      </c>
      <c r="AL3396" s="1">
        <v>72</v>
      </c>
    </row>
    <row r="3397" spans="1:38" x14ac:dyDescent="0.2">
      <c r="A3397" s="2" t="str">
        <f>HYPERLINK("https://www.compass.com/listing/77-charlton-street-unit-s4f-manhattan-ny-10014/792461835412288121/","77 Charlton St, Unit S4F")</f>
        <v>77 Charlton St, Unit S4F</v>
      </c>
      <c r="B3397" s="2" t="str">
        <f t="shared" ref="B3397:B3399" si="570">HYPERLINK("https://www.compass.com/building/77-charlton-st-manhattan-ny-10014/282058735872933093/","77 Charlton St")</f>
        <v>77 Charlton St</v>
      </c>
      <c r="C3397" s="1" t="s">
        <v>53</v>
      </c>
      <c r="D3397" s="1" t="s">
        <v>41</v>
      </c>
      <c r="E3397" s="3">
        <v>1194407</v>
      </c>
      <c r="Q3397" s="1" t="s">
        <v>42</v>
      </c>
      <c r="S3397" s="1" t="s">
        <v>42</v>
      </c>
      <c r="T3397" s="1" t="s">
        <v>273</v>
      </c>
      <c r="AA3397" s="1">
        <v>1194407.25</v>
      </c>
      <c r="AB3397" s="1" t="s">
        <v>2213</v>
      </c>
      <c r="AC3397" s="5">
        <v>44329</v>
      </c>
      <c r="AF3397" s="1">
        <v>10014</v>
      </c>
      <c r="AI3397" s="1" t="s">
        <v>48</v>
      </c>
      <c r="AJ3397" s="1">
        <v>2019</v>
      </c>
      <c r="AK3397" s="1" t="s">
        <v>49</v>
      </c>
      <c r="AL3397" s="1">
        <v>161</v>
      </c>
    </row>
    <row r="3398" spans="1:38" x14ac:dyDescent="0.2">
      <c r="A3398" s="2" t="str">
        <f>HYPERLINK("https://www.compass.com/listing/77-charlton-street-unit-n8g-manhattan-ny-10014/822905494782322449/","77 Charlton St, Unit N8G")</f>
        <v>77 Charlton St, Unit N8G</v>
      </c>
      <c r="B3398" s="2" t="str">
        <f t="shared" si="570"/>
        <v>77 Charlton St</v>
      </c>
      <c r="C3398" s="1" t="s">
        <v>53</v>
      </c>
      <c r="D3398" s="1" t="s">
        <v>41</v>
      </c>
      <c r="E3398" s="3">
        <v>1352181</v>
      </c>
      <c r="Q3398" s="1" t="s">
        <v>42</v>
      </c>
      <c r="S3398" s="1" t="s">
        <v>42</v>
      </c>
      <c r="T3398" s="1" t="s">
        <v>273</v>
      </c>
      <c r="AA3398" s="1">
        <v>1352181.25</v>
      </c>
      <c r="AB3398" s="1" t="s">
        <v>2214</v>
      </c>
      <c r="AC3398" s="5">
        <v>44351</v>
      </c>
      <c r="AF3398" s="1">
        <v>10014</v>
      </c>
      <c r="AI3398" s="1" t="s">
        <v>48</v>
      </c>
      <c r="AJ3398" s="1">
        <v>2019</v>
      </c>
      <c r="AK3398" s="1" t="s">
        <v>49</v>
      </c>
      <c r="AL3398" s="1">
        <v>161</v>
      </c>
    </row>
    <row r="3399" spans="1:38" x14ac:dyDescent="0.2">
      <c r="A3399" s="2" t="str">
        <f>HYPERLINK("https://www.compass.com/listing/77-charlton-street-unit-n11f-manhattan-ny-10014/831819185246061049/","77 Charlton St, Unit N11F")</f>
        <v>77 Charlton St, Unit N11F</v>
      </c>
      <c r="B3399" s="2" t="str">
        <f t="shared" si="570"/>
        <v>77 Charlton St</v>
      </c>
      <c r="C3399" s="1" t="s">
        <v>53</v>
      </c>
      <c r="D3399" s="1" t="s">
        <v>41</v>
      </c>
      <c r="E3399" s="3">
        <v>1272813</v>
      </c>
      <c r="Q3399" s="1" t="s">
        <v>42</v>
      </c>
      <c r="S3399" s="1" t="s">
        <v>42</v>
      </c>
      <c r="T3399" s="1" t="s">
        <v>273</v>
      </c>
      <c r="AA3399" s="1">
        <v>1272812.5</v>
      </c>
      <c r="AB3399" s="1" t="s">
        <v>2215</v>
      </c>
      <c r="AC3399" s="5">
        <v>44316</v>
      </c>
      <c r="AF3399" s="1">
        <v>10014</v>
      </c>
      <c r="AI3399" s="1" t="s">
        <v>48</v>
      </c>
      <c r="AJ3399" s="1">
        <v>2019</v>
      </c>
      <c r="AK3399" s="1" t="s">
        <v>49</v>
      </c>
      <c r="AL3399" s="1">
        <v>161</v>
      </c>
    </row>
    <row r="3400" spans="1:38" x14ac:dyDescent="0.2">
      <c r="A3400" s="2" t="str">
        <f>HYPERLINK("https://www.compass.com/listing/200-east-94th-street-unit-718-manhattan-ny-10128/29423451873812161/","200 E 94th St, Unit 718")</f>
        <v>200 E 94th St, Unit 718</v>
      </c>
      <c r="B3400" s="2" t="str">
        <f>HYPERLINK("https://www.compass.com/building/carnegie-park-condominium-manhattan-ny/282049797358118613/","Carnegie Park Condominium")</f>
        <v>Carnegie Park Condominium</v>
      </c>
      <c r="C3400" s="1" t="s">
        <v>82</v>
      </c>
      <c r="D3400" s="1" t="s">
        <v>41</v>
      </c>
      <c r="E3400" s="3">
        <v>2374794</v>
      </c>
      <c r="F3400" s="1">
        <v>1558.26408136482</v>
      </c>
      <c r="H3400" s="1">
        <v>3</v>
      </c>
      <c r="J3400" s="1">
        <v>3</v>
      </c>
      <c r="K3400" s="1">
        <v>3</v>
      </c>
      <c r="M3400" s="4">
        <v>1524</v>
      </c>
      <c r="N3400" s="1">
        <v>1774</v>
      </c>
      <c r="O3400" s="1">
        <v>3524</v>
      </c>
      <c r="P3400" s="1">
        <v>1750</v>
      </c>
      <c r="Q3400" s="1" t="s">
        <v>42</v>
      </c>
      <c r="S3400" s="1" t="s">
        <v>42</v>
      </c>
      <c r="T3400" s="1" t="s">
        <v>273</v>
      </c>
      <c r="AA3400" s="1">
        <v>2374794.46</v>
      </c>
      <c r="AB3400" s="1" t="s">
        <v>2216</v>
      </c>
      <c r="AC3400" s="5">
        <v>42411</v>
      </c>
      <c r="AF3400" s="1">
        <v>10128</v>
      </c>
      <c r="AI3400" s="1" t="s">
        <v>163</v>
      </c>
      <c r="AJ3400" s="1">
        <v>1986</v>
      </c>
      <c r="AK3400" s="1" t="s">
        <v>55</v>
      </c>
      <c r="AL3400" s="1">
        <v>287</v>
      </c>
    </row>
    <row r="3401" spans="1:38" x14ac:dyDescent="0.2">
      <c r="A3401" s="2" t="str">
        <f>HYPERLINK("https://www.compass.com/listing/1-west-end-avenue-unit-36c-manhattan-ny-10023/457678316401995745/","1 W End Ave, Unit 36C")</f>
        <v>1 W End Ave, Unit 36C</v>
      </c>
      <c r="B3401" s="2" t="str">
        <f>HYPERLINK("https://www.compass.com/building/1-w-end-ave-manhattan-ny-10023/455676159137755317/","1 W End Ave")</f>
        <v>1 W End Ave</v>
      </c>
      <c r="C3401" s="1" t="s">
        <v>57</v>
      </c>
      <c r="D3401" s="1" t="s">
        <v>41</v>
      </c>
      <c r="E3401" s="3">
        <v>5512050</v>
      </c>
      <c r="F3401" s="1">
        <v>2455.2561247215999</v>
      </c>
      <c r="G3401" s="1">
        <v>6</v>
      </c>
      <c r="H3401" s="1">
        <v>3</v>
      </c>
      <c r="I3401" s="1">
        <v>4</v>
      </c>
      <c r="J3401" s="1">
        <v>3.5</v>
      </c>
      <c r="K3401" s="1">
        <v>3</v>
      </c>
      <c r="L3401" s="1">
        <v>1</v>
      </c>
      <c r="M3401" s="4">
        <v>2245</v>
      </c>
      <c r="N3401" s="1">
        <v>2632</v>
      </c>
      <c r="O3401" s="1">
        <v>2780</v>
      </c>
      <c r="P3401" s="1">
        <v>148</v>
      </c>
      <c r="Q3401" s="1" t="s">
        <v>42</v>
      </c>
      <c r="S3401" s="1" t="s">
        <v>42</v>
      </c>
      <c r="T3401" s="1" t="s">
        <v>273</v>
      </c>
      <c r="U3401" s="1">
        <v>1</v>
      </c>
      <c r="V3401" s="5">
        <v>44015</v>
      </c>
      <c r="W3401" s="5">
        <v>43882</v>
      </c>
      <c r="X3401" s="1">
        <v>5925000</v>
      </c>
      <c r="Y3401" s="1">
        <v>5925000</v>
      </c>
      <c r="Z3401" s="5">
        <v>43884</v>
      </c>
      <c r="AA3401" s="1">
        <v>5512050</v>
      </c>
      <c r="AB3401" s="1" t="s">
        <v>2217</v>
      </c>
      <c r="AC3401" s="5">
        <v>43916</v>
      </c>
      <c r="AF3401" s="1">
        <v>10023</v>
      </c>
      <c r="AI3401" s="1" t="s">
        <v>102</v>
      </c>
      <c r="AJ3401" s="1">
        <v>2017</v>
      </c>
      <c r="AK3401" s="1" t="s">
        <v>46</v>
      </c>
      <c r="AL3401" s="1">
        <v>246</v>
      </c>
    </row>
    <row r="3402" spans="1:38" x14ac:dyDescent="0.2">
      <c r="A3402" s="2" t="str">
        <f>HYPERLINK("https://www.compass.com/listing/565-broome-street-unit-s12d-manhattan-ny-10013/29514994957734001/","565 Broome St, Unit S12D")</f>
        <v>565 Broome St, Unit S12D</v>
      </c>
      <c r="B3402" s="2" t="str">
        <f t="shared" ref="B3402:B3403" si="571">HYPERLINK("https://www.compass.com/building/565-broome-soho-manhattan-ny/292813251698267109/","565 Broome Soho")</f>
        <v>565 Broome Soho</v>
      </c>
      <c r="C3402" s="1" t="s">
        <v>53</v>
      </c>
      <c r="D3402" s="1" t="s">
        <v>41</v>
      </c>
      <c r="E3402" s="3">
        <v>2330171</v>
      </c>
      <c r="F3402" s="1">
        <v>2546.6347540983602</v>
      </c>
      <c r="G3402" s="1">
        <v>3</v>
      </c>
      <c r="H3402" s="1">
        <v>1</v>
      </c>
      <c r="I3402" s="1">
        <v>2</v>
      </c>
      <c r="J3402" s="1">
        <v>1.5</v>
      </c>
      <c r="K3402" s="1">
        <v>1</v>
      </c>
      <c r="L3402" s="1">
        <v>1</v>
      </c>
      <c r="M3402" s="1">
        <v>915</v>
      </c>
      <c r="N3402" s="1">
        <v>1370</v>
      </c>
      <c r="O3402" s="1">
        <v>2880</v>
      </c>
      <c r="P3402" s="1">
        <v>1510</v>
      </c>
      <c r="Q3402" s="1" t="s">
        <v>42</v>
      </c>
      <c r="S3402" s="1" t="s">
        <v>42</v>
      </c>
      <c r="T3402" s="1" t="s">
        <v>273</v>
      </c>
      <c r="U3402" s="1">
        <v>30</v>
      </c>
      <c r="V3402" s="5">
        <v>44342</v>
      </c>
      <c r="W3402" s="5">
        <v>42612</v>
      </c>
      <c r="X3402" s="1">
        <v>2275000</v>
      </c>
      <c r="Y3402" s="1">
        <v>2275000</v>
      </c>
      <c r="Z3402" s="5">
        <v>42643</v>
      </c>
      <c r="AA3402" s="1">
        <v>2330170.7999999998</v>
      </c>
      <c r="AB3402" s="1" t="s">
        <v>2218</v>
      </c>
      <c r="AC3402" s="5">
        <v>43608</v>
      </c>
      <c r="AF3402" s="1">
        <v>10013</v>
      </c>
      <c r="AI3402" s="1" t="s">
        <v>48</v>
      </c>
      <c r="AJ3402" s="1">
        <v>2019</v>
      </c>
      <c r="AK3402" s="1" t="s">
        <v>46</v>
      </c>
      <c r="AL3402" s="1">
        <v>115</v>
      </c>
    </row>
    <row r="3403" spans="1:38" x14ac:dyDescent="0.2">
      <c r="A3403" s="2" t="str">
        <f>HYPERLINK("https://www.compass.com/listing/565-broome-street-unit-n9a-manhattan-ny-10013/29514995209433169/","565 Broome St, Unit N9A")</f>
        <v>565 Broome St, Unit N9A</v>
      </c>
      <c r="B3403" s="2" t="str">
        <f t="shared" si="571"/>
        <v>565 Broome Soho</v>
      </c>
      <c r="C3403" s="1" t="s">
        <v>53</v>
      </c>
      <c r="D3403" s="1" t="s">
        <v>41</v>
      </c>
      <c r="E3403" s="3">
        <v>2216085</v>
      </c>
      <c r="F3403" s="1">
        <v>2238.4699090908998</v>
      </c>
      <c r="G3403" s="1">
        <v>3</v>
      </c>
      <c r="H3403" s="1">
        <v>1</v>
      </c>
      <c r="I3403" s="1">
        <v>2</v>
      </c>
      <c r="J3403" s="1">
        <v>1.5</v>
      </c>
      <c r="K3403" s="1">
        <v>1</v>
      </c>
      <c r="L3403" s="1">
        <v>1</v>
      </c>
      <c r="M3403" s="1">
        <v>990</v>
      </c>
      <c r="N3403" s="1">
        <v>1467</v>
      </c>
      <c r="O3403" s="1">
        <v>3085</v>
      </c>
      <c r="P3403" s="1">
        <v>1618</v>
      </c>
      <c r="Q3403" s="1" t="s">
        <v>42</v>
      </c>
      <c r="S3403" s="1" t="s">
        <v>42</v>
      </c>
      <c r="T3403" s="1" t="s">
        <v>273</v>
      </c>
      <c r="U3403" s="1">
        <v>31</v>
      </c>
      <c r="V3403" s="5">
        <v>44342</v>
      </c>
      <c r="W3403" s="5">
        <v>42611</v>
      </c>
      <c r="X3403" s="1">
        <v>2350000</v>
      </c>
      <c r="Y3403" s="1">
        <v>2350000</v>
      </c>
      <c r="Z3403" s="5">
        <v>42643</v>
      </c>
      <c r="AA3403" s="1">
        <v>2216085.21</v>
      </c>
      <c r="AB3403" s="1" t="s">
        <v>2219</v>
      </c>
      <c r="AC3403" s="5">
        <v>43600</v>
      </c>
      <c r="AF3403" s="1">
        <v>10013</v>
      </c>
      <c r="AI3403" s="1" t="s">
        <v>48</v>
      </c>
      <c r="AJ3403" s="1">
        <v>2019</v>
      </c>
      <c r="AK3403" s="1" t="s">
        <v>46</v>
      </c>
      <c r="AL3403" s="1">
        <v>115</v>
      </c>
    </row>
    <row r="3404" spans="1:38" x14ac:dyDescent="0.2">
      <c r="A3404" s="2" t="str">
        <f>HYPERLINK("https://www.compass.com/listing/300-east-64th-street-unit-20d-manhattan-ny-10065/313594907813725537/","300 E 64th St, Unit 20D")</f>
        <v>300 E 64th St, Unit 20D</v>
      </c>
      <c r="B3404" s="2" t="str">
        <f>HYPERLINK("https://www.compass.com/building/300-e-64th-st-manhattan-ny-10065/282038617012979925/","300 E 64th St")</f>
        <v>300 E 64th St</v>
      </c>
      <c r="C3404" s="1" t="s">
        <v>82</v>
      </c>
      <c r="D3404" s="1" t="s">
        <v>41</v>
      </c>
      <c r="E3404" s="3">
        <v>1150000</v>
      </c>
      <c r="F3404" s="1">
        <v>1470.5882352941101</v>
      </c>
      <c r="G3404" s="1">
        <v>3</v>
      </c>
      <c r="H3404" s="1">
        <v>1</v>
      </c>
      <c r="I3404" s="1">
        <v>1</v>
      </c>
      <c r="J3404" s="1">
        <v>1</v>
      </c>
      <c r="K3404" s="1">
        <v>1</v>
      </c>
      <c r="M3404" s="1">
        <v>782</v>
      </c>
      <c r="N3404" s="1">
        <v>985</v>
      </c>
      <c r="O3404" s="1">
        <v>2130</v>
      </c>
      <c r="P3404" s="1">
        <v>1145</v>
      </c>
      <c r="Q3404" s="1" t="s">
        <v>42</v>
      </c>
      <c r="S3404" s="1" t="s">
        <v>42</v>
      </c>
      <c r="T3404" s="1" t="s">
        <v>273</v>
      </c>
      <c r="U3404" s="1">
        <v>217</v>
      </c>
      <c r="V3404" s="5">
        <v>43978</v>
      </c>
      <c r="W3404" s="5">
        <v>43684</v>
      </c>
      <c r="X3404" s="1">
        <v>1225000</v>
      </c>
      <c r="Y3404" s="1">
        <v>1100000</v>
      </c>
      <c r="Z3404" s="5">
        <v>43901</v>
      </c>
      <c r="AA3404" s="1">
        <v>1150000</v>
      </c>
      <c r="AB3404" s="1" t="s">
        <v>2220</v>
      </c>
      <c r="AC3404" s="5">
        <v>43971</v>
      </c>
      <c r="AF3404" s="1">
        <v>10065</v>
      </c>
      <c r="AI3404" s="1" t="s">
        <v>189</v>
      </c>
      <c r="AJ3404" s="1">
        <v>1996</v>
      </c>
      <c r="AK3404" s="1" t="s">
        <v>46</v>
      </c>
      <c r="AL3404" s="1">
        <v>103</v>
      </c>
    </row>
    <row r="3405" spans="1:38" x14ac:dyDescent="0.2">
      <c r="A3405" s="2" t="str">
        <f>HYPERLINK("https://www.compass.com/listing/301-east-80th-street-unit-17b-manhattan-ny-10075/831113767796875513/","301 E 80th St, Unit 17B")</f>
        <v>301 E 80th St, Unit 17B</v>
      </c>
      <c r="B3405" s="2" t="str">
        <f>HYPERLINK("https://www.compass.com/building/beckford-tower-manhattan-ny/293529721147268613/","Beckford Tower")</f>
        <v>Beckford Tower</v>
      </c>
      <c r="C3405" s="1" t="s">
        <v>82</v>
      </c>
      <c r="D3405" s="1" t="s">
        <v>41</v>
      </c>
      <c r="E3405" s="3">
        <v>7750000</v>
      </c>
      <c r="F3405" s="1">
        <v>2247.6798143851502</v>
      </c>
      <c r="G3405" s="1">
        <v>10</v>
      </c>
      <c r="H3405" s="1">
        <v>4</v>
      </c>
      <c r="I3405" s="1">
        <v>5</v>
      </c>
      <c r="J3405" s="1">
        <v>4.5</v>
      </c>
      <c r="K3405" s="1">
        <v>4</v>
      </c>
      <c r="L3405" s="1">
        <v>1</v>
      </c>
      <c r="M3405" s="4">
        <v>3448</v>
      </c>
      <c r="N3405" s="1">
        <v>4466</v>
      </c>
      <c r="O3405" s="1">
        <v>9567</v>
      </c>
      <c r="P3405" s="1">
        <v>5101</v>
      </c>
      <c r="Q3405" s="1" t="s">
        <v>42</v>
      </c>
      <c r="S3405" s="1" t="s">
        <v>42</v>
      </c>
      <c r="T3405" s="1" t="s">
        <v>273</v>
      </c>
      <c r="V3405" s="5">
        <v>44399</v>
      </c>
      <c r="AA3405" s="1">
        <v>7750000</v>
      </c>
      <c r="AB3405" s="1" t="s">
        <v>275</v>
      </c>
      <c r="AC3405" s="5">
        <v>44362</v>
      </c>
      <c r="AF3405" s="1">
        <v>10075</v>
      </c>
      <c r="AI3405" s="1" t="s">
        <v>182</v>
      </c>
      <c r="AJ3405" s="1">
        <v>2019</v>
      </c>
      <c r="AK3405" s="1" t="s">
        <v>49</v>
      </c>
      <c r="AL3405" s="1">
        <v>72</v>
      </c>
    </row>
    <row r="3406" spans="1:38" x14ac:dyDescent="0.2">
      <c r="A3406" s="2" t="str">
        <f>HYPERLINK("https://www.compass.com/listing/20-east-end-avenue-unit-3c-manhattan-ny-10028/29425933182148913/","20 E End Ave, Unit 3C")</f>
        <v>20 E End Ave, Unit 3C</v>
      </c>
      <c r="B3406" s="2" t="str">
        <f>HYPERLINK("https://www.compass.com/building/20-e-end-ave-manhattan-ny-10028/281985490498985157/","20 E End Ave")</f>
        <v>20 E End Ave</v>
      </c>
      <c r="C3406" s="1" t="s">
        <v>82</v>
      </c>
      <c r="D3406" s="1" t="s">
        <v>41</v>
      </c>
      <c r="E3406" s="3">
        <v>4067160</v>
      </c>
      <c r="F3406" s="1">
        <v>2126.06377417668</v>
      </c>
      <c r="G3406" s="1">
        <v>4</v>
      </c>
      <c r="H3406" s="1">
        <v>2</v>
      </c>
      <c r="I3406" s="1">
        <v>2</v>
      </c>
      <c r="J3406" s="1">
        <v>2.5</v>
      </c>
      <c r="K3406" s="1">
        <v>2</v>
      </c>
      <c r="L3406" s="1">
        <v>1</v>
      </c>
      <c r="M3406" s="4">
        <v>1913</v>
      </c>
      <c r="N3406" s="1">
        <v>2296</v>
      </c>
      <c r="O3406" s="1">
        <v>4751</v>
      </c>
      <c r="P3406" s="1">
        <v>2455</v>
      </c>
      <c r="Q3406" s="1" t="s">
        <v>42</v>
      </c>
      <c r="S3406" s="1" t="s">
        <v>42</v>
      </c>
      <c r="T3406" s="1" t="s">
        <v>273</v>
      </c>
      <c r="U3406" s="1">
        <v>122</v>
      </c>
      <c r="V3406" s="5">
        <v>43238</v>
      </c>
      <c r="W3406" s="5">
        <v>42942</v>
      </c>
      <c r="X3406" s="1">
        <v>4535000</v>
      </c>
      <c r="Y3406" s="1">
        <v>4535000</v>
      </c>
      <c r="AA3406" s="1">
        <v>4067160</v>
      </c>
      <c r="AB3406" s="1" t="s">
        <v>2221</v>
      </c>
      <c r="AC3406" s="5">
        <v>43098</v>
      </c>
      <c r="AF3406" s="1">
        <v>10028</v>
      </c>
      <c r="AJ3406" s="1">
        <v>2017</v>
      </c>
      <c r="AK3406" s="1" t="s">
        <v>46</v>
      </c>
      <c r="AL3406" s="1">
        <v>41</v>
      </c>
    </row>
    <row r="3407" spans="1:38" x14ac:dyDescent="0.2">
      <c r="A3407" s="2" t="str">
        <f>HYPERLINK("https://www.compass.com/listing/88-lexington-avenue-unit-1106-manhattan-ny-10016/29378570472168593/","88 Lexington Ave, Unit 1106")</f>
        <v>88 Lexington Ave, Unit 1106</v>
      </c>
      <c r="B3407" s="2" t="str">
        <f>HYPERLINK("https://www.compass.com/building/88-90-lexington-avenue-manhattan-ny/281903945159296309/","88 &amp; 90 Lexington Avenue")</f>
        <v>88 &amp; 90 Lexington Avenue</v>
      </c>
      <c r="C3407" s="1" t="s">
        <v>40</v>
      </c>
      <c r="D3407" s="1" t="s">
        <v>41</v>
      </c>
      <c r="E3407" s="3">
        <v>7299515</v>
      </c>
      <c r="F3407" s="1">
        <v>4525.4280471171696</v>
      </c>
      <c r="H3407" s="1">
        <v>2</v>
      </c>
      <c r="J3407" s="1">
        <v>2.5</v>
      </c>
      <c r="K3407" s="1">
        <v>2</v>
      </c>
      <c r="L3407" s="1">
        <v>1</v>
      </c>
      <c r="M3407" s="4">
        <v>1613</v>
      </c>
      <c r="N3407" s="1">
        <v>1424</v>
      </c>
      <c r="O3407" s="1">
        <v>3492</v>
      </c>
      <c r="P3407" s="1">
        <v>2068</v>
      </c>
      <c r="Q3407" s="1" t="s">
        <v>42</v>
      </c>
      <c r="S3407" s="1" t="s">
        <v>42</v>
      </c>
      <c r="T3407" s="1" t="s">
        <v>273</v>
      </c>
      <c r="AA3407" s="1">
        <v>7299515.4400000004</v>
      </c>
      <c r="AB3407" s="1" t="s">
        <v>2222</v>
      </c>
      <c r="AC3407" s="5">
        <v>42695</v>
      </c>
      <c r="AF3407" s="1">
        <v>10016</v>
      </c>
      <c r="AI3407" s="1" t="s">
        <v>78</v>
      </c>
      <c r="AJ3407" s="1">
        <v>1927</v>
      </c>
      <c r="AK3407" s="1" t="s">
        <v>49</v>
      </c>
      <c r="AL3407" s="1">
        <v>70</v>
      </c>
    </row>
    <row r="3408" spans="1:38" x14ac:dyDescent="0.2">
      <c r="A3408" s="2" t="str">
        <f>HYPERLINK("https://www.compass.com/listing/77-charlton-street-unit-s3b-manhattan-ny-10014/780885180093254881/","77 Charlton St, Unit S3B")</f>
        <v>77 Charlton St, Unit S3B</v>
      </c>
      <c r="B3408" s="2" t="str">
        <f t="shared" ref="B3408:B3412" si="572">HYPERLINK("https://www.compass.com/building/77-charlton-st-manhattan-ny-10014/282058735872933093/","77 Charlton St")</f>
        <v>77 Charlton St</v>
      </c>
      <c r="C3408" s="1" t="s">
        <v>53</v>
      </c>
      <c r="D3408" s="1" t="s">
        <v>41</v>
      </c>
      <c r="E3408" s="3">
        <v>1408240</v>
      </c>
      <c r="Q3408" s="1" t="s">
        <v>42</v>
      </c>
      <c r="S3408" s="1" t="s">
        <v>42</v>
      </c>
      <c r="T3408" s="1" t="s">
        <v>273</v>
      </c>
      <c r="AA3408" s="1">
        <v>1408239.75</v>
      </c>
      <c r="AB3408" s="1" t="s">
        <v>2223</v>
      </c>
      <c r="AC3408" s="5">
        <v>44315</v>
      </c>
      <c r="AF3408" s="1">
        <v>10014</v>
      </c>
      <c r="AI3408" s="1" t="s">
        <v>48</v>
      </c>
      <c r="AJ3408" s="1">
        <v>2019</v>
      </c>
      <c r="AK3408" s="1" t="s">
        <v>49</v>
      </c>
      <c r="AL3408" s="1">
        <v>161</v>
      </c>
    </row>
    <row r="3409" spans="1:38" x14ac:dyDescent="0.2">
      <c r="A3409" s="2" t="str">
        <f>HYPERLINK("https://www.compass.com/listing/77-charlton-street-unit-s5b-manhattan-ny-10014/811310427788294185/","77 Charlton St, Unit S5B")</f>
        <v>77 Charlton St, Unit S5B</v>
      </c>
      <c r="B3409" s="2" t="str">
        <f t="shared" si="572"/>
        <v>77 Charlton St</v>
      </c>
      <c r="C3409" s="1" t="s">
        <v>53</v>
      </c>
      <c r="D3409" s="1" t="s">
        <v>41</v>
      </c>
      <c r="E3409" s="3">
        <v>1457498</v>
      </c>
      <c r="Q3409" s="1" t="s">
        <v>42</v>
      </c>
      <c r="S3409" s="1" t="s">
        <v>42</v>
      </c>
      <c r="T3409" s="1" t="s">
        <v>273</v>
      </c>
      <c r="AA3409" s="1">
        <v>1457497.59</v>
      </c>
      <c r="AB3409" s="1" t="s">
        <v>2224</v>
      </c>
      <c r="AC3409" s="5">
        <v>44334</v>
      </c>
      <c r="AF3409" s="1">
        <v>10014</v>
      </c>
      <c r="AI3409" s="1" t="s">
        <v>48</v>
      </c>
      <c r="AJ3409" s="1">
        <v>2019</v>
      </c>
      <c r="AK3409" s="1" t="s">
        <v>49</v>
      </c>
      <c r="AL3409" s="1">
        <v>161</v>
      </c>
    </row>
    <row r="3410" spans="1:38" x14ac:dyDescent="0.2">
      <c r="A3410" s="2" t="str">
        <f>HYPERLINK("https://www.compass.com/listing/77-charlton-street-unit-s8b-manhattan-ny-10014/831818845427910257/","77 Charlton St, Unit S8B")</f>
        <v>77 Charlton St, Unit S8B</v>
      </c>
      <c r="B3410" s="2" t="str">
        <f t="shared" si="572"/>
        <v>77 Charlton St</v>
      </c>
      <c r="C3410" s="1" t="s">
        <v>53</v>
      </c>
      <c r="D3410" s="1" t="s">
        <v>41</v>
      </c>
      <c r="E3410" s="3">
        <v>1574222</v>
      </c>
      <c r="Q3410" s="1" t="s">
        <v>42</v>
      </c>
      <c r="S3410" s="1" t="s">
        <v>42</v>
      </c>
      <c r="T3410" s="1" t="s">
        <v>273</v>
      </c>
      <c r="AA3410" s="1">
        <v>1574222</v>
      </c>
      <c r="AB3410" s="1" t="s">
        <v>2225</v>
      </c>
      <c r="AC3410" s="5">
        <v>44372</v>
      </c>
      <c r="AF3410" s="1">
        <v>10014</v>
      </c>
      <c r="AI3410" s="1" t="s">
        <v>48</v>
      </c>
      <c r="AJ3410" s="1">
        <v>2019</v>
      </c>
      <c r="AK3410" s="1" t="s">
        <v>49</v>
      </c>
      <c r="AL3410" s="1">
        <v>161</v>
      </c>
    </row>
    <row r="3411" spans="1:38" x14ac:dyDescent="0.2">
      <c r="A3411" s="2" t="str">
        <f>HYPERLINK("https://www.compass.com/listing/77-charlton-street-unit-n2d-manhattan-ny-10014/831819035619330889/","77 Charlton St, Unit N2D")</f>
        <v>77 Charlton St, Unit N2D</v>
      </c>
      <c r="B3411" s="2" t="str">
        <f t="shared" si="572"/>
        <v>77 Charlton St</v>
      </c>
      <c r="C3411" s="1" t="s">
        <v>53</v>
      </c>
      <c r="D3411" s="1" t="s">
        <v>41</v>
      </c>
      <c r="E3411" s="3">
        <v>1515156</v>
      </c>
      <c r="Q3411" s="1" t="s">
        <v>42</v>
      </c>
      <c r="S3411" s="1" t="s">
        <v>42</v>
      </c>
      <c r="T3411" s="1" t="s">
        <v>273</v>
      </c>
      <c r="AA3411" s="1">
        <v>1515156</v>
      </c>
      <c r="AB3411" s="1" t="s">
        <v>2226</v>
      </c>
      <c r="AC3411" s="5">
        <v>44376</v>
      </c>
      <c r="AF3411" s="1">
        <v>10014</v>
      </c>
      <c r="AI3411" s="1" t="s">
        <v>48</v>
      </c>
      <c r="AJ3411" s="1">
        <v>2019</v>
      </c>
      <c r="AK3411" s="1" t="s">
        <v>49</v>
      </c>
      <c r="AL3411" s="1">
        <v>161</v>
      </c>
    </row>
    <row r="3412" spans="1:38" x14ac:dyDescent="0.2">
      <c r="A3412" s="2" t="str">
        <f>HYPERLINK("https://www.compass.com/listing/77-charlton-street-unit-n4b-manhattan-ny-10014/851174513739829481/","77 Charlton St, Unit N4B")</f>
        <v>77 Charlton St, Unit N4B</v>
      </c>
      <c r="B3412" s="2" t="str">
        <f t="shared" si="572"/>
        <v>77 Charlton St</v>
      </c>
      <c r="C3412" s="1" t="s">
        <v>53</v>
      </c>
      <c r="D3412" s="1" t="s">
        <v>41</v>
      </c>
      <c r="E3412" s="3">
        <v>1444292</v>
      </c>
      <c r="Q3412" s="1" t="s">
        <v>42</v>
      </c>
      <c r="S3412" s="1" t="s">
        <v>42</v>
      </c>
      <c r="T3412" s="1" t="s">
        <v>273</v>
      </c>
      <c r="AA3412" s="1">
        <v>1444292</v>
      </c>
      <c r="AB3412" s="1" t="s">
        <v>2227</v>
      </c>
      <c r="AC3412" s="5">
        <v>44406</v>
      </c>
      <c r="AF3412" s="1">
        <v>10014</v>
      </c>
      <c r="AI3412" s="1" t="s">
        <v>48</v>
      </c>
      <c r="AJ3412" s="1">
        <v>2019</v>
      </c>
      <c r="AK3412" s="1" t="s">
        <v>49</v>
      </c>
      <c r="AL3412" s="1">
        <v>161</v>
      </c>
    </row>
    <row r="3413" spans="1:38" x14ac:dyDescent="0.2">
      <c r="A3413" s="2" t="str">
        <f>HYPERLINK("https://www.compass.com/listing/15-west-61st-street-unit-12a-manhattan-ny-10023/477496582116547913/","15 W 61st St, Unit 12A")</f>
        <v>15 W 61st St, Unit 12A</v>
      </c>
      <c r="B3413" s="2" t="str">
        <f>HYPERLINK("https://www.compass.com/building/the-park-loggia-manhattan-ny/292861833130357557/","The Park Loggia")</f>
        <v>The Park Loggia</v>
      </c>
      <c r="C3413" s="1" t="s">
        <v>57</v>
      </c>
      <c r="D3413" s="1" t="s">
        <v>41</v>
      </c>
      <c r="E3413" s="3">
        <v>4867500</v>
      </c>
      <c r="F3413" s="1">
        <v>3148.4476067270298</v>
      </c>
      <c r="G3413" s="1">
        <v>5</v>
      </c>
      <c r="H3413" s="1">
        <v>3</v>
      </c>
      <c r="I3413" s="1">
        <v>3</v>
      </c>
      <c r="J3413" s="1">
        <v>2.5</v>
      </c>
      <c r="K3413" s="1">
        <v>2</v>
      </c>
      <c r="L3413" s="1">
        <v>1</v>
      </c>
      <c r="M3413" s="4">
        <v>1546</v>
      </c>
      <c r="N3413" s="1">
        <v>1680</v>
      </c>
      <c r="O3413" s="1">
        <v>3296</v>
      </c>
      <c r="P3413" s="1">
        <v>1616</v>
      </c>
      <c r="Q3413" s="1" t="s">
        <v>42</v>
      </c>
      <c r="S3413" s="1" t="s">
        <v>42</v>
      </c>
      <c r="T3413" s="1" t="s">
        <v>273</v>
      </c>
      <c r="U3413" s="1">
        <v>306</v>
      </c>
      <c r="V3413" s="5">
        <v>43911</v>
      </c>
      <c r="W3413" s="5">
        <v>43594</v>
      </c>
      <c r="X3413" s="1">
        <v>4867500</v>
      </c>
      <c r="Y3413" s="1">
        <v>4867500</v>
      </c>
      <c r="AA3413" s="1">
        <v>4867500</v>
      </c>
      <c r="AB3413" s="1" t="s">
        <v>275</v>
      </c>
      <c r="AC3413" s="5">
        <v>43900</v>
      </c>
      <c r="AF3413" s="1">
        <v>10023</v>
      </c>
      <c r="AI3413" s="1" t="s">
        <v>1071</v>
      </c>
      <c r="AJ3413" s="1">
        <v>2019</v>
      </c>
      <c r="AK3413" s="1" t="s">
        <v>108</v>
      </c>
      <c r="AL3413" s="1">
        <v>172</v>
      </c>
    </row>
    <row r="3414" spans="1:38" x14ac:dyDescent="0.2">
      <c r="A3414" s="2" t="str">
        <f>HYPERLINK("https://www.compass.com/listing/565-broome-street-unit-n6h-manhattan-ny-10013/29514995544909441/","565 Broome St, Unit N6H")</f>
        <v>565 Broome St, Unit N6H</v>
      </c>
      <c r="B3414" s="2" t="str">
        <f>HYPERLINK("https://www.compass.com/building/565-broome-soho-manhattan-ny/292813251698267109/","565 Broome Soho")</f>
        <v>565 Broome Soho</v>
      </c>
      <c r="C3414" s="1" t="s">
        <v>53</v>
      </c>
      <c r="D3414" s="1" t="s">
        <v>41</v>
      </c>
      <c r="E3414" s="3">
        <v>1619018</v>
      </c>
      <c r="F3414" s="1">
        <v>2498.4837962962902</v>
      </c>
      <c r="G3414" s="1">
        <v>3</v>
      </c>
      <c r="H3414" s="1">
        <v>1</v>
      </c>
      <c r="I3414" s="1">
        <v>1</v>
      </c>
      <c r="J3414" s="1">
        <v>1</v>
      </c>
      <c r="K3414" s="1">
        <v>1</v>
      </c>
      <c r="M3414" s="1">
        <v>648</v>
      </c>
      <c r="N3414" s="1">
        <v>942</v>
      </c>
      <c r="O3414" s="1">
        <v>1981</v>
      </c>
      <c r="P3414" s="1">
        <v>1039</v>
      </c>
      <c r="Q3414" s="1" t="s">
        <v>42</v>
      </c>
      <c r="S3414" s="1" t="s">
        <v>42</v>
      </c>
      <c r="T3414" s="1" t="s">
        <v>273</v>
      </c>
      <c r="U3414" s="1">
        <v>31</v>
      </c>
      <c r="V3414" s="5">
        <v>44380</v>
      </c>
      <c r="W3414" s="5">
        <v>42611</v>
      </c>
      <c r="X3414" s="1">
        <v>1590000</v>
      </c>
      <c r="Y3414" s="1">
        <v>1590000</v>
      </c>
      <c r="Z3414" s="5">
        <v>42643</v>
      </c>
      <c r="AA3414" s="1">
        <v>1619017.5</v>
      </c>
      <c r="AB3414" s="1" t="s">
        <v>2228</v>
      </c>
      <c r="AC3414" s="5">
        <v>43626</v>
      </c>
      <c r="AF3414" s="1">
        <v>10013</v>
      </c>
      <c r="AI3414" s="1" t="s">
        <v>48</v>
      </c>
      <c r="AJ3414" s="1">
        <v>2019</v>
      </c>
      <c r="AK3414" s="1" t="s">
        <v>46</v>
      </c>
      <c r="AL3414" s="1">
        <v>115</v>
      </c>
    </row>
    <row r="3415" spans="1:38" x14ac:dyDescent="0.2">
      <c r="A3415" s="2" t="str">
        <f>HYPERLINK("https://www.compass.com/listing/301-east-80th-street-unit-5c-manhattan-ny-10075/358553647920383393/","301 E 80th St, Unit 5C")</f>
        <v>301 E 80th St, Unit 5C</v>
      </c>
      <c r="B3415" s="2" t="str">
        <f>HYPERLINK("https://www.compass.com/building/beckford-tower-manhattan-ny/293529721147268613/","Beckford Tower")</f>
        <v>Beckford Tower</v>
      </c>
      <c r="C3415" s="1" t="s">
        <v>82</v>
      </c>
      <c r="D3415" s="1" t="s">
        <v>41</v>
      </c>
      <c r="E3415" s="3">
        <v>5200000</v>
      </c>
      <c r="F3415" s="1">
        <v>2145.2145214521402</v>
      </c>
      <c r="G3415" s="1">
        <v>6</v>
      </c>
      <c r="H3415" s="1">
        <v>3</v>
      </c>
      <c r="I3415" s="1">
        <v>4</v>
      </c>
      <c r="J3415" s="1">
        <v>3.5</v>
      </c>
      <c r="K3415" s="1">
        <v>3</v>
      </c>
      <c r="L3415" s="1">
        <v>1</v>
      </c>
      <c r="M3415" s="4">
        <v>2424</v>
      </c>
      <c r="N3415" s="1">
        <v>2964</v>
      </c>
      <c r="O3415" s="1">
        <v>6350</v>
      </c>
      <c r="P3415" s="1">
        <v>3386</v>
      </c>
      <c r="Q3415" s="1" t="s">
        <v>42</v>
      </c>
      <c r="S3415" s="1" t="s">
        <v>42</v>
      </c>
      <c r="T3415" s="1" t="s">
        <v>273</v>
      </c>
      <c r="U3415" s="1">
        <v>21</v>
      </c>
      <c r="V3415" s="5">
        <v>44254</v>
      </c>
      <c r="W3415" s="5">
        <v>44232</v>
      </c>
      <c r="X3415" s="1">
        <v>5525000</v>
      </c>
      <c r="Y3415" s="1">
        <v>5525000</v>
      </c>
      <c r="AA3415" s="1">
        <v>5200000</v>
      </c>
      <c r="AB3415" s="1" t="s">
        <v>2199</v>
      </c>
      <c r="AC3415" s="5">
        <v>44354</v>
      </c>
      <c r="AF3415" s="1">
        <v>10075</v>
      </c>
      <c r="AI3415" s="1" t="s">
        <v>182</v>
      </c>
      <c r="AJ3415" s="1">
        <v>2019</v>
      </c>
      <c r="AK3415" s="1" t="s">
        <v>49</v>
      </c>
      <c r="AL3415" s="1">
        <v>72</v>
      </c>
    </row>
    <row r="3416" spans="1:38" x14ac:dyDescent="0.2">
      <c r="A3416" s="2" t="str">
        <f>HYPERLINK("https://www.compass.com/listing/200-east-94th-street-unit-1909-manhattan-ny-10128/216401869554064817/","200 E 94th St, Unit 1909")</f>
        <v>200 E 94th St, Unit 1909</v>
      </c>
      <c r="B3416" s="2" t="str">
        <f t="shared" ref="B3416:B3419" si="573">HYPERLINK("https://www.compass.com/building/carnegie-park-condominium-manhattan-ny/282049797358118613/","Carnegie Park Condominium")</f>
        <v>Carnegie Park Condominium</v>
      </c>
      <c r="C3416" s="1" t="s">
        <v>82</v>
      </c>
      <c r="D3416" s="1" t="s">
        <v>41</v>
      </c>
      <c r="E3416" s="3">
        <v>2940248</v>
      </c>
      <c r="F3416" s="1">
        <v>1865.63958756345</v>
      </c>
      <c r="H3416" s="1">
        <v>3</v>
      </c>
      <c r="J3416" s="1">
        <v>2</v>
      </c>
      <c r="K3416" s="1">
        <v>2</v>
      </c>
      <c r="M3416" s="4">
        <v>1576</v>
      </c>
      <c r="N3416" s="1">
        <v>1795</v>
      </c>
      <c r="O3416" s="1">
        <v>3679</v>
      </c>
      <c r="P3416" s="1">
        <v>1884</v>
      </c>
      <c r="Q3416" s="1" t="s">
        <v>42</v>
      </c>
      <c r="S3416" s="1" t="s">
        <v>42</v>
      </c>
      <c r="T3416" s="1" t="s">
        <v>273</v>
      </c>
      <c r="AA3416" s="1">
        <v>2940247.99</v>
      </c>
      <c r="AB3416" s="1" t="s">
        <v>2229</v>
      </c>
      <c r="AC3416" s="5">
        <v>43543</v>
      </c>
      <c r="AF3416" s="1">
        <v>10128</v>
      </c>
      <c r="AI3416" s="1" t="s">
        <v>163</v>
      </c>
      <c r="AJ3416" s="1">
        <v>1986</v>
      </c>
      <c r="AK3416" s="1" t="s">
        <v>55</v>
      </c>
      <c r="AL3416" s="1">
        <v>287</v>
      </c>
    </row>
    <row r="3417" spans="1:38" x14ac:dyDescent="0.2">
      <c r="A3417" s="2" t="str">
        <f>HYPERLINK("https://www.compass.com/listing/200-east-94th-street-unit-1909-manhattan-ny-10128/29423485864388001/","200 E 94th St, Unit 1909")</f>
        <v>200 E 94th St, Unit 1909</v>
      </c>
      <c r="B3417" s="2" t="str">
        <f t="shared" si="573"/>
        <v>Carnegie Park Condominium</v>
      </c>
      <c r="C3417" s="1" t="s">
        <v>82</v>
      </c>
      <c r="D3417" s="1" t="s">
        <v>41</v>
      </c>
      <c r="E3417" s="3">
        <v>2832315</v>
      </c>
      <c r="F3417" s="1">
        <v>1797.15418781725</v>
      </c>
      <c r="H3417" s="1">
        <v>3</v>
      </c>
      <c r="J3417" s="1">
        <v>2</v>
      </c>
      <c r="K3417" s="1">
        <v>2</v>
      </c>
      <c r="M3417" s="4">
        <v>1576</v>
      </c>
      <c r="N3417" s="1">
        <v>1795</v>
      </c>
      <c r="O3417" s="1">
        <v>3679</v>
      </c>
      <c r="P3417" s="1">
        <v>1884</v>
      </c>
      <c r="Q3417" s="1" t="s">
        <v>42</v>
      </c>
      <c r="S3417" s="1" t="s">
        <v>42</v>
      </c>
      <c r="T3417" s="1" t="s">
        <v>273</v>
      </c>
      <c r="AA3417" s="1">
        <v>2832315</v>
      </c>
      <c r="AB3417" s="1" t="s">
        <v>2230</v>
      </c>
      <c r="AC3417" s="5">
        <v>42487</v>
      </c>
      <c r="AF3417" s="1">
        <v>10128</v>
      </c>
      <c r="AI3417" s="1" t="s">
        <v>163</v>
      </c>
      <c r="AJ3417" s="1">
        <v>1986</v>
      </c>
      <c r="AK3417" s="1" t="s">
        <v>55</v>
      </c>
      <c r="AL3417" s="1">
        <v>287</v>
      </c>
    </row>
    <row r="3418" spans="1:38" x14ac:dyDescent="0.2">
      <c r="A3418" s="2" t="str">
        <f>HYPERLINK("https://www.compass.com/listing/200-east-94th-street-unit-3009-manhattan-ny-10128/29507983532640321/","200 E 94th St, Unit 3009")</f>
        <v>200 E 94th St, Unit 3009</v>
      </c>
      <c r="B3418" s="2" t="str">
        <f t="shared" si="573"/>
        <v>Carnegie Park Condominium</v>
      </c>
      <c r="C3418" s="1" t="s">
        <v>82</v>
      </c>
      <c r="D3418" s="1" t="s">
        <v>41</v>
      </c>
      <c r="E3418" s="3">
        <v>3036951</v>
      </c>
      <c r="F3418" s="1">
        <v>1926.99943527918</v>
      </c>
      <c r="H3418" s="1">
        <v>3</v>
      </c>
      <c r="J3418" s="1">
        <v>2</v>
      </c>
      <c r="M3418" s="4">
        <v>1576</v>
      </c>
      <c r="N3418" s="1">
        <v>1739</v>
      </c>
      <c r="O3418" s="1">
        <v>3587</v>
      </c>
      <c r="P3418" s="1">
        <v>1848</v>
      </c>
      <c r="Q3418" s="1" t="s">
        <v>42</v>
      </c>
      <c r="S3418" s="1" t="s">
        <v>42</v>
      </c>
      <c r="T3418" s="1" t="s">
        <v>273</v>
      </c>
      <c r="AA3418" s="1">
        <v>3036951.11</v>
      </c>
      <c r="AB3418" s="1" t="s">
        <v>2231</v>
      </c>
      <c r="AC3418" s="5">
        <v>42389</v>
      </c>
      <c r="AF3418" s="1">
        <v>10128</v>
      </c>
      <c r="AI3418" s="1" t="s">
        <v>163</v>
      </c>
      <c r="AJ3418" s="1">
        <v>1986</v>
      </c>
      <c r="AK3418" s="1" t="s">
        <v>55</v>
      </c>
      <c r="AL3418" s="1">
        <v>287</v>
      </c>
    </row>
    <row r="3419" spans="1:38" x14ac:dyDescent="0.2">
      <c r="A3419" s="2" t="str">
        <f>HYPERLINK("https://www.compass.com/listing/200-east-94th-street-unit-1609-manhattan-ny-10128/380789397046628513/","200 E 94th St, Unit 1609")</f>
        <v>200 E 94th St, Unit 1609</v>
      </c>
      <c r="B3419" s="2" t="str">
        <f t="shared" si="573"/>
        <v>Carnegie Park Condominium</v>
      </c>
      <c r="C3419" s="1" t="s">
        <v>82</v>
      </c>
      <c r="D3419" s="1" t="s">
        <v>41</v>
      </c>
      <c r="E3419" s="3">
        <v>2731210</v>
      </c>
      <c r="F3419" s="1">
        <v>1733.00154187817</v>
      </c>
      <c r="H3419" s="1">
        <v>3</v>
      </c>
      <c r="J3419" s="1">
        <v>2</v>
      </c>
      <c r="K3419" s="1">
        <v>2</v>
      </c>
      <c r="M3419" s="4">
        <v>1576</v>
      </c>
      <c r="N3419" s="1">
        <v>1799</v>
      </c>
      <c r="O3419" s="1">
        <v>3613</v>
      </c>
      <c r="P3419" s="1">
        <v>1814</v>
      </c>
      <c r="Q3419" s="1" t="s">
        <v>42</v>
      </c>
      <c r="S3419" s="1" t="s">
        <v>42</v>
      </c>
      <c r="T3419" s="1" t="s">
        <v>273</v>
      </c>
      <c r="AA3419" s="1">
        <v>2731210.43</v>
      </c>
      <c r="AB3419" s="1" t="s">
        <v>2232</v>
      </c>
      <c r="AC3419" s="5">
        <v>42395</v>
      </c>
      <c r="AF3419" s="1">
        <v>10128</v>
      </c>
      <c r="AI3419" s="1" t="s">
        <v>163</v>
      </c>
      <c r="AJ3419" s="1">
        <v>1986</v>
      </c>
      <c r="AK3419" s="1" t="s">
        <v>55</v>
      </c>
      <c r="AL3419" s="1">
        <v>287</v>
      </c>
    </row>
    <row r="3420" spans="1:38" x14ac:dyDescent="0.2">
      <c r="A3420" s="2" t="str">
        <f>HYPERLINK("https://www.compass.com/listing/15-west-61st-street-unit-ph32c-manhattan-ny-10023/611699246611429425/","15 W 61st St, Unit PH32C")</f>
        <v>15 W 61st St, Unit PH32C</v>
      </c>
      <c r="B3420" s="2" t="str">
        <f>HYPERLINK("https://www.compass.com/building/the-park-loggia-manhattan-ny/292861833130357557/","The Park Loggia")</f>
        <v>The Park Loggia</v>
      </c>
      <c r="C3420" s="1" t="s">
        <v>57</v>
      </c>
      <c r="D3420" s="1" t="s">
        <v>41</v>
      </c>
      <c r="E3420" s="3">
        <v>8200000</v>
      </c>
      <c r="F3420" s="1">
        <v>3700.3610108303201</v>
      </c>
      <c r="G3420" s="1">
        <v>7</v>
      </c>
      <c r="H3420" s="1">
        <v>3</v>
      </c>
      <c r="I3420" s="1">
        <v>4</v>
      </c>
      <c r="J3420" s="1">
        <v>3.5</v>
      </c>
      <c r="K3420" s="1">
        <v>3</v>
      </c>
      <c r="L3420" s="1">
        <v>1</v>
      </c>
      <c r="M3420" s="4">
        <v>2216</v>
      </c>
      <c r="N3420" s="1">
        <v>2288</v>
      </c>
      <c r="O3420" s="1">
        <v>4589</v>
      </c>
      <c r="P3420" s="1">
        <v>2301</v>
      </c>
      <c r="Q3420" s="1" t="s">
        <v>42</v>
      </c>
      <c r="S3420" s="1" t="s">
        <v>42</v>
      </c>
      <c r="T3420" s="1" t="s">
        <v>273</v>
      </c>
      <c r="V3420" s="5">
        <v>44126</v>
      </c>
      <c r="W3420" s="5">
        <v>44095</v>
      </c>
      <c r="X3420" s="1">
        <v>9595000</v>
      </c>
      <c r="Y3420" s="1">
        <v>9595000</v>
      </c>
      <c r="Z3420" s="5">
        <v>44096</v>
      </c>
      <c r="AA3420" s="1">
        <v>8200000</v>
      </c>
      <c r="AB3420" s="1" t="s">
        <v>275</v>
      </c>
      <c r="AC3420" s="5">
        <v>44125</v>
      </c>
      <c r="AF3420" s="1">
        <v>10023</v>
      </c>
      <c r="AI3420" s="1" t="s">
        <v>159</v>
      </c>
      <c r="AJ3420" s="1">
        <v>2019</v>
      </c>
      <c r="AK3420" s="1" t="s">
        <v>108</v>
      </c>
      <c r="AL3420" s="1">
        <v>172</v>
      </c>
    </row>
    <row r="3421" spans="1:38" x14ac:dyDescent="0.2">
      <c r="A3421" s="2" t="str">
        <f>HYPERLINK("https://www.compass.com/listing/300-east-64th-street-unit-5j-manhattan-ny-10065/248532551134646865/","300 E 64th St, Unit 5J")</f>
        <v>300 E 64th St, Unit 5J</v>
      </c>
      <c r="B3421" s="2" t="str">
        <f>HYPERLINK("https://www.compass.com/building/300-e-64th-st-manhattan-ny-10065/282038617012979925/","300 E 64th St")</f>
        <v>300 E 64th St</v>
      </c>
      <c r="C3421" s="1" t="s">
        <v>82</v>
      </c>
      <c r="D3421" s="1" t="s">
        <v>41</v>
      </c>
      <c r="E3421" s="3">
        <v>632500</v>
      </c>
      <c r="F3421" s="1">
        <v>1182.2429906542</v>
      </c>
      <c r="G3421" s="1">
        <v>2.5</v>
      </c>
      <c r="H3421" s="1" t="s">
        <v>153</v>
      </c>
      <c r="I3421" s="1">
        <v>1</v>
      </c>
      <c r="J3421" s="1">
        <v>1</v>
      </c>
      <c r="K3421" s="1">
        <v>1</v>
      </c>
      <c r="M3421" s="1">
        <v>535</v>
      </c>
      <c r="N3421" s="1">
        <v>655</v>
      </c>
      <c r="O3421" s="1">
        <v>1626</v>
      </c>
      <c r="P3421" s="1">
        <v>971</v>
      </c>
      <c r="Q3421" s="1" t="s">
        <v>42</v>
      </c>
      <c r="S3421" s="1" t="s">
        <v>42</v>
      </c>
      <c r="T3421" s="1" t="s">
        <v>273</v>
      </c>
      <c r="U3421" s="1">
        <v>316</v>
      </c>
      <c r="V3421" s="5">
        <v>43982</v>
      </c>
      <c r="W3421" s="5">
        <v>43594</v>
      </c>
      <c r="X3421" s="1">
        <v>745000</v>
      </c>
      <c r="Y3421" s="1">
        <v>695000</v>
      </c>
      <c r="Z3421" s="5">
        <v>43922</v>
      </c>
      <c r="AA3421" s="1">
        <v>632500</v>
      </c>
      <c r="AB3421" s="1" t="s">
        <v>2233</v>
      </c>
      <c r="AC3421" s="5">
        <v>43945</v>
      </c>
      <c r="AF3421" s="1">
        <v>10065</v>
      </c>
      <c r="AI3421" s="1" t="s">
        <v>189</v>
      </c>
      <c r="AJ3421" s="1">
        <v>1996</v>
      </c>
      <c r="AK3421" s="1" t="s">
        <v>49</v>
      </c>
      <c r="AL3421" s="1">
        <v>103</v>
      </c>
    </row>
    <row r="3422" spans="1:38" x14ac:dyDescent="0.2">
      <c r="A3422" s="2" t="str">
        <f>HYPERLINK("https://www.compass.com/listing/77-charlton-street-unit-n12b-manhattan-ny-10014/831819108004631609/","77 Charlton St, Unit N12B")</f>
        <v>77 Charlton St, Unit N12B</v>
      </c>
      <c r="B3422" s="2" t="str">
        <f t="shared" ref="B3422:B3423" si="574">HYPERLINK("https://www.compass.com/building/77-charlton-st-manhattan-ny-10014/282058735872933093/","77 Charlton St")</f>
        <v>77 Charlton St</v>
      </c>
      <c r="C3422" s="1" t="s">
        <v>53</v>
      </c>
      <c r="D3422" s="1" t="s">
        <v>41</v>
      </c>
      <c r="E3422" s="3">
        <v>3625015</v>
      </c>
      <c r="Q3422" s="1" t="s">
        <v>42</v>
      </c>
      <c r="S3422" s="1" t="s">
        <v>42</v>
      </c>
      <c r="T3422" s="1" t="s">
        <v>273</v>
      </c>
      <c r="AA3422" s="1">
        <v>3625014.99</v>
      </c>
      <c r="AB3422" s="1" t="s">
        <v>2234</v>
      </c>
      <c r="AC3422" s="5">
        <v>44376</v>
      </c>
      <c r="AF3422" s="1">
        <v>10014</v>
      </c>
      <c r="AI3422" s="1" t="s">
        <v>48</v>
      </c>
      <c r="AJ3422" s="1">
        <v>2019</v>
      </c>
      <c r="AK3422" s="1" t="s">
        <v>49</v>
      </c>
      <c r="AL3422" s="1">
        <v>161</v>
      </c>
    </row>
    <row r="3423" spans="1:38" x14ac:dyDescent="0.2">
      <c r="A3423" s="2" t="str">
        <f>HYPERLINK("https://www.compass.com/listing/77-charlton-street-unit-n14b-manhattan-ny-10014/843206392996491681/","77 Charlton St, Unit N14B")</f>
        <v>77 Charlton St, Unit N14B</v>
      </c>
      <c r="B3423" s="2" t="str">
        <f t="shared" si="574"/>
        <v>77 Charlton St</v>
      </c>
      <c r="C3423" s="1" t="s">
        <v>53</v>
      </c>
      <c r="D3423" s="1" t="s">
        <v>41</v>
      </c>
      <c r="E3423" s="3">
        <v>4341250</v>
      </c>
      <c r="Q3423" s="1" t="s">
        <v>42</v>
      </c>
      <c r="S3423" s="1" t="s">
        <v>42</v>
      </c>
      <c r="T3423" s="1" t="s">
        <v>273</v>
      </c>
      <c r="AA3423" s="1">
        <v>4341249.75</v>
      </c>
      <c r="AB3423" s="1" t="s">
        <v>2235</v>
      </c>
      <c r="AC3423" s="5">
        <v>44383</v>
      </c>
      <c r="AF3423" s="1">
        <v>10014</v>
      </c>
      <c r="AI3423" s="1" t="s">
        <v>48</v>
      </c>
      <c r="AJ3423" s="1">
        <v>2019</v>
      </c>
      <c r="AK3423" s="1" t="s">
        <v>49</v>
      </c>
      <c r="AL3423" s="1">
        <v>161</v>
      </c>
    </row>
    <row r="3424" spans="1:38" x14ac:dyDescent="0.2">
      <c r="A3424" s="2" t="str">
        <f>HYPERLINK("https://www.compass.com/listing/360-east-89th-street-unit-10a-manhattan-ny-10128/29424452735444033/","360 E 89th St, Unit 10A")</f>
        <v>360 E 89th St, Unit 10A</v>
      </c>
      <c r="B3424" s="2" t="str">
        <f t="shared" ref="B3424:B3425" si="575">HYPERLINK("https://www.compass.com/building/citizen360-manhattan-ny/282052027553444853/","Citizen360")</f>
        <v>Citizen360</v>
      </c>
      <c r="C3424" s="1" t="s">
        <v>82</v>
      </c>
      <c r="D3424" s="1" t="s">
        <v>41</v>
      </c>
      <c r="E3424" s="3">
        <v>4390000</v>
      </c>
      <c r="F3424" s="1">
        <v>1853.88513513513</v>
      </c>
      <c r="G3424" s="1">
        <v>5</v>
      </c>
      <c r="H3424" s="1">
        <v>4</v>
      </c>
      <c r="I3424" s="1">
        <v>4</v>
      </c>
      <c r="J3424" s="1">
        <v>4.5</v>
      </c>
      <c r="K3424" s="1">
        <v>4</v>
      </c>
      <c r="L3424" s="1">
        <v>1</v>
      </c>
      <c r="M3424" s="4">
        <v>2368</v>
      </c>
      <c r="N3424" s="1">
        <v>2273</v>
      </c>
      <c r="O3424" s="1">
        <v>4916</v>
      </c>
      <c r="P3424" s="1">
        <v>2643</v>
      </c>
      <c r="Q3424" s="1" t="s">
        <v>42</v>
      </c>
      <c r="S3424" s="1" t="s">
        <v>42</v>
      </c>
      <c r="T3424" s="1" t="s">
        <v>273</v>
      </c>
      <c r="U3424" s="1">
        <v>66</v>
      </c>
      <c r="V3424" s="5">
        <v>43649</v>
      </c>
      <c r="W3424" s="5">
        <v>42711</v>
      </c>
      <c r="X3424" s="1">
        <v>4390000</v>
      </c>
      <c r="Y3424" s="1">
        <v>4390000</v>
      </c>
      <c r="Z3424" s="5">
        <v>42777</v>
      </c>
      <c r="AA3424" s="1">
        <v>4390000</v>
      </c>
      <c r="AB3424" s="1" t="s">
        <v>2236</v>
      </c>
      <c r="AC3424" s="5">
        <v>43033</v>
      </c>
      <c r="AF3424" s="1">
        <v>10128</v>
      </c>
      <c r="AJ3424" s="1">
        <v>2017</v>
      </c>
      <c r="AK3424" s="1" t="s">
        <v>108</v>
      </c>
      <c r="AL3424" s="1">
        <v>82</v>
      </c>
    </row>
    <row r="3425" spans="1:38" x14ac:dyDescent="0.2">
      <c r="A3425" s="2" t="str">
        <f>HYPERLINK("https://www.compass.com/listing/360-east-89th-street-unit-11a-manhattan-ny-10128/29424453591027745/","360 E 89th St, Unit 11A")</f>
        <v>360 E 89th St, Unit 11A</v>
      </c>
      <c r="B3425" s="2" t="str">
        <f t="shared" si="575"/>
        <v>Citizen360</v>
      </c>
      <c r="C3425" s="1" t="s">
        <v>82</v>
      </c>
      <c r="D3425" s="1" t="s">
        <v>41</v>
      </c>
      <c r="E3425" s="3">
        <v>4440000</v>
      </c>
      <c r="F3425" s="1">
        <v>1875</v>
      </c>
      <c r="G3425" s="1">
        <v>6</v>
      </c>
      <c r="H3425" s="1">
        <v>4</v>
      </c>
      <c r="I3425" s="1">
        <v>4</v>
      </c>
      <c r="J3425" s="1">
        <v>4.5</v>
      </c>
      <c r="K3425" s="1">
        <v>4</v>
      </c>
      <c r="L3425" s="1">
        <v>1</v>
      </c>
      <c r="M3425" s="4">
        <v>2368</v>
      </c>
      <c r="N3425" s="1">
        <v>2284</v>
      </c>
      <c r="O3425" s="1">
        <v>4940</v>
      </c>
      <c r="P3425" s="1">
        <v>2656</v>
      </c>
      <c r="Q3425" s="1" t="s">
        <v>42</v>
      </c>
      <c r="S3425" s="1" t="s">
        <v>42</v>
      </c>
      <c r="T3425" s="1" t="s">
        <v>273</v>
      </c>
      <c r="V3425" s="5">
        <v>43669</v>
      </c>
      <c r="W3425" s="5">
        <v>42768</v>
      </c>
      <c r="X3425" s="1">
        <v>4440000</v>
      </c>
      <c r="Y3425" s="1">
        <v>4440000</v>
      </c>
      <c r="Z3425" s="5">
        <v>42768</v>
      </c>
      <c r="AA3425" s="1">
        <v>4440000</v>
      </c>
      <c r="AB3425" s="1" t="s">
        <v>2237</v>
      </c>
      <c r="AC3425" s="5">
        <v>43034</v>
      </c>
      <c r="AF3425" s="1">
        <v>10128</v>
      </c>
      <c r="AJ3425" s="1">
        <v>2017</v>
      </c>
      <c r="AK3425" s="1" t="s">
        <v>108</v>
      </c>
      <c r="AL3425" s="1">
        <v>82</v>
      </c>
    </row>
    <row r="3426" spans="1:38" x14ac:dyDescent="0.2">
      <c r="A3426" s="2" t="str">
        <f>HYPERLINK("https://www.compass.com/listing/200-east-94th-street-unit-417-manhattan-ny-10128/29423433192317313/","200 E 94th St, Unit 417")</f>
        <v>200 E 94th St, Unit 417</v>
      </c>
      <c r="B3426" s="2" t="str">
        <f>HYPERLINK("https://www.compass.com/building/carnegie-park-condominium-manhattan-ny/282049797358118613/","Carnegie Park Condominium")</f>
        <v>Carnegie Park Condominium</v>
      </c>
      <c r="C3426" s="1" t="s">
        <v>82</v>
      </c>
      <c r="D3426" s="1" t="s">
        <v>41</v>
      </c>
      <c r="E3426" s="3">
        <v>2966622</v>
      </c>
      <c r="F3426" s="1">
        <v>1650.8750584307099</v>
      </c>
      <c r="H3426" s="1">
        <v>3</v>
      </c>
      <c r="J3426" s="1">
        <v>4</v>
      </c>
      <c r="M3426" s="4">
        <v>1797</v>
      </c>
      <c r="N3426" s="1">
        <v>1955</v>
      </c>
      <c r="O3426" s="1">
        <v>4032</v>
      </c>
      <c r="P3426" s="1">
        <v>2077</v>
      </c>
      <c r="Q3426" s="1" t="s">
        <v>42</v>
      </c>
      <c r="S3426" s="1" t="s">
        <v>42</v>
      </c>
      <c r="T3426" s="1" t="s">
        <v>273</v>
      </c>
      <c r="AA3426" s="1">
        <v>2966622.48</v>
      </c>
      <c r="AB3426" s="1" t="s">
        <v>2238</v>
      </c>
      <c r="AC3426" s="5">
        <v>42437</v>
      </c>
      <c r="AF3426" s="1">
        <v>10128</v>
      </c>
      <c r="AI3426" s="1" t="s">
        <v>163</v>
      </c>
      <c r="AJ3426" s="1">
        <v>1986</v>
      </c>
      <c r="AK3426" s="1" t="s">
        <v>55</v>
      </c>
      <c r="AL3426" s="1">
        <v>287</v>
      </c>
    </row>
    <row r="3427" spans="1:38" x14ac:dyDescent="0.2">
      <c r="A3427" s="2" t="str">
        <f>HYPERLINK("https://www.compass.com/listing/300-east-64th-street-unit-5i-manhattan-ny-10065/29415711403240049/","300 E 64th St, Unit 5I")</f>
        <v>300 E 64th St, Unit 5I</v>
      </c>
      <c r="B3427" s="2" t="str">
        <f>HYPERLINK("https://www.compass.com/building/300-e-64th-st-manhattan-ny-10065/282038617012979925/","300 E 64th St")</f>
        <v>300 E 64th St</v>
      </c>
      <c r="C3427" s="1" t="s">
        <v>82</v>
      </c>
      <c r="D3427" s="1" t="s">
        <v>41</v>
      </c>
      <c r="E3427" s="3">
        <v>980020</v>
      </c>
      <c r="F3427" s="1">
        <v>1319.00403768506</v>
      </c>
      <c r="G3427" s="1">
        <v>3</v>
      </c>
      <c r="H3427" s="1">
        <v>1</v>
      </c>
      <c r="I3427" s="1">
        <v>1</v>
      </c>
      <c r="J3427" s="1">
        <v>1</v>
      </c>
      <c r="K3427" s="1">
        <v>1</v>
      </c>
      <c r="M3427" s="1">
        <v>743</v>
      </c>
      <c r="N3427" s="1">
        <v>836</v>
      </c>
      <c r="O3427" s="1">
        <v>2112</v>
      </c>
      <c r="P3427" s="1">
        <v>1276</v>
      </c>
      <c r="Q3427" s="1" t="s">
        <v>42</v>
      </c>
      <c r="S3427" s="1" t="s">
        <v>42</v>
      </c>
      <c r="T3427" s="1" t="s">
        <v>273</v>
      </c>
      <c r="U3427" s="1">
        <v>30</v>
      </c>
      <c r="V3427" s="5">
        <v>44225</v>
      </c>
      <c r="W3427" s="5">
        <v>43104</v>
      </c>
      <c r="X3427" s="1">
        <v>965000</v>
      </c>
      <c r="Y3427" s="1">
        <v>965000</v>
      </c>
      <c r="Z3427" s="5">
        <v>43134</v>
      </c>
      <c r="AA3427" s="1">
        <v>980020</v>
      </c>
      <c r="AB3427" s="1" t="s">
        <v>2239</v>
      </c>
      <c r="AC3427" s="5">
        <v>43167</v>
      </c>
      <c r="AF3427" s="1">
        <v>10065</v>
      </c>
      <c r="AI3427" s="1" t="s">
        <v>189</v>
      </c>
      <c r="AJ3427" s="1">
        <v>1996</v>
      </c>
      <c r="AK3427" s="1" t="s">
        <v>49</v>
      </c>
      <c r="AL3427" s="1">
        <v>103</v>
      </c>
    </row>
    <row r="3428" spans="1:38" x14ac:dyDescent="0.2">
      <c r="A3428" s="2" t="str">
        <f>HYPERLINK("https://www.compass.com/listing/565-broome-street-unit-n7a-manhattan-ny-10013/771611472852627913/","565 Broome St, Unit N7A")</f>
        <v>565 Broome St, Unit N7A</v>
      </c>
      <c r="B3428" s="2" t="str">
        <f t="shared" ref="B3428:B3440" si="576">HYPERLINK("https://www.compass.com/building/565-broome-soho-manhattan-ny/292813251698267109/","565 Broome Soho")</f>
        <v>565 Broome Soho</v>
      </c>
      <c r="C3428" s="1" t="s">
        <v>53</v>
      </c>
      <c r="D3428" s="1" t="s">
        <v>41</v>
      </c>
      <c r="E3428" s="3">
        <v>2380000</v>
      </c>
      <c r="F3428" s="1">
        <v>2404.0404040404001</v>
      </c>
      <c r="H3428" s="1">
        <v>1</v>
      </c>
      <c r="J3428" s="1">
        <v>1.5</v>
      </c>
      <c r="K3428" s="1">
        <v>1</v>
      </c>
      <c r="L3428" s="1">
        <v>1</v>
      </c>
      <c r="M3428" s="1">
        <v>990</v>
      </c>
      <c r="S3428" s="1" t="s">
        <v>42</v>
      </c>
      <c r="T3428" s="1" t="s">
        <v>273</v>
      </c>
      <c r="V3428" s="5">
        <v>44412</v>
      </c>
      <c r="W3428" s="5">
        <v>43851</v>
      </c>
      <c r="X3428" s="1">
        <v>2380000</v>
      </c>
      <c r="AB3428" s="1" t="s">
        <v>275</v>
      </c>
      <c r="AF3428" s="1">
        <v>10013</v>
      </c>
      <c r="AI3428" s="1" t="s">
        <v>48</v>
      </c>
      <c r="AJ3428" s="1">
        <v>2019</v>
      </c>
      <c r="AK3428" s="1" t="s">
        <v>46</v>
      </c>
      <c r="AL3428" s="1">
        <v>115</v>
      </c>
    </row>
    <row r="3429" spans="1:38" x14ac:dyDescent="0.2">
      <c r="A3429" s="2" t="str">
        <f>HYPERLINK("https://www.compass.com/listing/565-broome-street-unit-n10d-manhattan-ny-10013/779088405085211097/","565 Broome St, Unit N10D")</f>
        <v>565 Broome St, Unit N10D</v>
      </c>
      <c r="B3429" s="2" t="str">
        <f t="shared" si="576"/>
        <v>565 Broome Soho</v>
      </c>
      <c r="C3429" s="1" t="s">
        <v>53</v>
      </c>
      <c r="D3429" s="1" t="s">
        <v>41</v>
      </c>
      <c r="E3429" s="3">
        <v>2240150</v>
      </c>
      <c r="F3429" s="1">
        <v>2448.2513661202102</v>
      </c>
      <c r="G3429" s="1">
        <v>3</v>
      </c>
      <c r="H3429" s="1">
        <v>1</v>
      </c>
      <c r="I3429" s="1">
        <v>2</v>
      </c>
      <c r="J3429" s="1">
        <v>1.5</v>
      </c>
      <c r="K3429" s="1">
        <v>1</v>
      </c>
      <c r="L3429" s="1">
        <v>1</v>
      </c>
      <c r="M3429" s="1">
        <v>915</v>
      </c>
      <c r="N3429" s="1">
        <v>1363</v>
      </c>
      <c r="O3429" s="1">
        <v>2866</v>
      </c>
      <c r="P3429" s="1">
        <v>1503</v>
      </c>
      <c r="Q3429" s="1" t="s">
        <v>42</v>
      </c>
      <c r="S3429" s="1" t="s">
        <v>42</v>
      </c>
      <c r="T3429" s="1" t="s">
        <v>273</v>
      </c>
      <c r="V3429" s="5">
        <v>44342</v>
      </c>
      <c r="AA3429" s="1">
        <v>2240150</v>
      </c>
      <c r="AB3429" s="1" t="s">
        <v>1714</v>
      </c>
      <c r="AC3429" s="5">
        <v>44133</v>
      </c>
      <c r="AF3429" s="1">
        <v>10013</v>
      </c>
      <c r="AI3429" s="1" t="s">
        <v>48</v>
      </c>
      <c r="AJ3429" s="1">
        <v>2019</v>
      </c>
      <c r="AK3429" s="1" t="s">
        <v>49</v>
      </c>
      <c r="AL3429" s="1">
        <v>115</v>
      </c>
    </row>
    <row r="3430" spans="1:38" x14ac:dyDescent="0.2">
      <c r="A3430" s="2" t="str">
        <f>HYPERLINK("https://www.compass.com/listing/565-broome-street-unit-n12d-manhattan-ny-10013/779319533339770417/","565 Broome St, Unit N12D")</f>
        <v>565 Broome St, Unit N12D</v>
      </c>
      <c r="B3430" s="2" t="str">
        <f t="shared" si="576"/>
        <v>565 Broome Soho</v>
      </c>
      <c r="C3430" s="1" t="s">
        <v>53</v>
      </c>
      <c r="D3430" s="1" t="s">
        <v>41</v>
      </c>
      <c r="E3430" s="3">
        <v>2405221</v>
      </c>
      <c r="F3430" s="1">
        <v>2628.6570928961701</v>
      </c>
      <c r="G3430" s="1">
        <v>3</v>
      </c>
      <c r="H3430" s="1">
        <v>1</v>
      </c>
      <c r="I3430" s="1">
        <v>2</v>
      </c>
      <c r="J3430" s="1">
        <v>1.5</v>
      </c>
      <c r="K3430" s="1">
        <v>1</v>
      </c>
      <c r="L3430" s="1">
        <v>1</v>
      </c>
      <c r="M3430" s="1">
        <v>915</v>
      </c>
      <c r="N3430" s="1">
        <v>1376</v>
      </c>
      <c r="O3430" s="1">
        <v>2894</v>
      </c>
      <c r="P3430" s="1">
        <v>1518</v>
      </c>
      <c r="Q3430" s="1" t="s">
        <v>42</v>
      </c>
      <c r="S3430" s="1" t="s">
        <v>42</v>
      </c>
      <c r="T3430" s="1" t="s">
        <v>273</v>
      </c>
      <c r="V3430" s="5">
        <v>44343</v>
      </c>
      <c r="AA3430" s="1">
        <v>2405221.2400000002</v>
      </c>
      <c r="AB3430" s="1" t="s">
        <v>1701</v>
      </c>
      <c r="AC3430" s="5">
        <v>43566</v>
      </c>
      <c r="AF3430" s="1">
        <v>10013</v>
      </c>
      <c r="AI3430" s="1" t="s">
        <v>48</v>
      </c>
      <c r="AJ3430" s="1">
        <v>2019</v>
      </c>
      <c r="AK3430" s="1" t="s">
        <v>49</v>
      </c>
      <c r="AL3430" s="1">
        <v>115</v>
      </c>
    </row>
    <row r="3431" spans="1:38" x14ac:dyDescent="0.2">
      <c r="A3431" s="2" t="str">
        <f>HYPERLINK("https://www.compass.com/listing/565-broome-street-unit-n6a-manhattan-ny-10013/781987223170329337/","565 Broome St, Unit N6A")</f>
        <v>565 Broome St, Unit N6A</v>
      </c>
      <c r="B3431" s="2" t="str">
        <f t="shared" si="576"/>
        <v>565 Broome Soho</v>
      </c>
      <c r="C3431" s="1" t="s">
        <v>53</v>
      </c>
      <c r="D3431" s="1" t="s">
        <v>41</v>
      </c>
      <c r="E3431" s="3">
        <v>2279950</v>
      </c>
      <c r="F3431" s="1">
        <v>2302.9797676767598</v>
      </c>
      <c r="G3431" s="1">
        <v>2</v>
      </c>
      <c r="H3431" s="1">
        <v>1</v>
      </c>
      <c r="I3431" s="1">
        <v>2</v>
      </c>
      <c r="J3431" s="1">
        <v>1.5</v>
      </c>
      <c r="K3431" s="1">
        <v>1</v>
      </c>
      <c r="L3431" s="1">
        <v>1</v>
      </c>
      <c r="M3431" s="1">
        <v>990</v>
      </c>
      <c r="N3431" s="1">
        <v>1439</v>
      </c>
      <c r="O3431" s="1">
        <v>3026</v>
      </c>
      <c r="P3431" s="1">
        <v>1587</v>
      </c>
      <c r="Q3431" s="1" t="s">
        <v>42</v>
      </c>
      <c r="S3431" s="1" t="s">
        <v>42</v>
      </c>
      <c r="T3431" s="1" t="s">
        <v>273</v>
      </c>
      <c r="V3431" s="5">
        <v>44343</v>
      </c>
      <c r="AA3431" s="1">
        <v>2279949.9700000002</v>
      </c>
      <c r="AB3431" s="1" t="s">
        <v>1713</v>
      </c>
      <c r="AC3431" s="5">
        <v>43567</v>
      </c>
      <c r="AF3431" s="1">
        <v>10013</v>
      </c>
      <c r="AI3431" s="1" t="s">
        <v>48</v>
      </c>
      <c r="AJ3431" s="1">
        <v>2019</v>
      </c>
      <c r="AK3431" s="1" t="s">
        <v>49</v>
      </c>
      <c r="AL3431" s="1">
        <v>115</v>
      </c>
    </row>
    <row r="3432" spans="1:38" x14ac:dyDescent="0.2">
      <c r="A3432" s="2" t="str">
        <f>HYPERLINK("https://www.compass.com/listing/565-broome-street-unit-s7a-manhattan-ny-10013/781987998202128449/","565 Broome St, Unit S7A")</f>
        <v>565 Broome St, Unit S7A</v>
      </c>
      <c r="B3432" s="2" t="str">
        <f t="shared" si="576"/>
        <v>565 Broome Soho</v>
      </c>
      <c r="C3432" s="1" t="s">
        <v>53</v>
      </c>
      <c r="D3432" s="1" t="s">
        <v>41</v>
      </c>
      <c r="E3432" s="3">
        <v>2395000</v>
      </c>
      <c r="F3432" s="1">
        <v>2419.1919191919101</v>
      </c>
      <c r="G3432" s="1">
        <v>2</v>
      </c>
      <c r="H3432" s="1">
        <v>1</v>
      </c>
      <c r="I3432" s="1">
        <v>2</v>
      </c>
      <c r="J3432" s="1">
        <v>1.5</v>
      </c>
      <c r="K3432" s="1">
        <v>1</v>
      </c>
      <c r="L3432" s="1">
        <v>1</v>
      </c>
      <c r="M3432" s="1">
        <v>990</v>
      </c>
      <c r="N3432" s="1">
        <v>1446</v>
      </c>
      <c r="O3432" s="1">
        <v>3041</v>
      </c>
      <c r="P3432" s="1">
        <v>1595</v>
      </c>
      <c r="Q3432" s="1" t="s">
        <v>42</v>
      </c>
      <c r="S3432" s="1" t="s">
        <v>42</v>
      </c>
      <c r="T3432" s="1" t="s">
        <v>273</v>
      </c>
      <c r="V3432" s="5">
        <v>44343</v>
      </c>
      <c r="AA3432" s="1">
        <v>2395000</v>
      </c>
      <c r="AB3432" s="1" t="s">
        <v>1705</v>
      </c>
      <c r="AC3432" s="5">
        <v>43584</v>
      </c>
      <c r="AF3432" s="1">
        <v>10013</v>
      </c>
      <c r="AI3432" s="1" t="s">
        <v>48</v>
      </c>
      <c r="AJ3432" s="1">
        <v>2019</v>
      </c>
      <c r="AK3432" s="1" t="s">
        <v>49</v>
      </c>
      <c r="AL3432" s="1">
        <v>115</v>
      </c>
    </row>
    <row r="3433" spans="1:38" x14ac:dyDescent="0.2">
      <c r="A3433" s="2" t="str">
        <f>HYPERLINK("https://www.compass.com/listing/565-broome-street-unit-n8d-manhattan-ny-10013/784627590772212929/","565 Broome St, Unit N8D")</f>
        <v>565 Broome St, Unit N8D</v>
      </c>
      <c r="B3433" s="2" t="str">
        <f t="shared" si="576"/>
        <v>565 Broome Soho</v>
      </c>
      <c r="C3433" s="1" t="s">
        <v>53</v>
      </c>
      <c r="D3433" s="1" t="s">
        <v>41</v>
      </c>
      <c r="E3433" s="3">
        <v>2223058</v>
      </c>
      <c r="F3433" s="1">
        <v>2429.5719999999901</v>
      </c>
      <c r="G3433" s="1">
        <v>2</v>
      </c>
      <c r="H3433" s="1">
        <v>1</v>
      </c>
      <c r="I3433" s="1">
        <v>2</v>
      </c>
      <c r="J3433" s="1">
        <v>1.5</v>
      </c>
      <c r="K3433" s="1">
        <v>1</v>
      </c>
      <c r="L3433" s="1">
        <v>1</v>
      </c>
      <c r="M3433" s="1">
        <v>915</v>
      </c>
      <c r="N3433" s="1">
        <v>1349</v>
      </c>
      <c r="O3433" s="1">
        <v>2837</v>
      </c>
      <c r="P3433" s="1">
        <v>1488</v>
      </c>
      <c r="Q3433" s="1" t="s">
        <v>42</v>
      </c>
      <c r="S3433" s="1" t="s">
        <v>42</v>
      </c>
      <c r="T3433" s="1" t="s">
        <v>273</v>
      </c>
      <c r="V3433" s="5">
        <v>44343</v>
      </c>
      <c r="AA3433" s="1">
        <v>2223058.38</v>
      </c>
      <c r="AB3433" s="1" t="s">
        <v>2240</v>
      </c>
      <c r="AC3433" s="5">
        <v>43566</v>
      </c>
      <c r="AF3433" s="1">
        <v>10013</v>
      </c>
      <c r="AI3433" s="1" t="s">
        <v>48</v>
      </c>
      <c r="AJ3433" s="1">
        <v>2019</v>
      </c>
      <c r="AK3433" s="1" t="s">
        <v>49</v>
      </c>
      <c r="AL3433" s="1">
        <v>115</v>
      </c>
    </row>
    <row r="3434" spans="1:38" x14ac:dyDescent="0.2">
      <c r="A3434" s="2" t="str">
        <f>HYPERLINK("https://www.compass.com/listing/565-broome-street-unit-n9a-manhattan-ny-10013/785221423164793521/","565 Broome St, Unit N9A")</f>
        <v>565 Broome St, Unit N9A</v>
      </c>
      <c r="B3434" s="2" t="str">
        <f t="shared" si="576"/>
        <v>565 Broome Soho</v>
      </c>
      <c r="C3434" s="1" t="s">
        <v>53</v>
      </c>
      <c r="D3434" s="1" t="s">
        <v>41</v>
      </c>
      <c r="E3434" s="3">
        <v>2216085</v>
      </c>
      <c r="F3434" s="1">
        <v>2238.4699090908998</v>
      </c>
      <c r="G3434" s="1">
        <v>2</v>
      </c>
      <c r="H3434" s="1">
        <v>1</v>
      </c>
      <c r="I3434" s="1">
        <v>2</v>
      </c>
      <c r="J3434" s="1">
        <v>1.5</v>
      </c>
      <c r="K3434" s="1">
        <v>1</v>
      </c>
      <c r="L3434" s="1">
        <v>1</v>
      </c>
      <c r="M3434" s="1">
        <v>990</v>
      </c>
      <c r="N3434" s="1">
        <v>1467</v>
      </c>
      <c r="O3434" s="1">
        <v>3085</v>
      </c>
      <c r="P3434" s="1">
        <v>1618</v>
      </c>
      <c r="Q3434" s="1" t="s">
        <v>42</v>
      </c>
      <c r="S3434" s="1" t="s">
        <v>42</v>
      </c>
      <c r="T3434" s="1" t="s">
        <v>273</v>
      </c>
      <c r="V3434" s="5">
        <v>44342</v>
      </c>
      <c r="AA3434" s="1">
        <v>2216085.21</v>
      </c>
      <c r="AB3434" s="1" t="s">
        <v>2219</v>
      </c>
      <c r="AC3434" s="5">
        <v>43600</v>
      </c>
      <c r="AF3434" s="1">
        <v>10013</v>
      </c>
      <c r="AI3434" s="1" t="s">
        <v>48</v>
      </c>
      <c r="AJ3434" s="1">
        <v>2019</v>
      </c>
      <c r="AK3434" s="1" t="s">
        <v>49</v>
      </c>
      <c r="AL3434" s="1">
        <v>115</v>
      </c>
    </row>
    <row r="3435" spans="1:38" x14ac:dyDescent="0.2">
      <c r="A3435" s="2" t="str">
        <f>HYPERLINK("https://www.compass.com/listing/565-broome-street-unit-s12d-manhattan-ny-10013/786288203089824617/","565 Broome St, Unit S12D")</f>
        <v>565 Broome St, Unit S12D</v>
      </c>
      <c r="B3435" s="2" t="str">
        <f t="shared" si="576"/>
        <v>565 Broome Soho</v>
      </c>
      <c r="C3435" s="1" t="s">
        <v>53</v>
      </c>
      <c r="D3435" s="1" t="s">
        <v>41</v>
      </c>
      <c r="E3435" s="3">
        <v>2330171</v>
      </c>
      <c r="F3435" s="1">
        <v>2546.6347540983602</v>
      </c>
      <c r="G3435" s="1">
        <v>2</v>
      </c>
      <c r="H3435" s="1">
        <v>1</v>
      </c>
      <c r="I3435" s="1">
        <v>2</v>
      </c>
      <c r="J3435" s="1">
        <v>1.5</v>
      </c>
      <c r="K3435" s="1">
        <v>1</v>
      </c>
      <c r="L3435" s="1">
        <v>1</v>
      </c>
      <c r="M3435" s="1">
        <v>915</v>
      </c>
      <c r="N3435" s="1">
        <v>1369</v>
      </c>
      <c r="O3435" s="1">
        <v>2879</v>
      </c>
      <c r="P3435" s="1">
        <v>1510</v>
      </c>
      <c r="Q3435" s="1" t="s">
        <v>42</v>
      </c>
      <c r="S3435" s="1" t="s">
        <v>42</v>
      </c>
      <c r="T3435" s="1" t="s">
        <v>273</v>
      </c>
      <c r="V3435" s="5">
        <v>44342</v>
      </c>
      <c r="AA3435" s="1">
        <v>2330170.7999999998</v>
      </c>
      <c r="AB3435" s="1" t="s">
        <v>2218</v>
      </c>
      <c r="AC3435" s="5">
        <v>43608</v>
      </c>
      <c r="AF3435" s="1">
        <v>10013</v>
      </c>
      <c r="AI3435" s="1" t="s">
        <v>48</v>
      </c>
      <c r="AJ3435" s="1">
        <v>2019</v>
      </c>
      <c r="AK3435" s="1" t="s">
        <v>49</v>
      </c>
      <c r="AL3435" s="1">
        <v>115</v>
      </c>
    </row>
    <row r="3436" spans="1:38" x14ac:dyDescent="0.2">
      <c r="A3436" s="2" t="str">
        <f>HYPERLINK("https://www.compass.com/listing/565-broome-street-unit-s11d-manhattan-ny-10013/786303547623836177/","565 Broome St, Unit S11D")</f>
        <v>565 Broome St, Unit S11D</v>
      </c>
      <c r="B3436" s="2" t="str">
        <f t="shared" si="576"/>
        <v>565 Broome Soho</v>
      </c>
      <c r="C3436" s="1" t="s">
        <v>53</v>
      </c>
      <c r="D3436" s="1" t="s">
        <v>41</v>
      </c>
      <c r="E3436" s="3">
        <v>2304649</v>
      </c>
      <c r="F3436" s="1">
        <v>2518.7416721311401</v>
      </c>
      <c r="G3436" s="1">
        <v>2</v>
      </c>
      <c r="H3436" s="1">
        <v>1</v>
      </c>
      <c r="I3436" s="1">
        <v>2</v>
      </c>
      <c r="J3436" s="1">
        <v>1.5</v>
      </c>
      <c r="K3436" s="1">
        <v>1</v>
      </c>
      <c r="L3436" s="1">
        <v>1</v>
      </c>
      <c r="M3436" s="1">
        <v>915</v>
      </c>
      <c r="N3436" s="1">
        <v>1363</v>
      </c>
      <c r="O3436" s="1">
        <v>2866</v>
      </c>
      <c r="P3436" s="1">
        <v>1503</v>
      </c>
      <c r="Q3436" s="1" t="s">
        <v>42</v>
      </c>
      <c r="S3436" s="1" t="s">
        <v>42</v>
      </c>
      <c r="T3436" s="1" t="s">
        <v>273</v>
      </c>
      <c r="V3436" s="5">
        <v>44342</v>
      </c>
      <c r="AA3436" s="1">
        <v>2304648.63</v>
      </c>
      <c r="AB3436" s="1" t="s">
        <v>1702</v>
      </c>
      <c r="AC3436" s="5">
        <v>43601</v>
      </c>
      <c r="AF3436" s="1">
        <v>10013</v>
      </c>
      <c r="AI3436" s="1" t="s">
        <v>48</v>
      </c>
      <c r="AJ3436" s="1">
        <v>2019</v>
      </c>
      <c r="AK3436" s="1" t="s">
        <v>49</v>
      </c>
      <c r="AL3436" s="1">
        <v>115</v>
      </c>
    </row>
    <row r="3437" spans="1:38" x14ac:dyDescent="0.2">
      <c r="A3437" s="2" t="str">
        <f>HYPERLINK("https://www.compass.com/listing/565-broome-street-unit-s8a-manhattan-ny-10013/786320407201851833/","565 Broome St, Unit S8A")</f>
        <v>565 Broome St, Unit S8A</v>
      </c>
      <c r="B3437" s="2" t="str">
        <f t="shared" si="576"/>
        <v>565 Broome Soho</v>
      </c>
      <c r="C3437" s="1" t="s">
        <v>53</v>
      </c>
      <c r="D3437" s="1" t="s">
        <v>41</v>
      </c>
      <c r="E3437" s="3">
        <v>2464165</v>
      </c>
      <c r="F3437" s="1">
        <v>2489.0555555555502</v>
      </c>
      <c r="G3437" s="1">
        <v>3</v>
      </c>
      <c r="H3437" s="1">
        <v>1</v>
      </c>
      <c r="I3437" s="1">
        <v>2</v>
      </c>
      <c r="J3437" s="1">
        <v>1.5</v>
      </c>
      <c r="K3437" s="1">
        <v>1</v>
      </c>
      <c r="L3437" s="1">
        <v>1</v>
      </c>
      <c r="M3437" s="1">
        <v>990</v>
      </c>
      <c r="N3437" s="1">
        <v>1453</v>
      </c>
      <c r="O3437" s="1">
        <v>3055</v>
      </c>
      <c r="P3437" s="1">
        <v>1602</v>
      </c>
      <c r="Q3437" s="1" t="s">
        <v>42</v>
      </c>
      <c r="S3437" s="1" t="s">
        <v>42</v>
      </c>
      <c r="T3437" s="1" t="s">
        <v>273</v>
      </c>
      <c r="V3437" s="5">
        <v>44342</v>
      </c>
      <c r="AA3437" s="1">
        <v>2464165</v>
      </c>
      <c r="AB3437" s="1" t="s">
        <v>1706</v>
      </c>
      <c r="AC3437" s="5">
        <v>43599</v>
      </c>
      <c r="AF3437" s="1">
        <v>10013</v>
      </c>
      <c r="AI3437" s="1" t="s">
        <v>48</v>
      </c>
      <c r="AJ3437" s="1">
        <v>2019</v>
      </c>
      <c r="AK3437" s="1" t="s">
        <v>49</v>
      </c>
      <c r="AL3437" s="1">
        <v>115</v>
      </c>
    </row>
    <row r="3438" spans="1:38" x14ac:dyDescent="0.2">
      <c r="A3438" s="2" t="str">
        <f>HYPERLINK("https://www.compass.com/listing/565-broome-street-unit-n7d-manhattan-ny-10013/803311414189602337/","565 Broome St, Unit N7D")</f>
        <v>565 Broome St, Unit N7D</v>
      </c>
      <c r="B3438" s="2" t="str">
        <f t="shared" si="576"/>
        <v>565 Broome Soho</v>
      </c>
      <c r="C3438" s="1" t="s">
        <v>53</v>
      </c>
      <c r="D3438" s="1" t="s">
        <v>41</v>
      </c>
      <c r="E3438" s="3">
        <v>2197536</v>
      </c>
      <c r="F3438" s="1">
        <v>2401.67826229508</v>
      </c>
      <c r="G3438" s="1">
        <v>2</v>
      </c>
      <c r="H3438" s="1">
        <v>1</v>
      </c>
      <c r="I3438" s="1">
        <v>2</v>
      </c>
      <c r="J3438" s="1">
        <v>1.5</v>
      </c>
      <c r="K3438" s="1">
        <v>1</v>
      </c>
      <c r="L3438" s="1">
        <v>1</v>
      </c>
      <c r="M3438" s="1">
        <v>915</v>
      </c>
      <c r="N3438" s="1">
        <v>1343</v>
      </c>
      <c r="O3438" s="1">
        <v>2824</v>
      </c>
      <c r="P3438" s="1">
        <v>1481</v>
      </c>
      <c r="Q3438" s="1" t="s">
        <v>42</v>
      </c>
      <c r="S3438" s="1" t="s">
        <v>42</v>
      </c>
      <c r="T3438" s="1" t="s">
        <v>273</v>
      </c>
      <c r="V3438" s="5">
        <v>44342</v>
      </c>
      <c r="AA3438" s="1">
        <v>2197535.61</v>
      </c>
      <c r="AB3438" s="1" t="s">
        <v>1670</v>
      </c>
      <c r="AC3438" s="5">
        <v>43586</v>
      </c>
      <c r="AF3438" s="1">
        <v>10013</v>
      </c>
      <c r="AI3438" s="1" t="s">
        <v>48</v>
      </c>
      <c r="AJ3438" s="1">
        <v>2019</v>
      </c>
      <c r="AK3438" s="1" t="s">
        <v>49</v>
      </c>
      <c r="AL3438" s="1">
        <v>115</v>
      </c>
    </row>
    <row r="3439" spans="1:38" x14ac:dyDescent="0.2">
      <c r="A3439" s="2" t="str">
        <f>HYPERLINK("https://www.compass.com/listing/565-broome-street-unit-n9d-manhattan-ny-10013/803329187016076385/","565 Broome St, Unit N9D")</f>
        <v>565 Broome St, Unit N9D</v>
      </c>
      <c r="B3439" s="2" t="str">
        <f t="shared" si="576"/>
        <v>565 Broome Soho</v>
      </c>
      <c r="C3439" s="1" t="s">
        <v>53</v>
      </c>
      <c r="D3439" s="1" t="s">
        <v>41</v>
      </c>
      <c r="E3439" s="3">
        <v>2213277</v>
      </c>
      <c r="F3439" s="1">
        <v>2418.8819672131099</v>
      </c>
      <c r="G3439" s="1">
        <v>2</v>
      </c>
      <c r="H3439" s="1">
        <v>1</v>
      </c>
      <c r="I3439" s="1">
        <v>2</v>
      </c>
      <c r="J3439" s="1">
        <v>1.5</v>
      </c>
      <c r="K3439" s="1">
        <v>1</v>
      </c>
      <c r="L3439" s="1">
        <v>1</v>
      </c>
      <c r="M3439" s="1">
        <v>915</v>
      </c>
      <c r="N3439" s="1">
        <v>1356</v>
      </c>
      <c r="O3439" s="1">
        <v>2852</v>
      </c>
      <c r="P3439" s="1">
        <v>1496</v>
      </c>
      <c r="Q3439" s="1" t="s">
        <v>42</v>
      </c>
      <c r="S3439" s="1" t="s">
        <v>42</v>
      </c>
      <c r="T3439" s="1" t="s">
        <v>273</v>
      </c>
      <c r="V3439" s="5">
        <v>44342</v>
      </c>
      <c r="AA3439" s="1">
        <v>2213277</v>
      </c>
      <c r="AB3439" s="1" t="s">
        <v>1710</v>
      </c>
      <c r="AC3439" s="5">
        <v>43853</v>
      </c>
      <c r="AF3439" s="1">
        <v>10013</v>
      </c>
      <c r="AI3439" s="1" t="s">
        <v>48</v>
      </c>
      <c r="AJ3439" s="1">
        <v>2019</v>
      </c>
      <c r="AK3439" s="1" t="s">
        <v>49</v>
      </c>
      <c r="AL3439" s="1">
        <v>115</v>
      </c>
    </row>
    <row r="3440" spans="1:38" x14ac:dyDescent="0.2">
      <c r="A3440" s="2" t="str">
        <f>HYPERLINK("https://www.compass.com/listing/565-broome-street-unit-s9a-manhattan-ny-10013/803334052945637337/","565 Broome St, Unit S9A")</f>
        <v>565 Broome St, Unit S9A</v>
      </c>
      <c r="B3440" s="2" t="str">
        <f t="shared" si="576"/>
        <v>565 Broome Soho</v>
      </c>
      <c r="C3440" s="1" t="s">
        <v>53</v>
      </c>
      <c r="D3440" s="1" t="s">
        <v>41</v>
      </c>
      <c r="E3440" s="3">
        <v>2481737</v>
      </c>
      <c r="F3440" s="1">
        <v>2506.8055353535301</v>
      </c>
      <c r="G3440" s="1">
        <v>2</v>
      </c>
      <c r="H3440" s="1">
        <v>1</v>
      </c>
      <c r="I3440" s="1">
        <v>2</v>
      </c>
      <c r="J3440" s="1">
        <v>1.5</v>
      </c>
      <c r="K3440" s="1">
        <v>1</v>
      </c>
      <c r="L3440" s="1">
        <v>1</v>
      </c>
      <c r="M3440" s="1">
        <v>990</v>
      </c>
      <c r="N3440" s="1">
        <v>1460</v>
      </c>
      <c r="O3440" s="1">
        <v>3070</v>
      </c>
      <c r="P3440" s="1">
        <v>1610</v>
      </c>
      <c r="Q3440" s="1" t="s">
        <v>42</v>
      </c>
      <c r="S3440" s="1" t="s">
        <v>42</v>
      </c>
      <c r="T3440" s="1" t="s">
        <v>273</v>
      </c>
      <c r="V3440" s="5">
        <v>44342</v>
      </c>
      <c r="AA3440" s="1">
        <v>2481737.48</v>
      </c>
      <c r="AB3440" s="1" t="s">
        <v>1674</v>
      </c>
      <c r="AC3440" s="5">
        <v>43585</v>
      </c>
      <c r="AF3440" s="1">
        <v>10013</v>
      </c>
      <c r="AI3440" s="1" t="s">
        <v>48</v>
      </c>
      <c r="AJ3440" s="1">
        <v>2019</v>
      </c>
      <c r="AK3440" s="1" t="s">
        <v>49</v>
      </c>
      <c r="AL3440" s="1">
        <v>115</v>
      </c>
    </row>
    <row r="3441" spans="1:38" x14ac:dyDescent="0.2">
      <c r="A3441" s="2" t="str">
        <f>HYPERLINK("https://www.compass.com/listing/77-charlton-street-unit-s2c-manhattan-ny-10014/806978310283196209/","77 Charlton St, Unit S2C")</f>
        <v>77 Charlton St, Unit S2C</v>
      </c>
      <c r="B3441" s="2" t="str">
        <f t="shared" ref="B3441:B3445" si="577">HYPERLINK("https://www.compass.com/building/77-charlton-st-manhattan-ny-10014/282058735872933093/","77 Charlton St")</f>
        <v>77 Charlton St</v>
      </c>
      <c r="C3441" s="1" t="s">
        <v>53</v>
      </c>
      <c r="D3441" s="1" t="s">
        <v>41</v>
      </c>
      <c r="E3441" s="3">
        <v>2208000</v>
      </c>
      <c r="Q3441" s="1" t="s">
        <v>42</v>
      </c>
      <c r="S3441" s="1" t="s">
        <v>42</v>
      </c>
      <c r="T3441" s="1" t="s">
        <v>273</v>
      </c>
      <c r="AA3441" s="1">
        <v>2208000</v>
      </c>
      <c r="AB3441" s="1" t="s">
        <v>2241</v>
      </c>
      <c r="AC3441" s="5">
        <v>44358</v>
      </c>
      <c r="AF3441" s="1">
        <v>10014</v>
      </c>
      <c r="AI3441" s="1" t="s">
        <v>48</v>
      </c>
      <c r="AJ3441" s="1">
        <v>2019</v>
      </c>
      <c r="AK3441" s="1" t="s">
        <v>49</v>
      </c>
      <c r="AL3441" s="1">
        <v>161</v>
      </c>
    </row>
    <row r="3442" spans="1:38" x14ac:dyDescent="0.2">
      <c r="A3442" s="2" t="str">
        <f>HYPERLINK("https://www.compass.com/listing/77-charlton-street-unit-s8d-manhattan-ny-10014/822905481423497209/","77 Charlton St, Unit S8D")</f>
        <v>77 Charlton St, Unit S8D</v>
      </c>
      <c r="B3442" s="2" t="str">
        <f t="shared" si="577"/>
        <v>77 Charlton St</v>
      </c>
      <c r="C3442" s="1" t="s">
        <v>53</v>
      </c>
      <c r="D3442" s="1" t="s">
        <v>41</v>
      </c>
      <c r="E3442" s="3">
        <v>2305318</v>
      </c>
      <c r="Q3442" s="1" t="s">
        <v>42</v>
      </c>
      <c r="S3442" s="1" t="s">
        <v>42</v>
      </c>
      <c r="T3442" s="1" t="s">
        <v>273</v>
      </c>
      <c r="AA3442" s="1">
        <v>2305318</v>
      </c>
      <c r="AB3442" s="1" t="s">
        <v>2242</v>
      </c>
      <c r="AC3442" s="5">
        <v>44377</v>
      </c>
      <c r="AF3442" s="1">
        <v>10014</v>
      </c>
      <c r="AI3442" s="1" t="s">
        <v>48</v>
      </c>
      <c r="AJ3442" s="1">
        <v>2019</v>
      </c>
      <c r="AK3442" s="1" t="s">
        <v>49</v>
      </c>
      <c r="AL3442" s="1">
        <v>161</v>
      </c>
    </row>
    <row r="3443" spans="1:38" x14ac:dyDescent="0.2">
      <c r="A3443" s="2" t="str">
        <f>HYPERLINK("https://www.compass.com/listing/77-charlton-street-unit-s4d-manhattan-ny-10014/831818289184145121/","77 Charlton St, Unit S4D")</f>
        <v>77 Charlton St, Unit S4D</v>
      </c>
      <c r="B3443" s="2" t="str">
        <f t="shared" si="577"/>
        <v>77 Charlton St</v>
      </c>
      <c r="C3443" s="1" t="s">
        <v>53</v>
      </c>
      <c r="D3443" s="1" t="s">
        <v>41</v>
      </c>
      <c r="E3443" s="3">
        <v>2178037</v>
      </c>
      <c r="Q3443" s="1" t="s">
        <v>42</v>
      </c>
      <c r="S3443" s="1" t="s">
        <v>42</v>
      </c>
      <c r="T3443" s="1" t="s">
        <v>273</v>
      </c>
      <c r="AA3443" s="1">
        <v>2178036.75</v>
      </c>
      <c r="AB3443" s="1" t="s">
        <v>2243</v>
      </c>
      <c r="AC3443" s="5">
        <v>44361</v>
      </c>
      <c r="AF3443" s="1">
        <v>10014</v>
      </c>
      <c r="AI3443" s="1" t="s">
        <v>48</v>
      </c>
      <c r="AJ3443" s="1">
        <v>2019</v>
      </c>
      <c r="AK3443" s="1" t="s">
        <v>49</v>
      </c>
      <c r="AL3443" s="1">
        <v>161</v>
      </c>
    </row>
    <row r="3444" spans="1:38" x14ac:dyDescent="0.2">
      <c r="A3444" s="2" t="str">
        <f>HYPERLINK("https://www.compass.com/listing/77-charlton-street-unit-s9d-manhattan-ny-10014/832343081209067737/","77 Charlton St, Unit S9D")</f>
        <v>77 Charlton St, Unit S9D</v>
      </c>
      <c r="B3444" s="2" t="str">
        <f t="shared" si="577"/>
        <v>77 Charlton St</v>
      </c>
      <c r="C3444" s="1" t="s">
        <v>53</v>
      </c>
      <c r="D3444" s="1" t="s">
        <v>41</v>
      </c>
      <c r="E3444" s="3">
        <v>2202951</v>
      </c>
      <c r="Q3444" s="1" t="s">
        <v>42</v>
      </c>
      <c r="S3444" s="1" t="s">
        <v>42</v>
      </c>
      <c r="T3444" s="1" t="s">
        <v>273</v>
      </c>
      <c r="AA3444" s="1">
        <v>2202951</v>
      </c>
      <c r="AB3444" s="1" t="s">
        <v>2244</v>
      </c>
      <c r="AC3444" s="5">
        <v>44386</v>
      </c>
      <c r="AF3444" s="1">
        <v>10014</v>
      </c>
      <c r="AI3444" s="1" t="s">
        <v>48</v>
      </c>
      <c r="AJ3444" s="1">
        <v>2019</v>
      </c>
      <c r="AK3444" s="1" t="s">
        <v>49</v>
      </c>
      <c r="AL3444" s="1">
        <v>161</v>
      </c>
    </row>
    <row r="3445" spans="1:38" x14ac:dyDescent="0.2">
      <c r="A3445" s="2" t="str">
        <f>HYPERLINK("https://www.compass.com/listing/77-charlton-street-unit-n11c-manhattan-ny-10014/838123405675560033/","77 Charlton St, Unit N11C")</f>
        <v>77 Charlton St, Unit N11C</v>
      </c>
      <c r="B3445" s="2" t="str">
        <f t="shared" si="577"/>
        <v>77 Charlton St</v>
      </c>
      <c r="C3445" s="1" t="s">
        <v>53</v>
      </c>
      <c r="D3445" s="1" t="s">
        <v>41</v>
      </c>
      <c r="E3445" s="3">
        <v>2221000</v>
      </c>
      <c r="Q3445" s="1" t="s">
        <v>42</v>
      </c>
      <c r="S3445" s="1" t="s">
        <v>42</v>
      </c>
      <c r="T3445" s="1" t="s">
        <v>273</v>
      </c>
      <c r="AA3445" s="1">
        <v>2221000</v>
      </c>
      <c r="AB3445" s="1" t="s">
        <v>2245</v>
      </c>
      <c r="AC3445" s="5">
        <v>44397</v>
      </c>
      <c r="AF3445" s="1">
        <v>10014</v>
      </c>
      <c r="AI3445" s="1" t="s">
        <v>48</v>
      </c>
      <c r="AJ3445" s="1">
        <v>2019</v>
      </c>
      <c r="AK3445" s="1" t="s">
        <v>49</v>
      </c>
      <c r="AL3445" s="1">
        <v>161</v>
      </c>
    </row>
    <row r="3446" spans="1:38" x14ac:dyDescent="0.2">
      <c r="A3446" s="2" t="str">
        <f>HYPERLINK("https://www.compass.com/listing/300-east-64th-street-unit-9b-manhattan-ny-10065/29415721285018993/","300 E 64th St, Unit 9B")</f>
        <v>300 E 64th St, Unit 9B</v>
      </c>
      <c r="B3446" s="2" t="str">
        <f>HYPERLINK("https://www.compass.com/building/300-e-64th-st-manhattan-ny-10065/282038617012979925/","300 E 64th St")</f>
        <v>300 E 64th St</v>
      </c>
      <c r="C3446" s="1" t="s">
        <v>82</v>
      </c>
      <c r="D3446" s="1" t="s">
        <v>41</v>
      </c>
      <c r="E3446" s="3">
        <v>925000</v>
      </c>
      <c r="F3446" s="1">
        <v>1454.40251572327</v>
      </c>
      <c r="G3446" s="1">
        <v>3</v>
      </c>
      <c r="H3446" s="1">
        <v>1</v>
      </c>
      <c r="I3446" s="1">
        <v>1</v>
      </c>
      <c r="J3446" s="1">
        <v>1</v>
      </c>
      <c r="M3446" s="1">
        <v>636</v>
      </c>
      <c r="N3446" s="1">
        <v>716</v>
      </c>
      <c r="O3446" s="1">
        <v>1735</v>
      </c>
      <c r="P3446" s="1">
        <v>1019</v>
      </c>
      <c r="Q3446" s="1" t="s">
        <v>42</v>
      </c>
      <c r="S3446" s="1" t="s">
        <v>42</v>
      </c>
      <c r="T3446" s="1" t="s">
        <v>273</v>
      </c>
      <c r="V3446" s="5">
        <v>43651</v>
      </c>
      <c r="W3446" s="5">
        <v>42028</v>
      </c>
      <c r="X3446" s="1">
        <v>925000</v>
      </c>
      <c r="Y3446" s="1">
        <v>925000</v>
      </c>
      <c r="Z3446" s="5">
        <v>42028</v>
      </c>
      <c r="AA3446" s="1">
        <v>925000</v>
      </c>
      <c r="AB3446" s="1" t="s">
        <v>2246</v>
      </c>
      <c r="AC3446" s="5">
        <v>42212</v>
      </c>
      <c r="AF3446" s="1">
        <v>10065</v>
      </c>
      <c r="AI3446" s="1" t="s">
        <v>83</v>
      </c>
      <c r="AJ3446" s="1">
        <v>1996</v>
      </c>
      <c r="AK3446" s="1" t="s">
        <v>49</v>
      </c>
      <c r="AL3446" s="1">
        <v>103</v>
      </c>
    </row>
    <row r="3447" spans="1:38" x14ac:dyDescent="0.2">
      <c r="A3447" s="2" t="str">
        <f>HYPERLINK("https://www.compass.com/listing/180-east-88th-street-unit-20b-manhattan-ny-10128/161420284019142913/","180 E 88th St, Unit 20B")</f>
        <v>180 E 88th St, Unit 20B</v>
      </c>
      <c r="B3447" s="2" t="str">
        <f>HYPERLINK("https://www.compass.com/building/180-e-88th-st-manhattan-ny-10128/282058835781256373/","180 E 88th St")</f>
        <v>180 E 88th St</v>
      </c>
      <c r="C3447" s="1" t="s">
        <v>82</v>
      </c>
      <c r="D3447" s="1" t="s">
        <v>41</v>
      </c>
      <c r="E3447" s="3">
        <v>5850000</v>
      </c>
      <c r="F3447" s="1">
        <v>2468.3544303797398</v>
      </c>
      <c r="G3447" s="1">
        <v>7</v>
      </c>
      <c r="H3447" s="1">
        <v>4</v>
      </c>
      <c r="I3447" s="1">
        <v>4</v>
      </c>
      <c r="J3447" s="1">
        <v>3.5</v>
      </c>
      <c r="K3447" s="1">
        <v>3</v>
      </c>
      <c r="L3447" s="1">
        <v>1</v>
      </c>
      <c r="M3447" s="4">
        <v>2370</v>
      </c>
      <c r="N3447" s="1">
        <v>3525</v>
      </c>
      <c r="O3447" s="1">
        <v>6300</v>
      </c>
      <c r="P3447" s="1">
        <v>2775</v>
      </c>
      <c r="Q3447" s="1" t="s">
        <v>42</v>
      </c>
      <c r="S3447" s="1" t="s">
        <v>42</v>
      </c>
      <c r="T3447" s="1" t="s">
        <v>273</v>
      </c>
      <c r="U3447" s="1">
        <v>19</v>
      </c>
      <c r="V3447" s="5">
        <v>44230</v>
      </c>
      <c r="W3447" s="5">
        <v>44084</v>
      </c>
      <c r="Y3447" s="1">
        <v>6600000</v>
      </c>
      <c r="Z3447" s="5">
        <v>44104</v>
      </c>
      <c r="AA3447" s="1">
        <v>5850000</v>
      </c>
      <c r="AB3447" s="1" t="s">
        <v>2247</v>
      </c>
      <c r="AC3447" s="5">
        <v>44151</v>
      </c>
      <c r="AF3447" s="1">
        <v>10128</v>
      </c>
      <c r="AI3447" s="1" t="s">
        <v>177</v>
      </c>
      <c r="AJ3447" s="1">
        <v>2019</v>
      </c>
      <c r="AK3447" s="1" t="s">
        <v>46</v>
      </c>
      <c r="AL3447" s="1">
        <v>48</v>
      </c>
    </row>
    <row r="3448" spans="1:38" x14ac:dyDescent="0.2">
      <c r="A3448" s="2" t="str">
        <f>HYPERLINK("https://www.compass.com/listing/200-east-94th-street-unit-2217-manhattan-ny-10128/70959436767717713/","200 E 94th St, Unit 2217")</f>
        <v>200 E 94th St, Unit 2217</v>
      </c>
      <c r="B3448" s="2" t="str">
        <f>HYPERLINK("https://www.compass.com/building/carnegie-park-condominium-manhattan-ny/282049797358118613/","Carnegie Park Condominium")</f>
        <v>Carnegie Park Condominium</v>
      </c>
      <c r="C3448" s="1" t="s">
        <v>82</v>
      </c>
      <c r="D3448" s="1" t="s">
        <v>41</v>
      </c>
      <c r="E3448" s="3">
        <v>2931496</v>
      </c>
      <c r="F3448" s="1">
        <v>1559.3064468085099</v>
      </c>
      <c r="H3448" s="1">
        <v>4</v>
      </c>
      <c r="J3448" s="1">
        <v>3</v>
      </c>
      <c r="M3448" s="4">
        <v>1880</v>
      </c>
      <c r="N3448" s="1">
        <v>2071.23</v>
      </c>
      <c r="O3448" s="1">
        <v>4195.2299999999996</v>
      </c>
      <c r="P3448" s="1">
        <v>2124</v>
      </c>
      <c r="Q3448" s="1" t="s">
        <v>42</v>
      </c>
      <c r="S3448" s="1" t="s">
        <v>42</v>
      </c>
      <c r="T3448" s="1" t="s">
        <v>273</v>
      </c>
      <c r="AA3448" s="1">
        <v>2931496.12</v>
      </c>
      <c r="AB3448" s="1" t="s">
        <v>2248</v>
      </c>
      <c r="AC3448" s="5">
        <v>42412</v>
      </c>
      <c r="AF3448" s="1">
        <v>10128</v>
      </c>
      <c r="AI3448" s="1" t="s">
        <v>163</v>
      </c>
      <c r="AJ3448" s="1">
        <v>1986</v>
      </c>
      <c r="AK3448" s="1" t="s">
        <v>55</v>
      </c>
      <c r="AL3448" s="1">
        <v>287</v>
      </c>
    </row>
    <row r="3449" spans="1:38" x14ac:dyDescent="0.2">
      <c r="A3449" s="2" t="str">
        <f>HYPERLINK("https://www.compass.com/listing/30-east-31st-street-unit-7a-manhattan-ny-10016/29514259981526369/","30 E 31st St, Unit 7A")</f>
        <v>30 E 31st St, Unit 7A</v>
      </c>
      <c r="B3449" s="2" t="str">
        <f>HYPERLINK("https://www.compass.com/building/30-east-31st-street-manhattan-ny/281939352542566357/","30 East 31st Street")</f>
        <v>30 East 31st Street</v>
      </c>
      <c r="C3449" s="1" t="s">
        <v>40</v>
      </c>
      <c r="D3449" s="1" t="s">
        <v>41</v>
      </c>
      <c r="E3449" s="3">
        <v>2025000</v>
      </c>
      <c r="F3449" s="1">
        <v>2049.5951417003998</v>
      </c>
      <c r="G3449" s="1">
        <v>2</v>
      </c>
      <c r="H3449" s="1">
        <v>1</v>
      </c>
      <c r="I3449" s="1">
        <v>2</v>
      </c>
      <c r="J3449" s="1">
        <v>1.5</v>
      </c>
      <c r="K3449" s="1">
        <v>1</v>
      </c>
      <c r="L3449" s="1">
        <v>1</v>
      </c>
      <c r="M3449" s="1">
        <v>988</v>
      </c>
      <c r="N3449" s="1">
        <v>1353</v>
      </c>
      <c r="O3449" s="1">
        <v>3232</v>
      </c>
      <c r="P3449" s="1">
        <v>1879</v>
      </c>
      <c r="Q3449" s="1" t="s">
        <v>42</v>
      </c>
      <c r="S3449" s="1" t="s">
        <v>42</v>
      </c>
      <c r="T3449" s="1" t="s">
        <v>273</v>
      </c>
      <c r="V3449" s="5">
        <v>44413</v>
      </c>
      <c r="W3449" s="5">
        <v>44340</v>
      </c>
      <c r="X3449" s="1">
        <v>2025000</v>
      </c>
      <c r="Y3449" s="1">
        <v>2025000</v>
      </c>
      <c r="Z3449" s="5">
        <v>44341</v>
      </c>
      <c r="AA3449" s="1">
        <v>2025000</v>
      </c>
      <c r="AB3449" s="1" t="s">
        <v>275</v>
      </c>
      <c r="AC3449" s="5">
        <v>44396</v>
      </c>
      <c r="AF3449" s="1">
        <v>10016</v>
      </c>
      <c r="AJ3449" s="1">
        <v>2018</v>
      </c>
      <c r="AK3449" s="1" t="s">
        <v>46</v>
      </c>
      <c r="AL3449" s="1">
        <v>42</v>
      </c>
    </row>
    <row r="3450" spans="1:38" x14ac:dyDescent="0.2">
      <c r="A3450" s="2" t="str">
        <f>HYPERLINK("https://www.compass.com/listing/200-east-94th-street-unit-417-manhattan-ny-10128/324931580770009825/","200 E 94th St, Unit 417")</f>
        <v>200 E 94th St, Unit 417</v>
      </c>
      <c r="B3450" s="2" t="str">
        <f>HYPERLINK("https://www.compass.com/building/carnegie-park-condominium-manhattan-ny/282049797358118613/","Carnegie Park Condominium")</f>
        <v>Carnegie Park Condominium</v>
      </c>
      <c r="C3450" s="1" t="s">
        <v>82</v>
      </c>
      <c r="D3450" s="1" t="s">
        <v>41</v>
      </c>
      <c r="E3450" s="3">
        <v>3075437</v>
      </c>
      <c r="F3450" s="1">
        <v>1711.42845854201</v>
      </c>
      <c r="H3450" s="1">
        <v>3</v>
      </c>
      <c r="J3450" s="1">
        <v>4</v>
      </c>
      <c r="K3450" s="1">
        <v>4</v>
      </c>
      <c r="M3450" s="4">
        <v>1797</v>
      </c>
      <c r="N3450" s="1">
        <v>2074</v>
      </c>
      <c r="O3450" s="1">
        <v>4251</v>
      </c>
      <c r="P3450" s="1">
        <v>2177</v>
      </c>
      <c r="Q3450" s="1" t="s">
        <v>42</v>
      </c>
      <c r="S3450" s="1" t="s">
        <v>42</v>
      </c>
      <c r="T3450" s="1" t="s">
        <v>273</v>
      </c>
      <c r="AA3450" s="1">
        <v>3075436.94</v>
      </c>
      <c r="AB3450" s="1" t="s">
        <v>2249</v>
      </c>
      <c r="AC3450" s="5">
        <v>43641</v>
      </c>
      <c r="AF3450" s="1">
        <v>10128</v>
      </c>
      <c r="AI3450" s="1" t="s">
        <v>163</v>
      </c>
      <c r="AJ3450" s="1">
        <v>1986</v>
      </c>
      <c r="AK3450" s="1" t="s">
        <v>55</v>
      </c>
      <c r="AL3450" s="1">
        <v>287</v>
      </c>
    </row>
    <row r="3451" spans="1:38" x14ac:dyDescent="0.2">
      <c r="A3451" s="2" t="str">
        <f>HYPERLINK("https://www.compass.com/listing/565-broome-street-unit-n5f-manhattan-ny-10013/780145099279221321/","565 Broome St, Unit N5F")</f>
        <v>565 Broome St, Unit N5F</v>
      </c>
      <c r="B3451" s="2" t="str">
        <f t="shared" ref="B3451:B3454" si="578">HYPERLINK("https://www.compass.com/building/565-broome-soho-manhattan-ny/292813251698267109/","565 Broome Soho")</f>
        <v>565 Broome Soho</v>
      </c>
      <c r="C3451" s="1" t="s">
        <v>53</v>
      </c>
      <c r="D3451" s="1" t="s">
        <v>41</v>
      </c>
      <c r="E3451" s="3">
        <v>1664979</v>
      </c>
      <c r="F3451" s="1">
        <v>2325.3892318435701</v>
      </c>
      <c r="G3451" s="1">
        <v>2</v>
      </c>
      <c r="H3451" s="1">
        <v>1</v>
      </c>
      <c r="I3451" s="1">
        <v>1</v>
      </c>
      <c r="J3451" s="1">
        <v>1</v>
      </c>
      <c r="K3451" s="1">
        <v>1</v>
      </c>
      <c r="M3451" s="1">
        <v>716</v>
      </c>
      <c r="N3451" s="1">
        <v>1035</v>
      </c>
      <c r="O3451" s="1">
        <v>2177</v>
      </c>
      <c r="P3451" s="1">
        <v>1142</v>
      </c>
      <c r="Q3451" s="1" t="s">
        <v>42</v>
      </c>
      <c r="S3451" s="1" t="s">
        <v>42</v>
      </c>
      <c r="T3451" s="1" t="s">
        <v>273</v>
      </c>
      <c r="V3451" s="5">
        <v>44342</v>
      </c>
      <c r="AA3451" s="1">
        <v>1664978.69</v>
      </c>
      <c r="AB3451" s="1" t="s">
        <v>1695</v>
      </c>
      <c r="AC3451" s="5">
        <v>43601</v>
      </c>
      <c r="AF3451" s="1">
        <v>10013</v>
      </c>
      <c r="AI3451" s="1" t="s">
        <v>48</v>
      </c>
      <c r="AJ3451" s="1">
        <v>2019</v>
      </c>
      <c r="AK3451" s="1" t="s">
        <v>49</v>
      </c>
      <c r="AL3451" s="1">
        <v>115</v>
      </c>
    </row>
    <row r="3452" spans="1:38" x14ac:dyDescent="0.2">
      <c r="A3452" s="2" t="str">
        <f>HYPERLINK("https://www.compass.com/listing/565-broome-street-unit-n6h-manhattan-ny-10013/781987982943637137/","565 Broome St, Unit N6H")</f>
        <v>565 Broome St, Unit N6H</v>
      </c>
      <c r="B3452" s="2" t="str">
        <f t="shared" si="578"/>
        <v>565 Broome Soho</v>
      </c>
      <c r="C3452" s="1" t="s">
        <v>53</v>
      </c>
      <c r="D3452" s="1" t="s">
        <v>41</v>
      </c>
      <c r="E3452" s="3">
        <v>1619018</v>
      </c>
      <c r="F3452" s="1">
        <v>2498.4837962962902</v>
      </c>
      <c r="G3452" s="1">
        <v>2</v>
      </c>
      <c r="H3452" s="1">
        <v>1</v>
      </c>
      <c r="I3452" s="1">
        <v>1</v>
      </c>
      <c r="J3452" s="1">
        <v>1</v>
      </c>
      <c r="K3452" s="1">
        <v>1</v>
      </c>
      <c r="M3452" s="1">
        <v>648</v>
      </c>
      <c r="N3452" s="1">
        <v>942</v>
      </c>
      <c r="O3452" s="1">
        <v>1981</v>
      </c>
      <c r="P3452" s="1">
        <v>1039</v>
      </c>
      <c r="Q3452" s="1" t="s">
        <v>42</v>
      </c>
      <c r="S3452" s="1" t="s">
        <v>42</v>
      </c>
      <c r="T3452" s="1" t="s">
        <v>273</v>
      </c>
      <c r="V3452" s="5">
        <v>44342</v>
      </c>
      <c r="AA3452" s="1">
        <v>1619017.5</v>
      </c>
      <c r="AB3452" s="1" t="s">
        <v>2228</v>
      </c>
      <c r="AC3452" s="5">
        <v>43626</v>
      </c>
      <c r="AF3452" s="1">
        <v>10013</v>
      </c>
      <c r="AI3452" s="1" t="s">
        <v>48</v>
      </c>
      <c r="AJ3452" s="1">
        <v>2019</v>
      </c>
      <c r="AK3452" s="1" t="s">
        <v>49</v>
      </c>
      <c r="AL3452" s="1">
        <v>115</v>
      </c>
    </row>
    <row r="3453" spans="1:38" x14ac:dyDescent="0.2">
      <c r="A3453" s="2" t="str">
        <f>HYPERLINK("https://www.compass.com/listing/565-broome-street-unit-n6f-manhattan-ny-10013/781988172571837817/","565 Broome St, Unit N6F")</f>
        <v>565 Broome St, Unit N6F</v>
      </c>
      <c r="B3453" s="2" t="str">
        <f t="shared" si="578"/>
        <v>565 Broome Soho</v>
      </c>
      <c r="C3453" s="1" t="s">
        <v>53</v>
      </c>
      <c r="D3453" s="1" t="s">
        <v>41</v>
      </c>
      <c r="E3453" s="3">
        <v>1680304</v>
      </c>
      <c r="F3453" s="1">
        <v>2346.79329608938</v>
      </c>
      <c r="G3453" s="1">
        <v>3</v>
      </c>
      <c r="H3453" s="1">
        <v>1</v>
      </c>
      <c r="I3453" s="1">
        <v>1</v>
      </c>
      <c r="J3453" s="1">
        <v>1</v>
      </c>
      <c r="K3453" s="1">
        <v>1</v>
      </c>
      <c r="M3453" s="1">
        <v>716</v>
      </c>
      <c r="N3453" s="1">
        <v>1040</v>
      </c>
      <c r="O3453" s="1">
        <v>2188</v>
      </c>
      <c r="P3453" s="1">
        <v>1148</v>
      </c>
      <c r="Q3453" s="1" t="s">
        <v>42</v>
      </c>
      <c r="S3453" s="1" t="s">
        <v>42</v>
      </c>
      <c r="T3453" s="1" t="s">
        <v>273</v>
      </c>
      <c r="V3453" s="5">
        <v>44343</v>
      </c>
      <c r="AA3453" s="1">
        <v>1680304</v>
      </c>
      <c r="AB3453" s="1" t="s">
        <v>1694</v>
      </c>
      <c r="AC3453" s="5">
        <v>43684</v>
      </c>
      <c r="AF3453" s="1">
        <v>10013</v>
      </c>
      <c r="AI3453" s="1" t="s">
        <v>242</v>
      </c>
      <c r="AJ3453" s="1">
        <v>2019</v>
      </c>
      <c r="AK3453" s="1" t="s">
        <v>46</v>
      </c>
      <c r="AL3453" s="1">
        <v>115</v>
      </c>
    </row>
    <row r="3454" spans="1:38" x14ac:dyDescent="0.2">
      <c r="A3454" s="2" t="str">
        <f>HYPERLINK("https://www.compass.com/listing/565-broome-street-unit-n6e-manhattan-ny-10013/803364107264688889/","565 Broome St, Unit N6E")</f>
        <v>565 Broome St, Unit N6E</v>
      </c>
      <c r="B3454" s="2" t="str">
        <f t="shared" si="578"/>
        <v>565 Broome Soho</v>
      </c>
      <c r="C3454" s="1" t="s">
        <v>53</v>
      </c>
      <c r="D3454" s="1" t="s">
        <v>41</v>
      </c>
      <c r="E3454" s="3">
        <v>1532528</v>
      </c>
      <c r="F3454" s="1">
        <v>2167.6493493634998</v>
      </c>
      <c r="G3454" s="1">
        <v>2</v>
      </c>
      <c r="H3454" s="1">
        <v>1</v>
      </c>
      <c r="I3454" s="1">
        <v>1</v>
      </c>
      <c r="J3454" s="1">
        <v>1</v>
      </c>
      <c r="K3454" s="1">
        <v>1</v>
      </c>
      <c r="M3454" s="1">
        <v>707</v>
      </c>
      <c r="N3454" s="1">
        <v>1027</v>
      </c>
      <c r="O3454" s="1">
        <v>2160</v>
      </c>
      <c r="P3454" s="1">
        <v>1133</v>
      </c>
      <c r="Q3454" s="1" t="s">
        <v>42</v>
      </c>
      <c r="S3454" s="1" t="s">
        <v>42</v>
      </c>
      <c r="T3454" s="1" t="s">
        <v>273</v>
      </c>
      <c r="V3454" s="5">
        <v>44342</v>
      </c>
      <c r="AA3454" s="1">
        <v>1532528.09</v>
      </c>
      <c r="AB3454" s="1" t="s">
        <v>1667</v>
      </c>
      <c r="AC3454" s="5">
        <v>43587</v>
      </c>
      <c r="AF3454" s="1">
        <v>10013</v>
      </c>
      <c r="AI3454" s="1" t="s">
        <v>48</v>
      </c>
      <c r="AJ3454" s="1">
        <v>2019</v>
      </c>
      <c r="AK3454" s="1" t="s">
        <v>49</v>
      </c>
      <c r="AL3454" s="1">
        <v>115</v>
      </c>
    </row>
    <row r="3455" spans="1:38" x14ac:dyDescent="0.2">
      <c r="A3455" s="2" t="str">
        <f>HYPERLINK("https://www.compass.com/listing/15-west-61st-street-unit-31a-manhattan-ny-10023/536236973110031769/","15 W 61st St, Unit 31A")</f>
        <v>15 W 61st St, Unit 31A</v>
      </c>
      <c r="B3455" s="2" t="str">
        <f>HYPERLINK("https://www.compass.com/building/the-park-loggia-manhattan-ny/292861833130357557/","The Park Loggia")</f>
        <v>The Park Loggia</v>
      </c>
      <c r="C3455" s="1" t="s">
        <v>57</v>
      </c>
      <c r="D3455" s="1" t="s">
        <v>41</v>
      </c>
      <c r="E3455" s="3">
        <v>9207000</v>
      </c>
      <c r="F3455" s="1">
        <v>3850.69008782936</v>
      </c>
      <c r="G3455" s="1">
        <v>7</v>
      </c>
      <c r="H3455" s="1">
        <v>4</v>
      </c>
      <c r="I3455" s="1">
        <v>5</v>
      </c>
      <c r="J3455" s="1">
        <v>4.5</v>
      </c>
      <c r="K3455" s="1">
        <v>4</v>
      </c>
      <c r="L3455" s="1">
        <v>1</v>
      </c>
      <c r="M3455" s="4">
        <v>2391</v>
      </c>
      <c r="N3455" s="1">
        <v>2589</v>
      </c>
      <c r="O3455" s="1">
        <v>5079</v>
      </c>
      <c r="P3455" s="1">
        <v>2490</v>
      </c>
      <c r="Q3455" s="1" t="s">
        <v>42</v>
      </c>
      <c r="S3455" s="1" t="s">
        <v>42</v>
      </c>
      <c r="T3455" s="1" t="s">
        <v>273</v>
      </c>
      <c r="V3455" s="5">
        <v>43993</v>
      </c>
      <c r="W3455" s="5">
        <v>43949</v>
      </c>
      <c r="X3455" s="1">
        <v>9207000</v>
      </c>
      <c r="Y3455" s="1">
        <v>9207000</v>
      </c>
      <c r="AA3455" s="1">
        <v>9207000</v>
      </c>
      <c r="AB3455" s="1" t="s">
        <v>275</v>
      </c>
      <c r="AC3455" s="5">
        <v>43991</v>
      </c>
      <c r="AF3455" s="1">
        <v>10023</v>
      </c>
      <c r="AI3455" s="1" t="s">
        <v>1071</v>
      </c>
      <c r="AJ3455" s="1">
        <v>2019</v>
      </c>
      <c r="AK3455" s="1" t="s">
        <v>108</v>
      </c>
      <c r="AL3455" s="1">
        <v>172</v>
      </c>
    </row>
    <row r="3456" spans="1:38" x14ac:dyDescent="0.2">
      <c r="A3456" s="2" t="str">
        <f>HYPERLINK("https://www.compass.com/listing/200-east-94th-street-unit-1614-manhattan-ny-10128/29507984212224817/","200 E 94th St, Unit 1614")</f>
        <v>200 E 94th St, Unit 1614</v>
      </c>
      <c r="B3456" s="2" t="str">
        <f>HYPERLINK("https://www.compass.com/building/carnegie-park-condominium-manhattan-ny/282049797358118613/","Carnegie Park Condominium")</f>
        <v>Carnegie Park Condominium</v>
      </c>
      <c r="C3456" s="1" t="s">
        <v>82</v>
      </c>
      <c r="D3456" s="1" t="s">
        <v>41</v>
      </c>
      <c r="E3456" s="3">
        <v>2750425</v>
      </c>
      <c r="F3456" s="1">
        <v>1282.8474533582</v>
      </c>
      <c r="H3456" s="1">
        <v>4</v>
      </c>
      <c r="J3456" s="1">
        <v>4</v>
      </c>
      <c r="K3456" s="1">
        <v>4</v>
      </c>
      <c r="M3456" s="4">
        <v>2144</v>
      </c>
      <c r="N3456" s="1">
        <v>2425</v>
      </c>
      <c r="O3456" s="1">
        <v>4496</v>
      </c>
      <c r="P3456" s="1">
        <v>2071</v>
      </c>
      <c r="Q3456" s="1" t="s">
        <v>42</v>
      </c>
      <c r="S3456" s="1" t="s">
        <v>42</v>
      </c>
      <c r="T3456" s="1" t="s">
        <v>273</v>
      </c>
      <c r="AA3456" s="1">
        <v>2750424.94</v>
      </c>
      <c r="AB3456" s="1" t="s">
        <v>2250</v>
      </c>
      <c r="AC3456" s="5">
        <v>42355</v>
      </c>
      <c r="AF3456" s="1">
        <v>10128</v>
      </c>
      <c r="AI3456" s="1" t="s">
        <v>163</v>
      </c>
      <c r="AJ3456" s="1">
        <v>1986</v>
      </c>
      <c r="AK3456" s="1" t="s">
        <v>55</v>
      </c>
      <c r="AL3456" s="1">
        <v>287</v>
      </c>
    </row>
    <row r="3457" spans="1:38" x14ac:dyDescent="0.2">
      <c r="A3457" s="2" t="str">
        <f>HYPERLINK("https://www.compass.com/listing/30-east-31st-street-unit-7b-manhattan-ny-10016/238352601882684433/","30 E 31st St, Unit 7B")</f>
        <v>30 E 31st St, Unit 7B</v>
      </c>
      <c r="B3457" s="2" t="str">
        <f>HYPERLINK("https://www.compass.com/building/30-east-31st-street-manhattan-ny/281939352542566357/","30 East 31st Street")</f>
        <v>30 East 31st Street</v>
      </c>
      <c r="C3457" s="1" t="s">
        <v>40</v>
      </c>
      <c r="D3457" s="1" t="s">
        <v>41</v>
      </c>
      <c r="E3457" s="3">
        <v>1522625</v>
      </c>
      <c r="F3457" s="1">
        <v>1758.2274826789801</v>
      </c>
      <c r="G3457" s="1">
        <v>2</v>
      </c>
      <c r="H3457" s="1">
        <v>1</v>
      </c>
      <c r="I3457" s="1">
        <v>1</v>
      </c>
      <c r="J3457" s="1">
        <v>1</v>
      </c>
      <c r="K3457" s="1">
        <v>1</v>
      </c>
      <c r="M3457" s="1">
        <v>866</v>
      </c>
      <c r="N3457" s="1">
        <v>1127</v>
      </c>
      <c r="O3457" s="1">
        <v>1306</v>
      </c>
      <c r="P3457" s="1">
        <v>179</v>
      </c>
      <c r="Q3457" s="1" t="s">
        <v>42</v>
      </c>
      <c r="S3457" s="1" t="s">
        <v>42</v>
      </c>
      <c r="T3457" s="1" t="s">
        <v>273</v>
      </c>
      <c r="U3457" s="1">
        <v>117</v>
      </c>
      <c r="V3457" s="5">
        <v>44314</v>
      </c>
      <c r="W3457" s="5">
        <v>43580</v>
      </c>
      <c r="X3457" s="1">
        <v>1575000</v>
      </c>
      <c r="Y3457" s="1">
        <v>1575000</v>
      </c>
      <c r="Z3457" s="5">
        <v>43698</v>
      </c>
      <c r="AA3457" s="1">
        <v>1522625</v>
      </c>
      <c r="AB3457" s="1" t="s">
        <v>2251</v>
      </c>
      <c r="AC3457" s="5">
        <v>44237</v>
      </c>
      <c r="AF3457" s="1">
        <v>10016</v>
      </c>
      <c r="AJ3457" s="1">
        <v>2018</v>
      </c>
      <c r="AK3457" s="1" t="s">
        <v>125</v>
      </c>
      <c r="AL3457" s="1">
        <v>42</v>
      </c>
    </row>
    <row r="3458" spans="1:38" x14ac:dyDescent="0.2">
      <c r="A3458" s="2" t="str">
        <f>HYPERLINK("https://www.compass.com/listing/1-west-end-avenue-unit-38a-manhattan-ny-10023/183260647616805761/","1 W End Ave, Unit 38A")</f>
        <v>1 W End Ave, Unit 38A</v>
      </c>
      <c r="B3458" s="2" t="str">
        <f t="shared" ref="B3458:B3459" si="579">HYPERLINK("https://www.compass.com/building/1-w-end-ave-manhattan-ny-10023/455676159137755317/","1 W End Ave")</f>
        <v>1 W End Ave</v>
      </c>
      <c r="C3458" s="1" t="s">
        <v>57</v>
      </c>
      <c r="D3458" s="1" t="s">
        <v>41</v>
      </c>
      <c r="E3458" s="3">
        <v>7567635</v>
      </c>
      <c r="F3458" s="1">
        <v>2477.1307757774098</v>
      </c>
      <c r="G3458" s="1">
        <v>7</v>
      </c>
      <c r="H3458" s="1">
        <v>4</v>
      </c>
      <c r="I3458" s="1">
        <v>5</v>
      </c>
      <c r="J3458" s="1">
        <v>4.5</v>
      </c>
      <c r="K3458" s="1">
        <v>4</v>
      </c>
      <c r="L3458" s="1">
        <v>1</v>
      </c>
      <c r="M3458" s="4">
        <v>3055</v>
      </c>
      <c r="N3458" s="1">
        <v>3562</v>
      </c>
      <c r="O3458" s="1">
        <v>3762</v>
      </c>
      <c r="P3458" s="1">
        <v>200</v>
      </c>
      <c r="Q3458" s="1" t="s">
        <v>42</v>
      </c>
      <c r="S3458" s="1" t="s">
        <v>42</v>
      </c>
      <c r="T3458" s="1" t="s">
        <v>273</v>
      </c>
      <c r="U3458" s="1">
        <v>168</v>
      </c>
      <c r="V3458" s="5">
        <v>43724</v>
      </c>
      <c r="W3458" s="5">
        <v>43505</v>
      </c>
      <c r="X3458" s="1">
        <v>7950000</v>
      </c>
      <c r="Y3458" s="1">
        <v>7950000</v>
      </c>
      <c r="Z3458" s="5">
        <v>43673</v>
      </c>
      <c r="AA3458" s="1">
        <v>7567634.5199999996</v>
      </c>
      <c r="AB3458" s="1" t="s">
        <v>2252</v>
      </c>
      <c r="AC3458" s="5">
        <v>43717</v>
      </c>
      <c r="AF3458" s="1">
        <v>10023</v>
      </c>
      <c r="AI3458" s="1" t="s">
        <v>60</v>
      </c>
      <c r="AJ3458" s="1">
        <v>2017</v>
      </c>
      <c r="AK3458" s="1" t="s">
        <v>55</v>
      </c>
      <c r="AL3458" s="1">
        <v>246</v>
      </c>
    </row>
    <row r="3459" spans="1:38" x14ac:dyDescent="0.2">
      <c r="A3459" s="2" t="str">
        <f>HYPERLINK("https://www.compass.com/listing/1-west-end-avenue-unit-39a-manhattan-ny-10023/298366015108925393/","1 W End Ave, Unit 39A")</f>
        <v>1 W End Ave, Unit 39A</v>
      </c>
      <c r="B3459" s="2" t="str">
        <f t="shared" si="579"/>
        <v>1 W End Ave</v>
      </c>
      <c r="C3459" s="1" t="s">
        <v>57</v>
      </c>
      <c r="D3459" s="1" t="s">
        <v>41</v>
      </c>
      <c r="E3459" s="3">
        <v>7721004</v>
      </c>
      <c r="F3459" s="1">
        <v>2527.3335515548201</v>
      </c>
      <c r="G3459" s="1">
        <v>7.5</v>
      </c>
      <c r="H3459" s="1">
        <v>4</v>
      </c>
      <c r="I3459" s="1">
        <v>5</v>
      </c>
      <c r="J3459" s="1">
        <v>4.5</v>
      </c>
      <c r="K3459" s="1">
        <v>4</v>
      </c>
      <c r="L3459" s="1">
        <v>1</v>
      </c>
      <c r="M3459" s="4">
        <v>3055</v>
      </c>
      <c r="N3459" s="1">
        <v>3562</v>
      </c>
      <c r="O3459" s="1">
        <v>3762</v>
      </c>
      <c r="P3459" s="1">
        <v>200</v>
      </c>
      <c r="Q3459" s="1" t="s">
        <v>42</v>
      </c>
      <c r="S3459" s="1" t="s">
        <v>42</v>
      </c>
      <c r="T3459" s="1" t="s">
        <v>273</v>
      </c>
      <c r="V3459" s="5">
        <v>43738</v>
      </c>
      <c r="W3459" s="5">
        <v>43664</v>
      </c>
      <c r="X3459" s="1">
        <v>8000000</v>
      </c>
      <c r="Y3459" s="1">
        <v>8000000</v>
      </c>
      <c r="Z3459" s="5">
        <v>43664</v>
      </c>
      <c r="AA3459" s="1">
        <v>7721004</v>
      </c>
      <c r="AB3459" s="1" t="s">
        <v>2253</v>
      </c>
      <c r="AC3459" s="5">
        <v>43732</v>
      </c>
      <c r="AF3459" s="1">
        <v>10023</v>
      </c>
      <c r="AI3459" s="1" t="s">
        <v>60</v>
      </c>
      <c r="AJ3459" s="1">
        <v>2017</v>
      </c>
      <c r="AK3459" s="1" t="s">
        <v>55</v>
      </c>
      <c r="AL3459" s="1">
        <v>246</v>
      </c>
    </row>
    <row r="3460" spans="1:38" x14ac:dyDescent="0.2">
      <c r="A3460" s="2" t="str">
        <f>HYPERLINK("https://www.compass.com/listing/180-east-88th-street-unit-14a-manhattan-ny-10128/175212673707819425/","180 E 88th St, Unit 14A")</f>
        <v>180 E 88th St, Unit 14A</v>
      </c>
      <c r="B3460" s="2" t="str">
        <f>HYPERLINK("https://www.compass.com/building/180-e-88th-st-manhattan-ny-10128/282058835781256373/","180 E 88th St")</f>
        <v>180 E 88th St</v>
      </c>
      <c r="C3460" s="1" t="s">
        <v>82</v>
      </c>
      <c r="D3460" s="1" t="s">
        <v>41</v>
      </c>
      <c r="E3460" s="3">
        <v>4700000</v>
      </c>
      <c r="F3460" s="1">
        <v>2407.7868852459001</v>
      </c>
      <c r="G3460" s="1">
        <v>5.5</v>
      </c>
      <c r="H3460" s="1">
        <v>3</v>
      </c>
      <c r="I3460" s="1">
        <v>4</v>
      </c>
      <c r="J3460" s="1">
        <v>3.5</v>
      </c>
      <c r="K3460" s="1">
        <v>3</v>
      </c>
      <c r="L3460" s="1">
        <v>1</v>
      </c>
      <c r="M3460" s="4">
        <v>1952</v>
      </c>
      <c r="N3460" s="1">
        <v>2879</v>
      </c>
      <c r="O3460" s="1">
        <v>6006</v>
      </c>
      <c r="P3460" s="1">
        <v>3127</v>
      </c>
      <c r="Q3460" s="1" t="s">
        <v>42</v>
      </c>
      <c r="S3460" s="1" t="s">
        <v>42</v>
      </c>
      <c r="T3460" s="1" t="s">
        <v>273</v>
      </c>
      <c r="U3460" s="1">
        <v>59</v>
      </c>
      <c r="V3460" s="5">
        <v>43669</v>
      </c>
      <c r="W3460" s="5">
        <v>43494</v>
      </c>
      <c r="X3460" s="1">
        <v>4885000</v>
      </c>
      <c r="Y3460" s="1">
        <v>4885000</v>
      </c>
      <c r="Z3460" s="5">
        <v>43553</v>
      </c>
      <c r="AA3460" s="1">
        <v>4700000</v>
      </c>
      <c r="AB3460" s="1" t="s">
        <v>2254</v>
      </c>
      <c r="AC3460" s="5">
        <v>43648</v>
      </c>
      <c r="AF3460" s="1">
        <v>10128</v>
      </c>
      <c r="AJ3460" s="1">
        <v>2019</v>
      </c>
      <c r="AK3460" s="1" t="s">
        <v>46</v>
      </c>
      <c r="AL3460" s="1">
        <v>48</v>
      </c>
    </row>
    <row r="3461" spans="1:38" x14ac:dyDescent="0.2">
      <c r="A3461" s="2" t="str">
        <f>HYPERLINK("https://www.compass.com/listing/300-east-64th-street-unit-5d-manhattan-ny-10065/29415709046041169/","300 E 64th St, Unit 5D")</f>
        <v>300 E 64th St, Unit 5D</v>
      </c>
      <c r="B3461" s="2" t="str">
        <f t="shared" ref="B3461:B3464" si="580">HYPERLINK("https://www.compass.com/building/300-e-64th-st-manhattan-ny-10065/282038617012979925/","300 E 64th St")</f>
        <v>300 E 64th St</v>
      </c>
      <c r="C3461" s="1" t="s">
        <v>82</v>
      </c>
      <c r="D3461" s="1" t="s">
        <v>41</v>
      </c>
      <c r="E3461" s="3">
        <v>925000</v>
      </c>
      <c r="F3461" s="1">
        <v>1275.8620689655099</v>
      </c>
      <c r="G3461" s="1">
        <v>3</v>
      </c>
      <c r="H3461" s="1">
        <v>1</v>
      </c>
      <c r="I3461" s="1">
        <v>1</v>
      </c>
      <c r="J3461" s="1">
        <v>1</v>
      </c>
      <c r="M3461" s="1">
        <v>725</v>
      </c>
      <c r="N3461" s="1">
        <v>816</v>
      </c>
      <c r="O3461" s="1">
        <v>1979</v>
      </c>
      <c r="P3461" s="1">
        <v>1163</v>
      </c>
      <c r="Q3461" s="1" t="s">
        <v>42</v>
      </c>
      <c r="S3461" s="1" t="s">
        <v>42</v>
      </c>
      <c r="T3461" s="1" t="s">
        <v>273</v>
      </c>
      <c r="U3461" s="1">
        <v>129</v>
      </c>
      <c r="V3461" s="5">
        <v>42176</v>
      </c>
      <c r="W3461" s="5">
        <v>41807</v>
      </c>
      <c r="X3461" s="1">
        <v>975000</v>
      </c>
      <c r="Y3461" s="1">
        <v>925000</v>
      </c>
      <c r="AA3461" s="1">
        <v>925000</v>
      </c>
      <c r="AB3461" s="1" t="s">
        <v>2255</v>
      </c>
      <c r="AC3461" s="5">
        <v>42195</v>
      </c>
      <c r="AF3461" s="1">
        <v>10065</v>
      </c>
      <c r="AI3461" s="1" t="s">
        <v>83</v>
      </c>
      <c r="AJ3461" s="1">
        <v>1996</v>
      </c>
      <c r="AK3461" s="1" t="s">
        <v>46</v>
      </c>
      <c r="AL3461" s="1">
        <v>103</v>
      </c>
    </row>
    <row r="3462" spans="1:38" x14ac:dyDescent="0.2">
      <c r="A3462" s="2" t="str">
        <f>HYPERLINK("https://www.compass.com/listing/300-east-64th-street-unit-7e-manhattan-ny-10065/29415716176303105/","300 E 64th St, Unit 7E")</f>
        <v>300 E 64th St, Unit 7E</v>
      </c>
      <c r="B3462" s="2" t="str">
        <f t="shared" si="580"/>
        <v>300 E 64th St</v>
      </c>
      <c r="C3462" s="1" t="s">
        <v>82</v>
      </c>
      <c r="D3462" s="1" t="s">
        <v>41</v>
      </c>
      <c r="E3462" s="3">
        <v>920000</v>
      </c>
      <c r="F3462" s="1">
        <v>1453.3965244865699</v>
      </c>
      <c r="G3462" s="1">
        <v>3</v>
      </c>
      <c r="H3462" s="1">
        <v>1</v>
      </c>
      <c r="I3462" s="1">
        <v>1</v>
      </c>
      <c r="J3462" s="1">
        <v>1</v>
      </c>
      <c r="M3462" s="1">
        <v>633</v>
      </c>
      <c r="N3462" s="1">
        <v>713</v>
      </c>
      <c r="O3462" s="1">
        <v>1728</v>
      </c>
      <c r="P3462" s="1">
        <v>1015</v>
      </c>
      <c r="Q3462" s="1" t="s">
        <v>42</v>
      </c>
      <c r="S3462" s="1" t="s">
        <v>42</v>
      </c>
      <c r="T3462" s="1" t="s">
        <v>273</v>
      </c>
      <c r="V3462" s="5">
        <v>43651</v>
      </c>
      <c r="W3462" s="5">
        <v>42017</v>
      </c>
      <c r="X3462" s="1">
        <v>920000</v>
      </c>
      <c r="Y3462" s="1">
        <v>920000</v>
      </c>
      <c r="Z3462" s="5">
        <v>42017</v>
      </c>
      <c r="AA3462" s="1">
        <v>920000</v>
      </c>
      <c r="AB3462" s="1" t="s">
        <v>2256</v>
      </c>
      <c r="AC3462" s="5">
        <v>42185</v>
      </c>
      <c r="AF3462" s="1">
        <v>10065</v>
      </c>
      <c r="AI3462" s="1" t="s">
        <v>83</v>
      </c>
      <c r="AJ3462" s="1">
        <v>1996</v>
      </c>
      <c r="AK3462" s="1" t="s">
        <v>49</v>
      </c>
      <c r="AL3462" s="1">
        <v>103</v>
      </c>
    </row>
    <row r="3463" spans="1:38" x14ac:dyDescent="0.2">
      <c r="A3463" s="2" t="str">
        <f>HYPERLINK("https://www.compass.com/listing/300-east-64th-street-unit-7c-manhattan-ny-10065/70890863194091313/","300 E 64th St, Unit 7C")</f>
        <v>300 E 64th St, Unit 7C</v>
      </c>
      <c r="B3463" s="2" t="str">
        <f t="shared" si="580"/>
        <v>300 E 64th St</v>
      </c>
      <c r="C3463" s="1" t="s">
        <v>82</v>
      </c>
      <c r="D3463" s="1" t="s">
        <v>41</v>
      </c>
      <c r="E3463" s="3">
        <v>950500</v>
      </c>
      <c r="F3463" s="1">
        <v>1087.52860411899</v>
      </c>
      <c r="G3463" s="1">
        <v>3</v>
      </c>
      <c r="H3463" s="1">
        <v>1</v>
      </c>
      <c r="I3463" s="1">
        <v>1</v>
      </c>
      <c r="J3463" s="1">
        <v>1</v>
      </c>
      <c r="M3463" s="1">
        <v>874</v>
      </c>
      <c r="N3463" s="1">
        <v>983</v>
      </c>
      <c r="O3463" s="1">
        <v>2384</v>
      </c>
      <c r="P3463" s="1">
        <v>1401</v>
      </c>
      <c r="Q3463" s="1" t="s">
        <v>42</v>
      </c>
      <c r="S3463" s="1" t="s">
        <v>42</v>
      </c>
      <c r="T3463" s="1" t="s">
        <v>273</v>
      </c>
      <c r="U3463" s="1">
        <v>176</v>
      </c>
      <c r="V3463" s="5">
        <v>43651</v>
      </c>
      <c r="W3463" s="5">
        <v>42200</v>
      </c>
      <c r="X3463" s="1">
        <v>950000</v>
      </c>
      <c r="Y3463" s="1">
        <v>950500</v>
      </c>
      <c r="Z3463" s="5">
        <v>42376</v>
      </c>
      <c r="AA3463" s="1">
        <v>950500</v>
      </c>
      <c r="AB3463" s="1" t="s">
        <v>2257</v>
      </c>
      <c r="AC3463" s="5">
        <v>42397</v>
      </c>
      <c r="AF3463" s="1">
        <v>10065</v>
      </c>
      <c r="AI3463" s="1" t="s">
        <v>189</v>
      </c>
      <c r="AJ3463" s="1">
        <v>1996</v>
      </c>
      <c r="AK3463" s="1" t="s">
        <v>46</v>
      </c>
      <c r="AL3463" s="1">
        <v>103</v>
      </c>
    </row>
    <row r="3464" spans="1:38" x14ac:dyDescent="0.2">
      <c r="A3464" s="2" t="str">
        <f>HYPERLINK("https://www.compass.com/listing/300-east-64th-street-unit-5e-manhattan-ny-10065/70917353319181201/","300 E 64th St, Unit 5E")</f>
        <v>300 E 64th St, Unit 5E</v>
      </c>
      <c r="B3464" s="2" t="str">
        <f t="shared" si="580"/>
        <v>300 E 64th St</v>
      </c>
      <c r="C3464" s="1" t="s">
        <v>82</v>
      </c>
      <c r="D3464" s="1" t="s">
        <v>41</v>
      </c>
      <c r="E3464" s="3">
        <v>915000</v>
      </c>
      <c r="F3464" s="1">
        <v>1445.4976303317501</v>
      </c>
      <c r="G3464" s="1">
        <v>3</v>
      </c>
      <c r="H3464" s="1">
        <v>1</v>
      </c>
      <c r="I3464" s="1">
        <v>1</v>
      </c>
      <c r="J3464" s="1">
        <v>1</v>
      </c>
      <c r="M3464" s="1">
        <v>633</v>
      </c>
      <c r="N3464" s="1">
        <v>712</v>
      </c>
      <c r="O3464" s="1">
        <v>1727</v>
      </c>
      <c r="P3464" s="1">
        <v>1015</v>
      </c>
      <c r="Q3464" s="1" t="s">
        <v>42</v>
      </c>
      <c r="S3464" s="1" t="s">
        <v>42</v>
      </c>
      <c r="T3464" s="1" t="s">
        <v>273</v>
      </c>
      <c r="U3464" s="1">
        <v>62</v>
      </c>
      <c r="V3464" s="5">
        <v>43642</v>
      </c>
      <c r="W3464" s="5">
        <v>41976</v>
      </c>
      <c r="X3464" s="1">
        <v>915000</v>
      </c>
      <c r="Y3464" s="1">
        <v>915000</v>
      </c>
      <c r="Z3464" s="5">
        <v>42045</v>
      </c>
      <c r="AA3464" s="1">
        <v>915000</v>
      </c>
      <c r="AB3464" s="1" t="s">
        <v>2258</v>
      </c>
      <c r="AC3464" s="5">
        <v>42205</v>
      </c>
      <c r="AF3464" s="1">
        <v>10065</v>
      </c>
      <c r="AI3464" s="1" t="s">
        <v>83</v>
      </c>
      <c r="AJ3464" s="1">
        <v>1996</v>
      </c>
      <c r="AK3464" s="1" t="s">
        <v>49</v>
      </c>
      <c r="AL3464" s="1">
        <v>103</v>
      </c>
    </row>
    <row r="3465" spans="1:38" x14ac:dyDescent="0.2">
      <c r="A3465" s="2" t="str">
        <f>HYPERLINK("https://www.compass.com/listing/12-east-88th-street-unit-ph12a-manhattan-ny-10128/29420047013276561/","12 E 88th St, Unit PH12A")</f>
        <v>12 E 88th St, Unit PH12A</v>
      </c>
      <c r="B3465" s="2" t="str">
        <f>HYPERLINK("https://www.compass.com/building/12-e-88th-st-manhattan-ny-10128/282046316798827461/","12 E 88th St")</f>
        <v>12 E 88th St</v>
      </c>
      <c r="C3465" s="1" t="s">
        <v>82</v>
      </c>
      <c r="D3465" s="1" t="s">
        <v>41</v>
      </c>
      <c r="E3465" s="3">
        <v>9000000</v>
      </c>
      <c r="F3465" s="1">
        <v>2233.2506203473899</v>
      </c>
      <c r="H3465" s="1">
        <v>2</v>
      </c>
      <c r="J3465" s="1">
        <v>2.5</v>
      </c>
      <c r="K3465" s="1">
        <v>2</v>
      </c>
      <c r="L3465" s="1">
        <v>1</v>
      </c>
      <c r="M3465" s="4">
        <v>4030</v>
      </c>
      <c r="N3465" s="1">
        <v>3892</v>
      </c>
      <c r="O3465" s="1">
        <v>6436</v>
      </c>
      <c r="P3465" s="1">
        <v>2544</v>
      </c>
      <c r="Q3465" s="1" t="s">
        <v>42</v>
      </c>
      <c r="S3465" s="1" t="s">
        <v>42</v>
      </c>
      <c r="T3465" s="1" t="s">
        <v>273</v>
      </c>
      <c r="AA3465" s="1">
        <v>9000000</v>
      </c>
      <c r="AB3465" s="1" t="s">
        <v>2259</v>
      </c>
      <c r="AC3465" s="5">
        <v>43126</v>
      </c>
      <c r="AF3465" s="1">
        <v>10128</v>
      </c>
      <c r="AI3465" s="1" t="s">
        <v>177</v>
      </c>
      <c r="AJ3465" s="1">
        <v>1931</v>
      </c>
      <c r="AK3465" s="1" t="s">
        <v>49</v>
      </c>
      <c r="AL3465" s="1">
        <v>39</v>
      </c>
    </row>
    <row r="3466" spans="1:38" x14ac:dyDescent="0.2">
      <c r="A3466" s="2" t="str">
        <f>HYPERLINK("https://www.compass.com/listing/200-east-94th-street-unit-1417-manhattan-ny-10128/29423475781336417/","200 E 94th St, Unit 1417")</f>
        <v>200 E 94th St, Unit 1417</v>
      </c>
      <c r="B3466" s="2" t="str">
        <f t="shared" ref="B3466:B3467" si="581">HYPERLINK("https://www.compass.com/building/carnegie-park-condominium-manhattan-ny/282049797358118613/","Carnegie Park Condominium")</f>
        <v>Carnegie Park Condominium</v>
      </c>
      <c r="C3466" s="1" t="s">
        <v>82</v>
      </c>
      <c r="D3466" s="1" t="s">
        <v>41</v>
      </c>
      <c r="E3466" s="3">
        <v>3180578</v>
      </c>
      <c r="F3466" s="1">
        <v>1691.7969840425501</v>
      </c>
      <c r="H3466" s="1">
        <v>4</v>
      </c>
      <c r="J3466" s="1">
        <v>3</v>
      </c>
      <c r="M3466" s="4">
        <v>1880</v>
      </c>
      <c r="N3466" s="1">
        <v>1983</v>
      </c>
      <c r="O3466" s="1">
        <v>4090</v>
      </c>
      <c r="P3466" s="1">
        <v>2107</v>
      </c>
      <c r="Q3466" s="1" t="s">
        <v>42</v>
      </c>
      <c r="S3466" s="1" t="s">
        <v>42</v>
      </c>
      <c r="T3466" s="1" t="s">
        <v>273</v>
      </c>
      <c r="AA3466" s="1">
        <v>3180578.33</v>
      </c>
      <c r="AB3466" s="1" t="s">
        <v>2260</v>
      </c>
      <c r="AC3466" s="5">
        <v>42390</v>
      </c>
      <c r="AF3466" s="1">
        <v>10128</v>
      </c>
      <c r="AI3466" s="1" t="s">
        <v>163</v>
      </c>
      <c r="AJ3466" s="1">
        <v>1986</v>
      </c>
      <c r="AK3466" s="1" t="s">
        <v>55</v>
      </c>
      <c r="AL3466" s="1">
        <v>287</v>
      </c>
    </row>
    <row r="3467" spans="1:38" x14ac:dyDescent="0.2">
      <c r="A3467" s="2" t="str">
        <f>HYPERLINK("https://www.compass.com/listing/200-east-94th-street-unit-1417-manhattan-ny-10128/324931671140447313/","200 E 94th St, Unit 1417")</f>
        <v>200 E 94th St, Unit 1417</v>
      </c>
      <c r="B3467" s="2" t="str">
        <f t="shared" si="581"/>
        <v>Carnegie Park Condominium</v>
      </c>
      <c r="C3467" s="1" t="s">
        <v>82</v>
      </c>
      <c r="D3467" s="1" t="s">
        <v>41</v>
      </c>
      <c r="E3467" s="3">
        <v>3292065</v>
      </c>
      <c r="F3467" s="1">
        <v>1751.0984840425499</v>
      </c>
      <c r="H3467" s="1">
        <v>4</v>
      </c>
      <c r="J3467" s="1">
        <v>3</v>
      </c>
      <c r="K3467" s="1">
        <v>3</v>
      </c>
      <c r="M3467" s="4">
        <v>1880</v>
      </c>
      <c r="N3467" s="1">
        <v>2052</v>
      </c>
      <c r="O3467" s="1">
        <v>4267</v>
      </c>
      <c r="P3467" s="1">
        <v>2215</v>
      </c>
      <c r="Q3467" s="1" t="s">
        <v>42</v>
      </c>
      <c r="S3467" s="1" t="s">
        <v>42</v>
      </c>
      <c r="T3467" s="1" t="s">
        <v>273</v>
      </c>
      <c r="AA3467" s="1">
        <v>3292065.15</v>
      </c>
      <c r="AB3467" s="1" t="s">
        <v>2261</v>
      </c>
      <c r="AC3467" s="5">
        <v>43626</v>
      </c>
      <c r="AF3467" s="1">
        <v>10128</v>
      </c>
      <c r="AI3467" s="1" t="s">
        <v>163</v>
      </c>
      <c r="AJ3467" s="1">
        <v>1986</v>
      </c>
      <c r="AK3467" s="1" t="s">
        <v>55</v>
      </c>
      <c r="AL3467" s="1">
        <v>287</v>
      </c>
    </row>
    <row r="3468" spans="1:38" x14ac:dyDescent="0.2">
      <c r="A3468" s="2" t="str">
        <f>HYPERLINK("https://www.compass.com/listing/505-513-west-43rd-street-unit-7a-manhattan-ny-10036/608618518243597465/","505-513 W 43rd St, Unit 7A")</f>
        <v>505-513 W 43rd St, Unit 7A</v>
      </c>
      <c r="B3468" s="2" t="str">
        <f>HYPERLINK("https://www.compass.com/building/charlie-west-manhattan-ny/292918554372621509/","Charlie West")</f>
        <v>Charlie West</v>
      </c>
      <c r="C3468" s="1" t="s">
        <v>90</v>
      </c>
      <c r="D3468" s="1" t="s">
        <v>41</v>
      </c>
      <c r="E3468" s="3">
        <v>1210000</v>
      </c>
      <c r="F3468" s="1">
        <v>1583.7696335078499</v>
      </c>
      <c r="G3468" s="1">
        <v>4</v>
      </c>
      <c r="H3468" s="1">
        <v>1</v>
      </c>
      <c r="I3468" s="1">
        <v>1</v>
      </c>
      <c r="J3468" s="1">
        <v>1</v>
      </c>
      <c r="K3468" s="1">
        <v>1</v>
      </c>
      <c r="M3468" s="1">
        <v>764</v>
      </c>
      <c r="N3468" s="1">
        <v>795</v>
      </c>
      <c r="O3468" s="1">
        <v>1945</v>
      </c>
      <c r="Q3468" s="1" t="s">
        <v>271</v>
      </c>
      <c r="S3468" s="1" t="s">
        <v>158</v>
      </c>
      <c r="T3468" s="1" t="s">
        <v>273</v>
      </c>
      <c r="U3468" s="1">
        <v>77</v>
      </c>
      <c r="V3468" s="5">
        <v>44343</v>
      </c>
      <c r="W3468" s="5">
        <v>44092</v>
      </c>
      <c r="X3468" s="1">
        <v>1295000</v>
      </c>
      <c r="Y3468" s="1">
        <v>1295000</v>
      </c>
      <c r="AA3468" s="1">
        <v>1210000</v>
      </c>
      <c r="AB3468" s="1" t="s">
        <v>2262</v>
      </c>
      <c r="AC3468" s="5">
        <v>44169</v>
      </c>
      <c r="AF3468" s="1">
        <v>10036</v>
      </c>
      <c r="AI3468" s="1" t="s">
        <v>118</v>
      </c>
      <c r="AJ3468" s="1">
        <v>2019</v>
      </c>
      <c r="AK3468" s="1" t="s">
        <v>49</v>
      </c>
      <c r="AL3468" s="1">
        <v>123</v>
      </c>
    </row>
    <row r="3469" spans="1:38" x14ac:dyDescent="0.2">
      <c r="A3469" s="2" t="str">
        <f>HYPERLINK("https://www.compass.com/listing/300-east-64th-street-unit-6f-manhattan-ny-10065/29415713198400785/","300 E 64th St, Unit 6F")</f>
        <v>300 E 64th St, Unit 6F</v>
      </c>
      <c r="B3469" s="2" t="str">
        <f t="shared" ref="B3469:B3470" si="582">HYPERLINK("https://www.compass.com/building/300-e-64th-st-manhattan-ny-10065/282038617012979925/","300 E 64th St")</f>
        <v>300 E 64th St</v>
      </c>
      <c r="C3469" s="1" t="s">
        <v>82</v>
      </c>
      <c r="D3469" s="1" t="s">
        <v>41</v>
      </c>
      <c r="E3469" s="3">
        <v>715000</v>
      </c>
      <c r="F3469" s="1">
        <v>1524.5202558635301</v>
      </c>
      <c r="G3469" s="1">
        <v>2.5</v>
      </c>
      <c r="H3469" s="1" t="s">
        <v>153</v>
      </c>
      <c r="I3469" s="1">
        <v>1</v>
      </c>
      <c r="J3469" s="1">
        <v>1</v>
      </c>
      <c r="M3469" s="1">
        <v>469</v>
      </c>
      <c r="N3469" s="1">
        <v>528</v>
      </c>
      <c r="O3469" s="1">
        <v>1280</v>
      </c>
      <c r="P3469" s="1">
        <v>752</v>
      </c>
      <c r="Q3469" s="1" t="s">
        <v>42</v>
      </c>
      <c r="S3469" s="1" t="s">
        <v>42</v>
      </c>
      <c r="T3469" s="1" t="s">
        <v>273</v>
      </c>
      <c r="V3469" s="5">
        <v>43651</v>
      </c>
      <c r="W3469" s="5">
        <v>42033</v>
      </c>
      <c r="X3469" s="1">
        <v>715000</v>
      </c>
      <c r="Y3469" s="1">
        <v>715000</v>
      </c>
      <c r="Z3469" s="5">
        <v>42033</v>
      </c>
      <c r="AA3469" s="1">
        <v>715000</v>
      </c>
      <c r="AB3469" s="1" t="s">
        <v>2263</v>
      </c>
      <c r="AC3469" s="5">
        <v>42179</v>
      </c>
      <c r="AF3469" s="1">
        <v>10065</v>
      </c>
      <c r="AI3469" s="1" t="s">
        <v>83</v>
      </c>
      <c r="AJ3469" s="1">
        <v>1996</v>
      </c>
      <c r="AK3469" s="1" t="s">
        <v>49</v>
      </c>
      <c r="AL3469" s="1">
        <v>103</v>
      </c>
    </row>
    <row r="3470" spans="1:38" x14ac:dyDescent="0.2">
      <c r="A3470" s="2" t="str">
        <f>HYPERLINK("https://www.compass.com/listing/300-east-64th-street-unit-6g-manhattan-ny-10065/29415713718440897/","300 E 64th St, Unit 6G")</f>
        <v>300 E 64th St, Unit 6G</v>
      </c>
      <c r="B3470" s="2" t="str">
        <f t="shared" si="582"/>
        <v>300 E 64th St</v>
      </c>
      <c r="C3470" s="1" t="s">
        <v>82</v>
      </c>
      <c r="D3470" s="1" t="s">
        <v>41</v>
      </c>
      <c r="E3470" s="3">
        <v>715000</v>
      </c>
      <c r="F3470" s="1">
        <v>1514.83050847457</v>
      </c>
      <c r="G3470" s="1">
        <v>2</v>
      </c>
      <c r="H3470" s="1" t="s">
        <v>99</v>
      </c>
      <c r="I3470" s="1">
        <v>1</v>
      </c>
      <c r="J3470" s="1">
        <v>1</v>
      </c>
      <c r="M3470" s="1">
        <v>472</v>
      </c>
      <c r="N3470" s="1">
        <v>531</v>
      </c>
      <c r="O3470" s="1">
        <v>1288</v>
      </c>
      <c r="P3470" s="1">
        <v>757</v>
      </c>
      <c r="Q3470" s="1" t="s">
        <v>42</v>
      </c>
      <c r="S3470" s="1" t="s">
        <v>42</v>
      </c>
      <c r="T3470" s="1" t="s">
        <v>273</v>
      </c>
      <c r="V3470" s="5">
        <v>43654</v>
      </c>
      <c r="W3470" s="5">
        <v>42017</v>
      </c>
      <c r="X3470" s="1">
        <v>715000</v>
      </c>
      <c r="Y3470" s="1">
        <v>715000</v>
      </c>
      <c r="Z3470" s="5">
        <v>42017</v>
      </c>
      <c r="AA3470" s="1">
        <v>715000</v>
      </c>
      <c r="AB3470" s="1" t="s">
        <v>2264</v>
      </c>
      <c r="AC3470" s="5">
        <v>42195</v>
      </c>
      <c r="AF3470" s="1">
        <v>10065</v>
      </c>
      <c r="AI3470" s="1" t="s">
        <v>83</v>
      </c>
      <c r="AJ3470" s="1">
        <v>1996</v>
      </c>
      <c r="AK3470" s="1" t="s">
        <v>49</v>
      </c>
      <c r="AL3470" s="1">
        <v>103</v>
      </c>
    </row>
    <row r="3471" spans="1:38" x14ac:dyDescent="0.2">
      <c r="A3471" s="2" t="str">
        <f>HYPERLINK("https://www.compass.com/listing/1-west-end-avenue-unit-34c-manhattan-ny-10023/399690208068504433/","1 W End Ave, Unit 34C")</f>
        <v>1 W End Ave, Unit 34C</v>
      </c>
      <c r="B3471" s="2" t="str">
        <f t="shared" ref="B3471:B3474" si="583">HYPERLINK("https://www.compass.com/building/1-w-end-ave-manhattan-ny-10023/455676159137755317/","1 W End Ave")</f>
        <v>1 W End Ave</v>
      </c>
      <c r="C3471" s="1" t="s">
        <v>57</v>
      </c>
      <c r="D3471" s="1" t="s">
        <v>41</v>
      </c>
      <c r="E3471" s="3">
        <v>5327762</v>
      </c>
      <c r="F3471" s="1">
        <v>2373.16782182628</v>
      </c>
      <c r="G3471" s="1">
        <v>4</v>
      </c>
      <c r="H3471" s="1">
        <v>3</v>
      </c>
      <c r="I3471" s="1">
        <v>4</v>
      </c>
      <c r="J3471" s="1">
        <v>3.5</v>
      </c>
      <c r="K3471" s="1">
        <v>3</v>
      </c>
      <c r="L3471" s="1">
        <v>1</v>
      </c>
      <c r="M3471" s="4">
        <v>2245</v>
      </c>
      <c r="N3471" s="1">
        <v>2637</v>
      </c>
      <c r="O3471" s="1">
        <v>2791</v>
      </c>
      <c r="P3471" s="1">
        <v>154</v>
      </c>
      <c r="Q3471" s="1" t="s">
        <v>42</v>
      </c>
      <c r="S3471" s="1" t="s">
        <v>42</v>
      </c>
      <c r="T3471" s="1" t="s">
        <v>273</v>
      </c>
      <c r="U3471" s="1">
        <v>90</v>
      </c>
      <c r="V3471" s="5">
        <v>43941</v>
      </c>
      <c r="W3471" s="5">
        <v>43805</v>
      </c>
      <c r="X3471" s="1">
        <v>5825000</v>
      </c>
      <c r="Y3471" s="1">
        <v>5825000</v>
      </c>
      <c r="Z3471" s="5">
        <v>43895</v>
      </c>
      <c r="AA3471" s="1">
        <v>5327761.76</v>
      </c>
      <c r="AB3471" s="1" t="s">
        <v>2265</v>
      </c>
      <c r="AC3471" s="5">
        <v>43935</v>
      </c>
      <c r="AF3471" s="1">
        <v>10023</v>
      </c>
      <c r="AI3471" s="1" t="s">
        <v>212</v>
      </c>
      <c r="AJ3471" s="1">
        <v>2017</v>
      </c>
      <c r="AK3471" s="1" t="s">
        <v>46</v>
      </c>
      <c r="AL3471" s="1">
        <v>246</v>
      </c>
    </row>
    <row r="3472" spans="1:38" x14ac:dyDescent="0.2">
      <c r="A3472" s="2" t="str">
        <f>HYPERLINK("https://www.compass.com/listing/1-west-end-avenue-unit-25a-manhattan-ny-10023/399702078754131281/","1 W End Ave, Unit 25A")</f>
        <v>1 W End Ave, Unit 25A</v>
      </c>
      <c r="B3472" s="2" t="str">
        <f t="shared" si="583"/>
        <v>1 W End Ave</v>
      </c>
      <c r="C3472" s="1" t="s">
        <v>57</v>
      </c>
      <c r="D3472" s="1" t="s">
        <v>41</v>
      </c>
      <c r="E3472" s="3">
        <v>4767740</v>
      </c>
      <c r="F3472" s="1">
        <v>1663.5520900209301</v>
      </c>
      <c r="G3472" s="1">
        <v>6</v>
      </c>
      <c r="H3472" s="1">
        <v>3</v>
      </c>
      <c r="I3472" s="1">
        <v>4</v>
      </c>
      <c r="J3472" s="1">
        <v>3.5</v>
      </c>
      <c r="K3472" s="1">
        <v>3</v>
      </c>
      <c r="L3472" s="1">
        <v>1</v>
      </c>
      <c r="M3472" s="4">
        <v>2866</v>
      </c>
      <c r="N3472" s="1">
        <v>3176</v>
      </c>
      <c r="O3472" s="1">
        <v>3361</v>
      </c>
      <c r="P3472" s="1">
        <v>185</v>
      </c>
      <c r="Q3472" s="1" t="s">
        <v>42</v>
      </c>
      <c r="S3472" s="1" t="s">
        <v>42</v>
      </c>
      <c r="T3472" s="1" t="s">
        <v>273</v>
      </c>
      <c r="U3472" s="1">
        <v>171</v>
      </c>
      <c r="V3472" s="5">
        <v>44099</v>
      </c>
      <c r="W3472" s="5">
        <v>43750</v>
      </c>
      <c r="X3472" s="1">
        <v>5730000</v>
      </c>
      <c r="Y3472" s="1">
        <v>5730000</v>
      </c>
      <c r="Z3472" s="5">
        <v>44015</v>
      </c>
      <c r="AA3472" s="1">
        <v>4767740.29</v>
      </c>
      <c r="AB3472" s="1" t="s">
        <v>2266</v>
      </c>
      <c r="AC3472" s="5">
        <v>44070</v>
      </c>
      <c r="AF3472" s="1">
        <v>10023</v>
      </c>
      <c r="AI3472" s="1" t="s">
        <v>205</v>
      </c>
      <c r="AJ3472" s="1">
        <v>2017</v>
      </c>
      <c r="AK3472" s="1" t="s">
        <v>108</v>
      </c>
      <c r="AL3472" s="1">
        <v>246</v>
      </c>
    </row>
    <row r="3473" spans="1:38" x14ac:dyDescent="0.2">
      <c r="A3473" s="2" t="str">
        <f>HYPERLINK("https://www.compass.com/listing/1-west-end-avenue-unit-40d-manhattan-ny-10023/399702086463392737/","1 W End Ave, Unit 40D")</f>
        <v>1 W End Ave, Unit 40D</v>
      </c>
      <c r="B3473" s="2" t="str">
        <f t="shared" si="583"/>
        <v>1 W End Ave</v>
      </c>
      <c r="C3473" s="1" t="s">
        <v>57</v>
      </c>
      <c r="D3473" s="1" t="s">
        <v>41</v>
      </c>
      <c r="E3473" s="3">
        <v>5959923</v>
      </c>
      <c r="F3473" s="1">
        <v>2399.3248671497499</v>
      </c>
      <c r="G3473" s="1">
        <v>5</v>
      </c>
      <c r="H3473" s="1">
        <v>3</v>
      </c>
      <c r="I3473" s="1">
        <v>4</v>
      </c>
      <c r="J3473" s="1">
        <v>3.5</v>
      </c>
      <c r="K3473" s="1">
        <v>3</v>
      </c>
      <c r="L3473" s="1">
        <v>1</v>
      </c>
      <c r="M3473" s="4">
        <v>2484</v>
      </c>
      <c r="N3473" s="1">
        <v>2844</v>
      </c>
      <c r="O3473" s="1">
        <v>3010</v>
      </c>
      <c r="P3473" s="1">
        <v>166</v>
      </c>
      <c r="Q3473" s="1" t="s">
        <v>42</v>
      </c>
      <c r="S3473" s="1" t="s">
        <v>42</v>
      </c>
      <c r="T3473" s="1" t="s">
        <v>273</v>
      </c>
      <c r="U3473" s="1">
        <v>50</v>
      </c>
      <c r="V3473" s="5">
        <v>43900</v>
      </c>
      <c r="W3473" s="5">
        <v>43802</v>
      </c>
      <c r="X3473" s="1">
        <v>6495000</v>
      </c>
      <c r="Y3473" s="1">
        <v>6495000</v>
      </c>
      <c r="Z3473" s="5">
        <v>43852</v>
      </c>
      <c r="AA3473" s="1">
        <v>5959922.9699999997</v>
      </c>
      <c r="AB3473" s="1" t="s">
        <v>2267</v>
      </c>
      <c r="AC3473" s="5">
        <v>43882</v>
      </c>
      <c r="AF3473" s="1">
        <v>10023</v>
      </c>
      <c r="AI3473" s="1" t="s">
        <v>212</v>
      </c>
      <c r="AJ3473" s="1">
        <v>2017</v>
      </c>
      <c r="AK3473" s="1" t="s">
        <v>46</v>
      </c>
      <c r="AL3473" s="1">
        <v>246</v>
      </c>
    </row>
    <row r="3474" spans="1:38" x14ac:dyDescent="0.2">
      <c r="A3474" s="2" t="str">
        <f>HYPERLINK("https://www.compass.com/listing/1-west-end-avenue-unit-33b-manhattan-ny-10023/259175013335196561/","1 W End Ave, Unit 33B")</f>
        <v>1 W End Ave, Unit 33B</v>
      </c>
      <c r="B3474" s="2" t="str">
        <f t="shared" si="583"/>
        <v>1 W End Ave</v>
      </c>
      <c r="C3474" s="1" t="s">
        <v>57</v>
      </c>
      <c r="D3474" s="1" t="s">
        <v>41</v>
      </c>
      <c r="E3474" s="3">
        <v>7019603</v>
      </c>
      <c r="F3474" s="1">
        <v>2493.64227353463</v>
      </c>
      <c r="G3474" s="1">
        <v>7</v>
      </c>
      <c r="H3474" s="1">
        <v>4</v>
      </c>
      <c r="I3474" s="1">
        <v>5</v>
      </c>
      <c r="J3474" s="1">
        <v>4.5</v>
      </c>
      <c r="K3474" s="1">
        <v>4</v>
      </c>
      <c r="L3474" s="1">
        <v>1</v>
      </c>
      <c r="M3474" s="4">
        <v>2815</v>
      </c>
      <c r="N3474" s="1">
        <v>3355</v>
      </c>
      <c r="O3474" s="1">
        <v>3544</v>
      </c>
      <c r="P3474" s="1">
        <v>189</v>
      </c>
      <c r="Q3474" s="1" t="s">
        <v>42</v>
      </c>
      <c r="S3474" s="1" t="s">
        <v>42</v>
      </c>
      <c r="T3474" s="1" t="s">
        <v>273</v>
      </c>
      <c r="U3474" s="1">
        <v>69</v>
      </c>
      <c r="V3474" s="5">
        <v>43710</v>
      </c>
      <c r="W3474" s="5">
        <v>43610</v>
      </c>
      <c r="X3474" s="1">
        <v>7450000</v>
      </c>
      <c r="Y3474" s="1">
        <v>7450000</v>
      </c>
      <c r="Z3474" s="5">
        <v>43679</v>
      </c>
      <c r="AA3474" s="1">
        <v>7019603</v>
      </c>
      <c r="AB3474" s="1" t="s">
        <v>2268</v>
      </c>
      <c r="AC3474" s="5">
        <v>43700</v>
      </c>
      <c r="AF3474" s="1">
        <v>10023</v>
      </c>
      <c r="AI3474" s="1" t="s">
        <v>60</v>
      </c>
      <c r="AJ3474" s="1">
        <v>2017</v>
      </c>
      <c r="AK3474" s="1" t="s">
        <v>55</v>
      </c>
      <c r="AL3474" s="1">
        <v>246</v>
      </c>
    </row>
    <row r="3475" spans="1:38" x14ac:dyDescent="0.2">
      <c r="A3475" s="2" t="str">
        <f>HYPERLINK("https://www.compass.com/listing/180-east-88th-street-unit-34b-manhattan-ny-10128/29509491141715281/","180 E 88th St, Unit 34B")</f>
        <v>180 E 88th St, Unit 34B</v>
      </c>
      <c r="B3475" s="2" t="str">
        <f t="shared" ref="B3475:B3476" si="584">HYPERLINK("https://www.compass.com/building/180-e-88th-st-manhattan-ny-10128/282058835781256373/","180 E 88th St")</f>
        <v>180 E 88th St</v>
      </c>
      <c r="C3475" s="1" t="s">
        <v>82</v>
      </c>
      <c r="D3475" s="1" t="s">
        <v>41</v>
      </c>
      <c r="E3475" s="3">
        <v>8056086</v>
      </c>
      <c r="F3475" s="1">
        <v>3373.57022194304</v>
      </c>
      <c r="G3475" s="1">
        <v>7</v>
      </c>
      <c r="H3475" s="1">
        <v>4</v>
      </c>
      <c r="I3475" s="1">
        <v>4</v>
      </c>
      <c r="J3475" s="1">
        <v>3.5</v>
      </c>
      <c r="K3475" s="1">
        <v>3</v>
      </c>
      <c r="L3475" s="1">
        <v>1</v>
      </c>
      <c r="M3475" s="4">
        <v>2388</v>
      </c>
      <c r="N3475" s="1">
        <v>3839</v>
      </c>
      <c r="O3475" s="1">
        <v>8010</v>
      </c>
      <c r="P3475" s="1">
        <v>4171</v>
      </c>
      <c r="Q3475" s="1" t="s">
        <v>42</v>
      </c>
      <c r="S3475" s="1" t="s">
        <v>42</v>
      </c>
      <c r="T3475" s="1" t="s">
        <v>273</v>
      </c>
      <c r="U3475" s="1">
        <v>6</v>
      </c>
      <c r="V3475" s="5">
        <v>43907</v>
      </c>
      <c r="W3475" s="5">
        <v>42956</v>
      </c>
      <c r="X3475" s="1">
        <v>8325000</v>
      </c>
      <c r="Y3475" s="1">
        <v>8325000</v>
      </c>
      <c r="Z3475" s="5">
        <v>42963</v>
      </c>
      <c r="AA3475" s="1">
        <v>8056085.6900000004</v>
      </c>
      <c r="AB3475" s="1" t="s">
        <v>2269</v>
      </c>
      <c r="AC3475" s="5">
        <v>43902</v>
      </c>
      <c r="AF3475" s="1">
        <v>10128</v>
      </c>
      <c r="AJ3475" s="1">
        <v>2019</v>
      </c>
      <c r="AK3475" s="1" t="s">
        <v>46</v>
      </c>
      <c r="AL3475" s="1">
        <v>48</v>
      </c>
    </row>
    <row r="3476" spans="1:38" x14ac:dyDescent="0.2">
      <c r="A3476" s="2" t="str">
        <f>HYPERLINK("https://www.compass.com/listing/180-east-88th-street-unit-26b-manhattan-ny-10128/29509492014130545/","180 E 88th St, Unit 26B")</f>
        <v>180 E 88th St, Unit 26B</v>
      </c>
      <c r="B3476" s="2" t="str">
        <f t="shared" si="584"/>
        <v>180 E 88th St</v>
      </c>
      <c r="C3476" s="1" t="s">
        <v>82</v>
      </c>
      <c r="D3476" s="1" t="s">
        <v>41</v>
      </c>
      <c r="E3476" s="3">
        <v>6920000</v>
      </c>
      <c r="F3476" s="1">
        <v>2919.8312236286902</v>
      </c>
      <c r="G3476" s="1">
        <v>7</v>
      </c>
      <c r="H3476" s="1">
        <v>4</v>
      </c>
      <c r="I3476" s="1">
        <v>4</v>
      </c>
      <c r="J3476" s="1">
        <v>3.5</v>
      </c>
      <c r="K3476" s="1">
        <v>3</v>
      </c>
      <c r="L3476" s="1">
        <v>1</v>
      </c>
      <c r="M3476" s="4">
        <v>2370</v>
      </c>
      <c r="N3476" s="1">
        <v>3661</v>
      </c>
      <c r="O3476" s="1">
        <v>7638</v>
      </c>
      <c r="P3476" s="1">
        <v>3977</v>
      </c>
      <c r="Q3476" s="1" t="s">
        <v>42</v>
      </c>
      <c r="S3476" s="1" t="s">
        <v>42</v>
      </c>
      <c r="T3476" s="1" t="s">
        <v>273</v>
      </c>
      <c r="U3476" s="1">
        <v>71</v>
      </c>
      <c r="V3476" s="5">
        <v>43838</v>
      </c>
      <c r="W3476" s="5">
        <v>43011</v>
      </c>
      <c r="X3476" s="1">
        <v>7050000</v>
      </c>
      <c r="Y3476" s="1">
        <v>7050000</v>
      </c>
      <c r="Z3476" s="5">
        <v>43082</v>
      </c>
      <c r="AA3476" s="1">
        <v>6920000</v>
      </c>
      <c r="AB3476" s="1" t="s">
        <v>2270</v>
      </c>
      <c r="AC3476" s="5">
        <v>43836</v>
      </c>
      <c r="AF3476" s="1">
        <v>10128</v>
      </c>
      <c r="AJ3476" s="1">
        <v>2019</v>
      </c>
      <c r="AK3476" s="1" t="s">
        <v>46</v>
      </c>
      <c r="AL3476" s="1">
        <v>48</v>
      </c>
    </row>
    <row r="3477" spans="1:38" x14ac:dyDescent="0.2">
      <c r="A3477" s="2" t="str">
        <f>HYPERLINK("https://www.compass.com/listing/300-east-64th-street-unit-11d-manhattan-ny-10065/29415724950840737/","300 E 64th St, Unit 11D")</f>
        <v>300 E 64th St, Unit 11D</v>
      </c>
      <c r="B3477" s="2" t="str">
        <f t="shared" ref="B3477:B3478" si="585">HYPERLINK("https://www.compass.com/building/300-e-64th-st-manhattan-ny-10065/282038617012979925/","300 E 64th St")</f>
        <v>300 E 64th St</v>
      </c>
      <c r="C3477" s="1" t="s">
        <v>82</v>
      </c>
      <c r="D3477" s="1" t="s">
        <v>41</v>
      </c>
      <c r="E3477" s="3">
        <v>1213450</v>
      </c>
      <c r="F3477" s="1">
        <v>1551.7263427109899</v>
      </c>
      <c r="G3477" s="1">
        <v>3</v>
      </c>
      <c r="H3477" s="1">
        <v>1</v>
      </c>
      <c r="I3477" s="1">
        <v>1</v>
      </c>
      <c r="J3477" s="1">
        <v>1</v>
      </c>
      <c r="M3477" s="1">
        <v>782</v>
      </c>
      <c r="N3477" s="1">
        <v>880</v>
      </c>
      <c r="O3477" s="1">
        <v>2223</v>
      </c>
      <c r="P3477" s="1">
        <v>1343</v>
      </c>
      <c r="Q3477" s="1" t="s">
        <v>42</v>
      </c>
      <c r="S3477" s="1" t="s">
        <v>42</v>
      </c>
      <c r="T3477" s="1" t="s">
        <v>273</v>
      </c>
      <c r="V3477" s="5">
        <v>43649</v>
      </c>
      <c r="W3477" s="5">
        <v>42986</v>
      </c>
      <c r="X3477" s="1">
        <v>1200000</v>
      </c>
      <c r="Y3477" s="1">
        <v>1200000</v>
      </c>
      <c r="Z3477" s="5">
        <v>42986</v>
      </c>
      <c r="AA3477" s="1">
        <v>1213450</v>
      </c>
      <c r="AB3477" s="1" t="s">
        <v>2271</v>
      </c>
      <c r="AC3477" s="5">
        <v>43007</v>
      </c>
      <c r="AF3477" s="1">
        <v>10065</v>
      </c>
      <c r="AI3477" s="1" t="s">
        <v>189</v>
      </c>
      <c r="AJ3477" s="1">
        <v>1996</v>
      </c>
      <c r="AK3477" s="1" t="s">
        <v>49</v>
      </c>
      <c r="AL3477" s="1">
        <v>103</v>
      </c>
    </row>
    <row r="3478" spans="1:38" x14ac:dyDescent="0.2">
      <c r="A3478" s="2" t="str">
        <f>HYPERLINK("https://www.compass.com/listing/300-east-64th-street-unit-6e-manhattan-ny-10065/29415712644754049/","300 E 64th St, Unit 6E")</f>
        <v>300 E 64th St, Unit 6E</v>
      </c>
      <c r="B3478" s="2" t="str">
        <f t="shared" si="585"/>
        <v>300 E 64th St</v>
      </c>
      <c r="C3478" s="1" t="s">
        <v>82</v>
      </c>
      <c r="D3478" s="1" t="s">
        <v>41</v>
      </c>
      <c r="E3478" s="3">
        <v>957155</v>
      </c>
      <c r="G3478" s="1">
        <v>3</v>
      </c>
      <c r="H3478" s="1">
        <v>1</v>
      </c>
      <c r="I3478" s="1">
        <v>1</v>
      </c>
      <c r="J3478" s="1">
        <v>1</v>
      </c>
      <c r="N3478" s="1">
        <v>712</v>
      </c>
      <c r="O3478" s="1">
        <v>1727</v>
      </c>
      <c r="P3478" s="1">
        <v>1015</v>
      </c>
      <c r="Q3478" s="1" t="s">
        <v>42</v>
      </c>
      <c r="S3478" s="1" t="s">
        <v>42</v>
      </c>
      <c r="T3478" s="1" t="s">
        <v>273</v>
      </c>
      <c r="U3478" s="1">
        <v>98</v>
      </c>
      <c r="V3478" s="5">
        <v>43651</v>
      </c>
      <c r="W3478" s="5">
        <v>42034</v>
      </c>
      <c r="X3478" s="1">
        <v>940000</v>
      </c>
      <c r="Y3478" s="1">
        <v>940000</v>
      </c>
      <c r="Z3478" s="5">
        <v>42132</v>
      </c>
      <c r="AA3478" s="1">
        <v>957155</v>
      </c>
      <c r="AB3478" s="1" t="s">
        <v>2272</v>
      </c>
      <c r="AC3478" s="5">
        <v>42205</v>
      </c>
      <c r="AF3478" s="1">
        <v>10065</v>
      </c>
      <c r="AI3478" s="1" t="s">
        <v>189</v>
      </c>
      <c r="AJ3478" s="1">
        <v>1996</v>
      </c>
      <c r="AK3478" s="1" t="s">
        <v>49</v>
      </c>
      <c r="AL3478" s="1">
        <v>103</v>
      </c>
    </row>
    <row r="3479" spans="1:38" x14ac:dyDescent="0.2">
      <c r="A3479" s="2" t="str">
        <f>HYPERLINK("https://www.compass.com/listing/235-west-75th-street-unit-310-manhattan-ny-10023/29610723881551201/","235 W 75th St, Unit 310")</f>
        <v>235 W 75th St, Unit 310</v>
      </c>
      <c r="B3479" s="2" t="str">
        <f>HYPERLINK("https://www.compass.com/building/the-astor-manhattan-ny/281958704155269925/","The Astor")</f>
        <v>The Astor</v>
      </c>
      <c r="C3479" s="1" t="s">
        <v>57</v>
      </c>
      <c r="D3479" s="1" t="s">
        <v>41</v>
      </c>
      <c r="E3479" s="3">
        <v>2671534</v>
      </c>
      <c r="F3479" s="1">
        <v>1872.13302733006</v>
      </c>
      <c r="H3479" s="1">
        <v>2</v>
      </c>
      <c r="J3479" s="1">
        <v>2.5</v>
      </c>
      <c r="M3479" s="4">
        <v>1427</v>
      </c>
      <c r="N3479" s="1">
        <v>1847</v>
      </c>
      <c r="O3479" s="1">
        <v>3749</v>
      </c>
      <c r="P3479" s="1">
        <v>1902</v>
      </c>
      <c r="Q3479" s="1" t="s">
        <v>42</v>
      </c>
      <c r="S3479" s="1" t="s">
        <v>42</v>
      </c>
      <c r="T3479" s="1" t="s">
        <v>273</v>
      </c>
      <c r="AA3479" s="1">
        <v>2671533.83</v>
      </c>
      <c r="AB3479" s="1" t="s">
        <v>2273</v>
      </c>
      <c r="AC3479" s="5">
        <v>42601</v>
      </c>
      <c r="AF3479" s="1">
        <v>10023</v>
      </c>
      <c r="AJ3479" s="1">
        <v>2018</v>
      </c>
      <c r="AK3479" s="1" t="s">
        <v>49</v>
      </c>
      <c r="AL3479" s="1">
        <v>98</v>
      </c>
    </row>
    <row r="3480" spans="1:38" x14ac:dyDescent="0.2">
      <c r="A3480" s="2" t="str">
        <f>HYPERLINK("https://www.compass.com/listing/301-east-80th-street-unit-3a-manhattan-ny-10075/806978303438091801/","301 E 80th St, Unit 3A")</f>
        <v>301 E 80th St, Unit 3A</v>
      </c>
      <c r="B3480" s="2" t="str">
        <f t="shared" ref="B3480:B3486" si="586">HYPERLINK("https://www.compass.com/building/beckford-tower-manhattan-ny/293529721147268613/","Beckford Tower")</f>
        <v>Beckford Tower</v>
      </c>
      <c r="C3480" s="1" t="s">
        <v>82</v>
      </c>
      <c r="D3480" s="1" t="s">
        <v>41</v>
      </c>
      <c r="E3480" s="3">
        <v>6000000</v>
      </c>
      <c r="Q3480" s="1" t="s">
        <v>42</v>
      </c>
      <c r="S3480" s="1" t="s">
        <v>42</v>
      </c>
      <c r="T3480" s="1" t="s">
        <v>273</v>
      </c>
      <c r="AA3480" s="1">
        <v>6000000</v>
      </c>
      <c r="AB3480" s="1" t="s">
        <v>2274</v>
      </c>
      <c r="AC3480" s="5">
        <v>44351</v>
      </c>
      <c r="AF3480" s="1">
        <v>10075</v>
      </c>
      <c r="AJ3480" s="1">
        <v>2019</v>
      </c>
      <c r="AK3480" s="1" t="s">
        <v>49</v>
      </c>
      <c r="AL3480" s="1">
        <v>72</v>
      </c>
    </row>
    <row r="3481" spans="1:38" x14ac:dyDescent="0.2">
      <c r="A3481" s="2" t="str">
        <f>HYPERLINK("https://www.compass.com/listing/301-east-80th-street-unit-21a-manhattan-ny-10075/822191692507835265/","301 E 80th St, Unit 21A")</f>
        <v>301 E 80th St, Unit 21A</v>
      </c>
      <c r="B3481" s="2" t="str">
        <f t="shared" si="586"/>
        <v>Beckford Tower</v>
      </c>
      <c r="C3481" s="1" t="s">
        <v>82</v>
      </c>
      <c r="D3481" s="1" t="s">
        <v>41</v>
      </c>
      <c r="E3481" s="3">
        <v>7595000</v>
      </c>
      <c r="Q3481" s="1" t="s">
        <v>42</v>
      </c>
      <c r="S3481" s="1" t="s">
        <v>42</v>
      </c>
      <c r="T3481" s="1" t="s">
        <v>273</v>
      </c>
      <c r="AA3481" s="1">
        <v>7595000</v>
      </c>
      <c r="AB3481" s="1" t="s">
        <v>2275</v>
      </c>
      <c r="AC3481" s="5">
        <v>44370</v>
      </c>
      <c r="AF3481" s="1">
        <v>10075</v>
      </c>
      <c r="AJ3481" s="1">
        <v>2019</v>
      </c>
      <c r="AK3481" s="1" t="s">
        <v>49</v>
      </c>
      <c r="AL3481" s="1">
        <v>72</v>
      </c>
    </row>
    <row r="3482" spans="1:38" x14ac:dyDescent="0.2">
      <c r="A3482" s="2" t="str">
        <f>HYPERLINK("https://www.compass.com/listing/301-east-80th-street-unit-24a-manhattan-ny-10075/831818973547309273/","301 E 80th St, Unit 24A")</f>
        <v>301 E 80th St, Unit 24A</v>
      </c>
      <c r="B3482" s="2" t="str">
        <f t="shared" si="586"/>
        <v>Beckford Tower</v>
      </c>
      <c r="C3482" s="1" t="s">
        <v>82</v>
      </c>
      <c r="D3482" s="1" t="s">
        <v>41</v>
      </c>
      <c r="E3482" s="3">
        <v>6585000</v>
      </c>
      <c r="Q3482" s="1" t="s">
        <v>42</v>
      </c>
      <c r="S3482" s="1" t="s">
        <v>42</v>
      </c>
      <c r="T3482" s="1" t="s">
        <v>273</v>
      </c>
      <c r="AA3482" s="1">
        <v>6585000</v>
      </c>
      <c r="AB3482" s="1" t="s">
        <v>2276</v>
      </c>
      <c r="AC3482" s="5">
        <v>44377</v>
      </c>
      <c r="AF3482" s="1">
        <v>10075</v>
      </c>
      <c r="AJ3482" s="1">
        <v>2019</v>
      </c>
      <c r="AK3482" s="1" t="s">
        <v>49</v>
      </c>
      <c r="AL3482" s="1">
        <v>72</v>
      </c>
    </row>
    <row r="3483" spans="1:38" x14ac:dyDescent="0.2">
      <c r="A3483" s="2" t="str">
        <f>HYPERLINK("https://www.compass.com/listing/301-east-80th-street-unit-4c-manhattan-ny-10075/836683429183809361/","301 E 80th St, Unit 4C")</f>
        <v>301 E 80th St, Unit 4C</v>
      </c>
      <c r="B3483" s="2" t="str">
        <f t="shared" si="586"/>
        <v>Beckford Tower</v>
      </c>
      <c r="C3483" s="1" t="s">
        <v>82</v>
      </c>
      <c r="D3483" s="1" t="s">
        <v>41</v>
      </c>
      <c r="E3483" s="3">
        <v>4800000</v>
      </c>
      <c r="Q3483" s="1" t="s">
        <v>42</v>
      </c>
      <c r="S3483" s="1" t="s">
        <v>42</v>
      </c>
      <c r="T3483" s="1" t="s">
        <v>273</v>
      </c>
      <c r="AA3483" s="1">
        <v>4800000</v>
      </c>
      <c r="AB3483" s="1" t="s">
        <v>2277</v>
      </c>
      <c r="AC3483" s="5">
        <v>44370</v>
      </c>
      <c r="AF3483" s="1">
        <v>10075</v>
      </c>
      <c r="AJ3483" s="1">
        <v>2019</v>
      </c>
      <c r="AK3483" s="1" t="s">
        <v>49</v>
      </c>
      <c r="AL3483" s="1">
        <v>72</v>
      </c>
    </row>
    <row r="3484" spans="1:38" x14ac:dyDescent="0.2">
      <c r="A3484" s="2" t="str">
        <f>HYPERLINK("https://www.compass.com/listing/301-east-80th-street-unit-21b-manhattan-ny-10075/837410544376322777/","301 E 80th St, Unit 21B")</f>
        <v>301 E 80th St, Unit 21B</v>
      </c>
      <c r="B3484" s="2" t="str">
        <f t="shared" si="586"/>
        <v>Beckford Tower</v>
      </c>
      <c r="C3484" s="1" t="s">
        <v>82</v>
      </c>
      <c r="D3484" s="1" t="s">
        <v>41</v>
      </c>
      <c r="E3484" s="3">
        <v>8290489</v>
      </c>
      <c r="Q3484" s="1" t="s">
        <v>42</v>
      </c>
      <c r="S3484" s="1" t="s">
        <v>42</v>
      </c>
      <c r="T3484" s="1" t="s">
        <v>273</v>
      </c>
      <c r="AA3484" s="1">
        <v>8290488.6299999999</v>
      </c>
      <c r="AB3484" s="1" t="s">
        <v>2278</v>
      </c>
      <c r="AC3484" s="5">
        <v>44365</v>
      </c>
      <c r="AF3484" s="1">
        <v>10075</v>
      </c>
      <c r="AJ3484" s="1">
        <v>2019</v>
      </c>
      <c r="AK3484" s="1" t="s">
        <v>49</v>
      </c>
      <c r="AL3484" s="1">
        <v>72</v>
      </c>
    </row>
    <row r="3485" spans="1:38" x14ac:dyDescent="0.2">
      <c r="A3485" s="2" t="str">
        <f>HYPERLINK("https://www.compass.com/listing/301-east-80th-street-unit-25a-manhattan-ny-10075/837410591335877369/","301 E 80th St, Unit 25A")</f>
        <v>301 E 80th St, Unit 25A</v>
      </c>
      <c r="B3485" s="2" t="str">
        <f t="shared" si="586"/>
        <v>Beckford Tower</v>
      </c>
      <c r="C3485" s="1" t="s">
        <v>82</v>
      </c>
      <c r="D3485" s="1" t="s">
        <v>41</v>
      </c>
      <c r="E3485" s="3">
        <v>6353368</v>
      </c>
      <c r="Q3485" s="1" t="s">
        <v>42</v>
      </c>
      <c r="S3485" s="1" t="s">
        <v>42</v>
      </c>
      <c r="T3485" s="1" t="s">
        <v>273</v>
      </c>
      <c r="AA3485" s="1">
        <v>6353368.4800000004</v>
      </c>
      <c r="AB3485" s="1" t="s">
        <v>2279</v>
      </c>
      <c r="AC3485" s="5">
        <v>44376</v>
      </c>
      <c r="AF3485" s="1">
        <v>10075</v>
      </c>
      <c r="AJ3485" s="1">
        <v>2019</v>
      </c>
      <c r="AK3485" s="1" t="s">
        <v>49</v>
      </c>
      <c r="AL3485" s="1">
        <v>72</v>
      </c>
    </row>
    <row r="3486" spans="1:38" x14ac:dyDescent="0.2">
      <c r="A3486" s="2" t="str">
        <f>HYPERLINK("https://www.compass.com/listing/301-east-80th-street-unit-28a-manhattan-ny-10075/848290326262621057/","301 E 80th St, Unit 28A")</f>
        <v>301 E 80th St, Unit 28A</v>
      </c>
      <c r="B3486" s="2" t="str">
        <f t="shared" si="586"/>
        <v>Beckford Tower</v>
      </c>
      <c r="C3486" s="1" t="s">
        <v>82</v>
      </c>
      <c r="D3486" s="1" t="s">
        <v>41</v>
      </c>
      <c r="E3486" s="3">
        <v>6700000</v>
      </c>
      <c r="Q3486" s="1" t="s">
        <v>42</v>
      </c>
      <c r="S3486" s="1" t="s">
        <v>42</v>
      </c>
      <c r="T3486" s="1" t="s">
        <v>273</v>
      </c>
      <c r="AA3486" s="1">
        <v>6700000</v>
      </c>
      <c r="AB3486" s="1" t="s">
        <v>2280</v>
      </c>
      <c r="AC3486" s="5">
        <v>44407</v>
      </c>
      <c r="AF3486" s="1">
        <v>10075</v>
      </c>
      <c r="AJ3486" s="1">
        <v>2019</v>
      </c>
      <c r="AK3486" s="1" t="s">
        <v>49</v>
      </c>
      <c r="AL3486" s="1">
        <v>72</v>
      </c>
    </row>
    <row r="3487" spans="1:38" x14ac:dyDescent="0.2">
      <c r="A3487" s="2" t="str">
        <f>HYPERLINK("https://www.compass.com/listing/12-east-88th-street-unit-4a-manhattan-ny-10128/122984703224499201/","12 E 88th St, Unit 4A")</f>
        <v>12 E 88th St, Unit 4A</v>
      </c>
      <c r="B3487" s="2" t="str">
        <f>HYPERLINK("https://www.compass.com/building/12-e-88th-st-manhattan-ny-10128/282046316798827461/","12 E 88th St")</f>
        <v>12 E 88th St</v>
      </c>
      <c r="C3487" s="1" t="s">
        <v>82</v>
      </c>
      <c r="D3487" s="1" t="s">
        <v>41</v>
      </c>
      <c r="E3487" s="3">
        <v>8100000</v>
      </c>
      <c r="F3487" s="1">
        <v>2074.2637644045999</v>
      </c>
      <c r="H3487" s="1">
        <v>5</v>
      </c>
      <c r="J3487" s="1">
        <v>4.5</v>
      </c>
      <c r="M3487" s="4">
        <v>3905</v>
      </c>
      <c r="N3487" s="1">
        <v>4691</v>
      </c>
      <c r="O3487" s="1">
        <v>9711</v>
      </c>
      <c r="P3487" s="1">
        <v>5020</v>
      </c>
      <c r="Q3487" s="1" t="s">
        <v>42</v>
      </c>
      <c r="S3487" s="1" t="s">
        <v>42</v>
      </c>
      <c r="T3487" s="1" t="s">
        <v>273</v>
      </c>
      <c r="AA3487" s="1">
        <v>8100000</v>
      </c>
      <c r="AB3487" s="1" t="s">
        <v>2281</v>
      </c>
      <c r="AC3487" s="5">
        <v>43396</v>
      </c>
      <c r="AF3487" s="1">
        <v>10128</v>
      </c>
      <c r="AI3487" s="1" t="s">
        <v>177</v>
      </c>
      <c r="AJ3487" s="1">
        <v>1931</v>
      </c>
      <c r="AK3487" s="1" t="s">
        <v>49</v>
      </c>
      <c r="AL3487" s="1">
        <v>39</v>
      </c>
    </row>
    <row r="3488" spans="1:38" x14ac:dyDescent="0.2">
      <c r="A3488" s="2" t="str">
        <f>HYPERLINK("https://www.compass.com/listing/300-east-64th-street-unit-14b-manhattan-ny-10065/29415727526143441/","300 E 64th St, Unit 14B")</f>
        <v>300 E 64th St, Unit 14B</v>
      </c>
      <c r="B3488" s="2" t="str">
        <f>HYPERLINK("https://www.compass.com/building/300-e-64th-st-manhattan-ny-10065/282038617012979925/","300 E 64th St")</f>
        <v>300 E 64th St</v>
      </c>
      <c r="C3488" s="1" t="s">
        <v>82</v>
      </c>
      <c r="D3488" s="1" t="s">
        <v>41</v>
      </c>
      <c r="E3488" s="3">
        <v>997885</v>
      </c>
      <c r="F3488" s="1">
        <v>1569.0015723270401</v>
      </c>
      <c r="G3488" s="1">
        <v>3</v>
      </c>
      <c r="H3488" s="1">
        <v>1</v>
      </c>
      <c r="I3488" s="1">
        <v>1</v>
      </c>
      <c r="J3488" s="1">
        <v>1</v>
      </c>
      <c r="M3488" s="1">
        <v>636</v>
      </c>
      <c r="N3488" s="1">
        <v>716</v>
      </c>
      <c r="O3488" s="1">
        <v>1736</v>
      </c>
      <c r="P3488" s="1">
        <v>1020</v>
      </c>
      <c r="Q3488" s="1" t="s">
        <v>42</v>
      </c>
      <c r="S3488" s="1" t="s">
        <v>42</v>
      </c>
      <c r="T3488" s="1" t="s">
        <v>273</v>
      </c>
      <c r="V3488" s="5">
        <v>43654</v>
      </c>
      <c r="W3488" s="5">
        <v>42017</v>
      </c>
      <c r="X3488" s="1">
        <v>980000</v>
      </c>
      <c r="Y3488" s="1">
        <v>980000</v>
      </c>
      <c r="Z3488" s="5">
        <v>42017</v>
      </c>
      <c r="AA3488" s="1">
        <v>997885</v>
      </c>
      <c r="AB3488" s="1" t="s">
        <v>2282</v>
      </c>
      <c r="AC3488" s="5">
        <v>42186</v>
      </c>
      <c r="AF3488" s="1">
        <v>10065</v>
      </c>
      <c r="AI3488" s="1" t="s">
        <v>83</v>
      </c>
      <c r="AJ3488" s="1">
        <v>1996</v>
      </c>
      <c r="AK3488" s="1" t="s">
        <v>49</v>
      </c>
      <c r="AL3488" s="1">
        <v>103</v>
      </c>
    </row>
    <row r="3489" spans="1:38" x14ac:dyDescent="0.2">
      <c r="A3489" s="2" t="str">
        <f>HYPERLINK("https://www.compass.com/listing/180-east-88th-street-unit-22ab-manhattan-ny-10128/502743428999059945/","180 E 88th St, Unit 22AB")</f>
        <v>180 E 88th St, Unit 22AB</v>
      </c>
      <c r="B3489" s="2" t="str">
        <f t="shared" ref="B3489:B3490" si="587">HYPERLINK("https://www.compass.com/building/180-e-88th-st-manhattan-ny-10128/282058835781256373/","180 E 88th St")</f>
        <v>180 E 88th St</v>
      </c>
      <c r="C3489" s="1" t="s">
        <v>82</v>
      </c>
      <c r="D3489" s="1" t="s">
        <v>41</v>
      </c>
      <c r="E3489" s="3">
        <v>9300000</v>
      </c>
      <c r="F3489" s="1">
        <v>2457.0673712021098</v>
      </c>
      <c r="G3489" s="1">
        <v>9</v>
      </c>
      <c r="H3489" s="1">
        <v>5</v>
      </c>
      <c r="I3489" s="1">
        <v>6</v>
      </c>
      <c r="J3489" s="1">
        <v>5</v>
      </c>
      <c r="K3489" s="1">
        <v>4</v>
      </c>
      <c r="L3489" s="1">
        <v>2</v>
      </c>
      <c r="M3489" s="4">
        <v>3785</v>
      </c>
      <c r="N3489" s="1">
        <v>5681</v>
      </c>
      <c r="O3489" s="1">
        <v>10154</v>
      </c>
      <c r="P3489" s="1">
        <v>4473</v>
      </c>
      <c r="Q3489" s="1" t="s">
        <v>42</v>
      </c>
      <c r="S3489" s="1" t="s">
        <v>42</v>
      </c>
      <c r="T3489" s="1" t="s">
        <v>273</v>
      </c>
      <c r="U3489" s="1">
        <v>371</v>
      </c>
      <c r="V3489" s="5">
        <v>44230</v>
      </c>
      <c r="W3489" s="5">
        <v>43539</v>
      </c>
      <c r="X3489" s="1">
        <v>9300000</v>
      </c>
      <c r="Y3489" s="1">
        <v>9300000</v>
      </c>
      <c r="AA3489" s="1">
        <v>9300000</v>
      </c>
      <c r="AB3489" s="1" t="s">
        <v>2283</v>
      </c>
      <c r="AC3489" s="5">
        <v>43944</v>
      </c>
      <c r="AF3489" s="1">
        <v>10128</v>
      </c>
      <c r="AI3489" s="1" t="s">
        <v>177</v>
      </c>
      <c r="AJ3489" s="1">
        <v>2019</v>
      </c>
      <c r="AK3489" s="1" t="s">
        <v>46</v>
      </c>
      <c r="AL3489" s="1">
        <v>48</v>
      </c>
    </row>
    <row r="3490" spans="1:38" x14ac:dyDescent="0.2">
      <c r="A3490" s="2" t="str">
        <f>HYPERLINK("https://www.compass.com/listing/180-east-88th-street-unit-22ab-manhattan-ny-10128/784922061159086129/","180 E 88th St, Unit 22AB")</f>
        <v>180 E 88th St, Unit 22AB</v>
      </c>
      <c r="B3490" s="2" t="str">
        <f t="shared" si="587"/>
        <v>180 E 88th St</v>
      </c>
      <c r="C3490" s="1" t="s">
        <v>82</v>
      </c>
      <c r="D3490" s="1" t="s">
        <v>41</v>
      </c>
      <c r="E3490" s="3">
        <v>9300000</v>
      </c>
      <c r="F3490" s="1">
        <v>2457.0673712021098</v>
      </c>
      <c r="G3490" s="1">
        <v>9.5</v>
      </c>
      <c r="H3490" s="1">
        <v>5</v>
      </c>
      <c r="I3490" s="1">
        <v>5</v>
      </c>
      <c r="J3490" s="1">
        <v>4.5</v>
      </c>
      <c r="M3490" s="4">
        <v>3785</v>
      </c>
      <c r="N3490" s="1">
        <v>5681</v>
      </c>
      <c r="O3490" s="1">
        <v>10154</v>
      </c>
      <c r="P3490" s="1">
        <v>4473</v>
      </c>
      <c r="Q3490" s="1" t="s">
        <v>42</v>
      </c>
      <c r="S3490" s="1" t="s">
        <v>42</v>
      </c>
      <c r="T3490" s="1" t="s">
        <v>273</v>
      </c>
      <c r="V3490" s="5">
        <v>43948</v>
      </c>
      <c r="Y3490" s="1">
        <v>9300000</v>
      </c>
      <c r="Z3490" s="5">
        <v>43945</v>
      </c>
      <c r="AA3490" s="1">
        <v>9300000</v>
      </c>
      <c r="AB3490" s="1" t="s">
        <v>2283</v>
      </c>
      <c r="AC3490" s="5">
        <v>43944</v>
      </c>
      <c r="AF3490" s="1">
        <v>10128</v>
      </c>
      <c r="AJ3490" s="1">
        <v>2019</v>
      </c>
      <c r="AK3490" s="1" t="s">
        <v>49</v>
      </c>
      <c r="AL3490" s="1">
        <v>48</v>
      </c>
    </row>
    <row r="3491" spans="1:38" x14ac:dyDescent="0.2">
      <c r="A3491" s="2" t="str">
        <f>HYPERLINK("https://www.compass.com/listing/1-west-end-avenue-unit-28c-manhattan-ny-10023/29397345619675345/","1 W End Ave, Unit 28C")</f>
        <v>1 W End Ave, Unit 28C</v>
      </c>
      <c r="B3491" s="2" t="str">
        <f t="shared" ref="B3491:B3492" si="588">HYPERLINK("https://www.compass.com/building/1-w-end-ave-manhattan-ny-10023/455676159137755317/","1 W End Ave")</f>
        <v>1 W End Ave</v>
      </c>
      <c r="C3491" s="1" t="s">
        <v>57</v>
      </c>
      <c r="D3491" s="1" t="s">
        <v>41</v>
      </c>
      <c r="E3491" s="3">
        <v>4426118</v>
      </c>
      <c r="F3491" s="1">
        <v>2200.9537543510601</v>
      </c>
      <c r="G3491" s="1">
        <v>5</v>
      </c>
      <c r="H3491" s="1">
        <v>3</v>
      </c>
      <c r="I3491" s="1">
        <v>3</v>
      </c>
      <c r="J3491" s="1">
        <v>3.5</v>
      </c>
      <c r="K3491" s="1">
        <v>3</v>
      </c>
      <c r="L3491" s="1">
        <v>1</v>
      </c>
      <c r="M3491" s="4">
        <v>2011</v>
      </c>
      <c r="N3491" s="1">
        <v>2074</v>
      </c>
      <c r="O3491" s="1">
        <v>2215</v>
      </c>
      <c r="P3491" s="1">
        <v>141</v>
      </c>
      <c r="Q3491" s="1" t="s">
        <v>42</v>
      </c>
      <c r="S3491" s="1" t="s">
        <v>42</v>
      </c>
      <c r="T3491" s="1" t="s">
        <v>273</v>
      </c>
      <c r="U3491" s="1">
        <v>8</v>
      </c>
      <c r="V3491" s="5">
        <v>43694</v>
      </c>
      <c r="W3491" s="5">
        <v>42227</v>
      </c>
      <c r="X3491" s="1">
        <v>4335000</v>
      </c>
      <c r="Y3491" s="1">
        <v>4335000</v>
      </c>
      <c r="Z3491" s="5">
        <v>42235</v>
      </c>
      <c r="AA3491" s="1">
        <v>4426118</v>
      </c>
      <c r="AB3491" s="1" t="s">
        <v>2284</v>
      </c>
      <c r="AC3491" s="5">
        <v>43124</v>
      </c>
      <c r="AF3491" s="1">
        <v>10023</v>
      </c>
      <c r="AI3491" s="1" t="s">
        <v>60</v>
      </c>
      <c r="AJ3491" s="1">
        <v>2017</v>
      </c>
      <c r="AK3491" s="1" t="s">
        <v>108</v>
      </c>
      <c r="AL3491" s="1">
        <v>246</v>
      </c>
    </row>
    <row r="3492" spans="1:38" x14ac:dyDescent="0.2">
      <c r="A3492" s="2" t="str">
        <f>HYPERLINK("https://www.compass.com/listing/1-west-end-avenue-unit-28e-manhattan-ny-10023/29397363537760545/","1 W End Ave, Unit 28E")</f>
        <v>1 W End Ave, Unit 28E</v>
      </c>
      <c r="B3492" s="2" t="str">
        <f t="shared" si="588"/>
        <v>1 W End Ave</v>
      </c>
      <c r="C3492" s="1" t="s">
        <v>57</v>
      </c>
      <c r="D3492" s="1" t="s">
        <v>41</v>
      </c>
      <c r="E3492" s="3">
        <v>5690648</v>
      </c>
      <c r="F3492" s="1">
        <v>2311.39236393176</v>
      </c>
      <c r="G3492" s="1">
        <v>5</v>
      </c>
      <c r="H3492" s="1">
        <v>3</v>
      </c>
      <c r="I3492" s="1">
        <v>3</v>
      </c>
      <c r="J3492" s="1">
        <v>3.5</v>
      </c>
      <c r="K3492" s="1">
        <v>3</v>
      </c>
      <c r="L3492" s="1">
        <v>1</v>
      </c>
      <c r="M3492" s="4">
        <v>2462</v>
      </c>
      <c r="N3492" s="1">
        <v>2721.06</v>
      </c>
      <c r="O3492" s="1">
        <v>2884.4</v>
      </c>
      <c r="P3492" s="1">
        <v>163.333333333333</v>
      </c>
      <c r="Q3492" s="1" t="s">
        <v>42</v>
      </c>
      <c r="S3492" s="1" t="s">
        <v>42</v>
      </c>
      <c r="T3492" s="1" t="s">
        <v>273</v>
      </c>
      <c r="V3492" s="5">
        <v>43700</v>
      </c>
      <c r="W3492" s="5">
        <v>42202</v>
      </c>
      <c r="X3492" s="1">
        <v>5575000</v>
      </c>
      <c r="Y3492" s="1">
        <v>5575000</v>
      </c>
      <c r="Z3492" s="5">
        <v>42202</v>
      </c>
      <c r="AA3492" s="1">
        <v>5690648.8700000001</v>
      </c>
      <c r="AB3492" s="1" t="s">
        <v>2285</v>
      </c>
      <c r="AC3492" s="5">
        <v>43136</v>
      </c>
      <c r="AF3492" s="1">
        <v>10023</v>
      </c>
      <c r="AI3492" s="1" t="s">
        <v>60</v>
      </c>
      <c r="AJ3492" s="1">
        <v>2017</v>
      </c>
      <c r="AK3492" s="1" t="s">
        <v>108</v>
      </c>
      <c r="AL3492" s="1">
        <v>246</v>
      </c>
    </row>
    <row r="3493" spans="1:38" x14ac:dyDescent="0.2">
      <c r="A3493" s="2" t="str">
        <f>HYPERLINK("https://www.compass.com/listing/20-east-end-avenue-unit-16b-manhattan-ny-10028/655616742497667585/","20 E End Ave, Unit 16B")</f>
        <v>20 E End Ave, Unit 16B</v>
      </c>
      <c r="B3493" s="2" t="str">
        <f>HYPERLINK("https://www.compass.com/building/20-e-end-ave-manhattan-ny-10028/281985490498985157/","20 E End Ave")</f>
        <v>20 E End Ave</v>
      </c>
      <c r="C3493" s="1" t="s">
        <v>82</v>
      </c>
      <c r="D3493" s="1" t="s">
        <v>41</v>
      </c>
      <c r="E3493" s="3">
        <v>10495000</v>
      </c>
      <c r="F3493" s="1">
        <v>3086.76470588235</v>
      </c>
      <c r="G3493" s="1">
        <v>7</v>
      </c>
      <c r="H3493" s="1">
        <v>4</v>
      </c>
      <c r="I3493" s="1">
        <v>4</v>
      </c>
      <c r="J3493" s="1">
        <v>3.5</v>
      </c>
      <c r="K3493" s="1">
        <v>3</v>
      </c>
      <c r="L3493" s="1">
        <v>1</v>
      </c>
      <c r="M3493" s="4">
        <v>3400</v>
      </c>
      <c r="N3493" s="1">
        <v>4818</v>
      </c>
      <c r="O3493" s="1">
        <v>10463</v>
      </c>
      <c r="P3493" s="1">
        <v>5645</v>
      </c>
      <c r="Q3493" s="1" t="s">
        <v>42</v>
      </c>
      <c r="S3493" s="1" t="s">
        <v>42</v>
      </c>
      <c r="T3493" s="1" t="s">
        <v>273</v>
      </c>
      <c r="V3493" s="5">
        <v>44359</v>
      </c>
      <c r="W3493" s="5">
        <v>44155</v>
      </c>
      <c r="X3493" s="1">
        <v>10495000</v>
      </c>
      <c r="Y3493" s="1">
        <v>10495000</v>
      </c>
      <c r="Z3493" s="5">
        <v>44155</v>
      </c>
      <c r="AA3493" s="1">
        <v>10495000</v>
      </c>
      <c r="AB3493" s="1" t="s">
        <v>275</v>
      </c>
      <c r="AC3493" s="5">
        <v>44335</v>
      </c>
      <c r="AF3493" s="1">
        <v>10028</v>
      </c>
      <c r="AI3493" s="1" t="s">
        <v>138</v>
      </c>
      <c r="AJ3493" s="1">
        <v>2017</v>
      </c>
      <c r="AK3493" s="1" t="s">
        <v>49</v>
      </c>
      <c r="AL3493" s="1">
        <v>41</v>
      </c>
    </row>
    <row r="3494" spans="1:38" x14ac:dyDescent="0.2">
      <c r="A3494" s="2" t="str">
        <f>HYPERLINK("https://www.compass.com/listing/505-513-west-43rd-street-unit-7k-manhattan-ny-10036/835223551677827649/","505-513 W 43rd St, Unit 7K")</f>
        <v>505-513 W 43rd St, Unit 7K</v>
      </c>
      <c r="B3494" s="2" t="str">
        <f t="shared" ref="B3494:B3495" si="589">HYPERLINK("https://www.compass.com/building/charlie-west-manhattan-ny/292918554372621509/","Charlie West")</f>
        <v>Charlie West</v>
      </c>
      <c r="C3494" s="1" t="s">
        <v>90</v>
      </c>
      <c r="D3494" s="1" t="s">
        <v>41</v>
      </c>
      <c r="E3494" s="3">
        <v>1048000</v>
      </c>
      <c r="F3494" s="1">
        <v>1600</v>
      </c>
      <c r="H3494" s="1">
        <v>1</v>
      </c>
      <c r="J3494" s="1">
        <v>1</v>
      </c>
      <c r="K3494" s="1">
        <v>1</v>
      </c>
      <c r="M3494" s="1">
        <v>655</v>
      </c>
      <c r="N3494" s="1">
        <v>715</v>
      </c>
      <c r="O3494" s="1">
        <v>1346</v>
      </c>
      <c r="Q3494" s="1" t="s">
        <v>271</v>
      </c>
      <c r="S3494" s="1" t="s">
        <v>271</v>
      </c>
      <c r="T3494" s="1" t="s">
        <v>273</v>
      </c>
      <c r="AA3494" s="1">
        <v>1048000</v>
      </c>
      <c r="AB3494" s="1" t="s">
        <v>2286</v>
      </c>
      <c r="AC3494" s="5">
        <v>44356</v>
      </c>
      <c r="AF3494" s="1">
        <v>10036</v>
      </c>
      <c r="AI3494" s="1" t="s">
        <v>118</v>
      </c>
      <c r="AJ3494" s="1">
        <v>2019</v>
      </c>
      <c r="AK3494" s="1" t="s">
        <v>49</v>
      </c>
      <c r="AL3494" s="1">
        <v>123</v>
      </c>
    </row>
    <row r="3495" spans="1:38" x14ac:dyDescent="0.2">
      <c r="A3495" s="2" t="str">
        <f>HYPERLINK("https://www.compass.com/listing/505-513-west-43rd-street-unit-12j-manhattan-ny-10036/81022529715646593/","505-513 W 43rd St, Unit 12J")</f>
        <v>505-513 W 43rd St, Unit 12J</v>
      </c>
      <c r="B3495" s="2" t="str">
        <f t="shared" si="589"/>
        <v>Charlie West</v>
      </c>
      <c r="C3495" s="1" t="s">
        <v>90</v>
      </c>
      <c r="D3495" s="1" t="s">
        <v>41</v>
      </c>
      <c r="E3495" s="3">
        <v>1337370</v>
      </c>
      <c r="F3495" s="1">
        <v>2048.0391271056601</v>
      </c>
      <c r="G3495" s="1">
        <v>3</v>
      </c>
      <c r="H3495" s="1">
        <v>1</v>
      </c>
      <c r="I3495" s="1">
        <v>1</v>
      </c>
      <c r="J3495" s="1">
        <v>1</v>
      </c>
      <c r="K3495" s="1">
        <v>1</v>
      </c>
      <c r="M3495" s="1">
        <v>653</v>
      </c>
      <c r="N3495" s="1">
        <v>714.3</v>
      </c>
      <c r="O3495" s="1">
        <v>1318.38</v>
      </c>
      <c r="Q3495" s="1" t="s">
        <v>158</v>
      </c>
      <c r="S3495" s="1" t="s">
        <v>158</v>
      </c>
      <c r="T3495" s="1" t="s">
        <v>273</v>
      </c>
      <c r="U3495" s="1">
        <v>250</v>
      </c>
      <c r="V3495" s="5">
        <v>43910</v>
      </c>
      <c r="W3495" s="5">
        <v>43140</v>
      </c>
      <c r="X3495" s="1">
        <v>1320000</v>
      </c>
      <c r="Y3495" s="1">
        <v>1320000</v>
      </c>
      <c r="Z3495" s="5">
        <v>43390</v>
      </c>
      <c r="AA3495" s="1">
        <v>1337369.55</v>
      </c>
      <c r="AB3495" s="1" t="s">
        <v>2287</v>
      </c>
      <c r="AC3495" s="5">
        <v>43899</v>
      </c>
      <c r="AF3495" s="1">
        <v>10036</v>
      </c>
      <c r="AI3495" s="1" t="s">
        <v>238</v>
      </c>
      <c r="AJ3495" s="1">
        <v>2019</v>
      </c>
      <c r="AK3495" s="1" t="s">
        <v>46</v>
      </c>
      <c r="AL3495" s="1">
        <v>123</v>
      </c>
    </row>
    <row r="3496" spans="1:38" x14ac:dyDescent="0.2">
      <c r="A3496" s="2" t="str">
        <f>HYPERLINK("https://www.compass.com/listing/300-east-64th-street-unit-22b-manhattan-ny-10065/29415740813645521/","300 E 64th St, Unit 22B")</f>
        <v>300 E 64th St, Unit 22B</v>
      </c>
      <c r="B3496" s="2" t="str">
        <f>HYPERLINK("https://www.compass.com/building/300-e-64th-st-manhattan-ny-10065/282038617012979925/","300 E 64th St")</f>
        <v>300 E 64th St</v>
      </c>
      <c r="C3496" s="1" t="s">
        <v>82</v>
      </c>
      <c r="D3496" s="1" t="s">
        <v>41</v>
      </c>
      <c r="E3496" s="3">
        <v>1175000</v>
      </c>
      <c r="F3496" s="1">
        <v>1847.4842767295499</v>
      </c>
      <c r="G3496" s="1">
        <v>3</v>
      </c>
      <c r="H3496" s="1">
        <v>1</v>
      </c>
      <c r="I3496" s="1">
        <v>1</v>
      </c>
      <c r="J3496" s="1">
        <v>1</v>
      </c>
      <c r="M3496" s="1">
        <v>636</v>
      </c>
      <c r="N3496" s="1">
        <v>716</v>
      </c>
      <c r="O3496" s="1">
        <v>1735</v>
      </c>
      <c r="P3496" s="1">
        <v>1019</v>
      </c>
      <c r="Q3496" s="1" t="s">
        <v>42</v>
      </c>
      <c r="S3496" s="1" t="s">
        <v>42</v>
      </c>
      <c r="T3496" s="1" t="s">
        <v>273</v>
      </c>
      <c r="V3496" s="5">
        <v>43651</v>
      </c>
      <c r="W3496" s="5">
        <v>42018</v>
      </c>
      <c r="X3496" s="1">
        <v>1175000</v>
      </c>
      <c r="Y3496" s="1">
        <v>1175000</v>
      </c>
      <c r="Z3496" s="5">
        <v>42018</v>
      </c>
      <c r="AA3496" s="1">
        <v>1175000</v>
      </c>
      <c r="AB3496" s="1" t="s">
        <v>2288</v>
      </c>
      <c r="AC3496" s="5">
        <v>42181</v>
      </c>
      <c r="AF3496" s="1">
        <v>10065</v>
      </c>
      <c r="AI3496" s="1" t="s">
        <v>189</v>
      </c>
      <c r="AJ3496" s="1">
        <v>1996</v>
      </c>
      <c r="AK3496" s="1" t="s">
        <v>49</v>
      </c>
      <c r="AL3496" s="1">
        <v>103</v>
      </c>
    </row>
    <row r="3497" spans="1:38" x14ac:dyDescent="0.2">
      <c r="A3497" s="2" t="str">
        <f>HYPERLINK("https://www.compass.com/listing/200-east-94th-street-unit-phe-manhattan-ny-10128/495370520364140753/","200 E 94th St, Unit PHE")</f>
        <v>200 E 94th St, Unit PHE</v>
      </c>
      <c r="B3497" s="2" t="str">
        <f>HYPERLINK("https://www.compass.com/building/carnegie-park-condominium-manhattan-ny/282049797358118613/","Carnegie Park Condominium")</f>
        <v>Carnegie Park Condominium</v>
      </c>
      <c r="C3497" s="1" t="s">
        <v>82</v>
      </c>
      <c r="D3497" s="1" t="s">
        <v>41</v>
      </c>
      <c r="E3497" s="3">
        <v>5764698</v>
      </c>
      <c r="F3497" s="1">
        <v>2228.3333861615702</v>
      </c>
      <c r="H3497" s="1">
        <v>4</v>
      </c>
      <c r="J3497" s="1">
        <v>3.5</v>
      </c>
      <c r="M3497" s="4">
        <v>2587</v>
      </c>
      <c r="N3497" s="1">
        <v>2839</v>
      </c>
      <c r="O3497" s="1">
        <v>5855</v>
      </c>
      <c r="P3497" s="1">
        <v>3016</v>
      </c>
      <c r="Q3497" s="1" t="s">
        <v>42</v>
      </c>
      <c r="S3497" s="1" t="s">
        <v>42</v>
      </c>
      <c r="T3497" s="1" t="s">
        <v>273</v>
      </c>
      <c r="AA3497" s="1">
        <v>5764698.4699999997</v>
      </c>
      <c r="AB3497" s="1" t="s">
        <v>2289</v>
      </c>
      <c r="AC3497" s="5">
        <v>43915</v>
      </c>
      <c r="AF3497" s="1">
        <v>10128</v>
      </c>
      <c r="AI3497" s="1" t="s">
        <v>163</v>
      </c>
      <c r="AJ3497" s="1">
        <v>1986</v>
      </c>
      <c r="AK3497" s="1" t="s">
        <v>55</v>
      </c>
      <c r="AL3497" s="1">
        <v>287</v>
      </c>
    </row>
    <row r="3498" spans="1:38" x14ac:dyDescent="0.2">
      <c r="A3498" s="2" t="str">
        <f>HYPERLINK("https://www.compass.com/listing/565-broome-street-unit-n5g-manhattan-ny-10013/780145135097846897/","565 Broome St, Unit N5G")</f>
        <v>565 Broome St, Unit N5G</v>
      </c>
      <c r="B3498" s="2" t="str">
        <f t="shared" ref="B3498:B3499" si="590">HYPERLINK("https://www.compass.com/building/565-broome-soho-manhattan-ny/292813251698267109/","565 Broome Soho")</f>
        <v>565 Broome Soho</v>
      </c>
      <c r="C3498" s="1" t="s">
        <v>53</v>
      </c>
      <c r="D3498" s="1" t="s">
        <v>41</v>
      </c>
      <c r="E3498" s="3">
        <v>970000</v>
      </c>
      <c r="F3498" s="1">
        <v>2113.2897603485799</v>
      </c>
      <c r="G3498" s="1">
        <v>1</v>
      </c>
      <c r="H3498" s="1" t="s">
        <v>99</v>
      </c>
      <c r="I3498" s="1">
        <v>1</v>
      </c>
      <c r="J3498" s="1">
        <v>1</v>
      </c>
      <c r="K3498" s="1">
        <v>1</v>
      </c>
      <c r="M3498" s="1">
        <v>459</v>
      </c>
      <c r="N3498" s="1">
        <v>664</v>
      </c>
      <c r="O3498" s="1">
        <v>1396</v>
      </c>
      <c r="P3498" s="1">
        <v>732</v>
      </c>
      <c r="Q3498" s="1" t="s">
        <v>42</v>
      </c>
      <c r="S3498" s="1" t="s">
        <v>42</v>
      </c>
      <c r="T3498" s="1" t="s">
        <v>273</v>
      </c>
      <c r="U3498" s="1">
        <v>12</v>
      </c>
      <c r="V3498" s="5">
        <v>44368</v>
      </c>
      <c r="W3498" s="5">
        <v>44316</v>
      </c>
      <c r="X3498" s="1">
        <v>970000</v>
      </c>
      <c r="Y3498" s="1">
        <v>970000</v>
      </c>
      <c r="Z3498" s="5">
        <v>44328</v>
      </c>
      <c r="AA3498" s="1">
        <v>970000</v>
      </c>
      <c r="AB3498" s="1" t="s">
        <v>275</v>
      </c>
      <c r="AC3498" s="5">
        <v>44356</v>
      </c>
      <c r="AF3498" s="1">
        <v>10013</v>
      </c>
      <c r="AI3498" s="1" t="s">
        <v>48</v>
      </c>
      <c r="AJ3498" s="1">
        <v>2019</v>
      </c>
      <c r="AK3498" s="1" t="s">
        <v>49</v>
      </c>
      <c r="AL3498" s="1">
        <v>115</v>
      </c>
    </row>
    <row r="3499" spans="1:38" x14ac:dyDescent="0.2">
      <c r="A3499" s="2" t="str">
        <f>HYPERLINK("https://www.compass.com/listing/565-broome-street-unit-n7b-manhattan-ny-10013/781987995584893769/","565 Broome St, Unit N7B")</f>
        <v>565 Broome St, Unit N7B</v>
      </c>
      <c r="B3499" s="2" t="str">
        <f t="shared" si="590"/>
        <v>565 Broome Soho</v>
      </c>
      <c r="C3499" s="1" t="s">
        <v>53</v>
      </c>
      <c r="D3499" s="1" t="s">
        <v>41</v>
      </c>
      <c r="E3499" s="3">
        <v>975000</v>
      </c>
      <c r="F3499" s="1">
        <v>2128.8209606986802</v>
      </c>
      <c r="G3499" s="1">
        <v>2</v>
      </c>
      <c r="H3499" s="1" t="s">
        <v>99</v>
      </c>
      <c r="I3499" s="1">
        <v>1</v>
      </c>
      <c r="J3499" s="1">
        <v>1</v>
      </c>
      <c r="K3499" s="1">
        <v>1</v>
      </c>
      <c r="M3499" s="1">
        <v>458</v>
      </c>
      <c r="N3499" s="1">
        <v>672</v>
      </c>
      <c r="O3499" s="1">
        <v>1413</v>
      </c>
      <c r="P3499" s="1">
        <v>741</v>
      </c>
      <c r="Q3499" s="1" t="s">
        <v>42</v>
      </c>
      <c r="S3499" s="1" t="s">
        <v>42</v>
      </c>
      <c r="T3499" s="1" t="s">
        <v>273</v>
      </c>
      <c r="U3499" s="1">
        <v>14</v>
      </c>
      <c r="V3499" s="5">
        <v>44369</v>
      </c>
      <c r="W3499" s="5">
        <v>44316</v>
      </c>
      <c r="X3499" s="1">
        <v>975000</v>
      </c>
      <c r="Y3499" s="1">
        <v>975000</v>
      </c>
      <c r="Z3499" s="5">
        <v>44331</v>
      </c>
      <c r="AA3499" s="1">
        <v>975000</v>
      </c>
      <c r="AB3499" s="1" t="s">
        <v>275</v>
      </c>
      <c r="AC3499" s="5">
        <v>44356</v>
      </c>
      <c r="AF3499" s="1">
        <v>10013</v>
      </c>
      <c r="AI3499" s="1" t="s">
        <v>48</v>
      </c>
      <c r="AJ3499" s="1">
        <v>2019</v>
      </c>
      <c r="AK3499" s="1" t="s">
        <v>49</v>
      </c>
      <c r="AL3499" s="1">
        <v>115</v>
      </c>
    </row>
    <row r="3500" spans="1:38" x14ac:dyDescent="0.2">
      <c r="A3500" s="2" t="str">
        <f>HYPERLINK("https://www.compass.com/listing/301-east-80th-street-unit-5b-manhattan-ny-10075/848290345548293825/","301 E 80th St, Unit 5B")</f>
        <v>301 E 80th St, Unit 5B</v>
      </c>
      <c r="B3500" s="2" t="str">
        <f>HYPERLINK("https://www.compass.com/building/beckford-tower-manhattan-ny/293529721147268613/","Beckford Tower")</f>
        <v>Beckford Tower</v>
      </c>
      <c r="C3500" s="1" t="s">
        <v>82</v>
      </c>
      <c r="D3500" s="1" t="s">
        <v>41</v>
      </c>
      <c r="E3500" s="3">
        <v>3830000</v>
      </c>
      <c r="F3500" s="1">
        <v>1916.9169169169099</v>
      </c>
      <c r="H3500" s="1">
        <v>2</v>
      </c>
      <c r="J3500" s="1">
        <v>2.5</v>
      </c>
      <c r="K3500" s="1">
        <v>2</v>
      </c>
      <c r="L3500" s="1">
        <v>1</v>
      </c>
      <c r="M3500" s="4">
        <v>1998</v>
      </c>
      <c r="N3500" s="1">
        <v>2443</v>
      </c>
      <c r="O3500" s="1">
        <v>5234</v>
      </c>
      <c r="P3500" s="1">
        <v>2791</v>
      </c>
      <c r="Q3500" s="1" t="s">
        <v>42</v>
      </c>
      <c r="S3500" s="1" t="s">
        <v>42</v>
      </c>
      <c r="T3500" s="1" t="s">
        <v>273</v>
      </c>
      <c r="AA3500" s="1">
        <v>3830000</v>
      </c>
      <c r="AB3500" s="1" t="s">
        <v>2290</v>
      </c>
      <c r="AC3500" s="5">
        <v>44399</v>
      </c>
      <c r="AF3500" s="1">
        <v>10075</v>
      </c>
      <c r="AJ3500" s="1">
        <v>2019</v>
      </c>
      <c r="AK3500" s="1" t="s">
        <v>49</v>
      </c>
      <c r="AL3500" s="1">
        <v>72</v>
      </c>
    </row>
    <row r="3501" spans="1:38" x14ac:dyDescent="0.2">
      <c r="A3501" s="2" t="str">
        <f>HYPERLINK("https://www.compass.com/listing/277-5th-avenue-unit-27c-manhattan-ny-10016/769998230881651153/","277 5th Ave, Unit 27C")</f>
        <v>277 5th Ave, Unit 27C</v>
      </c>
      <c r="B3501" s="2" t="str">
        <f>HYPERLINK("https://www.compass.com/building/277-fifth-avenue-manhattan-ny/281939285475645317/","277 FIFTH AVENUE")</f>
        <v>277 FIFTH AVENUE</v>
      </c>
      <c r="C3501" s="1" t="s">
        <v>40</v>
      </c>
      <c r="D3501" s="1" t="s">
        <v>41</v>
      </c>
      <c r="E3501" s="3">
        <v>1877500</v>
      </c>
      <c r="F3501" s="1">
        <v>2267.5120772946798</v>
      </c>
      <c r="G3501" s="1">
        <v>3</v>
      </c>
      <c r="H3501" s="1">
        <v>1</v>
      </c>
      <c r="I3501" s="1">
        <v>1</v>
      </c>
      <c r="J3501" s="1">
        <v>1</v>
      </c>
      <c r="K3501" s="1">
        <v>1</v>
      </c>
      <c r="M3501" s="1">
        <v>828</v>
      </c>
      <c r="N3501" s="1">
        <v>1191</v>
      </c>
      <c r="O3501" s="1">
        <v>2248.6099999999901</v>
      </c>
      <c r="P3501" s="1">
        <v>1057.5833333333301</v>
      </c>
      <c r="Q3501" s="1" t="s">
        <v>42</v>
      </c>
      <c r="S3501" s="1" t="s">
        <v>42</v>
      </c>
      <c r="T3501" s="1" t="s">
        <v>273</v>
      </c>
      <c r="V3501" s="5">
        <v>44419</v>
      </c>
      <c r="W3501" s="5">
        <v>44314</v>
      </c>
      <c r="X3501" s="1">
        <v>2185000</v>
      </c>
      <c r="Y3501" s="1">
        <v>2185000</v>
      </c>
      <c r="Z3501" s="5">
        <v>44315</v>
      </c>
      <c r="AA3501" s="1">
        <v>1877500</v>
      </c>
      <c r="AB3501" s="1" t="s">
        <v>2291</v>
      </c>
      <c r="AC3501" s="5">
        <v>44319</v>
      </c>
      <c r="AF3501" s="1">
        <v>10016</v>
      </c>
      <c r="AI3501" s="1" t="s">
        <v>118</v>
      </c>
      <c r="AJ3501" s="1">
        <v>2019</v>
      </c>
      <c r="AK3501" s="1" t="s">
        <v>49</v>
      </c>
      <c r="AL3501" s="1">
        <v>130</v>
      </c>
    </row>
    <row r="3502" spans="1:38" x14ac:dyDescent="0.2">
      <c r="A3502" s="2" t="str">
        <f>HYPERLINK("https://www.compass.com/listing/20-east-end-avenue-unit-6b-manhattan-ny-10028/29425938450194801/","20 E End Ave, Unit 6B")</f>
        <v>20 E End Ave, Unit 6B</v>
      </c>
      <c r="B3502" s="2" t="str">
        <f>HYPERLINK("https://www.compass.com/building/20-e-end-ave-manhattan-ny-10028/281985490498985157/","20 E End Ave")</f>
        <v>20 E End Ave</v>
      </c>
      <c r="C3502" s="1" t="s">
        <v>82</v>
      </c>
      <c r="D3502" s="1" t="s">
        <v>41</v>
      </c>
      <c r="E3502" s="3">
        <v>8850000</v>
      </c>
      <c r="F3502" s="1">
        <v>2648.9075127207402</v>
      </c>
      <c r="G3502" s="1">
        <v>7</v>
      </c>
      <c r="H3502" s="1">
        <v>4</v>
      </c>
      <c r="I3502" s="1">
        <v>5</v>
      </c>
      <c r="J3502" s="1">
        <v>4.5</v>
      </c>
      <c r="M3502" s="4">
        <v>3341</v>
      </c>
      <c r="N3502" s="1">
        <v>4072</v>
      </c>
      <c r="O3502" s="1">
        <v>8426</v>
      </c>
      <c r="P3502" s="1">
        <v>4354</v>
      </c>
      <c r="Q3502" s="1" t="s">
        <v>42</v>
      </c>
      <c r="S3502" s="1" t="s">
        <v>42</v>
      </c>
      <c r="T3502" s="1" t="s">
        <v>273</v>
      </c>
      <c r="U3502" s="1">
        <v>172</v>
      </c>
      <c r="V3502" s="5">
        <v>43648</v>
      </c>
      <c r="W3502" s="5">
        <v>43036</v>
      </c>
      <c r="X3502" s="1">
        <v>9595000</v>
      </c>
      <c r="Y3502" s="1">
        <v>9595000</v>
      </c>
      <c r="Z3502" s="5">
        <v>43208</v>
      </c>
      <c r="AA3502" s="1">
        <v>8850000</v>
      </c>
      <c r="AB3502" s="1" t="s">
        <v>2292</v>
      </c>
      <c r="AC3502" s="5">
        <v>43272</v>
      </c>
      <c r="AF3502" s="1">
        <v>10028</v>
      </c>
      <c r="AJ3502" s="1">
        <v>2017</v>
      </c>
      <c r="AK3502" s="1" t="s">
        <v>46</v>
      </c>
      <c r="AL3502" s="1">
        <v>41</v>
      </c>
    </row>
    <row r="3503" spans="1:38" x14ac:dyDescent="0.2">
      <c r="A3503" s="2" t="str">
        <f>HYPERLINK("https://www.compass.com/listing/300-east-64th-street-unit-6i-manhattan-ny-10065/29415714523800865/","300 E 64th St, Unit 6I")</f>
        <v>300 E 64th St, Unit 6I</v>
      </c>
      <c r="B3503" s="2" t="str">
        <f t="shared" ref="B3503:B3519" si="591">HYPERLINK("https://www.compass.com/building/300-e-64th-st-manhattan-ny-10065/282038617012979925/","300 E 64th St")</f>
        <v>300 E 64th St</v>
      </c>
      <c r="C3503" s="1" t="s">
        <v>82</v>
      </c>
      <c r="D3503" s="1" t="s">
        <v>41</v>
      </c>
      <c r="E3503" s="3">
        <v>1034353</v>
      </c>
      <c r="F3503" s="1">
        <v>1392.1305518169499</v>
      </c>
      <c r="G3503" s="1">
        <v>3</v>
      </c>
      <c r="H3503" s="1">
        <v>1</v>
      </c>
      <c r="I3503" s="1">
        <v>1</v>
      </c>
      <c r="J3503" s="1">
        <v>1</v>
      </c>
      <c r="M3503" s="1">
        <v>743</v>
      </c>
      <c r="N3503" s="1">
        <v>836</v>
      </c>
      <c r="O3503" s="1">
        <v>2027</v>
      </c>
      <c r="P3503" s="1">
        <v>1191</v>
      </c>
      <c r="Q3503" s="1" t="s">
        <v>42</v>
      </c>
      <c r="S3503" s="1" t="s">
        <v>42</v>
      </c>
      <c r="T3503" s="1" t="s">
        <v>273</v>
      </c>
      <c r="U3503" s="1">
        <v>166</v>
      </c>
      <c r="V3503" s="5">
        <v>43654</v>
      </c>
      <c r="W3503" s="5">
        <v>42039</v>
      </c>
      <c r="X3503" s="1">
        <v>1025000</v>
      </c>
      <c r="Y3503" s="1">
        <v>1025000</v>
      </c>
      <c r="AA3503" s="1">
        <v>1034353</v>
      </c>
      <c r="AB3503" s="1" t="s">
        <v>2293</v>
      </c>
      <c r="AC3503" s="5">
        <v>42206</v>
      </c>
      <c r="AF3503" s="1">
        <v>10065</v>
      </c>
      <c r="AI3503" s="1" t="s">
        <v>189</v>
      </c>
      <c r="AJ3503" s="1">
        <v>1996</v>
      </c>
      <c r="AK3503" s="1" t="s">
        <v>46</v>
      </c>
      <c r="AL3503" s="1">
        <v>103</v>
      </c>
    </row>
    <row r="3504" spans="1:38" x14ac:dyDescent="0.2">
      <c r="A3504" s="2" t="str">
        <f>HYPERLINK("https://www.compass.com/listing/300-east-64th-street-unit-8c-manhattan-ny-10065/29415720009950561/","300 E 64th St, Unit 8C")</f>
        <v>300 E 64th St, Unit 8C</v>
      </c>
      <c r="B3504" s="2" t="str">
        <f t="shared" si="591"/>
        <v>300 E 64th St</v>
      </c>
      <c r="C3504" s="1" t="s">
        <v>82</v>
      </c>
      <c r="D3504" s="1" t="s">
        <v>41</v>
      </c>
      <c r="E3504" s="3">
        <v>1035000</v>
      </c>
      <c r="F3504" s="1">
        <v>1677.4716369529899</v>
      </c>
      <c r="G3504" s="1">
        <v>3</v>
      </c>
      <c r="H3504" s="1">
        <v>1</v>
      </c>
      <c r="I3504" s="1">
        <v>1</v>
      </c>
      <c r="J3504" s="1">
        <v>1</v>
      </c>
      <c r="M3504" s="1">
        <v>617</v>
      </c>
      <c r="N3504" s="1">
        <v>974</v>
      </c>
      <c r="O3504" s="1">
        <v>2408</v>
      </c>
      <c r="P3504" s="1">
        <v>1434</v>
      </c>
      <c r="Q3504" s="1" t="s">
        <v>42</v>
      </c>
      <c r="S3504" s="1" t="s">
        <v>42</v>
      </c>
      <c r="T3504" s="1" t="s">
        <v>273</v>
      </c>
      <c r="U3504" s="1">
        <v>238</v>
      </c>
      <c r="V3504" s="5">
        <v>43664</v>
      </c>
      <c r="W3504" s="5">
        <v>42459</v>
      </c>
      <c r="X3504" s="1">
        <v>1225000</v>
      </c>
      <c r="Y3504" s="1">
        <v>1035000</v>
      </c>
      <c r="Z3504" s="5">
        <v>42697</v>
      </c>
      <c r="AA3504" s="1">
        <v>1035000</v>
      </c>
      <c r="AB3504" s="1" t="s">
        <v>2294</v>
      </c>
      <c r="AC3504" s="5">
        <v>42767</v>
      </c>
      <c r="AF3504" s="1">
        <v>10065</v>
      </c>
      <c r="AI3504" s="1" t="s">
        <v>188</v>
      </c>
      <c r="AJ3504" s="1">
        <v>1996</v>
      </c>
      <c r="AK3504" s="1" t="s">
        <v>46</v>
      </c>
      <c r="AL3504" s="1">
        <v>103</v>
      </c>
    </row>
    <row r="3505" spans="1:38" x14ac:dyDescent="0.2">
      <c r="A3505" s="2" t="str">
        <f>HYPERLINK("https://www.compass.com/listing/300-east-64th-street-unit-9d-manhattan-ny-10065/29415722115492609/","300 E 64th St, Unit 9D")</f>
        <v>300 E 64th St, Unit 9D</v>
      </c>
      <c r="B3505" s="2" t="str">
        <f t="shared" si="591"/>
        <v>300 E 64th St</v>
      </c>
      <c r="C3505" s="1" t="s">
        <v>82</v>
      </c>
      <c r="D3505" s="1" t="s">
        <v>41</v>
      </c>
      <c r="E3505" s="3">
        <v>1210950</v>
      </c>
      <c r="F3505" s="1">
        <v>1548.5294117646999</v>
      </c>
      <c r="G3505" s="1">
        <v>3</v>
      </c>
      <c r="H3505" s="1">
        <v>1</v>
      </c>
      <c r="I3505" s="1">
        <v>1</v>
      </c>
      <c r="J3505" s="1">
        <v>1</v>
      </c>
      <c r="M3505" s="1">
        <v>782</v>
      </c>
      <c r="N3505" s="1">
        <v>880</v>
      </c>
      <c r="O3505" s="1">
        <v>2134</v>
      </c>
      <c r="P3505" s="1">
        <v>1254</v>
      </c>
      <c r="Q3505" s="1" t="s">
        <v>42</v>
      </c>
      <c r="S3505" s="1" t="s">
        <v>42</v>
      </c>
      <c r="T3505" s="1" t="s">
        <v>273</v>
      </c>
      <c r="U3505" s="1">
        <v>2</v>
      </c>
      <c r="V3505" s="5">
        <v>43651</v>
      </c>
      <c r="W3505" s="5">
        <v>42180</v>
      </c>
      <c r="X3505" s="1">
        <v>1200000</v>
      </c>
      <c r="Y3505" s="1">
        <v>1200000</v>
      </c>
      <c r="Z3505" s="5">
        <v>42182</v>
      </c>
      <c r="AA3505" s="1">
        <v>1210950</v>
      </c>
      <c r="AB3505" s="1" t="s">
        <v>2295</v>
      </c>
      <c r="AC3505" s="5">
        <v>42247</v>
      </c>
      <c r="AF3505" s="1">
        <v>10065</v>
      </c>
      <c r="AI3505" s="1" t="s">
        <v>189</v>
      </c>
      <c r="AJ3505" s="1">
        <v>1996</v>
      </c>
      <c r="AK3505" s="1" t="s">
        <v>49</v>
      </c>
      <c r="AL3505" s="1">
        <v>103</v>
      </c>
    </row>
    <row r="3506" spans="1:38" x14ac:dyDescent="0.2">
      <c r="A3506" s="2" t="str">
        <f>HYPERLINK("https://www.compass.com/listing/300-east-64th-street-unit-10b-manhattan-ny-10065/29415722895578497/","300 E 64th St, Unit 10B")</f>
        <v>300 E 64th St, Unit 10B</v>
      </c>
      <c r="B3506" s="2" t="str">
        <f t="shared" si="591"/>
        <v>300 E 64th St</v>
      </c>
      <c r="C3506" s="1" t="s">
        <v>82</v>
      </c>
      <c r="D3506" s="1" t="s">
        <v>41</v>
      </c>
      <c r="E3506" s="3">
        <v>987702</v>
      </c>
      <c r="F3506" s="1">
        <v>1552.9905660377301</v>
      </c>
      <c r="G3506" s="1">
        <v>3</v>
      </c>
      <c r="H3506" s="1">
        <v>1</v>
      </c>
      <c r="I3506" s="1">
        <v>1</v>
      </c>
      <c r="J3506" s="1">
        <v>1</v>
      </c>
      <c r="M3506" s="1">
        <v>636</v>
      </c>
      <c r="N3506" s="1">
        <v>716</v>
      </c>
      <c r="O3506" s="1">
        <v>1735</v>
      </c>
      <c r="P3506" s="1">
        <v>1019</v>
      </c>
      <c r="Q3506" s="1" t="s">
        <v>42</v>
      </c>
      <c r="S3506" s="1" t="s">
        <v>42</v>
      </c>
      <c r="T3506" s="1" t="s">
        <v>273</v>
      </c>
      <c r="U3506" s="1">
        <v>190</v>
      </c>
      <c r="V3506" s="5">
        <v>43651</v>
      </c>
      <c r="W3506" s="5">
        <v>41976</v>
      </c>
      <c r="X3506" s="1">
        <v>970000</v>
      </c>
      <c r="Y3506" s="1">
        <v>970000</v>
      </c>
      <c r="Z3506" s="5">
        <v>42166</v>
      </c>
      <c r="AA3506" s="1">
        <v>987702</v>
      </c>
      <c r="AB3506" s="1" t="s">
        <v>2296</v>
      </c>
      <c r="AC3506" s="5">
        <v>42227</v>
      </c>
      <c r="AF3506" s="1">
        <v>10065</v>
      </c>
      <c r="AI3506" s="1" t="s">
        <v>189</v>
      </c>
      <c r="AJ3506" s="1">
        <v>1996</v>
      </c>
      <c r="AK3506" s="1" t="s">
        <v>49</v>
      </c>
      <c r="AL3506" s="1">
        <v>103</v>
      </c>
    </row>
    <row r="3507" spans="1:38" x14ac:dyDescent="0.2">
      <c r="A3507" s="2" t="str">
        <f>HYPERLINK("https://www.compass.com/listing/300-east-64th-street-unit-10d-manhattan-ny-10065/29415723709326737/","300 E 64th St, Unit 10D")</f>
        <v>300 E 64th St, Unit 10D</v>
      </c>
      <c r="B3507" s="2" t="str">
        <f t="shared" si="591"/>
        <v>300 E 64th St</v>
      </c>
      <c r="C3507" s="1" t="s">
        <v>82</v>
      </c>
      <c r="D3507" s="1" t="s">
        <v>41</v>
      </c>
      <c r="E3507" s="3">
        <v>1185000</v>
      </c>
      <c r="F3507" s="1">
        <v>1515.3452685421901</v>
      </c>
      <c r="G3507" s="1">
        <v>3</v>
      </c>
      <c r="H3507" s="1">
        <v>1</v>
      </c>
      <c r="I3507" s="1">
        <v>1</v>
      </c>
      <c r="J3507" s="1">
        <v>1</v>
      </c>
      <c r="M3507" s="1">
        <v>782</v>
      </c>
      <c r="N3507" s="1">
        <v>880</v>
      </c>
      <c r="O3507" s="1">
        <v>2134</v>
      </c>
      <c r="P3507" s="1">
        <v>1254</v>
      </c>
      <c r="Q3507" s="1" t="s">
        <v>42</v>
      </c>
      <c r="S3507" s="1" t="s">
        <v>42</v>
      </c>
      <c r="T3507" s="1" t="s">
        <v>273</v>
      </c>
      <c r="U3507" s="1">
        <v>38</v>
      </c>
      <c r="V3507" s="5">
        <v>43651</v>
      </c>
      <c r="W3507" s="5">
        <v>42039</v>
      </c>
      <c r="X3507" s="1">
        <v>1185000</v>
      </c>
      <c r="Y3507" s="1">
        <v>1185000</v>
      </c>
      <c r="Z3507" s="5">
        <v>42077</v>
      </c>
      <c r="AA3507" s="1">
        <v>1185000</v>
      </c>
      <c r="AB3507" s="1" t="s">
        <v>2297</v>
      </c>
      <c r="AC3507" s="5">
        <v>42178</v>
      </c>
      <c r="AF3507" s="1">
        <v>10065</v>
      </c>
      <c r="AI3507" s="1" t="s">
        <v>189</v>
      </c>
      <c r="AJ3507" s="1">
        <v>1996</v>
      </c>
      <c r="AK3507" s="1" t="s">
        <v>49</v>
      </c>
      <c r="AL3507" s="1">
        <v>103</v>
      </c>
    </row>
    <row r="3508" spans="1:38" x14ac:dyDescent="0.2">
      <c r="A3508" s="2" t="str">
        <f>HYPERLINK("https://www.compass.com/listing/300-east-64th-street-unit-11b-manhattan-ny-10065/29415724573354785/","300 E 64th St, Unit 11B")</f>
        <v>300 E 64th St, Unit 11B</v>
      </c>
      <c r="B3508" s="2" t="str">
        <f t="shared" si="591"/>
        <v>300 E 64th St</v>
      </c>
      <c r="C3508" s="1" t="s">
        <v>82</v>
      </c>
      <c r="D3508" s="1" t="s">
        <v>41</v>
      </c>
      <c r="E3508" s="3">
        <v>995000</v>
      </c>
      <c r="F3508" s="1">
        <v>1491.7541229385299</v>
      </c>
      <c r="G3508" s="1">
        <v>3</v>
      </c>
      <c r="H3508" s="1">
        <v>1</v>
      </c>
      <c r="I3508" s="1">
        <v>1</v>
      </c>
      <c r="J3508" s="1">
        <v>1</v>
      </c>
      <c r="M3508" s="1">
        <v>667</v>
      </c>
      <c r="N3508" s="1">
        <v>716</v>
      </c>
      <c r="O3508" s="1">
        <v>1735</v>
      </c>
      <c r="P3508" s="1">
        <v>1019</v>
      </c>
      <c r="Q3508" s="1" t="s">
        <v>42</v>
      </c>
      <c r="S3508" s="1" t="s">
        <v>42</v>
      </c>
      <c r="T3508" s="1" t="s">
        <v>273</v>
      </c>
      <c r="V3508" s="5">
        <v>43761</v>
      </c>
      <c r="W3508" s="5">
        <v>42473</v>
      </c>
      <c r="X3508" s="1">
        <v>995000</v>
      </c>
      <c r="Y3508" s="1">
        <v>995000</v>
      </c>
      <c r="Z3508" s="5">
        <v>42473</v>
      </c>
      <c r="AA3508" s="1">
        <v>995000</v>
      </c>
      <c r="AB3508" s="1" t="s">
        <v>2298</v>
      </c>
      <c r="AC3508" s="5">
        <v>42485</v>
      </c>
      <c r="AF3508" s="1">
        <v>10065</v>
      </c>
      <c r="AI3508" s="1" t="s">
        <v>189</v>
      </c>
      <c r="AJ3508" s="1">
        <v>1996</v>
      </c>
      <c r="AK3508" s="1" t="s">
        <v>49</v>
      </c>
      <c r="AL3508" s="1">
        <v>103</v>
      </c>
    </row>
    <row r="3509" spans="1:38" x14ac:dyDescent="0.2">
      <c r="A3509" s="2" t="str">
        <f>HYPERLINK("https://www.compass.com/listing/300-east-64th-street-unit-12b-manhattan-ny-10065/29415725739371313/","300 E 64th St, Unit 12B")</f>
        <v>300 E 64th St, Unit 12B</v>
      </c>
      <c r="B3509" s="2" t="str">
        <f t="shared" si="591"/>
        <v>300 E 64th St</v>
      </c>
      <c r="C3509" s="1" t="s">
        <v>82</v>
      </c>
      <c r="D3509" s="1" t="s">
        <v>41</v>
      </c>
      <c r="E3509" s="3">
        <v>993988</v>
      </c>
      <c r="F3509" s="1">
        <v>1562.8742138364701</v>
      </c>
      <c r="G3509" s="1">
        <v>3</v>
      </c>
      <c r="H3509" s="1">
        <v>1</v>
      </c>
      <c r="I3509" s="1">
        <v>1</v>
      </c>
      <c r="J3509" s="1">
        <v>1</v>
      </c>
      <c r="K3509" s="1">
        <v>1</v>
      </c>
      <c r="M3509" s="1">
        <v>636</v>
      </c>
      <c r="N3509" s="1">
        <v>716</v>
      </c>
      <c r="O3509" s="1">
        <v>1735</v>
      </c>
      <c r="P3509" s="1">
        <v>1019</v>
      </c>
      <c r="Q3509" s="1" t="s">
        <v>42</v>
      </c>
      <c r="S3509" s="1" t="s">
        <v>42</v>
      </c>
      <c r="T3509" s="1" t="s">
        <v>273</v>
      </c>
      <c r="U3509" s="1">
        <v>498</v>
      </c>
      <c r="V3509" s="5">
        <v>44225</v>
      </c>
      <c r="W3509" s="5">
        <v>41803</v>
      </c>
      <c r="X3509" s="1">
        <v>1045000</v>
      </c>
      <c r="Y3509" s="1">
        <v>990000</v>
      </c>
      <c r="Z3509" s="5">
        <v>42301</v>
      </c>
      <c r="AA3509" s="1">
        <v>993988</v>
      </c>
      <c r="AB3509" s="1" t="s">
        <v>2299</v>
      </c>
      <c r="AC3509" s="5">
        <v>42321</v>
      </c>
      <c r="AF3509" s="1">
        <v>10065</v>
      </c>
      <c r="AI3509" s="1" t="s">
        <v>189</v>
      </c>
      <c r="AJ3509" s="1">
        <v>1996</v>
      </c>
      <c r="AK3509" s="1" t="s">
        <v>46</v>
      </c>
      <c r="AL3509" s="1">
        <v>103</v>
      </c>
    </row>
    <row r="3510" spans="1:38" x14ac:dyDescent="0.2">
      <c r="A3510" s="2" t="str">
        <f>HYPERLINK("https://www.compass.com/listing/300-east-64th-street-unit-15d-manhattan-ny-10065/29415730462103089/","300 E 64th St, Unit 15D")</f>
        <v>300 E 64th St, Unit 15D</v>
      </c>
      <c r="B3510" s="2" t="str">
        <f t="shared" si="591"/>
        <v>300 E 64th St</v>
      </c>
      <c r="C3510" s="1" t="s">
        <v>82</v>
      </c>
      <c r="D3510" s="1" t="s">
        <v>41</v>
      </c>
      <c r="E3510" s="3">
        <v>1228586</v>
      </c>
      <c r="F3510" s="1">
        <v>1571.08184143222</v>
      </c>
      <c r="G3510" s="1">
        <v>3</v>
      </c>
      <c r="H3510" s="1">
        <v>1</v>
      </c>
      <c r="I3510" s="1">
        <v>1</v>
      </c>
      <c r="J3510" s="1">
        <v>1</v>
      </c>
      <c r="M3510" s="1">
        <v>782</v>
      </c>
      <c r="N3510" s="1">
        <v>880</v>
      </c>
      <c r="O3510" s="1">
        <v>2134</v>
      </c>
      <c r="P3510" s="1">
        <v>1254</v>
      </c>
      <c r="Q3510" s="1" t="s">
        <v>42</v>
      </c>
      <c r="S3510" s="1" t="s">
        <v>42</v>
      </c>
      <c r="T3510" s="1" t="s">
        <v>273</v>
      </c>
      <c r="U3510" s="1">
        <v>210</v>
      </c>
      <c r="V3510" s="5">
        <v>43673</v>
      </c>
      <c r="W3510" s="5">
        <v>42376</v>
      </c>
      <c r="X3510" s="1">
        <v>1295000</v>
      </c>
      <c r="Y3510" s="1">
        <v>1215000</v>
      </c>
      <c r="Z3510" s="5">
        <v>42586</v>
      </c>
      <c r="AA3510" s="1">
        <v>1228586</v>
      </c>
      <c r="AB3510" s="1" t="s">
        <v>2300</v>
      </c>
      <c r="AC3510" s="5">
        <v>42621</v>
      </c>
      <c r="AF3510" s="1">
        <v>10065</v>
      </c>
      <c r="AI3510" s="1" t="s">
        <v>189</v>
      </c>
      <c r="AJ3510" s="1">
        <v>1996</v>
      </c>
      <c r="AK3510" s="1" t="s">
        <v>46</v>
      </c>
      <c r="AL3510" s="1">
        <v>103</v>
      </c>
    </row>
    <row r="3511" spans="1:38" x14ac:dyDescent="0.2">
      <c r="A3511" s="2" t="str">
        <f>HYPERLINK("https://www.compass.com/listing/300-east-64th-street-unit-16b-manhattan-ny-10065/29415731326182945/","300 E 64th St, Unit 16B")</f>
        <v>300 E 64th St, Unit 16B</v>
      </c>
      <c r="B3511" s="2" t="str">
        <f t="shared" si="591"/>
        <v>300 E 64th St</v>
      </c>
      <c r="C3511" s="1" t="s">
        <v>82</v>
      </c>
      <c r="D3511" s="1" t="s">
        <v>41</v>
      </c>
      <c r="E3511" s="3">
        <v>1070000</v>
      </c>
      <c r="F3511" s="1">
        <v>1682.3899371069101</v>
      </c>
      <c r="G3511" s="1">
        <v>3</v>
      </c>
      <c r="H3511" s="1">
        <v>1</v>
      </c>
      <c r="I3511" s="1">
        <v>1</v>
      </c>
      <c r="J3511" s="1">
        <v>1</v>
      </c>
      <c r="M3511" s="1">
        <v>636</v>
      </c>
      <c r="N3511" s="1">
        <v>716</v>
      </c>
      <c r="O3511" s="1">
        <v>1736</v>
      </c>
      <c r="P3511" s="1">
        <v>1020</v>
      </c>
      <c r="Q3511" s="1" t="s">
        <v>42</v>
      </c>
      <c r="S3511" s="1" t="s">
        <v>42</v>
      </c>
      <c r="T3511" s="1" t="s">
        <v>273</v>
      </c>
      <c r="U3511" s="1">
        <v>97</v>
      </c>
      <c r="V3511" s="5">
        <v>43651</v>
      </c>
      <c r="W3511" s="5">
        <v>41976</v>
      </c>
      <c r="X3511" s="1">
        <v>1070000</v>
      </c>
      <c r="Y3511" s="1">
        <v>1070000</v>
      </c>
      <c r="Z3511" s="5">
        <v>42073</v>
      </c>
      <c r="AA3511" s="1">
        <v>1070000</v>
      </c>
      <c r="AB3511" s="1" t="s">
        <v>2301</v>
      </c>
      <c r="AC3511" s="5">
        <v>42179</v>
      </c>
      <c r="AF3511" s="1">
        <v>10065</v>
      </c>
      <c r="AI3511" s="1" t="s">
        <v>189</v>
      </c>
      <c r="AJ3511" s="1">
        <v>1996</v>
      </c>
      <c r="AK3511" s="1" t="s">
        <v>49</v>
      </c>
      <c r="AL3511" s="1">
        <v>103</v>
      </c>
    </row>
    <row r="3512" spans="1:38" x14ac:dyDescent="0.2">
      <c r="A3512" s="2" t="str">
        <f>HYPERLINK("https://www.compass.com/listing/300-east-64th-street-unit-17b-manhattan-ny-10065/29415733238732385/","300 E 64th St, Unit 17B")</f>
        <v>300 E 64th St, Unit 17B</v>
      </c>
      <c r="B3512" s="2" t="str">
        <f t="shared" si="591"/>
        <v>300 E 64th St</v>
      </c>
      <c r="C3512" s="1" t="s">
        <v>82</v>
      </c>
      <c r="D3512" s="1" t="s">
        <v>41</v>
      </c>
      <c r="E3512" s="3">
        <v>1075000</v>
      </c>
      <c r="F3512" s="1">
        <v>1690.2515723270401</v>
      </c>
      <c r="G3512" s="1">
        <v>3</v>
      </c>
      <c r="H3512" s="1">
        <v>1</v>
      </c>
      <c r="I3512" s="1">
        <v>1</v>
      </c>
      <c r="J3512" s="1">
        <v>1</v>
      </c>
      <c r="M3512" s="1">
        <v>636</v>
      </c>
      <c r="N3512" s="1">
        <v>716</v>
      </c>
      <c r="O3512" s="1">
        <v>1735</v>
      </c>
      <c r="P3512" s="1">
        <v>1019</v>
      </c>
      <c r="Q3512" s="1" t="s">
        <v>42</v>
      </c>
      <c r="S3512" s="1" t="s">
        <v>42</v>
      </c>
      <c r="T3512" s="1" t="s">
        <v>273</v>
      </c>
      <c r="U3512" s="1">
        <v>41</v>
      </c>
      <c r="V3512" s="5">
        <v>43654</v>
      </c>
      <c r="W3512" s="5">
        <v>42291</v>
      </c>
      <c r="X3512" s="1">
        <v>1075000</v>
      </c>
      <c r="Y3512" s="1">
        <v>1075000</v>
      </c>
      <c r="Z3512" s="5">
        <v>42332</v>
      </c>
      <c r="AA3512" s="1">
        <v>1075000</v>
      </c>
      <c r="AB3512" s="1" t="s">
        <v>2302</v>
      </c>
      <c r="AC3512" s="5">
        <v>42355</v>
      </c>
      <c r="AF3512" s="1">
        <v>10065</v>
      </c>
      <c r="AI3512" s="1" t="s">
        <v>189</v>
      </c>
      <c r="AJ3512" s="1">
        <v>1996</v>
      </c>
      <c r="AK3512" s="1" t="s">
        <v>49</v>
      </c>
      <c r="AL3512" s="1">
        <v>103</v>
      </c>
    </row>
    <row r="3513" spans="1:38" x14ac:dyDescent="0.2">
      <c r="A3513" s="2" t="str">
        <f>HYPERLINK("https://www.compass.com/listing/300-east-64th-street-unit-18b-manhattan-ny-10065/29415734924897233/","300 E 64th St, Unit 18B")</f>
        <v>300 E 64th St, Unit 18B</v>
      </c>
      <c r="B3513" s="2" t="str">
        <f t="shared" si="591"/>
        <v>300 E 64th St</v>
      </c>
      <c r="C3513" s="1" t="s">
        <v>82</v>
      </c>
      <c r="D3513" s="1" t="s">
        <v>41</v>
      </c>
      <c r="E3513" s="3">
        <v>1095000</v>
      </c>
      <c r="F3513" s="1">
        <v>1641.6791604197899</v>
      </c>
      <c r="G3513" s="1">
        <v>3</v>
      </c>
      <c r="H3513" s="1">
        <v>1</v>
      </c>
      <c r="I3513" s="1">
        <v>1</v>
      </c>
      <c r="J3513" s="1">
        <v>1</v>
      </c>
      <c r="M3513" s="1">
        <v>667</v>
      </c>
      <c r="N3513" s="1">
        <v>716</v>
      </c>
      <c r="O3513" s="1">
        <v>1735</v>
      </c>
      <c r="P3513" s="1">
        <v>1019</v>
      </c>
      <c r="Q3513" s="1" t="s">
        <v>42</v>
      </c>
      <c r="S3513" s="1" t="s">
        <v>42</v>
      </c>
      <c r="T3513" s="1" t="s">
        <v>273</v>
      </c>
      <c r="U3513" s="1">
        <v>129</v>
      </c>
      <c r="V3513" s="5">
        <v>43678</v>
      </c>
      <c r="W3513" s="5">
        <v>42344</v>
      </c>
      <c r="X3513" s="1">
        <v>1095000</v>
      </c>
      <c r="Y3513" s="1">
        <v>1095000</v>
      </c>
      <c r="Z3513" s="5">
        <v>42473</v>
      </c>
      <c r="AA3513" s="1">
        <v>1095000</v>
      </c>
      <c r="AB3513" s="1" t="s">
        <v>2303</v>
      </c>
      <c r="AC3513" s="5">
        <v>42503</v>
      </c>
      <c r="AF3513" s="1">
        <v>10065</v>
      </c>
      <c r="AI3513" s="1" t="s">
        <v>189</v>
      </c>
      <c r="AJ3513" s="1">
        <v>1996</v>
      </c>
      <c r="AK3513" s="1" t="s">
        <v>49</v>
      </c>
      <c r="AL3513" s="1">
        <v>103</v>
      </c>
    </row>
    <row r="3514" spans="1:38" x14ac:dyDescent="0.2">
      <c r="A3514" s="2" t="str">
        <f>HYPERLINK("https://www.compass.com/listing/300-east-64th-street-unit-19b-manhattan-ny-10065/29415736107690977/","300 E 64th St, Unit 19B")</f>
        <v>300 E 64th St, Unit 19B</v>
      </c>
      <c r="B3514" s="2" t="str">
        <f t="shared" si="591"/>
        <v>300 E 64th St</v>
      </c>
      <c r="C3514" s="1" t="s">
        <v>82</v>
      </c>
      <c r="D3514" s="1" t="s">
        <v>41</v>
      </c>
      <c r="E3514" s="3">
        <v>1125000</v>
      </c>
      <c r="F3514" s="1">
        <v>1686.6566716641601</v>
      </c>
      <c r="G3514" s="1">
        <v>3</v>
      </c>
      <c r="H3514" s="1">
        <v>1</v>
      </c>
      <c r="I3514" s="1">
        <v>1</v>
      </c>
      <c r="J3514" s="1">
        <v>1</v>
      </c>
      <c r="M3514" s="1">
        <v>667</v>
      </c>
      <c r="N3514" s="1">
        <v>716</v>
      </c>
      <c r="O3514" s="1">
        <v>1735</v>
      </c>
      <c r="P3514" s="1">
        <v>1019</v>
      </c>
      <c r="Q3514" s="1" t="s">
        <v>42</v>
      </c>
      <c r="S3514" s="1" t="s">
        <v>42</v>
      </c>
      <c r="T3514" s="1" t="s">
        <v>273</v>
      </c>
      <c r="U3514" s="1">
        <v>8</v>
      </c>
      <c r="V3514" s="5">
        <v>43676</v>
      </c>
      <c r="W3514" s="5">
        <v>42473</v>
      </c>
      <c r="X3514" s="1">
        <v>1125000</v>
      </c>
      <c r="Y3514" s="1">
        <v>1125000</v>
      </c>
      <c r="Z3514" s="5">
        <v>42481</v>
      </c>
      <c r="AA3514" s="1">
        <v>1125000</v>
      </c>
      <c r="AB3514" s="1" t="s">
        <v>2304</v>
      </c>
      <c r="AC3514" s="5">
        <v>42529</v>
      </c>
      <c r="AF3514" s="1">
        <v>10065</v>
      </c>
      <c r="AI3514" s="1" t="s">
        <v>189</v>
      </c>
      <c r="AJ3514" s="1">
        <v>1996</v>
      </c>
      <c r="AK3514" s="1" t="s">
        <v>49</v>
      </c>
      <c r="AL3514" s="1">
        <v>103</v>
      </c>
    </row>
    <row r="3515" spans="1:38" x14ac:dyDescent="0.2">
      <c r="A3515" s="2" t="str">
        <f>HYPERLINK("https://www.compass.com/listing/300-east-64th-street-unit-20b-manhattan-ny-10065/29415737751856769/","300 E 64th St, Unit 20B")</f>
        <v>300 E 64th St, Unit 20B</v>
      </c>
      <c r="B3515" s="2" t="str">
        <f t="shared" si="591"/>
        <v>300 E 64th St</v>
      </c>
      <c r="C3515" s="1" t="s">
        <v>82</v>
      </c>
      <c r="D3515" s="1" t="s">
        <v>41</v>
      </c>
      <c r="E3515" s="3">
        <v>1152903</v>
      </c>
      <c r="F3515" s="1">
        <v>1812.7397798742099</v>
      </c>
      <c r="G3515" s="1">
        <v>3</v>
      </c>
      <c r="H3515" s="1">
        <v>1</v>
      </c>
      <c r="I3515" s="1">
        <v>1</v>
      </c>
      <c r="J3515" s="1">
        <v>1</v>
      </c>
      <c r="M3515" s="1">
        <v>636</v>
      </c>
      <c r="N3515" s="1">
        <v>716</v>
      </c>
      <c r="O3515" s="1">
        <v>1769</v>
      </c>
      <c r="P3515" s="1">
        <v>1053</v>
      </c>
      <c r="Q3515" s="1" t="s">
        <v>42</v>
      </c>
      <c r="S3515" s="1" t="s">
        <v>42</v>
      </c>
      <c r="T3515" s="1" t="s">
        <v>273</v>
      </c>
      <c r="U3515" s="1">
        <v>233</v>
      </c>
      <c r="V3515" s="5">
        <v>43668</v>
      </c>
      <c r="W3515" s="5">
        <v>42484</v>
      </c>
      <c r="X3515" s="1">
        <v>1150000</v>
      </c>
      <c r="Y3515" s="1">
        <v>1140000</v>
      </c>
      <c r="Z3515" s="5">
        <v>42717</v>
      </c>
      <c r="AA3515" s="1">
        <v>1152902.5</v>
      </c>
      <c r="AB3515" s="1" t="s">
        <v>2305</v>
      </c>
      <c r="AC3515" s="5">
        <v>42760</v>
      </c>
      <c r="AF3515" s="1">
        <v>10065</v>
      </c>
      <c r="AI3515" s="1" t="s">
        <v>189</v>
      </c>
      <c r="AJ3515" s="1">
        <v>1996</v>
      </c>
      <c r="AK3515" s="1" t="s">
        <v>46</v>
      </c>
      <c r="AL3515" s="1">
        <v>103</v>
      </c>
    </row>
    <row r="3516" spans="1:38" x14ac:dyDescent="0.2">
      <c r="A3516" s="2" t="str">
        <f>HYPERLINK("https://www.compass.com/listing/300-east-64th-street-unit-21b-manhattan-ny-10065/29415739555354305/","300 E 64th St, Unit 21B")</f>
        <v>300 E 64th St, Unit 21B</v>
      </c>
      <c r="B3516" s="2" t="str">
        <f t="shared" si="591"/>
        <v>300 E 64th St</v>
      </c>
      <c r="C3516" s="1" t="s">
        <v>82</v>
      </c>
      <c r="D3516" s="1" t="s">
        <v>41</v>
      </c>
      <c r="E3516" s="3">
        <v>1191352</v>
      </c>
      <c r="F3516" s="1">
        <v>1873.1949685534501</v>
      </c>
      <c r="G3516" s="1">
        <v>3</v>
      </c>
      <c r="H3516" s="1">
        <v>1</v>
      </c>
      <c r="I3516" s="1">
        <v>1</v>
      </c>
      <c r="J3516" s="1">
        <v>1</v>
      </c>
      <c r="M3516" s="1">
        <v>636</v>
      </c>
      <c r="N3516" s="1">
        <v>716</v>
      </c>
      <c r="O3516" s="1">
        <v>1735</v>
      </c>
      <c r="P3516" s="1">
        <v>1019</v>
      </c>
      <c r="Q3516" s="1" t="s">
        <v>42</v>
      </c>
      <c r="S3516" s="1" t="s">
        <v>42</v>
      </c>
      <c r="T3516" s="1" t="s">
        <v>273</v>
      </c>
      <c r="U3516" s="1">
        <v>52</v>
      </c>
      <c r="V3516" s="5">
        <v>43651</v>
      </c>
      <c r="W3516" s="5">
        <v>42039</v>
      </c>
      <c r="X3516" s="1">
        <v>1170000</v>
      </c>
      <c r="Y3516" s="1">
        <v>1170000</v>
      </c>
      <c r="Z3516" s="5">
        <v>42091</v>
      </c>
      <c r="AA3516" s="1">
        <v>1191352</v>
      </c>
      <c r="AB3516" s="1" t="s">
        <v>2306</v>
      </c>
      <c r="AC3516" s="5">
        <v>42203</v>
      </c>
      <c r="AF3516" s="1">
        <v>10065</v>
      </c>
      <c r="AI3516" s="1" t="s">
        <v>189</v>
      </c>
      <c r="AJ3516" s="1">
        <v>1996</v>
      </c>
      <c r="AK3516" s="1" t="s">
        <v>49</v>
      </c>
      <c r="AL3516" s="1">
        <v>103</v>
      </c>
    </row>
    <row r="3517" spans="1:38" x14ac:dyDescent="0.2">
      <c r="A3517" s="2" t="str">
        <f>HYPERLINK("https://www.compass.com/listing/300-east-64th-street-unit-23b-manhattan-ny-10065/29415742541753441/","300 E 64th St, Unit 23B")</f>
        <v>300 E 64th St, Unit 23B</v>
      </c>
      <c r="B3517" s="2" t="str">
        <f t="shared" si="591"/>
        <v>300 E 64th St</v>
      </c>
      <c r="C3517" s="1" t="s">
        <v>82</v>
      </c>
      <c r="D3517" s="1" t="s">
        <v>41</v>
      </c>
      <c r="E3517" s="3">
        <v>1195000</v>
      </c>
      <c r="F3517" s="1">
        <v>1878.9308176100601</v>
      </c>
      <c r="G3517" s="1">
        <v>3</v>
      </c>
      <c r="H3517" s="1">
        <v>1</v>
      </c>
      <c r="I3517" s="1">
        <v>1</v>
      </c>
      <c r="J3517" s="1">
        <v>1</v>
      </c>
      <c r="M3517" s="1">
        <v>636</v>
      </c>
      <c r="N3517" s="1">
        <v>716</v>
      </c>
      <c r="O3517" s="1">
        <v>1769</v>
      </c>
      <c r="P3517" s="1">
        <v>1053</v>
      </c>
      <c r="Q3517" s="1" t="s">
        <v>42</v>
      </c>
      <c r="S3517" s="1" t="s">
        <v>42</v>
      </c>
      <c r="T3517" s="1" t="s">
        <v>273</v>
      </c>
      <c r="U3517" s="1">
        <v>44</v>
      </c>
      <c r="V3517" s="5">
        <v>43663</v>
      </c>
      <c r="W3517" s="5">
        <v>42717</v>
      </c>
      <c r="X3517" s="1">
        <v>1195000</v>
      </c>
      <c r="Y3517" s="1">
        <v>1195000</v>
      </c>
      <c r="Z3517" s="5">
        <v>42761</v>
      </c>
      <c r="AA3517" s="1">
        <v>1195000</v>
      </c>
      <c r="AB3517" s="1" t="s">
        <v>2307</v>
      </c>
      <c r="AC3517" s="5">
        <v>42795</v>
      </c>
      <c r="AF3517" s="1">
        <v>10065</v>
      </c>
      <c r="AI3517" s="1" t="s">
        <v>189</v>
      </c>
      <c r="AJ3517" s="1">
        <v>1996</v>
      </c>
      <c r="AK3517" s="1" t="s">
        <v>46</v>
      </c>
      <c r="AL3517" s="1">
        <v>103</v>
      </c>
    </row>
    <row r="3518" spans="1:38" x14ac:dyDescent="0.2">
      <c r="A3518" s="2" t="str">
        <f>HYPERLINK("https://www.compass.com/listing/300-east-64th-street-unit-5h-manhattan-ny-10065/29507295146763393/","300 E 64th St, Unit 5H")</f>
        <v>300 E 64th St, Unit 5H</v>
      </c>
      <c r="B3518" s="2" t="str">
        <f t="shared" si="591"/>
        <v>300 E 64th St</v>
      </c>
      <c r="C3518" s="1" t="s">
        <v>82</v>
      </c>
      <c r="D3518" s="1" t="s">
        <v>41</v>
      </c>
      <c r="E3518" s="3">
        <v>1120075</v>
      </c>
      <c r="F3518" s="1">
        <v>1306.97199533255</v>
      </c>
      <c r="G3518" s="1">
        <v>3</v>
      </c>
      <c r="H3518" s="1">
        <v>1</v>
      </c>
      <c r="I3518" s="1">
        <v>1</v>
      </c>
      <c r="J3518" s="1">
        <v>1</v>
      </c>
      <c r="M3518" s="1">
        <v>857</v>
      </c>
      <c r="N3518" s="1">
        <v>964</v>
      </c>
      <c r="O3518" s="1">
        <v>2338</v>
      </c>
      <c r="P3518" s="1">
        <v>1374</v>
      </c>
      <c r="Q3518" s="1" t="s">
        <v>42</v>
      </c>
      <c r="S3518" s="1" t="s">
        <v>42</v>
      </c>
      <c r="T3518" s="1" t="s">
        <v>273</v>
      </c>
      <c r="U3518" s="1">
        <v>389</v>
      </c>
      <c r="V3518" s="5">
        <v>43651</v>
      </c>
      <c r="W3518" s="5">
        <v>41793</v>
      </c>
      <c r="X3518" s="1">
        <v>1100000</v>
      </c>
      <c r="Y3518" s="1">
        <v>1100000</v>
      </c>
      <c r="AA3518" s="1">
        <v>1120075</v>
      </c>
      <c r="AB3518" s="1" t="s">
        <v>2308</v>
      </c>
      <c r="AC3518" s="5">
        <v>42223</v>
      </c>
      <c r="AF3518" s="1">
        <v>10065</v>
      </c>
      <c r="AI3518" s="1" t="s">
        <v>189</v>
      </c>
      <c r="AJ3518" s="1">
        <v>1996</v>
      </c>
      <c r="AK3518" s="1" t="s">
        <v>49</v>
      </c>
      <c r="AL3518" s="1">
        <v>103</v>
      </c>
    </row>
    <row r="3519" spans="1:38" x14ac:dyDescent="0.2">
      <c r="A3519" s="2" t="str">
        <f>HYPERLINK("https://www.compass.com/listing/300-east-64th-street-unit-23b-manhattan-ny-10065/803349964130566321/","300 E 64th St, Unit 23B")</f>
        <v>300 E 64th St, Unit 23B</v>
      </c>
      <c r="B3519" s="2" t="str">
        <f t="shared" si="591"/>
        <v>300 E 64th St</v>
      </c>
      <c r="C3519" s="1" t="s">
        <v>82</v>
      </c>
      <c r="D3519" s="1" t="s">
        <v>41</v>
      </c>
      <c r="E3519" s="3">
        <v>1195000</v>
      </c>
      <c r="F3519" s="1">
        <v>1878.9308176100601</v>
      </c>
      <c r="G3519" s="1">
        <v>3</v>
      </c>
      <c r="H3519" s="1">
        <v>1</v>
      </c>
      <c r="I3519" s="1">
        <v>1</v>
      </c>
      <c r="J3519" s="1">
        <v>1</v>
      </c>
      <c r="M3519" s="1">
        <v>636</v>
      </c>
      <c r="N3519" s="1">
        <v>716</v>
      </c>
      <c r="O3519" s="1">
        <v>1735</v>
      </c>
      <c r="P3519" s="1">
        <v>1019</v>
      </c>
      <c r="Q3519" s="1" t="s">
        <v>42</v>
      </c>
      <c r="S3519" s="1" t="s">
        <v>42</v>
      </c>
      <c r="T3519" s="1" t="s">
        <v>273</v>
      </c>
      <c r="U3519" s="1">
        <v>990</v>
      </c>
      <c r="V3519" s="5">
        <v>42793</v>
      </c>
      <c r="W3519" s="5">
        <v>41800</v>
      </c>
      <c r="X3519" s="1">
        <v>1225000</v>
      </c>
      <c r="Y3519" s="1">
        <v>1150000</v>
      </c>
      <c r="AA3519" s="1">
        <v>1195000</v>
      </c>
      <c r="AB3519" s="1" t="s">
        <v>2307</v>
      </c>
      <c r="AC3519" s="5">
        <v>42795</v>
      </c>
      <c r="AF3519" s="1">
        <v>10065</v>
      </c>
      <c r="AI3519" s="1" t="s">
        <v>189</v>
      </c>
      <c r="AJ3519" s="1">
        <v>1996</v>
      </c>
      <c r="AK3519" s="1" t="s">
        <v>49</v>
      </c>
      <c r="AL3519" s="1">
        <v>103</v>
      </c>
    </row>
    <row r="3520" spans="1:38" x14ac:dyDescent="0.2">
      <c r="A3520" s="2" t="str">
        <f>HYPERLINK("https://www.compass.com/listing/30-east-31st-street-unit-8b-manhattan-ny-10016/393444221638980913/","30 E 31st St, Unit 8B")</f>
        <v>30 E 31st St, Unit 8B</v>
      </c>
      <c r="B3520" s="2" t="str">
        <f>HYPERLINK("https://www.compass.com/building/30-east-31st-street-manhattan-ny/281939352542566357/","30 East 31st Street")</f>
        <v>30 East 31st Street</v>
      </c>
      <c r="C3520" s="1" t="s">
        <v>40</v>
      </c>
      <c r="D3520" s="1" t="s">
        <v>41</v>
      </c>
      <c r="E3520" s="3">
        <v>1340000</v>
      </c>
      <c r="F3520" s="1">
        <v>1808.36707152496</v>
      </c>
      <c r="G3520" s="1">
        <v>2</v>
      </c>
      <c r="H3520" s="1">
        <v>1</v>
      </c>
      <c r="I3520" s="1">
        <v>1</v>
      </c>
      <c r="J3520" s="1">
        <v>1</v>
      </c>
      <c r="K3520" s="1">
        <v>1</v>
      </c>
      <c r="M3520" s="1">
        <v>741</v>
      </c>
      <c r="N3520" s="1">
        <v>1030.22</v>
      </c>
      <c r="O3520" s="1">
        <v>1194.0999999999999</v>
      </c>
      <c r="P3520" s="1">
        <v>163.916666666666</v>
      </c>
      <c r="Q3520" s="1" t="s">
        <v>42</v>
      </c>
      <c r="S3520" s="1" t="s">
        <v>42</v>
      </c>
      <c r="T3520" s="1" t="s">
        <v>273</v>
      </c>
      <c r="U3520" s="1">
        <v>47</v>
      </c>
      <c r="V3520" s="5">
        <v>44222</v>
      </c>
      <c r="W3520" s="5">
        <v>43794</v>
      </c>
      <c r="X3520" s="1">
        <v>1490000</v>
      </c>
      <c r="Y3520" s="1">
        <v>1490000</v>
      </c>
      <c r="Z3520" s="5">
        <v>43881</v>
      </c>
      <c r="AA3520" s="1">
        <v>1340000</v>
      </c>
      <c r="AB3520" s="1" t="s">
        <v>2309</v>
      </c>
      <c r="AC3520" s="5">
        <v>43841</v>
      </c>
      <c r="AF3520" s="1">
        <v>10016</v>
      </c>
      <c r="AJ3520" s="1">
        <v>2018</v>
      </c>
      <c r="AK3520" s="1" t="s">
        <v>46</v>
      </c>
      <c r="AL3520" s="1">
        <v>42</v>
      </c>
    </row>
    <row r="3521" spans="1:38" x14ac:dyDescent="0.2">
      <c r="A3521" s="2" t="str">
        <f>HYPERLINK("https://www.compass.com/listing/360-east-89th-street-unit-ph-manhattan-ny-10128/483958218067167217/","360 E 89th St, Unit PH")</f>
        <v>360 E 89th St, Unit PH</v>
      </c>
      <c r="B3521" s="2" t="str">
        <f>HYPERLINK("https://www.compass.com/building/citizen360-manhattan-ny/282052027553444853/","Citizen360")</f>
        <v>Citizen360</v>
      </c>
      <c r="C3521" s="1" t="s">
        <v>82</v>
      </c>
      <c r="D3521" s="1" t="s">
        <v>41</v>
      </c>
      <c r="E3521" s="3">
        <v>20558626</v>
      </c>
      <c r="F3521" s="1">
        <v>2766.975269179</v>
      </c>
      <c r="H3521" s="1">
        <v>4</v>
      </c>
      <c r="J3521" s="1">
        <v>5.5</v>
      </c>
      <c r="K3521" s="1">
        <v>5</v>
      </c>
      <c r="L3521" s="1">
        <v>1</v>
      </c>
      <c r="M3521" s="4">
        <v>7430</v>
      </c>
      <c r="N3521" s="1">
        <v>5518</v>
      </c>
      <c r="O3521" s="1">
        <v>11936</v>
      </c>
      <c r="P3521" s="1">
        <v>6418</v>
      </c>
      <c r="Q3521" s="1" t="s">
        <v>42</v>
      </c>
      <c r="S3521" s="1" t="s">
        <v>42</v>
      </c>
      <c r="T3521" s="1" t="s">
        <v>273</v>
      </c>
      <c r="AA3521" s="1">
        <v>20558626.25</v>
      </c>
      <c r="AB3521" s="1" t="s">
        <v>2310</v>
      </c>
      <c r="AC3521" s="5">
        <v>43168</v>
      </c>
      <c r="AF3521" s="1">
        <v>10128</v>
      </c>
      <c r="AJ3521" s="1">
        <v>2017</v>
      </c>
      <c r="AK3521" s="1" t="s">
        <v>55</v>
      </c>
      <c r="AL3521" s="1">
        <v>82</v>
      </c>
    </row>
    <row r="3522" spans="1:38" x14ac:dyDescent="0.2">
      <c r="A3522" s="2" t="str">
        <f>HYPERLINK("https://www.compass.com/listing/300-east-64th-street-unit-24c-manhattan-ny-10065/29415744907286289/","300 E 64th St, Unit 24C")</f>
        <v>300 E 64th St, Unit 24C</v>
      </c>
      <c r="B3522" s="2" t="str">
        <f t="shared" ref="B3522:B3525" si="592">HYPERLINK("https://www.compass.com/building/300-e-64th-st-manhattan-ny-10065/282038617012979925/","300 E 64th St")</f>
        <v>300 E 64th St</v>
      </c>
      <c r="C3522" s="1" t="s">
        <v>82</v>
      </c>
      <c r="D3522" s="1" t="s">
        <v>41</v>
      </c>
      <c r="E3522" s="3">
        <v>1310951</v>
      </c>
      <c r="F3522" s="1">
        <v>1706.9674479166599</v>
      </c>
      <c r="G3522" s="1">
        <v>3.5</v>
      </c>
      <c r="H3522" s="1">
        <v>1</v>
      </c>
      <c r="I3522" s="1">
        <v>1</v>
      </c>
      <c r="J3522" s="1">
        <v>1</v>
      </c>
      <c r="M3522" s="1">
        <v>768</v>
      </c>
      <c r="N3522" s="1">
        <v>865</v>
      </c>
      <c r="O3522" s="1">
        <v>2097</v>
      </c>
      <c r="P3522" s="1">
        <v>1232</v>
      </c>
      <c r="Q3522" s="1" t="s">
        <v>42</v>
      </c>
      <c r="S3522" s="1" t="s">
        <v>42</v>
      </c>
      <c r="T3522" s="1" t="s">
        <v>273</v>
      </c>
      <c r="U3522" s="1">
        <v>15</v>
      </c>
      <c r="V3522" s="5">
        <v>43665</v>
      </c>
      <c r="W3522" s="5">
        <v>42550</v>
      </c>
      <c r="X3522" s="1">
        <v>1285000</v>
      </c>
      <c r="Y3522" s="1">
        <v>1285000</v>
      </c>
      <c r="Z3522" s="5">
        <v>42565</v>
      </c>
      <c r="AA3522" s="1">
        <v>1310951</v>
      </c>
      <c r="AB3522" s="1" t="s">
        <v>2311</v>
      </c>
      <c r="AC3522" s="5">
        <v>42585</v>
      </c>
      <c r="AF3522" s="1">
        <v>10065</v>
      </c>
      <c r="AI3522" s="1" t="s">
        <v>83</v>
      </c>
      <c r="AJ3522" s="1">
        <v>1996</v>
      </c>
      <c r="AK3522" s="1" t="s">
        <v>46</v>
      </c>
      <c r="AL3522" s="1">
        <v>103</v>
      </c>
    </row>
    <row r="3523" spans="1:38" x14ac:dyDescent="0.2">
      <c r="A3523" s="2" t="str">
        <f>HYPERLINK("https://www.compass.com/listing/300-east-64th-street-unit-25c-manhattan-ny-10065/29415746090133233/","300 E 64th St, Unit 25C")</f>
        <v>300 E 64th St, Unit 25C</v>
      </c>
      <c r="B3523" s="2" t="str">
        <f t="shared" si="592"/>
        <v>300 E 64th St</v>
      </c>
      <c r="C3523" s="1" t="s">
        <v>82</v>
      </c>
      <c r="D3523" s="1" t="s">
        <v>41</v>
      </c>
      <c r="E3523" s="3">
        <v>1306816</v>
      </c>
      <c r="F3523" s="1">
        <v>1701.5833333333301</v>
      </c>
      <c r="G3523" s="1">
        <v>3</v>
      </c>
      <c r="H3523" s="1">
        <v>1</v>
      </c>
      <c r="I3523" s="1">
        <v>1</v>
      </c>
      <c r="J3523" s="1">
        <v>1</v>
      </c>
      <c r="M3523" s="1">
        <v>768</v>
      </c>
      <c r="N3523" s="1">
        <v>864</v>
      </c>
      <c r="O3523" s="1">
        <v>2095</v>
      </c>
      <c r="P3523" s="1">
        <v>1231</v>
      </c>
      <c r="Q3523" s="1" t="s">
        <v>42</v>
      </c>
      <c r="S3523" s="1" t="s">
        <v>42</v>
      </c>
      <c r="T3523" s="1" t="s">
        <v>273</v>
      </c>
      <c r="U3523" s="1">
        <v>86</v>
      </c>
      <c r="V3523" s="5">
        <v>43650</v>
      </c>
      <c r="W3523" s="5">
        <v>42292</v>
      </c>
      <c r="X3523" s="1">
        <v>1295000</v>
      </c>
      <c r="Y3523" s="1">
        <v>1295000</v>
      </c>
      <c r="Z3523" s="5">
        <v>42378</v>
      </c>
      <c r="AA3523" s="1">
        <v>1306816</v>
      </c>
      <c r="AB3523" s="1" t="s">
        <v>2312</v>
      </c>
      <c r="AC3523" s="5">
        <v>42418</v>
      </c>
      <c r="AF3523" s="1">
        <v>10065</v>
      </c>
      <c r="AI3523" s="1" t="s">
        <v>83</v>
      </c>
      <c r="AJ3523" s="1">
        <v>1996</v>
      </c>
      <c r="AK3523" s="1" t="s">
        <v>49</v>
      </c>
      <c r="AL3523" s="1">
        <v>103</v>
      </c>
    </row>
    <row r="3524" spans="1:38" x14ac:dyDescent="0.2">
      <c r="A3524" s="2" t="str">
        <f>HYPERLINK("https://www.compass.com/listing/300-east-64th-street-unit-26c-manhattan-ny-10065/29415747423921921/","300 E 64th St, Unit 26C")</f>
        <v>300 E 64th St, Unit 26C</v>
      </c>
      <c r="B3524" s="2" t="str">
        <f t="shared" si="592"/>
        <v>300 E 64th St</v>
      </c>
      <c r="C3524" s="1" t="s">
        <v>82</v>
      </c>
      <c r="D3524" s="1" t="s">
        <v>41</v>
      </c>
      <c r="E3524" s="3">
        <v>1319408</v>
      </c>
      <c r="F3524" s="1">
        <v>1717.9791666666599</v>
      </c>
      <c r="G3524" s="1">
        <v>3</v>
      </c>
      <c r="H3524" s="1">
        <v>1</v>
      </c>
      <c r="I3524" s="1">
        <v>1</v>
      </c>
      <c r="J3524" s="1">
        <v>1</v>
      </c>
      <c r="M3524" s="1">
        <v>768</v>
      </c>
      <c r="N3524" s="1">
        <v>864</v>
      </c>
      <c r="O3524" s="1">
        <v>2095</v>
      </c>
      <c r="P3524" s="1">
        <v>1231</v>
      </c>
      <c r="Q3524" s="1" t="s">
        <v>42</v>
      </c>
      <c r="S3524" s="1" t="s">
        <v>42</v>
      </c>
      <c r="T3524" s="1" t="s">
        <v>273</v>
      </c>
      <c r="U3524" s="1">
        <v>82</v>
      </c>
      <c r="V3524" s="5">
        <v>43677</v>
      </c>
      <c r="W3524" s="5">
        <v>42379</v>
      </c>
      <c r="X3524" s="1">
        <v>1320000</v>
      </c>
      <c r="Y3524" s="1">
        <v>1305000</v>
      </c>
      <c r="Z3524" s="5">
        <v>42461</v>
      </c>
      <c r="AA3524" s="1">
        <v>1319408</v>
      </c>
      <c r="AB3524" s="1" t="s">
        <v>2313</v>
      </c>
      <c r="AC3524" s="5">
        <v>42511</v>
      </c>
      <c r="AF3524" s="1">
        <v>10065</v>
      </c>
      <c r="AI3524" s="1" t="s">
        <v>83</v>
      </c>
      <c r="AJ3524" s="1">
        <v>1996</v>
      </c>
      <c r="AK3524" s="1" t="s">
        <v>49</v>
      </c>
      <c r="AL3524" s="1">
        <v>103</v>
      </c>
    </row>
    <row r="3525" spans="1:38" x14ac:dyDescent="0.2">
      <c r="A3525" s="2" t="str">
        <f>HYPERLINK("https://www.compass.com/listing/300-east-64th-street-unit-27c-manhattan-ny-10065/29415748648658705/","300 E 64th St, Unit 27C")</f>
        <v>300 E 64th St, Unit 27C</v>
      </c>
      <c r="B3525" s="2" t="str">
        <f t="shared" si="592"/>
        <v>300 E 64th St</v>
      </c>
      <c r="C3525" s="1" t="s">
        <v>82</v>
      </c>
      <c r="D3525" s="1" t="s">
        <v>41</v>
      </c>
      <c r="E3525" s="3">
        <v>1364818</v>
      </c>
      <c r="F3525" s="1">
        <v>1777.1067708333301</v>
      </c>
      <c r="G3525" s="1">
        <v>3</v>
      </c>
      <c r="H3525" s="1">
        <v>1</v>
      </c>
      <c r="I3525" s="1">
        <v>1</v>
      </c>
      <c r="J3525" s="1">
        <v>1</v>
      </c>
      <c r="M3525" s="1">
        <v>768</v>
      </c>
      <c r="N3525" s="1">
        <v>864</v>
      </c>
      <c r="O3525" s="1">
        <v>2095</v>
      </c>
      <c r="P3525" s="1">
        <v>1231</v>
      </c>
      <c r="Q3525" s="1" t="s">
        <v>42</v>
      </c>
      <c r="S3525" s="1" t="s">
        <v>42</v>
      </c>
      <c r="T3525" s="1" t="s">
        <v>273</v>
      </c>
      <c r="U3525" s="1">
        <v>78</v>
      </c>
      <c r="V3525" s="5">
        <v>43673</v>
      </c>
      <c r="W3525" s="5">
        <v>42467</v>
      </c>
      <c r="X3525" s="1">
        <v>1350000</v>
      </c>
      <c r="Y3525" s="1">
        <v>1350000</v>
      </c>
      <c r="Z3525" s="5">
        <v>42545</v>
      </c>
      <c r="AA3525" s="1">
        <v>1364818</v>
      </c>
      <c r="AB3525" s="1" t="s">
        <v>2314</v>
      </c>
      <c r="AC3525" s="5">
        <v>42581</v>
      </c>
      <c r="AF3525" s="1">
        <v>10065</v>
      </c>
      <c r="AI3525" s="1" t="s">
        <v>83</v>
      </c>
      <c r="AJ3525" s="1">
        <v>1996</v>
      </c>
      <c r="AK3525" s="1" t="s">
        <v>49</v>
      </c>
      <c r="AL3525" s="1">
        <v>103</v>
      </c>
    </row>
    <row r="3526" spans="1:38" x14ac:dyDescent="0.2">
      <c r="A3526" s="2" t="str">
        <f>HYPERLINK("https://www.compass.com/listing/565-broome-street-unit-s7b-manhattan-ny-10013/781988222731792657/","565 Broome St, Unit S7B")</f>
        <v>565 Broome St, Unit S7B</v>
      </c>
      <c r="B3526" s="2" t="str">
        <f>HYPERLINK("https://www.compass.com/building/565-broome-soho-manhattan-ny/292813251698267109/","565 Broome Soho")</f>
        <v>565 Broome Soho</v>
      </c>
      <c r="C3526" s="1" t="s">
        <v>53</v>
      </c>
      <c r="D3526" s="1" t="s">
        <v>41</v>
      </c>
      <c r="E3526" s="3">
        <v>893769</v>
      </c>
      <c r="F3526" s="1">
        <v>1951.4605240174601</v>
      </c>
      <c r="G3526" s="1">
        <v>1</v>
      </c>
      <c r="H3526" s="1" t="s">
        <v>99</v>
      </c>
      <c r="I3526" s="1">
        <v>1</v>
      </c>
      <c r="J3526" s="1">
        <v>1</v>
      </c>
      <c r="K3526" s="1">
        <v>1</v>
      </c>
      <c r="M3526" s="1">
        <v>458</v>
      </c>
      <c r="N3526" s="1">
        <v>669</v>
      </c>
      <c r="O3526" s="1">
        <v>1407</v>
      </c>
      <c r="P3526" s="1">
        <v>738</v>
      </c>
      <c r="Q3526" s="1" t="s">
        <v>42</v>
      </c>
      <c r="S3526" s="1" t="s">
        <v>42</v>
      </c>
      <c r="T3526" s="1" t="s">
        <v>273</v>
      </c>
      <c r="U3526" s="1">
        <v>14</v>
      </c>
      <c r="V3526" s="5">
        <v>44368</v>
      </c>
      <c r="W3526" s="5">
        <v>44316</v>
      </c>
      <c r="X3526" s="1">
        <v>871200</v>
      </c>
      <c r="Y3526" s="1">
        <v>871200</v>
      </c>
      <c r="Z3526" s="5">
        <v>44331</v>
      </c>
      <c r="AA3526" s="1">
        <v>4350000</v>
      </c>
      <c r="AB3526" s="1" t="s">
        <v>275</v>
      </c>
      <c r="AC3526" s="5">
        <v>44356</v>
      </c>
      <c r="AF3526" s="1">
        <v>10013</v>
      </c>
      <c r="AI3526" s="1" t="s">
        <v>48</v>
      </c>
      <c r="AJ3526" s="1">
        <v>2019</v>
      </c>
      <c r="AK3526" s="1" t="s">
        <v>49</v>
      </c>
      <c r="AL3526" s="1">
        <v>115</v>
      </c>
    </row>
    <row r="3527" spans="1:38" x14ac:dyDescent="0.2">
      <c r="A3527" s="2" t="str">
        <f>HYPERLINK("https://www.compass.com/listing/20-east-end-avenue-unit-3d-manhattan-ny-10028/29425933651835329/","20 E End Ave, Unit 3D")</f>
        <v>20 E End Ave, Unit 3D</v>
      </c>
      <c r="B3527" s="2" t="str">
        <f>HYPERLINK("https://www.compass.com/building/20-e-end-ave-manhattan-ny-10028/281985490498985157/","20 E End Ave")</f>
        <v>20 E End Ave</v>
      </c>
      <c r="C3527" s="1" t="s">
        <v>82</v>
      </c>
      <c r="D3527" s="1" t="s">
        <v>41</v>
      </c>
      <c r="E3527" s="3">
        <v>6822275</v>
      </c>
      <c r="F3527" s="1">
        <v>2277.8881469115099</v>
      </c>
      <c r="G3527" s="1">
        <v>6</v>
      </c>
      <c r="H3527" s="1">
        <v>4</v>
      </c>
      <c r="I3527" s="1">
        <v>4</v>
      </c>
      <c r="J3527" s="1">
        <v>4.5</v>
      </c>
      <c r="K3527" s="1">
        <v>4</v>
      </c>
      <c r="L3527" s="1">
        <v>1</v>
      </c>
      <c r="M3527" s="4">
        <v>2995</v>
      </c>
      <c r="N3527" s="1">
        <v>3597</v>
      </c>
      <c r="O3527" s="1">
        <v>7442</v>
      </c>
      <c r="P3527" s="1">
        <v>3845</v>
      </c>
      <c r="Q3527" s="1" t="s">
        <v>42</v>
      </c>
      <c r="S3527" s="1" t="s">
        <v>42</v>
      </c>
      <c r="T3527" s="1" t="s">
        <v>273</v>
      </c>
      <c r="U3527" s="1">
        <v>18</v>
      </c>
      <c r="V3527" s="5">
        <v>43654</v>
      </c>
      <c r="W3527" s="5">
        <v>43119</v>
      </c>
      <c r="X3527" s="1">
        <v>6800000</v>
      </c>
      <c r="Y3527" s="1">
        <v>6800000</v>
      </c>
      <c r="Z3527" s="5">
        <v>43137</v>
      </c>
      <c r="AA3527" s="1">
        <v>6822275</v>
      </c>
      <c r="AB3527" s="1" t="s">
        <v>2315</v>
      </c>
      <c r="AC3527" s="5">
        <v>43202</v>
      </c>
      <c r="AF3527" s="1">
        <v>10028</v>
      </c>
      <c r="AJ3527" s="1">
        <v>2017</v>
      </c>
      <c r="AK3527" s="1" t="s">
        <v>46</v>
      </c>
      <c r="AL3527" s="1">
        <v>41</v>
      </c>
    </row>
    <row r="3528" spans="1:38" x14ac:dyDescent="0.2">
      <c r="A3528" s="2" t="str">
        <f>HYPERLINK("https://www.compass.com/listing/300-east-64th-street-unit-15a-manhattan-ny-10065/29415729287697937/","300 E 64th St, Unit 15A")</f>
        <v>300 E 64th St, Unit 15A</v>
      </c>
      <c r="B3528" s="2" t="str">
        <f t="shared" ref="B3528:B3534" si="593">HYPERLINK("https://www.compass.com/building/300-e-64th-st-manhattan-ny-10065/282038617012979925/","300 E 64th St")</f>
        <v>300 E 64th St</v>
      </c>
      <c r="C3528" s="1" t="s">
        <v>82</v>
      </c>
      <c r="D3528" s="1" t="s">
        <v>41</v>
      </c>
      <c r="E3528" s="3">
        <v>1900000</v>
      </c>
      <c r="F3528" s="1">
        <v>1819.9233716475001</v>
      </c>
      <c r="G3528" s="1">
        <v>4</v>
      </c>
      <c r="H3528" s="1">
        <v>2</v>
      </c>
      <c r="I3528" s="1">
        <v>2</v>
      </c>
      <c r="J3528" s="1">
        <v>2</v>
      </c>
      <c r="K3528" s="1">
        <v>2</v>
      </c>
      <c r="M3528" s="4">
        <v>1044</v>
      </c>
      <c r="N3528" s="1">
        <v>1175</v>
      </c>
      <c r="O3528" s="1">
        <v>2968</v>
      </c>
      <c r="P3528" s="1">
        <v>1793</v>
      </c>
      <c r="Q3528" s="1" t="s">
        <v>42</v>
      </c>
      <c r="S3528" s="1" t="s">
        <v>42</v>
      </c>
      <c r="T3528" s="1" t="s">
        <v>273</v>
      </c>
      <c r="U3528" s="1">
        <v>38</v>
      </c>
      <c r="V3528" s="5">
        <v>43649</v>
      </c>
      <c r="W3528" s="5">
        <v>42894</v>
      </c>
      <c r="X3528" s="1">
        <v>2100000</v>
      </c>
      <c r="Y3528" s="1">
        <v>2100000</v>
      </c>
      <c r="Z3528" s="5">
        <v>42932</v>
      </c>
      <c r="AA3528" s="1">
        <v>1900000</v>
      </c>
      <c r="AB3528" s="1" t="s">
        <v>2316</v>
      </c>
      <c r="AC3528" s="5">
        <v>43014</v>
      </c>
      <c r="AF3528" s="1">
        <v>10065</v>
      </c>
      <c r="AI3528" s="1" t="s">
        <v>189</v>
      </c>
      <c r="AJ3528" s="1">
        <v>1996</v>
      </c>
      <c r="AK3528" s="1" t="s">
        <v>49</v>
      </c>
      <c r="AL3528" s="1">
        <v>103</v>
      </c>
    </row>
    <row r="3529" spans="1:38" x14ac:dyDescent="0.2">
      <c r="A3529" s="2" t="str">
        <f>HYPERLINK("https://www.compass.com/listing/300-east-64th-street-unit-14d-manhattan-ny-10065/29415728373394289/","300 E 64th St, Unit 14D")</f>
        <v>300 E 64th St, Unit 14D</v>
      </c>
      <c r="B3529" s="2" t="str">
        <f t="shared" si="593"/>
        <v>300 E 64th St</v>
      </c>
      <c r="C3529" s="1" t="s">
        <v>82</v>
      </c>
      <c r="D3529" s="1" t="s">
        <v>41</v>
      </c>
      <c r="E3529" s="3">
        <v>1245000</v>
      </c>
      <c r="F3529" s="1">
        <v>1592.07161125319</v>
      </c>
      <c r="G3529" s="1">
        <v>3</v>
      </c>
      <c r="H3529" s="1">
        <v>1</v>
      </c>
      <c r="I3529" s="1">
        <v>1</v>
      </c>
      <c r="J3529" s="1">
        <v>1</v>
      </c>
      <c r="M3529" s="1">
        <v>782</v>
      </c>
      <c r="N3529" s="1">
        <v>880</v>
      </c>
      <c r="O3529" s="1">
        <v>2175</v>
      </c>
      <c r="P3529" s="1">
        <v>1295</v>
      </c>
      <c r="Q3529" s="1" t="s">
        <v>42</v>
      </c>
      <c r="S3529" s="1" t="s">
        <v>42</v>
      </c>
      <c r="T3529" s="1" t="s">
        <v>273</v>
      </c>
      <c r="U3529" s="1">
        <v>110</v>
      </c>
      <c r="V3529" s="5">
        <v>43662</v>
      </c>
      <c r="W3529" s="5">
        <v>42748</v>
      </c>
      <c r="X3529" s="1">
        <v>1245000</v>
      </c>
      <c r="Y3529" s="1">
        <v>1245000</v>
      </c>
      <c r="Z3529" s="5">
        <v>42858</v>
      </c>
      <c r="AA3529" s="1">
        <v>1245000</v>
      </c>
      <c r="AB3529" s="1" t="s">
        <v>2317</v>
      </c>
      <c r="AC3529" s="5">
        <v>42887</v>
      </c>
      <c r="AF3529" s="1">
        <v>10065</v>
      </c>
      <c r="AI3529" s="1" t="s">
        <v>189</v>
      </c>
      <c r="AJ3529" s="1">
        <v>1996</v>
      </c>
      <c r="AK3529" s="1" t="s">
        <v>49</v>
      </c>
      <c r="AL3529" s="1">
        <v>103</v>
      </c>
    </row>
    <row r="3530" spans="1:38" x14ac:dyDescent="0.2">
      <c r="A3530" s="2" t="str">
        <f>HYPERLINK("https://www.compass.com/listing/300-east-64th-street-unit-12d-manhattan-ny-10065/29415726670452177/","300 E 64th St, Unit 12D")</f>
        <v>300 E 64th St, Unit 12D</v>
      </c>
      <c r="B3530" s="2" t="str">
        <f t="shared" si="593"/>
        <v>300 E 64th St</v>
      </c>
      <c r="C3530" s="1" t="s">
        <v>82</v>
      </c>
      <c r="D3530" s="1" t="s">
        <v>41</v>
      </c>
      <c r="E3530" s="3">
        <v>1288086</v>
      </c>
      <c r="F3530" s="1">
        <v>1647.1687979539599</v>
      </c>
      <c r="G3530" s="1">
        <v>3</v>
      </c>
      <c r="H3530" s="1">
        <v>1</v>
      </c>
      <c r="I3530" s="1">
        <v>1</v>
      </c>
      <c r="J3530" s="1">
        <v>1</v>
      </c>
      <c r="M3530" s="1">
        <v>782</v>
      </c>
      <c r="N3530" s="1">
        <v>880</v>
      </c>
      <c r="O3530" s="1">
        <v>2134</v>
      </c>
      <c r="P3530" s="1">
        <v>1254</v>
      </c>
      <c r="Q3530" s="1" t="s">
        <v>42</v>
      </c>
      <c r="S3530" s="1" t="s">
        <v>42</v>
      </c>
      <c r="T3530" s="1" t="s">
        <v>273</v>
      </c>
      <c r="U3530" s="1">
        <v>49</v>
      </c>
      <c r="V3530" s="5">
        <v>43651</v>
      </c>
      <c r="W3530" s="5">
        <v>42081</v>
      </c>
      <c r="X3530" s="1">
        <v>1265000</v>
      </c>
      <c r="Y3530" s="1">
        <v>1265000</v>
      </c>
      <c r="Z3530" s="5">
        <v>42130</v>
      </c>
      <c r="AA3530" s="1">
        <v>1288086</v>
      </c>
      <c r="AB3530" s="1" t="s">
        <v>2318</v>
      </c>
      <c r="AC3530" s="5">
        <v>42215</v>
      </c>
      <c r="AF3530" s="1">
        <v>10065</v>
      </c>
      <c r="AI3530" s="1" t="s">
        <v>189</v>
      </c>
      <c r="AJ3530" s="1">
        <v>1996</v>
      </c>
      <c r="AK3530" s="1" t="s">
        <v>49</v>
      </c>
      <c r="AL3530" s="1">
        <v>103</v>
      </c>
    </row>
    <row r="3531" spans="1:38" x14ac:dyDescent="0.2">
      <c r="A3531" s="2" t="str">
        <f>HYPERLINK("https://www.compass.com/listing/300-east-64th-street-unit-17d-manhattan-ny-10065/29415734035703361/","300 E 64th St, Unit 17D")</f>
        <v>300 E 64th St, Unit 17D</v>
      </c>
      <c r="B3531" s="2" t="str">
        <f t="shared" si="593"/>
        <v>300 E 64th St</v>
      </c>
      <c r="C3531" s="1" t="s">
        <v>82</v>
      </c>
      <c r="D3531" s="1" t="s">
        <v>41</v>
      </c>
      <c r="E3531" s="3">
        <v>1295678</v>
      </c>
      <c r="F3531" s="1">
        <v>1656.8765984654699</v>
      </c>
      <c r="G3531" s="1">
        <v>3</v>
      </c>
      <c r="H3531" s="1">
        <v>1</v>
      </c>
      <c r="I3531" s="1">
        <v>1</v>
      </c>
      <c r="J3531" s="1">
        <v>1</v>
      </c>
      <c r="M3531" s="1">
        <v>782</v>
      </c>
      <c r="N3531" s="1">
        <v>880</v>
      </c>
      <c r="O3531" s="1">
        <v>2134</v>
      </c>
      <c r="P3531" s="1">
        <v>1254</v>
      </c>
      <c r="Q3531" s="1" t="s">
        <v>42</v>
      </c>
      <c r="S3531" s="1" t="s">
        <v>42</v>
      </c>
      <c r="T3531" s="1" t="s">
        <v>273</v>
      </c>
      <c r="U3531" s="1">
        <v>945</v>
      </c>
      <c r="V3531" s="5">
        <v>42793</v>
      </c>
      <c r="W3531" s="5">
        <v>41800</v>
      </c>
      <c r="X3531" s="1">
        <v>1315000</v>
      </c>
      <c r="Y3531" s="1">
        <v>1315000</v>
      </c>
      <c r="AA3531" s="1">
        <v>1295677.5</v>
      </c>
      <c r="AB3531" s="1" t="s">
        <v>2319</v>
      </c>
      <c r="AC3531" s="5">
        <v>42745</v>
      </c>
      <c r="AF3531" s="1">
        <v>10065</v>
      </c>
      <c r="AI3531" s="1" t="s">
        <v>189</v>
      </c>
      <c r="AJ3531" s="1">
        <v>1996</v>
      </c>
      <c r="AK3531" s="1" t="s">
        <v>46</v>
      </c>
      <c r="AL3531" s="1">
        <v>103</v>
      </c>
    </row>
    <row r="3532" spans="1:38" x14ac:dyDescent="0.2">
      <c r="A3532" s="2" t="str">
        <f>HYPERLINK("https://www.compass.com/listing/300-east-64th-street-unit-19d-manhattan-ny-10065/29415736946497169/","300 E 64th St, Unit 19D")</f>
        <v>300 E 64th St, Unit 19D</v>
      </c>
      <c r="B3532" s="2" t="str">
        <f t="shared" si="593"/>
        <v>300 E 64th St</v>
      </c>
      <c r="C3532" s="1" t="s">
        <v>82</v>
      </c>
      <c r="D3532" s="1" t="s">
        <v>41</v>
      </c>
      <c r="E3532" s="3">
        <v>1379956</v>
      </c>
      <c r="F3532" s="1">
        <v>1764.6491432225</v>
      </c>
      <c r="G3532" s="1">
        <v>3</v>
      </c>
      <c r="H3532" s="1">
        <v>1</v>
      </c>
      <c r="I3532" s="1">
        <v>1</v>
      </c>
      <c r="J3532" s="1">
        <v>1</v>
      </c>
      <c r="M3532" s="1">
        <v>782</v>
      </c>
      <c r="N3532" s="1">
        <v>880</v>
      </c>
      <c r="O3532" s="1">
        <v>2134</v>
      </c>
      <c r="P3532" s="1">
        <v>1254</v>
      </c>
      <c r="Q3532" s="1" t="s">
        <v>42</v>
      </c>
      <c r="S3532" s="1" t="s">
        <v>42</v>
      </c>
      <c r="T3532" s="1" t="s">
        <v>273</v>
      </c>
      <c r="U3532" s="1">
        <v>895</v>
      </c>
      <c r="V3532" s="5">
        <v>42793</v>
      </c>
      <c r="W3532" s="5">
        <v>41800</v>
      </c>
      <c r="X3532" s="1">
        <v>1385000</v>
      </c>
      <c r="Y3532" s="1">
        <v>1385000</v>
      </c>
      <c r="AA3532" s="1">
        <v>1379955.63</v>
      </c>
      <c r="AB3532" s="1" t="s">
        <v>2320</v>
      </c>
      <c r="AC3532" s="5">
        <v>42695</v>
      </c>
      <c r="AF3532" s="1">
        <v>10065</v>
      </c>
      <c r="AI3532" s="1" t="s">
        <v>189</v>
      </c>
      <c r="AJ3532" s="1">
        <v>1996</v>
      </c>
      <c r="AK3532" s="1" t="s">
        <v>46</v>
      </c>
      <c r="AL3532" s="1">
        <v>103</v>
      </c>
    </row>
    <row r="3533" spans="1:38" x14ac:dyDescent="0.2">
      <c r="A3533" s="2" t="str">
        <f>HYPERLINK("https://www.compass.com/listing/300-east-64th-street-unit-19d-manhattan-ny-10065/803318632880527073/","300 E 64th St, Unit 19D")</f>
        <v>300 E 64th St, Unit 19D</v>
      </c>
      <c r="B3533" s="2" t="str">
        <f t="shared" si="593"/>
        <v>300 E 64th St</v>
      </c>
      <c r="C3533" s="1" t="s">
        <v>82</v>
      </c>
      <c r="D3533" s="1" t="s">
        <v>41</v>
      </c>
      <c r="E3533" s="3">
        <v>1379956</v>
      </c>
      <c r="F3533" s="1">
        <v>1764.6491432225</v>
      </c>
      <c r="G3533" s="1">
        <v>3</v>
      </c>
      <c r="H3533" s="1">
        <v>1</v>
      </c>
      <c r="I3533" s="1">
        <v>1</v>
      </c>
      <c r="J3533" s="1">
        <v>1</v>
      </c>
      <c r="M3533" s="1">
        <v>782</v>
      </c>
      <c r="Q3533" s="1" t="s">
        <v>42</v>
      </c>
      <c r="S3533" s="1" t="s">
        <v>42</v>
      </c>
      <c r="T3533" s="1" t="s">
        <v>273</v>
      </c>
      <c r="U3533" s="1">
        <v>1</v>
      </c>
      <c r="V3533" s="5">
        <v>42718</v>
      </c>
      <c r="W3533" s="5">
        <v>42649</v>
      </c>
      <c r="X3533" s="1">
        <v>1365000</v>
      </c>
      <c r="Y3533" s="1">
        <v>1365000</v>
      </c>
      <c r="Z3533" s="5">
        <v>42651</v>
      </c>
      <c r="AA3533" s="1">
        <v>1379955.63</v>
      </c>
      <c r="AB3533" s="1" t="s">
        <v>2320</v>
      </c>
      <c r="AC3533" s="5">
        <v>42695</v>
      </c>
      <c r="AF3533" s="1">
        <v>10065</v>
      </c>
      <c r="AI3533" s="1" t="s">
        <v>189</v>
      </c>
      <c r="AJ3533" s="1">
        <v>1996</v>
      </c>
      <c r="AK3533" s="1" t="s">
        <v>49</v>
      </c>
      <c r="AL3533" s="1">
        <v>103</v>
      </c>
    </row>
    <row r="3534" spans="1:38" x14ac:dyDescent="0.2">
      <c r="A3534" s="2" t="str">
        <f>HYPERLINK("https://www.compass.com/listing/300-east-64th-street-unit-17d-manhattan-ny-10065/803370115563002729/","300 E 64th St, Unit 17D")</f>
        <v>300 E 64th St, Unit 17D</v>
      </c>
      <c r="B3534" s="2" t="str">
        <f t="shared" si="593"/>
        <v>300 E 64th St</v>
      </c>
      <c r="C3534" s="1" t="s">
        <v>82</v>
      </c>
      <c r="D3534" s="1" t="s">
        <v>41</v>
      </c>
      <c r="E3534" s="3">
        <v>1295678</v>
      </c>
      <c r="F3534" s="1">
        <v>1656.8765984654699</v>
      </c>
      <c r="G3534" s="1">
        <v>3</v>
      </c>
      <c r="H3534" s="1">
        <v>1</v>
      </c>
      <c r="I3534" s="1">
        <v>1</v>
      </c>
      <c r="J3534" s="1">
        <v>1</v>
      </c>
      <c r="M3534" s="1">
        <v>782</v>
      </c>
      <c r="N3534" s="1">
        <v>880</v>
      </c>
      <c r="O3534" s="1">
        <v>2175</v>
      </c>
      <c r="P3534" s="1">
        <v>1295</v>
      </c>
      <c r="Q3534" s="1" t="s">
        <v>42</v>
      </c>
      <c r="S3534" s="1" t="s">
        <v>42</v>
      </c>
      <c r="T3534" s="1" t="s">
        <v>273</v>
      </c>
      <c r="U3534" s="1">
        <v>106</v>
      </c>
      <c r="V3534" s="5">
        <v>42748</v>
      </c>
      <c r="W3534" s="5">
        <v>42591</v>
      </c>
      <c r="X3534" s="1">
        <v>1295000</v>
      </c>
      <c r="Y3534" s="1">
        <v>1270000</v>
      </c>
      <c r="Z3534" s="5">
        <v>42698</v>
      </c>
      <c r="AA3534" s="1">
        <v>1295677.5</v>
      </c>
      <c r="AB3534" s="1" t="s">
        <v>2319</v>
      </c>
      <c r="AC3534" s="5">
        <v>42745</v>
      </c>
      <c r="AF3534" s="1">
        <v>10065</v>
      </c>
      <c r="AI3534" s="1" t="s">
        <v>189</v>
      </c>
      <c r="AJ3534" s="1">
        <v>1996</v>
      </c>
      <c r="AK3534" s="1" t="s">
        <v>49</v>
      </c>
      <c r="AL3534" s="1">
        <v>103</v>
      </c>
    </row>
    <row r="3535" spans="1:38" x14ac:dyDescent="0.2">
      <c r="A3535" s="2" t="str">
        <f>HYPERLINK("https://www.compass.com/listing/301-east-80th-street-unit-16a-manhattan-ny-10075/807691569495796609/","301 E 80th St, Unit 16A")</f>
        <v>301 E 80th St, Unit 16A</v>
      </c>
      <c r="B3535" s="2" t="str">
        <f t="shared" ref="B3535:B3539" si="594">HYPERLINK("https://www.compass.com/building/beckford-tower-manhattan-ny/293529721147268613/","Beckford Tower")</f>
        <v>Beckford Tower</v>
      </c>
      <c r="C3535" s="1" t="s">
        <v>82</v>
      </c>
      <c r="D3535" s="1" t="s">
        <v>41</v>
      </c>
      <c r="E3535" s="3">
        <v>6850000</v>
      </c>
      <c r="F3535" s="1">
        <v>2251.8080210387898</v>
      </c>
      <c r="H3535" s="1">
        <v>4</v>
      </c>
      <c r="J3535" s="1">
        <v>4.5</v>
      </c>
      <c r="K3535" s="1">
        <v>4</v>
      </c>
      <c r="L3535" s="1">
        <v>1</v>
      </c>
      <c r="M3535" s="4">
        <v>3042</v>
      </c>
      <c r="N3535" s="1">
        <v>3922</v>
      </c>
      <c r="O3535" s="1">
        <v>8401</v>
      </c>
      <c r="P3535" s="1">
        <v>4479</v>
      </c>
      <c r="Q3535" s="1" t="s">
        <v>42</v>
      </c>
      <c r="S3535" s="1" t="s">
        <v>42</v>
      </c>
      <c r="T3535" s="1" t="s">
        <v>273</v>
      </c>
      <c r="AA3535" s="1">
        <v>6850000</v>
      </c>
      <c r="AB3535" s="1" t="s">
        <v>2321</v>
      </c>
      <c r="AC3535" s="5">
        <v>44354</v>
      </c>
      <c r="AF3535" s="1">
        <v>10075</v>
      </c>
      <c r="AJ3535" s="1">
        <v>2019</v>
      </c>
      <c r="AK3535" s="1" t="s">
        <v>49</v>
      </c>
      <c r="AL3535" s="1">
        <v>72</v>
      </c>
    </row>
    <row r="3536" spans="1:38" x14ac:dyDescent="0.2">
      <c r="A3536" s="2" t="str">
        <f>HYPERLINK("https://www.compass.com/listing/301-east-80th-street-unit-18b-manhattan-ny-10075/827259906399970953/","301 E 80th St, Unit 18B")</f>
        <v>301 E 80th St, Unit 18B</v>
      </c>
      <c r="B3536" s="2" t="str">
        <f t="shared" si="594"/>
        <v>Beckford Tower</v>
      </c>
      <c r="C3536" s="1" t="s">
        <v>82</v>
      </c>
      <c r="D3536" s="1" t="s">
        <v>41</v>
      </c>
      <c r="E3536" s="3">
        <v>7800000</v>
      </c>
      <c r="F3536" s="1">
        <v>2262.1809744779498</v>
      </c>
      <c r="H3536" s="1">
        <v>4</v>
      </c>
      <c r="J3536" s="1">
        <v>4.5</v>
      </c>
      <c r="K3536" s="1">
        <v>4</v>
      </c>
      <c r="L3536" s="1">
        <v>1</v>
      </c>
      <c r="M3536" s="4">
        <v>3448</v>
      </c>
      <c r="N3536" s="1">
        <v>4487</v>
      </c>
      <c r="O3536" s="1">
        <v>9612</v>
      </c>
      <c r="P3536" s="1">
        <v>5125</v>
      </c>
      <c r="Q3536" s="1" t="s">
        <v>42</v>
      </c>
      <c r="S3536" s="1" t="s">
        <v>42</v>
      </c>
      <c r="T3536" s="1" t="s">
        <v>273</v>
      </c>
      <c r="AA3536" s="1">
        <v>7800000</v>
      </c>
      <c r="AB3536" s="1" t="s">
        <v>2322</v>
      </c>
      <c r="AC3536" s="5">
        <v>44371</v>
      </c>
      <c r="AF3536" s="1">
        <v>10075</v>
      </c>
      <c r="AJ3536" s="1">
        <v>2019</v>
      </c>
      <c r="AK3536" s="1" t="s">
        <v>49</v>
      </c>
      <c r="AL3536" s="1">
        <v>72</v>
      </c>
    </row>
    <row r="3537" spans="1:38" x14ac:dyDescent="0.2">
      <c r="A3537" s="2" t="str">
        <f>HYPERLINK("https://www.compass.com/listing/301-east-80th-street-unit-16b-manhattan-ny-10075/832343026482248033/","301 E 80th St, Unit 16B")</f>
        <v>301 E 80th St, Unit 16B</v>
      </c>
      <c r="B3537" s="2" t="str">
        <f t="shared" si="594"/>
        <v>Beckford Tower</v>
      </c>
      <c r="C3537" s="1" t="s">
        <v>82</v>
      </c>
      <c r="D3537" s="1" t="s">
        <v>41</v>
      </c>
      <c r="E3537" s="3">
        <v>7600000</v>
      </c>
      <c r="F3537" s="1">
        <v>2204.1763341067199</v>
      </c>
      <c r="H3537" s="1">
        <v>4</v>
      </c>
      <c r="J3537" s="1">
        <v>4.5</v>
      </c>
      <c r="K3537" s="1">
        <v>4</v>
      </c>
      <c r="L3537" s="1">
        <v>1</v>
      </c>
      <c r="M3537" s="4">
        <v>3448</v>
      </c>
      <c r="N3537" s="1">
        <v>4445</v>
      </c>
      <c r="O3537" s="1">
        <v>9522</v>
      </c>
      <c r="P3537" s="1">
        <v>5077</v>
      </c>
      <c r="Q3537" s="1" t="s">
        <v>42</v>
      </c>
      <c r="S3537" s="1" t="s">
        <v>42</v>
      </c>
      <c r="T3537" s="1" t="s">
        <v>273</v>
      </c>
      <c r="AA3537" s="1">
        <v>7600000</v>
      </c>
      <c r="AB3537" s="1" t="s">
        <v>2323</v>
      </c>
      <c r="AC3537" s="5">
        <v>44377</v>
      </c>
      <c r="AF3537" s="1">
        <v>10075</v>
      </c>
      <c r="AJ3537" s="1">
        <v>2019</v>
      </c>
      <c r="AK3537" s="1" t="s">
        <v>49</v>
      </c>
      <c r="AL3537" s="1">
        <v>72</v>
      </c>
    </row>
    <row r="3538" spans="1:38" x14ac:dyDescent="0.2">
      <c r="A3538" s="2" t="str">
        <f>HYPERLINK("https://www.compass.com/listing/301-east-80th-street-unit-4a-manhattan-ny-10075/837410546078976489/","301 E 80th St, Unit 4A")</f>
        <v>301 E 80th St, Unit 4A</v>
      </c>
      <c r="B3538" s="2" t="str">
        <f t="shared" si="594"/>
        <v>Beckford Tower</v>
      </c>
      <c r="C3538" s="1" t="s">
        <v>82</v>
      </c>
      <c r="D3538" s="1" t="s">
        <v>41</v>
      </c>
      <c r="E3538" s="3">
        <v>5450000</v>
      </c>
      <c r="F3538" s="1">
        <v>1858.1657006477999</v>
      </c>
      <c r="H3538" s="1">
        <v>4</v>
      </c>
      <c r="J3538" s="1">
        <v>4.5</v>
      </c>
      <c r="K3538" s="1">
        <v>4</v>
      </c>
      <c r="L3538" s="1">
        <v>1</v>
      </c>
      <c r="M3538" s="4">
        <v>2933</v>
      </c>
      <c r="N3538" s="1">
        <v>3569</v>
      </c>
      <c r="O3538" s="1">
        <v>7646</v>
      </c>
      <c r="P3538" s="1">
        <v>4077</v>
      </c>
      <c r="Q3538" s="1" t="s">
        <v>42</v>
      </c>
      <c r="S3538" s="1" t="s">
        <v>42</v>
      </c>
      <c r="T3538" s="1" t="s">
        <v>273</v>
      </c>
      <c r="AA3538" s="1">
        <v>5450000</v>
      </c>
      <c r="AB3538" s="1" t="s">
        <v>2324</v>
      </c>
      <c r="AC3538" s="5">
        <v>44365</v>
      </c>
      <c r="AF3538" s="1">
        <v>10075</v>
      </c>
      <c r="AJ3538" s="1">
        <v>2019</v>
      </c>
      <c r="AK3538" s="1" t="s">
        <v>49</v>
      </c>
      <c r="AL3538" s="1">
        <v>72</v>
      </c>
    </row>
    <row r="3539" spans="1:38" x14ac:dyDescent="0.2">
      <c r="A3539" s="2" t="str">
        <f>HYPERLINK("https://www.compass.com/listing/301-east-80th-street-unit-25b-manhattan-ny-10075/843206374894136969/","301 E 80th St, Unit 25B")</f>
        <v>301 E 80th St, Unit 25B</v>
      </c>
      <c r="B3539" s="2" t="str">
        <f t="shared" si="594"/>
        <v>Beckford Tower</v>
      </c>
      <c r="C3539" s="1" t="s">
        <v>82</v>
      </c>
      <c r="D3539" s="1" t="s">
        <v>41</v>
      </c>
      <c r="E3539" s="3">
        <v>10203368</v>
      </c>
      <c r="F3539" s="1">
        <v>2687.9263645943101</v>
      </c>
      <c r="H3539" s="1">
        <v>5</v>
      </c>
      <c r="J3539" s="1">
        <v>5.5</v>
      </c>
      <c r="K3539" s="1">
        <v>5</v>
      </c>
      <c r="L3539" s="1">
        <v>1</v>
      </c>
      <c r="M3539" s="4">
        <v>3796</v>
      </c>
      <c r="N3539" s="1">
        <v>5100</v>
      </c>
      <c r="O3539" s="1">
        <v>10925</v>
      </c>
      <c r="P3539" s="1">
        <v>5825</v>
      </c>
      <c r="Q3539" s="1" t="s">
        <v>42</v>
      </c>
      <c r="S3539" s="1" t="s">
        <v>42</v>
      </c>
      <c r="T3539" s="1" t="s">
        <v>273</v>
      </c>
      <c r="AA3539" s="1">
        <v>10203368.48</v>
      </c>
      <c r="AB3539" s="1" t="s">
        <v>2325</v>
      </c>
      <c r="AC3539" s="5">
        <v>44377</v>
      </c>
      <c r="AF3539" s="1">
        <v>10075</v>
      </c>
      <c r="AJ3539" s="1">
        <v>2019</v>
      </c>
      <c r="AK3539" s="1" t="s">
        <v>49</v>
      </c>
      <c r="AL3539" s="1">
        <v>72</v>
      </c>
    </row>
    <row r="3540" spans="1:38" x14ac:dyDescent="0.2">
      <c r="A3540" s="2" t="str">
        <f>HYPERLINK("https://www.compass.com/listing/30-east-31st-street-unit-2a-manhattan-ny-10016/393434772448766897/","30 E 31st St, Unit 2A")</f>
        <v>30 E 31st St, Unit 2A</v>
      </c>
      <c r="B3540" s="2" t="str">
        <f>HYPERLINK("https://www.compass.com/building/30-east-31st-street-manhattan-ny/281939352542566357/","30 East 31st Street")</f>
        <v>30 East 31st Street</v>
      </c>
      <c r="C3540" s="1" t="s">
        <v>40</v>
      </c>
      <c r="D3540" s="1" t="s">
        <v>41</v>
      </c>
      <c r="E3540" s="3">
        <v>1256000</v>
      </c>
      <c r="F3540" s="1">
        <v>1300.20703933747</v>
      </c>
      <c r="G3540" s="1">
        <v>3</v>
      </c>
      <c r="H3540" s="1">
        <v>1</v>
      </c>
      <c r="I3540" s="1">
        <v>2</v>
      </c>
      <c r="J3540" s="1">
        <v>1.5</v>
      </c>
      <c r="K3540" s="1">
        <v>1</v>
      </c>
      <c r="L3540" s="1">
        <v>1</v>
      </c>
      <c r="M3540" s="1">
        <v>966</v>
      </c>
      <c r="N3540" s="1">
        <v>1242.48</v>
      </c>
      <c r="O3540" s="1">
        <v>2906.46</v>
      </c>
      <c r="P3540" s="1">
        <v>1664</v>
      </c>
      <c r="Q3540" s="1" t="s">
        <v>42</v>
      </c>
      <c r="S3540" s="1" t="s">
        <v>42</v>
      </c>
      <c r="T3540" s="1" t="s">
        <v>273</v>
      </c>
      <c r="U3540" s="1">
        <v>350</v>
      </c>
      <c r="V3540" s="5">
        <v>44341</v>
      </c>
      <c r="W3540" s="5">
        <v>43794</v>
      </c>
      <c r="X3540" s="1">
        <v>1700000</v>
      </c>
      <c r="Y3540" s="1">
        <v>1700000</v>
      </c>
      <c r="Z3540" s="5">
        <v>44239</v>
      </c>
      <c r="AA3540" s="1">
        <v>1256000</v>
      </c>
      <c r="AB3540" s="1" t="s">
        <v>2326</v>
      </c>
      <c r="AC3540" s="5">
        <v>44301</v>
      </c>
      <c r="AF3540" s="1">
        <v>10016</v>
      </c>
      <c r="AJ3540" s="1">
        <v>2018</v>
      </c>
      <c r="AK3540" s="1" t="s">
        <v>46</v>
      </c>
      <c r="AL3540" s="1">
        <v>42</v>
      </c>
    </row>
    <row r="3541" spans="1:38" x14ac:dyDescent="0.2">
      <c r="A3541" s="2" t="str">
        <f>HYPERLINK("https://www.compass.com/listing/301-east-81st-street-unit-3c-manhattan-ny-10028/358535910032520945/","301 E 81st St, Unit 3C")</f>
        <v>301 E 81st St, Unit 3C</v>
      </c>
      <c r="B3541" s="2" t="str">
        <f>HYPERLINK("https://www.compass.com/building/beckford-house-manhattan-ny/293531205712863989/","Beckford House")</f>
        <v>Beckford House</v>
      </c>
      <c r="C3541" s="1" t="s">
        <v>82</v>
      </c>
      <c r="D3541" s="1" t="s">
        <v>41</v>
      </c>
      <c r="E3541" s="3">
        <v>1995000</v>
      </c>
      <c r="F3541" s="1">
        <v>1579.5724465558101</v>
      </c>
      <c r="G3541" s="1">
        <v>4</v>
      </c>
      <c r="H3541" s="1">
        <v>2</v>
      </c>
      <c r="I3541" s="1">
        <v>2</v>
      </c>
      <c r="J3541" s="1">
        <v>2</v>
      </c>
      <c r="K3541" s="1">
        <v>2</v>
      </c>
      <c r="M3541" s="4">
        <v>1263</v>
      </c>
      <c r="N3541" s="1">
        <v>1776</v>
      </c>
      <c r="O3541" s="1">
        <v>3705</v>
      </c>
      <c r="P3541" s="1">
        <v>1929</v>
      </c>
      <c r="Q3541" s="1" t="s">
        <v>42</v>
      </c>
      <c r="S3541" s="1" t="s">
        <v>42</v>
      </c>
      <c r="T3541" s="1" t="s">
        <v>273</v>
      </c>
      <c r="U3541" s="1">
        <v>195</v>
      </c>
      <c r="V3541" s="5">
        <v>44307</v>
      </c>
      <c r="W3541" s="5">
        <v>43740</v>
      </c>
      <c r="X3541" s="1">
        <v>2495000</v>
      </c>
      <c r="Y3541" s="1">
        <v>2495000</v>
      </c>
      <c r="AA3541" s="1">
        <v>1995000</v>
      </c>
      <c r="AB3541" s="1" t="s">
        <v>2327</v>
      </c>
      <c r="AC3541" s="5">
        <v>44300</v>
      </c>
      <c r="AF3541" s="1">
        <v>10028</v>
      </c>
      <c r="AI3541" s="1" t="s">
        <v>2328</v>
      </c>
      <c r="AJ3541" s="1">
        <v>2019</v>
      </c>
      <c r="AK3541" s="1" t="s">
        <v>202</v>
      </c>
      <c r="AL3541" s="1">
        <v>0</v>
      </c>
    </row>
    <row r="3542" spans="1:38" x14ac:dyDescent="0.2">
      <c r="A3542" s="2" t="str">
        <f>HYPERLINK("https://www.compass.com/listing/20-east-end-avenue-unit-4c-manhattan-ny-10028/803322643642046353/","20 E End Ave, Unit 4C")</f>
        <v>20 E End Ave, Unit 4C</v>
      </c>
      <c r="B3542" s="2" t="str">
        <f>HYPERLINK("https://www.compass.com/building/20-e-end-ave-manhattan-ny-10028/281985490498985157/","20 E End Ave")</f>
        <v>20 E End Ave</v>
      </c>
      <c r="C3542" s="1" t="s">
        <v>82</v>
      </c>
      <c r="D3542" s="1" t="s">
        <v>41</v>
      </c>
      <c r="E3542" s="3">
        <v>4200000</v>
      </c>
      <c r="F3542" s="1">
        <v>2195.5044432827999</v>
      </c>
      <c r="G3542" s="1">
        <v>5</v>
      </c>
      <c r="H3542" s="1">
        <v>2</v>
      </c>
      <c r="I3542" s="1">
        <v>3</v>
      </c>
      <c r="J3542" s="1">
        <v>2.5</v>
      </c>
      <c r="K3542" s="1">
        <v>2</v>
      </c>
      <c r="L3542" s="1">
        <v>1</v>
      </c>
      <c r="M3542" s="4">
        <v>1913</v>
      </c>
      <c r="N3542" s="1">
        <v>2308.31</v>
      </c>
      <c r="O3542" s="1">
        <v>4571.3099999999904</v>
      </c>
      <c r="P3542" s="1">
        <v>2263</v>
      </c>
      <c r="Q3542" s="1" t="s">
        <v>42</v>
      </c>
      <c r="S3542" s="1" t="s">
        <v>42</v>
      </c>
      <c r="T3542" s="1" t="s">
        <v>273</v>
      </c>
      <c r="U3542" s="1">
        <v>59</v>
      </c>
      <c r="V3542" s="5">
        <v>43014</v>
      </c>
      <c r="W3542" s="5">
        <v>42954</v>
      </c>
      <c r="X3542" s="1">
        <v>4550000</v>
      </c>
      <c r="Y3542" s="1">
        <v>4550000</v>
      </c>
      <c r="AA3542" s="1">
        <v>4200000</v>
      </c>
      <c r="AB3542" s="1" t="s">
        <v>1496</v>
      </c>
      <c r="AC3542" s="5">
        <v>43116</v>
      </c>
      <c r="AF3542" s="1">
        <v>10028</v>
      </c>
      <c r="AJ3542" s="1">
        <v>2017</v>
      </c>
      <c r="AK3542" s="1" t="s">
        <v>46</v>
      </c>
      <c r="AL3542" s="1">
        <v>41</v>
      </c>
    </row>
    <row r="3543" spans="1:38" x14ac:dyDescent="0.2">
      <c r="A3543" s="2" t="str">
        <f>HYPERLINK("https://www.compass.com/listing/301-east-81st-street-unit-5c-manhattan-ny-10028/563766579857841521/","301 E 81st St, Unit 5C")</f>
        <v>301 E 81st St, Unit 5C</v>
      </c>
      <c r="B3543" s="2" t="str">
        <f t="shared" ref="B3543:B3544" si="595">HYPERLINK("https://www.compass.com/building/beckford-house-manhattan-ny/293531205712863989/","Beckford House")</f>
        <v>Beckford House</v>
      </c>
      <c r="C3543" s="1" t="s">
        <v>82</v>
      </c>
      <c r="D3543" s="1" t="s">
        <v>41</v>
      </c>
      <c r="E3543" s="3">
        <v>2225000</v>
      </c>
      <c r="F3543" s="1">
        <v>1761.6785431512201</v>
      </c>
      <c r="G3543" s="1">
        <v>5</v>
      </c>
      <c r="H3543" s="1">
        <v>2</v>
      </c>
      <c r="I3543" s="1">
        <v>2</v>
      </c>
      <c r="J3543" s="1">
        <v>2</v>
      </c>
      <c r="K3543" s="1">
        <v>2</v>
      </c>
      <c r="M3543" s="4">
        <v>1263</v>
      </c>
      <c r="N3543" s="1">
        <v>1794</v>
      </c>
      <c r="O3543" s="1">
        <v>3742</v>
      </c>
      <c r="P3543" s="1">
        <v>1948</v>
      </c>
      <c r="Q3543" s="1" t="s">
        <v>42</v>
      </c>
      <c r="S3543" s="1" t="s">
        <v>42</v>
      </c>
      <c r="T3543" s="1" t="s">
        <v>273</v>
      </c>
      <c r="V3543" s="5">
        <v>44415</v>
      </c>
      <c r="W3543" s="5">
        <v>43741</v>
      </c>
      <c r="X3543" s="1">
        <v>2775000</v>
      </c>
      <c r="Y3543" s="1">
        <v>2775000</v>
      </c>
      <c r="AA3543" s="1">
        <v>2225000</v>
      </c>
      <c r="AB3543" s="1" t="s">
        <v>2329</v>
      </c>
      <c r="AC3543" s="5">
        <v>44371</v>
      </c>
      <c r="AF3543" s="1">
        <v>10028</v>
      </c>
      <c r="AI3543" s="1" t="s">
        <v>2328</v>
      </c>
      <c r="AJ3543" s="1">
        <v>2019</v>
      </c>
      <c r="AK3543" s="1" t="s">
        <v>202</v>
      </c>
      <c r="AL3543" s="1">
        <v>0</v>
      </c>
    </row>
    <row r="3544" spans="1:38" x14ac:dyDescent="0.2">
      <c r="A3544" s="2" t="str">
        <f>HYPERLINK("https://www.compass.com/listing/301-east-81st-street-unit-5c-manhattan-ny-10028/846994852927074137/","301 E 81st St, Unit 5C")</f>
        <v>301 E 81st St, Unit 5C</v>
      </c>
      <c r="B3544" s="2" t="str">
        <f t="shared" si="595"/>
        <v>Beckford House</v>
      </c>
      <c r="C3544" s="1" t="s">
        <v>82</v>
      </c>
      <c r="D3544" s="1" t="s">
        <v>41</v>
      </c>
      <c r="E3544" s="3">
        <v>2225000</v>
      </c>
      <c r="F3544" s="1">
        <v>1761.6785431512201</v>
      </c>
      <c r="G3544" s="1">
        <v>5</v>
      </c>
      <c r="H3544" s="1">
        <v>2</v>
      </c>
      <c r="I3544" s="1">
        <v>2</v>
      </c>
      <c r="J3544" s="1">
        <v>2</v>
      </c>
      <c r="K3544" s="1">
        <v>2</v>
      </c>
      <c r="M3544" s="4">
        <v>1263</v>
      </c>
      <c r="N3544" s="1">
        <v>1794</v>
      </c>
      <c r="O3544" s="1">
        <v>3742</v>
      </c>
      <c r="P3544" s="1">
        <v>1948</v>
      </c>
      <c r="Q3544" s="1" t="s">
        <v>42</v>
      </c>
      <c r="S3544" s="1" t="s">
        <v>42</v>
      </c>
      <c r="T3544" s="1" t="s">
        <v>273</v>
      </c>
      <c r="V3544" s="5">
        <v>44420</v>
      </c>
      <c r="AA3544" s="1">
        <v>2225000</v>
      </c>
      <c r="AB3544" s="1" t="s">
        <v>2329</v>
      </c>
      <c r="AC3544" s="5">
        <v>44371</v>
      </c>
      <c r="AF3544" s="1">
        <v>10028</v>
      </c>
      <c r="AI3544" s="1" t="s">
        <v>2328</v>
      </c>
      <c r="AJ3544" s="1">
        <v>2019</v>
      </c>
      <c r="AK3544" s="1" t="s">
        <v>202</v>
      </c>
      <c r="AL3544" s="1">
        <v>0</v>
      </c>
    </row>
    <row r="3545" spans="1:38" x14ac:dyDescent="0.2">
      <c r="A3545" s="2" t="str">
        <f>HYPERLINK("https://www.compass.com/listing/30-east-31st-street-unit-3a-manhattan-ny-10016/810597232379422617/","30 E 31st St, Unit 3A")</f>
        <v>30 E 31st St, Unit 3A</v>
      </c>
      <c r="B3545" s="2" t="str">
        <f>HYPERLINK("https://www.compass.com/building/30-east-31st-street-manhattan-ny/281939352542566357/","30 East 31st Street")</f>
        <v>30 East 31st Street</v>
      </c>
      <c r="C3545" s="1" t="s">
        <v>40</v>
      </c>
      <c r="D3545" s="1" t="s">
        <v>41</v>
      </c>
      <c r="E3545" s="3">
        <v>1300000</v>
      </c>
      <c r="F3545" s="1">
        <v>1315.78947368421</v>
      </c>
      <c r="H3545" s="1" t="s">
        <v>99</v>
      </c>
      <c r="J3545" s="1">
        <v>1</v>
      </c>
      <c r="K3545" s="1">
        <v>1</v>
      </c>
      <c r="M3545" s="1">
        <v>988</v>
      </c>
      <c r="N3545" s="1">
        <v>1308</v>
      </c>
      <c r="O3545" s="1">
        <v>3060</v>
      </c>
      <c r="P3545" s="1">
        <v>1752</v>
      </c>
      <c r="Q3545" s="1" t="s">
        <v>42</v>
      </c>
      <c r="S3545" s="1" t="s">
        <v>42</v>
      </c>
      <c r="T3545" s="1" t="s">
        <v>273</v>
      </c>
      <c r="AA3545" s="1">
        <v>1300000</v>
      </c>
      <c r="AB3545" s="1" t="s">
        <v>2330</v>
      </c>
      <c r="AC3545" s="5">
        <v>44334</v>
      </c>
      <c r="AF3545" s="1">
        <v>10016</v>
      </c>
      <c r="AJ3545" s="1">
        <v>2018</v>
      </c>
      <c r="AK3545" s="1" t="s">
        <v>202</v>
      </c>
      <c r="AL3545" s="1">
        <v>42</v>
      </c>
    </row>
    <row r="3546" spans="1:38" x14ac:dyDescent="0.2">
      <c r="A3546" s="2" t="str">
        <f>HYPERLINK("https://www.compass.com/listing/1-west-end-avenue-unit-41c-manhattan-ny-10023/29397348044001345/","1 W End Ave, Unit 41C")</f>
        <v>1 W End Ave, Unit 41C</v>
      </c>
      <c r="B3546" s="2" t="str">
        <f>HYPERLINK("https://www.compass.com/building/1-w-end-ave-manhattan-ny-10023/455676159137755317/","1 W End Ave")</f>
        <v>1 W End Ave</v>
      </c>
      <c r="C3546" s="1" t="s">
        <v>57</v>
      </c>
      <c r="D3546" s="1" t="s">
        <v>41</v>
      </c>
      <c r="E3546" s="3">
        <v>6529801</v>
      </c>
      <c r="F3546" s="1">
        <v>2908.5972650334002</v>
      </c>
      <c r="G3546" s="1">
        <v>5</v>
      </c>
      <c r="H3546" s="1">
        <v>3</v>
      </c>
      <c r="I3546" s="1">
        <v>3</v>
      </c>
      <c r="J3546" s="1">
        <v>3.5</v>
      </c>
      <c r="K3546" s="1">
        <v>3</v>
      </c>
      <c r="L3546" s="1">
        <v>1</v>
      </c>
      <c r="M3546" s="4">
        <v>2245</v>
      </c>
      <c r="N3546" s="1">
        <v>2539.75</v>
      </c>
      <c r="O3546" s="1">
        <v>2692.17</v>
      </c>
      <c r="P3546" s="1">
        <v>152.416666666666</v>
      </c>
      <c r="Q3546" s="1" t="s">
        <v>42</v>
      </c>
      <c r="S3546" s="1" t="s">
        <v>42</v>
      </c>
      <c r="T3546" s="1" t="s">
        <v>273</v>
      </c>
      <c r="V3546" s="5">
        <v>43670</v>
      </c>
      <c r="W3546" s="5">
        <v>42203</v>
      </c>
      <c r="X3546" s="1">
        <v>6400000</v>
      </c>
      <c r="Y3546" s="1">
        <v>6400000</v>
      </c>
      <c r="Z3546" s="5">
        <v>42203</v>
      </c>
      <c r="AA3546" s="1">
        <v>6529800.8600000003</v>
      </c>
      <c r="AB3546" s="1" t="s">
        <v>2331</v>
      </c>
      <c r="AC3546" s="5">
        <v>43220</v>
      </c>
      <c r="AF3546" s="1">
        <v>10023</v>
      </c>
      <c r="AI3546" s="1" t="s">
        <v>60</v>
      </c>
      <c r="AJ3546" s="1">
        <v>2017</v>
      </c>
      <c r="AK3546" s="1" t="s">
        <v>108</v>
      </c>
      <c r="AL3546" s="1">
        <v>246</v>
      </c>
    </row>
    <row r="3547" spans="1:38" x14ac:dyDescent="0.2">
      <c r="A3547" s="2" t="str">
        <f>HYPERLINK("https://www.compass.com/listing/300-east-64th-street-unit-5h-manhattan-ny-10065/29507295146763409/","300 E 64th St, Unit 5H")</f>
        <v>300 E 64th St, Unit 5H</v>
      </c>
      <c r="B3547" s="2" t="str">
        <f>HYPERLINK("https://www.compass.com/building/300-e-64th-st-manhattan-ny-10065/282038617012979925/","300 E 64th St")</f>
        <v>300 E 64th St</v>
      </c>
      <c r="C3547" s="1" t="s">
        <v>82</v>
      </c>
      <c r="D3547" s="1" t="s">
        <v>41</v>
      </c>
      <c r="E3547" s="3">
        <v>1045000</v>
      </c>
      <c r="F3547" s="1">
        <v>1219.36989498249</v>
      </c>
      <c r="G3547" s="1">
        <v>3</v>
      </c>
      <c r="H3547" s="1">
        <v>1</v>
      </c>
      <c r="I3547" s="1">
        <v>1</v>
      </c>
      <c r="J3547" s="1">
        <v>1</v>
      </c>
      <c r="M3547" s="1">
        <v>857</v>
      </c>
      <c r="N3547" s="1">
        <v>965</v>
      </c>
      <c r="O3547" s="1">
        <v>2418</v>
      </c>
      <c r="P3547" s="1">
        <v>1453</v>
      </c>
      <c r="Q3547" s="1" t="s">
        <v>42</v>
      </c>
      <c r="S3547" s="1" t="s">
        <v>42</v>
      </c>
      <c r="T3547" s="1" t="s">
        <v>273</v>
      </c>
      <c r="U3547" s="1">
        <v>25</v>
      </c>
      <c r="V3547" s="5">
        <v>43647</v>
      </c>
      <c r="W3547" s="5">
        <v>43231</v>
      </c>
      <c r="X3547" s="1">
        <v>1065000</v>
      </c>
      <c r="Y3547" s="1">
        <v>1065000</v>
      </c>
      <c r="Z3547" s="5">
        <v>43256</v>
      </c>
      <c r="AA3547" s="1">
        <v>1045000</v>
      </c>
      <c r="AB3547" s="1" t="s">
        <v>2332</v>
      </c>
      <c r="AC3547" s="5">
        <v>43334</v>
      </c>
      <c r="AF3547" s="1">
        <v>10065</v>
      </c>
      <c r="AI3547" s="1" t="s">
        <v>189</v>
      </c>
      <c r="AJ3547" s="1">
        <v>1996</v>
      </c>
      <c r="AK3547" s="1" t="s">
        <v>49</v>
      </c>
      <c r="AL3547" s="1">
        <v>103</v>
      </c>
    </row>
    <row r="3548" spans="1:38" x14ac:dyDescent="0.2">
      <c r="A3548" s="2" t="str">
        <f>HYPERLINK("https://www.compass.com/listing/301-east-81st-street-unit-6c-manhattan-ny-10028/740656954027488745/","301 E 81st St, Unit 6C")</f>
        <v>301 E 81st St, Unit 6C</v>
      </c>
      <c r="B3548" s="2" t="str">
        <f>HYPERLINK("https://www.compass.com/building/beckford-house-manhattan-ny/293531205712863989/","Beckford House")</f>
        <v>Beckford House</v>
      </c>
      <c r="C3548" s="1" t="s">
        <v>82</v>
      </c>
      <c r="D3548" s="1" t="s">
        <v>41</v>
      </c>
      <c r="E3548" s="3">
        <v>2250000</v>
      </c>
      <c r="F3548" s="1">
        <v>1781.4726840855101</v>
      </c>
      <c r="G3548" s="1">
        <v>5</v>
      </c>
      <c r="H3548" s="1">
        <v>2</v>
      </c>
      <c r="I3548" s="1">
        <v>2</v>
      </c>
      <c r="J3548" s="1">
        <v>2</v>
      </c>
      <c r="K3548" s="1">
        <v>2</v>
      </c>
      <c r="M3548" s="4">
        <v>1263</v>
      </c>
      <c r="N3548" s="1">
        <v>1803</v>
      </c>
      <c r="O3548" s="1">
        <v>3761</v>
      </c>
      <c r="P3548" s="1">
        <v>1958</v>
      </c>
      <c r="Q3548" s="1" t="s">
        <v>42</v>
      </c>
      <c r="S3548" s="1" t="s">
        <v>42</v>
      </c>
      <c r="T3548" s="1" t="s">
        <v>273</v>
      </c>
      <c r="U3548" s="1">
        <v>37</v>
      </c>
      <c r="V3548" s="5">
        <v>44311</v>
      </c>
      <c r="W3548" s="5">
        <v>44272</v>
      </c>
      <c r="X3548" s="1">
        <v>2875000</v>
      </c>
      <c r="Y3548" s="1">
        <v>2875000</v>
      </c>
      <c r="AA3548" s="1">
        <v>2250000</v>
      </c>
      <c r="AB3548" s="1" t="s">
        <v>2333</v>
      </c>
      <c r="AC3548" s="5">
        <v>44361</v>
      </c>
      <c r="AF3548" s="1">
        <v>10028</v>
      </c>
      <c r="AI3548" s="1" t="s">
        <v>140</v>
      </c>
      <c r="AJ3548" s="1">
        <v>2019</v>
      </c>
      <c r="AK3548" s="1" t="s">
        <v>202</v>
      </c>
      <c r="AL3548" s="1">
        <v>0</v>
      </c>
    </row>
    <row r="3549" spans="1:38" x14ac:dyDescent="0.2">
      <c r="A3549" s="2" t="str">
        <f>HYPERLINK("https://www.compass.com/listing/20-east-end-avenue-unit-11b-manhattan-ny-10028/29425943869160081/","20 E End Ave, Unit 11B")</f>
        <v>20 E End Ave, Unit 11B</v>
      </c>
      <c r="B3549" s="2" t="str">
        <f t="shared" ref="B3549:B3550" si="596">HYPERLINK("https://www.compass.com/building/20-e-end-ave-manhattan-ny-10028/281985490498985157/","20 E End Ave")</f>
        <v>20 E End Ave</v>
      </c>
      <c r="C3549" s="1" t="s">
        <v>82</v>
      </c>
      <c r="D3549" s="1" t="s">
        <v>41</v>
      </c>
      <c r="E3549" s="3">
        <v>15586419</v>
      </c>
      <c r="F3549" s="1">
        <v>3140.5236751964499</v>
      </c>
      <c r="G3549" s="1">
        <v>9</v>
      </c>
      <c r="H3549" s="1">
        <v>5</v>
      </c>
      <c r="I3549" s="1">
        <v>5</v>
      </c>
      <c r="J3549" s="1">
        <v>5.5</v>
      </c>
      <c r="K3549" s="1">
        <v>5</v>
      </c>
      <c r="L3549" s="1">
        <v>1</v>
      </c>
      <c r="M3549" s="4">
        <v>4963</v>
      </c>
      <c r="N3549" s="1">
        <v>6204</v>
      </c>
      <c r="O3549" s="1">
        <v>12836</v>
      </c>
      <c r="P3549" s="1">
        <v>6632</v>
      </c>
      <c r="Q3549" s="1" t="s">
        <v>42</v>
      </c>
      <c r="S3549" s="1" t="s">
        <v>42</v>
      </c>
      <c r="T3549" s="1" t="s">
        <v>273</v>
      </c>
      <c r="U3549" s="1">
        <v>188</v>
      </c>
      <c r="V3549" s="5">
        <v>43647</v>
      </c>
      <c r="W3549" s="5">
        <v>43022</v>
      </c>
      <c r="X3549" s="1">
        <v>14950000</v>
      </c>
      <c r="Y3549" s="1">
        <v>15450000</v>
      </c>
      <c r="Z3549" s="5">
        <v>43210</v>
      </c>
      <c r="AA3549" s="1">
        <v>15586419</v>
      </c>
      <c r="AB3549" s="1" t="s">
        <v>2334</v>
      </c>
      <c r="AC3549" s="5">
        <v>43258</v>
      </c>
      <c r="AF3549" s="1">
        <v>10028</v>
      </c>
      <c r="AI3549" s="1" t="s">
        <v>63</v>
      </c>
      <c r="AJ3549" s="1">
        <v>2017</v>
      </c>
      <c r="AK3549" s="1" t="s">
        <v>46</v>
      </c>
      <c r="AL3549" s="1">
        <v>41</v>
      </c>
    </row>
    <row r="3550" spans="1:38" x14ac:dyDescent="0.2">
      <c r="A3550" s="2" t="str">
        <f>HYPERLINK("https://www.compass.com/listing/20-east-end-avenue-unit-phb-manhattan-ny-10028/29425947576924865/","20 E End Ave, Unit PHB")</f>
        <v>20 E End Ave, Unit PHB</v>
      </c>
      <c r="B3550" s="2" t="str">
        <f t="shared" si="596"/>
        <v>20 E End Ave</v>
      </c>
      <c r="C3550" s="1" t="s">
        <v>82</v>
      </c>
      <c r="D3550" s="1" t="s">
        <v>41</v>
      </c>
      <c r="E3550" s="3">
        <v>26300000</v>
      </c>
      <c r="F3550" s="1">
        <v>4179.9109980928097</v>
      </c>
      <c r="G3550" s="1">
        <v>10</v>
      </c>
      <c r="H3550" s="1">
        <v>5</v>
      </c>
      <c r="I3550" s="1">
        <v>5</v>
      </c>
      <c r="J3550" s="1">
        <v>5.5</v>
      </c>
      <c r="K3550" s="1">
        <v>5</v>
      </c>
      <c r="L3550" s="1">
        <v>1</v>
      </c>
      <c r="M3550" s="4">
        <v>6292</v>
      </c>
      <c r="N3550" s="1">
        <v>8150</v>
      </c>
      <c r="O3550" s="1">
        <v>16863</v>
      </c>
      <c r="P3550" s="1">
        <v>8713</v>
      </c>
      <c r="Q3550" s="1" t="s">
        <v>42</v>
      </c>
      <c r="S3550" s="1" t="s">
        <v>42</v>
      </c>
      <c r="T3550" s="1" t="s">
        <v>273</v>
      </c>
      <c r="U3550" s="1">
        <v>34</v>
      </c>
      <c r="V3550" s="5">
        <v>43648</v>
      </c>
      <c r="W3550" s="5">
        <v>43133</v>
      </c>
      <c r="X3550" s="1">
        <v>27900000</v>
      </c>
      <c r="Y3550" s="1">
        <v>27900000</v>
      </c>
      <c r="Z3550" s="5">
        <v>43167</v>
      </c>
      <c r="AA3550" s="1">
        <v>26300000</v>
      </c>
      <c r="AB3550" s="1" t="s">
        <v>2335</v>
      </c>
      <c r="AC3550" s="5">
        <v>43207</v>
      </c>
      <c r="AF3550" s="1">
        <v>10028</v>
      </c>
      <c r="AI3550" s="1" t="s">
        <v>63</v>
      </c>
      <c r="AJ3550" s="1">
        <v>2017</v>
      </c>
      <c r="AK3550" s="1" t="s">
        <v>46</v>
      </c>
      <c r="AL3550" s="1">
        <v>41</v>
      </c>
    </row>
    <row r="3551" spans="1:38" x14ac:dyDescent="0.2">
      <c r="A3551" s="2" t="str">
        <f>HYPERLINK("https://www.compass.com/listing/30-east-31st-street-unit-6a-manhattan-ny-10016/801631424738210809/","30 E 31st St, Unit 6A")</f>
        <v>30 E 31st St, Unit 6A</v>
      </c>
      <c r="B3551" s="2" t="str">
        <f>HYPERLINK("https://www.compass.com/building/30-east-31st-street-manhattan-ny/281939352542566357/","30 East 31st Street")</f>
        <v>30 East 31st Street</v>
      </c>
      <c r="C3551" s="1" t="s">
        <v>40</v>
      </c>
      <c r="D3551" s="1" t="s">
        <v>41</v>
      </c>
      <c r="E3551" s="3">
        <v>1335000</v>
      </c>
      <c r="F3551" s="1">
        <v>1351.21457489878</v>
      </c>
      <c r="G3551" s="1">
        <v>2</v>
      </c>
      <c r="H3551" s="1">
        <v>1</v>
      </c>
      <c r="I3551" s="1">
        <v>2</v>
      </c>
      <c r="J3551" s="1">
        <v>1.5</v>
      </c>
      <c r="K3551" s="1">
        <v>1</v>
      </c>
      <c r="L3551" s="1">
        <v>1</v>
      </c>
      <c r="M3551" s="1">
        <v>988</v>
      </c>
      <c r="N3551" s="1">
        <v>1335</v>
      </c>
      <c r="O3551" s="1">
        <v>3189</v>
      </c>
      <c r="P3551" s="1">
        <v>1854</v>
      </c>
      <c r="Q3551" s="1" t="s">
        <v>42</v>
      </c>
      <c r="S3551" s="1" t="s">
        <v>42</v>
      </c>
      <c r="T3551" s="1" t="s">
        <v>273</v>
      </c>
      <c r="U3551" s="1">
        <v>69</v>
      </c>
      <c r="V3551" s="5">
        <v>44393</v>
      </c>
      <c r="W3551" s="5">
        <v>44287</v>
      </c>
      <c r="AA3551" s="1">
        <v>1335000</v>
      </c>
      <c r="AB3551" s="1" t="s">
        <v>2336</v>
      </c>
      <c r="AC3551" s="5">
        <v>44356</v>
      </c>
      <c r="AF3551" s="1">
        <v>10016</v>
      </c>
      <c r="AJ3551" s="1">
        <v>2018</v>
      </c>
      <c r="AK3551" s="1" t="s">
        <v>46</v>
      </c>
      <c r="AL3551" s="1">
        <v>42</v>
      </c>
    </row>
    <row r="3552" spans="1:38" x14ac:dyDescent="0.2">
      <c r="A3552" s="2" t="str">
        <f>HYPERLINK("https://www.compass.com/listing/360-east-89th-street-unit-6a-manhattan-ny-10128/483958110491450257/","360 E 89th St, Unit 6A")</f>
        <v>360 E 89th St, Unit 6A</v>
      </c>
      <c r="B3552" s="2" t="str">
        <f>HYPERLINK("https://www.compass.com/building/citizen360-manhattan-ny/282052027553444853/","Citizen360")</f>
        <v>Citizen360</v>
      </c>
      <c r="C3552" s="1" t="s">
        <v>82</v>
      </c>
      <c r="D3552" s="1" t="s">
        <v>41</v>
      </c>
      <c r="E3552" s="3">
        <v>3892465</v>
      </c>
      <c r="F3552" s="1">
        <v>1546.4700039729801</v>
      </c>
      <c r="H3552" s="1">
        <v>1</v>
      </c>
      <c r="J3552" s="1">
        <v>1.5</v>
      </c>
      <c r="K3552" s="1">
        <v>1</v>
      </c>
      <c r="L3552" s="1">
        <v>1</v>
      </c>
      <c r="M3552" s="4">
        <v>2517</v>
      </c>
      <c r="N3552" s="1">
        <v>1034</v>
      </c>
      <c r="O3552" s="1">
        <v>2237</v>
      </c>
      <c r="P3552" s="1">
        <v>1203</v>
      </c>
      <c r="Q3552" s="1" t="s">
        <v>42</v>
      </c>
      <c r="S3552" s="1" t="s">
        <v>42</v>
      </c>
      <c r="T3552" s="1" t="s">
        <v>273</v>
      </c>
      <c r="AA3552" s="1">
        <v>3892465</v>
      </c>
      <c r="AB3552" s="1" t="s">
        <v>2337</v>
      </c>
      <c r="AC3552" s="5">
        <v>43034</v>
      </c>
      <c r="AF3552" s="1">
        <v>10128</v>
      </c>
      <c r="AJ3552" s="1">
        <v>2017</v>
      </c>
      <c r="AK3552" s="1" t="s">
        <v>55</v>
      </c>
      <c r="AL3552" s="1">
        <v>82</v>
      </c>
    </row>
    <row r="3553" spans="1:38" x14ac:dyDescent="0.2">
      <c r="A3553" s="2" t="str">
        <f>HYPERLINK("https://www.compass.com/listing/300-east-64th-street-unit-28c-manhattan-ny-10065/29415750141830945/","300 E 64th St, Unit 28C")</f>
        <v>300 E 64th St, Unit 28C</v>
      </c>
      <c r="B3553" s="2" t="str">
        <f>HYPERLINK("https://www.compass.com/building/300-e-64th-st-manhattan-ny-10065/282038617012979925/","300 E 64th St")</f>
        <v>300 E 64th St</v>
      </c>
      <c r="C3553" s="1" t="s">
        <v>82</v>
      </c>
      <c r="D3553" s="1" t="s">
        <v>41</v>
      </c>
      <c r="E3553" s="3">
        <v>1428050</v>
      </c>
      <c r="F3553" s="1">
        <v>1859.4401041666599</v>
      </c>
      <c r="G3553" s="1">
        <v>3</v>
      </c>
      <c r="H3553" s="1">
        <v>1</v>
      </c>
      <c r="I3553" s="1">
        <v>1</v>
      </c>
      <c r="J3553" s="1">
        <v>1</v>
      </c>
      <c r="M3553" s="1">
        <v>768</v>
      </c>
      <c r="N3553" s="1">
        <v>864</v>
      </c>
      <c r="O3553" s="1">
        <v>2136</v>
      </c>
      <c r="P3553" s="1">
        <v>1272</v>
      </c>
      <c r="Q3553" s="1" t="s">
        <v>42</v>
      </c>
      <c r="S3553" s="1" t="s">
        <v>42</v>
      </c>
      <c r="T3553" s="1" t="s">
        <v>273</v>
      </c>
      <c r="U3553" s="1">
        <v>79</v>
      </c>
      <c r="V3553" s="5">
        <v>43675</v>
      </c>
      <c r="W3553" s="5">
        <v>42571</v>
      </c>
      <c r="X3553" s="1">
        <v>1425000</v>
      </c>
      <c r="Y3553" s="1">
        <v>1400000</v>
      </c>
      <c r="Z3553" s="5">
        <v>42650</v>
      </c>
      <c r="AA3553" s="1">
        <v>1428050</v>
      </c>
      <c r="AB3553" s="1" t="s">
        <v>2338</v>
      </c>
      <c r="AC3553" s="5">
        <v>42669</v>
      </c>
      <c r="AF3553" s="1">
        <v>10065</v>
      </c>
      <c r="AI3553" s="1" t="s">
        <v>83</v>
      </c>
      <c r="AJ3553" s="1">
        <v>1996</v>
      </c>
      <c r="AK3553" s="1" t="s">
        <v>46</v>
      </c>
      <c r="AL3553" s="1">
        <v>103</v>
      </c>
    </row>
    <row r="3554" spans="1:38" x14ac:dyDescent="0.2">
      <c r="A3554" s="2" t="str">
        <f>HYPERLINK("https://www.compass.com/listing/20-east-end-avenue-unit-10a-manhattan-ny-10028/29425942191514065/","20 E End Ave, Unit 10A")</f>
        <v>20 E End Ave, Unit 10A</v>
      </c>
      <c r="B3554" s="2" t="str">
        <f>HYPERLINK("https://www.compass.com/building/20-e-end-ave-manhattan-ny-10028/281985490498985157/","20 E End Ave")</f>
        <v>20 E End Ave</v>
      </c>
      <c r="C3554" s="1" t="s">
        <v>82</v>
      </c>
      <c r="D3554" s="1" t="s">
        <v>41</v>
      </c>
      <c r="E3554" s="3">
        <v>8140000</v>
      </c>
      <c r="F3554" s="1">
        <v>2674.99178442326</v>
      </c>
      <c r="G3554" s="1">
        <v>6</v>
      </c>
      <c r="H3554" s="1">
        <v>4</v>
      </c>
      <c r="I3554" s="1">
        <v>5</v>
      </c>
      <c r="J3554" s="1">
        <v>4.5</v>
      </c>
      <c r="K3554" s="1">
        <v>4</v>
      </c>
      <c r="L3554" s="1">
        <v>1</v>
      </c>
      <c r="M3554" s="4">
        <v>3043</v>
      </c>
      <c r="N3554" s="1">
        <v>3782</v>
      </c>
      <c r="O3554" s="1">
        <v>7825</v>
      </c>
      <c r="P3554" s="1">
        <v>4043</v>
      </c>
      <c r="Q3554" s="1" t="s">
        <v>42</v>
      </c>
      <c r="S3554" s="1" t="s">
        <v>42</v>
      </c>
      <c r="T3554" s="1" t="s">
        <v>273</v>
      </c>
      <c r="U3554" s="1">
        <v>57</v>
      </c>
      <c r="V3554" s="5">
        <v>44288</v>
      </c>
      <c r="W3554" s="5">
        <v>42991</v>
      </c>
      <c r="X3554" s="1">
        <v>8100000</v>
      </c>
      <c r="Y3554" s="1">
        <v>8100000</v>
      </c>
      <c r="AA3554" s="1">
        <v>8140000</v>
      </c>
      <c r="AB3554" s="1" t="s">
        <v>2339</v>
      </c>
      <c r="AC3554" s="5">
        <v>43090</v>
      </c>
      <c r="AF3554" s="1">
        <v>10028</v>
      </c>
      <c r="AI3554" s="1" t="s">
        <v>177</v>
      </c>
      <c r="AJ3554" s="1">
        <v>2017</v>
      </c>
      <c r="AK3554" s="1" t="s">
        <v>46</v>
      </c>
      <c r="AL3554" s="1">
        <v>41</v>
      </c>
    </row>
    <row r="3555" spans="1:38" x14ac:dyDescent="0.2">
      <c r="A3555" s="2" t="str">
        <f>HYPERLINK("https://www.compass.com/listing/300-east-64th-street-unit-15c-manhattan-ny-10065/29507294869886561/","300 E 64th St, Unit 15C")</f>
        <v>300 E 64th St, Unit 15C</v>
      </c>
      <c r="B3555" s="2" t="str">
        <f>HYPERLINK("https://www.compass.com/building/300-e-64th-st-manhattan-ny-10065/282038617012979925/","300 E 64th St")</f>
        <v>300 E 64th St</v>
      </c>
      <c r="C3555" s="1" t="s">
        <v>82</v>
      </c>
      <c r="D3555" s="1" t="s">
        <v>41</v>
      </c>
      <c r="E3555" s="3">
        <v>1570000</v>
      </c>
      <c r="F3555" s="1">
        <v>1608.60655737704</v>
      </c>
      <c r="G3555" s="1">
        <v>4</v>
      </c>
      <c r="H3555" s="1">
        <v>1</v>
      </c>
      <c r="I3555" s="1">
        <v>2</v>
      </c>
      <c r="J3555" s="1">
        <v>2</v>
      </c>
      <c r="M3555" s="1">
        <v>976</v>
      </c>
      <c r="N3555" s="1">
        <v>1098</v>
      </c>
      <c r="O3555" s="1">
        <v>2663</v>
      </c>
      <c r="P3555" s="1">
        <v>1565</v>
      </c>
      <c r="Q3555" s="1" t="s">
        <v>42</v>
      </c>
      <c r="S3555" s="1" t="s">
        <v>42</v>
      </c>
      <c r="T3555" s="1" t="s">
        <v>273</v>
      </c>
      <c r="U3555" s="1">
        <v>50</v>
      </c>
      <c r="V3555" s="5">
        <v>43641</v>
      </c>
      <c r="W3555" s="5">
        <v>43209</v>
      </c>
      <c r="X3555" s="1">
        <v>1625000</v>
      </c>
      <c r="Y3555" s="1">
        <v>1625000</v>
      </c>
      <c r="Z3555" s="5">
        <v>43259</v>
      </c>
      <c r="AA3555" s="1">
        <v>1570000</v>
      </c>
      <c r="AB3555" s="1" t="s">
        <v>2340</v>
      </c>
      <c r="AC3555" s="5">
        <v>43320</v>
      </c>
      <c r="AF3555" s="1">
        <v>10065</v>
      </c>
      <c r="AI3555" s="1" t="s">
        <v>189</v>
      </c>
      <c r="AJ3555" s="1">
        <v>1996</v>
      </c>
      <c r="AK3555" s="1" t="s">
        <v>49</v>
      </c>
      <c r="AL3555" s="1">
        <v>103</v>
      </c>
    </row>
    <row r="3556" spans="1:38" x14ac:dyDescent="0.2">
      <c r="A3556" s="2" t="str">
        <f>HYPERLINK("https://www.compass.com/listing/277-5th-avenue-unit-36b-manhattan-ny-10016/784807513181130473/","277 5th Ave, Unit 36B")</f>
        <v>277 5th Ave, Unit 36B</v>
      </c>
      <c r="B3556" s="2" t="str">
        <f>HYPERLINK("https://www.compass.com/building/277-fifth-avenue-manhattan-ny/281939285475645317/","277 FIFTH AVENUE")</f>
        <v>277 FIFTH AVENUE</v>
      </c>
      <c r="C3556" s="1" t="s">
        <v>40</v>
      </c>
      <c r="D3556" s="1" t="s">
        <v>41</v>
      </c>
      <c r="E3556" s="3">
        <v>3241500</v>
      </c>
      <c r="F3556" s="1">
        <v>2534.40187646598</v>
      </c>
      <c r="G3556" s="1">
        <v>5</v>
      </c>
      <c r="H3556" s="1">
        <v>2</v>
      </c>
      <c r="I3556" s="1">
        <v>2</v>
      </c>
      <c r="J3556" s="1">
        <v>2</v>
      </c>
      <c r="K3556" s="1">
        <v>2</v>
      </c>
      <c r="M3556" s="4">
        <v>1279</v>
      </c>
      <c r="N3556" s="1">
        <v>1841</v>
      </c>
      <c r="O3556" s="1">
        <v>3474</v>
      </c>
      <c r="P3556" s="1">
        <v>1633</v>
      </c>
      <c r="Q3556" s="1" t="s">
        <v>42</v>
      </c>
      <c r="S3556" s="1" t="s">
        <v>42</v>
      </c>
      <c r="T3556" s="1" t="s">
        <v>273</v>
      </c>
      <c r="V3556" s="5">
        <v>44419</v>
      </c>
      <c r="W3556" s="5">
        <v>44334</v>
      </c>
      <c r="X3556" s="1">
        <v>3760000</v>
      </c>
      <c r="Y3556" s="1">
        <v>3760000</v>
      </c>
      <c r="Z3556" s="5">
        <v>44335</v>
      </c>
      <c r="AA3556" s="1">
        <v>3241500</v>
      </c>
      <c r="AB3556" s="1" t="s">
        <v>2341</v>
      </c>
      <c r="AC3556" s="5">
        <v>44371</v>
      </c>
      <c r="AF3556" s="1">
        <v>10016</v>
      </c>
      <c r="AI3556" s="1" t="s">
        <v>118</v>
      </c>
      <c r="AJ3556" s="1">
        <v>2019</v>
      </c>
      <c r="AK3556" s="1" t="s">
        <v>49</v>
      </c>
      <c r="AL3556" s="1">
        <v>130</v>
      </c>
    </row>
    <row r="3557" spans="1:38" x14ac:dyDescent="0.2">
      <c r="A3557" s="2" t="str">
        <f>HYPERLINK("https://www.compass.com/listing/300-east-64th-street-unit-20d-manhattan-ny-10065/29415738565553153/","300 E 64th St, Unit 20D")</f>
        <v>300 E 64th St, Unit 20D</v>
      </c>
      <c r="B3557" s="2" t="str">
        <f t="shared" ref="B3557:B3558" si="597">HYPERLINK("https://www.compass.com/building/300-e-64th-st-manhattan-ny-10065/282038617012979925/","300 E 64th St")</f>
        <v>300 E 64th St</v>
      </c>
      <c r="C3557" s="1" t="s">
        <v>82</v>
      </c>
      <c r="D3557" s="1" t="s">
        <v>41</v>
      </c>
      <c r="E3557" s="3">
        <v>1407729</v>
      </c>
      <c r="F3557" s="1">
        <v>1800.1654475703299</v>
      </c>
      <c r="G3557" s="1">
        <v>3</v>
      </c>
      <c r="H3557" s="1">
        <v>1</v>
      </c>
      <c r="I3557" s="1">
        <v>1</v>
      </c>
      <c r="J3557" s="1">
        <v>1</v>
      </c>
      <c r="M3557" s="1">
        <v>782</v>
      </c>
      <c r="N3557" s="1">
        <v>880</v>
      </c>
      <c r="O3557" s="1">
        <v>2134</v>
      </c>
      <c r="P3557" s="1">
        <v>1254</v>
      </c>
      <c r="Q3557" s="1" t="s">
        <v>42</v>
      </c>
      <c r="S3557" s="1" t="s">
        <v>42</v>
      </c>
      <c r="T3557" s="1" t="s">
        <v>273</v>
      </c>
      <c r="U3557" s="1">
        <v>365</v>
      </c>
      <c r="V3557" s="5">
        <v>42213</v>
      </c>
      <c r="W3557" s="5">
        <v>41844</v>
      </c>
      <c r="X3557" s="1">
        <v>1365000</v>
      </c>
      <c r="Y3557" s="1">
        <v>1405000</v>
      </c>
      <c r="AA3557" s="1">
        <v>1407729.38</v>
      </c>
      <c r="AB3557" s="1" t="s">
        <v>2342</v>
      </c>
      <c r="AC3557" s="5">
        <v>42255</v>
      </c>
      <c r="AF3557" s="1">
        <v>10065</v>
      </c>
      <c r="AI3557" s="1" t="s">
        <v>189</v>
      </c>
      <c r="AJ3557" s="1">
        <v>1996</v>
      </c>
      <c r="AK3557" s="1" t="s">
        <v>46</v>
      </c>
      <c r="AL3557" s="1">
        <v>103</v>
      </c>
    </row>
    <row r="3558" spans="1:38" x14ac:dyDescent="0.2">
      <c r="A3558" s="2" t="str">
        <f>HYPERLINK("https://www.compass.com/listing/300-east-64th-street-unit-23d-manhattan-ny-10065/29415743573497585/","300 E 64th St, Unit 23D")</f>
        <v>300 E 64th St, Unit 23D</v>
      </c>
      <c r="B3558" s="2" t="str">
        <f t="shared" si="597"/>
        <v>300 E 64th St</v>
      </c>
      <c r="C3558" s="1" t="s">
        <v>82</v>
      </c>
      <c r="D3558" s="1" t="s">
        <v>41</v>
      </c>
      <c r="E3558" s="3">
        <v>1425000</v>
      </c>
      <c r="F3558" s="1">
        <v>1822.25063938618</v>
      </c>
      <c r="G3558" s="1">
        <v>3</v>
      </c>
      <c r="H3558" s="1">
        <v>1</v>
      </c>
      <c r="I3558" s="1">
        <v>1</v>
      </c>
      <c r="J3558" s="1">
        <v>1</v>
      </c>
      <c r="M3558" s="1">
        <v>782</v>
      </c>
      <c r="N3558" s="1">
        <v>880</v>
      </c>
      <c r="O3558" s="1">
        <v>2134</v>
      </c>
      <c r="P3558" s="1">
        <v>1254</v>
      </c>
      <c r="Q3558" s="1" t="s">
        <v>42</v>
      </c>
      <c r="S3558" s="1" t="s">
        <v>42</v>
      </c>
      <c r="T3558" s="1" t="s">
        <v>273</v>
      </c>
      <c r="V3558" s="5">
        <v>43651</v>
      </c>
      <c r="W3558" s="5">
        <v>42120</v>
      </c>
      <c r="X3558" s="1">
        <v>1425000</v>
      </c>
      <c r="Y3558" s="1">
        <v>1425000</v>
      </c>
      <c r="Z3558" s="5">
        <v>42120</v>
      </c>
      <c r="AA3558" s="1">
        <v>1425000</v>
      </c>
      <c r="AB3558" s="1" t="s">
        <v>2343</v>
      </c>
      <c r="AC3558" s="5">
        <v>42201</v>
      </c>
      <c r="AF3558" s="1">
        <v>10065</v>
      </c>
      <c r="AI3558" s="1" t="s">
        <v>189</v>
      </c>
      <c r="AJ3558" s="1">
        <v>1996</v>
      </c>
      <c r="AK3558" s="1" t="s">
        <v>49</v>
      </c>
      <c r="AL3558" s="1">
        <v>103</v>
      </c>
    </row>
    <row r="3559" spans="1:38" x14ac:dyDescent="0.2">
      <c r="A3559" s="2" t="str">
        <f>HYPERLINK("https://www.compass.com/listing/20-east-end-avenue-unit-ph-manhattan-ny-10028/271555035064748609/","20 E End Ave, Unit PH")</f>
        <v>20 E End Ave, Unit PH</v>
      </c>
      <c r="B3559" s="2" t="str">
        <f>HYPERLINK("https://www.compass.com/building/20-e-end-ave-manhattan-ny-10028/281985490498985157/","20 E End Ave")</f>
        <v>20 E End Ave</v>
      </c>
      <c r="C3559" s="1" t="s">
        <v>82</v>
      </c>
      <c r="D3559" s="1" t="s">
        <v>41</v>
      </c>
      <c r="E3559" s="3">
        <v>35000000</v>
      </c>
      <c r="F3559" s="1">
        <v>5785.1239669421402</v>
      </c>
      <c r="G3559" s="1">
        <v>11</v>
      </c>
      <c r="H3559" s="1">
        <v>5</v>
      </c>
      <c r="I3559" s="1">
        <v>6</v>
      </c>
      <c r="J3559" s="1">
        <v>5.5</v>
      </c>
      <c r="K3559" s="1">
        <v>5</v>
      </c>
      <c r="L3559" s="1">
        <v>1</v>
      </c>
      <c r="M3559" s="4">
        <v>6050</v>
      </c>
      <c r="N3559" s="1">
        <v>10426</v>
      </c>
      <c r="O3559" s="1">
        <v>23052</v>
      </c>
      <c r="P3559" s="1">
        <v>12626</v>
      </c>
      <c r="Q3559" s="1" t="s">
        <v>42</v>
      </c>
      <c r="S3559" s="1" t="s">
        <v>42</v>
      </c>
      <c r="T3559" s="1" t="s">
        <v>273</v>
      </c>
      <c r="U3559" s="1">
        <v>472</v>
      </c>
      <c r="V3559" s="5">
        <v>44362</v>
      </c>
      <c r="W3559" s="5">
        <v>43626</v>
      </c>
      <c r="X3559" s="1">
        <v>35000000</v>
      </c>
      <c r="Y3559" s="1">
        <v>35000000</v>
      </c>
      <c r="Z3559" s="5">
        <v>44195</v>
      </c>
      <c r="AA3559" s="1">
        <v>35000000</v>
      </c>
      <c r="AB3559" s="1" t="s">
        <v>275</v>
      </c>
      <c r="AC3559" s="5">
        <v>44358</v>
      </c>
      <c r="AF3559" s="1">
        <v>10028</v>
      </c>
      <c r="AI3559" s="1" t="s">
        <v>540</v>
      </c>
      <c r="AJ3559" s="1">
        <v>2017</v>
      </c>
      <c r="AK3559" s="1" t="s">
        <v>46</v>
      </c>
      <c r="AL3559" s="1">
        <v>41</v>
      </c>
    </row>
    <row r="3560" spans="1:38" x14ac:dyDescent="0.2">
      <c r="A3560" s="2" t="str">
        <f>HYPERLINK("https://www.compass.com/listing/30-east-31st-street-unit-8a-manhattan-ny-10016/693508648480238057/","30 E 31st St, Unit 8A")</f>
        <v>30 E 31st St, Unit 8A</v>
      </c>
      <c r="B3560" s="2" t="str">
        <f t="shared" ref="B3560:B3562" si="598">HYPERLINK("https://www.compass.com/building/30-east-31st-street-manhattan-ny/281939352542566357/","30 East 31st Street")</f>
        <v>30 East 31st Street</v>
      </c>
      <c r="C3560" s="1" t="s">
        <v>40</v>
      </c>
      <c r="D3560" s="1" t="s">
        <v>41</v>
      </c>
      <c r="E3560" s="3">
        <v>1390000</v>
      </c>
      <c r="F3560" s="1">
        <v>1435.95041322314</v>
      </c>
      <c r="G3560" s="1">
        <v>3</v>
      </c>
      <c r="H3560" s="1">
        <v>1</v>
      </c>
      <c r="I3560" s="1">
        <v>2</v>
      </c>
      <c r="J3560" s="1">
        <v>1.5</v>
      </c>
      <c r="K3560" s="1">
        <v>1</v>
      </c>
      <c r="L3560" s="1">
        <v>1</v>
      </c>
      <c r="M3560" s="1">
        <v>968</v>
      </c>
      <c r="N3560" s="1">
        <v>1357.83</v>
      </c>
      <c r="O3560" s="1">
        <v>3176.29</v>
      </c>
      <c r="P3560" s="1">
        <v>1818.5</v>
      </c>
      <c r="Q3560" s="1" t="s">
        <v>42</v>
      </c>
      <c r="S3560" s="1" t="s">
        <v>42</v>
      </c>
      <c r="T3560" s="1" t="s">
        <v>273</v>
      </c>
      <c r="V3560" s="5">
        <v>44306</v>
      </c>
      <c r="W3560" s="5">
        <v>44208</v>
      </c>
      <c r="X3560" s="1">
        <v>2050000</v>
      </c>
      <c r="Y3560" s="1">
        <v>2050000</v>
      </c>
      <c r="Z3560" s="5">
        <v>44208</v>
      </c>
      <c r="AA3560" s="1">
        <v>1390000</v>
      </c>
      <c r="AB3560" s="1" t="s">
        <v>2344</v>
      </c>
      <c r="AC3560" s="5">
        <v>44273</v>
      </c>
      <c r="AF3560" s="1">
        <v>10016</v>
      </c>
      <c r="AJ3560" s="1">
        <v>2018</v>
      </c>
      <c r="AK3560" s="1" t="s">
        <v>46</v>
      </c>
      <c r="AL3560" s="1">
        <v>42</v>
      </c>
    </row>
    <row r="3561" spans="1:38" x14ac:dyDescent="0.2">
      <c r="A3561" s="2" t="str">
        <f>HYPERLINK("https://www.compass.com/listing/30-east-31st-street-unit-5b-manhattan-ny-10016/633260897408115017/","30 E 31st St, Unit 5B")</f>
        <v>30 E 31st St, Unit 5B</v>
      </c>
      <c r="B3561" s="2" t="str">
        <f t="shared" si="598"/>
        <v>30 East 31st Street</v>
      </c>
      <c r="C3561" s="1" t="s">
        <v>40</v>
      </c>
      <c r="D3561" s="1" t="s">
        <v>41</v>
      </c>
      <c r="E3561" s="3">
        <v>1175000</v>
      </c>
      <c r="F3561" s="1">
        <v>1356.8129330254001</v>
      </c>
      <c r="G3561" s="1">
        <v>3</v>
      </c>
      <c r="H3561" s="1">
        <v>1</v>
      </c>
      <c r="I3561" s="1">
        <v>1</v>
      </c>
      <c r="J3561" s="1">
        <v>1</v>
      </c>
      <c r="K3561" s="1">
        <v>1</v>
      </c>
      <c r="M3561" s="1">
        <v>866</v>
      </c>
      <c r="N3561" s="1">
        <v>1126</v>
      </c>
      <c r="O3561" s="1">
        <v>2634</v>
      </c>
      <c r="P3561" s="1">
        <v>1508</v>
      </c>
      <c r="Q3561" s="1" t="s">
        <v>42</v>
      </c>
      <c r="S3561" s="1" t="s">
        <v>42</v>
      </c>
      <c r="T3561" s="1" t="s">
        <v>273</v>
      </c>
      <c r="V3561" s="5">
        <v>44324</v>
      </c>
      <c r="W3561" s="5">
        <v>44125</v>
      </c>
      <c r="X3561" s="1">
        <v>1175000</v>
      </c>
      <c r="Y3561" s="1">
        <v>1175000</v>
      </c>
      <c r="Z3561" s="5">
        <v>44125</v>
      </c>
      <c r="AA3561" s="1">
        <v>1175000</v>
      </c>
      <c r="AB3561" s="1" t="s">
        <v>2345</v>
      </c>
      <c r="AC3561" s="5">
        <v>44320</v>
      </c>
      <c r="AF3561" s="1">
        <v>10016</v>
      </c>
      <c r="AJ3561" s="1">
        <v>2018</v>
      </c>
      <c r="AK3561" s="1" t="s">
        <v>46</v>
      </c>
      <c r="AL3561" s="1">
        <v>42</v>
      </c>
    </row>
    <row r="3562" spans="1:38" x14ac:dyDescent="0.2">
      <c r="A3562" s="2" t="str">
        <f>HYPERLINK("https://www.compass.com/listing/30-east-31st-street-unit-5a-manhattan-ny-10016/461101820228740033/","30 E 31st St, Unit 5A")</f>
        <v>30 E 31st St, Unit 5A</v>
      </c>
      <c r="B3562" s="2" t="str">
        <f t="shared" si="598"/>
        <v>30 East 31st Street</v>
      </c>
      <c r="C3562" s="1" t="s">
        <v>40</v>
      </c>
      <c r="D3562" s="1" t="s">
        <v>41</v>
      </c>
      <c r="E3562" s="3">
        <v>1325000</v>
      </c>
      <c r="F3562" s="1">
        <v>1341.0931174089001</v>
      </c>
      <c r="G3562" s="1">
        <v>3</v>
      </c>
      <c r="H3562" s="1">
        <v>1</v>
      </c>
      <c r="I3562" s="1">
        <v>2</v>
      </c>
      <c r="J3562" s="1">
        <v>1.5</v>
      </c>
      <c r="K3562" s="1">
        <v>1</v>
      </c>
      <c r="L3562" s="1">
        <v>1</v>
      </c>
      <c r="M3562" s="1">
        <v>988</v>
      </c>
      <c r="N3562" s="1">
        <v>1308.25</v>
      </c>
      <c r="O3562" s="1">
        <v>3060.31</v>
      </c>
      <c r="P3562" s="1">
        <v>1752.0833333333301</v>
      </c>
      <c r="Q3562" s="1" t="s">
        <v>42</v>
      </c>
      <c r="S3562" s="1" t="s">
        <v>42</v>
      </c>
      <c r="T3562" s="1" t="s">
        <v>273</v>
      </c>
      <c r="U3562" s="1">
        <v>92</v>
      </c>
      <c r="V3562" s="5">
        <v>44258</v>
      </c>
      <c r="W3562" s="5">
        <v>43887</v>
      </c>
      <c r="X3562" s="1">
        <v>1975000</v>
      </c>
      <c r="Y3562" s="1">
        <v>1325000</v>
      </c>
      <c r="Z3562" s="5">
        <v>44149</v>
      </c>
      <c r="AA3562" s="1">
        <v>1325000</v>
      </c>
      <c r="AB3562" s="1" t="s">
        <v>2346</v>
      </c>
      <c r="AC3562" s="5">
        <v>44236</v>
      </c>
      <c r="AF3562" s="1">
        <v>10016</v>
      </c>
      <c r="AJ3562" s="1">
        <v>2018</v>
      </c>
      <c r="AK3562" s="1" t="s">
        <v>46</v>
      </c>
      <c r="AL3562" s="1">
        <v>42</v>
      </c>
    </row>
    <row r="3563" spans="1:38" x14ac:dyDescent="0.2">
      <c r="A3563" s="2" t="str">
        <f>HYPERLINK("https://www.compass.com/listing/277-5th-avenue-unit-30b-manhattan-ny-10016/132398424749291777/","277 5th Ave, Unit 30B")</f>
        <v>277 5th Ave, Unit 30B</v>
      </c>
      <c r="B3563" s="2" t="str">
        <f t="shared" ref="B3563:B3580" si="599">HYPERLINK("https://www.compass.com/building/277-fifth-avenue-manhattan-ny/281939285475645317/","277 FIFTH AVENUE")</f>
        <v>277 FIFTH AVENUE</v>
      </c>
      <c r="C3563" s="1" t="s">
        <v>40</v>
      </c>
      <c r="D3563" s="1" t="s">
        <v>41</v>
      </c>
      <c r="E3563" s="3">
        <v>2316949</v>
      </c>
      <c r="F3563" s="1">
        <v>2732.2511792452801</v>
      </c>
      <c r="G3563" s="1">
        <v>3</v>
      </c>
      <c r="H3563" s="1">
        <v>1</v>
      </c>
      <c r="I3563" s="1">
        <v>1</v>
      </c>
      <c r="J3563" s="1">
        <v>1</v>
      </c>
      <c r="K3563" s="1">
        <v>1</v>
      </c>
      <c r="M3563" s="1">
        <v>848</v>
      </c>
      <c r="N3563" s="1">
        <v>1223</v>
      </c>
      <c r="O3563" s="1">
        <v>2554</v>
      </c>
      <c r="P3563" s="1">
        <v>1331</v>
      </c>
      <c r="Q3563" s="1" t="s">
        <v>42</v>
      </c>
      <c r="S3563" s="1" t="s">
        <v>42</v>
      </c>
      <c r="T3563" s="1" t="s">
        <v>273</v>
      </c>
      <c r="V3563" s="5">
        <v>43729</v>
      </c>
      <c r="W3563" s="5">
        <v>43435</v>
      </c>
      <c r="X3563" s="1">
        <v>2265000</v>
      </c>
      <c r="Y3563" s="1">
        <v>2265000</v>
      </c>
      <c r="Z3563" s="5">
        <v>43435</v>
      </c>
      <c r="AA3563" s="1">
        <v>2316949</v>
      </c>
      <c r="AB3563" s="1" t="s">
        <v>2347</v>
      </c>
      <c r="AC3563" s="5">
        <v>43533</v>
      </c>
      <c r="AF3563" s="1">
        <v>10016</v>
      </c>
      <c r="AI3563" s="1" t="s">
        <v>118</v>
      </c>
      <c r="AJ3563" s="1">
        <v>2019</v>
      </c>
      <c r="AK3563" s="1" t="s">
        <v>46</v>
      </c>
      <c r="AL3563" s="1">
        <v>130</v>
      </c>
    </row>
    <row r="3564" spans="1:38" x14ac:dyDescent="0.2">
      <c r="A3564" s="2" t="str">
        <f>HYPERLINK("https://www.compass.com/listing/277-5th-avenue-unit-24b-manhattan-ny-10016/139842096809908097/","277 5th Ave, Unit 24B")</f>
        <v>277 5th Ave, Unit 24B</v>
      </c>
      <c r="B3564" s="2" t="str">
        <f t="shared" si="599"/>
        <v>277 FIFTH AVENUE</v>
      </c>
      <c r="C3564" s="1" t="s">
        <v>40</v>
      </c>
      <c r="D3564" s="1" t="s">
        <v>41</v>
      </c>
      <c r="E3564" s="3">
        <v>2095000</v>
      </c>
      <c r="F3564" s="1">
        <v>2470.5188679245198</v>
      </c>
      <c r="G3564" s="1">
        <v>3</v>
      </c>
      <c r="H3564" s="1">
        <v>1</v>
      </c>
      <c r="I3564" s="1">
        <v>1</v>
      </c>
      <c r="J3564" s="1">
        <v>1</v>
      </c>
      <c r="K3564" s="1">
        <v>1</v>
      </c>
      <c r="M3564" s="1">
        <v>848</v>
      </c>
      <c r="N3564" s="1">
        <v>1223</v>
      </c>
      <c r="O3564" s="1">
        <v>2554</v>
      </c>
      <c r="P3564" s="1">
        <v>1331</v>
      </c>
      <c r="Q3564" s="1" t="s">
        <v>42</v>
      </c>
      <c r="S3564" s="1" t="s">
        <v>42</v>
      </c>
      <c r="T3564" s="1" t="s">
        <v>273</v>
      </c>
      <c r="V3564" s="5">
        <v>43662</v>
      </c>
      <c r="W3564" s="5">
        <v>43445</v>
      </c>
      <c r="X3564" s="1">
        <v>2145000</v>
      </c>
      <c r="Y3564" s="1">
        <v>2145000</v>
      </c>
      <c r="Z3564" s="5">
        <v>43445</v>
      </c>
      <c r="AA3564" s="1">
        <v>2095000</v>
      </c>
      <c r="AB3564" s="1" t="s">
        <v>2348</v>
      </c>
      <c r="AC3564" s="5">
        <v>43586</v>
      </c>
      <c r="AF3564" s="1">
        <v>10016</v>
      </c>
      <c r="AI3564" s="1" t="s">
        <v>118</v>
      </c>
      <c r="AJ3564" s="1">
        <v>2019</v>
      </c>
      <c r="AK3564" s="1" t="s">
        <v>46</v>
      </c>
      <c r="AL3564" s="1">
        <v>130</v>
      </c>
    </row>
    <row r="3565" spans="1:38" x14ac:dyDescent="0.2">
      <c r="A3565" s="2" t="str">
        <f>HYPERLINK("https://www.compass.com/listing/277-5th-avenue-unit-23b-manhattan-ny-10016/161556130177265953/","277 5th Ave, Unit 23B")</f>
        <v>277 5th Ave, Unit 23B</v>
      </c>
      <c r="B3565" s="2" t="str">
        <f t="shared" si="599"/>
        <v>277 FIFTH AVENUE</v>
      </c>
      <c r="C3565" s="1" t="s">
        <v>40</v>
      </c>
      <c r="D3565" s="1" t="s">
        <v>41</v>
      </c>
      <c r="E3565" s="3">
        <v>1999999</v>
      </c>
      <c r="F3565" s="1">
        <v>2358.4893867924502</v>
      </c>
      <c r="G3565" s="1">
        <v>3</v>
      </c>
      <c r="H3565" s="1">
        <v>1</v>
      </c>
      <c r="I3565" s="1">
        <v>1</v>
      </c>
      <c r="J3565" s="1">
        <v>1</v>
      </c>
      <c r="K3565" s="1">
        <v>1</v>
      </c>
      <c r="M3565" s="1">
        <v>848</v>
      </c>
      <c r="N3565" s="1">
        <v>1223</v>
      </c>
      <c r="O3565" s="1">
        <v>2554</v>
      </c>
      <c r="P3565" s="1">
        <v>1331</v>
      </c>
      <c r="Q3565" s="1" t="s">
        <v>42</v>
      </c>
      <c r="S3565" s="1" t="s">
        <v>42</v>
      </c>
      <c r="T3565" s="1" t="s">
        <v>273</v>
      </c>
      <c r="U3565" s="1">
        <v>96</v>
      </c>
      <c r="V3565" s="5">
        <v>43696</v>
      </c>
      <c r="W3565" s="5">
        <v>43476</v>
      </c>
      <c r="X3565" s="1">
        <v>2125000</v>
      </c>
      <c r="Y3565" s="1">
        <v>2155000</v>
      </c>
      <c r="Z3565" s="5">
        <v>43672</v>
      </c>
      <c r="AA3565" s="1">
        <v>1999999</v>
      </c>
      <c r="AB3565" s="1" t="s">
        <v>2349</v>
      </c>
      <c r="AC3565" s="5">
        <v>43686</v>
      </c>
      <c r="AF3565" s="1">
        <v>10016</v>
      </c>
      <c r="AI3565" s="1" t="s">
        <v>118</v>
      </c>
      <c r="AJ3565" s="1">
        <v>2019</v>
      </c>
      <c r="AK3565" s="1" t="s">
        <v>49</v>
      </c>
      <c r="AL3565" s="1">
        <v>130</v>
      </c>
    </row>
    <row r="3566" spans="1:38" x14ac:dyDescent="0.2">
      <c r="A3566" s="2" t="str">
        <f>HYPERLINK("https://www.compass.com/listing/277-5th-avenue-unit-20b-manhattan-ny-10016/231180551246068929/","277 5th Ave, Unit 20B")</f>
        <v>277 5th Ave, Unit 20B</v>
      </c>
      <c r="B3566" s="2" t="str">
        <f t="shared" si="599"/>
        <v>277 FIFTH AVENUE</v>
      </c>
      <c r="C3566" s="1" t="s">
        <v>40</v>
      </c>
      <c r="D3566" s="1" t="s">
        <v>41</v>
      </c>
      <c r="E3566" s="3">
        <v>1895000</v>
      </c>
      <c r="F3566" s="1">
        <v>2234.6698113207499</v>
      </c>
      <c r="G3566" s="1">
        <v>3</v>
      </c>
      <c r="H3566" s="1">
        <v>1</v>
      </c>
      <c r="I3566" s="1">
        <v>1</v>
      </c>
      <c r="J3566" s="1">
        <v>1</v>
      </c>
      <c r="K3566" s="1">
        <v>1</v>
      </c>
      <c r="M3566" s="1">
        <v>848</v>
      </c>
      <c r="N3566" s="1">
        <v>1223</v>
      </c>
      <c r="O3566" s="1">
        <v>2554</v>
      </c>
      <c r="P3566" s="1">
        <v>1331</v>
      </c>
      <c r="Q3566" s="1" t="s">
        <v>42</v>
      </c>
      <c r="S3566" s="1" t="s">
        <v>42</v>
      </c>
      <c r="T3566" s="1" t="s">
        <v>273</v>
      </c>
      <c r="U3566" s="1">
        <v>130</v>
      </c>
      <c r="V3566" s="5">
        <v>43809</v>
      </c>
      <c r="W3566" s="5">
        <v>43570</v>
      </c>
      <c r="X3566" s="1">
        <v>2070000</v>
      </c>
      <c r="Y3566" s="1">
        <v>2070000</v>
      </c>
      <c r="Z3566" s="5">
        <v>43770</v>
      </c>
      <c r="AA3566" s="1">
        <v>1895000</v>
      </c>
      <c r="AB3566" s="1" t="s">
        <v>2350</v>
      </c>
      <c r="AC3566" s="5">
        <v>43781</v>
      </c>
      <c r="AF3566" s="1">
        <v>10016</v>
      </c>
      <c r="AI3566" s="1" t="s">
        <v>48</v>
      </c>
      <c r="AJ3566" s="1">
        <v>2019</v>
      </c>
      <c r="AK3566" s="1" t="s">
        <v>49</v>
      </c>
      <c r="AL3566" s="1">
        <v>130</v>
      </c>
    </row>
    <row r="3567" spans="1:38" x14ac:dyDescent="0.2">
      <c r="A3567" s="2" t="str">
        <f>HYPERLINK("https://www.compass.com/listing/277-5th-avenue-unit-12b-manhattan-ny-10016/23228792935878657/","277 5th Ave, Unit 12B")</f>
        <v>277 5th Ave, Unit 12B</v>
      </c>
      <c r="B3567" s="2" t="str">
        <f t="shared" si="599"/>
        <v>277 FIFTH AVENUE</v>
      </c>
      <c r="C3567" s="1" t="s">
        <v>40</v>
      </c>
      <c r="D3567" s="1" t="s">
        <v>41</v>
      </c>
      <c r="E3567" s="3">
        <v>1700000</v>
      </c>
      <c r="F3567" s="1">
        <v>2004.71698113207</v>
      </c>
      <c r="G3567" s="1">
        <v>3</v>
      </c>
      <c r="H3567" s="1">
        <v>1</v>
      </c>
      <c r="I3567" s="1">
        <v>1</v>
      </c>
      <c r="J3567" s="1">
        <v>1</v>
      </c>
      <c r="K3567" s="1">
        <v>1</v>
      </c>
      <c r="M3567" s="1">
        <v>848</v>
      </c>
      <c r="N3567" s="1">
        <v>1223</v>
      </c>
      <c r="O3567" s="1">
        <v>2554</v>
      </c>
      <c r="P3567" s="1">
        <v>1331</v>
      </c>
      <c r="Q3567" s="1" t="s">
        <v>42</v>
      </c>
      <c r="S3567" s="1" t="s">
        <v>42</v>
      </c>
      <c r="T3567" s="1" t="s">
        <v>273</v>
      </c>
      <c r="U3567" s="1">
        <v>77</v>
      </c>
      <c r="V3567" s="5">
        <v>43774</v>
      </c>
      <c r="W3567" s="5">
        <v>43684</v>
      </c>
      <c r="X3567" s="1">
        <v>1795000</v>
      </c>
      <c r="Y3567" s="1">
        <v>1795000</v>
      </c>
      <c r="Z3567" s="5">
        <v>43761</v>
      </c>
      <c r="AA3567" s="1">
        <v>1700000</v>
      </c>
      <c r="AB3567" s="1" t="s">
        <v>2351</v>
      </c>
      <c r="AC3567" s="5">
        <v>43766</v>
      </c>
      <c r="AF3567" s="1">
        <v>10016</v>
      </c>
      <c r="AI3567" s="1" t="s">
        <v>48</v>
      </c>
      <c r="AJ3567" s="1">
        <v>2019</v>
      </c>
      <c r="AK3567" s="1" t="s">
        <v>46</v>
      </c>
      <c r="AL3567" s="1">
        <v>130</v>
      </c>
    </row>
    <row r="3568" spans="1:38" x14ac:dyDescent="0.2">
      <c r="A3568" s="2" t="str">
        <f>HYPERLINK("https://www.compass.com/listing/277-5th-avenue-unit-29c-manhattan-ny-10016/274558843453752177/","277 5th Ave, Unit 29C")</f>
        <v>277 5th Ave, Unit 29C</v>
      </c>
      <c r="B3568" s="2" t="str">
        <f t="shared" si="599"/>
        <v>277 FIFTH AVENUE</v>
      </c>
      <c r="C3568" s="1" t="s">
        <v>40</v>
      </c>
      <c r="D3568" s="1" t="s">
        <v>41</v>
      </c>
      <c r="E3568" s="3">
        <v>2120362</v>
      </c>
      <c r="F3568" s="1">
        <v>2560.8241183574801</v>
      </c>
      <c r="G3568" s="1">
        <v>3</v>
      </c>
      <c r="H3568" s="1">
        <v>1</v>
      </c>
      <c r="I3568" s="1">
        <v>1</v>
      </c>
      <c r="J3568" s="1">
        <v>1</v>
      </c>
      <c r="K3568" s="1">
        <v>1</v>
      </c>
      <c r="M3568" s="1">
        <v>828</v>
      </c>
      <c r="N3568" s="1">
        <v>1194</v>
      </c>
      <c r="O3568" s="1">
        <v>2493</v>
      </c>
      <c r="P3568" s="1">
        <v>1299</v>
      </c>
      <c r="Q3568" s="1" t="s">
        <v>42</v>
      </c>
      <c r="S3568" s="1" t="s">
        <v>42</v>
      </c>
      <c r="T3568" s="1" t="s">
        <v>273</v>
      </c>
      <c r="V3568" s="5">
        <v>43631</v>
      </c>
      <c r="W3568" s="5">
        <v>43530</v>
      </c>
      <c r="Y3568" s="1">
        <v>2225000</v>
      </c>
      <c r="Z3568" s="5">
        <v>43531</v>
      </c>
      <c r="AA3568" s="1">
        <v>2120362.37</v>
      </c>
      <c r="AB3568" s="1" t="s">
        <v>2352</v>
      </c>
      <c r="AC3568" s="5">
        <v>43587</v>
      </c>
      <c r="AF3568" s="1">
        <v>10016</v>
      </c>
      <c r="AI3568" s="1" t="s">
        <v>118</v>
      </c>
      <c r="AJ3568" s="1">
        <v>2019</v>
      </c>
      <c r="AK3568" s="1" t="s">
        <v>46</v>
      </c>
      <c r="AL3568" s="1">
        <v>130</v>
      </c>
    </row>
    <row r="3569" spans="1:38" x14ac:dyDescent="0.2">
      <c r="A3569" s="2" t="str">
        <f>HYPERLINK("https://www.compass.com/listing/277-5th-avenue-unit-27b-manhattan-ny-10016/274558856103726689/","277 5th Ave, Unit 27B")</f>
        <v>277 5th Ave, Unit 27B</v>
      </c>
      <c r="B3569" s="2" t="str">
        <f t="shared" si="599"/>
        <v>277 FIFTH AVENUE</v>
      </c>
      <c r="C3569" s="1" t="s">
        <v>40</v>
      </c>
      <c r="D3569" s="1" t="s">
        <v>41</v>
      </c>
      <c r="E3569" s="3">
        <v>2160613</v>
      </c>
      <c r="F3569" s="1">
        <v>2547.8922995283001</v>
      </c>
      <c r="G3569" s="1">
        <v>3</v>
      </c>
      <c r="H3569" s="1">
        <v>1</v>
      </c>
      <c r="I3569" s="1">
        <v>1</v>
      </c>
      <c r="J3569" s="1">
        <v>1</v>
      </c>
      <c r="K3569" s="1">
        <v>1</v>
      </c>
      <c r="M3569" s="1">
        <v>848</v>
      </c>
      <c r="N3569" s="1">
        <v>1223</v>
      </c>
      <c r="O3569" s="1">
        <v>2554</v>
      </c>
      <c r="P3569" s="1">
        <v>1331</v>
      </c>
      <c r="Q3569" s="1" t="s">
        <v>42</v>
      </c>
      <c r="S3569" s="1" t="s">
        <v>42</v>
      </c>
      <c r="T3569" s="1" t="s">
        <v>273</v>
      </c>
      <c r="U3569" s="1">
        <v>14</v>
      </c>
      <c r="V3569" s="5">
        <v>43631</v>
      </c>
      <c r="W3569" s="5">
        <v>43279</v>
      </c>
      <c r="X3569" s="1">
        <v>2205000</v>
      </c>
      <c r="Y3569" s="1">
        <v>2205000</v>
      </c>
      <c r="Z3569" s="5">
        <v>43294</v>
      </c>
      <c r="AA3569" s="1">
        <v>2160612.67</v>
      </c>
      <c r="AB3569" s="1" t="s">
        <v>2353</v>
      </c>
      <c r="AC3569" s="5">
        <v>43565</v>
      </c>
      <c r="AF3569" s="1">
        <v>10016</v>
      </c>
      <c r="AI3569" s="1" t="s">
        <v>118</v>
      </c>
      <c r="AJ3569" s="1">
        <v>2019</v>
      </c>
      <c r="AK3569" s="1" t="s">
        <v>46</v>
      </c>
      <c r="AL3569" s="1">
        <v>130</v>
      </c>
    </row>
    <row r="3570" spans="1:38" x14ac:dyDescent="0.2">
      <c r="A3570" s="2" t="str">
        <f>HYPERLINK("https://www.compass.com/listing/277-5th-avenue-unit-16b-manhattan-ny-10016/29336567738918209/","277 5th Ave, Unit 16B")</f>
        <v>277 5th Ave, Unit 16B</v>
      </c>
      <c r="B3570" s="2" t="str">
        <f t="shared" si="599"/>
        <v>277 FIFTH AVENUE</v>
      </c>
      <c r="C3570" s="1" t="s">
        <v>40</v>
      </c>
      <c r="D3570" s="1" t="s">
        <v>41</v>
      </c>
      <c r="E3570" s="3">
        <v>1790613</v>
      </c>
      <c r="F3570" s="1">
        <v>2111.5715448113201</v>
      </c>
      <c r="G3570" s="1">
        <v>3</v>
      </c>
      <c r="H3570" s="1">
        <v>1</v>
      </c>
      <c r="I3570" s="1">
        <v>1</v>
      </c>
      <c r="J3570" s="1">
        <v>1</v>
      </c>
      <c r="K3570" s="1">
        <v>1</v>
      </c>
      <c r="M3570" s="1">
        <v>848</v>
      </c>
      <c r="N3570" s="1">
        <v>1223</v>
      </c>
      <c r="O3570" s="1">
        <v>2553</v>
      </c>
      <c r="P3570" s="1">
        <v>1330</v>
      </c>
      <c r="Q3570" s="1" t="s">
        <v>42</v>
      </c>
      <c r="S3570" s="1" t="s">
        <v>42</v>
      </c>
      <c r="T3570" s="1" t="s">
        <v>273</v>
      </c>
      <c r="U3570" s="1">
        <v>34</v>
      </c>
      <c r="V3570" s="5">
        <v>43707</v>
      </c>
      <c r="W3570" s="5">
        <v>43243</v>
      </c>
      <c r="X3570" s="1">
        <v>1965000</v>
      </c>
      <c r="Y3570" s="1">
        <v>1965000</v>
      </c>
      <c r="AA3570" s="1">
        <v>1790612.67</v>
      </c>
      <c r="AB3570" s="1" t="s">
        <v>2354</v>
      </c>
      <c r="AC3570" s="5">
        <v>43622</v>
      </c>
      <c r="AF3570" s="1">
        <v>10016</v>
      </c>
      <c r="AI3570" s="1" t="s">
        <v>118</v>
      </c>
      <c r="AJ3570" s="1">
        <v>2019</v>
      </c>
      <c r="AK3570" s="1" t="s">
        <v>46</v>
      </c>
      <c r="AL3570" s="1">
        <v>130</v>
      </c>
    </row>
    <row r="3571" spans="1:38" x14ac:dyDescent="0.2">
      <c r="A3571" s="2" t="str">
        <f>HYPERLINK("https://www.compass.com/listing/277-5th-avenue-unit-25b-manhattan-ny-10016/29514468094416001/","277 5th Ave, Unit 25B")</f>
        <v>277 5th Ave, Unit 25B</v>
      </c>
      <c r="B3571" s="2" t="str">
        <f t="shared" si="599"/>
        <v>277 FIFTH AVENUE</v>
      </c>
      <c r="C3571" s="1" t="s">
        <v>40</v>
      </c>
      <c r="D3571" s="1" t="s">
        <v>41</v>
      </c>
      <c r="E3571" s="3">
        <v>2037750</v>
      </c>
      <c r="F3571" s="1">
        <v>2403.0070754716899</v>
      </c>
      <c r="G3571" s="1">
        <v>3</v>
      </c>
      <c r="H3571" s="1">
        <v>1</v>
      </c>
      <c r="I3571" s="1">
        <v>1</v>
      </c>
      <c r="J3571" s="1">
        <v>1</v>
      </c>
      <c r="K3571" s="1">
        <v>1</v>
      </c>
      <c r="M3571" s="1">
        <v>848</v>
      </c>
      <c r="N3571" s="1">
        <v>1223</v>
      </c>
      <c r="O3571" s="1">
        <v>2554</v>
      </c>
      <c r="P3571" s="1">
        <v>1331</v>
      </c>
      <c r="Q3571" s="1" t="s">
        <v>42</v>
      </c>
      <c r="S3571" s="1" t="s">
        <v>42</v>
      </c>
      <c r="T3571" s="1" t="s">
        <v>273</v>
      </c>
      <c r="V3571" s="5">
        <v>43648</v>
      </c>
      <c r="W3571" s="5">
        <v>43259</v>
      </c>
      <c r="X3571" s="1">
        <v>2145000</v>
      </c>
      <c r="Y3571" s="1">
        <v>2145000</v>
      </c>
      <c r="Z3571" s="5">
        <v>43259</v>
      </c>
      <c r="AA3571" s="1">
        <v>2037750</v>
      </c>
      <c r="AB3571" s="1" t="s">
        <v>2355</v>
      </c>
      <c r="AC3571" s="5">
        <v>43545</v>
      </c>
      <c r="AF3571" s="1">
        <v>10016</v>
      </c>
      <c r="AI3571" s="1" t="s">
        <v>118</v>
      </c>
      <c r="AJ3571" s="1">
        <v>2019</v>
      </c>
      <c r="AK3571" s="1" t="s">
        <v>46</v>
      </c>
      <c r="AL3571" s="1">
        <v>130</v>
      </c>
    </row>
    <row r="3572" spans="1:38" x14ac:dyDescent="0.2">
      <c r="A3572" s="2" t="str">
        <f>HYPERLINK("https://www.compass.com/listing/277-5th-avenue-unit-25c-manhattan-ny-10016/29514471022040305/","277 5th Ave, Unit 25C")</f>
        <v>277 5th Ave, Unit 25C</v>
      </c>
      <c r="B3572" s="2" t="str">
        <f t="shared" si="599"/>
        <v>277 FIFTH AVENUE</v>
      </c>
      <c r="C3572" s="1" t="s">
        <v>40</v>
      </c>
      <c r="D3572" s="1" t="s">
        <v>41</v>
      </c>
      <c r="E3572" s="3">
        <v>2037750</v>
      </c>
      <c r="F3572" s="1">
        <v>2461.0507246376801</v>
      </c>
      <c r="G3572" s="1">
        <v>3</v>
      </c>
      <c r="H3572" s="1">
        <v>1</v>
      </c>
      <c r="I3572" s="1">
        <v>1</v>
      </c>
      <c r="J3572" s="1">
        <v>1</v>
      </c>
      <c r="K3572" s="1">
        <v>1</v>
      </c>
      <c r="M3572" s="1">
        <v>828</v>
      </c>
      <c r="N3572" s="1">
        <v>1194</v>
      </c>
      <c r="O3572" s="1">
        <v>2493</v>
      </c>
      <c r="P3572" s="1">
        <v>1299</v>
      </c>
      <c r="Q3572" s="1" t="s">
        <v>42</v>
      </c>
      <c r="S3572" s="1" t="s">
        <v>42</v>
      </c>
      <c r="T3572" s="1" t="s">
        <v>273</v>
      </c>
      <c r="V3572" s="5">
        <v>43648</v>
      </c>
      <c r="W3572" s="5">
        <v>43287</v>
      </c>
      <c r="X3572" s="1">
        <v>2145000</v>
      </c>
      <c r="Y3572" s="1">
        <v>2145000</v>
      </c>
      <c r="Z3572" s="5">
        <v>43287</v>
      </c>
      <c r="AA3572" s="1">
        <v>2037750</v>
      </c>
      <c r="AB3572" s="1" t="s">
        <v>2356</v>
      </c>
      <c r="AC3572" s="5">
        <v>43545</v>
      </c>
      <c r="AF3572" s="1">
        <v>10016</v>
      </c>
      <c r="AI3572" s="1" t="s">
        <v>118</v>
      </c>
      <c r="AJ3572" s="1">
        <v>2019</v>
      </c>
      <c r="AK3572" s="1" t="s">
        <v>46</v>
      </c>
      <c r="AL3572" s="1">
        <v>130</v>
      </c>
    </row>
    <row r="3573" spans="1:38" x14ac:dyDescent="0.2">
      <c r="A3573" s="2" t="str">
        <f>HYPERLINK("https://www.compass.com/listing/277-5th-avenue-unit-15c-manhattan-ny-10016/29514472372648273/","277 5th Ave, Unit 15C")</f>
        <v>277 5th Ave, Unit 15C</v>
      </c>
      <c r="B3573" s="2" t="str">
        <f t="shared" si="599"/>
        <v>277 FIFTH AVENUE</v>
      </c>
      <c r="C3573" s="1" t="s">
        <v>40</v>
      </c>
      <c r="D3573" s="1" t="s">
        <v>41</v>
      </c>
      <c r="E3573" s="3">
        <v>1759362</v>
      </c>
      <c r="F3573" s="1">
        <v>2124.8337801932298</v>
      </c>
      <c r="G3573" s="1">
        <v>3</v>
      </c>
      <c r="H3573" s="1">
        <v>1</v>
      </c>
      <c r="I3573" s="1">
        <v>1</v>
      </c>
      <c r="J3573" s="1">
        <v>1</v>
      </c>
      <c r="K3573" s="1">
        <v>1</v>
      </c>
      <c r="M3573" s="1">
        <v>828</v>
      </c>
      <c r="N3573" s="1">
        <v>1193</v>
      </c>
      <c r="O3573" s="1">
        <v>2492</v>
      </c>
      <c r="P3573" s="1">
        <v>1299</v>
      </c>
      <c r="Q3573" s="1" t="s">
        <v>42</v>
      </c>
      <c r="S3573" s="1" t="s">
        <v>42</v>
      </c>
      <c r="T3573" s="1" t="s">
        <v>273</v>
      </c>
      <c r="U3573" s="1">
        <v>91</v>
      </c>
      <c r="V3573" s="5">
        <v>43707</v>
      </c>
      <c r="W3573" s="5">
        <v>43280</v>
      </c>
      <c r="X3573" s="1">
        <v>1799000</v>
      </c>
      <c r="Y3573" s="1">
        <v>1799000</v>
      </c>
      <c r="AA3573" s="1">
        <v>1759362.37</v>
      </c>
      <c r="AB3573" s="1" t="s">
        <v>2357</v>
      </c>
      <c r="AC3573" s="5">
        <v>43690</v>
      </c>
      <c r="AF3573" s="1">
        <v>10016</v>
      </c>
      <c r="AI3573" s="1" t="s">
        <v>118</v>
      </c>
      <c r="AJ3573" s="1">
        <v>2019</v>
      </c>
      <c r="AK3573" s="1" t="s">
        <v>46</v>
      </c>
      <c r="AL3573" s="1">
        <v>130</v>
      </c>
    </row>
    <row r="3574" spans="1:38" x14ac:dyDescent="0.2">
      <c r="A3574" s="2" t="str">
        <f>HYPERLINK("https://www.compass.com/listing/277-5th-avenue-unit-14c-manhattan-ny-10016/29514473463167361/","277 5th Ave, Unit 14C")</f>
        <v>277 5th Ave, Unit 14C</v>
      </c>
      <c r="B3574" s="2" t="str">
        <f t="shared" si="599"/>
        <v>277 FIFTH AVENUE</v>
      </c>
      <c r="C3574" s="1" t="s">
        <v>40</v>
      </c>
      <c r="D3574" s="1" t="s">
        <v>41</v>
      </c>
      <c r="E3574" s="3">
        <v>1935362</v>
      </c>
      <c r="F3574" s="1">
        <v>2337.3937198067601</v>
      </c>
      <c r="G3574" s="1">
        <v>3</v>
      </c>
      <c r="H3574" s="1">
        <v>1</v>
      </c>
      <c r="I3574" s="1">
        <v>1</v>
      </c>
      <c r="J3574" s="1">
        <v>1</v>
      </c>
      <c r="K3574" s="1">
        <v>1</v>
      </c>
      <c r="M3574" s="1">
        <v>828</v>
      </c>
      <c r="N3574" s="1">
        <v>1194</v>
      </c>
      <c r="O3574" s="1">
        <v>2493</v>
      </c>
      <c r="P3574" s="1">
        <v>1299</v>
      </c>
      <c r="Q3574" s="1" t="s">
        <v>42</v>
      </c>
      <c r="S3574" s="1" t="s">
        <v>42</v>
      </c>
      <c r="T3574" s="1" t="s">
        <v>273</v>
      </c>
      <c r="U3574" s="1">
        <v>6</v>
      </c>
      <c r="V3574" s="5">
        <v>43648</v>
      </c>
      <c r="W3574" s="5">
        <v>43225</v>
      </c>
      <c r="X3574" s="1">
        <v>1925000</v>
      </c>
      <c r="Y3574" s="1">
        <v>1925000</v>
      </c>
      <c r="Z3574" s="5">
        <v>43231</v>
      </c>
      <c r="AA3574" s="1">
        <v>1935362</v>
      </c>
      <c r="AB3574" s="1" t="s">
        <v>2358</v>
      </c>
      <c r="AC3574" s="5">
        <v>43547</v>
      </c>
      <c r="AF3574" s="1">
        <v>10016</v>
      </c>
      <c r="AI3574" s="1" t="s">
        <v>118</v>
      </c>
      <c r="AJ3574" s="1">
        <v>2019</v>
      </c>
      <c r="AK3574" s="1" t="s">
        <v>46</v>
      </c>
      <c r="AL3574" s="1">
        <v>130</v>
      </c>
    </row>
    <row r="3575" spans="1:38" x14ac:dyDescent="0.2">
      <c r="A3575" s="2" t="str">
        <f>HYPERLINK("https://www.compass.com/listing/277-5th-avenue-unit-29b-manhattan-ny-10016/29514476533398017/","277 5th Ave, Unit 29B")</f>
        <v>277 5th Ave, Unit 29B</v>
      </c>
      <c r="B3575" s="2" t="str">
        <f t="shared" si="599"/>
        <v>277 FIFTH AVENUE</v>
      </c>
      <c r="C3575" s="1" t="s">
        <v>40</v>
      </c>
      <c r="D3575" s="1" t="s">
        <v>41</v>
      </c>
      <c r="E3575" s="3">
        <v>2255613</v>
      </c>
      <c r="F3575" s="1">
        <v>2659.92099056603</v>
      </c>
      <c r="G3575" s="1">
        <v>3</v>
      </c>
      <c r="H3575" s="1">
        <v>1</v>
      </c>
      <c r="I3575" s="1">
        <v>1</v>
      </c>
      <c r="J3575" s="1">
        <v>1</v>
      </c>
      <c r="K3575" s="1">
        <v>1</v>
      </c>
      <c r="M3575" s="1">
        <v>848</v>
      </c>
      <c r="N3575" s="1">
        <v>1223</v>
      </c>
      <c r="O3575" s="1">
        <v>2554</v>
      </c>
      <c r="P3575" s="1">
        <v>1331</v>
      </c>
      <c r="Q3575" s="1" t="s">
        <v>42</v>
      </c>
      <c r="S3575" s="1" t="s">
        <v>42</v>
      </c>
      <c r="T3575" s="1" t="s">
        <v>273</v>
      </c>
      <c r="U3575" s="1">
        <v>4</v>
      </c>
      <c r="V3575" s="5">
        <v>43648</v>
      </c>
      <c r="W3575" s="5">
        <v>43231</v>
      </c>
      <c r="X3575" s="1">
        <v>2245000</v>
      </c>
      <c r="Y3575" s="1">
        <v>2245000</v>
      </c>
      <c r="Z3575" s="5">
        <v>43235</v>
      </c>
      <c r="AA3575" s="1">
        <v>2255613</v>
      </c>
      <c r="AB3575" s="1" t="s">
        <v>2359</v>
      </c>
      <c r="AC3575" s="5">
        <v>43536</v>
      </c>
      <c r="AF3575" s="1">
        <v>10016</v>
      </c>
      <c r="AI3575" s="1" t="s">
        <v>118</v>
      </c>
      <c r="AJ3575" s="1">
        <v>2019</v>
      </c>
      <c r="AK3575" s="1" t="s">
        <v>46</v>
      </c>
      <c r="AL3575" s="1">
        <v>130</v>
      </c>
    </row>
    <row r="3576" spans="1:38" x14ac:dyDescent="0.2">
      <c r="A3576" s="2" t="str">
        <f>HYPERLINK("https://www.compass.com/listing/277-5th-avenue-unit-17b-manhattan-ny-10016/30363541009638129/","277 5th Ave, Unit 17B")</f>
        <v>277 5th Ave, Unit 17B</v>
      </c>
      <c r="B3576" s="2" t="str">
        <f t="shared" si="599"/>
        <v>277 FIFTH AVENUE</v>
      </c>
      <c r="C3576" s="1" t="s">
        <v>40</v>
      </c>
      <c r="D3576" s="1" t="s">
        <v>41</v>
      </c>
      <c r="E3576" s="3">
        <v>1835613</v>
      </c>
      <c r="F3576" s="1">
        <v>2164.6379716981101</v>
      </c>
      <c r="G3576" s="1">
        <v>3</v>
      </c>
      <c r="H3576" s="1">
        <v>1</v>
      </c>
      <c r="I3576" s="1">
        <v>1</v>
      </c>
      <c r="J3576" s="1">
        <v>1</v>
      </c>
      <c r="K3576" s="1">
        <v>1</v>
      </c>
      <c r="M3576" s="1">
        <v>848</v>
      </c>
      <c r="N3576" s="1">
        <v>1223</v>
      </c>
      <c r="O3576" s="1">
        <v>2554</v>
      </c>
      <c r="P3576" s="1">
        <v>1331</v>
      </c>
      <c r="Q3576" s="1" t="s">
        <v>42</v>
      </c>
      <c r="S3576" s="1" t="s">
        <v>42</v>
      </c>
      <c r="T3576" s="1" t="s">
        <v>273</v>
      </c>
      <c r="U3576" s="1">
        <v>5</v>
      </c>
      <c r="V3576" s="5">
        <v>43678</v>
      </c>
      <c r="W3576" s="5">
        <v>43294</v>
      </c>
      <c r="X3576" s="1">
        <v>1915000</v>
      </c>
      <c r="Y3576" s="1">
        <v>1915000</v>
      </c>
      <c r="Z3576" s="5">
        <v>43299</v>
      </c>
      <c r="AA3576" s="1">
        <v>1835613</v>
      </c>
      <c r="AB3576" s="1" t="s">
        <v>2360</v>
      </c>
      <c r="AC3576" s="5">
        <v>43533</v>
      </c>
      <c r="AF3576" s="1">
        <v>10016</v>
      </c>
      <c r="AI3576" s="1" t="s">
        <v>118</v>
      </c>
      <c r="AJ3576" s="1">
        <v>2019</v>
      </c>
      <c r="AK3576" s="1" t="s">
        <v>46</v>
      </c>
      <c r="AL3576" s="1">
        <v>130</v>
      </c>
    </row>
    <row r="3577" spans="1:38" x14ac:dyDescent="0.2">
      <c r="A3577" s="2" t="str">
        <f>HYPERLINK("https://www.compass.com/listing/277-5th-avenue-unit-16c-manhattan-ny-10016/307123048507118529/","277 5th Ave, Unit 16C")</f>
        <v>277 5th Ave, Unit 16C</v>
      </c>
      <c r="B3577" s="2" t="str">
        <f t="shared" si="599"/>
        <v>277 FIFTH AVENUE</v>
      </c>
      <c r="C3577" s="1" t="s">
        <v>40</v>
      </c>
      <c r="D3577" s="1" t="s">
        <v>41</v>
      </c>
      <c r="E3577" s="3">
        <v>1797711</v>
      </c>
      <c r="G3577" s="1">
        <v>3</v>
      </c>
      <c r="H3577" s="1">
        <v>1</v>
      </c>
      <c r="I3577" s="1">
        <v>1</v>
      </c>
      <c r="J3577" s="1">
        <v>1</v>
      </c>
      <c r="K3577" s="1">
        <v>1</v>
      </c>
      <c r="N3577" s="1">
        <v>1194</v>
      </c>
      <c r="O3577" s="1">
        <v>2493</v>
      </c>
      <c r="P3577" s="1">
        <v>1299</v>
      </c>
      <c r="Q3577" s="1" t="s">
        <v>42</v>
      </c>
      <c r="S3577" s="1" t="s">
        <v>42</v>
      </c>
      <c r="T3577" s="1" t="s">
        <v>273</v>
      </c>
      <c r="U3577" s="1">
        <v>175</v>
      </c>
      <c r="V3577" s="5">
        <v>43676</v>
      </c>
      <c r="W3577" s="5">
        <v>43340</v>
      </c>
      <c r="AA3577" s="1">
        <v>1797710.95</v>
      </c>
      <c r="AB3577" s="1" t="s">
        <v>2361</v>
      </c>
      <c r="AC3577" s="5">
        <v>43515</v>
      </c>
      <c r="AF3577" s="1">
        <v>10016</v>
      </c>
      <c r="AI3577" s="1" t="s">
        <v>118</v>
      </c>
      <c r="AJ3577" s="1">
        <v>2019</v>
      </c>
      <c r="AK3577" s="1" t="s">
        <v>46</v>
      </c>
      <c r="AL3577" s="1">
        <v>130</v>
      </c>
    </row>
    <row r="3578" spans="1:38" x14ac:dyDescent="0.2">
      <c r="A3578" s="2" t="str">
        <f>HYPERLINK("https://www.compass.com/listing/277-5th-avenue-unit-26b-manhattan-ny-10016/60064199174386433/","277 5th Ave, Unit 26B")</f>
        <v>277 5th Ave, Unit 26B</v>
      </c>
      <c r="B3578" s="2" t="str">
        <f t="shared" si="599"/>
        <v>277 FIFTH AVENUE</v>
      </c>
      <c r="C3578" s="1" t="s">
        <v>40</v>
      </c>
      <c r="D3578" s="1" t="s">
        <v>41</v>
      </c>
      <c r="E3578" s="3">
        <v>2079863</v>
      </c>
      <c r="F3578" s="1">
        <v>2452.6686320754702</v>
      </c>
      <c r="G3578" s="1">
        <v>3</v>
      </c>
      <c r="H3578" s="1">
        <v>1</v>
      </c>
      <c r="I3578" s="1">
        <v>1</v>
      </c>
      <c r="J3578" s="1">
        <v>1</v>
      </c>
      <c r="K3578" s="1">
        <v>1</v>
      </c>
      <c r="M3578" s="1">
        <v>848</v>
      </c>
      <c r="N3578" s="1">
        <v>1223</v>
      </c>
      <c r="O3578" s="1">
        <v>2554</v>
      </c>
      <c r="P3578" s="1">
        <v>1331</v>
      </c>
      <c r="Q3578" s="1" t="s">
        <v>42</v>
      </c>
      <c r="S3578" s="1" t="s">
        <v>42</v>
      </c>
      <c r="T3578" s="1" t="s">
        <v>273</v>
      </c>
      <c r="V3578" s="5">
        <v>43678</v>
      </c>
      <c r="W3578" s="5">
        <v>43335</v>
      </c>
      <c r="X3578" s="1">
        <v>2185000</v>
      </c>
      <c r="Y3578" s="1">
        <v>2185000</v>
      </c>
      <c r="Z3578" s="5">
        <v>43335</v>
      </c>
      <c r="AA3578" s="1">
        <v>2079863</v>
      </c>
      <c r="AB3578" s="1" t="s">
        <v>2362</v>
      </c>
      <c r="AC3578" s="5">
        <v>43532</v>
      </c>
      <c r="AF3578" s="1">
        <v>10016</v>
      </c>
      <c r="AI3578" s="1" t="s">
        <v>118</v>
      </c>
      <c r="AJ3578" s="1">
        <v>2019</v>
      </c>
      <c r="AK3578" s="1" t="s">
        <v>46</v>
      </c>
      <c r="AL3578" s="1">
        <v>130</v>
      </c>
    </row>
    <row r="3579" spans="1:38" x14ac:dyDescent="0.2">
      <c r="A3579" s="2" t="str">
        <f>HYPERLINK("https://www.compass.com/listing/277-5th-avenue-unit-15b-manhattan-ny-10016/74559870782771937/","277 5th Ave, Unit 15B")</f>
        <v>277 5th Ave, Unit 15B</v>
      </c>
      <c r="B3579" s="2" t="str">
        <f t="shared" si="599"/>
        <v>277 FIFTH AVENUE</v>
      </c>
      <c r="C3579" s="1" t="s">
        <v>40</v>
      </c>
      <c r="D3579" s="1" t="s">
        <v>41</v>
      </c>
      <c r="E3579" s="3">
        <v>1859613</v>
      </c>
      <c r="F3579" s="1">
        <v>2192.9398584905598</v>
      </c>
      <c r="G3579" s="1">
        <v>3</v>
      </c>
      <c r="H3579" s="1">
        <v>1</v>
      </c>
      <c r="I3579" s="1">
        <v>1</v>
      </c>
      <c r="J3579" s="1">
        <v>1</v>
      </c>
      <c r="K3579" s="1">
        <v>1</v>
      </c>
      <c r="M3579" s="1">
        <v>848</v>
      </c>
      <c r="N3579" s="1">
        <v>1223</v>
      </c>
      <c r="O3579" s="1">
        <v>2554</v>
      </c>
      <c r="P3579" s="1">
        <v>1331</v>
      </c>
      <c r="Q3579" s="1" t="s">
        <v>42</v>
      </c>
      <c r="S3579" s="1" t="s">
        <v>42</v>
      </c>
      <c r="T3579" s="1" t="s">
        <v>273</v>
      </c>
      <c r="V3579" s="5">
        <v>43648</v>
      </c>
      <c r="W3579" s="5">
        <v>43355</v>
      </c>
      <c r="X3579" s="1">
        <v>1849000</v>
      </c>
      <c r="Y3579" s="1">
        <v>1849000</v>
      </c>
      <c r="Z3579" s="5">
        <v>43355</v>
      </c>
      <c r="AA3579" s="1">
        <v>1859613</v>
      </c>
      <c r="AB3579" s="1" t="s">
        <v>2363</v>
      </c>
      <c r="AC3579" s="5">
        <v>43536</v>
      </c>
      <c r="AF3579" s="1">
        <v>10016</v>
      </c>
      <c r="AI3579" s="1" t="s">
        <v>118</v>
      </c>
      <c r="AJ3579" s="1">
        <v>2019</v>
      </c>
      <c r="AK3579" s="1" t="s">
        <v>46</v>
      </c>
      <c r="AL3579" s="1">
        <v>130</v>
      </c>
    </row>
    <row r="3580" spans="1:38" x14ac:dyDescent="0.2">
      <c r="A3580" s="2" t="str">
        <f>HYPERLINK("https://www.compass.com/listing/277-5th-avenue-unit-24c-manhattan-ny-10016/829757698308442545/","277 5th Ave, Unit 24C")</f>
        <v>277 5th Ave, Unit 24C</v>
      </c>
      <c r="B3580" s="2" t="str">
        <f t="shared" si="599"/>
        <v>277 FIFTH AVENUE</v>
      </c>
      <c r="C3580" s="1" t="s">
        <v>40</v>
      </c>
      <c r="D3580" s="1" t="s">
        <v>41</v>
      </c>
      <c r="E3580" s="3">
        <v>1935000</v>
      </c>
      <c r="F3580" s="1">
        <v>2336.95652173913</v>
      </c>
      <c r="G3580" s="1">
        <v>3</v>
      </c>
      <c r="H3580" s="1">
        <v>1</v>
      </c>
      <c r="I3580" s="1">
        <v>1</v>
      </c>
      <c r="J3580" s="1">
        <v>1</v>
      </c>
      <c r="K3580" s="1">
        <v>1</v>
      </c>
      <c r="M3580" s="1">
        <v>828</v>
      </c>
      <c r="N3580" s="1">
        <v>1192</v>
      </c>
      <c r="O3580" s="1">
        <v>2283</v>
      </c>
      <c r="P3580" s="1">
        <v>1091</v>
      </c>
      <c r="Q3580" s="1" t="s">
        <v>42</v>
      </c>
      <c r="S3580" s="1" t="s">
        <v>42</v>
      </c>
      <c r="T3580" s="1" t="s">
        <v>273</v>
      </c>
      <c r="U3580" s="1">
        <v>749</v>
      </c>
      <c r="V3580" s="5">
        <v>44426</v>
      </c>
      <c r="W3580" s="5">
        <v>43553</v>
      </c>
      <c r="X3580" s="1">
        <v>2125000</v>
      </c>
      <c r="Y3580" s="1">
        <v>2125000</v>
      </c>
      <c r="Z3580" s="5">
        <v>44397</v>
      </c>
      <c r="AA3580" s="1">
        <v>1935000</v>
      </c>
      <c r="AB3580" s="1" t="s">
        <v>275</v>
      </c>
      <c r="AC3580" s="5">
        <v>44418</v>
      </c>
      <c r="AF3580" s="1">
        <v>10016</v>
      </c>
      <c r="AI3580" s="1" t="s">
        <v>118</v>
      </c>
      <c r="AJ3580" s="1">
        <v>2019</v>
      </c>
      <c r="AK3580" s="1" t="s">
        <v>49</v>
      </c>
      <c r="AL3580" s="1">
        <v>130</v>
      </c>
    </row>
    <row r="3581" spans="1:38" x14ac:dyDescent="0.2">
      <c r="A3581" s="2" t="str">
        <f>HYPERLINK("https://www.compass.com/listing/565-broome-street-unit-n6j-manhattan-ny-10013/781987639942052857/","565 Broome St, Unit N6J")</f>
        <v>565 Broome St, Unit N6J</v>
      </c>
      <c r="B3581" s="2" t="str">
        <f t="shared" ref="B3581:B3584" si="600">HYPERLINK("https://www.compass.com/building/565-broome-soho-manhattan-ny/292813251698267109/","565 Broome Soho")</f>
        <v>565 Broome Soho</v>
      </c>
      <c r="C3581" s="1" t="s">
        <v>53</v>
      </c>
      <c r="D3581" s="1" t="s">
        <v>41</v>
      </c>
      <c r="E3581" s="3">
        <v>1240284</v>
      </c>
      <c r="F3581" s="1">
        <v>2191.3149293286201</v>
      </c>
      <c r="G3581" s="1">
        <v>2</v>
      </c>
      <c r="H3581" s="1" t="s">
        <v>99</v>
      </c>
      <c r="I3581" s="1">
        <v>1</v>
      </c>
      <c r="J3581" s="1">
        <v>1</v>
      </c>
      <c r="K3581" s="1">
        <v>1</v>
      </c>
      <c r="M3581" s="1">
        <v>566</v>
      </c>
      <c r="N3581" s="1">
        <v>822</v>
      </c>
      <c r="O3581" s="1">
        <v>1729</v>
      </c>
      <c r="P3581" s="1">
        <v>907</v>
      </c>
      <c r="Q3581" s="1" t="s">
        <v>42</v>
      </c>
      <c r="S3581" s="1" t="s">
        <v>42</v>
      </c>
      <c r="T3581" s="1" t="s">
        <v>273</v>
      </c>
      <c r="V3581" s="5">
        <v>44342</v>
      </c>
      <c r="AA3581" s="1">
        <v>1240284.25</v>
      </c>
      <c r="AB3581" s="1" t="s">
        <v>2364</v>
      </c>
      <c r="AC3581" s="5">
        <v>44249</v>
      </c>
      <c r="AF3581" s="1">
        <v>10013</v>
      </c>
      <c r="AI3581" s="1" t="s">
        <v>242</v>
      </c>
      <c r="AJ3581" s="1">
        <v>2019</v>
      </c>
      <c r="AK3581" s="1" t="s">
        <v>46</v>
      </c>
      <c r="AL3581" s="1">
        <v>115</v>
      </c>
    </row>
    <row r="3582" spans="1:38" x14ac:dyDescent="0.2">
      <c r="A3582" s="2" t="str">
        <f>HYPERLINK("https://www.compass.com/listing/565-broome-street-unit-n6i-manhattan-ny-10013/803360915273757369/","565 Broome St, Unit N6I")</f>
        <v>565 Broome St, Unit N6I</v>
      </c>
      <c r="B3582" s="2" t="str">
        <f t="shared" si="600"/>
        <v>565 Broome Soho</v>
      </c>
      <c r="C3582" s="1" t="s">
        <v>53</v>
      </c>
      <c r="D3582" s="1" t="s">
        <v>41</v>
      </c>
      <c r="E3582" s="3">
        <v>1122431</v>
      </c>
      <c r="F3582" s="1">
        <v>2183.7178210116699</v>
      </c>
      <c r="G3582" s="1">
        <v>1</v>
      </c>
      <c r="H3582" s="1" t="s">
        <v>99</v>
      </c>
      <c r="I3582" s="1">
        <v>1</v>
      </c>
      <c r="J3582" s="1">
        <v>1</v>
      </c>
      <c r="K3582" s="1">
        <v>1</v>
      </c>
      <c r="M3582" s="1">
        <v>514</v>
      </c>
      <c r="N3582" s="1">
        <v>747</v>
      </c>
      <c r="O3582" s="1">
        <v>1571</v>
      </c>
      <c r="P3582" s="1">
        <v>824</v>
      </c>
      <c r="Q3582" s="1" t="s">
        <v>42</v>
      </c>
      <c r="S3582" s="1" t="s">
        <v>42</v>
      </c>
      <c r="T3582" s="1" t="s">
        <v>273</v>
      </c>
      <c r="V3582" s="5">
        <v>44340</v>
      </c>
      <c r="AA3582" s="1">
        <v>1122430.96</v>
      </c>
      <c r="AB3582" s="1" t="s">
        <v>1722</v>
      </c>
      <c r="AC3582" s="5">
        <v>43584</v>
      </c>
      <c r="AF3582" s="1">
        <v>10013</v>
      </c>
      <c r="AI3582" s="1" t="s">
        <v>48</v>
      </c>
      <c r="AJ3582" s="1">
        <v>2019</v>
      </c>
      <c r="AK3582" s="1" t="s">
        <v>49</v>
      </c>
      <c r="AL3582" s="1">
        <v>115</v>
      </c>
    </row>
    <row r="3583" spans="1:38" x14ac:dyDescent="0.2">
      <c r="A3583" s="2" t="str">
        <f>HYPERLINK("https://www.compass.com/listing/565-broome-street-unit-s9b-manhattan-ny-10013/786323967881145865/","565 Broome St, Unit S9B")</f>
        <v>565 Broome St, Unit S9B</v>
      </c>
      <c r="B3583" s="2" t="str">
        <f t="shared" si="600"/>
        <v>565 Broome Soho</v>
      </c>
      <c r="C3583" s="1" t="s">
        <v>53</v>
      </c>
      <c r="D3583" s="1" t="s">
        <v>41</v>
      </c>
      <c r="E3583" s="3">
        <v>983747</v>
      </c>
      <c r="F3583" s="1">
        <v>2147.91947598253</v>
      </c>
      <c r="G3583" s="1">
        <v>1</v>
      </c>
      <c r="H3583" s="1" t="s">
        <v>99</v>
      </c>
      <c r="I3583" s="1">
        <v>1</v>
      </c>
      <c r="J3583" s="1">
        <v>1</v>
      </c>
      <c r="K3583" s="1">
        <v>1</v>
      </c>
      <c r="M3583" s="1">
        <v>458</v>
      </c>
      <c r="N3583" s="1">
        <v>675</v>
      </c>
      <c r="O3583" s="1">
        <v>1420</v>
      </c>
      <c r="P3583" s="1">
        <v>745</v>
      </c>
      <c r="Q3583" s="1" t="s">
        <v>42</v>
      </c>
      <c r="S3583" s="1" t="s">
        <v>42</v>
      </c>
      <c r="T3583" s="1" t="s">
        <v>273</v>
      </c>
      <c r="V3583" s="5">
        <v>44340</v>
      </c>
      <c r="AA3583" s="1">
        <v>983747.12</v>
      </c>
      <c r="AB3583" s="1" t="s">
        <v>2365</v>
      </c>
      <c r="AC3583" s="5">
        <v>43572</v>
      </c>
      <c r="AF3583" s="1">
        <v>10013</v>
      </c>
      <c r="AI3583" s="1" t="s">
        <v>48</v>
      </c>
      <c r="AJ3583" s="1">
        <v>2019</v>
      </c>
      <c r="AK3583" s="1" t="s">
        <v>49</v>
      </c>
      <c r="AL3583" s="1">
        <v>115</v>
      </c>
    </row>
    <row r="3584" spans="1:38" x14ac:dyDescent="0.2">
      <c r="A3584" s="2" t="str">
        <f>HYPERLINK("https://www.compass.com/listing/565-broome-street-unit-n6g-manhattan-ny-10013/803307198772129729/","565 Broome St, Unit N6G")</f>
        <v>565 Broome St, Unit N6G</v>
      </c>
      <c r="B3584" s="2" t="str">
        <f t="shared" si="600"/>
        <v>565 Broome Soho</v>
      </c>
      <c r="C3584" s="1" t="s">
        <v>53</v>
      </c>
      <c r="D3584" s="1" t="s">
        <v>41</v>
      </c>
      <c r="E3584" s="3">
        <v>997885</v>
      </c>
      <c r="F3584" s="1">
        <v>2174.0413943355102</v>
      </c>
      <c r="G3584" s="1">
        <v>2</v>
      </c>
      <c r="H3584" s="1" t="s">
        <v>99</v>
      </c>
      <c r="I3584" s="1">
        <v>1</v>
      </c>
      <c r="J3584" s="1">
        <v>1</v>
      </c>
      <c r="K3584" s="1">
        <v>1</v>
      </c>
      <c r="M3584" s="1">
        <v>459</v>
      </c>
      <c r="N3584" s="1">
        <v>667</v>
      </c>
      <c r="O3584" s="1">
        <v>1403</v>
      </c>
      <c r="P3584" s="1">
        <v>736</v>
      </c>
      <c r="Q3584" s="1" t="s">
        <v>42</v>
      </c>
      <c r="S3584" s="1" t="s">
        <v>42</v>
      </c>
      <c r="T3584" s="1" t="s">
        <v>273</v>
      </c>
      <c r="V3584" s="5">
        <v>44341</v>
      </c>
      <c r="AA3584" s="1">
        <v>997885</v>
      </c>
      <c r="AB3584" s="1" t="s">
        <v>1267</v>
      </c>
      <c r="AC3584" s="5">
        <v>43619</v>
      </c>
      <c r="AF3584" s="1">
        <v>10013</v>
      </c>
      <c r="AI3584" s="1" t="s">
        <v>48</v>
      </c>
      <c r="AJ3584" s="1">
        <v>2019</v>
      </c>
      <c r="AK3584" s="1" t="s">
        <v>49</v>
      </c>
      <c r="AL3584" s="1">
        <v>115</v>
      </c>
    </row>
    <row r="3585" spans="1:38" x14ac:dyDescent="0.2">
      <c r="A3585" s="2" t="str">
        <f>HYPERLINK("https://www.compass.com/listing/20-east-end-avenue-unit-5d-manhattan-ny-10028/29517536999533441/","20 E End Ave, Unit 5D")</f>
        <v>20 E End Ave, Unit 5D</v>
      </c>
      <c r="B3585" s="2" t="str">
        <f>HYPERLINK("https://www.compass.com/building/20-e-end-ave-manhattan-ny-10028/281985490498985157/","20 E End Ave")</f>
        <v>20 E End Ave</v>
      </c>
      <c r="C3585" s="1" t="s">
        <v>82</v>
      </c>
      <c r="D3585" s="1" t="s">
        <v>41</v>
      </c>
      <c r="E3585" s="3">
        <v>10600000</v>
      </c>
      <c r="F3585" s="1">
        <v>2465.6896952779698</v>
      </c>
      <c r="G3585" s="1">
        <v>9</v>
      </c>
      <c r="H3585" s="1">
        <v>6</v>
      </c>
      <c r="I3585" s="1">
        <v>6</v>
      </c>
      <c r="J3585" s="1">
        <v>6.5</v>
      </c>
      <c r="K3585" s="1">
        <v>6</v>
      </c>
      <c r="L3585" s="1">
        <v>1</v>
      </c>
      <c r="M3585" s="4">
        <v>4299</v>
      </c>
      <c r="N3585" s="1">
        <v>5355</v>
      </c>
      <c r="O3585" s="1">
        <v>11080</v>
      </c>
      <c r="P3585" s="1">
        <v>5725</v>
      </c>
      <c r="Q3585" s="1" t="s">
        <v>42</v>
      </c>
      <c r="S3585" s="1" t="s">
        <v>42</v>
      </c>
      <c r="T3585" s="1" t="s">
        <v>273</v>
      </c>
      <c r="U3585" s="1">
        <v>117</v>
      </c>
      <c r="V3585" s="5">
        <v>43647</v>
      </c>
      <c r="W3585" s="5">
        <v>43119</v>
      </c>
      <c r="X3585" s="1">
        <v>11000000</v>
      </c>
      <c r="Y3585" s="1">
        <v>11000000</v>
      </c>
      <c r="Z3585" s="5">
        <v>43236</v>
      </c>
      <c r="AA3585" s="1">
        <v>10600000</v>
      </c>
      <c r="AB3585" s="1" t="s">
        <v>2366</v>
      </c>
      <c r="AC3585" s="5">
        <v>43291</v>
      </c>
      <c r="AF3585" s="1">
        <v>10028</v>
      </c>
      <c r="AI3585" s="1" t="s">
        <v>131</v>
      </c>
      <c r="AJ3585" s="1">
        <v>2017</v>
      </c>
      <c r="AK3585" s="1" t="s">
        <v>46</v>
      </c>
      <c r="AL3585" s="1">
        <v>41</v>
      </c>
    </row>
    <row r="3586" spans="1:38" x14ac:dyDescent="0.2">
      <c r="A3586" s="2" t="str">
        <f>HYPERLINK("https://www.compass.com/listing/30-east-31st-street-unit-3a-manhattan-ny-10016/728323499535133609/","30 E 31st St, Unit 3A")</f>
        <v>30 E 31st St, Unit 3A</v>
      </c>
      <c r="B3586" s="2" t="str">
        <f>HYPERLINK("https://www.compass.com/building/30-east-31st-street-manhattan-ny/281939352542566357/","30 East 31st Street")</f>
        <v>30 East 31st Street</v>
      </c>
      <c r="C3586" s="1" t="s">
        <v>40</v>
      </c>
      <c r="D3586" s="1" t="s">
        <v>41</v>
      </c>
      <c r="E3586" s="3">
        <v>1925000</v>
      </c>
      <c r="F3586" s="1">
        <v>1948.38056680161</v>
      </c>
      <c r="G3586" s="1">
        <v>1</v>
      </c>
      <c r="H3586" s="1" t="s">
        <v>99</v>
      </c>
      <c r="I3586" s="1">
        <v>1</v>
      </c>
      <c r="J3586" s="1">
        <v>1</v>
      </c>
      <c r="K3586" s="1">
        <v>1</v>
      </c>
      <c r="M3586" s="1">
        <v>988</v>
      </c>
      <c r="N3586" s="1">
        <v>1308</v>
      </c>
      <c r="O3586" s="1">
        <v>3060</v>
      </c>
      <c r="P3586" s="1">
        <v>1752</v>
      </c>
      <c r="S3586" s="1" t="s">
        <v>42</v>
      </c>
      <c r="T3586" s="1" t="s">
        <v>273</v>
      </c>
      <c r="V3586" s="5">
        <v>44343</v>
      </c>
      <c r="W3586" s="5">
        <v>44255</v>
      </c>
      <c r="X3586" s="1">
        <v>1925000</v>
      </c>
      <c r="Y3586" s="1">
        <v>1925000</v>
      </c>
      <c r="Z3586" s="5">
        <v>44255</v>
      </c>
      <c r="AA3586" s="1">
        <v>1925000</v>
      </c>
      <c r="AB3586" s="1" t="s">
        <v>275</v>
      </c>
      <c r="AC3586" s="5">
        <v>44336</v>
      </c>
      <c r="AF3586" s="1">
        <v>10016</v>
      </c>
      <c r="AJ3586" s="1">
        <v>2018</v>
      </c>
      <c r="AK3586" s="1" t="s">
        <v>202</v>
      </c>
      <c r="AL3586" s="1">
        <v>42</v>
      </c>
    </row>
    <row r="3587" spans="1:38" x14ac:dyDescent="0.2">
      <c r="A3587" s="2" t="str">
        <f>HYPERLINK("https://www.compass.com/listing/301-east-81st-street-unit-6b-manhattan-ny-10028/720983324365590777/","301 E 81st St, Unit 6B")</f>
        <v>301 E 81st St, Unit 6B</v>
      </c>
      <c r="B3587" s="2" t="str">
        <f>HYPERLINK("https://www.compass.com/building/beckford-house-manhattan-ny/293531205712863989/","Beckford House")</f>
        <v>Beckford House</v>
      </c>
      <c r="C3587" s="1" t="s">
        <v>82</v>
      </c>
      <c r="D3587" s="1" t="s">
        <v>41</v>
      </c>
      <c r="E3587" s="3">
        <v>2775000</v>
      </c>
      <c r="F3587" s="1">
        <v>2005.0578034682001</v>
      </c>
      <c r="G3587" s="1">
        <v>5.5</v>
      </c>
      <c r="H3587" s="1">
        <v>2</v>
      </c>
      <c r="I3587" s="1">
        <v>3</v>
      </c>
      <c r="J3587" s="1">
        <v>2.5</v>
      </c>
      <c r="K3587" s="1">
        <v>2</v>
      </c>
      <c r="L3587" s="1">
        <v>1</v>
      </c>
      <c r="M3587" s="4">
        <v>1384</v>
      </c>
      <c r="N3587" s="1">
        <v>1976</v>
      </c>
      <c r="O3587" s="1">
        <v>4122</v>
      </c>
      <c r="P3587" s="1">
        <v>2146</v>
      </c>
      <c r="Q3587" s="1" t="s">
        <v>42</v>
      </c>
      <c r="S3587" s="1" t="s">
        <v>42</v>
      </c>
      <c r="T3587" s="1" t="s">
        <v>273</v>
      </c>
      <c r="U3587" s="1">
        <v>75</v>
      </c>
      <c r="V3587" s="5">
        <v>44392</v>
      </c>
      <c r="W3587" s="5">
        <v>44224</v>
      </c>
      <c r="X3587" s="1">
        <v>3150000</v>
      </c>
      <c r="Y3587" s="1">
        <v>3150000</v>
      </c>
      <c r="AA3587" s="1">
        <v>2775000</v>
      </c>
      <c r="AB3587" s="1" t="s">
        <v>2367</v>
      </c>
      <c r="AC3587" s="5">
        <v>44372</v>
      </c>
      <c r="AF3587" s="1">
        <v>10028</v>
      </c>
      <c r="AI3587" s="1" t="s">
        <v>2328</v>
      </c>
      <c r="AJ3587" s="1">
        <v>2019</v>
      </c>
      <c r="AK3587" s="1" t="s">
        <v>202</v>
      </c>
      <c r="AL3587" s="1">
        <v>0</v>
      </c>
    </row>
    <row r="3588" spans="1:38" x14ac:dyDescent="0.2">
      <c r="A3588" s="2" t="str">
        <f>HYPERLINK("https://www.compass.com/listing/277-5th-avenue-unit-14b-manhattan-ny-10016/26850073673550881/","277 5th Ave, Unit 14B")</f>
        <v>277 5th Ave, Unit 14B</v>
      </c>
      <c r="B3588" s="2" t="str">
        <f t="shared" ref="B3588:B3589" si="601">HYPERLINK("https://www.compass.com/building/277-fifth-avenue-manhattan-ny/281939285475645317/","277 FIFTH AVENUE")</f>
        <v>277 FIFTH AVENUE</v>
      </c>
      <c r="C3588" s="1" t="s">
        <v>40</v>
      </c>
      <c r="D3588" s="1" t="s">
        <v>41</v>
      </c>
      <c r="E3588" s="3">
        <v>1720613</v>
      </c>
      <c r="F3588" s="1">
        <v>2029.024375</v>
      </c>
      <c r="G3588" s="1">
        <v>3</v>
      </c>
      <c r="H3588" s="1">
        <v>1</v>
      </c>
      <c r="I3588" s="1">
        <v>1</v>
      </c>
      <c r="J3588" s="1">
        <v>1</v>
      </c>
      <c r="K3588" s="1">
        <v>1</v>
      </c>
      <c r="M3588" s="1">
        <v>848</v>
      </c>
      <c r="N3588" s="1">
        <v>1223</v>
      </c>
      <c r="O3588" s="1">
        <v>2554</v>
      </c>
      <c r="P3588" s="1">
        <v>1331</v>
      </c>
      <c r="Q3588" s="1" t="s">
        <v>42</v>
      </c>
      <c r="S3588" s="1" t="s">
        <v>42</v>
      </c>
      <c r="T3588" s="1" t="s">
        <v>273</v>
      </c>
      <c r="U3588" s="1">
        <v>102</v>
      </c>
      <c r="V3588" s="5">
        <v>43803</v>
      </c>
      <c r="W3588" s="5">
        <v>43141</v>
      </c>
      <c r="X3588" s="1">
        <v>1925000</v>
      </c>
      <c r="Y3588" s="1">
        <v>1925000</v>
      </c>
      <c r="AA3588" s="1">
        <v>1720612.67</v>
      </c>
      <c r="AB3588" s="1" t="s">
        <v>2368</v>
      </c>
      <c r="AC3588" s="5">
        <v>43721</v>
      </c>
      <c r="AF3588" s="1">
        <v>10016</v>
      </c>
      <c r="AI3588" s="1" t="s">
        <v>118</v>
      </c>
      <c r="AJ3588" s="1">
        <v>2019</v>
      </c>
      <c r="AK3588" s="1" t="s">
        <v>46</v>
      </c>
      <c r="AL3588" s="1">
        <v>130</v>
      </c>
    </row>
    <row r="3589" spans="1:38" x14ac:dyDescent="0.2">
      <c r="A3589" s="2" t="str">
        <f>HYPERLINK("https://www.compass.com/listing/277-5th-avenue-unit-19b-manhattan-ny-10016/832304677256446057/","277 5th Ave, Unit 19B")</f>
        <v>277 5th Ave, Unit 19B</v>
      </c>
      <c r="B3589" s="2" t="str">
        <f t="shared" si="601"/>
        <v>277 FIFTH AVENUE</v>
      </c>
      <c r="C3589" s="1" t="s">
        <v>40</v>
      </c>
      <c r="D3589" s="1" t="s">
        <v>41</v>
      </c>
      <c r="E3589" s="3">
        <v>1830000</v>
      </c>
      <c r="F3589" s="1">
        <v>2158.0188679245198</v>
      </c>
      <c r="G3589" s="1">
        <v>3</v>
      </c>
      <c r="H3589" s="1">
        <v>1</v>
      </c>
      <c r="I3589" s="1">
        <v>1</v>
      </c>
      <c r="J3589" s="1">
        <v>1</v>
      </c>
      <c r="K3589" s="1">
        <v>1</v>
      </c>
      <c r="M3589" s="1">
        <v>848</v>
      </c>
      <c r="N3589" s="1">
        <v>1221</v>
      </c>
      <c r="O3589" s="1">
        <v>2304</v>
      </c>
      <c r="P3589" s="1">
        <v>1083</v>
      </c>
      <c r="Q3589" s="1" t="s">
        <v>42</v>
      </c>
      <c r="S3589" s="1" t="s">
        <v>42</v>
      </c>
      <c r="T3589" s="1" t="s">
        <v>273</v>
      </c>
      <c r="V3589" s="5">
        <v>44426</v>
      </c>
      <c r="AA3589" s="1">
        <v>1830000</v>
      </c>
      <c r="AB3589" s="1" t="s">
        <v>2369</v>
      </c>
      <c r="AC3589" s="5">
        <v>44386</v>
      </c>
      <c r="AF3589" s="1">
        <v>10016</v>
      </c>
      <c r="AI3589" s="1" t="s">
        <v>118</v>
      </c>
      <c r="AJ3589" s="1">
        <v>2019</v>
      </c>
      <c r="AK3589" s="1" t="s">
        <v>49</v>
      </c>
      <c r="AL3589" s="1">
        <v>130</v>
      </c>
    </row>
    <row r="3590" spans="1:38" x14ac:dyDescent="0.2">
      <c r="A3590" s="2" t="str">
        <f>HYPERLINK("https://www.compass.com/listing/301-east-81st-street-unit-3a-manhattan-ny-10028/803369419518279825/","301 E 81st St, Unit 3A")</f>
        <v>301 E 81st St, Unit 3A</v>
      </c>
      <c r="B3590" s="2" t="str">
        <f t="shared" ref="B3590:B3593" si="602">HYPERLINK("https://www.compass.com/building/beckford-house-manhattan-ny/293531205712863989/","Beckford House")</f>
        <v>Beckford House</v>
      </c>
      <c r="C3590" s="1" t="s">
        <v>82</v>
      </c>
      <c r="D3590" s="1" t="s">
        <v>41</v>
      </c>
      <c r="E3590" s="3">
        <v>2800000</v>
      </c>
      <c r="F3590" s="1">
        <v>1817.0019467878001</v>
      </c>
      <c r="G3590" s="1">
        <v>6</v>
      </c>
      <c r="H3590" s="1">
        <v>2</v>
      </c>
      <c r="I3590" s="1">
        <v>3</v>
      </c>
      <c r="J3590" s="1">
        <v>2.5</v>
      </c>
      <c r="K3590" s="1">
        <v>2</v>
      </c>
      <c r="L3590" s="1">
        <v>1</v>
      </c>
      <c r="M3590" s="4">
        <v>1541</v>
      </c>
      <c r="N3590" s="1">
        <v>2167</v>
      </c>
      <c r="O3590" s="1">
        <v>4521</v>
      </c>
      <c r="P3590" s="1">
        <v>2354</v>
      </c>
      <c r="Q3590" s="1" t="s">
        <v>42</v>
      </c>
      <c r="S3590" s="1" t="s">
        <v>42</v>
      </c>
      <c r="T3590" s="1" t="s">
        <v>273</v>
      </c>
      <c r="V3590" s="5">
        <v>44314</v>
      </c>
      <c r="W3590" s="5">
        <v>44075</v>
      </c>
      <c r="X3590" s="1">
        <v>3150000</v>
      </c>
      <c r="Y3590" s="1">
        <v>3150000</v>
      </c>
      <c r="AA3590" s="1">
        <v>2800000</v>
      </c>
      <c r="AB3590" s="1" t="s">
        <v>2370</v>
      </c>
      <c r="AC3590" s="5">
        <v>44253</v>
      </c>
      <c r="AF3590" s="1">
        <v>10028</v>
      </c>
      <c r="AI3590" s="1" t="s">
        <v>201</v>
      </c>
      <c r="AJ3590" s="1">
        <v>2019</v>
      </c>
      <c r="AK3590" s="1" t="s">
        <v>49</v>
      </c>
      <c r="AL3590" s="1">
        <v>0</v>
      </c>
    </row>
    <row r="3591" spans="1:38" x14ac:dyDescent="0.2">
      <c r="A3591" s="2" t="str">
        <f>HYPERLINK("https://www.compass.com/listing/301-east-81st-street-unit-3a-manhattan-ny-10028/358535909680067153/","301 E 81st St, Unit 3A")</f>
        <v>301 E 81st St, Unit 3A</v>
      </c>
      <c r="B3591" s="2" t="str">
        <f t="shared" si="602"/>
        <v>Beckford House</v>
      </c>
      <c r="C3591" s="1" t="s">
        <v>82</v>
      </c>
      <c r="D3591" s="1" t="s">
        <v>41</v>
      </c>
      <c r="E3591" s="3">
        <v>2800000</v>
      </c>
      <c r="F3591" s="1">
        <v>1817.0019467878001</v>
      </c>
      <c r="G3591" s="1">
        <v>5.5</v>
      </c>
      <c r="H3591" s="1">
        <v>2</v>
      </c>
      <c r="I3591" s="1">
        <v>3</v>
      </c>
      <c r="J3591" s="1">
        <v>2.5</v>
      </c>
      <c r="K3591" s="1">
        <v>2</v>
      </c>
      <c r="L3591" s="1">
        <v>1</v>
      </c>
      <c r="M3591" s="4">
        <v>1541</v>
      </c>
      <c r="N3591" s="1">
        <v>2167</v>
      </c>
      <c r="O3591" s="1">
        <v>4521</v>
      </c>
      <c r="P3591" s="1">
        <v>2354</v>
      </c>
      <c r="Q3591" s="1" t="s">
        <v>42</v>
      </c>
      <c r="S3591" s="1" t="s">
        <v>42</v>
      </c>
      <c r="T3591" s="1" t="s">
        <v>273</v>
      </c>
      <c r="U3591" s="1">
        <v>189</v>
      </c>
      <c r="V3591" s="5">
        <v>44314</v>
      </c>
      <c r="W3591" s="5">
        <v>43740</v>
      </c>
      <c r="Y3591" s="1">
        <v>3150000</v>
      </c>
      <c r="AA3591" s="1">
        <v>2800000</v>
      </c>
      <c r="AB3591" s="1" t="s">
        <v>2370</v>
      </c>
      <c r="AC3591" s="5">
        <v>44253</v>
      </c>
      <c r="AF3591" s="1">
        <v>10028</v>
      </c>
      <c r="AI3591" s="1" t="s">
        <v>201</v>
      </c>
      <c r="AJ3591" s="1">
        <v>2019</v>
      </c>
      <c r="AK3591" s="1" t="s">
        <v>49</v>
      </c>
      <c r="AL3591" s="1">
        <v>0</v>
      </c>
    </row>
    <row r="3592" spans="1:38" x14ac:dyDescent="0.2">
      <c r="A3592" s="2" t="str">
        <f>HYPERLINK("https://www.compass.com/listing/301-east-81st-street-unit-4a-manhattan-ny-10028/563766976596801025/","301 E 81st St, Unit 4A")</f>
        <v>301 E 81st St, Unit 4A</v>
      </c>
      <c r="B3592" s="2" t="str">
        <f t="shared" si="602"/>
        <v>Beckford House</v>
      </c>
      <c r="C3592" s="1" t="s">
        <v>82</v>
      </c>
      <c r="D3592" s="1" t="s">
        <v>41</v>
      </c>
      <c r="E3592" s="3">
        <v>2900000</v>
      </c>
      <c r="F3592" s="1">
        <v>1881.89487345879</v>
      </c>
      <c r="G3592" s="1">
        <v>5.5</v>
      </c>
      <c r="H3592" s="1">
        <v>2</v>
      </c>
      <c r="I3592" s="1">
        <v>3</v>
      </c>
      <c r="J3592" s="1">
        <v>2.5</v>
      </c>
      <c r="K3592" s="1">
        <v>2</v>
      </c>
      <c r="L3592" s="1">
        <v>1</v>
      </c>
      <c r="M3592" s="4">
        <v>1541</v>
      </c>
      <c r="N3592" s="1">
        <v>2178</v>
      </c>
      <c r="O3592" s="1">
        <v>4544</v>
      </c>
      <c r="P3592" s="1">
        <v>2366</v>
      </c>
      <c r="Q3592" s="1" t="s">
        <v>42</v>
      </c>
      <c r="S3592" s="1" t="s">
        <v>42</v>
      </c>
      <c r="T3592" s="1" t="s">
        <v>273</v>
      </c>
      <c r="U3592" s="1">
        <v>240</v>
      </c>
      <c r="V3592" s="5">
        <v>44323</v>
      </c>
      <c r="W3592" s="5">
        <v>43741</v>
      </c>
      <c r="AA3592" s="1">
        <v>2900000</v>
      </c>
      <c r="AB3592" s="1" t="s">
        <v>2371</v>
      </c>
      <c r="AC3592" s="5">
        <v>44299</v>
      </c>
      <c r="AF3592" s="1">
        <v>10028</v>
      </c>
      <c r="AI3592" s="1" t="s">
        <v>201</v>
      </c>
      <c r="AJ3592" s="1">
        <v>2019</v>
      </c>
      <c r="AK3592" s="1" t="s">
        <v>202</v>
      </c>
      <c r="AL3592" s="1">
        <v>0</v>
      </c>
    </row>
    <row r="3593" spans="1:38" x14ac:dyDescent="0.2">
      <c r="A3593" s="2" t="str">
        <f>HYPERLINK("https://www.compass.com/listing/301-east-81st-street-unit-6a-manhattan-ny-10028/693490085354476505/","301 E 81st St, Unit 6A")</f>
        <v>301 E 81st St, Unit 6A</v>
      </c>
      <c r="B3593" s="2" t="str">
        <f t="shared" si="602"/>
        <v>Beckford House</v>
      </c>
      <c r="C3593" s="1" t="s">
        <v>82</v>
      </c>
      <c r="D3593" s="1" t="s">
        <v>41</v>
      </c>
      <c r="E3593" s="3">
        <v>2950000</v>
      </c>
      <c r="F3593" s="1">
        <v>1914.3413367942801</v>
      </c>
      <c r="G3593" s="1">
        <v>5.5</v>
      </c>
      <c r="H3593" s="1">
        <v>2</v>
      </c>
      <c r="I3593" s="1">
        <v>3</v>
      </c>
      <c r="J3593" s="1">
        <v>2.5</v>
      </c>
      <c r="K3593" s="1">
        <v>2</v>
      </c>
      <c r="L3593" s="1">
        <v>1</v>
      </c>
      <c r="M3593" s="4">
        <v>1541</v>
      </c>
      <c r="N3593" s="1">
        <v>2193</v>
      </c>
      <c r="O3593" s="1">
        <v>4609</v>
      </c>
      <c r="P3593" s="1">
        <v>2416</v>
      </c>
      <c r="Q3593" s="1" t="s">
        <v>42</v>
      </c>
      <c r="S3593" s="1" t="s">
        <v>42</v>
      </c>
      <c r="T3593" s="1" t="s">
        <v>273</v>
      </c>
      <c r="U3593" s="1">
        <v>389</v>
      </c>
      <c r="V3593" s="5">
        <v>44323</v>
      </c>
      <c r="W3593" s="5">
        <v>43741</v>
      </c>
      <c r="AA3593" s="1">
        <v>2950000</v>
      </c>
      <c r="AB3593" s="1" t="s">
        <v>2372</v>
      </c>
      <c r="AC3593" s="5">
        <v>44281</v>
      </c>
      <c r="AF3593" s="1">
        <v>10028</v>
      </c>
      <c r="AI3593" s="1" t="s">
        <v>201</v>
      </c>
      <c r="AJ3593" s="1">
        <v>2019</v>
      </c>
      <c r="AK3593" s="1" t="s">
        <v>202</v>
      </c>
      <c r="AL3593" s="1">
        <v>0</v>
      </c>
    </row>
    <row r="3594" spans="1:38" x14ac:dyDescent="0.2">
      <c r="A3594" s="2" t="str">
        <f>HYPERLINK("https://www.compass.com/listing/300-east-64th-street-unit-7g-manhattan-ny-10065/29415716990051665/","300 E 64th St, Unit 7G")</f>
        <v>300 E 64th St, Unit 7G</v>
      </c>
      <c r="B3594" s="2" t="str">
        <f>HYPERLINK("https://www.compass.com/building/300-e-64th-st-manhattan-ny-10065/282038617012979925/","300 E 64th St")</f>
        <v>300 E 64th St</v>
      </c>
      <c r="C3594" s="1" t="s">
        <v>82</v>
      </c>
      <c r="D3594" s="1" t="s">
        <v>41</v>
      </c>
      <c r="E3594" s="3">
        <v>758596</v>
      </c>
      <c r="F3594" s="1">
        <v>1607.19491525423</v>
      </c>
      <c r="G3594" s="1">
        <v>2</v>
      </c>
      <c r="H3594" s="1" t="s">
        <v>99</v>
      </c>
      <c r="I3594" s="1">
        <v>1</v>
      </c>
      <c r="J3594" s="1">
        <v>1</v>
      </c>
      <c r="M3594" s="1">
        <v>472</v>
      </c>
      <c r="N3594" s="1">
        <v>531</v>
      </c>
      <c r="O3594" s="1">
        <v>1287</v>
      </c>
      <c r="P3594" s="1">
        <v>756</v>
      </c>
      <c r="Q3594" s="1" t="s">
        <v>42</v>
      </c>
      <c r="S3594" s="1" t="s">
        <v>42</v>
      </c>
      <c r="T3594" s="1" t="s">
        <v>273</v>
      </c>
      <c r="U3594" s="1">
        <v>132</v>
      </c>
      <c r="V3594" s="5">
        <v>43651</v>
      </c>
      <c r="W3594" s="5">
        <v>42082</v>
      </c>
      <c r="X3594" s="1">
        <v>745000</v>
      </c>
      <c r="Y3594" s="1">
        <v>745000</v>
      </c>
      <c r="Z3594" s="5">
        <v>42214</v>
      </c>
      <c r="AA3594" s="1">
        <v>758596</v>
      </c>
      <c r="AB3594" s="1" t="s">
        <v>2373</v>
      </c>
      <c r="AC3594" s="5">
        <v>42235</v>
      </c>
      <c r="AF3594" s="1">
        <v>10065</v>
      </c>
      <c r="AI3594" s="1" t="s">
        <v>189</v>
      </c>
      <c r="AJ3594" s="1">
        <v>1996</v>
      </c>
      <c r="AK3594" s="1" t="s">
        <v>46</v>
      </c>
      <c r="AL3594" s="1">
        <v>103</v>
      </c>
    </row>
    <row r="3595" spans="1:38" x14ac:dyDescent="0.2">
      <c r="A3595" s="2" t="str">
        <f>HYPERLINK("https://www.compass.com/listing/565-broome-street-unit-n5b-manhattan-ny-10013/803356434414582265/","565 Broome St, Unit N5B")</f>
        <v>565 Broome St, Unit N5B</v>
      </c>
      <c r="B3595" s="2" t="str">
        <f>HYPERLINK("https://www.compass.com/building/565-broome-soho-manhattan-ny/292813251698267109/","565 Broome Soho")</f>
        <v>565 Broome Soho</v>
      </c>
      <c r="C3595" s="1" t="s">
        <v>53</v>
      </c>
      <c r="D3595" s="1" t="s">
        <v>41</v>
      </c>
      <c r="E3595" s="3">
        <v>875782</v>
      </c>
      <c r="F3595" s="1">
        <v>1912.1877729257601</v>
      </c>
      <c r="G3595" s="1">
        <v>1</v>
      </c>
      <c r="H3595" s="1" t="s">
        <v>99</v>
      </c>
      <c r="I3595" s="1">
        <v>1</v>
      </c>
      <c r="J3595" s="1">
        <v>1</v>
      </c>
      <c r="K3595" s="1">
        <v>1</v>
      </c>
      <c r="M3595" s="1">
        <v>458</v>
      </c>
      <c r="N3595" s="1">
        <v>662</v>
      </c>
      <c r="O3595" s="1">
        <v>1392</v>
      </c>
      <c r="P3595" s="1">
        <v>730</v>
      </c>
      <c r="Q3595" s="1" t="s">
        <v>42</v>
      </c>
      <c r="S3595" s="1" t="s">
        <v>42</v>
      </c>
      <c r="T3595" s="1" t="s">
        <v>273</v>
      </c>
      <c r="V3595" s="5">
        <v>44341</v>
      </c>
      <c r="AA3595" s="1">
        <v>875782</v>
      </c>
      <c r="AB3595" s="1" t="s">
        <v>1733</v>
      </c>
      <c r="AC3595" s="5">
        <v>43957</v>
      </c>
      <c r="AF3595" s="1">
        <v>10013</v>
      </c>
      <c r="AI3595" s="1" t="s">
        <v>48</v>
      </c>
      <c r="AJ3595" s="1">
        <v>2019</v>
      </c>
      <c r="AK3595" s="1" t="s">
        <v>49</v>
      </c>
      <c r="AL3595" s="1">
        <v>115</v>
      </c>
    </row>
    <row r="3596" spans="1:38" x14ac:dyDescent="0.2">
      <c r="A3596" s="2" t="str">
        <f>HYPERLINK("https://www.compass.com/listing/300-east-64th-street-unit-5j-manhattan-ny-10065/29415711805891841/","300 E 64th St, Unit 5J")</f>
        <v>300 E 64th St, Unit 5J</v>
      </c>
      <c r="B3596" s="2" t="str">
        <f t="shared" ref="B3596:B3599" si="603">HYPERLINK("https://www.compass.com/building/300-e-64th-st-manhattan-ny-10065/282038617012979925/","300 E 64th St")</f>
        <v>300 E 64th St</v>
      </c>
      <c r="C3596" s="1" t="s">
        <v>82</v>
      </c>
      <c r="D3596" s="1" t="s">
        <v>41</v>
      </c>
      <c r="E3596" s="3">
        <v>695000</v>
      </c>
      <c r="F3596" s="1">
        <v>1299.06542056074</v>
      </c>
      <c r="G3596" s="1">
        <v>2.5</v>
      </c>
      <c r="H3596" s="1" t="s">
        <v>153</v>
      </c>
      <c r="I3596" s="1">
        <v>1</v>
      </c>
      <c r="J3596" s="1">
        <v>1</v>
      </c>
      <c r="M3596" s="1">
        <v>535</v>
      </c>
      <c r="N3596" s="1">
        <v>602</v>
      </c>
      <c r="O3596" s="1">
        <v>1460</v>
      </c>
      <c r="P3596" s="1">
        <v>858</v>
      </c>
      <c r="Q3596" s="1" t="s">
        <v>42</v>
      </c>
      <c r="S3596" s="1" t="s">
        <v>42</v>
      </c>
      <c r="T3596" s="1" t="s">
        <v>273</v>
      </c>
      <c r="U3596" s="1">
        <v>23</v>
      </c>
      <c r="V3596" s="5">
        <v>43654</v>
      </c>
      <c r="W3596" s="5">
        <v>42284</v>
      </c>
      <c r="X3596" s="1">
        <v>725000</v>
      </c>
      <c r="Y3596" s="1">
        <v>695000</v>
      </c>
      <c r="Z3596" s="5">
        <v>42307</v>
      </c>
      <c r="AA3596" s="1">
        <v>695000</v>
      </c>
      <c r="AB3596" s="1" t="s">
        <v>2374</v>
      </c>
      <c r="AC3596" s="5">
        <v>42327</v>
      </c>
      <c r="AF3596" s="1">
        <v>10065</v>
      </c>
      <c r="AI3596" s="1" t="s">
        <v>189</v>
      </c>
      <c r="AJ3596" s="1">
        <v>1996</v>
      </c>
      <c r="AK3596" s="1" t="s">
        <v>49</v>
      </c>
      <c r="AL3596" s="1">
        <v>103</v>
      </c>
    </row>
    <row r="3597" spans="1:38" x14ac:dyDescent="0.2">
      <c r="A3597" s="2" t="str">
        <f>HYPERLINK("https://www.compass.com/listing/300-east-64th-street-unit-6j-manhattan-ny-10065/29415714951566321/","300 E 64th St, Unit 6J")</f>
        <v>300 E 64th St, Unit 6J</v>
      </c>
      <c r="B3597" s="2" t="str">
        <f t="shared" si="603"/>
        <v>300 E 64th St</v>
      </c>
      <c r="C3597" s="1" t="s">
        <v>82</v>
      </c>
      <c r="D3597" s="1" t="s">
        <v>41</v>
      </c>
      <c r="E3597" s="3">
        <v>715000</v>
      </c>
      <c r="F3597" s="1">
        <v>1336.4485981308401</v>
      </c>
      <c r="G3597" s="1">
        <v>1.5</v>
      </c>
      <c r="H3597" s="1" t="s">
        <v>153</v>
      </c>
      <c r="I3597" s="1">
        <v>1</v>
      </c>
      <c r="J3597" s="1">
        <v>1</v>
      </c>
      <c r="M3597" s="1">
        <v>535</v>
      </c>
      <c r="N3597" s="1">
        <v>602</v>
      </c>
      <c r="O3597" s="1">
        <v>1460</v>
      </c>
      <c r="P3597" s="1">
        <v>858</v>
      </c>
      <c r="Q3597" s="1" t="s">
        <v>42</v>
      </c>
      <c r="S3597" s="1" t="s">
        <v>42</v>
      </c>
      <c r="T3597" s="1" t="s">
        <v>273</v>
      </c>
      <c r="U3597" s="1">
        <v>20</v>
      </c>
      <c r="V3597" s="5">
        <v>43654</v>
      </c>
      <c r="W3597" s="5">
        <v>42308</v>
      </c>
      <c r="X3597" s="1">
        <v>715000</v>
      </c>
      <c r="Y3597" s="1">
        <v>715000</v>
      </c>
      <c r="Z3597" s="5">
        <v>42328</v>
      </c>
      <c r="AA3597" s="1">
        <v>715000</v>
      </c>
      <c r="AB3597" s="1" t="s">
        <v>2375</v>
      </c>
      <c r="AC3597" s="5">
        <v>42354</v>
      </c>
      <c r="AF3597" s="1">
        <v>10065</v>
      </c>
      <c r="AI3597" s="1" t="s">
        <v>189</v>
      </c>
      <c r="AJ3597" s="1">
        <v>1996</v>
      </c>
      <c r="AK3597" s="1" t="s">
        <v>49</v>
      </c>
      <c r="AL3597" s="1">
        <v>103</v>
      </c>
    </row>
    <row r="3598" spans="1:38" x14ac:dyDescent="0.2">
      <c r="A3598" s="2" t="str">
        <f>HYPERLINK("https://www.compass.com/listing/300-east-64th-street-unit-5g-manhattan-ny-10065/29641178135662401/","300 E 64th St, Unit 5G")</f>
        <v>300 E 64th St, Unit 5G</v>
      </c>
      <c r="B3598" s="2" t="str">
        <f t="shared" si="603"/>
        <v>300 E 64th St</v>
      </c>
      <c r="C3598" s="1" t="s">
        <v>82</v>
      </c>
      <c r="D3598" s="1" t="s">
        <v>41</v>
      </c>
      <c r="E3598" s="3">
        <v>705000</v>
      </c>
      <c r="F3598" s="1">
        <v>1493.64406779661</v>
      </c>
      <c r="G3598" s="1">
        <v>2</v>
      </c>
      <c r="H3598" s="1" t="s">
        <v>99</v>
      </c>
      <c r="I3598" s="1">
        <v>1</v>
      </c>
      <c r="J3598" s="1">
        <v>1</v>
      </c>
      <c r="M3598" s="1">
        <v>472</v>
      </c>
      <c r="N3598" s="1">
        <v>531</v>
      </c>
      <c r="O3598" s="1">
        <v>1288</v>
      </c>
      <c r="P3598" s="1">
        <v>757</v>
      </c>
      <c r="Q3598" s="1" t="s">
        <v>42</v>
      </c>
      <c r="S3598" s="1" t="s">
        <v>42</v>
      </c>
      <c r="T3598" s="1" t="s">
        <v>273</v>
      </c>
      <c r="U3598" s="1">
        <v>261</v>
      </c>
      <c r="V3598" s="5">
        <v>42184</v>
      </c>
      <c r="W3598" s="5">
        <v>41815</v>
      </c>
      <c r="X3598" s="1">
        <v>795000</v>
      </c>
      <c r="Y3598" s="1">
        <v>705000</v>
      </c>
      <c r="AA3598" s="1">
        <v>705000</v>
      </c>
      <c r="AB3598" s="1" t="s">
        <v>2376</v>
      </c>
      <c r="AC3598" s="5">
        <v>42201</v>
      </c>
      <c r="AF3598" s="1">
        <v>10065</v>
      </c>
      <c r="AI3598" s="1" t="s">
        <v>189</v>
      </c>
      <c r="AJ3598" s="1">
        <v>1996</v>
      </c>
      <c r="AK3598" s="1" t="s">
        <v>46</v>
      </c>
      <c r="AL3598" s="1">
        <v>103</v>
      </c>
    </row>
    <row r="3599" spans="1:38" x14ac:dyDescent="0.2">
      <c r="A3599" s="2" t="str">
        <f>HYPERLINK("https://www.compass.com/listing/300-east-64th-street-unit-15b-manhattan-ny-10065/29415729682017153/","300 E 64th St, Unit 15B")</f>
        <v>300 E 64th St, Unit 15B</v>
      </c>
      <c r="B3599" s="2" t="str">
        <f t="shared" si="603"/>
        <v>300 E 64th St</v>
      </c>
      <c r="C3599" s="1" t="s">
        <v>82</v>
      </c>
      <c r="D3599" s="1" t="s">
        <v>41</v>
      </c>
      <c r="E3599" s="3">
        <v>1069163</v>
      </c>
      <c r="F3599" s="1">
        <v>1681.07311320754</v>
      </c>
      <c r="G3599" s="1">
        <v>3</v>
      </c>
      <c r="H3599" s="1">
        <v>1</v>
      </c>
      <c r="I3599" s="1">
        <v>1</v>
      </c>
      <c r="J3599" s="1">
        <v>1</v>
      </c>
      <c r="K3599" s="1">
        <v>1</v>
      </c>
      <c r="M3599" s="1">
        <v>636</v>
      </c>
      <c r="N3599" s="1">
        <v>716</v>
      </c>
      <c r="O3599" s="1">
        <v>1736</v>
      </c>
      <c r="P3599" s="1">
        <v>1020</v>
      </c>
      <c r="Q3599" s="1" t="s">
        <v>42</v>
      </c>
      <c r="S3599" s="1" t="s">
        <v>42</v>
      </c>
      <c r="T3599" s="1" t="s">
        <v>273</v>
      </c>
      <c r="U3599" s="1">
        <v>86</v>
      </c>
      <c r="V3599" s="5">
        <v>44391</v>
      </c>
      <c r="W3599" s="5">
        <v>42077</v>
      </c>
      <c r="X3599" s="1">
        <v>1050000</v>
      </c>
      <c r="Y3599" s="1">
        <v>1050000</v>
      </c>
      <c r="Z3599" s="5">
        <v>42164</v>
      </c>
      <c r="AA3599" s="1">
        <v>1069162.5</v>
      </c>
      <c r="AB3599" s="1" t="s">
        <v>2377</v>
      </c>
      <c r="AC3599" s="5">
        <v>42208</v>
      </c>
      <c r="AF3599" s="1">
        <v>10065</v>
      </c>
      <c r="AI3599" s="1" t="s">
        <v>189</v>
      </c>
      <c r="AJ3599" s="1">
        <v>1996</v>
      </c>
      <c r="AK3599" s="1" t="s">
        <v>49</v>
      </c>
      <c r="AL3599" s="1">
        <v>103</v>
      </c>
    </row>
    <row r="3600" spans="1:38" x14ac:dyDescent="0.2">
      <c r="A3600" s="2" t="str">
        <f>HYPERLINK("https://www.compass.com/listing/30-east-31st-street-unit-3b-manhattan-ny-10016/689316766883327569/","30 E 31st St, Unit 3B")</f>
        <v>30 E 31st St, Unit 3B</v>
      </c>
      <c r="B3600" s="2" t="str">
        <f t="shared" ref="B3600:B3601" si="604">HYPERLINK("https://www.compass.com/building/30-east-31st-street-manhattan-ny/281939352542566357/","30 East 31st Street")</f>
        <v>30 East 31st Street</v>
      </c>
      <c r="C3600" s="1" t="s">
        <v>40</v>
      </c>
      <c r="D3600" s="1" t="s">
        <v>41</v>
      </c>
      <c r="E3600" s="3">
        <v>1175000</v>
      </c>
      <c r="F3600" s="1">
        <v>1356.8129330254001</v>
      </c>
      <c r="G3600" s="1">
        <v>2</v>
      </c>
      <c r="H3600" s="1">
        <v>1</v>
      </c>
      <c r="I3600" s="1">
        <v>1</v>
      </c>
      <c r="J3600" s="1">
        <v>1</v>
      </c>
      <c r="K3600" s="1">
        <v>1</v>
      </c>
      <c r="M3600" s="1">
        <v>866</v>
      </c>
      <c r="N3600" s="1">
        <v>1130</v>
      </c>
      <c r="O3600" s="1">
        <v>2660</v>
      </c>
      <c r="P3600" s="1">
        <v>1530</v>
      </c>
      <c r="Q3600" s="1" t="s">
        <v>42</v>
      </c>
      <c r="S3600" s="1" t="s">
        <v>42</v>
      </c>
      <c r="T3600" s="1" t="s">
        <v>273</v>
      </c>
      <c r="U3600" s="1">
        <v>129</v>
      </c>
      <c r="V3600" s="5">
        <v>44406</v>
      </c>
      <c r="W3600" s="5">
        <v>44202</v>
      </c>
      <c r="X3600" s="1">
        <v>1175000</v>
      </c>
      <c r="Y3600" s="1">
        <v>1650000</v>
      </c>
      <c r="Z3600" s="5">
        <v>44372</v>
      </c>
      <c r="AA3600" s="1">
        <v>1175000</v>
      </c>
      <c r="AB3600" s="1" t="s">
        <v>275</v>
      </c>
      <c r="AC3600" s="5">
        <v>44405</v>
      </c>
      <c r="AF3600" s="1">
        <v>10016</v>
      </c>
      <c r="AJ3600" s="1">
        <v>2018</v>
      </c>
      <c r="AK3600" s="1" t="s">
        <v>46</v>
      </c>
      <c r="AL3600" s="1">
        <v>42</v>
      </c>
    </row>
    <row r="3601" spans="1:38" x14ac:dyDescent="0.2">
      <c r="A3601" s="2" t="str">
        <f>HYPERLINK("https://www.compass.com/listing/30-east-31st-street-unit-4a-manhattan-ny-10016/653138458798704897/","30 E 31st St, Unit 4A")</f>
        <v>30 E 31st St, Unit 4A</v>
      </c>
      <c r="B3601" s="2" t="str">
        <f t="shared" si="604"/>
        <v>30 East 31st Street</v>
      </c>
      <c r="C3601" s="1" t="s">
        <v>40</v>
      </c>
      <c r="D3601" s="1" t="s">
        <v>41</v>
      </c>
      <c r="E3601" s="3">
        <v>1325000</v>
      </c>
      <c r="F3601" s="1">
        <v>1341.0931174089001</v>
      </c>
      <c r="G3601" s="1">
        <v>2</v>
      </c>
      <c r="H3601" s="1">
        <v>1</v>
      </c>
      <c r="I3601" s="1">
        <v>2</v>
      </c>
      <c r="J3601" s="1">
        <v>1.5</v>
      </c>
      <c r="K3601" s="1">
        <v>1</v>
      </c>
      <c r="L3601" s="1">
        <v>1</v>
      </c>
      <c r="M3601" s="1">
        <v>988</v>
      </c>
      <c r="N3601" s="1">
        <v>1292</v>
      </c>
      <c r="O3601" s="1">
        <v>3022</v>
      </c>
      <c r="P3601" s="1">
        <v>1730</v>
      </c>
      <c r="Q3601" s="1" t="s">
        <v>42</v>
      </c>
      <c r="S3601" s="1" t="s">
        <v>42</v>
      </c>
      <c r="T3601" s="1" t="s">
        <v>273</v>
      </c>
      <c r="V3601" s="5">
        <v>44413</v>
      </c>
      <c r="W3601" s="5">
        <v>44152</v>
      </c>
      <c r="X3601" s="1">
        <v>1325000</v>
      </c>
      <c r="Y3601" s="1">
        <v>1325000</v>
      </c>
      <c r="Z3601" s="5">
        <v>44152</v>
      </c>
      <c r="AA3601" s="1">
        <v>1325000</v>
      </c>
      <c r="AB3601" s="1" t="s">
        <v>275</v>
      </c>
      <c r="AC3601" s="5">
        <v>44412</v>
      </c>
      <c r="AF3601" s="1">
        <v>10016</v>
      </c>
      <c r="AJ3601" s="1">
        <v>2018</v>
      </c>
      <c r="AK3601" s="1" t="s">
        <v>46</v>
      </c>
      <c r="AL3601" s="1">
        <v>42</v>
      </c>
    </row>
    <row r="3602" spans="1:38" x14ac:dyDescent="0.2">
      <c r="A3602" s="2" t="str">
        <f>HYPERLINK("https://www.compass.com/listing/277-5th-avenue-unit-43b-manhattan-ny-10016/779734091335307657/","277 5th Ave, Unit 43B")</f>
        <v>277 5th Ave, Unit 43B</v>
      </c>
      <c r="B3602" s="2" t="str">
        <f>HYPERLINK("https://www.compass.com/building/277-fifth-avenue-manhattan-ny/281939285475645317/","277 FIFTH AVENUE")</f>
        <v>277 FIFTH AVENUE</v>
      </c>
      <c r="C3602" s="1" t="s">
        <v>40</v>
      </c>
      <c r="D3602" s="1" t="s">
        <v>41</v>
      </c>
      <c r="E3602" s="3">
        <v>3842809</v>
      </c>
      <c r="F3602" s="1">
        <v>2700.4980744905101</v>
      </c>
      <c r="G3602" s="1">
        <v>5</v>
      </c>
      <c r="H3602" s="1">
        <v>2</v>
      </c>
      <c r="I3602" s="1">
        <v>2</v>
      </c>
      <c r="J3602" s="1">
        <v>2</v>
      </c>
      <c r="K3602" s="1">
        <v>2</v>
      </c>
      <c r="M3602" s="4">
        <v>1423</v>
      </c>
      <c r="N3602" s="1">
        <v>2041</v>
      </c>
      <c r="O3602" s="1">
        <v>3858</v>
      </c>
      <c r="P3602" s="1">
        <v>1817</v>
      </c>
      <c r="Q3602" s="1" t="s">
        <v>42</v>
      </c>
      <c r="S3602" s="1" t="s">
        <v>42</v>
      </c>
      <c r="T3602" s="1" t="s">
        <v>273</v>
      </c>
      <c r="V3602" s="5">
        <v>44419</v>
      </c>
      <c r="W3602" s="5">
        <v>44327</v>
      </c>
      <c r="X3602" s="1">
        <v>4460000</v>
      </c>
      <c r="Y3602" s="1">
        <v>4460000</v>
      </c>
      <c r="Z3602" s="5">
        <v>44328</v>
      </c>
      <c r="AA3602" s="1">
        <v>3842808.76</v>
      </c>
      <c r="AB3602" s="1" t="s">
        <v>2378</v>
      </c>
      <c r="AC3602" s="5">
        <v>44348</v>
      </c>
      <c r="AF3602" s="1">
        <v>10016</v>
      </c>
      <c r="AI3602" s="1" t="s">
        <v>118</v>
      </c>
      <c r="AJ3602" s="1">
        <v>2019</v>
      </c>
      <c r="AK3602" s="1" t="s">
        <v>49</v>
      </c>
      <c r="AL3602" s="1">
        <v>130</v>
      </c>
    </row>
    <row r="3603" spans="1:38" x14ac:dyDescent="0.2">
      <c r="A3603" s="2" t="str">
        <f>HYPERLINK("https://www.compass.com/listing/505-513-west-43rd-street-unit-6j-manhattan-ny-10036/29519915186718753/","505-513 W 43rd St, Unit 6J")</f>
        <v>505-513 W 43rd St, Unit 6J</v>
      </c>
      <c r="B3603" s="2" t="str">
        <f>HYPERLINK("https://www.compass.com/building/charlie-west-manhattan-ny/292918554372621509/","Charlie West")</f>
        <v>Charlie West</v>
      </c>
      <c r="C3603" s="1" t="s">
        <v>90</v>
      </c>
      <c r="D3603" s="1" t="s">
        <v>41</v>
      </c>
      <c r="E3603" s="3">
        <v>855330</v>
      </c>
      <c r="F3603" s="1">
        <v>1700.4572564612299</v>
      </c>
      <c r="G3603" s="1">
        <v>2</v>
      </c>
      <c r="H3603" s="1" t="s">
        <v>99</v>
      </c>
      <c r="I3603" s="1">
        <v>1</v>
      </c>
      <c r="J3603" s="1">
        <v>1</v>
      </c>
      <c r="K3603" s="1">
        <v>1</v>
      </c>
      <c r="M3603" s="1">
        <v>503</v>
      </c>
      <c r="N3603" s="1">
        <v>522</v>
      </c>
      <c r="O3603" s="1">
        <v>983</v>
      </c>
      <c r="P3603" s="1">
        <v>461</v>
      </c>
      <c r="Q3603" s="1" t="s">
        <v>42</v>
      </c>
      <c r="S3603" s="1" t="s">
        <v>42</v>
      </c>
      <c r="T3603" s="1" t="s">
        <v>273</v>
      </c>
      <c r="V3603" s="5">
        <v>43732</v>
      </c>
      <c r="W3603" s="5">
        <v>43011</v>
      </c>
      <c r="X3603" s="1">
        <v>840000</v>
      </c>
      <c r="Y3603" s="1">
        <v>840000</v>
      </c>
      <c r="Z3603" s="5">
        <v>43011</v>
      </c>
      <c r="AA3603" s="1">
        <v>855330</v>
      </c>
      <c r="AB3603" s="1" t="s">
        <v>2379</v>
      </c>
      <c r="AC3603" s="5">
        <v>43724</v>
      </c>
      <c r="AF3603" s="1">
        <v>10036</v>
      </c>
      <c r="AI3603" s="1" t="s">
        <v>118</v>
      </c>
      <c r="AJ3603" s="1">
        <v>2019</v>
      </c>
      <c r="AK3603" s="1" t="s">
        <v>46</v>
      </c>
      <c r="AL3603" s="1">
        <v>123</v>
      </c>
    </row>
    <row r="3604" spans="1:38" x14ac:dyDescent="0.2">
      <c r="A3604" s="2" t="str">
        <f>HYPERLINK("https://www.compass.com/listing/30-east-31st-street-unit-38-manhattan-ny-10016/783919487760041737/","30 E 31st St, Unit 38")</f>
        <v>30 E 31st St, Unit 38</v>
      </c>
      <c r="B3604" s="2" t="str">
        <f>HYPERLINK("https://www.compass.com/building/30-east-31st-street-manhattan-ny/281939352542566357/","30 East 31st Street")</f>
        <v>30 East 31st Street</v>
      </c>
      <c r="C3604" s="1" t="s">
        <v>40</v>
      </c>
      <c r="D3604" s="1" t="s">
        <v>41</v>
      </c>
      <c r="E3604" s="3">
        <v>4127750</v>
      </c>
      <c r="F3604" s="1">
        <v>2461.38938580799</v>
      </c>
      <c r="G3604" s="1">
        <v>4</v>
      </c>
      <c r="H3604" s="1">
        <v>2</v>
      </c>
      <c r="I3604" s="1">
        <v>3</v>
      </c>
      <c r="J3604" s="1">
        <v>2.5</v>
      </c>
      <c r="K3604" s="1">
        <v>2</v>
      </c>
      <c r="L3604" s="1">
        <v>1</v>
      </c>
      <c r="M3604" s="4">
        <v>1677</v>
      </c>
      <c r="N3604" s="1">
        <v>3317</v>
      </c>
      <c r="O3604" s="1">
        <v>3317</v>
      </c>
      <c r="Q3604" s="1" t="s">
        <v>42</v>
      </c>
      <c r="S3604" s="1" t="s">
        <v>42</v>
      </c>
      <c r="T3604" s="1" t="s">
        <v>273</v>
      </c>
      <c r="U3604" s="1">
        <v>943</v>
      </c>
      <c r="V3604" s="5">
        <v>44427</v>
      </c>
      <c r="W3604" s="5">
        <v>42943</v>
      </c>
      <c r="X3604" s="1">
        <v>4850000</v>
      </c>
      <c r="Y3604" s="1">
        <v>4850000</v>
      </c>
      <c r="Z3604" s="5">
        <v>43887</v>
      </c>
      <c r="AA3604" s="1">
        <v>4127750</v>
      </c>
      <c r="AB3604" s="1" t="s">
        <v>2380</v>
      </c>
      <c r="AC3604" s="5">
        <v>44216</v>
      </c>
      <c r="AF3604" s="1">
        <v>10016</v>
      </c>
      <c r="AJ3604" s="1">
        <v>2018</v>
      </c>
      <c r="AK3604" s="1" t="s">
        <v>125</v>
      </c>
      <c r="AL3604" s="1">
        <v>42</v>
      </c>
    </row>
    <row r="3605" spans="1:38" x14ac:dyDescent="0.2">
      <c r="A3605" s="2" t="str">
        <f>HYPERLINK("https://www.compass.com/listing/300-east-64th-street-unit-22d-manhattan-ny-10065/29415741719668417/","300 E 64th St, Unit 22D")</f>
        <v>300 E 64th St, Unit 22D</v>
      </c>
      <c r="B3605" s="2" t="str">
        <f t="shared" ref="B3605:B3607" si="605">HYPERLINK("https://www.compass.com/building/300-e-64th-st-manhattan-ny-10065/282038617012979925/","300 E 64th St")</f>
        <v>300 E 64th St</v>
      </c>
      <c r="C3605" s="1" t="s">
        <v>82</v>
      </c>
      <c r="D3605" s="1" t="s">
        <v>41</v>
      </c>
      <c r="E3605" s="3">
        <v>1390046</v>
      </c>
      <c r="F3605" s="1">
        <v>1777.5524296675101</v>
      </c>
      <c r="G3605" s="1">
        <v>3</v>
      </c>
      <c r="H3605" s="1">
        <v>1</v>
      </c>
      <c r="I3605" s="1">
        <v>1</v>
      </c>
      <c r="J3605" s="1">
        <v>1</v>
      </c>
      <c r="K3605" s="1">
        <v>1</v>
      </c>
      <c r="M3605" s="1">
        <v>782</v>
      </c>
      <c r="N3605" s="1">
        <v>880</v>
      </c>
      <c r="O3605" s="1">
        <v>2223</v>
      </c>
      <c r="P3605" s="1">
        <v>1343</v>
      </c>
      <c r="Q3605" s="1" t="s">
        <v>42</v>
      </c>
      <c r="S3605" s="1" t="s">
        <v>42</v>
      </c>
      <c r="T3605" s="1" t="s">
        <v>273</v>
      </c>
      <c r="U3605" s="1">
        <v>220</v>
      </c>
      <c r="V3605" s="5">
        <v>44369</v>
      </c>
      <c r="W3605" s="5">
        <v>42861</v>
      </c>
      <c r="X3605" s="1">
        <v>1450000</v>
      </c>
      <c r="Y3605" s="1">
        <v>1399000</v>
      </c>
      <c r="Z3605" s="5">
        <v>43081</v>
      </c>
      <c r="AA3605" s="1">
        <v>1390046</v>
      </c>
      <c r="AB3605" s="1" t="s">
        <v>2381</v>
      </c>
      <c r="AC3605" s="5">
        <v>43099</v>
      </c>
      <c r="AF3605" s="1">
        <v>10065</v>
      </c>
      <c r="AI3605" s="1" t="s">
        <v>189</v>
      </c>
      <c r="AJ3605" s="1">
        <v>1996</v>
      </c>
      <c r="AK3605" s="1" t="s">
        <v>49</v>
      </c>
      <c r="AL3605" s="1">
        <v>103</v>
      </c>
    </row>
    <row r="3606" spans="1:38" x14ac:dyDescent="0.2">
      <c r="A3606" s="2" t="str">
        <f>HYPERLINK("https://www.compass.com/listing/300-east-64th-street-unit-16d-manhattan-ny-10065/29415732265708465/","300 E 64th St, Unit 16D")</f>
        <v>300 E 64th St, Unit 16D</v>
      </c>
      <c r="B3606" s="2" t="str">
        <f t="shared" si="605"/>
        <v>300 E 64th St</v>
      </c>
      <c r="C3606" s="1" t="s">
        <v>82</v>
      </c>
      <c r="D3606" s="1" t="s">
        <v>41</v>
      </c>
      <c r="E3606" s="3">
        <v>1260038</v>
      </c>
      <c r="F3606" s="1">
        <v>1611.3017902813201</v>
      </c>
      <c r="G3606" s="1">
        <v>3</v>
      </c>
      <c r="H3606" s="1">
        <v>1</v>
      </c>
      <c r="I3606" s="1">
        <v>1</v>
      </c>
      <c r="J3606" s="1">
        <v>1</v>
      </c>
      <c r="K3606" s="1">
        <v>1</v>
      </c>
      <c r="M3606" s="1">
        <v>782</v>
      </c>
      <c r="N3606" s="1">
        <v>880</v>
      </c>
      <c r="O3606" s="1">
        <v>2223</v>
      </c>
      <c r="P3606" s="1">
        <v>1343</v>
      </c>
      <c r="Q3606" s="1" t="s">
        <v>42</v>
      </c>
      <c r="S3606" s="1" t="s">
        <v>42</v>
      </c>
      <c r="T3606" s="1" t="s">
        <v>273</v>
      </c>
      <c r="U3606" s="1">
        <v>167</v>
      </c>
      <c r="V3606" s="5">
        <v>44343</v>
      </c>
      <c r="W3606" s="5">
        <v>42861</v>
      </c>
      <c r="X3606" s="1">
        <v>1315000</v>
      </c>
      <c r="Y3606" s="1">
        <v>1250000</v>
      </c>
      <c r="Z3606" s="5">
        <v>43028</v>
      </c>
      <c r="AA3606" s="1">
        <v>1260038</v>
      </c>
      <c r="AB3606" s="1" t="s">
        <v>2382</v>
      </c>
      <c r="AC3606" s="5">
        <v>43061</v>
      </c>
      <c r="AF3606" s="1">
        <v>10065</v>
      </c>
      <c r="AI3606" s="1" t="s">
        <v>189</v>
      </c>
      <c r="AJ3606" s="1">
        <v>1996</v>
      </c>
      <c r="AK3606" s="1" t="s">
        <v>49</v>
      </c>
      <c r="AL3606" s="1">
        <v>103</v>
      </c>
    </row>
    <row r="3607" spans="1:38" x14ac:dyDescent="0.2">
      <c r="A3607" s="2" t="str">
        <f>HYPERLINK("https://www.compass.com/listing/300-east-64th-street-unit-18c-manhattan-ny-10065/408526744282619169/","300 E 64th St, Unit 18C")</f>
        <v>300 E 64th St, Unit 18C</v>
      </c>
      <c r="B3607" s="2" t="str">
        <f t="shared" si="605"/>
        <v>300 E 64th St</v>
      </c>
      <c r="C3607" s="1" t="s">
        <v>82</v>
      </c>
      <c r="D3607" s="1" t="s">
        <v>41</v>
      </c>
      <c r="E3607" s="3">
        <v>1300000</v>
      </c>
      <c r="F3607" s="1">
        <v>1331.9672131147499</v>
      </c>
      <c r="G3607" s="1">
        <v>3</v>
      </c>
      <c r="H3607" s="1">
        <v>1</v>
      </c>
      <c r="I3607" s="1">
        <v>2</v>
      </c>
      <c r="J3607" s="1">
        <v>2</v>
      </c>
      <c r="K3607" s="1">
        <v>2</v>
      </c>
      <c r="M3607" s="1">
        <v>976</v>
      </c>
      <c r="N3607" s="1">
        <v>1131</v>
      </c>
      <c r="O3607" s="1">
        <v>2696</v>
      </c>
      <c r="P3607" s="1">
        <v>1565</v>
      </c>
      <c r="Q3607" s="1" t="s">
        <v>42</v>
      </c>
      <c r="S3607" s="1" t="s">
        <v>42</v>
      </c>
      <c r="T3607" s="1" t="s">
        <v>273</v>
      </c>
      <c r="U3607" s="1">
        <v>2109</v>
      </c>
      <c r="V3607" s="5">
        <v>43987</v>
      </c>
      <c r="W3607" s="5">
        <v>41800</v>
      </c>
      <c r="Y3607" s="1">
        <v>1450000</v>
      </c>
      <c r="Z3607" s="5">
        <v>43910</v>
      </c>
      <c r="AA3607" s="1">
        <v>1300000</v>
      </c>
      <c r="AB3607" s="1" t="s">
        <v>2383</v>
      </c>
      <c r="AC3607" s="5">
        <v>43984</v>
      </c>
      <c r="AF3607" s="1">
        <v>10065</v>
      </c>
      <c r="AI3607" s="1" t="s">
        <v>189</v>
      </c>
      <c r="AJ3607" s="1">
        <v>1996</v>
      </c>
      <c r="AK3607" s="1" t="s">
        <v>49</v>
      </c>
      <c r="AL3607" s="1">
        <v>103</v>
      </c>
    </row>
    <row r="3608" spans="1:38" x14ac:dyDescent="0.2">
      <c r="A3608" s="2" t="str">
        <f>HYPERLINK("https://www.compass.com/listing/505-513-west-43rd-street-unit-11k-manhattan-ny-10036/268057393651271185/","505-513 W 43rd St, Unit 11K")</f>
        <v>505-513 W 43rd St, Unit 11K</v>
      </c>
      <c r="B3608" s="2" t="str">
        <f>HYPERLINK("https://www.compass.com/building/charlie-west-manhattan-ny/292918554372621509/","Charlie West")</f>
        <v>Charlie West</v>
      </c>
      <c r="C3608" s="1" t="s">
        <v>90</v>
      </c>
      <c r="D3608" s="1" t="s">
        <v>41</v>
      </c>
      <c r="E3608" s="3">
        <v>1999000</v>
      </c>
      <c r="F3608" s="1">
        <v>1891.2015137180699</v>
      </c>
      <c r="G3608" s="1">
        <v>4</v>
      </c>
      <c r="H3608" s="1">
        <v>2</v>
      </c>
      <c r="I3608" s="1">
        <v>2</v>
      </c>
      <c r="J3608" s="1">
        <v>2</v>
      </c>
      <c r="K3608" s="1">
        <v>2</v>
      </c>
      <c r="M3608" s="4">
        <v>1057</v>
      </c>
      <c r="N3608" s="1">
        <v>1156.29</v>
      </c>
      <c r="O3608" s="1">
        <v>2134.1799999999998</v>
      </c>
      <c r="Q3608" s="1" t="s">
        <v>158</v>
      </c>
      <c r="S3608" s="1" t="s">
        <v>158</v>
      </c>
      <c r="T3608" s="1" t="s">
        <v>273</v>
      </c>
      <c r="U3608" s="1">
        <v>90</v>
      </c>
      <c r="V3608" s="5">
        <v>44062</v>
      </c>
      <c r="W3608" s="5">
        <v>43621</v>
      </c>
      <c r="X3608" s="1">
        <v>2270000</v>
      </c>
      <c r="Y3608" s="1">
        <v>2270000</v>
      </c>
      <c r="Z3608" s="5">
        <v>43712</v>
      </c>
      <c r="AA3608" s="1">
        <v>1999000</v>
      </c>
      <c r="AB3608" s="1" t="s">
        <v>2384</v>
      </c>
      <c r="AC3608" s="5">
        <v>43978</v>
      </c>
      <c r="AF3608" s="1">
        <v>10036</v>
      </c>
      <c r="AI3608" s="1" t="s">
        <v>238</v>
      </c>
      <c r="AJ3608" s="1">
        <v>2019</v>
      </c>
      <c r="AK3608" s="1" t="s">
        <v>46</v>
      </c>
      <c r="AL3608" s="1">
        <v>123</v>
      </c>
    </row>
    <row r="3609" spans="1:38" x14ac:dyDescent="0.2">
      <c r="A3609" s="2" t="str">
        <f>HYPERLINK("https://www.compass.com/listing/300-east-64th-street-unit-18d-manhattan-ny-10065/29415735302383201/","300 E 64th St, Unit 18D")</f>
        <v>300 E 64th St, Unit 18D</v>
      </c>
      <c r="B3609" s="2" t="str">
        <f t="shared" ref="B3609:B3610" si="606">HYPERLINK("https://www.compass.com/building/300-e-64th-st-manhattan-ny-10065/282038617012979925/","300 E 64th St")</f>
        <v>300 E 64th St</v>
      </c>
      <c r="C3609" s="1" t="s">
        <v>82</v>
      </c>
      <c r="D3609" s="1" t="s">
        <v>41</v>
      </c>
      <c r="E3609" s="3">
        <v>1329499</v>
      </c>
      <c r="F3609" s="1">
        <v>1685.0435614702101</v>
      </c>
      <c r="G3609" s="1">
        <v>3</v>
      </c>
      <c r="H3609" s="1">
        <v>1</v>
      </c>
      <c r="I3609" s="1">
        <v>1</v>
      </c>
      <c r="J3609" s="1">
        <v>1</v>
      </c>
      <c r="K3609" s="1">
        <v>1</v>
      </c>
      <c r="M3609" s="1">
        <v>789</v>
      </c>
      <c r="N3609" s="1">
        <v>880</v>
      </c>
      <c r="O3609" s="1">
        <v>2175</v>
      </c>
      <c r="P3609" s="1">
        <v>1295</v>
      </c>
      <c r="Q3609" s="1" t="s">
        <v>42</v>
      </c>
      <c r="S3609" s="1" t="s">
        <v>42</v>
      </c>
      <c r="T3609" s="1" t="s">
        <v>273</v>
      </c>
      <c r="U3609" s="1">
        <v>64</v>
      </c>
      <c r="V3609" s="5">
        <v>44338</v>
      </c>
      <c r="W3609" s="5">
        <v>42703</v>
      </c>
      <c r="X3609" s="1">
        <v>1325000</v>
      </c>
      <c r="Y3609" s="1">
        <v>1315000</v>
      </c>
      <c r="Z3609" s="5">
        <v>42767</v>
      </c>
      <c r="AA3609" s="1">
        <v>1329499.3700000001</v>
      </c>
      <c r="AB3609" s="1" t="s">
        <v>2385</v>
      </c>
      <c r="AC3609" s="5">
        <v>42824</v>
      </c>
      <c r="AF3609" s="1">
        <v>10065</v>
      </c>
      <c r="AI3609" s="1" t="s">
        <v>189</v>
      </c>
      <c r="AJ3609" s="1">
        <v>1996</v>
      </c>
      <c r="AK3609" s="1" t="s">
        <v>46</v>
      </c>
      <c r="AL3609" s="1">
        <v>103</v>
      </c>
    </row>
    <row r="3610" spans="1:38" x14ac:dyDescent="0.2">
      <c r="A3610" s="2" t="str">
        <f>HYPERLINK("https://www.compass.com/listing/300-east-64th-street-unit-7h-manhattan-ny-10065/29415717434594321/","300 E 64th St, Unit 7H")</f>
        <v>300 E 64th St, Unit 7H</v>
      </c>
      <c r="B3610" s="2" t="str">
        <f t="shared" si="606"/>
        <v>300 E 64th St</v>
      </c>
      <c r="C3610" s="1" t="s">
        <v>82</v>
      </c>
      <c r="D3610" s="1" t="s">
        <v>41</v>
      </c>
      <c r="E3610" s="3">
        <v>2165000</v>
      </c>
      <c r="F3610" s="1">
        <v>1305.7901085645301</v>
      </c>
      <c r="G3610" s="1">
        <v>4</v>
      </c>
      <c r="H3610" s="1">
        <v>2</v>
      </c>
      <c r="I3610" s="1">
        <v>3</v>
      </c>
      <c r="J3610" s="1">
        <v>2.5</v>
      </c>
      <c r="K3610" s="1">
        <v>2</v>
      </c>
      <c r="L3610" s="1">
        <v>1</v>
      </c>
      <c r="M3610" s="4">
        <v>1658</v>
      </c>
      <c r="N3610" s="1">
        <v>2148</v>
      </c>
      <c r="O3610" s="1">
        <v>5427</v>
      </c>
      <c r="P3610" s="1">
        <v>3279</v>
      </c>
      <c r="Q3610" s="1" t="s">
        <v>42</v>
      </c>
      <c r="S3610" s="1" t="s">
        <v>42</v>
      </c>
      <c r="T3610" s="1" t="s">
        <v>273</v>
      </c>
      <c r="U3610" s="1">
        <v>707</v>
      </c>
      <c r="V3610" s="5">
        <v>44412</v>
      </c>
      <c r="W3610" s="5">
        <v>42459</v>
      </c>
      <c r="X3610" s="1">
        <v>2985000</v>
      </c>
      <c r="Y3610" s="1">
        <v>2165000</v>
      </c>
      <c r="Z3610" s="5">
        <v>43166</v>
      </c>
      <c r="AA3610" s="1">
        <v>2165000</v>
      </c>
      <c r="AB3610" s="1" t="s">
        <v>2386</v>
      </c>
      <c r="AC3610" s="5">
        <v>43227</v>
      </c>
      <c r="AF3610" s="1">
        <v>10065</v>
      </c>
      <c r="AI3610" s="1" t="s">
        <v>188</v>
      </c>
      <c r="AJ3610" s="1">
        <v>1996</v>
      </c>
      <c r="AK3610" s="1" t="s">
        <v>49</v>
      </c>
      <c r="AL3610" s="1">
        <v>103</v>
      </c>
    </row>
    <row r="3611" spans="1:38" x14ac:dyDescent="0.2">
      <c r="A3611" s="2" t="str">
        <f>HYPERLINK("https://www.compass.com/listing/277-5th-avenue-unit-28c-manhattan-ny-10016/624056138222174441/","277 5th Ave, Unit 28C")</f>
        <v>277 5th Ave, Unit 28C</v>
      </c>
      <c r="B3611" s="2" t="str">
        <f t="shared" ref="B3611:B3613" si="607">HYPERLINK("https://www.compass.com/building/277-fifth-avenue-manhattan-ny/281939285475645317/","277 FIFTH AVENUE")</f>
        <v>277 FIFTH AVENUE</v>
      </c>
      <c r="C3611" s="1" t="s">
        <v>40</v>
      </c>
      <c r="D3611" s="1" t="s">
        <v>41</v>
      </c>
      <c r="E3611" s="3">
        <v>1887862</v>
      </c>
      <c r="F3611" s="1">
        <v>2280.02701690821</v>
      </c>
      <c r="G3611" s="1">
        <v>3</v>
      </c>
      <c r="H3611" s="1">
        <v>1</v>
      </c>
      <c r="I3611" s="1">
        <v>1</v>
      </c>
      <c r="J3611" s="1">
        <v>1</v>
      </c>
      <c r="K3611" s="1">
        <v>1</v>
      </c>
      <c r="M3611" s="1">
        <v>828</v>
      </c>
      <c r="N3611" s="1">
        <v>1194</v>
      </c>
      <c r="O3611" s="1">
        <v>2251</v>
      </c>
      <c r="P3611" s="1">
        <v>1057</v>
      </c>
      <c r="Q3611" s="1" t="s">
        <v>42</v>
      </c>
      <c r="S3611" s="1" t="s">
        <v>42</v>
      </c>
      <c r="T3611" s="1" t="s">
        <v>273</v>
      </c>
      <c r="U3611" s="1">
        <v>188</v>
      </c>
      <c r="V3611" s="5">
        <v>44419</v>
      </c>
      <c r="W3611" s="5">
        <v>44112</v>
      </c>
      <c r="X3611" s="1">
        <v>2205000</v>
      </c>
      <c r="Y3611" s="1">
        <v>1895000</v>
      </c>
      <c r="Z3611" s="5">
        <v>44301</v>
      </c>
      <c r="AA3611" s="1">
        <v>1887862.37</v>
      </c>
      <c r="AB3611" s="1" t="s">
        <v>2387</v>
      </c>
      <c r="AC3611" s="5">
        <v>44354</v>
      </c>
      <c r="AF3611" s="1">
        <v>10016</v>
      </c>
      <c r="AI3611" s="1" t="s">
        <v>118</v>
      </c>
      <c r="AJ3611" s="1">
        <v>2019</v>
      </c>
      <c r="AK3611" s="1" t="s">
        <v>49</v>
      </c>
      <c r="AL3611" s="1">
        <v>130</v>
      </c>
    </row>
    <row r="3612" spans="1:38" x14ac:dyDescent="0.2">
      <c r="A3612" s="2" t="str">
        <f>HYPERLINK("https://www.compass.com/listing/277-5th-avenue-unit-12c-manhattan-ny-10016/274558788013435041/","277 5th Ave, Unit 12C")</f>
        <v>277 5th Ave, Unit 12C</v>
      </c>
      <c r="B3612" s="2" t="str">
        <f t="shared" si="607"/>
        <v>277 FIFTH AVENUE</v>
      </c>
      <c r="C3612" s="1" t="s">
        <v>40</v>
      </c>
      <c r="D3612" s="1" t="s">
        <v>41</v>
      </c>
      <c r="E3612" s="3">
        <v>1710362</v>
      </c>
      <c r="F3612" s="1">
        <v>2065.6550362318799</v>
      </c>
      <c r="G3612" s="1">
        <v>3.5</v>
      </c>
      <c r="H3612" s="1">
        <v>1</v>
      </c>
      <c r="I3612" s="1">
        <v>1</v>
      </c>
      <c r="J3612" s="1">
        <v>1</v>
      </c>
      <c r="K3612" s="1">
        <v>1</v>
      </c>
      <c r="M3612" s="1">
        <v>828</v>
      </c>
      <c r="N3612" s="1">
        <v>1194</v>
      </c>
      <c r="O3612" s="1">
        <v>2493</v>
      </c>
      <c r="P3612" s="1">
        <v>1299</v>
      </c>
      <c r="Q3612" s="1" t="s">
        <v>42</v>
      </c>
      <c r="S3612" s="1" t="s">
        <v>42</v>
      </c>
      <c r="T3612" s="1" t="s">
        <v>273</v>
      </c>
      <c r="U3612" s="1">
        <v>96</v>
      </c>
      <c r="V3612" s="5">
        <v>43631</v>
      </c>
      <c r="W3612" s="5">
        <v>43412</v>
      </c>
      <c r="X3612" s="1">
        <v>1755000</v>
      </c>
      <c r="Y3612" s="1">
        <v>1755000</v>
      </c>
      <c r="Z3612" s="5">
        <v>43585</v>
      </c>
      <c r="AA3612" s="1">
        <v>1710362.37</v>
      </c>
      <c r="AB3612" s="1" t="s">
        <v>2388</v>
      </c>
      <c r="AC3612" s="5">
        <v>43614</v>
      </c>
      <c r="AF3612" s="1">
        <v>10016</v>
      </c>
      <c r="AI3612" s="1" t="s">
        <v>118</v>
      </c>
      <c r="AJ3612" s="1">
        <v>2019</v>
      </c>
      <c r="AK3612" s="1" t="s">
        <v>46</v>
      </c>
      <c r="AL3612" s="1">
        <v>130</v>
      </c>
    </row>
    <row r="3613" spans="1:38" x14ac:dyDescent="0.2">
      <c r="A3613" s="2" t="str">
        <f>HYPERLINK("https://www.compass.com/listing/277-5th-avenue-unit-30c-manhattan-ny-10016/274558841532712769/","277 5th Ave, Unit 30C")</f>
        <v>277 5th Ave, Unit 30C</v>
      </c>
      <c r="B3613" s="2" t="str">
        <f t="shared" si="607"/>
        <v>277 FIFTH AVENUE</v>
      </c>
      <c r="C3613" s="1" t="s">
        <v>40</v>
      </c>
      <c r="D3613" s="1" t="s">
        <v>41</v>
      </c>
      <c r="E3613" s="3">
        <v>2150362</v>
      </c>
      <c r="F3613" s="1">
        <v>2597.0560024154502</v>
      </c>
      <c r="G3613" s="1">
        <v>3</v>
      </c>
      <c r="H3613" s="1">
        <v>1</v>
      </c>
      <c r="I3613" s="1">
        <v>1</v>
      </c>
      <c r="J3613" s="1">
        <v>1</v>
      </c>
      <c r="K3613" s="1">
        <v>1</v>
      </c>
      <c r="M3613" s="1">
        <v>828</v>
      </c>
      <c r="N3613" s="1">
        <v>1193</v>
      </c>
      <c r="O3613" s="1">
        <v>2492</v>
      </c>
      <c r="P3613" s="1">
        <v>1299</v>
      </c>
      <c r="Q3613" s="1" t="s">
        <v>42</v>
      </c>
      <c r="S3613" s="1" t="s">
        <v>42</v>
      </c>
      <c r="T3613" s="1" t="s">
        <v>273</v>
      </c>
      <c r="U3613" s="1">
        <v>2</v>
      </c>
      <c r="V3613" s="5">
        <v>43631</v>
      </c>
      <c r="W3613" s="5">
        <v>43509</v>
      </c>
      <c r="X3613" s="1">
        <v>2245000</v>
      </c>
      <c r="Y3613" s="1">
        <v>2245000</v>
      </c>
      <c r="Z3613" s="5">
        <v>43512</v>
      </c>
      <c r="AA3613" s="1">
        <v>2150362.37</v>
      </c>
      <c r="AB3613" s="1" t="s">
        <v>2389</v>
      </c>
      <c r="AC3613" s="5">
        <v>43573</v>
      </c>
      <c r="AF3613" s="1">
        <v>10016</v>
      </c>
      <c r="AI3613" s="1" t="s">
        <v>118</v>
      </c>
      <c r="AJ3613" s="1">
        <v>2019</v>
      </c>
      <c r="AK3613" s="1" t="s">
        <v>46</v>
      </c>
      <c r="AL3613" s="1">
        <v>130</v>
      </c>
    </row>
    <row r="3614" spans="1:38" x14ac:dyDescent="0.2">
      <c r="A3614" s="2" t="str">
        <f>HYPERLINK("https://www.compass.com/listing/505-513-west-43rd-street-unit-6t-manhattan-ny-10036/156622045541656801/","505-513 W 43rd St, Unit 6T")</f>
        <v>505-513 W 43rd St, Unit 6T</v>
      </c>
      <c r="B3614" s="2" t="str">
        <f t="shared" ref="B3614:B3616" si="608">HYPERLINK("https://www.compass.com/building/charlie-west-manhattan-ny/292918554372621509/","Charlie West")</f>
        <v>Charlie West</v>
      </c>
      <c r="C3614" s="1" t="s">
        <v>90</v>
      </c>
      <c r="D3614" s="1" t="s">
        <v>41</v>
      </c>
      <c r="E3614" s="3">
        <v>771027</v>
      </c>
      <c r="F3614" s="1">
        <v>1818.45872641509</v>
      </c>
      <c r="G3614" s="1">
        <v>1</v>
      </c>
      <c r="H3614" s="1" t="s">
        <v>99</v>
      </c>
      <c r="I3614" s="1">
        <v>1</v>
      </c>
      <c r="J3614" s="1">
        <v>1</v>
      </c>
      <c r="K3614" s="1">
        <v>1</v>
      </c>
      <c r="M3614" s="1">
        <v>424</v>
      </c>
      <c r="N3614" s="1">
        <v>438.75</v>
      </c>
      <c r="O3614" s="1">
        <v>809.81999999999903</v>
      </c>
      <c r="P3614" s="1">
        <v>371.08333333333297</v>
      </c>
      <c r="Q3614" s="1" t="s">
        <v>42</v>
      </c>
      <c r="S3614" s="1" t="s">
        <v>42</v>
      </c>
      <c r="T3614" s="1" t="s">
        <v>273</v>
      </c>
      <c r="U3614" s="1">
        <v>61</v>
      </c>
      <c r="V3614" s="5">
        <v>43804</v>
      </c>
      <c r="W3614" s="5">
        <v>43468</v>
      </c>
      <c r="X3614" s="1">
        <v>773976</v>
      </c>
      <c r="Y3614" s="1">
        <v>773976</v>
      </c>
      <c r="Z3614" s="5">
        <v>43529</v>
      </c>
      <c r="AA3614" s="1">
        <v>771026.5</v>
      </c>
      <c r="AB3614" s="1" t="s">
        <v>2390</v>
      </c>
      <c r="AC3614" s="5">
        <v>43775</v>
      </c>
      <c r="AF3614" s="1">
        <v>10036</v>
      </c>
      <c r="AI3614" s="1" t="s">
        <v>118</v>
      </c>
      <c r="AJ3614" s="1">
        <v>2019</v>
      </c>
      <c r="AK3614" s="1" t="s">
        <v>46</v>
      </c>
      <c r="AL3614" s="1">
        <v>123</v>
      </c>
    </row>
    <row r="3615" spans="1:38" x14ac:dyDescent="0.2">
      <c r="A3615" s="2" t="str">
        <f>HYPERLINK("https://www.compass.com/listing/505-513-west-43rd-street-unit-4t-manhattan-ny-10036/81347643481114865/","505-513 W 43rd St, Unit 4T")</f>
        <v>505-513 W 43rd St, Unit 4T</v>
      </c>
      <c r="B3615" s="2" t="str">
        <f t="shared" si="608"/>
        <v>Charlie West</v>
      </c>
      <c r="C3615" s="1" t="s">
        <v>90</v>
      </c>
      <c r="D3615" s="1" t="s">
        <v>41</v>
      </c>
      <c r="E3615" s="3">
        <v>748597</v>
      </c>
      <c r="F3615" s="1">
        <v>1765.5589622641501</v>
      </c>
      <c r="G3615" s="1">
        <v>2</v>
      </c>
      <c r="H3615" s="1" t="s">
        <v>99</v>
      </c>
      <c r="I3615" s="1">
        <v>1</v>
      </c>
      <c r="J3615" s="1">
        <v>1</v>
      </c>
      <c r="K3615" s="1">
        <v>1</v>
      </c>
      <c r="M3615" s="1">
        <v>424</v>
      </c>
      <c r="N3615" s="1">
        <v>435.24</v>
      </c>
      <c r="O3615" s="1">
        <v>803.38</v>
      </c>
      <c r="P3615" s="1">
        <v>368.166666666666</v>
      </c>
      <c r="Q3615" s="1" t="s">
        <v>42</v>
      </c>
      <c r="S3615" s="1" t="s">
        <v>42</v>
      </c>
      <c r="T3615" s="1" t="s">
        <v>273</v>
      </c>
      <c r="V3615" s="5">
        <v>43788</v>
      </c>
      <c r="W3615" s="5">
        <v>43364</v>
      </c>
      <c r="X3615" s="1">
        <v>735000</v>
      </c>
      <c r="Y3615" s="1">
        <v>735000</v>
      </c>
      <c r="Z3615" s="5">
        <v>43364</v>
      </c>
      <c r="AA3615" s="1">
        <v>748597.5</v>
      </c>
      <c r="AB3615" s="1" t="s">
        <v>2391</v>
      </c>
      <c r="AC3615" s="5">
        <v>43775</v>
      </c>
      <c r="AF3615" s="1">
        <v>10036</v>
      </c>
      <c r="AI3615" s="1" t="s">
        <v>118</v>
      </c>
      <c r="AJ3615" s="1">
        <v>2019</v>
      </c>
      <c r="AK3615" s="1" t="s">
        <v>46</v>
      </c>
      <c r="AL3615" s="1">
        <v>123</v>
      </c>
    </row>
    <row r="3616" spans="1:38" x14ac:dyDescent="0.2">
      <c r="A3616" s="2" t="str">
        <f>HYPERLINK("https://www.compass.com/listing/505-513-west-43rd-street-unit-5t-manhattan-ny-10036/81347643707549441/","505-513 W 43rd St, Unit 5T")</f>
        <v>505-513 W 43rd St, Unit 5T</v>
      </c>
      <c r="B3616" s="2" t="str">
        <f t="shared" si="608"/>
        <v>Charlie West</v>
      </c>
      <c r="C3616" s="1" t="s">
        <v>90</v>
      </c>
      <c r="D3616" s="1" t="s">
        <v>41</v>
      </c>
      <c r="E3616" s="3">
        <v>758596</v>
      </c>
      <c r="F3616" s="1">
        <v>1789.1420990566</v>
      </c>
      <c r="G3616" s="1">
        <v>2</v>
      </c>
      <c r="H3616" s="1" t="s">
        <v>99</v>
      </c>
      <c r="I3616" s="1">
        <v>1</v>
      </c>
      <c r="J3616" s="1">
        <v>1</v>
      </c>
      <c r="K3616" s="1">
        <v>1</v>
      </c>
      <c r="M3616" s="1">
        <v>424</v>
      </c>
      <c r="N3616" s="1">
        <v>1</v>
      </c>
      <c r="O3616" s="1">
        <v>2</v>
      </c>
      <c r="P3616" s="1">
        <v>1</v>
      </c>
      <c r="Q3616" s="1" t="s">
        <v>42</v>
      </c>
      <c r="S3616" s="1" t="s">
        <v>42</v>
      </c>
      <c r="T3616" s="1" t="s">
        <v>273</v>
      </c>
      <c r="V3616" s="5">
        <v>43789</v>
      </c>
      <c r="W3616" s="5">
        <v>43364</v>
      </c>
      <c r="X3616" s="1">
        <v>745000</v>
      </c>
      <c r="Y3616" s="1">
        <v>745000</v>
      </c>
      <c r="Z3616" s="5">
        <v>43532</v>
      </c>
      <c r="AA3616" s="1">
        <v>758596.25</v>
      </c>
      <c r="AB3616" s="1" t="s">
        <v>2392</v>
      </c>
      <c r="AC3616" s="5">
        <v>43775</v>
      </c>
      <c r="AF3616" s="1">
        <v>10036</v>
      </c>
      <c r="AI3616" s="1" t="s">
        <v>118</v>
      </c>
      <c r="AJ3616" s="1">
        <v>2019</v>
      </c>
      <c r="AK3616" s="1" t="s">
        <v>46</v>
      </c>
      <c r="AL3616" s="1">
        <v>123</v>
      </c>
    </row>
    <row r="3617" spans="1:38" x14ac:dyDescent="0.2">
      <c r="A3617" s="2" t="str">
        <f>HYPERLINK("https://www.compass.com/listing/77-charlton-street-unit-su26-manhattan-ny-10014/847545702489235561/","77 Charlton St, Unit SU26")</f>
        <v>77 Charlton St, Unit SU26</v>
      </c>
      <c r="B3617" s="2" t="str">
        <f>HYPERLINK("https://www.compass.com/building/77-charlton-st-manhattan-ny-10014/282058735872933093/","77 Charlton St")</f>
        <v>77 Charlton St</v>
      </c>
      <c r="C3617" s="1" t="s">
        <v>53</v>
      </c>
      <c r="D3617" s="1" t="s">
        <v>41</v>
      </c>
      <c r="E3617" s="3">
        <v>59059</v>
      </c>
      <c r="Q3617" s="1" t="s">
        <v>42</v>
      </c>
      <c r="S3617" s="1" t="s">
        <v>42</v>
      </c>
      <c r="T3617" s="1" t="s">
        <v>273</v>
      </c>
      <c r="AA3617" s="1">
        <v>59058.5</v>
      </c>
      <c r="AB3617" s="1" t="s">
        <v>2393</v>
      </c>
      <c r="AC3617" s="5">
        <v>44389</v>
      </c>
      <c r="AF3617" s="1">
        <v>10014</v>
      </c>
      <c r="AI3617" s="1" t="s">
        <v>48</v>
      </c>
      <c r="AJ3617" s="1">
        <v>2019</v>
      </c>
      <c r="AK3617" s="1" t="s">
        <v>49</v>
      </c>
      <c r="AL3617" s="1">
        <v>161</v>
      </c>
    </row>
    <row r="3618" spans="1:38" x14ac:dyDescent="0.2">
      <c r="A3618" s="2" t="str">
        <f>HYPERLINK("https://www.compass.com/listing/277-5th-avenue-unit-43c-manhattan-ny-10016/274825741370197233/","277 5th Ave, Unit 43C")</f>
        <v>277 5th Ave, Unit 43C</v>
      </c>
      <c r="B3618" s="2" t="str">
        <f t="shared" ref="B3618:B3627" si="609">HYPERLINK("https://www.compass.com/building/277-fifth-avenue-manhattan-ny/281939285475645317/","277 FIFTH AVENUE")</f>
        <v>277 FIFTH AVENUE</v>
      </c>
      <c r="C3618" s="1" t="s">
        <v>40</v>
      </c>
      <c r="D3618" s="1" t="s">
        <v>41</v>
      </c>
      <c r="E3618" s="3">
        <v>4559635</v>
      </c>
      <c r="F3618" s="1">
        <v>3072.5301078167099</v>
      </c>
      <c r="M3618" s="4">
        <v>1484</v>
      </c>
      <c r="Q3618" s="1" t="s">
        <v>42</v>
      </c>
      <c r="S3618" s="1" t="s">
        <v>42</v>
      </c>
      <c r="T3618" s="1" t="s">
        <v>273</v>
      </c>
      <c r="AA3618" s="1">
        <v>4559634.68</v>
      </c>
      <c r="AB3618" s="1" t="s">
        <v>2394</v>
      </c>
      <c r="AC3618" s="5">
        <v>43574</v>
      </c>
      <c r="AF3618" s="1">
        <v>10016</v>
      </c>
      <c r="AI3618" s="1" t="s">
        <v>118</v>
      </c>
      <c r="AJ3618" s="1">
        <v>2019</v>
      </c>
      <c r="AK3618" s="1" t="s">
        <v>49</v>
      </c>
      <c r="AL3618" s="1">
        <v>130</v>
      </c>
    </row>
    <row r="3619" spans="1:38" x14ac:dyDescent="0.2">
      <c r="A3619" s="2" t="str">
        <f>HYPERLINK("https://www.compass.com/listing/277-5th-avenue-unit-18a-manhattan-ny-10016/274825742393575345/","277 5th Ave, Unit 18A")</f>
        <v>277 5th Ave, Unit 18A</v>
      </c>
      <c r="B3619" s="2" t="str">
        <f t="shared" si="609"/>
        <v>277 FIFTH AVENUE</v>
      </c>
      <c r="C3619" s="1" t="s">
        <v>40</v>
      </c>
      <c r="D3619" s="1" t="s">
        <v>41</v>
      </c>
      <c r="E3619" s="3">
        <v>2991808</v>
      </c>
      <c r="F3619" s="1">
        <v>2227.7048175725899</v>
      </c>
      <c r="M3619" s="4">
        <v>1343</v>
      </c>
      <c r="Q3619" s="1" t="s">
        <v>42</v>
      </c>
      <c r="S3619" s="1" t="s">
        <v>42</v>
      </c>
      <c r="T3619" s="1" t="s">
        <v>273</v>
      </c>
      <c r="AA3619" s="1">
        <v>2991807.57</v>
      </c>
      <c r="AB3619" s="1" t="s">
        <v>2395</v>
      </c>
      <c r="AC3619" s="5">
        <v>43571</v>
      </c>
      <c r="AF3619" s="1">
        <v>10016</v>
      </c>
      <c r="AI3619" s="1" t="s">
        <v>118</v>
      </c>
      <c r="AJ3619" s="1">
        <v>2019</v>
      </c>
      <c r="AK3619" s="1" t="s">
        <v>49</v>
      </c>
      <c r="AL3619" s="1">
        <v>130</v>
      </c>
    </row>
    <row r="3620" spans="1:38" x14ac:dyDescent="0.2">
      <c r="A3620" s="2" t="str">
        <f>HYPERLINK("https://www.compass.com/listing/277-5th-avenue-unit-23a-manhattan-ny-10016/274825753525289329/","277 5th Ave, Unit 23A")</f>
        <v>277 5th Ave, Unit 23A</v>
      </c>
      <c r="B3620" s="2" t="str">
        <f t="shared" si="609"/>
        <v>277 FIFTH AVENUE</v>
      </c>
      <c r="C3620" s="1" t="s">
        <v>40</v>
      </c>
      <c r="D3620" s="1" t="s">
        <v>41</v>
      </c>
      <c r="E3620" s="3">
        <v>3316808</v>
      </c>
      <c r="F3620" s="1">
        <v>2469.7003499627699</v>
      </c>
      <c r="M3620" s="4">
        <v>1343</v>
      </c>
      <c r="Q3620" s="1" t="s">
        <v>42</v>
      </c>
      <c r="S3620" s="1" t="s">
        <v>42</v>
      </c>
      <c r="T3620" s="1" t="s">
        <v>273</v>
      </c>
      <c r="AA3620" s="1">
        <v>3316807.57</v>
      </c>
      <c r="AB3620" s="1" t="s">
        <v>2396</v>
      </c>
      <c r="AC3620" s="5">
        <v>43570</v>
      </c>
      <c r="AF3620" s="1">
        <v>10016</v>
      </c>
      <c r="AI3620" s="1" t="s">
        <v>118</v>
      </c>
      <c r="AJ3620" s="1">
        <v>2019</v>
      </c>
      <c r="AK3620" s="1" t="s">
        <v>49</v>
      </c>
      <c r="AL3620" s="1">
        <v>130</v>
      </c>
    </row>
    <row r="3621" spans="1:38" x14ac:dyDescent="0.2">
      <c r="A3621" s="2" t="str">
        <f>HYPERLINK("https://www.compass.com/listing/277-5th-avenue-unit-21b-manhattan-ny-10016/274825755798574881/","277 5th Ave, Unit 21B")</f>
        <v>277 5th Ave, Unit 21B</v>
      </c>
      <c r="B3621" s="2" t="str">
        <f t="shared" si="609"/>
        <v>277 FIFTH AVENUE</v>
      </c>
      <c r="C3621" s="1" t="s">
        <v>40</v>
      </c>
      <c r="D3621" s="1" t="s">
        <v>41</v>
      </c>
      <c r="E3621" s="3">
        <v>1975000</v>
      </c>
      <c r="F3621" s="1">
        <v>2329.0094339622601</v>
      </c>
      <c r="M3621" s="1">
        <v>848</v>
      </c>
      <c r="Q3621" s="1" t="s">
        <v>42</v>
      </c>
      <c r="S3621" s="1" t="s">
        <v>42</v>
      </c>
      <c r="T3621" s="1" t="s">
        <v>273</v>
      </c>
      <c r="AA3621" s="1">
        <v>1975000</v>
      </c>
      <c r="AB3621" s="1" t="s">
        <v>2397</v>
      </c>
      <c r="AC3621" s="5">
        <v>43556</v>
      </c>
      <c r="AF3621" s="1">
        <v>10016</v>
      </c>
      <c r="AI3621" s="1" t="s">
        <v>118</v>
      </c>
      <c r="AJ3621" s="1">
        <v>2019</v>
      </c>
      <c r="AK3621" s="1" t="s">
        <v>49</v>
      </c>
      <c r="AL3621" s="1">
        <v>130</v>
      </c>
    </row>
    <row r="3622" spans="1:38" x14ac:dyDescent="0.2">
      <c r="A3622" s="2" t="str">
        <f>HYPERLINK("https://www.compass.com/listing/277-5th-avenue-unit-27a-manhattan-ny-10016/274825764967358369/","277 5th Ave, Unit 27A")</f>
        <v>277 5th Ave, Unit 27A</v>
      </c>
      <c r="B3622" s="2" t="str">
        <f t="shared" si="609"/>
        <v>277 FIFTH AVENUE</v>
      </c>
      <c r="C3622" s="1" t="s">
        <v>40</v>
      </c>
      <c r="D3622" s="1" t="s">
        <v>41</v>
      </c>
      <c r="E3622" s="3">
        <v>3361500</v>
      </c>
      <c r="F3622" s="1">
        <v>2502.97840655249</v>
      </c>
      <c r="M3622" s="4">
        <v>1343</v>
      </c>
      <c r="Q3622" s="1" t="s">
        <v>42</v>
      </c>
      <c r="S3622" s="1" t="s">
        <v>42</v>
      </c>
      <c r="T3622" s="1" t="s">
        <v>273</v>
      </c>
      <c r="AA3622" s="1">
        <v>3361500</v>
      </c>
      <c r="AB3622" s="1" t="s">
        <v>2398</v>
      </c>
      <c r="AC3622" s="5">
        <v>43607</v>
      </c>
      <c r="AF3622" s="1">
        <v>10016</v>
      </c>
      <c r="AI3622" s="1" t="s">
        <v>118</v>
      </c>
      <c r="AJ3622" s="1">
        <v>2019</v>
      </c>
      <c r="AK3622" s="1" t="s">
        <v>49</v>
      </c>
      <c r="AL3622" s="1">
        <v>130</v>
      </c>
    </row>
    <row r="3623" spans="1:38" x14ac:dyDescent="0.2">
      <c r="A3623" s="2" t="str">
        <f>HYPERLINK("https://www.compass.com/listing/277-5th-avenue-unit-28b-manhattan-ny-10016/274825785318126401/","277 5th Ave, Unit 28B")</f>
        <v>277 5th Ave, Unit 28B</v>
      </c>
      <c r="B3623" s="2" t="str">
        <f t="shared" si="609"/>
        <v>277 FIFTH AVENUE</v>
      </c>
      <c r="C3623" s="1" t="s">
        <v>40</v>
      </c>
      <c r="D3623" s="1" t="s">
        <v>41</v>
      </c>
      <c r="E3623" s="3">
        <v>2185613</v>
      </c>
      <c r="F3623" s="1">
        <v>2577.3734316037699</v>
      </c>
      <c r="M3623" s="1">
        <v>848</v>
      </c>
      <c r="Q3623" s="1" t="s">
        <v>42</v>
      </c>
      <c r="S3623" s="1" t="s">
        <v>42</v>
      </c>
      <c r="T3623" s="1" t="s">
        <v>273</v>
      </c>
      <c r="AA3623" s="1">
        <v>2185612.67</v>
      </c>
      <c r="AB3623" s="1" t="s">
        <v>2399</v>
      </c>
      <c r="AC3623" s="5">
        <v>43557</v>
      </c>
      <c r="AF3623" s="1">
        <v>10016</v>
      </c>
      <c r="AI3623" s="1" t="s">
        <v>118</v>
      </c>
      <c r="AJ3623" s="1">
        <v>2019</v>
      </c>
      <c r="AK3623" s="1" t="s">
        <v>49</v>
      </c>
      <c r="AL3623" s="1">
        <v>130</v>
      </c>
    </row>
    <row r="3624" spans="1:38" x14ac:dyDescent="0.2">
      <c r="A3624" s="2" t="str">
        <f>HYPERLINK("https://www.compass.com/listing/277-5th-avenue-unit-22b-manhattan-ny-10016/274825792758793457/","277 5th Ave, Unit 22B")</f>
        <v>277 5th Ave, Unit 22B</v>
      </c>
      <c r="B3624" s="2" t="str">
        <f t="shared" si="609"/>
        <v>277 FIFTH AVENUE</v>
      </c>
      <c r="C3624" s="1" t="s">
        <v>40</v>
      </c>
      <c r="D3624" s="1" t="s">
        <v>41</v>
      </c>
      <c r="E3624" s="3">
        <v>2085000</v>
      </c>
      <c r="F3624" s="1">
        <v>2458.7264150943302</v>
      </c>
      <c r="M3624" s="1">
        <v>848</v>
      </c>
      <c r="Q3624" s="1" t="s">
        <v>42</v>
      </c>
      <c r="S3624" s="1" t="s">
        <v>42</v>
      </c>
      <c r="T3624" s="1" t="s">
        <v>273</v>
      </c>
      <c r="AA3624" s="1">
        <v>2085000</v>
      </c>
      <c r="AB3624" s="1" t="s">
        <v>2400</v>
      </c>
      <c r="AC3624" s="5">
        <v>43556</v>
      </c>
      <c r="AF3624" s="1">
        <v>10016</v>
      </c>
      <c r="AI3624" s="1" t="s">
        <v>118</v>
      </c>
      <c r="AJ3624" s="1">
        <v>2019</v>
      </c>
      <c r="AK3624" s="1" t="s">
        <v>49</v>
      </c>
      <c r="AL3624" s="1">
        <v>130</v>
      </c>
    </row>
    <row r="3625" spans="1:38" x14ac:dyDescent="0.2">
      <c r="A3625" s="2" t="str">
        <f>HYPERLINK("https://www.compass.com/listing/277-5th-avenue-unit-21a-manhattan-ny-10016/274825794830811825/","277 5th Ave, Unit 21A")</f>
        <v>277 5th Ave, Unit 21A</v>
      </c>
      <c r="B3625" s="2" t="str">
        <f t="shared" si="609"/>
        <v>277 FIFTH AVENUE</v>
      </c>
      <c r="C3625" s="1" t="s">
        <v>40</v>
      </c>
      <c r="D3625" s="1" t="s">
        <v>41</v>
      </c>
      <c r="E3625" s="3">
        <v>3066808</v>
      </c>
      <c r="F3625" s="1">
        <v>2283.5499404318598</v>
      </c>
      <c r="M3625" s="4">
        <v>1343</v>
      </c>
      <c r="Q3625" s="1" t="s">
        <v>42</v>
      </c>
      <c r="S3625" s="1" t="s">
        <v>42</v>
      </c>
      <c r="T3625" s="1" t="s">
        <v>273</v>
      </c>
      <c r="AA3625" s="1">
        <v>3066807.57</v>
      </c>
      <c r="AB3625" s="1" t="s">
        <v>2401</v>
      </c>
      <c r="AC3625" s="5">
        <v>43578</v>
      </c>
      <c r="AF3625" s="1">
        <v>10016</v>
      </c>
      <c r="AI3625" s="1" t="s">
        <v>118</v>
      </c>
      <c r="AJ3625" s="1">
        <v>2019</v>
      </c>
      <c r="AK3625" s="1" t="s">
        <v>49</v>
      </c>
      <c r="AL3625" s="1">
        <v>130</v>
      </c>
    </row>
    <row r="3626" spans="1:38" x14ac:dyDescent="0.2">
      <c r="A3626" s="2" t="str">
        <f>HYPERLINK("https://www.compass.com/listing/277-5th-avenue-unit-51a-manhattan-ny-10016/274825801893991025/","277 5th Ave, Unit 51A")</f>
        <v>277 5th Ave, Unit 51A</v>
      </c>
      <c r="B3626" s="2" t="str">
        <f t="shared" si="609"/>
        <v>277 FIFTH AVENUE</v>
      </c>
      <c r="C3626" s="1" t="s">
        <v>40</v>
      </c>
      <c r="D3626" s="1" t="s">
        <v>41</v>
      </c>
      <c r="E3626" s="3">
        <v>4819486</v>
      </c>
      <c r="F3626" s="1">
        <v>3095.3665831727599</v>
      </c>
      <c r="M3626" s="4">
        <v>1557</v>
      </c>
      <c r="Q3626" s="1" t="s">
        <v>42</v>
      </c>
      <c r="S3626" s="1" t="s">
        <v>42</v>
      </c>
      <c r="T3626" s="1" t="s">
        <v>273</v>
      </c>
      <c r="AA3626" s="1">
        <v>4819485.7699999996</v>
      </c>
      <c r="AB3626" s="1" t="s">
        <v>2402</v>
      </c>
      <c r="AC3626" s="5">
        <v>43615</v>
      </c>
      <c r="AF3626" s="1">
        <v>10016</v>
      </c>
      <c r="AI3626" s="1" t="s">
        <v>118</v>
      </c>
      <c r="AJ3626" s="1">
        <v>2019</v>
      </c>
      <c r="AK3626" s="1" t="s">
        <v>49</v>
      </c>
      <c r="AL3626" s="1">
        <v>130</v>
      </c>
    </row>
    <row r="3627" spans="1:38" x14ac:dyDescent="0.2">
      <c r="A3627" s="2" t="str">
        <f>HYPERLINK("https://www.compass.com/listing/277-5th-avenue-unit-38c-manhattan-ny-10016/274825857502113745/","277 5th Ave, Unit 38C")</f>
        <v>277 5th Ave, Unit 38C</v>
      </c>
      <c r="B3627" s="2" t="str">
        <f t="shared" si="609"/>
        <v>277 FIFTH AVENUE</v>
      </c>
      <c r="C3627" s="1" t="s">
        <v>40</v>
      </c>
      <c r="D3627" s="1" t="s">
        <v>41</v>
      </c>
      <c r="E3627" s="3">
        <v>4267483</v>
      </c>
      <c r="F3627" s="1">
        <v>3054.7482963493198</v>
      </c>
      <c r="M3627" s="4">
        <v>1397</v>
      </c>
      <c r="Q3627" s="1" t="s">
        <v>42</v>
      </c>
      <c r="S3627" s="1" t="s">
        <v>42</v>
      </c>
      <c r="T3627" s="1" t="s">
        <v>273</v>
      </c>
      <c r="AA3627" s="1">
        <v>4267483.37</v>
      </c>
      <c r="AB3627" s="1" t="s">
        <v>2403</v>
      </c>
      <c r="AC3627" s="5">
        <v>43593</v>
      </c>
      <c r="AF3627" s="1">
        <v>10016</v>
      </c>
      <c r="AI3627" s="1" t="s">
        <v>118</v>
      </c>
      <c r="AJ3627" s="1">
        <v>2019</v>
      </c>
      <c r="AK3627" s="1" t="s">
        <v>49</v>
      </c>
      <c r="AL3627" s="1">
        <v>130</v>
      </c>
    </row>
    <row r="3628" spans="1:38" x14ac:dyDescent="0.2">
      <c r="A3628" s="2" t="str">
        <f>HYPERLINK("https://www.compass.com/listing/20-east-end-avenue-unit-10a-manhattan-ny-10028/803318590602243897/","20 E End Ave, Unit 10A")</f>
        <v>20 E End Ave, Unit 10A</v>
      </c>
      <c r="B3628" s="2" t="str">
        <f>HYPERLINK("https://www.compass.com/building/20-e-end-ave-manhattan-ny-10028/281985490498985157/","20 E End Ave")</f>
        <v>20 E End Ave</v>
      </c>
      <c r="C3628" s="1" t="s">
        <v>82</v>
      </c>
      <c r="D3628" s="1" t="s">
        <v>41</v>
      </c>
      <c r="E3628" s="3">
        <v>8140000</v>
      </c>
      <c r="F3628" s="1">
        <v>2674.99178442326</v>
      </c>
      <c r="G3628" s="1">
        <v>6</v>
      </c>
      <c r="H3628" s="1">
        <v>4</v>
      </c>
      <c r="I3628" s="1">
        <v>4</v>
      </c>
      <c r="J3628" s="1">
        <v>4.5</v>
      </c>
      <c r="K3628" s="1">
        <v>4</v>
      </c>
      <c r="L3628" s="1">
        <v>1</v>
      </c>
      <c r="M3628" s="4">
        <v>3043</v>
      </c>
      <c r="N3628" s="1">
        <v>3782</v>
      </c>
      <c r="O3628" s="1">
        <v>7825</v>
      </c>
      <c r="P3628" s="1">
        <v>4043</v>
      </c>
      <c r="Q3628" s="1" t="s">
        <v>42</v>
      </c>
      <c r="S3628" s="1" t="s">
        <v>42</v>
      </c>
      <c r="T3628" s="1" t="s">
        <v>273</v>
      </c>
      <c r="U3628" s="1">
        <v>3</v>
      </c>
      <c r="V3628" s="5">
        <v>43103</v>
      </c>
      <c r="W3628" s="5">
        <v>43049</v>
      </c>
      <c r="X3628" s="1">
        <v>8100000</v>
      </c>
      <c r="Y3628" s="1">
        <v>8100000</v>
      </c>
      <c r="Z3628" s="5">
        <v>43053</v>
      </c>
      <c r="AA3628" s="1">
        <v>8140000</v>
      </c>
      <c r="AB3628" s="1" t="s">
        <v>2339</v>
      </c>
      <c r="AC3628" s="5">
        <v>43090</v>
      </c>
      <c r="AF3628" s="1">
        <v>10028</v>
      </c>
      <c r="AJ3628" s="1">
        <v>2017</v>
      </c>
      <c r="AK3628" s="1" t="s">
        <v>46</v>
      </c>
      <c r="AL3628" s="1">
        <v>41</v>
      </c>
    </row>
    <row r="3629" spans="1:38" x14ac:dyDescent="0.2">
      <c r="A3629" s="2" t="str">
        <f>HYPERLINK("https://www.compass.com/listing/300-east-64th-street-unit-25a-manhattan-ny-10065/29669300860100305/","300 E 64th St, Unit 25A")</f>
        <v>300 E 64th St, Unit 25A</v>
      </c>
      <c r="B3629" s="2" t="str">
        <f>HYPERLINK("https://www.compass.com/building/300-e-64th-st-manhattan-ny-10065/282038617012979925/","300 E 64th St")</f>
        <v>300 E 64th St</v>
      </c>
      <c r="C3629" s="1" t="s">
        <v>82</v>
      </c>
      <c r="D3629" s="1" t="s">
        <v>41</v>
      </c>
      <c r="E3629" s="3">
        <v>1795000</v>
      </c>
      <c r="F3629" s="1">
        <v>1459.3495934959301</v>
      </c>
      <c r="G3629" s="1">
        <v>5</v>
      </c>
      <c r="H3629" s="1">
        <v>2</v>
      </c>
      <c r="I3629" s="1">
        <v>2</v>
      </c>
      <c r="J3629" s="1">
        <v>2</v>
      </c>
      <c r="K3629" s="1">
        <v>2</v>
      </c>
      <c r="M3629" s="4">
        <v>1230</v>
      </c>
      <c r="N3629" s="1">
        <v>1505</v>
      </c>
      <c r="O3629" s="1">
        <v>3647</v>
      </c>
      <c r="P3629" s="1">
        <v>2142</v>
      </c>
      <c r="Q3629" s="1" t="s">
        <v>42</v>
      </c>
      <c r="S3629" s="1" t="s">
        <v>42</v>
      </c>
      <c r="T3629" s="1" t="s">
        <v>273</v>
      </c>
      <c r="U3629" s="1">
        <v>328</v>
      </c>
      <c r="V3629" s="5">
        <v>43641</v>
      </c>
      <c r="W3629" s="5">
        <v>43202</v>
      </c>
      <c r="X3629" s="1">
        <v>2500000</v>
      </c>
      <c r="Y3629" s="1">
        <v>1845000</v>
      </c>
      <c r="Z3629" s="5">
        <v>43530</v>
      </c>
      <c r="AA3629" s="1">
        <v>1795000</v>
      </c>
      <c r="AB3629" s="1" t="s">
        <v>2404</v>
      </c>
      <c r="AC3629" s="5">
        <v>43566</v>
      </c>
      <c r="AF3629" s="1">
        <v>10065</v>
      </c>
      <c r="AI3629" s="1" t="s">
        <v>189</v>
      </c>
      <c r="AJ3629" s="1">
        <v>1996</v>
      </c>
      <c r="AK3629" s="1" t="s">
        <v>49</v>
      </c>
      <c r="AL3629" s="1">
        <v>103</v>
      </c>
    </row>
    <row r="3630" spans="1:38" x14ac:dyDescent="0.2">
      <c r="A3630" s="2" t="str">
        <f>HYPERLINK("https://www.compass.com/listing/277-5th-avenue-unit-42c-manhattan-ny-10016/262873189330204609/","277 5th Ave, Unit 42C")</f>
        <v>277 5th Ave, Unit 42C</v>
      </c>
      <c r="B3630" s="2" t="str">
        <f>HYPERLINK("https://www.compass.com/building/277-fifth-avenue-manhattan-ny/281939285475645317/","277 FIFTH AVENUE")</f>
        <v>277 FIFTH AVENUE</v>
      </c>
      <c r="C3630" s="1" t="s">
        <v>40</v>
      </c>
      <c r="D3630" s="1" t="s">
        <v>41</v>
      </c>
      <c r="E3630" s="3">
        <v>3700000</v>
      </c>
      <c r="F3630" s="1">
        <v>2493.2614555256</v>
      </c>
      <c r="G3630" s="1">
        <v>4.5</v>
      </c>
      <c r="H3630" s="1">
        <v>2</v>
      </c>
      <c r="I3630" s="1">
        <v>3</v>
      </c>
      <c r="J3630" s="1">
        <v>2.5</v>
      </c>
      <c r="K3630" s="1">
        <v>2</v>
      </c>
      <c r="L3630" s="1">
        <v>1</v>
      </c>
      <c r="M3630" s="4">
        <v>1484</v>
      </c>
      <c r="N3630" s="1">
        <v>2140</v>
      </c>
      <c r="O3630" s="1">
        <v>4035</v>
      </c>
      <c r="P3630" s="1">
        <v>1895</v>
      </c>
      <c r="Q3630" s="1" t="s">
        <v>42</v>
      </c>
      <c r="S3630" s="1" t="s">
        <v>42</v>
      </c>
      <c r="T3630" s="1" t="s">
        <v>273</v>
      </c>
      <c r="V3630" s="5">
        <v>44419</v>
      </c>
      <c r="W3630" s="5">
        <v>43614</v>
      </c>
      <c r="X3630" s="1">
        <v>4810000</v>
      </c>
      <c r="Y3630" s="1">
        <v>4635000</v>
      </c>
      <c r="Z3630" s="5">
        <v>44264</v>
      </c>
      <c r="AA3630" s="1">
        <v>3700000</v>
      </c>
      <c r="AB3630" s="1" t="s">
        <v>2405</v>
      </c>
      <c r="AC3630" s="5">
        <v>44328</v>
      </c>
      <c r="AF3630" s="1">
        <v>10016</v>
      </c>
      <c r="AI3630" s="1" t="s">
        <v>118</v>
      </c>
      <c r="AJ3630" s="1">
        <v>2019</v>
      </c>
      <c r="AK3630" s="1" t="s">
        <v>49</v>
      </c>
      <c r="AL3630" s="1">
        <v>130</v>
      </c>
    </row>
    <row r="3631" spans="1:38" x14ac:dyDescent="0.2">
      <c r="A3631" s="2" t="str">
        <f>HYPERLINK("https://www.compass.com/listing/300-east-64th-street-unit-14c-manhattan-ny-10065/29415727953909217/","300 E 64th St, Unit 14C")</f>
        <v>300 E 64th St, Unit 14C</v>
      </c>
      <c r="B3631" s="2" t="str">
        <f t="shared" ref="B3631:B3632" si="610">HYPERLINK("https://www.compass.com/building/300-e-64th-st-manhattan-ny-10065/282038617012979925/","300 E 64th St")</f>
        <v>300 E 64th St</v>
      </c>
      <c r="C3631" s="1" t="s">
        <v>82</v>
      </c>
      <c r="D3631" s="1" t="s">
        <v>41</v>
      </c>
      <c r="E3631" s="3">
        <v>1535000</v>
      </c>
      <c r="F3631" s="1">
        <v>1572.74590163934</v>
      </c>
      <c r="G3631" s="1">
        <v>3.5</v>
      </c>
      <c r="H3631" s="1">
        <v>1</v>
      </c>
      <c r="I3631" s="1">
        <v>2</v>
      </c>
      <c r="J3631" s="1">
        <v>2</v>
      </c>
      <c r="M3631" s="1">
        <v>976</v>
      </c>
      <c r="N3631" s="1">
        <v>1099</v>
      </c>
      <c r="O3631" s="1">
        <v>2664</v>
      </c>
      <c r="P3631" s="1">
        <v>1565</v>
      </c>
      <c r="Q3631" s="1" t="s">
        <v>42</v>
      </c>
      <c r="S3631" s="1" t="s">
        <v>42</v>
      </c>
      <c r="T3631" s="1" t="s">
        <v>273</v>
      </c>
      <c r="V3631" s="5">
        <v>43651</v>
      </c>
      <c r="W3631" s="5">
        <v>42033</v>
      </c>
      <c r="X3631" s="1">
        <v>1535000</v>
      </c>
      <c r="Y3631" s="1">
        <v>1535000</v>
      </c>
      <c r="Z3631" s="5">
        <v>42033</v>
      </c>
      <c r="AA3631" s="1">
        <v>1535000</v>
      </c>
      <c r="AB3631" s="1" t="s">
        <v>2406</v>
      </c>
      <c r="AC3631" s="5">
        <v>42180</v>
      </c>
      <c r="AF3631" s="1">
        <v>10065</v>
      </c>
      <c r="AI3631" s="1" t="s">
        <v>83</v>
      </c>
      <c r="AJ3631" s="1">
        <v>1996</v>
      </c>
      <c r="AK3631" s="1" t="s">
        <v>49</v>
      </c>
      <c r="AL3631" s="1">
        <v>103</v>
      </c>
    </row>
    <row r="3632" spans="1:38" x14ac:dyDescent="0.2">
      <c r="A3632" s="2" t="str">
        <f>HYPERLINK("https://www.compass.com/listing/300-east-64th-street-unit-20c-manhattan-ny-10065/29415738204788401/","300 E 64th St, Unit 20C")</f>
        <v>300 E 64th St, Unit 20C</v>
      </c>
      <c r="B3632" s="2" t="str">
        <f t="shared" si="610"/>
        <v>300 E 64th St</v>
      </c>
      <c r="C3632" s="1" t="s">
        <v>82</v>
      </c>
      <c r="D3632" s="1" t="s">
        <v>41</v>
      </c>
      <c r="E3632" s="3">
        <v>1605000</v>
      </c>
      <c r="F3632" s="1">
        <v>1644.4672131147499</v>
      </c>
      <c r="G3632" s="1">
        <v>3</v>
      </c>
      <c r="H3632" s="1">
        <v>1</v>
      </c>
      <c r="I3632" s="1">
        <v>2</v>
      </c>
      <c r="J3632" s="1">
        <v>2</v>
      </c>
      <c r="M3632" s="1">
        <v>976</v>
      </c>
      <c r="N3632" s="1">
        <v>1099</v>
      </c>
      <c r="O3632" s="1">
        <v>2664</v>
      </c>
      <c r="P3632" s="1">
        <v>1565</v>
      </c>
      <c r="Q3632" s="1" t="s">
        <v>42</v>
      </c>
      <c r="S3632" s="1" t="s">
        <v>42</v>
      </c>
      <c r="T3632" s="1" t="s">
        <v>273</v>
      </c>
      <c r="V3632" s="5">
        <v>43654</v>
      </c>
      <c r="W3632" s="5">
        <v>42028</v>
      </c>
      <c r="X3632" s="1">
        <v>1605000</v>
      </c>
      <c r="Y3632" s="1">
        <v>1605000</v>
      </c>
      <c r="Z3632" s="5">
        <v>42028</v>
      </c>
      <c r="AA3632" s="1">
        <v>1605000</v>
      </c>
      <c r="AB3632" s="1" t="s">
        <v>2407</v>
      </c>
      <c r="AC3632" s="5">
        <v>42191</v>
      </c>
      <c r="AF3632" s="1">
        <v>10065</v>
      </c>
      <c r="AI3632" s="1" t="s">
        <v>83</v>
      </c>
      <c r="AJ3632" s="1">
        <v>1996</v>
      </c>
      <c r="AK3632" s="1" t="s">
        <v>49</v>
      </c>
      <c r="AL3632" s="1">
        <v>103</v>
      </c>
    </row>
    <row r="3633" spans="1:38" x14ac:dyDescent="0.2">
      <c r="A3633" s="2" t="str">
        <f>HYPERLINK("https://www.compass.com/listing/301-east-81st-street-unit-11b-manhattan-ny-10028/426101204426472561/","301 E 81st St, Unit 11B")</f>
        <v>301 E 81st St, Unit 11B</v>
      </c>
      <c r="B3633" s="2" t="str">
        <f>HYPERLINK("https://www.compass.com/building/beckford-house-manhattan-ny/293531205712863989/","Beckford House")</f>
        <v>Beckford House</v>
      </c>
      <c r="C3633" s="1" t="s">
        <v>82</v>
      </c>
      <c r="D3633" s="1" t="s">
        <v>41</v>
      </c>
      <c r="E3633" s="3">
        <v>3475000</v>
      </c>
      <c r="F3633" s="1">
        <v>2099.69788519637</v>
      </c>
      <c r="G3633" s="1">
        <v>5.5</v>
      </c>
      <c r="H3633" s="1">
        <v>2</v>
      </c>
      <c r="I3633" s="1">
        <v>3</v>
      </c>
      <c r="J3633" s="1">
        <v>2.5</v>
      </c>
      <c r="K3633" s="1">
        <v>2</v>
      </c>
      <c r="L3633" s="1">
        <v>1</v>
      </c>
      <c r="M3633" s="4">
        <v>1655</v>
      </c>
      <c r="N3633" s="1">
        <v>2420</v>
      </c>
      <c r="O3633" s="1">
        <v>5049</v>
      </c>
      <c r="P3633" s="1">
        <v>2629</v>
      </c>
      <c r="Q3633" s="1" t="s">
        <v>42</v>
      </c>
      <c r="S3633" s="1" t="s">
        <v>42</v>
      </c>
      <c r="T3633" s="1" t="s">
        <v>273</v>
      </c>
      <c r="U3633" s="1">
        <v>55</v>
      </c>
      <c r="V3633" s="5">
        <v>44369</v>
      </c>
      <c r="W3633" s="5">
        <v>44211</v>
      </c>
      <c r="Y3633" s="1">
        <v>3750000</v>
      </c>
      <c r="AA3633" s="1">
        <v>3475000</v>
      </c>
      <c r="AB3633" s="1" t="s">
        <v>2408</v>
      </c>
      <c r="AC3633" s="5">
        <v>44321</v>
      </c>
      <c r="AF3633" s="1">
        <v>10028</v>
      </c>
      <c r="AI3633" s="1" t="s">
        <v>2328</v>
      </c>
      <c r="AJ3633" s="1">
        <v>2019</v>
      </c>
      <c r="AK3633" s="1" t="s">
        <v>125</v>
      </c>
      <c r="AL3633" s="1">
        <v>0</v>
      </c>
    </row>
    <row r="3634" spans="1:38" x14ac:dyDescent="0.2">
      <c r="A3634" s="2" t="str">
        <f>HYPERLINK("https://www.compass.com/listing/277-5th-avenue-unit-37c-manhattan-ny-10016/237620348294538193/","277 5th Ave, Unit 37C")</f>
        <v>277 5th Ave, Unit 37C</v>
      </c>
      <c r="B3634" s="2" t="str">
        <f t="shared" ref="B3634:B3636" si="611">HYPERLINK("https://www.compass.com/building/277-fifth-avenue-manhattan-ny/281939285475645317/","277 FIFTH AVENUE")</f>
        <v>277 FIFTH AVENUE</v>
      </c>
      <c r="C3634" s="1" t="s">
        <v>40</v>
      </c>
      <c r="D3634" s="1" t="s">
        <v>41</v>
      </c>
      <c r="E3634" s="3">
        <v>4150000</v>
      </c>
      <c r="F3634" s="1">
        <v>2970.6513958482401</v>
      </c>
      <c r="G3634" s="1">
        <v>4</v>
      </c>
      <c r="H3634" s="1">
        <v>2</v>
      </c>
      <c r="I3634" s="1">
        <v>2</v>
      </c>
      <c r="J3634" s="1">
        <v>2</v>
      </c>
      <c r="K3634" s="1">
        <v>2</v>
      </c>
      <c r="M3634" s="4">
        <v>1397</v>
      </c>
      <c r="N3634" s="1">
        <v>2014</v>
      </c>
      <c r="O3634" s="1">
        <v>4206</v>
      </c>
      <c r="P3634" s="1">
        <v>2192</v>
      </c>
      <c r="Q3634" s="1" t="s">
        <v>42</v>
      </c>
      <c r="S3634" s="1" t="s">
        <v>42</v>
      </c>
      <c r="T3634" s="1" t="s">
        <v>273</v>
      </c>
      <c r="U3634" s="1">
        <v>76</v>
      </c>
      <c r="V3634" s="5">
        <v>43839</v>
      </c>
      <c r="W3634" s="5">
        <v>43579</v>
      </c>
      <c r="X3634" s="1">
        <v>4325000</v>
      </c>
      <c r="Y3634" s="1">
        <v>4325000</v>
      </c>
      <c r="Z3634" s="5">
        <v>43655</v>
      </c>
      <c r="AA3634" s="1">
        <v>4150000</v>
      </c>
      <c r="AB3634" s="1" t="s">
        <v>2409</v>
      </c>
      <c r="AC3634" s="5">
        <v>43685</v>
      </c>
      <c r="AF3634" s="1">
        <v>10016</v>
      </c>
      <c r="AI3634" s="1" t="s">
        <v>118</v>
      </c>
      <c r="AJ3634" s="1">
        <v>2019</v>
      </c>
      <c r="AK3634" s="1" t="s">
        <v>49</v>
      </c>
      <c r="AL3634" s="1">
        <v>130</v>
      </c>
    </row>
    <row r="3635" spans="1:38" x14ac:dyDescent="0.2">
      <c r="A3635" s="2" t="str">
        <f>HYPERLINK("https://www.compass.com/listing/277-5th-avenue-unit-35c-manhattan-ny-10016/25003023919044609/","277 5th Ave, Unit 35C")</f>
        <v>277 5th Ave, Unit 35C</v>
      </c>
      <c r="B3635" s="2" t="str">
        <f t="shared" si="611"/>
        <v>277 FIFTH AVENUE</v>
      </c>
      <c r="C3635" s="1" t="s">
        <v>40</v>
      </c>
      <c r="D3635" s="1" t="s">
        <v>41</v>
      </c>
      <c r="E3635" s="3">
        <v>4017526</v>
      </c>
      <c r="F3635" s="1">
        <v>2875.82390837508</v>
      </c>
      <c r="G3635" s="1">
        <v>4</v>
      </c>
      <c r="H3635" s="1">
        <v>2</v>
      </c>
      <c r="I3635" s="1">
        <v>2</v>
      </c>
      <c r="J3635" s="1">
        <v>2</v>
      </c>
      <c r="K3635" s="1">
        <v>2</v>
      </c>
      <c r="M3635" s="4">
        <v>1397</v>
      </c>
      <c r="N3635" s="1">
        <v>2014</v>
      </c>
      <c r="O3635" s="1">
        <v>4206</v>
      </c>
      <c r="P3635" s="1">
        <v>2192</v>
      </c>
      <c r="Q3635" s="1" t="s">
        <v>42</v>
      </c>
      <c r="S3635" s="1" t="s">
        <v>42</v>
      </c>
      <c r="T3635" s="1" t="s">
        <v>273</v>
      </c>
      <c r="U3635" s="1">
        <v>168</v>
      </c>
      <c r="V3635" s="5">
        <v>43724</v>
      </c>
      <c r="W3635" s="5">
        <v>43058</v>
      </c>
      <c r="X3635" s="1">
        <v>4175000</v>
      </c>
      <c r="Y3635" s="1">
        <v>4225000</v>
      </c>
      <c r="Z3635" s="5">
        <v>43684</v>
      </c>
      <c r="AA3635" s="1">
        <v>4017526</v>
      </c>
      <c r="AB3635" s="1" t="s">
        <v>2410</v>
      </c>
      <c r="AC3635" s="5">
        <v>43715</v>
      </c>
      <c r="AF3635" s="1">
        <v>10016</v>
      </c>
      <c r="AI3635" s="1" t="s">
        <v>118</v>
      </c>
      <c r="AJ3635" s="1">
        <v>2019</v>
      </c>
      <c r="AK3635" s="1" t="s">
        <v>49</v>
      </c>
      <c r="AL3635" s="1">
        <v>130</v>
      </c>
    </row>
    <row r="3636" spans="1:38" x14ac:dyDescent="0.2">
      <c r="A3636" s="2" t="str">
        <f>HYPERLINK("https://www.compass.com/listing/277-5th-avenue-unit-38b-manhattan-ny-10016/769987309124041497/","277 5th Ave, Unit 38B")</f>
        <v>277 5th Ave, Unit 38B</v>
      </c>
      <c r="B3636" s="2" t="str">
        <f t="shared" si="611"/>
        <v>277 FIFTH AVENUE</v>
      </c>
      <c r="C3636" s="1" t="s">
        <v>40</v>
      </c>
      <c r="D3636" s="1" t="s">
        <v>41</v>
      </c>
      <c r="E3636" s="3">
        <v>3181500</v>
      </c>
      <c r="F3636" s="1">
        <v>2487.4902267396401</v>
      </c>
      <c r="G3636" s="1">
        <v>4</v>
      </c>
      <c r="H3636" s="1">
        <v>2</v>
      </c>
      <c r="I3636" s="1">
        <v>2</v>
      </c>
      <c r="J3636" s="1">
        <v>2</v>
      </c>
      <c r="K3636" s="1">
        <v>2</v>
      </c>
      <c r="M3636" s="4">
        <v>1279</v>
      </c>
      <c r="N3636" s="1">
        <v>1841.24</v>
      </c>
      <c r="O3636" s="1">
        <v>3474.24</v>
      </c>
      <c r="P3636" s="1">
        <v>1633</v>
      </c>
      <c r="Q3636" s="1" t="s">
        <v>42</v>
      </c>
      <c r="S3636" s="1" t="s">
        <v>42</v>
      </c>
      <c r="T3636" s="1" t="s">
        <v>273</v>
      </c>
      <c r="V3636" s="5">
        <v>44419</v>
      </c>
      <c r="W3636" s="5">
        <v>44314</v>
      </c>
      <c r="X3636" s="1">
        <v>3830000</v>
      </c>
      <c r="Y3636" s="1">
        <v>3830000</v>
      </c>
      <c r="Z3636" s="5">
        <v>44315</v>
      </c>
      <c r="AA3636" s="1">
        <v>3181500</v>
      </c>
      <c r="AB3636" s="1" t="s">
        <v>2411</v>
      </c>
      <c r="AC3636" s="5">
        <v>44357</v>
      </c>
      <c r="AF3636" s="1">
        <v>10016</v>
      </c>
      <c r="AI3636" s="1" t="s">
        <v>118</v>
      </c>
      <c r="AJ3636" s="1">
        <v>2019</v>
      </c>
      <c r="AK3636" s="1" t="s">
        <v>49</v>
      </c>
      <c r="AL3636" s="1">
        <v>130</v>
      </c>
    </row>
    <row r="3637" spans="1:38" x14ac:dyDescent="0.2">
      <c r="A3637" s="2" t="str">
        <f>HYPERLINK("https://www.compass.com/listing/301-east-81st-street-unit-12b-manhattan-ny-10028/563766559892723729/","301 E 81st St, Unit 12B")</f>
        <v>301 E 81st St, Unit 12B</v>
      </c>
      <c r="B3637" s="2" t="str">
        <f>HYPERLINK("https://www.compass.com/building/beckford-house-manhattan-ny/293531205712863989/","Beckford House")</f>
        <v>Beckford House</v>
      </c>
      <c r="C3637" s="1" t="s">
        <v>82</v>
      </c>
      <c r="D3637" s="1" t="s">
        <v>41</v>
      </c>
      <c r="E3637" s="3">
        <v>3600000</v>
      </c>
      <c r="F3637" s="1">
        <v>2175.2265861027099</v>
      </c>
      <c r="G3637" s="1">
        <v>5.5</v>
      </c>
      <c r="H3637" s="1">
        <v>2</v>
      </c>
      <c r="I3637" s="1">
        <v>3</v>
      </c>
      <c r="J3637" s="1">
        <v>2.5</v>
      </c>
      <c r="K3637" s="1">
        <v>2</v>
      </c>
      <c r="L3637" s="1">
        <v>1</v>
      </c>
      <c r="M3637" s="4">
        <v>1655</v>
      </c>
      <c r="N3637" s="1">
        <v>2432</v>
      </c>
      <c r="O3637" s="1">
        <v>5073</v>
      </c>
      <c r="P3637" s="1">
        <v>2641</v>
      </c>
      <c r="Q3637" s="1" t="s">
        <v>42</v>
      </c>
      <c r="S3637" s="1" t="s">
        <v>42</v>
      </c>
      <c r="T3637" s="1" t="s">
        <v>273</v>
      </c>
      <c r="V3637" s="5">
        <v>44314</v>
      </c>
      <c r="W3637" s="5">
        <v>43741</v>
      </c>
      <c r="X3637" s="1">
        <v>3900000</v>
      </c>
      <c r="Y3637" s="1">
        <v>3900000</v>
      </c>
      <c r="AA3637" s="1">
        <v>3600000</v>
      </c>
      <c r="AB3637" s="1" t="s">
        <v>2412</v>
      </c>
      <c r="AC3637" s="5">
        <v>44273</v>
      </c>
      <c r="AF3637" s="1">
        <v>10028</v>
      </c>
      <c r="AI3637" s="1" t="s">
        <v>2328</v>
      </c>
      <c r="AJ3637" s="1">
        <v>2019</v>
      </c>
      <c r="AK3637" s="1" t="s">
        <v>49</v>
      </c>
      <c r="AL3637" s="1">
        <v>0</v>
      </c>
    </row>
    <row r="3638" spans="1:38" x14ac:dyDescent="0.2">
      <c r="A3638" s="2" t="str">
        <f>HYPERLINK("https://www.compass.com/listing/505-513-west-43rd-street-unit-7d-manhattan-ny-10036/29519914985333713/","505-513 W 43rd St, Unit 7D")</f>
        <v>505-513 W 43rd St, Unit 7D</v>
      </c>
      <c r="B3638" s="2" t="str">
        <f>HYPERLINK("https://www.compass.com/building/charlie-west-manhattan-ny/292918554372621509/","Charlie West")</f>
        <v>Charlie West</v>
      </c>
      <c r="C3638" s="1" t="s">
        <v>90</v>
      </c>
      <c r="D3638" s="1" t="s">
        <v>41</v>
      </c>
      <c r="E3638" s="3">
        <v>1255000</v>
      </c>
      <c r="F3638" s="1">
        <v>1939.7217928902601</v>
      </c>
      <c r="G3638" s="1">
        <v>3</v>
      </c>
      <c r="H3638" s="1">
        <v>1</v>
      </c>
      <c r="I3638" s="1">
        <v>1</v>
      </c>
      <c r="J3638" s="1">
        <v>1</v>
      </c>
      <c r="K3638" s="1">
        <v>1</v>
      </c>
      <c r="M3638" s="1">
        <v>647</v>
      </c>
      <c r="N3638" s="1">
        <v>710.44</v>
      </c>
      <c r="O3638" s="1">
        <v>1337.9</v>
      </c>
      <c r="P3638" s="1">
        <v>627.5</v>
      </c>
      <c r="Q3638" s="1" t="s">
        <v>42</v>
      </c>
      <c r="S3638" s="1" t="s">
        <v>42</v>
      </c>
      <c r="T3638" s="1" t="s">
        <v>273</v>
      </c>
      <c r="V3638" s="5">
        <v>43753</v>
      </c>
      <c r="W3638" s="5">
        <v>42990</v>
      </c>
      <c r="X3638" s="1">
        <v>1255000</v>
      </c>
      <c r="Y3638" s="1">
        <v>1255000</v>
      </c>
      <c r="Z3638" s="5">
        <v>42990</v>
      </c>
      <c r="AA3638" s="1">
        <v>1255000</v>
      </c>
      <c r="AB3638" s="1" t="s">
        <v>2413</v>
      </c>
      <c r="AC3638" s="5">
        <v>43734</v>
      </c>
      <c r="AF3638" s="1">
        <v>10036</v>
      </c>
      <c r="AI3638" s="1" t="s">
        <v>118</v>
      </c>
      <c r="AJ3638" s="1">
        <v>2019</v>
      </c>
      <c r="AK3638" s="1" t="s">
        <v>46</v>
      </c>
      <c r="AL3638" s="1">
        <v>123</v>
      </c>
    </row>
    <row r="3639" spans="1:38" x14ac:dyDescent="0.2">
      <c r="A3639" s="2" t="str">
        <f>HYPERLINK("https://www.compass.com/listing/277-5th-avenue-unit-51b-manhattan-ny-10016/766123526736456689/","277 5th Ave, Unit 51B")</f>
        <v>277 5th Ave, Unit 51B</v>
      </c>
      <c r="B3639" s="2" t="str">
        <f>HYPERLINK("https://www.compass.com/building/277-fifth-avenue-manhattan-ny/281939285475645317/","277 FIFTH AVENUE")</f>
        <v>277 FIFTH AVENUE</v>
      </c>
      <c r="C3639" s="1" t="s">
        <v>40</v>
      </c>
      <c r="D3639" s="1" t="s">
        <v>41</v>
      </c>
      <c r="E3639" s="3">
        <v>6500000</v>
      </c>
      <c r="F3639" s="1">
        <v>2929.2474087426699</v>
      </c>
      <c r="G3639" s="1">
        <v>6</v>
      </c>
      <c r="H3639" s="1">
        <v>3</v>
      </c>
      <c r="I3639" s="1">
        <v>4</v>
      </c>
      <c r="J3639" s="1">
        <v>3.5</v>
      </c>
      <c r="K3639" s="1">
        <v>3</v>
      </c>
      <c r="L3639" s="1">
        <v>1</v>
      </c>
      <c r="M3639" s="4">
        <v>2219</v>
      </c>
      <c r="N3639" s="1">
        <v>3194</v>
      </c>
      <c r="O3639" s="1">
        <v>6028</v>
      </c>
      <c r="P3639" s="1">
        <v>2834</v>
      </c>
      <c r="Q3639" s="1" t="s">
        <v>42</v>
      </c>
      <c r="S3639" s="1" t="s">
        <v>42</v>
      </c>
      <c r="T3639" s="1" t="s">
        <v>273</v>
      </c>
      <c r="V3639" s="5">
        <v>44419</v>
      </c>
      <c r="W3639" s="5">
        <v>44308</v>
      </c>
      <c r="X3639" s="1">
        <v>7550000</v>
      </c>
      <c r="Y3639" s="1">
        <v>7550000</v>
      </c>
      <c r="AA3639" s="1">
        <v>6500000</v>
      </c>
      <c r="AB3639" s="1" t="s">
        <v>2414</v>
      </c>
      <c r="AC3639" s="5">
        <v>44308</v>
      </c>
      <c r="AF3639" s="1">
        <v>10016</v>
      </c>
      <c r="AI3639" s="1" t="s">
        <v>118</v>
      </c>
      <c r="AJ3639" s="1">
        <v>2019</v>
      </c>
      <c r="AK3639" s="1" t="s">
        <v>49</v>
      </c>
      <c r="AL3639" s="1">
        <v>130</v>
      </c>
    </row>
    <row r="3640" spans="1:38" x14ac:dyDescent="0.2">
      <c r="A3640" s="2" t="str">
        <f>HYPERLINK("https://www.compass.com/listing/300-east-64th-street-unit-7d-manhattan-ny-10065/29415715698206017/","300 E 64th St, Unit 7D")</f>
        <v>300 E 64th St, Unit 7D</v>
      </c>
      <c r="B3640" s="2" t="str">
        <f t="shared" ref="B3640:B3641" si="612">HYPERLINK("https://www.compass.com/building/300-e-64th-st-manhattan-ny-10065/282038617012979925/","300 E 64th St")</f>
        <v>300 E 64th St</v>
      </c>
      <c r="C3640" s="1" t="s">
        <v>82</v>
      </c>
      <c r="D3640" s="1" t="s">
        <v>41</v>
      </c>
      <c r="E3640" s="3">
        <v>950000</v>
      </c>
      <c r="F3640" s="1">
        <v>1310.3448275861999</v>
      </c>
      <c r="H3640" s="1">
        <v>1</v>
      </c>
      <c r="J3640" s="1">
        <v>1</v>
      </c>
      <c r="K3640" s="1">
        <v>1</v>
      </c>
      <c r="M3640" s="1">
        <v>725</v>
      </c>
      <c r="N3640" s="1">
        <v>818.14</v>
      </c>
      <c r="O3640" s="1">
        <v>1885.1399999999901</v>
      </c>
      <c r="P3640" s="1">
        <v>1067</v>
      </c>
      <c r="Q3640" s="1" t="s">
        <v>42</v>
      </c>
      <c r="S3640" s="1" t="s">
        <v>42</v>
      </c>
      <c r="T3640" s="1" t="s">
        <v>273</v>
      </c>
      <c r="AA3640" s="1">
        <v>950000</v>
      </c>
      <c r="AB3640" s="1" t="s">
        <v>2415</v>
      </c>
      <c r="AC3640" s="5">
        <v>42200</v>
      </c>
      <c r="AF3640" s="1">
        <v>10065</v>
      </c>
      <c r="AI3640" s="1" t="s">
        <v>83</v>
      </c>
      <c r="AJ3640" s="1">
        <v>1996</v>
      </c>
      <c r="AK3640" s="1" t="s">
        <v>49</v>
      </c>
      <c r="AL3640" s="1">
        <v>103</v>
      </c>
    </row>
    <row r="3641" spans="1:38" x14ac:dyDescent="0.2">
      <c r="A3641" s="2" t="str">
        <f>HYPERLINK("https://www.compass.com/listing/300-east-64th-street-unit-7f-manhattan-ny-10065/29415716570622673/","300 E 64th St, Unit 7F")</f>
        <v>300 E 64th St, Unit 7F</v>
      </c>
      <c r="B3641" s="2" t="str">
        <f t="shared" si="612"/>
        <v>300 E 64th St</v>
      </c>
      <c r="C3641" s="1" t="s">
        <v>82</v>
      </c>
      <c r="D3641" s="1" t="s">
        <v>41</v>
      </c>
      <c r="E3641" s="3">
        <v>735000</v>
      </c>
      <c r="F3641" s="1">
        <v>1567.1641791044699</v>
      </c>
      <c r="G3641" s="1">
        <v>2</v>
      </c>
      <c r="H3641" s="1" t="s">
        <v>99</v>
      </c>
      <c r="I3641" s="1">
        <v>1</v>
      </c>
      <c r="J3641" s="1">
        <v>1</v>
      </c>
      <c r="K3641" s="1">
        <v>1</v>
      </c>
      <c r="M3641" s="1">
        <v>469</v>
      </c>
      <c r="N3641" s="1">
        <v>527</v>
      </c>
      <c r="O3641" s="1">
        <v>1279</v>
      </c>
      <c r="P3641" s="1">
        <v>752</v>
      </c>
      <c r="Q3641" s="1" t="s">
        <v>42</v>
      </c>
      <c r="S3641" s="1" t="s">
        <v>42</v>
      </c>
      <c r="T3641" s="1" t="s">
        <v>273</v>
      </c>
      <c r="U3641" s="1">
        <v>39</v>
      </c>
      <c r="V3641" s="5">
        <v>44352</v>
      </c>
      <c r="W3641" s="5">
        <v>42329</v>
      </c>
      <c r="X3641" s="1">
        <v>735000</v>
      </c>
      <c r="Y3641" s="1">
        <v>735000</v>
      </c>
      <c r="Z3641" s="5">
        <v>42368</v>
      </c>
      <c r="AA3641" s="1">
        <v>735000</v>
      </c>
      <c r="AB3641" s="1" t="s">
        <v>2416</v>
      </c>
      <c r="AC3641" s="5">
        <v>42376</v>
      </c>
      <c r="AF3641" s="1">
        <v>10065</v>
      </c>
      <c r="AI3641" s="1" t="s">
        <v>189</v>
      </c>
      <c r="AJ3641" s="1">
        <v>1996</v>
      </c>
      <c r="AK3641" s="1" t="s">
        <v>49</v>
      </c>
      <c r="AL3641" s="1">
        <v>103</v>
      </c>
    </row>
    <row r="3642" spans="1:38" x14ac:dyDescent="0.2">
      <c r="A3642" s="2" t="str">
        <f>HYPERLINK("https://www.compass.com/listing/277-5th-avenue-unit-11d-manhattan-ny-10016/760121749926407745/","277 5th Ave, Unit 11D")</f>
        <v>277 5th Ave, Unit 11D</v>
      </c>
      <c r="B3642" s="2" t="str">
        <f>HYPERLINK("https://www.compass.com/building/277-fifth-avenue-manhattan-ny/281939285475645317/","277 FIFTH AVENUE")</f>
        <v>277 FIFTH AVENUE</v>
      </c>
      <c r="C3642" s="1" t="s">
        <v>40</v>
      </c>
      <c r="D3642" s="1" t="s">
        <v>41</v>
      </c>
      <c r="E3642" s="3">
        <v>2350000</v>
      </c>
      <c r="F3642" s="1">
        <v>1711.58048069919</v>
      </c>
      <c r="G3642" s="1">
        <v>4</v>
      </c>
      <c r="H3642" s="1">
        <v>2</v>
      </c>
      <c r="I3642" s="1">
        <v>2</v>
      </c>
      <c r="J3642" s="1">
        <v>2</v>
      </c>
      <c r="K3642" s="1">
        <v>2</v>
      </c>
      <c r="M3642" s="4">
        <v>1373</v>
      </c>
      <c r="N3642" s="1">
        <v>1976</v>
      </c>
      <c r="O3642" s="1">
        <v>3729</v>
      </c>
      <c r="P3642" s="1">
        <v>1753</v>
      </c>
      <c r="Q3642" s="1" t="s">
        <v>42</v>
      </c>
      <c r="S3642" s="1" t="s">
        <v>42</v>
      </c>
      <c r="T3642" s="1" t="s">
        <v>273</v>
      </c>
      <c r="U3642" s="1">
        <v>43</v>
      </c>
      <c r="V3642" s="5">
        <v>44420</v>
      </c>
      <c r="W3642" s="5">
        <v>44257</v>
      </c>
      <c r="X3642" s="1">
        <v>3045000</v>
      </c>
      <c r="Y3642" s="1">
        <v>3045000</v>
      </c>
      <c r="Z3642" s="5">
        <v>44301</v>
      </c>
      <c r="AA3642" s="1">
        <v>2350000</v>
      </c>
      <c r="AB3642" s="1" t="s">
        <v>2417</v>
      </c>
      <c r="AC3642" s="5">
        <v>44309</v>
      </c>
      <c r="AF3642" s="1">
        <v>10016</v>
      </c>
      <c r="AI3642" s="1" t="s">
        <v>118</v>
      </c>
      <c r="AJ3642" s="1">
        <v>2019</v>
      </c>
      <c r="AK3642" s="1" t="s">
        <v>49</v>
      </c>
      <c r="AL3642" s="1">
        <v>130</v>
      </c>
    </row>
    <row r="3643" spans="1:38" x14ac:dyDescent="0.2">
      <c r="A3643" s="2" t="str">
        <f>HYPERLINK("https://www.compass.com/listing/300-east-64th-street-unit-12a-manhattan-ny-10065/29415725336663473/","300 E 64th St, Unit 12A")</f>
        <v>300 E 64th St, Unit 12A</v>
      </c>
      <c r="B3643" s="2" t="str">
        <f t="shared" ref="B3643:B3645" si="613">HYPERLINK("https://www.compass.com/building/300-e-64th-st-manhattan-ny-10065/282038617012979925/","300 E 64th St")</f>
        <v>300 E 64th St</v>
      </c>
      <c r="C3643" s="1" t="s">
        <v>82</v>
      </c>
      <c r="D3643" s="1" t="s">
        <v>41</v>
      </c>
      <c r="E3643" s="3">
        <v>1690000</v>
      </c>
      <c r="F3643" s="1">
        <v>1618.7739463601499</v>
      </c>
      <c r="G3643" s="1">
        <v>4</v>
      </c>
      <c r="H3643" s="1">
        <v>2</v>
      </c>
      <c r="I3643" s="1">
        <v>2</v>
      </c>
      <c r="J3643" s="1">
        <v>2</v>
      </c>
      <c r="M3643" s="4">
        <v>1044</v>
      </c>
      <c r="N3643" s="1">
        <v>1175</v>
      </c>
      <c r="O3643" s="1">
        <v>2849</v>
      </c>
      <c r="P3643" s="1">
        <v>1674</v>
      </c>
      <c r="Q3643" s="1" t="s">
        <v>42</v>
      </c>
      <c r="S3643" s="1" t="s">
        <v>42</v>
      </c>
      <c r="T3643" s="1" t="s">
        <v>273</v>
      </c>
      <c r="V3643" s="5">
        <v>43654</v>
      </c>
      <c r="W3643" s="5">
        <v>42035</v>
      </c>
      <c r="X3643" s="1">
        <v>1690000</v>
      </c>
      <c r="Y3643" s="1">
        <v>1690000</v>
      </c>
      <c r="Z3643" s="5">
        <v>42035</v>
      </c>
      <c r="AA3643" s="1">
        <v>1690000</v>
      </c>
      <c r="AB3643" s="1" t="s">
        <v>2418</v>
      </c>
      <c r="AC3643" s="5">
        <v>42192</v>
      </c>
      <c r="AF3643" s="1">
        <v>10065</v>
      </c>
      <c r="AI3643" s="1" t="s">
        <v>83</v>
      </c>
      <c r="AJ3643" s="1">
        <v>1996</v>
      </c>
      <c r="AK3643" s="1" t="s">
        <v>49</v>
      </c>
      <c r="AL3643" s="1">
        <v>103</v>
      </c>
    </row>
    <row r="3644" spans="1:38" x14ac:dyDescent="0.2">
      <c r="A3644" s="2" t="str">
        <f>HYPERLINK("https://www.compass.com/listing/300-east-64th-street-unit-14a-manhattan-ny-10065/29415727123491665/","300 E 64th St, Unit 14A")</f>
        <v>300 E 64th St, Unit 14A</v>
      </c>
      <c r="B3644" s="2" t="str">
        <f t="shared" si="613"/>
        <v>300 E 64th St</v>
      </c>
      <c r="C3644" s="1" t="s">
        <v>82</v>
      </c>
      <c r="D3644" s="1" t="s">
        <v>41</v>
      </c>
      <c r="E3644" s="3">
        <v>1740000</v>
      </c>
      <c r="F3644" s="1">
        <v>1666.6666666666599</v>
      </c>
      <c r="G3644" s="1">
        <v>3</v>
      </c>
      <c r="H3644" s="1">
        <v>2</v>
      </c>
      <c r="I3644" s="1">
        <v>2</v>
      </c>
      <c r="J3644" s="1">
        <v>2</v>
      </c>
      <c r="M3644" s="4">
        <v>1044</v>
      </c>
      <c r="N3644" s="1">
        <v>1175</v>
      </c>
      <c r="O3644" s="1">
        <v>2849</v>
      </c>
      <c r="P3644" s="1">
        <v>1674</v>
      </c>
      <c r="Q3644" s="1" t="s">
        <v>42</v>
      </c>
      <c r="S3644" s="1" t="s">
        <v>42</v>
      </c>
      <c r="T3644" s="1" t="s">
        <v>273</v>
      </c>
      <c r="V3644" s="5">
        <v>43670</v>
      </c>
      <c r="W3644" s="5">
        <v>42033</v>
      </c>
      <c r="X3644" s="1">
        <v>1740000</v>
      </c>
      <c r="Y3644" s="1">
        <v>1740000</v>
      </c>
      <c r="Z3644" s="5">
        <v>42033</v>
      </c>
      <c r="AA3644" s="1">
        <v>1740000</v>
      </c>
      <c r="AB3644" s="1" t="s">
        <v>2419</v>
      </c>
      <c r="AC3644" s="5">
        <v>42200</v>
      </c>
      <c r="AF3644" s="1">
        <v>10065</v>
      </c>
      <c r="AI3644" s="1" t="s">
        <v>2420</v>
      </c>
      <c r="AJ3644" s="1">
        <v>1996</v>
      </c>
      <c r="AK3644" s="1" t="s">
        <v>49</v>
      </c>
      <c r="AL3644" s="1">
        <v>103</v>
      </c>
    </row>
    <row r="3645" spans="1:38" x14ac:dyDescent="0.2">
      <c r="A3645" s="2" t="str">
        <f>HYPERLINK("https://www.compass.com/listing/300-east-64th-street-unit-23a-manhattan-ny-10065/29415742172600033/","300 E 64th St, Unit 23A")</f>
        <v>300 E 64th St, Unit 23A</v>
      </c>
      <c r="B3645" s="2" t="str">
        <f t="shared" si="613"/>
        <v>300 E 64th St</v>
      </c>
      <c r="C3645" s="1" t="s">
        <v>82</v>
      </c>
      <c r="D3645" s="1" t="s">
        <v>41</v>
      </c>
      <c r="E3645" s="3">
        <v>2050000</v>
      </c>
      <c r="F3645" s="1">
        <v>1963.6015325670401</v>
      </c>
      <c r="G3645" s="1">
        <v>4</v>
      </c>
      <c r="H3645" s="1">
        <v>2</v>
      </c>
      <c r="I3645" s="1">
        <v>2</v>
      </c>
      <c r="J3645" s="1">
        <v>2</v>
      </c>
      <c r="M3645" s="4">
        <v>1044</v>
      </c>
      <c r="N3645" s="1">
        <v>1175</v>
      </c>
      <c r="O3645" s="1">
        <v>2849</v>
      </c>
      <c r="P3645" s="1">
        <v>1674</v>
      </c>
      <c r="Q3645" s="1" t="s">
        <v>42</v>
      </c>
      <c r="S3645" s="1" t="s">
        <v>42</v>
      </c>
      <c r="T3645" s="1" t="s">
        <v>273</v>
      </c>
      <c r="U3645" s="1">
        <v>18</v>
      </c>
      <c r="V3645" s="5">
        <v>43654</v>
      </c>
      <c r="W3645" s="5">
        <v>41985</v>
      </c>
      <c r="X3645" s="1">
        <v>2050000</v>
      </c>
      <c r="Y3645" s="1">
        <v>2050000</v>
      </c>
      <c r="Z3645" s="5">
        <v>42038</v>
      </c>
      <c r="AA3645" s="1">
        <v>2050000</v>
      </c>
      <c r="AB3645" s="1" t="s">
        <v>2421</v>
      </c>
      <c r="AC3645" s="5">
        <v>42191</v>
      </c>
      <c r="AF3645" s="1">
        <v>10065</v>
      </c>
      <c r="AI3645" s="1" t="s">
        <v>83</v>
      </c>
      <c r="AJ3645" s="1">
        <v>1996</v>
      </c>
      <c r="AK3645" s="1" t="s">
        <v>49</v>
      </c>
      <c r="AL3645" s="1">
        <v>103</v>
      </c>
    </row>
    <row r="3646" spans="1:38" x14ac:dyDescent="0.2">
      <c r="A3646" s="2" t="str">
        <f>HYPERLINK("https://www.compass.com/listing/277-5th-avenue-unit-34b-manhattan-ny-10016/389008012741253569/","277 5th Ave, Unit 34B")</f>
        <v>277 5th Ave, Unit 34B</v>
      </c>
      <c r="B3646" s="2" t="str">
        <f>HYPERLINK("https://www.compass.com/building/277-fifth-avenue-manhattan-ny/281939285475645317/","277 FIFTH AVENUE")</f>
        <v>277 FIFTH AVENUE</v>
      </c>
      <c r="C3646" s="1" t="s">
        <v>40</v>
      </c>
      <c r="D3646" s="1" t="s">
        <v>41</v>
      </c>
      <c r="E3646" s="3">
        <v>2700000</v>
      </c>
      <c r="F3646" s="1">
        <v>2111.02423768569</v>
      </c>
      <c r="G3646" s="1">
        <v>4</v>
      </c>
      <c r="H3646" s="1">
        <v>2</v>
      </c>
      <c r="I3646" s="1">
        <v>2</v>
      </c>
      <c r="J3646" s="1">
        <v>2</v>
      </c>
      <c r="K3646" s="1">
        <v>2</v>
      </c>
      <c r="M3646" s="4">
        <v>1279</v>
      </c>
      <c r="N3646" s="1">
        <v>1844</v>
      </c>
      <c r="O3646" s="1">
        <v>3851</v>
      </c>
      <c r="P3646" s="1">
        <v>2007</v>
      </c>
      <c r="Q3646" s="1" t="s">
        <v>42</v>
      </c>
      <c r="S3646" s="1" t="s">
        <v>42</v>
      </c>
      <c r="T3646" s="1" t="s">
        <v>273</v>
      </c>
      <c r="U3646" s="1">
        <v>48</v>
      </c>
      <c r="V3646" s="5">
        <v>44412</v>
      </c>
      <c r="W3646" s="5">
        <v>44209</v>
      </c>
      <c r="X3646" s="1">
        <v>2860000</v>
      </c>
      <c r="Y3646" s="1">
        <v>2860000</v>
      </c>
      <c r="Z3646" s="5">
        <v>44257</v>
      </c>
      <c r="AA3646" s="1">
        <v>2700000</v>
      </c>
      <c r="AB3646" s="1" t="s">
        <v>2422</v>
      </c>
      <c r="AC3646" s="5">
        <v>44314</v>
      </c>
      <c r="AF3646" s="1">
        <v>10016</v>
      </c>
      <c r="AI3646" s="1" t="s">
        <v>118</v>
      </c>
      <c r="AJ3646" s="1">
        <v>2019</v>
      </c>
      <c r="AK3646" s="1" t="s">
        <v>49</v>
      </c>
      <c r="AL3646" s="1">
        <v>130</v>
      </c>
    </row>
    <row r="3647" spans="1:38" x14ac:dyDescent="0.2">
      <c r="A3647" s="2" t="str">
        <f>HYPERLINK("https://www.compass.com/listing/505-513-west-43rd-street-unit-6l-manhattan-ny-10036/119564752501382433/","505-513 W 43rd St, Unit 6L")</f>
        <v>505-513 W 43rd St, Unit 6L</v>
      </c>
      <c r="B3647" s="2" t="str">
        <f t="shared" ref="B3647:B3653" si="614">HYPERLINK("https://www.compass.com/building/charlie-west-manhattan-ny/292918554372621509/","Charlie West")</f>
        <v>Charlie West</v>
      </c>
      <c r="C3647" s="1" t="s">
        <v>90</v>
      </c>
      <c r="D3647" s="1" t="s">
        <v>41</v>
      </c>
      <c r="E3647" s="3">
        <v>1242265</v>
      </c>
      <c r="F3647" s="1">
        <v>1887.9407294832799</v>
      </c>
      <c r="G3647" s="1">
        <v>3</v>
      </c>
      <c r="H3647" s="1">
        <v>1</v>
      </c>
      <c r="I3647" s="1">
        <v>1</v>
      </c>
      <c r="J3647" s="1">
        <v>1</v>
      </c>
      <c r="K3647" s="1">
        <v>1</v>
      </c>
      <c r="M3647" s="1">
        <v>658</v>
      </c>
      <c r="N3647" s="1">
        <v>695</v>
      </c>
      <c r="O3647" s="1">
        <v>1283</v>
      </c>
      <c r="P3647" s="1">
        <v>588</v>
      </c>
      <c r="Q3647" s="1" t="s">
        <v>42</v>
      </c>
      <c r="S3647" s="1" t="s">
        <v>42</v>
      </c>
      <c r="T3647" s="1" t="s">
        <v>273</v>
      </c>
      <c r="U3647" s="1">
        <v>114</v>
      </c>
      <c r="V3647" s="5">
        <v>43845</v>
      </c>
      <c r="W3647" s="5">
        <v>43416</v>
      </c>
      <c r="X3647" s="1">
        <v>1285000</v>
      </c>
      <c r="Y3647" s="1">
        <v>1285000</v>
      </c>
      <c r="Z3647" s="5">
        <v>43712</v>
      </c>
      <c r="AA3647" s="1">
        <v>1242265</v>
      </c>
      <c r="AB3647" s="1" t="s">
        <v>2423</v>
      </c>
      <c r="AC3647" s="5">
        <v>43833</v>
      </c>
      <c r="AF3647" s="1">
        <v>10036</v>
      </c>
      <c r="AI3647" s="1" t="s">
        <v>118</v>
      </c>
      <c r="AJ3647" s="1">
        <v>2019</v>
      </c>
      <c r="AK3647" s="1" t="s">
        <v>46</v>
      </c>
      <c r="AL3647" s="1">
        <v>123</v>
      </c>
    </row>
    <row r="3648" spans="1:38" x14ac:dyDescent="0.2">
      <c r="A3648" s="2" t="str">
        <f>HYPERLINK("https://www.compass.com/listing/505-513-west-43rd-street-unit-5k-manhattan-ny-10036/202907282873304305/","505-513 W 43rd St, Unit 5K")</f>
        <v>505-513 W 43rd St, Unit 5K</v>
      </c>
      <c r="B3648" s="2" t="str">
        <f t="shared" si="614"/>
        <v>Charlie West</v>
      </c>
      <c r="C3648" s="1" t="s">
        <v>90</v>
      </c>
      <c r="D3648" s="1" t="s">
        <v>41</v>
      </c>
      <c r="E3648" s="3">
        <v>1173141</v>
      </c>
      <c r="F3648" s="1">
        <v>1791.0549618320599</v>
      </c>
      <c r="G3648" s="1">
        <v>3</v>
      </c>
      <c r="H3648" s="1">
        <v>1</v>
      </c>
      <c r="I3648" s="1">
        <v>1</v>
      </c>
      <c r="J3648" s="1">
        <v>1</v>
      </c>
      <c r="K3648" s="1">
        <v>1</v>
      </c>
      <c r="M3648" s="1">
        <v>655</v>
      </c>
      <c r="N3648" s="1">
        <v>706.21</v>
      </c>
      <c r="O3648" s="1">
        <v>1303.6300000000001</v>
      </c>
      <c r="P3648" s="1">
        <v>597.41666666666595</v>
      </c>
      <c r="Q3648" s="1" t="s">
        <v>42</v>
      </c>
      <c r="S3648" s="1" t="s">
        <v>42</v>
      </c>
      <c r="T3648" s="1" t="s">
        <v>273</v>
      </c>
      <c r="U3648" s="1">
        <v>1</v>
      </c>
      <c r="V3648" s="5">
        <v>43844</v>
      </c>
      <c r="W3648" s="5">
        <v>43532</v>
      </c>
      <c r="X3648" s="1">
        <v>1295000</v>
      </c>
      <c r="Y3648" s="1">
        <v>1295000</v>
      </c>
      <c r="Z3648" s="5">
        <v>43533</v>
      </c>
      <c r="AA3648" s="1">
        <v>1173141</v>
      </c>
      <c r="AB3648" s="1" t="s">
        <v>2424</v>
      </c>
      <c r="AC3648" s="5">
        <v>43833</v>
      </c>
      <c r="AF3648" s="1">
        <v>10036</v>
      </c>
      <c r="AI3648" s="1" t="s">
        <v>1382</v>
      </c>
      <c r="AJ3648" s="1">
        <v>2019</v>
      </c>
      <c r="AK3648" s="1" t="s">
        <v>46</v>
      </c>
      <c r="AL3648" s="1">
        <v>123</v>
      </c>
    </row>
    <row r="3649" spans="1:38" x14ac:dyDescent="0.2">
      <c r="A3649" s="2" t="str">
        <f>HYPERLINK("https://www.compass.com/listing/505-513-west-43rd-street-unit-4k-manhattan-ny-10036/210815377012175153/","505-513 W 43rd St, Unit 4K")</f>
        <v>505-513 W 43rd St, Unit 4K</v>
      </c>
      <c r="B3649" s="2" t="str">
        <f t="shared" si="614"/>
        <v>Charlie West</v>
      </c>
      <c r="C3649" s="1" t="s">
        <v>90</v>
      </c>
      <c r="D3649" s="1" t="s">
        <v>41</v>
      </c>
      <c r="E3649" s="3">
        <v>1198500</v>
      </c>
      <c r="F3649" s="1">
        <v>1829.7709923664099</v>
      </c>
      <c r="G3649" s="1">
        <v>3</v>
      </c>
      <c r="H3649" s="1">
        <v>1</v>
      </c>
      <c r="I3649" s="1">
        <v>1</v>
      </c>
      <c r="J3649" s="1">
        <v>1</v>
      </c>
      <c r="K3649" s="1">
        <v>1</v>
      </c>
      <c r="M3649" s="1">
        <v>655</v>
      </c>
      <c r="N3649" s="1">
        <v>595</v>
      </c>
      <c r="O3649" s="1">
        <v>1299</v>
      </c>
      <c r="P3649" s="1">
        <v>704</v>
      </c>
      <c r="Q3649" s="1" t="s">
        <v>42</v>
      </c>
      <c r="S3649" s="1" t="s">
        <v>42</v>
      </c>
      <c r="T3649" s="1" t="s">
        <v>273</v>
      </c>
      <c r="U3649" s="1">
        <v>79</v>
      </c>
      <c r="V3649" s="5">
        <v>43759</v>
      </c>
      <c r="W3649" s="5">
        <v>43543</v>
      </c>
      <c r="X3649" s="1">
        <v>1275000</v>
      </c>
      <c r="Y3649" s="1">
        <v>1275000</v>
      </c>
      <c r="Z3649" s="5">
        <v>43697</v>
      </c>
      <c r="AA3649" s="1">
        <v>1198500</v>
      </c>
      <c r="AB3649" s="1" t="s">
        <v>2425</v>
      </c>
      <c r="AC3649" s="5">
        <v>43748</v>
      </c>
      <c r="AF3649" s="1">
        <v>10036</v>
      </c>
      <c r="AI3649" s="1" t="s">
        <v>1382</v>
      </c>
      <c r="AJ3649" s="1">
        <v>2019</v>
      </c>
      <c r="AK3649" s="1" t="s">
        <v>46</v>
      </c>
      <c r="AL3649" s="1">
        <v>123</v>
      </c>
    </row>
    <row r="3650" spans="1:38" x14ac:dyDescent="0.2">
      <c r="A3650" s="2" t="str">
        <f>HYPERLINK("https://www.compass.com/listing/505-513-west-43rd-street-unit-3c-manhattan-ny-10036/81022529145205025/","505-513 W 43rd St, Unit 3C")</f>
        <v>505-513 W 43rd St, Unit 3C</v>
      </c>
      <c r="B3650" s="2" t="str">
        <f t="shared" si="614"/>
        <v>Charlie West</v>
      </c>
      <c r="C3650" s="1" t="s">
        <v>90</v>
      </c>
      <c r="D3650" s="1" t="s">
        <v>41</v>
      </c>
      <c r="E3650" s="3">
        <v>1177152</v>
      </c>
      <c r="F3650" s="1">
        <v>1786.2697268588699</v>
      </c>
      <c r="G3650" s="1">
        <v>3</v>
      </c>
      <c r="H3650" s="1">
        <v>1</v>
      </c>
      <c r="I3650" s="1">
        <v>1</v>
      </c>
      <c r="J3650" s="1">
        <v>1</v>
      </c>
      <c r="K3650" s="1">
        <v>1</v>
      </c>
      <c r="M3650" s="1">
        <v>659</v>
      </c>
      <c r="N3650" s="1">
        <v>705.67</v>
      </c>
      <c r="O3650" s="1">
        <v>1302.6199999999999</v>
      </c>
      <c r="P3650" s="1">
        <v>596.91666666666595</v>
      </c>
      <c r="Q3650" s="1" t="s">
        <v>42</v>
      </c>
      <c r="S3650" s="1" t="s">
        <v>42</v>
      </c>
      <c r="T3650" s="1" t="s">
        <v>273</v>
      </c>
      <c r="U3650" s="1">
        <v>167</v>
      </c>
      <c r="V3650" s="5">
        <v>43795</v>
      </c>
      <c r="W3650" s="5">
        <v>43364</v>
      </c>
      <c r="X3650" s="1">
        <v>1220000</v>
      </c>
      <c r="Y3650" s="1">
        <v>1220000</v>
      </c>
      <c r="Z3650" s="5">
        <v>43574</v>
      </c>
      <c r="AA3650" s="1">
        <v>1177151.75</v>
      </c>
      <c r="AB3650" s="1" t="s">
        <v>2426</v>
      </c>
      <c r="AC3650" s="5">
        <v>43780</v>
      </c>
      <c r="AF3650" s="1">
        <v>10036</v>
      </c>
      <c r="AI3650" s="1" t="s">
        <v>183</v>
      </c>
      <c r="AJ3650" s="1">
        <v>2019</v>
      </c>
      <c r="AK3650" s="1" t="s">
        <v>46</v>
      </c>
      <c r="AL3650" s="1">
        <v>123</v>
      </c>
    </row>
    <row r="3651" spans="1:38" x14ac:dyDescent="0.2">
      <c r="A3651" s="2" t="str">
        <f>HYPERLINK("https://www.compass.com/listing/505-513-west-43rd-street-unit-5e-manhattan-ny-10036/81122514054440497/","505-513 W 43rd St, Unit 5E")</f>
        <v>505-513 W 43rd St, Unit 5E</v>
      </c>
      <c r="B3651" s="2" t="str">
        <f t="shared" si="614"/>
        <v>Charlie West</v>
      </c>
      <c r="C3651" s="1" t="s">
        <v>90</v>
      </c>
      <c r="D3651" s="1" t="s">
        <v>41</v>
      </c>
      <c r="E3651" s="3">
        <v>1250000</v>
      </c>
      <c r="F3651" s="1">
        <v>1917.17791411042</v>
      </c>
      <c r="G3651" s="1">
        <v>3</v>
      </c>
      <c r="H3651" s="1">
        <v>1</v>
      </c>
      <c r="I3651" s="1">
        <v>1</v>
      </c>
      <c r="J3651" s="1">
        <v>1</v>
      </c>
      <c r="K3651" s="1">
        <v>1</v>
      </c>
      <c r="M3651" s="1">
        <v>652</v>
      </c>
      <c r="N3651" s="1">
        <v>688.54</v>
      </c>
      <c r="O3651" s="1">
        <v>1271.06</v>
      </c>
      <c r="P3651" s="1">
        <v>582.5</v>
      </c>
      <c r="Q3651" s="1" t="s">
        <v>42</v>
      </c>
      <c r="S3651" s="1" t="s">
        <v>42</v>
      </c>
      <c r="T3651" s="1" t="s">
        <v>273</v>
      </c>
      <c r="U3651" s="1">
        <v>27</v>
      </c>
      <c r="V3651" s="5">
        <v>43733</v>
      </c>
      <c r="W3651" s="5">
        <v>43363</v>
      </c>
      <c r="X3651" s="1">
        <v>1280000</v>
      </c>
      <c r="Y3651" s="1">
        <v>1280000</v>
      </c>
      <c r="Z3651" s="5">
        <v>43390</v>
      </c>
      <c r="AA3651" s="1">
        <v>1250000</v>
      </c>
      <c r="AB3651" s="1" t="s">
        <v>2427</v>
      </c>
      <c r="AC3651" s="5">
        <v>43720</v>
      </c>
      <c r="AF3651" s="1">
        <v>10036</v>
      </c>
      <c r="AI3651" s="1" t="s">
        <v>1845</v>
      </c>
      <c r="AJ3651" s="1">
        <v>2019</v>
      </c>
      <c r="AK3651" s="1" t="s">
        <v>46</v>
      </c>
      <c r="AL3651" s="1">
        <v>123</v>
      </c>
    </row>
    <row r="3652" spans="1:38" x14ac:dyDescent="0.2">
      <c r="A3652" s="2" t="str">
        <f>HYPERLINK("https://www.compass.com/listing/505-513-west-43rd-street-unit-3d-manhattan-ny-10036/81123703710049857/","505-513 W 43rd St, Unit 3D")</f>
        <v>505-513 W 43rd St, Unit 3D</v>
      </c>
      <c r="B3652" s="2" t="str">
        <f t="shared" si="614"/>
        <v>Charlie West</v>
      </c>
      <c r="C3652" s="1" t="s">
        <v>90</v>
      </c>
      <c r="D3652" s="1" t="s">
        <v>41</v>
      </c>
      <c r="E3652" s="3">
        <v>1225000</v>
      </c>
      <c r="F3652" s="1">
        <v>1847.6621417797801</v>
      </c>
      <c r="G3652" s="1">
        <v>3</v>
      </c>
      <c r="H3652" s="1">
        <v>1</v>
      </c>
      <c r="I3652" s="1">
        <v>1</v>
      </c>
      <c r="J3652" s="1">
        <v>1</v>
      </c>
      <c r="K3652" s="1">
        <v>1</v>
      </c>
      <c r="M3652" s="1">
        <v>663</v>
      </c>
      <c r="N3652" s="1">
        <v>690.83</v>
      </c>
      <c r="O3652" s="1">
        <v>1275.23</v>
      </c>
      <c r="P3652" s="1">
        <v>584.41666666666595</v>
      </c>
      <c r="Q3652" s="1" t="s">
        <v>42</v>
      </c>
      <c r="S3652" s="1" t="s">
        <v>42</v>
      </c>
      <c r="T3652" s="1" t="s">
        <v>273</v>
      </c>
      <c r="U3652" s="1">
        <v>19</v>
      </c>
      <c r="V3652" s="5">
        <v>43816</v>
      </c>
      <c r="W3652" s="5">
        <v>43364</v>
      </c>
      <c r="X3652" s="1">
        <v>1240000</v>
      </c>
      <c r="Y3652" s="1">
        <v>1240000</v>
      </c>
      <c r="Z3652" s="5">
        <v>43383</v>
      </c>
      <c r="AA3652" s="1">
        <v>1225000</v>
      </c>
      <c r="AB3652" s="1" t="s">
        <v>2428</v>
      </c>
      <c r="AC3652" s="5">
        <v>43801</v>
      </c>
      <c r="AF3652" s="1">
        <v>10036</v>
      </c>
      <c r="AI3652" s="1" t="s">
        <v>1845</v>
      </c>
      <c r="AJ3652" s="1">
        <v>2019</v>
      </c>
      <c r="AK3652" s="1" t="s">
        <v>46</v>
      </c>
      <c r="AL3652" s="1">
        <v>123</v>
      </c>
    </row>
    <row r="3653" spans="1:38" x14ac:dyDescent="0.2">
      <c r="A3653" s="2" t="str">
        <f>HYPERLINK("https://www.compass.com/listing/505-513-west-43rd-street-unit-7e-manhattan-ny-10036/99443319322563601/","505-513 W 43rd St, Unit 7E")</f>
        <v>505-513 W 43rd St, Unit 7E</v>
      </c>
      <c r="B3653" s="2" t="str">
        <f t="shared" si="614"/>
        <v>Charlie West</v>
      </c>
      <c r="C3653" s="1" t="s">
        <v>90</v>
      </c>
      <c r="D3653" s="1" t="s">
        <v>41</v>
      </c>
      <c r="E3653" s="3">
        <v>1283430</v>
      </c>
      <c r="F3653" s="1">
        <v>1929.9699248120301</v>
      </c>
      <c r="G3653" s="1">
        <v>3</v>
      </c>
      <c r="H3653" s="1">
        <v>1</v>
      </c>
      <c r="I3653" s="1">
        <v>1</v>
      </c>
      <c r="J3653" s="1">
        <v>1</v>
      </c>
      <c r="K3653" s="1">
        <v>1</v>
      </c>
      <c r="M3653" s="1">
        <v>665</v>
      </c>
      <c r="N3653" s="1">
        <v>693.66</v>
      </c>
      <c r="O3653" s="1">
        <v>1280.52</v>
      </c>
      <c r="P3653" s="1">
        <v>586.83333333333303</v>
      </c>
      <c r="Q3653" s="1" t="s">
        <v>42</v>
      </c>
      <c r="S3653" s="1" t="s">
        <v>42</v>
      </c>
      <c r="T3653" s="1" t="s">
        <v>273</v>
      </c>
      <c r="V3653" s="5">
        <v>43733</v>
      </c>
      <c r="W3653" s="5">
        <v>43388</v>
      </c>
      <c r="X3653" s="1">
        <v>1320000</v>
      </c>
      <c r="Y3653" s="1">
        <v>1320000</v>
      </c>
      <c r="Z3653" s="5">
        <v>43388</v>
      </c>
      <c r="AA3653" s="1">
        <v>1283430</v>
      </c>
      <c r="AB3653" s="1" t="s">
        <v>2429</v>
      </c>
      <c r="AC3653" s="5">
        <v>43720</v>
      </c>
      <c r="AF3653" s="1">
        <v>10036</v>
      </c>
      <c r="AI3653" s="1" t="s">
        <v>118</v>
      </c>
      <c r="AJ3653" s="1">
        <v>2019</v>
      </c>
      <c r="AK3653" s="1" t="s">
        <v>46</v>
      </c>
      <c r="AL3653" s="1">
        <v>123</v>
      </c>
    </row>
    <row r="3654" spans="1:38" x14ac:dyDescent="0.2">
      <c r="A3654" s="2" t="str">
        <f>HYPERLINK("https://www.compass.com/listing/300-east-64th-street-unit-23c-manhattan-ny-10065/803411372163670441/","300 E 64th St, Unit 23C")</f>
        <v>300 E 64th St, Unit 23C</v>
      </c>
      <c r="B3654" s="2" t="str">
        <f>HYPERLINK("https://www.compass.com/building/300-e-64th-st-manhattan-ny-10065/282038617012979925/","300 E 64th St")</f>
        <v>300 E 64th St</v>
      </c>
      <c r="C3654" s="1" t="s">
        <v>82</v>
      </c>
      <c r="D3654" s="1" t="s">
        <v>41</v>
      </c>
      <c r="E3654" s="3">
        <v>1195000</v>
      </c>
      <c r="F3654" s="1">
        <v>1224.38524590163</v>
      </c>
      <c r="G3654" s="1">
        <v>3</v>
      </c>
      <c r="H3654" s="1">
        <v>1</v>
      </c>
      <c r="I3654" s="1">
        <v>2</v>
      </c>
      <c r="J3654" s="1">
        <v>2</v>
      </c>
      <c r="K3654" s="1">
        <v>2</v>
      </c>
      <c r="M3654" s="1">
        <v>976</v>
      </c>
      <c r="N3654" s="1">
        <v>1230</v>
      </c>
      <c r="O3654" s="1">
        <v>2752</v>
      </c>
      <c r="P3654" s="1">
        <v>1522</v>
      </c>
      <c r="Q3654" s="1" t="s">
        <v>42</v>
      </c>
      <c r="S3654" s="1" t="s">
        <v>42</v>
      </c>
      <c r="T3654" s="1" t="s">
        <v>273</v>
      </c>
      <c r="U3654" s="1">
        <v>87</v>
      </c>
      <c r="V3654" s="5">
        <v>44203</v>
      </c>
      <c r="W3654" s="5">
        <v>44053</v>
      </c>
      <c r="X3654" s="1">
        <v>1395000</v>
      </c>
      <c r="Y3654" s="1">
        <v>1250000</v>
      </c>
      <c r="Z3654" s="5">
        <v>44141</v>
      </c>
      <c r="AA3654" s="1">
        <v>1195000</v>
      </c>
      <c r="AB3654" s="1" t="s">
        <v>1390</v>
      </c>
      <c r="AC3654" s="5">
        <v>44196</v>
      </c>
      <c r="AF3654" s="1">
        <v>10065</v>
      </c>
      <c r="AI3654" s="1" t="s">
        <v>185</v>
      </c>
      <c r="AJ3654" s="1">
        <v>1996</v>
      </c>
      <c r="AK3654" s="1" t="s">
        <v>46</v>
      </c>
      <c r="AL3654" s="1">
        <v>103</v>
      </c>
    </row>
    <row r="3655" spans="1:38" x14ac:dyDescent="0.2">
      <c r="A3655" s="2" t="str">
        <f>HYPERLINK("https://www.compass.com/listing/277-5th-avenue-unit-14d-manhattan-ny-10016/115910465443418689/","277 5th Ave, Unit 14D")</f>
        <v>277 5th Ave, Unit 14D</v>
      </c>
      <c r="B3655" s="2" t="str">
        <f t="shared" ref="B3655:B3668" si="615">HYPERLINK("https://www.compass.com/building/277-fifth-avenue-manhattan-ny/281939285475645317/","277 FIFTH AVENUE")</f>
        <v>277 FIFTH AVENUE</v>
      </c>
      <c r="C3655" s="1" t="s">
        <v>40</v>
      </c>
      <c r="D3655" s="1" t="s">
        <v>41</v>
      </c>
      <c r="E3655" s="3">
        <v>2892183</v>
      </c>
      <c r="F3655" s="1">
        <v>2106.4697960670001</v>
      </c>
      <c r="G3655" s="1">
        <v>4</v>
      </c>
      <c r="H3655" s="1">
        <v>2</v>
      </c>
      <c r="I3655" s="1">
        <v>2</v>
      </c>
      <c r="J3655" s="1">
        <v>2</v>
      </c>
      <c r="K3655" s="1">
        <v>2</v>
      </c>
      <c r="M3655" s="4">
        <v>1373</v>
      </c>
      <c r="N3655" s="1">
        <v>1980</v>
      </c>
      <c r="O3655" s="1">
        <v>4135</v>
      </c>
      <c r="P3655" s="1">
        <v>2155</v>
      </c>
      <c r="Q3655" s="1" t="s">
        <v>42</v>
      </c>
      <c r="S3655" s="1" t="s">
        <v>42</v>
      </c>
      <c r="T3655" s="1" t="s">
        <v>273</v>
      </c>
      <c r="U3655" s="1">
        <v>104</v>
      </c>
      <c r="V3655" s="5">
        <v>43720</v>
      </c>
      <c r="W3655" s="5">
        <v>43411</v>
      </c>
      <c r="X3655" s="1">
        <v>3115000</v>
      </c>
      <c r="Y3655" s="1">
        <v>3115000</v>
      </c>
      <c r="Z3655" s="5">
        <v>43704</v>
      </c>
      <c r="AA3655" s="1">
        <v>2892183.03</v>
      </c>
      <c r="AB3655" s="1" t="s">
        <v>2430</v>
      </c>
      <c r="AC3655" s="5">
        <v>43705</v>
      </c>
      <c r="AF3655" s="1">
        <v>10016</v>
      </c>
      <c r="AI3655" s="1" t="s">
        <v>118</v>
      </c>
      <c r="AJ3655" s="1">
        <v>2019</v>
      </c>
      <c r="AK3655" s="1" t="s">
        <v>46</v>
      </c>
      <c r="AL3655" s="1">
        <v>130</v>
      </c>
    </row>
    <row r="3656" spans="1:38" x14ac:dyDescent="0.2">
      <c r="A3656" s="2" t="str">
        <f>HYPERLINK("https://www.compass.com/listing/277-5th-avenue-unit-33b-manhattan-ny-10016/425363959725963681/","277 5th Ave, Unit 33B")</f>
        <v>277 5th Ave, Unit 33B</v>
      </c>
      <c r="B3656" s="2" t="str">
        <f t="shared" si="615"/>
        <v>277 FIFTH AVENUE</v>
      </c>
      <c r="C3656" s="1" t="s">
        <v>40</v>
      </c>
      <c r="D3656" s="1" t="s">
        <v>41</v>
      </c>
      <c r="E3656" s="3">
        <v>2825000</v>
      </c>
      <c r="F3656" s="1">
        <v>2208.7568412822502</v>
      </c>
      <c r="G3656" s="1">
        <v>4</v>
      </c>
      <c r="H3656" s="1">
        <v>2</v>
      </c>
      <c r="I3656" s="1">
        <v>2</v>
      </c>
      <c r="J3656" s="1">
        <v>2</v>
      </c>
      <c r="K3656" s="1">
        <v>2</v>
      </c>
      <c r="M3656" s="4">
        <v>1279</v>
      </c>
      <c r="N3656" s="1">
        <v>1844.07</v>
      </c>
      <c r="O3656" s="1">
        <v>3851.27</v>
      </c>
      <c r="P3656" s="1">
        <v>2007.1666666666599</v>
      </c>
      <c r="Q3656" s="1" t="s">
        <v>42</v>
      </c>
      <c r="S3656" s="1" t="s">
        <v>42</v>
      </c>
      <c r="T3656" s="1" t="s">
        <v>273</v>
      </c>
      <c r="U3656" s="1">
        <v>356</v>
      </c>
      <c r="V3656" s="5">
        <v>44411</v>
      </c>
      <c r="W3656" s="5">
        <v>43838</v>
      </c>
      <c r="X3656" s="1">
        <v>3655000</v>
      </c>
      <c r="Y3656" s="1">
        <v>3375000</v>
      </c>
      <c r="AA3656" s="1">
        <v>2825000</v>
      </c>
      <c r="AB3656" s="1" t="s">
        <v>2431</v>
      </c>
      <c r="AC3656" s="5">
        <v>44377</v>
      </c>
      <c r="AF3656" s="1">
        <v>10016</v>
      </c>
      <c r="AI3656" s="1" t="s">
        <v>118</v>
      </c>
      <c r="AJ3656" s="1">
        <v>2019</v>
      </c>
      <c r="AK3656" s="1" t="s">
        <v>49</v>
      </c>
      <c r="AL3656" s="1">
        <v>130</v>
      </c>
    </row>
    <row r="3657" spans="1:38" x14ac:dyDescent="0.2">
      <c r="A3657" s="2" t="str">
        <f>HYPERLINK("https://www.compass.com/listing/277-5th-avenue-unit-17d-manhattan-ny-10016/20330194678105249/","277 5th Ave, Unit 17D")</f>
        <v>277 5th Ave, Unit 17D</v>
      </c>
      <c r="B3657" s="2" t="str">
        <f t="shared" si="615"/>
        <v>277 FIFTH AVENUE</v>
      </c>
      <c r="C3657" s="1" t="s">
        <v>40</v>
      </c>
      <c r="D3657" s="1" t="s">
        <v>41</v>
      </c>
      <c r="E3657" s="3">
        <v>3017500</v>
      </c>
      <c r="F3657" s="1">
        <v>2197.7421704297099</v>
      </c>
      <c r="G3657" s="1">
        <v>4</v>
      </c>
      <c r="H3657" s="1">
        <v>2</v>
      </c>
      <c r="I3657" s="1">
        <v>2</v>
      </c>
      <c r="J3657" s="1">
        <v>2</v>
      </c>
      <c r="K3657" s="1">
        <v>2</v>
      </c>
      <c r="M3657" s="4">
        <v>1373</v>
      </c>
      <c r="N3657" s="1">
        <v>1980</v>
      </c>
      <c r="O3657" s="1">
        <v>4135</v>
      </c>
      <c r="P3657" s="1">
        <v>2155</v>
      </c>
      <c r="Q3657" s="1" t="s">
        <v>42</v>
      </c>
      <c r="S3657" s="1" t="s">
        <v>42</v>
      </c>
      <c r="T3657" s="1" t="s">
        <v>273</v>
      </c>
      <c r="U3657" s="1">
        <v>90</v>
      </c>
      <c r="V3657" s="5">
        <v>43648</v>
      </c>
      <c r="W3657" s="5">
        <v>42995</v>
      </c>
      <c r="X3657" s="1">
        <v>3150000</v>
      </c>
      <c r="Y3657" s="1">
        <v>3220000</v>
      </c>
      <c r="Z3657" s="5">
        <v>43377</v>
      </c>
      <c r="AA3657" s="1">
        <v>3017500</v>
      </c>
      <c r="AB3657" s="1" t="s">
        <v>2432</v>
      </c>
      <c r="AC3657" s="5">
        <v>43546</v>
      </c>
      <c r="AF3657" s="1">
        <v>10016</v>
      </c>
      <c r="AI3657" s="1" t="s">
        <v>48</v>
      </c>
      <c r="AJ3657" s="1">
        <v>2019</v>
      </c>
      <c r="AK3657" s="1" t="s">
        <v>46</v>
      </c>
      <c r="AL3657" s="1">
        <v>130</v>
      </c>
    </row>
    <row r="3658" spans="1:38" x14ac:dyDescent="0.2">
      <c r="A3658" s="2" t="str">
        <f>HYPERLINK("https://www.compass.com/listing/277-5th-avenue-unit-15a-manhattan-ny-10016/274558833169317377/","277 5th Ave, Unit 15A")</f>
        <v>277 5th Ave, Unit 15A</v>
      </c>
      <c r="B3658" s="2" t="str">
        <f t="shared" si="615"/>
        <v>277 FIFTH AVENUE</v>
      </c>
      <c r="C3658" s="1" t="s">
        <v>40</v>
      </c>
      <c r="D3658" s="1" t="s">
        <v>41</v>
      </c>
      <c r="E3658" s="3">
        <v>2886808</v>
      </c>
      <c r="F3658" s="1">
        <v>2149.52164556962</v>
      </c>
      <c r="G3658" s="1">
        <v>4</v>
      </c>
      <c r="H3658" s="1">
        <v>2</v>
      </c>
      <c r="I3658" s="1">
        <v>2</v>
      </c>
      <c r="J3658" s="1">
        <v>2</v>
      </c>
      <c r="K3658" s="1">
        <v>2</v>
      </c>
      <c r="M3658" s="4">
        <v>1343</v>
      </c>
      <c r="N3658" s="1">
        <v>1936</v>
      </c>
      <c r="O3658" s="1">
        <v>4044</v>
      </c>
      <c r="P3658" s="1">
        <v>2108</v>
      </c>
      <c r="Q3658" s="1" t="s">
        <v>42</v>
      </c>
      <c r="S3658" s="1" t="s">
        <v>42</v>
      </c>
      <c r="T3658" s="1" t="s">
        <v>273</v>
      </c>
      <c r="U3658" s="1">
        <v>90</v>
      </c>
      <c r="V3658" s="5">
        <v>43631</v>
      </c>
      <c r="W3658" s="5">
        <v>43153</v>
      </c>
      <c r="X3658" s="1">
        <v>2870000</v>
      </c>
      <c r="Y3658" s="1">
        <v>3035000</v>
      </c>
      <c r="Z3658" s="5">
        <v>43350</v>
      </c>
      <c r="AA3658" s="1">
        <v>2886807.57</v>
      </c>
      <c r="AB3658" s="1" t="s">
        <v>2433</v>
      </c>
      <c r="AC3658" s="5">
        <v>43605</v>
      </c>
      <c r="AF3658" s="1">
        <v>10016</v>
      </c>
      <c r="AI3658" s="1" t="s">
        <v>118</v>
      </c>
      <c r="AJ3658" s="1">
        <v>2019</v>
      </c>
      <c r="AK3658" s="1" t="s">
        <v>46</v>
      </c>
      <c r="AL3658" s="1">
        <v>130</v>
      </c>
    </row>
    <row r="3659" spans="1:38" x14ac:dyDescent="0.2">
      <c r="A3659" s="2" t="str">
        <f>HYPERLINK("https://www.compass.com/listing/277-5th-avenue-unit-16a-manhattan-ny-10016/29514469746937345/","277 5th Ave, Unit 16A")</f>
        <v>277 5th Ave, Unit 16A</v>
      </c>
      <c r="B3659" s="2" t="str">
        <f t="shared" si="615"/>
        <v>277 FIFTH AVENUE</v>
      </c>
      <c r="C3659" s="1" t="s">
        <v>40</v>
      </c>
      <c r="D3659" s="1" t="s">
        <v>41</v>
      </c>
      <c r="E3659" s="3">
        <v>2916808</v>
      </c>
      <c r="F3659" s="1">
        <v>2171.86001489203</v>
      </c>
      <c r="G3659" s="1">
        <v>4</v>
      </c>
      <c r="H3659" s="1">
        <v>2</v>
      </c>
      <c r="I3659" s="1">
        <v>2</v>
      </c>
      <c r="J3659" s="1">
        <v>2</v>
      </c>
      <c r="K3659" s="1">
        <v>2</v>
      </c>
      <c r="M3659" s="4">
        <v>1343</v>
      </c>
      <c r="N3659" s="1">
        <v>1936</v>
      </c>
      <c r="O3659" s="1">
        <v>4044</v>
      </c>
      <c r="P3659" s="1">
        <v>2108</v>
      </c>
      <c r="Q3659" s="1" t="s">
        <v>42</v>
      </c>
      <c r="S3659" s="1" t="s">
        <v>42</v>
      </c>
      <c r="T3659" s="1" t="s">
        <v>273</v>
      </c>
      <c r="U3659" s="1">
        <v>90</v>
      </c>
      <c r="V3659" s="5">
        <v>43782</v>
      </c>
      <c r="W3659" s="5">
        <v>43244</v>
      </c>
      <c r="X3659" s="1">
        <v>2905000</v>
      </c>
      <c r="Y3659" s="1">
        <v>3200000</v>
      </c>
      <c r="Z3659" s="5">
        <v>43414</v>
      </c>
      <c r="AA3659" s="1">
        <v>2916808</v>
      </c>
      <c r="AB3659" s="1" t="s">
        <v>2434</v>
      </c>
      <c r="AC3659" s="5">
        <v>43554</v>
      </c>
      <c r="AF3659" s="1">
        <v>10016</v>
      </c>
      <c r="AI3659" s="1" t="s">
        <v>118</v>
      </c>
      <c r="AJ3659" s="1">
        <v>2019</v>
      </c>
      <c r="AK3659" s="1" t="s">
        <v>46</v>
      </c>
      <c r="AL3659" s="1">
        <v>130</v>
      </c>
    </row>
    <row r="3660" spans="1:38" x14ac:dyDescent="0.2">
      <c r="A3660" s="2" t="str">
        <f>HYPERLINK("https://www.compass.com/listing/277-5th-avenue-unit-11a-manhattan-ny-10016/29514473177912641/","277 5th Ave, Unit 11A")</f>
        <v>277 5th Ave, Unit 11A</v>
      </c>
      <c r="B3660" s="2" t="str">
        <f t="shared" si="615"/>
        <v>277 FIFTH AVENUE</v>
      </c>
      <c r="C3660" s="1" t="s">
        <v>40</v>
      </c>
      <c r="D3660" s="1" t="s">
        <v>41</v>
      </c>
      <c r="E3660" s="3">
        <v>2807038</v>
      </c>
      <c r="F3660" s="1">
        <v>2090.1250930751999</v>
      </c>
      <c r="G3660" s="1">
        <v>4</v>
      </c>
      <c r="H3660" s="1">
        <v>2</v>
      </c>
      <c r="I3660" s="1">
        <v>2</v>
      </c>
      <c r="J3660" s="1">
        <v>2</v>
      </c>
      <c r="K3660" s="1">
        <v>2</v>
      </c>
      <c r="M3660" s="4">
        <v>1343</v>
      </c>
      <c r="N3660" s="1">
        <v>1936</v>
      </c>
      <c r="O3660" s="1">
        <v>4044</v>
      </c>
      <c r="P3660" s="1">
        <v>2108</v>
      </c>
      <c r="Q3660" s="1" t="s">
        <v>42</v>
      </c>
      <c r="S3660" s="1" t="s">
        <v>42</v>
      </c>
      <c r="T3660" s="1" t="s">
        <v>273</v>
      </c>
      <c r="U3660" s="1">
        <v>7</v>
      </c>
      <c r="V3660" s="5">
        <v>43710</v>
      </c>
      <c r="W3660" s="5">
        <v>43235</v>
      </c>
      <c r="X3660" s="1">
        <v>2765000</v>
      </c>
      <c r="Y3660" s="1">
        <v>2765000</v>
      </c>
      <c r="Z3660" s="5">
        <v>43242</v>
      </c>
      <c r="AA3660" s="1">
        <v>2807038</v>
      </c>
      <c r="AB3660" s="1" t="s">
        <v>2435</v>
      </c>
      <c r="AC3660" s="5">
        <v>43671</v>
      </c>
      <c r="AF3660" s="1">
        <v>10016</v>
      </c>
      <c r="AI3660" s="1" t="s">
        <v>118</v>
      </c>
      <c r="AJ3660" s="1">
        <v>2019</v>
      </c>
      <c r="AK3660" s="1" t="s">
        <v>49</v>
      </c>
      <c r="AL3660" s="1">
        <v>130</v>
      </c>
    </row>
    <row r="3661" spans="1:38" x14ac:dyDescent="0.2">
      <c r="A3661" s="2" t="str">
        <f>HYPERLINK("https://www.compass.com/listing/277-5th-avenue-unit-14a-manhattan-ny-10016/29514474494966177/","277 5th Ave, Unit 14A")</f>
        <v>277 5th Ave, Unit 14A</v>
      </c>
      <c r="B3661" s="2" t="str">
        <f t="shared" si="615"/>
        <v>277 FIFTH AVENUE</v>
      </c>
      <c r="C3661" s="1" t="s">
        <v>40</v>
      </c>
      <c r="D3661" s="1" t="s">
        <v>41</v>
      </c>
      <c r="E3661" s="3">
        <v>2877677</v>
      </c>
      <c r="F3661" s="1">
        <v>2142.72300819061</v>
      </c>
      <c r="G3661" s="1">
        <v>4</v>
      </c>
      <c r="H3661" s="1">
        <v>2</v>
      </c>
      <c r="I3661" s="1">
        <v>2</v>
      </c>
      <c r="J3661" s="1">
        <v>2</v>
      </c>
      <c r="K3661" s="1">
        <v>2</v>
      </c>
      <c r="M3661" s="4">
        <v>1343</v>
      </c>
      <c r="N3661" s="1">
        <v>1936</v>
      </c>
      <c r="O3661" s="1">
        <v>4044</v>
      </c>
      <c r="P3661" s="1">
        <v>2108</v>
      </c>
      <c r="Q3661" s="1" t="s">
        <v>42</v>
      </c>
      <c r="S3661" s="1" t="s">
        <v>42</v>
      </c>
      <c r="T3661" s="1" t="s">
        <v>273</v>
      </c>
      <c r="U3661" s="1">
        <v>5</v>
      </c>
      <c r="V3661" s="5">
        <v>43685</v>
      </c>
      <c r="W3661" s="5">
        <v>43216</v>
      </c>
      <c r="X3661" s="1">
        <v>2835000</v>
      </c>
      <c r="Y3661" s="1">
        <v>2835000</v>
      </c>
      <c r="Z3661" s="5">
        <v>43221</v>
      </c>
      <c r="AA3661" s="1">
        <v>2877677</v>
      </c>
      <c r="AB3661" s="1" t="s">
        <v>2436</v>
      </c>
      <c r="AC3661" s="5">
        <v>43543</v>
      </c>
      <c r="AF3661" s="1">
        <v>10016</v>
      </c>
      <c r="AI3661" s="1" t="s">
        <v>118</v>
      </c>
      <c r="AJ3661" s="1">
        <v>2019</v>
      </c>
      <c r="AK3661" s="1" t="s">
        <v>46</v>
      </c>
      <c r="AL3661" s="1">
        <v>130</v>
      </c>
    </row>
    <row r="3662" spans="1:38" x14ac:dyDescent="0.2">
      <c r="A3662" s="2" t="str">
        <f>HYPERLINK("https://www.compass.com/listing/277-5th-avenue-unit-12a-manhattan-ny-10016/29514475392547265/","277 5th Ave, Unit 12A")</f>
        <v>277 5th Ave, Unit 12A</v>
      </c>
      <c r="B3662" s="2" t="str">
        <f t="shared" si="615"/>
        <v>277 FIFTH AVENUE</v>
      </c>
      <c r="C3662" s="1" t="s">
        <v>40</v>
      </c>
      <c r="D3662" s="1" t="s">
        <v>41</v>
      </c>
      <c r="E3662" s="3">
        <v>2797158</v>
      </c>
      <c r="F3662" s="1">
        <v>2082.7684288905398</v>
      </c>
      <c r="G3662" s="1">
        <v>4</v>
      </c>
      <c r="H3662" s="1">
        <v>2</v>
      </c>
      <c r="I3662" s="1">
        <v>2</v>
      </c>
      <c r="J3662" s="1">
        <v>2</v>
      </c>
      <c r="K3662" s="1">
        <v>2</v>
      </c>
      <c r="M3662" s="4">
        <v>1343</v>
      </c>
      <c r="N3662" s="1">
        <v>1936</v>
      </c>
      <c r="O3662" s="1">
        <v>4044</v>
      </c>
      <c r="P3662" s="1">
        <v>2108</v>
      </c>
      <c r="Q3662" s="1" t="s">
        <v>42</v>
      </c>
      <c r="S3662" s="1" t="s">
        <v>42</v>
      </c>
      <c r="T3662" s="1" t="s">
        <v>273</v>
      </c>
      <c r="U3662" s="1">
        <v>79</v>
      </c>
      <c r="V3662" s="5">
        <v>43648</v>
      </c>
      <c r="W3662" s="5">
        <v>42995</v>
      </c>
      <c r="X3662" s="1">
        <v>2800000</v>
      </c>
      <c r="Y3662" s="1">
        <v>2800000</v>
      </c>
      <c r="Z3662" s="5">
        <v>43277</v>
      </c>
      <c r="AA3662" s="1">
        <v>2797158</v>
      </c>
      <c r="AB3662" s="1" t="s">
        <v>2437</v>
      </c>
      <c r="AC3662" s="5">
        <v>43558</v>
      </c>
      <c r="AF3662" s="1">
        <v>10016</v>
      </c>
      <c r="AI3662" s="1" t="s">
        <v>48</v>
      </c>
      <c r="AJ3662" s="1">
        <v>2019</v>
      </c>
      <c r="AK3662" s="1" t="s">
        <v>46</v>
      </c>
      <c r="AL3662" s="1">
        <v>130</v>
      </c>
    </row>
    <row r="3663" spans="1:38" x14ac:dyDescent="0.2">
      <c r="A3663" s="2" t="str">
        <f>HYPERLINK("https://www.compass.com/listing/277-5th-avenue-unit-16d-manhattan-ny-10016/44192631730768609/","277 5th Ave, Unit 16D")</f>
        <v>277 5th Ave, Unit 16D</v>
      </c>
      <c r="B3663" s="2" t="str">
        <f t="shared" si="615"/>
        <v>277 FIFTH AVENUE</v>
      </c>
      <c r="C3663" s="1" t="s">
        <v>40</v>
      </c>
      <c r="D3663" s="1" t="s">
        <v>41</v>
      </c>
      <c r="E3663" s="3">
        <v>2967184</v>
      </c>
      <c r="F3663" s="1">
        <v>2161.0954115076402</v>
      </c>
      <c r="G3663" s="1">
        <v>4</v>
      </c>
      <c r="H3663" s="1">
        <v>2</v>
      </c>
      <c r="I3663" s="1">
        <v>2</v>
      </c>
      <c r="J3663" s="1">
        <v>2</v>
      </c>
      <c r="K3663" s="1">
        <v>2</v>
      </c>
      <c r="M3663" s="4">
        <v>1373</v>
      </c>
      <c r="N3663" s="1">
        <v>1980</v>
      </c>
      <c r="O3663" s="1">
        <v>4135</v>
      </c>
      <c r="P3663" s="1">
        <v>2155</v>
      </c>
      <c r="Q3663" s="1" t="s">
        <v>42</v>
      </c>
      <c r="S3663" s="1" t="s">
        <v>42</v>
      </c>
      <c r="T3663" s="1" t="s">
        <v>273</v>
      </c>
      <c r="U3663" s="1">
        <v>52</v>
      </c>
      <c r="V3663" s="5">
        <v>43676</v>
      </c>
      <c r="W3663" s="5">
        <v>43313</v>
      </c>
      <c r="X3663" s="1">
        <v>2990000</v>
      </c>
      <c r="Y3663" s="1">
        <v>3185000</v>
      </c>
      <c r="Z3663" s="5">
        <v>43365</v>
      </c>
      <c r="AA3663" s="1">
        <v>2967184</v>
      </c>
      <c r="AB3663" s="1" t="s">
        <v>2438</v>
      </c>
      <c r="AC3663" s="5">
        <v>43532</v>
      </c>
      <c r="AF3663" s="1">
        <v>10016</v>
      </c>
      <c r="AI3663" s="1" t="s">
        <v>118</v>
      </c>
      <c r="AJ3663" s="1">
        <v>2019</v>
      </c>
      <c r="AK3663" s="1" t="s">
        <v>46</v>
      </c>
      <c r="AL3663" s="1">
        <v>130</v>
      </c>
    </row>
    <row r="3664" spans="1:38" x14ac:dyDescent="0.2">
      <c r="A3664" s="2" t="str">
        <f>HYPERLINK("https://www.compass.com/listing/277-5th-avenue-unit-15d-manhattan-ny-10016/86156666050980769/","277 5th Ave, Unit 15D")</f>
        <v>277 5th Ave, Unit 15D</v>
      </c>
      <c r="B3664" s="2" t="str">
        <f t="shared" si="615"/>
        <v>277 FIFTH AVENUE</v>
      </c>
      <c r="C3664" s="1" t="s">
        <v>40</v>
      </c>
      <c r="D3664" s="1" t="s">
        <v>41</v>
      </c>
      <c r="E3664" s="3">
        <v>2912183</v>
      </c>
      <c r="F3664" s="1">
        <v>2121.0364166059699</v>
      </c>
      <c r="G3664" s="1">
        <v>4</v>
      </c>
      <c r="H3664" s="1">
        <v>2</v>
      </c>
      <c r="I3664" s="1">
        <v>2</v>
      </c>
      <c r="J3664" s="1">
        <v>2</v>
      </c>
      <c r="K3664" s="1">
        <v>2</v>
      </c>
      <c r="M3664" s="4">
        <v>1373</v>
      </c>
      <c r="N3664" s="1">
        <v>1980</v>
      </c>
      <c r="O3664" s="1">
        <v>4135</v>
      </c>
      <c r="P3664" s="1">
        <v>2155</v>
      </c>
      <c r="Q3664" s="1" t="s">
        <v>42</v>
      </c>
      <c r="S3664" s="1" t="s">
        <v>42</v>
      </c>
      <c r="T3664" s="1" t="s">
        <v>273</v>
      </c>
      <c r="V3664" s="5">
        <v>43648</v>
      </c>
      <c r="W3664" s="5">
        <v>43371</v>
      </c>
      <c r="X3664" s="1">
        <v>3150000</v>
      </c>
      <c r="Y3664" s="1">
        <v>3150000</v>
      </c>
      <c r="Z3664" s="5">
        <v>43371</v>
      </c>
      <c r="AA3664" s="1">
        <v>2912183</v>
      </c>
      <c r="AB3664" s="1" t="s">
        <v>2439</v>
      </c>
      <c r="AC3664" s="5">
        <v>43523</v>
      </c>
      <c r="AF3664" s="1">
        <v>10016</v>
      </c>
      <c r="AI3664" s="1" t="s">
        <v>118</v>
      </c>
      <c r="AJ3664" s="1">
        <v>2019</v>
      </c>
      <c r="AK3664" s="1" t="s">
        <v>46</v>
      </c>
      <c r="AL3664" s="1">
        <v>130</v>
      </c>
    </row>
    <row r="3665" spans="1:38" x14ac:dyDescent="0.2">
      <c r="A3665" s="2" t="str">
        <f>HYPERLINK("https://www.compass.com/listing/277-5th-avenue-unit-33b-manhattan-ny-10016/832024424381739857/","277 5th Ave, Unit 33B")</f>
        <v>277 5th Ave, Unit 33B</v>
      </c>
      <c r="B3665" s="2" t="str">
        <f t="shared" si="615"/>
        <v>277 FIFTH AVENUE</v>
      </c>
      <c r="C3665" s="1" t="s">
        <v>40</v>
      </c>
      <c r="D3665" s="1" t="s">
        <v>41</v>
      </c>
      <c r="E3665" s="3">
        <v>2825000</v>
      </c>
      <c r="F3665" s="1">
        <v>2208.7568412822502</v>
      </c>
      <c r="G3665" s="1">
        <v>4</v>
      </c>
      <c r="H3665" s="1">
        <v>2</v>
      </c>
      <c r="I3665" s="1">
        <v>2</v>
      </c>
      <c r="J3665" s="1">
        <v>2</v>
      </c>
      <c r="K3665" s="1">
        <v>2</v>
      </c>
      <c r="M3665" s="4">
        <v>1279</v>
      </c>
      <c r="N3665" s="1">
        <v>1841</v>
      </c>
      <c r="O3665" s="1">
        <v>3474</v>
      </c>
      <c r="P3665" s="1">
        <v>1633</v>
      </c>
      <c r="Q3665" s="1" t="s">
        <v>42</v>
      </c>
      <c r="S3665" s="1" t="s">
        <v>42</v>
      </c>
      <c r="T3665" s="1" t="s">
        <v>273</v>
      </c>
      <c r="V3665" s="5">
        <v>44419</v>
      </c>
      <c r="AA3665" s="1">
        <v>2825000</v>
      </c>
      <c r="AB3665" s="1" t="s">
        <v>2431</v>
      </c>
      <c r="AC3665" s="5">
        <v>44377</v>
      </c>
      <c r="AF3665" s="1">
        <v>10016</v>
      </c>
      <c r="AI3665" s="1" t="s">
        <v>118</v>
      </c>
      <c r="AJ3665" s="1">
        <v>2019</v>
      </c>
      <c r="AK3665" s="1" t="s">
        <v>49</v>
      </c>
      <c r="AL3665" s="1">
        <v>130</v>
      </c>
    </row>
    <row r="3666" spans="1:38" x14ac:dyDescent="0.2">
      <c r="A3666" s="2" t="str">
        <f>HYPERLINK("https://www.compass.com/listing/277-5th-avenue-unit-49a-manhattan-ny-10016/29514467733671361/","277 5th Ave, Unit 49A")</f>
        <v>277 5th Ave, Unit 49A</v>
      </c>
      <c r="B3666" s="2" t="str">
        <f t="shared" si="615"/>
        <v>277 FIFTH AVENUE</v>
      </c>
      <c r="C3666" s="1" t="s">
        <v>40</v>
      </c>
      <c r="D3666" s="1" t="s">
        <v>41</v>
      </c>
      <c r="E3666" s="3">
        <v>6500000</v>
      </c>
      <c r="F3666" s="1">
        <v>2929.2474087426699</v>
      </c>
      <c r="G3666" s="1">
        <v>6</v>
      </c>
      <c r="H3666" s="1">
        <v>3</v>
      </c>
      <c r="I3666" s="1">
        <v>4</v>
      </c>
      <c r="J3666" s="1">
        <v>3.5</v>
      </c>
      <c r="K3666" s="1">
        <v>3</v>
      </c>
      <c r="L3666" s="1">
        <v>1</v>
      </c>
      <c r="M3666" s="4">
        <v>2219</v>
      </c>
      <c r="N3666" s="1">
        <v>3199</v>
      </c>
      <c r="O3666" s="1">
        <v>6033</v>
      </c>
      <c r="P3666" s="1">
        <v>2834</v>
      </c>
      <c r="Q3666" s="1" t="s">
        <v>42</v>
      </c>
      <c r="S3666" s="1" t="s">
        <v>42</v>
      </c>
      <c r="T3666" s="1" t="s">
        <v>273</v>
      </c>
      <c r="U3666" s="1">
        <v>67</v>
      </c>
      <c r="V3666" s="5">
        <v>44141</v>
      </c>
      <c r="W3666" s="5">
        <v>44004</v>
      </c>
      <c r="Y3666" s="1">
        <v>8140000</v>
      </c>
      <c r="Z3666" s="5">
        <v>44071</v>
      </c>
      <c r="AA3666" s="1">
        <v>6500000</v>
      </c>
      <c r="AB3666" s="1" t="s">
        <v>2440</v>
      </c>
      <c r="AC3666" s="5">
        <v>44134</v>
      </c>
      <c r="AF3666" s="1">
        <v>10016</v>
      </c>
      <c r="AI3666" s="1" t="s">
        <v>118</v>
      </c>
      <c r="AJ3666" s="1">
        <v>2019</v>
      </c>
      <c r="AK3666" s="1" t="s">
        <v>46</v>
      </c>
      <c r="AL3666" s="1">
        <v>130</v>
      </c>
    </row>
    <row r="3667" spans="1:38" x14ac:dyDescent="0.2">
      <c r="A3667" s="2" t="str">
        <f>HYPERLINK("https://www.compass.com/listing/277-5th-avenue-unit-22d-manhattan-ny-10016/454347680261893401/","277 5th Ave, Unit 22D")</f>
        <v>277 5th Ave, Unit 22D</v>
      </c>
      <c r="B3667" s="2" t="str">
        <f t="shared" si="615"/>
        <v>277 FIFTH AVENUE</v>
      </c>
      <c r="C3667" s="1" t="s">
        <v>40</v>
      </c>
      <c r="D3667" s="1" t="s">
        <v>41</v>
      </c>
      <c r="E3667" s="3">
        <v>2969000</v>
      </c>
      <c r="F3667" s="1">
        <v>2162.4180626365601</v>
      </c>
      <c r="G3667" s="1">
        <v>4</v>
      </c>
      <c r="H3667" s="1">
        <v>2</v>
      </c>
      <c r="I3667" s="1">
        <v>2</v>
      </c>
      <c r="J3667" s="1">
        <v>2</v>
      </c>
      <c r="K3667" s="1">
        <v>2</v>
      </c>
      <c r="M3667" s="4">
        <v>1373</v>
      </c>
      <c r="N3667" s="1">
        <v>1980</v>
      </c>
      <c r="O3667" s="1">
        <v>4135</v>
      </c>
      <c r="P3667" s="1">
        <v>2155</v>
      </c>
      <c r="Q3667" s="1" t="s">
        <v>42</v>
      </c>
      <c r="S3667" s="1" t="s">
        <v>42</v>
      </c>
      <c r="T3667" s="1" t="s">
        <v>273</v>
      </c>
      <c r="U3667" s="1">
        <v>34</v>
      </c>
      <c r="V3667" s="5">
        <v>44113</v>
      </c>
      <c r="W3667" s="5">
        <v>43878</v>
      </c>
      <c r="X3667" s="1">
        <v>3395000</v>
      </c>
      <c r="Y3667" s="1">
        <v>3395000</v>
      </c>
      <c r="Z3667" s="5">
        <v>44007</v>
      </c>
      <c r="AA3667" s="1">
        <v>2969000</v>
      </c>
      <c r="AB3667" s="1" t="s">
        <v>2441</v>
      </c>
      <c r="AC3667" s="5">
        <v>44053</v>
      </c>
      <c r="AF3667" s="1">
        <v>10016</v>
      </c>
      <c r="AI3667" s="1" t="s">
        <v>196</v>
      </c>
      <c r="AJ3667" s="1">
        <v>2019</v>
      </c>
      <c r="AK3667" s="1" t="s">
        <v>46</v>
      </c>
      <c r="AL3667" s="1">
        <v>130</v>
      </c>
    </row>
    <row r="3668" spans="1:38" x14ac:dyDescent="0.2">
      <c r="A3668" s="2" t="str">
        <f>HYPERLINK("https://www.compass.com/listing/277-5th-avenue-unit-30d-manhattan-ny-10016/624130191274574329/","277 5th Ave, Unit 30D")</f>
        <v>277 5th Ave, Unit 30D</v>
      </c>
      <c r="B3668" s="2" t="str">
        <f t="shared" si="615"/>
        <v>277 FIFTH AVENUE</v>
      </c>
      <c r="C3668" s="1" t="s">
        <v>40</v>
      </c>
      <c r="D3668" s="1" t="s">
        <v>41</v>
      </c>
      <c r="E3668" s="3">
        <v>3100000</v>
      </c>
      <c r="F3668" s="1">
        <v>2257.8295702840401</v>
      </c>
      <c r="G3668" s="1">
        <v>4</v>
      </c>
      <c r="H3668" s="1">
        <v>2</v>
      </c>
      <c r="I3668" s="1">
        <v>2</v>
      </c>
      <c r="J3668" s="1">
        <v>2</v>
      </c>
      <c r="K3668" s="1">
        <v>2</v>
      </c>
      <c r="M3668" s="4">
        <v>1373</v>
      </c>
      <c r="N3668" s="1">
        <v>1980</v>
      </c>
      <c r="O3668" s="1">
        <v>3733</v>
      </c>
      <c r="P3668" s="1">
        <v>1753</v>
      </c>
      <c r="Q3668" s="1" t="s">
        <v>42</v>
      </c>
      <c r="S3668" s="1" t="s">
        <v>42</v>
      </c>
      <c r="T3668" s="1" t="s">
        <v>273</v>
      </c>
      <c r="U3668" s="1">
        <v>172</v>
      </c>
      <c r="V3668" s="5">
        <v>44427</v>
      </c>
      <c r="W3668" s="5">
        <v>44112</v>
      </c>
      <c r="X3668" s="1">
        <v>3677000</v>
      </c>
      <c r="Y3668" s="1">
        <v>3150000</v>
      </c>
      <c r="Z3668" s="5">
        <v>44285</v>
      </c>
      <c r="AA3668" s="1">
        <v>3100000</v>
      </c>
      <c r="AB3668" s="1" t="s">
        <v>2442</v>
      </c>
      <c r="AC3668" s="5">
        <v>44333</v>
      </c>
      <c r="AF3668" s="1">
        <v>10016</v>
      </c>
      <c r="AI3668" s="1" t="s">
        <v>118</v>
      </c>
      <c r="AJ3668" s="1">
        <v>2019</v>
      </c>
      <c r="AK3668" s="1" t="s">
        <v>49</v>
      </c>
      <c r="AL3668" s="1">
        <v>130</v>
      </c>
    </row>
    <row r="3669" spans="1:38" x14ac:dyDescent="0.2">
      <c r="A3669" s="2" t="str">
        <f>HYPERLINK("https://www.compass.com/listing/300-east-64th-street-unit-9c-manhattan-ny-10065/29415721704396097/","300 E 64th St, Unit 9C")</f>
        <v>300 E 64th St, Unit 9C</v>
      </c>
      <c r="B3669" s="2" t="str">
        <f t="shared" ref="B3669:B3680" si="616">HYPERLINK("https://www.compass.com/building/300-e-64th-st-manhattan-ny-10065/282038617012979925/","300 E 64th St")</f>
        <v>300 E 64th St</v>
      </c>
      <c r="C3669" s="1" t="s">
        <v>82</v>
      </c>
      <c r="D3669" s="1" t="s">
        <v>41</v>
      </c>
      <c r="E3669" s="3">
        <v>1485000</v>
      </c>
      <c r="F3669" s="1">
        <v>1521.51639344262</v>
      </c>
      <c r="G3669" s="1">
        <v>3</v>
      </c>
      <c r="H3669" s="1">
        <v>1</v>
      </c>
      <c r="I3669" s="1">
        <v>2</v>
      </c>
      <c r="J3669" s="1">
        <v>2</v>
      </c>
      <c r="K3669" s="1">
        <v>2</v>
      </c>
      <c r="M3669" s="1">
        <v>976</v>
      </c>
      <c r="N3669" s="1">
        <v>1538</v>
      </c>
      <c r="O3669" s="1">
        <v>3729</v>
      </c>
      <c r="P3669" s="1">
        <v>2191</v>
      </c>
      <c r="Q3669" s="1" t="s">
        <v>42</v>
      </c>
      <c r="S3669" s="1" t="s">
        <v>42</v>
      </c>
      <c r="T3669" s="1" t="s">
        <v>273</v>
      </c>
      <c r="U3669" s="1">
        <v>247</v>
      </c>
      <c r="V3669" s="5">
        <v>44225</v>
      </c>
      <c r="W3669" s="5">
        <v>42362</v>
      </c>
      <c r="X3669" s="1">
        <v>1700000</v>
      </c>
      <c r="Y3669" s="1">
        <v>1485000</v>
      </c>
      <c r="Z3669" s="5">
        <v>42609</v>
      </c>
      <c r="AA3669" s="1">
        <v>1485000</v>
      </c>
      <c r="AB3669" s="1" t="s">
        <v>2443</v>
      </c>
      <c r="AC3669" s="5">
        <v>42633</v>
      </c>
      <c r="AF3669" s="1">
        <v>10065</v>
      </c>
      <c r="AI3669" s="1" t="s">
        <v>2444</v>
      </c>
      <c r="AJ3669" s="1">
        <v>1996</v>
      </c>
      <c r="AK3669" s="1" t="s">
        <v>49</v>
      </c>
      <c r="AL3669" s="1">
        <v>103</v>
      </c>
    </row>
    <row r="3670" spans="1:38" x14ac:dyDescent="0.2">
      <c r="A3670" s="2" t="str">
        <f>HYPERLINK("https://www.compass.com/listing/300-east-64th-street-unit-12c-manhattan-ny-10065/29415726158800305/","300 E 64th St, Unit 12C")</f>
        <v>300 E 64th St, Unit 12C</v>
      </c>
      <c r="B3670" s="2" t="str">
        <f t="shared" si="616"/>
        <v>300 E 64th St</v>
      </c>
      <c r="C3670" s="1" t="s">
        <v>82</v>
      </c>
      <c r="D3670" s="1" t="s">
        <v>41</v>
      </c>
      <c r="E3670" s="3">
        <v>1555000</v>
      </c>
      <c r="F3670" s="1">
        <v>1593.23770491803</v>
      </c>
      <c r="G3670" s="1">
        <v>4</v>
      </c>
      <c r="H3670" s="1">
        <v>1</v>
      </c>
      <c r="I3670" s="1">
        <v>2</v>
      </c>
      <c r="J3670" s="1">
        <v>2</v>
      </c>
      <c r="M3670" s="1">
        <v>976</v>
      </c>
      <c r="N3670" s="1">
        <v>1099</v>
      </c>
      <c r="O3670" s="1">
        <v>2664</v>
      </c>
      <c r="P3670" s="1">
        <v>1565</v>
      </c>
      <c r="Q3670" s="1" t="s">
        <v>42</v>
      </c>
      <c r="S3670" s="1" t="s">
        <v>42</v>
      </c>
      <c r="T3670" s="1" t="s">
        <v>273</v>
      </c>
      <c r="U3670" s="1">
        <v>47</v>
      </c>
      <c r="V3670" s="5">
        <v>43651</v>
      </c>
      <c r="W3670" s="5">
        <v>42078</v>
      </c>
      <c r="X3670" s="1">
        <v>1555000</v>
      </c>
      <c r="Y3670" s="1">
        <v>1555000</v>
      </c>
      <c r="Z3670" s="5">
        <v>42125</v>
      </c>
      <c r="AA3670" s="1">
        <v>1555000</v>
      </c>
      <c r="AB3670" s="1" t="s">
        <v>2445</v>
      </c>
      <c r="AC3670" s="5">
        <v>42214</v>
      </c>
      <c r="AF3670" s="1">
        <v>10065</v>
      </c>
      <c r="AI3670" s="1" t="s">
        <v>189</v>
      </c>
      <c r="AJ3670" s="1">
        <v>1996</v>
      </c>
      <c r="AK3670" s="1" t="s">
        <v>46</v>
      </c>
      <c r="AL3670" s="1">
        <v>103</v>
      </c>
    </row>
    <row r="3671" spans="1:38" x14ac:dyDescent="0.2">
      <c r="A3671" s="2" t="str">
        <f>HYPERLINK("https://www.compass.com/listing/300-east-64th-street-unit-16c-manhattan-ny-10065/29415731753948737/","300 E 64th St, Unit 16C")</f>
        <v>300 E 64th St, Unit 16C</v>
      </c>
      <c r="B3671" s="2" t="str">
        <f t="shared" si="616"/>
        <v>300 E 64th St</v>
      </c>
      <c r="C3671" s="1" t="s">
        <v>82</v>
      </c>
      <c r="D3671" s="1" t="s">
        <v>41</v>
      </c>
      <c r="E3671" s="3">
        <v>1495000</v>
      </c>
      <c r="F3671" s="1">
        <v>1531.76229508196</v>
      </c>
      <c r="G3671" s="1">
        <v>3</v>
      </c>
      <c r="H3671" s="1">
        <v>1</v>
      </c>
      <c r="I3671" s="1">
        <v>2</v>
      </c>
      <c r="J3671" s="1">
        <v>2</v>
      </c>
      <c r="M3671" s="1">
        <v>976</v>
      </c>
      <c r="N3671" s="1">
        <v>1098</v>
      </c>
      <c r="O3671" s="1">
        <v>2663</v>
      </c>
      <c r="P3671" s="1">
        <v>1565</v>
      </c>
      <c r="Q3671" s="1" t="s">
        <v>42</v>
      </c>
      <c r="S3671" s="1" t="s">
        <v>42</v>
      </c>
      <c r="T3671" s="1" t="s">
        <v>273</v>
      </c>
      <c r="U3671" s="1">
        <v>744</v>
      </c>
      <c r="V3671" s="5">
        <v>42793</v>
      </c>
      <c r="W3671" s="5">
        <v>41800</v>
      </c>
      <c r="X3671" s="1">
        <v>1685000</v>
      </c>
      <c r="Y3671" s="1">
        <v>1600000</v>
      </c>
      <c r="AA3671" s="1">
        <v>1495000</v>
      </c>
      <c r="AB3671" s="1" t="s">
        <v>2446</v>
      </c>
      <c r="AC3671" s="5">
        <v>42544</v>
      </c>
      <c r="AF3671" s="1">
        <v>10065</v>
      </c>
      <c r="AI3671" s="1" t="s">
        <v>189</v>
      </c>
      <c r="AJ3671" s="1">
        <v>1996</v>
      </c>
      <c r="AK3671" s="1" t="s">
        <v>49</v>
      </c>
      <c r="AL3671" s="1">
        <v>103</v>
      </c>
    </row>
    <row r="3672" spans="1:38" x14ac:dyDescent="0.2">
      <c r="A3672" s="2" t="str">
        <f>HYPERLINK("https://www.compass.com/listing/300-east-64th-street-unit-17c-manhattan-ny-10065/29415733633051585/","300 E 64th St, Unit 17C")</f>
        <v>300 E 64th St, Unit 17C</v>
      </c>
      <c r="B3672" s="2" t="str">
        <f t="shared" si="616"/>
        <v>300 E 64th St</v>
      </c>
      <c r="C3672" s="1" t="s">
        <v>82</v>
      </c>
      <c r="D3672" s="1" t="s">
        <v>41</v>
      </c>
      <c r="E3672" s="3">
        <v>1649919</v>
      </c>
      <c r="F3672" s="1">
        <v>1690.4907786885201</v>
      </c>
      <c r="G3672" s="1">
        <v>3</v>
      </c>
      <c r="H3672" s="1">
        <v>1</v>
      </c>
      <c r="I3672" s="1">
        <v>2</v>
      </c>
      <c r="J3672" s="1">
        <v>2</v>
      </c>
      <c r="M3672" s="1">
        <v>976</v>
      </c>
      <c r="N3672" s="1">
        <v>1098</v>
      </c>
      <c r="O3672" s="1">
        <v>2663</v>
      </c>
      <c r="P3672" s="1">
        <v>1565</v>
      </c>
      <c r="Q3672" s="1" t="s">
        <v>42</v>
      </c>
      <c r="S3672" s="1" t="s">
        <v>42</v>
      </c>
      <c r="T3672" s="1" t="s">
        <v>273</v>
      </c>
      <c r="U3672" s="1">
        <v>116</v>
      </c>
      <c r="V3672" s="5">
        <v>43651</v>
      </c>
      <c r="W3672" s="5">
        <v>42042</v>
      </c>
      <c r="X3672" s="1">
        <v>1635000</v>
      </c>
      <c r="Y3672" s="1">
        <v>1635000</v>
      </c>
      <c r="Z3672" s="5">
        <v>42158</v>
      </c>
      <c r="AA3672" s="1">
        <v>1649919</v>
      </c>
      <c r="AB3672" s="1" t="s">
        <v>2447</v>
      </c>
      <c r="AC3672" s="5">
        <v>42209</v>
      </c>
      <c r="AF3672" s="1">
        <v>10065</v>
      </c>
      <c r="AI3672" s="1" t="s">
        <v>189</v>
      </c>
      <c r="AJ3672" s="1">
        <v>1996</v>
      </c>
      <c r="AK3672" s="1" t="s">
        <v>49</v>
      </c>
      <c r="AL3672" s="1">
        <v>103</v>
      </c>
    </row>
    <row r="3673" spans="1:38" x14ac:dyDescent="0.2">
      <c r="A3673" s="2" t="str">
        <f>HYPERLINK("https://www.compass.com/listing/300-east-64th-street-unit-19c-manhattan-ny-10065/29415736527119985/","300 E 64th St, Unit 19C")</f>
        <v>300 E 64th St, Unit 19C</v>
      </c>
      <c r="B3673" s="2" t="str">
        <f t="shared" si="616"/>
        <v>300 E 64th St</v>
      </c>
      <c r="C3673" s="1" t="s">
        <v>82</v>
      </c>
      <c r="D3673" s="1" t="s">
        <v>41</v>
      </c>
      <c r="E3673" s="3">
        <v>1575000</v>
      </c>
      <c r="F3673" s="1">
        <v>1613.72950819672</v>
      </c>
      <c r="G3673" s="1">
        <v>3</v>
      </c>
      <c r="H3673" s="1">
        <v>1</v>
      </c>
      <c r="I3673" s="1">
        <v>2</v>
      </c>
      <c r="J3673" s="1">
        <v>2</v>
      </c>
      <c r="M3673" s="1">
        <v>976</v>
      </c>
      <c r="N3673" s="1">
        <v>1098</v>
      </c>
      <c r="O3673" s="1">
        <v>2663</v>
      </c>
      <c r="P3673" s="1">
        <v>1565</v>
      </c>
      <c r="Q3673" s="1" t="s">
        <v>42</v>
      </c>
      <c r="S3673" s="1" t="s">
        <v>42</v>
      </c>
      <c r="T3673" s="1" t="s">
        <v>273</v>
      </c>
      <c r="U3673" s="1">
        <v>50</v>
      </c>
      <c r="V3673" s="5">
        <v>43675</v>
      </c>
      <c r="W3673" s="5">
        <v>42489</v>
      </c>
      <c r="X3673" s="1">
        <v>1595000</v>
      </c>
      <c r="Y3673" s="1">
        <v>1575000</v>
      </c>
      <c r="Z3673" s="5">
        <v>42539</v>
      </c>
      <c r="AA3673" s="1">
        <v>1575000</v>
      </c>
      <c r="AB3673" s="1" t="s">
        <v>2448</v>
      </c>
      <c r="AC3673" s="5">
        <v>42599</v>
      </c>
      <c r="AF3673" s="1">
        <v>10065</v>
      </c>
      <c r="AI3673" s="1" t="s">
        <v>189</v>
      </c>
      <c r="AJ3673" s="1">
        <v>1996</v>
      </c>
      <c r="AK3673" s="1" t="s">
        <v>49</v>
      </c>
      <c r="AL3673" s="1">
        <v>103</v>
      </c>
    </row>
    <row r="3674" spans="1:38" x14ac:dyDescent="0.2">
      <c r="A3674" s="2" t="str">
        <f>HYPERLINK("https://www.compass.com/listing/300-east-64th-street-unit-21c-manhattan-ny-10065/29415739958062097/","300 E 64th St, Unit 21C")</f>
        <v>300 E 64th St, Unit 21C</v>
      </c>
      <c r="B3674" s="2" t="str">
        <f t="shared" si="616"/>
        <v>300 E 64th St</v>
      </c>
      <c r="C3674" s="1" t="s">
        <v>82</v>
      </c>
      <c r="D3674" s="1" t="s">
        <v>41</v>
      </c>
      <c r="E3674" s="3">
        <v>1625000</v>
      </c>
      <c r="F3674" s="1">
        <v>1664.9590163934399</v>
      </c>
      <c r="G3674" s="1">
        <v>3</v>
      </c>
      <c r="H3674" s="1">
        <v>1</v>
      </c>
      <c r="I3674" s="1">
        <v>2</v>
      </c>
      <c r="J3674" s="1">
        <v>2</v>
      </c>
      <c r="M3674" s="1">
        <v>976</v>
      </c>
      <c r="N3674" s="1">
        <v>1098</v>
      </c>
      <c r="O3674" s="1">
        <v>2663</v>
      </c>
      <c r="P3674" s="1">
        <v>1565</v>
      </c>
      <c r="Q3674" s="1" t="s">
        <v>42</v>
      </c>
      <c r="S3674" s="1" t="s">
        <v>42</v>
      </c>
      <c r="T3674" s="1" t="s">
        <v>273</v>
      </c>
      <c r="U3674" s="1">
        <v>715</v>
      </c>
      <c r="V3674" s="5">
        <v>42537</v>
      </c>
      <c r="W3674" s="5">
        <v>41800</v>
      </c>
      <c r="X3674" s="1">
        <v>1625000</v>
      </c>
      <c r="Y3674" s="1">
        <v>1625000</v>
      </c>
      <c r="AA3674" s="1">
        <v>1625000</v>
      </c>
      <c r="AB3674" s="1" t="s">
        <v>2449</v>
      </c>
      <c r="AC3674" s="5">
        <v>42576</v>
      </c>
      <c r="AF3674" s="1">
        <v>10065</v>
      </c>
      <c r="AI3674" s="1" t="s">
        <v>189</v>
      </c>
      <c r="AJ3674" s="1">
        <v>1996</v>
      </c>
      <c r="AK3674" s="1" t="s">
        <v>49</v>
      </c>
      <c r="AL3674" s="1">
        <v>103</v>
      </c>
    </row>
    <row r="3675" spans="1:38" x14ac:dyDescent="0.2">
      <c r="A3675" s="2" t="str">
        <f>HYPERLINK("https://www.compass.com/listing/300-east-64th-street-unit-21c-manhattan-ny-10065/29415739958062113/","300 E 64th St, Unit 21C")</f>
        <v>300 E 64th St, Unit 21C</v>
      </c>
      <c r="B3675" s="2" t="str">
        <f t="shared" si="616"/>
        <v>300 E 64th St</v>
      </c>
      <c r="C3675" s="1" t="s">
        <v>82</v>
      </c>
      <c r="D3675" s="1" t="s">
        <v>41</v>
      </c>
      <c r="E3675" s="3">
        <v>1625000</v>
      </c>
      <c r="F3675" s="1">
        <v>1664.9590163934399</v>
      </c>
      <c r="G3675" s="1">
        <v>3</v>
      </c>
      <c r="H3675" s="1">
        <v>1</v>
      </c>
      <c r="I3675" s="1">
        <v>2</v>
      </c>
      <c r="J3675" s="1">
        <v>2</v>
      </c>
      <c r="M3675" s="1">
        <v>976</v>
      </c>
      <c r="Q3675" s="1" t="s">
        <v>42</v>
      </c>
      <c r="S3675" s="1" t="s">
        <v>42</v>
      </c>
      <c r="T3675" s="1" t="s">
        <v>273</v>
      </c>
      <c r="V3675" s="5">
        <v>43665</v>
      </c>
      <c r="W3675" s="5">
        <v>42540</v>
      </c>
      <c r="X3675" s="1">
        <v>1625000</v>
      </c>
      <c r="Y3675" s="1">
        <v>1625000</v>
      </c>
      <c r="Z3675" s="5">
        <v>42540</v>
      </c>
      <c r="AA3675" s="1">
        <v>1625000</v>
      </c>
      <c r="AB3675" s="1" t="s">
        <v>2449</v>
      </c>
      <c r="AC3675" s="5">
        <v>42576</v>
      </c>
      <c r="AF3675" s="1">
        <v>10065</v>
      </c>
      <c r="AI3675" s="1" t="s">
        <v>189</v>
      </c>
      <c r="AJ3675" s="1">
        <v>1996</v>
      </c>
      <c r="AK3675" s="1" t="s">
        <v>49</v>
      </c>
      <c r="AL3675" s="1">
        <v>103</v>
      </c>
    </row>
    <row r="3676" spans="1:38" x14ac:dyDescent="0.2">
      <c r="A3676" s="2" t="str">
        <f>HYPERLINK("https://www.compass.com/listing/300-east-64th-street-unit-22c-manhattan-ny-10065/29415741216353345/","300 E 64th St, Unit 22C")</f>
        <v>300 E 64th St, Unit 22C</v>
      </c>
      <c r="B3676" s="2" t="str">
        <f t="shared" si="616"/>
        <v>300 E 64th St</v>
      </c>
      <c r="C3676" s="1" t="s">
        <v>82</v>
      </c>
      <c r="D3676" s="1" t="s">
        <v>41</v>
      </c>
      <c r="E3676" s="3">
        <v>1526278</v>
      </c>
      <c r="F3676" s="1">
        <v>1563.8094262295001</v>
      </c>
      <c r="G3676" s="1">
        <v>3</v>
      </c>
      <c r="H3676" s="1">
        <v>1</v>
      </c>
      <c r="I3676" s="1">
        <v>2</v>
      </c>
      <c r="J3676" s="1">
        <v>2</v>
      </c>
      <c r="M3676" s="1">
        <v>976</v>
      </c>
      <c r="N3676" s="1">
        <v>1099</v>
      </c>
      <c r="O3676" s="1">
        <v>2776</v>
      </c>
      <c r="P3676" s="1">
        <v>1677</v>
      </c>
      <c r="Q3676" s="1" t="s">
        <v>42</v>
      </c>
      <c r="S3676" s="1" t="s">
        <v>42</v>
      </c>
      <c r="T3676" s="1" t="s">
        <v>273</v>
      </c>
      <c r="U3676" s="1">
        <v>366</v>
      </c>
      <c r="V3676" s="5">
        <v>43650</v>
      </c>
      <c r="W3676" s="5">
        <v>42571</v>
      </c>
      <c r="X3676" s="1">
        <v>1700000</v>
      </c>
      <c r="Y3676" s="1">
        <v>1585000</v>
      </c>
      <c r="Z3676" s="5">
        <v>42937</v>
      </c>
      <c r="AA3676" s="1">
        <v>1526278</v>
      </c>
      <c r="AB3676" s="1" t="s">
        <v>2450</v>
      </c>
      <c r="AC3676" s="5">
        <v>42993</v>
      </c>
      <c r="AF3676" s="1">
        <v>10065</v>
      </c>
      <c r="AI3676" s="1" t="s">
        <v>2451</v>
      </c>
      <c r="AJ3676" s="1">
        <v>1996</v>
      </c>
      <c r="AK3676" s="1" t="s">
        <v>49</v>
      </c>
      <c r="AL3676" s="1">
        <v>103</v>
      </c>
    </row>
    <row r="3677" spans="1:38" x14ac:dyDescent="0.2">
      <c r="A3677" s="2" t="str">
        <f>HYPERLINK("https://www.compass.com/listing/300-east-64th-street-unit-23c-manhattan-ny-10065/29415743112177361/","300 E 64th St, Unit 23C")</f>
        <v>300 E 64th St, Unit 23C</v>
      </c>
      <c r="B3677" s="2" t="str">
        <f t="shared" si="616"/>
        <v>300 E 64th St</v>
      </c>
      <c r="C3677" s="1" t="s">
        <v>82</v>
      </c>
      <c r="D3677" s="1" t="s">
        <v>41</v>
      </c>
      <c r="E3677" s="3">
        <v>1700000</v>
      </c>
      <c r="F3677" s="1">
        <v>1741.8032786885201</v>
      </c>
      <c r="G3677" s="1">
        <v>3</v>
      </c>
      <c r="H3677" s="1">
        <v>1</v>
      </c>
      <c r="I3677" s="1">
        <v>2</v>
      </c>
      <c r="J3677" s="1">
        <v>2</v>
      </c>
      <c r="K3677" s="1">
        <v>2</v>
      </c>
      <c r="M3677" s="1">
        <v>976</v>
      </c>
      <c r="N3677" s="1">
        <v>1098</v>
      </c>
      <c r="O3677" s="1">
        <v>2663</v>
      </c>
      <c r="P3677" s="1">
        <v>1565</v>
      </c>
      <c r="Q3677" s="1" t="s">
        <v>42</v>
      </c>
      <c r="S3677" s="1" t="s">
        <v>42</v>
      </c>
      <c r="T3677" s="1" t="s">
        <v>273</v>
      </c>
      <c r="U3677" s="1">
        <v>65</v>
      </c>
      <c r="V3677" s="5">
        <v>44225</v>
      </c>
      <c r="W3677" s="5">
        <v>41976</v>
      </c>
      <c r="X3677" s="1">
        <v>1700000</v>
      </c>
      <c r="Y3677" s="1">
        <v>1700000</v>
      </c>
      <c r="Z3677" s="5">
        <v>42053</v>
      </c>
      <c r="AA3677" s="1">
        <v>1700000</v>
      </c>
      <c r="AB3677" s="1" t="s">
        <v>2452</v>
      </c>
      <c r="AC3677" s="5">
        <v>42199</v>
      </c>
      <c r="AF3677" s="1">
        <v>10065</v>
      </c>
      <c r="AI3677" s="1" t="s">
        <v>189</v>
      </c>
      <c r="AJ3677" s="1">
        <v>1996</v>
      </c>
      <c r="AK3677" s="1" t="s">
        <v>49</v>
      </c>
      <c r="AL3677" s="1">
        <v>103</v>
      </c>
    </row>
    <row r="3678" spans="1:38" x14ac:dyDescent="0.2">
      <c r="A3678" s="2" t="str">
        <f>HYPERLINK("https://www.compass.com/listing/300-east-64th-street-unit-15c-manhattan-ny-10065/70917478192113169/","300 E 64th St, Unit 15C")</f>
        <v>300 E 64th St, Unit 15C</v>
      </c>
      <c r="B3678" s="2" t="str">
        <f t="shared" si="616"/>
        <v>300 E 64th St</v>
      </c>
      <c r="C3678" s="1" t="s">
        <v>82</v>
      </c>
      <c r="D3678" s="1" t="s">
        <v>41</v>
      </c>
      <c r="E3678" s="3">
        <v>1585000</v>
      </c>
      <c r="F3678" s="1">
        <v>1623.97540983606</v>
      </c>
      <c r="G3678" s="1">
        <v>4</v>
      </c>
      <c r="H3678" s="1">
        <v>1</v>
      </c>
      <c r="I3678" s="1">
        <v>2</v>
      </c>
      <c r="J3678" s="1">
        <v>2</v>
      </c>
      <c r="M3678" s="1">
        <v>976</v>
      </c>
      <c r="N3678" s="1">
        <v>1098</v>
      </c>
      <c r="O3678" s="1">
        <v>2663</v>
      </c>
      <c r="P3678" s="1">
        <v>1565</v>
      </c>
      <c r="Q3678" s="1" t="s">
        <v>42</v>
      </c>
      <c r="S3678" s="1" t="s">
        <v>42</v>
      </c>
      <c r="T3678" s="1" t="s">
        <v>273</v>
      </c>
      <c r="U3678" s="1">
        <v>57</v>
      </c>
      <c r="V3678" s="5">
        <v>43641</v>
      </c>
      <c r="W3678" s="5">
        <v>41976</v>
      </c>
      <c r="X3678" s="1">
        <v>1585000</v>
      </c>
      <c r="Y3678" s="1">
        <v>1585000</v>
      </c>
      <c r="Z3678" s="5">
        <v>42045</v>
      </c>
      <c r="AA3678" s="1">
        <v>1585000</v>
      </c>
      <c r="AB3678" s="1" t="s">
        <v>2453</v>
      </c>
      <c r="AC3678" s="5">
        <v>42237</v>
      </c>
      <c r="AF3678" s="1">
        <v>10065</v>
      </c>
      <c r="AI3678" s="1" t="s">
        <v>189</v>
      </c>
      <c r="AJ3678" s="1">
        <v>1996</v>
      </c>
      <c r="AK3678" s="1" t="s">
        <v>49</v>
      </c>
      <c r="AL3678" s="1">
        <v>103</v>
      </c>
    </row>
    <row r="3679" spans="1:38" x14ac:dyDescent="0.2">
      <c r="A3679" s="2" t="str">
        <f>HYPERLINK("https://www.compass.com/listing/300-east-64th-street-unit-16c-manhattan-ny-10065/803328430691062833/","300 E 64th St, Unit 16C")</f>
        <v>300 E 64th St, Unit 16C</v>
      </c>
      <c r="B3679" s="2" t="str">
        <f t="shared" si="616"/>
        <v>300 E 64th St</v>
      </c>
      <c r="C3679" s="1" t="s">
        <v>82</v>
      </c>
      <c r="D3679" s="1" t="s">
        <v>41</v>
      </c>
      <c r="E3679" s="3">
        <v>1495000</v>
      </c>
      <c r="F3679" s="1">
        <v>1531.76229508196</v>
      </c>
      <c r="G3679" s="1">
        <v>3</v>
      </c>
      <c r="H3679" s="1">
        <v>1</v>
      </c>
      <c r="I3679" s="1">
        <v>2</v>
      </c>
      <c r="J3679" s="1">
        <v>2</v>
      </c>
      <c r="M3679" s="1">
        <v>976</v>
      </c>
      <c r="N3679" s="1">
        <v>1099</v>
      </c>
      <c r="O3679" s="1">
        <v>2664</v>
      </c>
      <c r="P3679" s="1">
        <v>1565</v>
      </c>
      <c r="Q3679" s="1" t="s">
        <v>42</v>
      </c>
      <c r="S3679" s="1" t="s">
        <v>42</v>
      </c>
      <c r="T3679" s="1" t="s">
        <v>273</v>
      </c>
      <c r="U3679" s="1">
        <v>35</v>
      </c>
      <c r="V3679" s="5">
        <v>42545</v>
      </c>
      <c r="W3679" s="5">
        <v>42450</v>
      </c>
      <c r="X3679" s="1">
        <v>1495000</v>
      </c>
      <c r="Y3679" s="1">
        <v>1495000</v>
      </c>
      <c r="Z3679" s="5">
        <v>42486</v>
      </c>
      <c r="AA3679" s="1">
        <v>1495000</v>
      </c>
      <c r="AB3679" s="1" t="s">
        <v>2446</v>
      </c>
      <c r="AC3679" s="5">
        <v>42544</v>
      </c>
      <c r="AF3679" s="1">
        <v>10065</v>
      </c>
      <c r="AI3679" s="1" t="s">
        <v>189</v>
      </c>
      <c r="AJ3679" s="1">
        <v>1996</v>
      </c>
      <c r="AK3679" s="1" t="s">
        <v>49</v>
      </c>
      <c r="AL3679" s="1">
        <v>103</v>
      </c>
    </row>
    <row r="3680" spans="1:38" x14ac:dyDescent="0.2">
      <c r="A3680" s="2" t="str">
        <f>HYPERLINK("https://www.compass.com/listing/300-east-64th-street-unit-23a-manhattan-ny-10065/165142264123764417/","300 E 64th St, Unit 23A")</f>
        <v>300 E 64th St, Unit 23A</v>
      </c>
      <c r="B3680" s="2" t="str">
        <f t="shared" si="616"/>
        <v>300 E 64th St</v>
      </c>
      <c r="C3680" s="1" t="s">
        <v>82</v>
      </c>
      <c r="D3680" s="1" t="s">
        <v>41</v>
      </c>
      <c r="E3680" s="3">
        <v>1780000</v>
      </c>
      <c r="F3680" s="1">
        <v>1704.98084291187</v>
      </c>
      <c r="G3680" s="1">
        <v>4</v>
      </c>
      <c r="H3680" s="1">
        <v>2</v>
      </c>
      <c r="I3680" s="1">
        <v>2</v>
      </c>
      <c r="J3680" s="1">
        <v>2</v>
      </c>
      <c r="K3680" s="1">
        <v>2</v>
      </c>
      <c r="M3680" s="4">
        <v>1044</v>
      </c>
      <c r="N3680" s="1">
        <v>1277.26</v>
      </c>
      <c r="O3680" s="1">
        <v>3079.93</v>
      </c>
      <c r="P3680" s="1">
        <v>1802.6666666666599</v>
      </c>
      <c r="Q3680" s="1" t="s">
        <v>42</v>
      </c>
      <c r="S3680" s="1" t="s">
        <v>42</v>
      </c>
      <c r="T3680" s="1" t="s">
        <v>273</v>
      </c>
      <c r="U3680" s="1">
        <v>53</v>
      </c>
      <c r="V3680" s="5">
        <v>43605</v>
      </c>
      <c r="W3680" s="5">
        <v>43479</v>
      </c>
      <c r="X3680" s="1">
        <v>1895000</v>
      </c>
      <c r="Y3680" s="1">
        <v>1895000</v>
      </c>
      <c r="Z3680" s="5">
        <v>43533</v>
      </c>
      <c r="AA3680" s="1">
        <v>1780000</v>
      </c>
      <c r="AB3680" s="1" t="s">
        <v>2454</v>
      </c>
      <c r="AC3680" s="5">
        <v>43598</v>
      </c>
      <c r="AF3680" s="1">
        <v>10065</v>
      </c>
      <c r="AI3680" s="1" t="s">
        <v>83</v>
      </c>
      <c r="AJ3680" s="1">
        <v>1996</v>
      </c>
      <c r="AK3680" s="1" t="s">
        <v>46</v>
      </c>
      <c r="AL3680" s="1">
        <v>103</v>
      </c>
    </row>
    <row r="3681" spans="1:38" x14ac:dyDescent="0.2">
      <c r="A3681" s="2" t="str">
        <f>HYPERLINK("https://www.compass.com/listing/277-5th-avenue-unit-42b-manhattan-ny-10016/760139249267899145/","277 5th Ave, Unit 42B")</f>
        <v>277 5th Ave, Unit 42B</v>
      </c>
      <c r="B3681" s="2" t="str">
        <f t="shared" ref="B3681:B3682" si="617">HYPERLINK("https://www.compass.com/building/277-fifth-avenue-manhattan-ny/281939285475645317/","277 FIFTH AVENUE")</f>
        <v>277 FIFTH AVENUE</v>
      </c>
      <c r="C3681" s="1" t="s">
        <v>40</v>
      </c>
      <c r="D3681" s="1" t="s">
        <v>41</v>
      </c>
      <c r="E3681" s="3">
        <v>3485000</v>
      </c>
      <c r="F3681" s="1">
        <v>2449.0513000702699</v>
      </c>
      <c r="G3681" s="1">
        <v>4</v>
      </c>
      <c r="H3681" s="1">
        <v>2</v>
      </c>
      <c r="I3681" s="1">
        <v>2</v>
      </c>
      <c r="J3681" s="1">
        <v>2</v>
      </c>
      <c r="K3681" s="1">
        <v>2</v>
      </c>
      <c r="M3681" s="4">
        <v>1423</v>
      </c>
      <c r="N3681" s="1">
        <v>2048</v>
      </c>
      <c r="O3681" s="1">
        <v>3865</v>
      </c>
      <c r="P3681" s="1">
        <v>1817</v>
      </c>
      <c r="Q3681" s="1" t="s">
        <v>42</v>
      </c>
      <c r="S3681" s="1" t="s">
        <v>42</v>
      </c>
      <c r="T3681" s="1" t="s">
        <v>273</v>
      </c>
      <c r="U3681" s="1">
        <v>22</v>
      </c>
      <c r="V3681" s="5">
        <v>44419</v>
      </c>
      <c r="W3681" s="5">
        <v>44278</v>
      </c>
      <c r="X3681" s="1">
        <v>4100000</v>
      </c>
      <c r="Y3681" s="1">
        <v>4100000</v>
      </c>
      <c r="Z3681" s="5">
        <v>44301</v>
      </c>
      <c r="AA3681" s="1">
        <v>3485000</v>
      </c>
      <c r="AB3681" s="1" t="s">
        <v>2455</v>
      </c>
      <c r="AC3681" s="5">
        <v>44377</v>
      </c>
      <c r="AF3681" s="1">
        <v>10016</v>
      </c>
      <c r="AI3681" s="1" t="s">
        <v>118</v>
      </c>
      <c r="AJ3681" s="1">
        <v>2019</v>
      </c>
      <c r="AK3681" s="1" t="s">
        <v>49</v>
      </c>
      <c r="AL3681" s="1">
        <v>130</v>
      </c>
    </row>
    <row r="3682" spans="1:38" x14ac:dyDescent="0.2">
      <c r="A3682" s="2" t="str">
        <f>HYPERLINK("https://www.compass.com/listing/277-5th-avenue-unit-48a-manhattan-ny-10016/624678170205151193/","277 5th Ave, Unit 48A")</f>
        <v>277 5th Ave, Unit 48A</v>
      </c>
      <c r="B3682" s="2" t="str">
        <f t="shared" si="617"/>
        <v>277 FIFTH AVENUE</v>
      </c>
      <c r="C3682" s="1" t="s">
        <v>40</v>
      </c>
      <c r="D3682" s="1" t="s">
        <v>41</v>
      </c>
      <c r="E3682" s="3">
        <v>5240000</v>
      </c>
      <c r="F3682" s="1">
        <v>2666.6666666666601</v>
      </c>
      <c r="G3682" s="1">
        <v>5.5</v>
      </c>
      <c r="H3682" s="1">
        <v>2</v>
      </c>
      <c r="I3682" s="1">
        <v>3</v>
      </c>
      <c r="J3682" s="1">
        <v>2.5</v>
      </c>
      <c r="K3682" s="1">
        <v>2</v>
      </c>
      <c r="L3682" s="1">
        <v>1</v>
      </c>
      <c r="M3682" s="4">
        <v>1965</v>
      </c>
      <c r="N3682" s="1">
        <v>2833</v>
      </c>
      <c r="O3682" s="1">
        <v>5342</v>
      </c>
      <c r="P3682" s="1">
        <v>2509</v>
      </c>
      <c r="Q3682" s="1" t="s">
        <v>42</v>
      </c>
      <c r="S3682" s="1" t="s">
        <v>42</v>
      </c>
      <c r="T3682" s="1" t="s">
        <v>273</v>
      </c>
      <c r="U3682" s="1">
        <v>63</v>
      </c>
      <c r="V3682" s="5">
        <v>44200</v>
      </c>
      <c r="W3682" s="5">
        <v>44113</v>
      </c>
      <c r="X3682" s="1">
        <v>6850000</v>
      </c>
      <c r="Y3682" s="1">
        <v>6850000</v>
      </c>
      <c r="Z3682" s="5">
        <v>44177</v>
      </c>
      <c r="AA3682" s="1">
        <v>5240000</v>
      </c>
      <c r="AB3682" s="1" t="s">
        <v>2456</v>
      </c>
      <c r="AC3682" s="5">
        <v>44195</v>
      </c>
      <c r="AF3682" s="1">
        <v>10016</v>
      </c>
      <c r="AI3682" s="1" t="s">
        <v>118</v>
      </c>
      <c r="AJ3682" s="1">
        <v>2019</v>
      </c>
      <c r="AK3682" s="1" t="s">
        <v>46</v>
      </c>
      <c r="AL3682" s="1">
        <v>130</v>
      </c>
    </row>
    <row r="3683" spans="1:38" x14ac:dyDescent="0.2">
      <c r="A3683" s="2" t="str">
        <f>HYPERLINK("https://www.compass.com/listing/301-east-81st-street-unit-ph19-manhattan-ny-10028/358553645747286785/","301 E 81st St, Unit PH19")</f>
        <v>301 E 81st St, Unit PH19</v>
      </c>
      <c r="B3683" s="2" t="str">
        <f t="shared" ref="B3683:B3685" si="618">HYPERLINK("https://www.compass.com/building/beckford-house-manhattan-ny/293531205712863989/","Beckford House")</f>
        <v>Beckford House</v>
      </c>
      <c r="C3683" s="1" t="s">
        <v>82</v>
      </c>
      <c r="D3683" s="1" t="s">
        <v>41</v>
      </c>
      <c r="E3683" s="3">
        <v>7400000</v>
      </c>
      <c r="F3683" s="1">
        <v>2485.7238831037898</v>
      </c>
      <c r="G3683" s="1">
        <v>5</v>
      </c>
      <c r="H3683" s="1">
        <v>3</v>
      </c>
      <c r="I3683" s="1">
        <v>4</v>
      </c>
      <c r="J3683" s="1">
        <v>3.5</v>
      </c>
      <c r="K3683" s="1">
        <v>3</v>
      </c>
      <c r="L3683" s="1">
        <v>1</v>
      </c>
      <c r="M3683" s="4">
        <v>2977</v>
      </c>
      <c r="N3683" s="1">
        <v>4570</v>
      </c>
      <c r="O3683" s="1">
        <v>9534</v>
      </c>
      <c r="P3683" s="1">
        <v>4964</v>
      </c>
      <c r="Q3683" s="1" t="s">
        <v>42</v>
      </c>
      <c r="S3683" s="1" t="s">
        <v>42</v>
      </c>
      <c r="T3683" s="1" t="s">
        <v>273</v>
      </c>
      <c r="U3683" s="1">
        <v>403</v>
      </c>
      <c r="V3683" s="5">
        <v>44314</v>
      </c>
      <c r="W3683" s="5">
        <v>43740</v>
      </c>
      <c r="Y3683" s="1">
        <v>8500000</v>
      </c>
      <c r="AA3683" s="1">
        <v>7400000</v>
      </c>
      <c r="AB3683" s="1" t="s">
        <v>2457</v>
      </c>
      <c r="AC3683" s="5">
        <v>44273</v>
      </c>
      <c r="AF3683" s="1">
        <v>10028</v>
      </c>
      <c r="AI3683" s="1" t="s">
        <v>2458</v>
      </c>
      <c r="AJ3683" s="1">
        <v>2019</v>
      </c>
      <c r="AK3683" s="1" t="s">
        <v>49</v>
      </c>
      <c r="AL3683" s="1">
        <v>0</v>
      </c>
    </row>
    <row r="3684" spans="1:38" x14ac:dyDescent="0.2">
      <c r="A3684" s="2" t="str">
        <f>HYPERLINK("https://www.compass.com/listing/301-east-81st-street-unit-8a-manhattan-ny-10028/563766791435320697/","301 E 81st St, Unit 8A")</f>
        <v>301 E 81st St, Unit 8A</v>
      </c>
      <c r="B3684" s="2" t="str">
        <f t="shared" si="618"/>
        <v>Beckford House</v>
      </c>
      <c r="C3684" s="1" t="s">
        <v>82</v>
      </c>
      <c r="D3684" s="1" t="s">
        <v>41</v>
      </c>
      <c r="E3684" s="3">
        <v>4400000</v>
      </c>
      <c r="F3684" s="1">
        <v>2079.3950850661599</v>
      </c>
      <c r="G3684" s="1">
        <v>7.5</v>
      </c>
      <c r="H3684" s="1">
        <v>3</v>
      </c>
      <c r="I3684" s="1">
        <v>4</v>
      </c>
      <c r="J3684" s="1">
        <v>3.5</v>
      </c>
      <c r="K3684" s="1">
        <v>3</v>
      </c>
      <c r="L3684" s="1">
        <v>1</v>
      </c>
      <c r="M3684" s="4">
        <v>2116</v>
      </c>
      <c r="N3684" s="1">
        <v>3050</v>
      </c>
      <c r="O3684" s="1">
        <v>6363</v>
      </c>
      <c r="P3684" s="1">
        <v>3313</v>
      </c>
      <c r="Q3684" s="1" t="s">
        <v>42</v>
      </c>
      <c r="S3684" s="1" t="s">
        <v>42</v>
      </c>
      <c r="T3684" s="1" t="s">
        <v>273</v>
      </c>
      <c r="V3684" s="5">
        <v>44378</v>
      </c>
      <c r="W3684" s="5">
        <v>43741</v>
      </c>
      <c r="X3684" s="1">
        <v>4950000</v>
      </c>
      <c r="Y3684" s="1">
        <v>4950000</v>
      </c>
      <c r="AA3684" s="1">
        <v>4400000</v>
      </c>
      <c r="AB3684" s="1" t="s">
        <v>2459</v>
      </c>
      <c r="AC3684" s="5">
        <v>44328</v>
      </c>
      <c r="AF3684" s="1">
        <v>10028</v>
      </c>
      <c r="AI3684" s="1" t="s">
        <v>201</v>
      </c>
      <c r="AJ3684" s="1">
        <v>2019</v>
      </c>
      <c r="AK3684" s="1" t="s">
        <v>202</v>
      </c>
      <c r="AL3684" s="1">
        <v>0</v>
      </c>
    </row>
    <row r="3685" spans="1:38" x14ac:dyDescent="0.2">
      <c r="A3685" s="2" t="str">
        <f>HYPERLINK("https://www.compass.com/listing/301-east-81st-street-unit-9b-manhattan-ny-10028/563767114522339937/","301 E 81st St, Unit 9B")</f>
        <v>301 E 81st St, Unit 9B</v>
      </c>
      <c r="B3685" s="2" t="str">
        <f t="shared" si="618"/>
        <v>Beckford House</v>
      </c>
      <c r="C3685" s="1" t="s">
        <v>82</v>
      </c>
      <c r="D3685" s="1" t="s">
        <v>41</v>
      </c>
      <c r="E3685" s="3">
        <v>4400000</v>
      </c>
      <c r="F3685" s="1">
        <v>2089.2687559354199</v>
      </c>
      <c r="G3685" s="1">
        <v>6</v>
      </c>
      <c r="H3685" s="1">
        <v>3</v>
      </c>
      <c r="I3685" s="1">
        <v>4</v>
      </c>
      <c r="J3685" s="1">
        <v>3.5</v>
      </c>
      <c r="K3685" s="1">
        <v>3</v>
      </c>
      <c r="L3685" s="1">
        <v>1</v>
      </c>
      <c r="M3685" s="4">
        <v>2106</v>
      </c>
      <c r="N3685" s="1">
        <v>3050</v>
      </c>
      <c r="O3685" s="1">
        <v>6363</v>
      </c>
      <c r="P3685" s="1">
        <v>3313</v>
      </c>
      <c r="Q3685" s="1" t="s">
        <v>42</v>
      </c>
      <c r="S3685" s="1" t="s">
        <v>42</v>
      </c>
      <c r="T3685" s="1" t="s">
        <v>273</v>
      </c>
      <c r="V3685" s="5">
        <v>44369</v>
      </c>
      <c r="W3685" s="5">
        <v>43741</v>
      </c>
      <c r="X3685" s="1">
        <v>4750000</v>
      </c>
      <c r="Y3685" s="1">
        <v>4750000</v>
      </c>
      <c r="AA3685" s="1">
        <v>4400000</v>
      </c>
      <c r="AB3685" s="1" t="s">
        <v>2460</v>
      </c>
      <c r="AC3685" s="5">
        <v>44287</v>
      </c>
      <c r="AF3685" s="1">
        <v>10028</v>
      </c>
      <c r="AI3685" s="1" t="s">
        <v>201</v>
      </c>
      <c r="AJ3685" s="1">
        <v>2019</v>
      </c>
      <c r="AK3685" s="1" t="s">
        <v>202</v>
      </c>
      <c r="AL3685" s="1">
        <v>0</v>
      </c>
    </row>
    <row r="3686" spans="1:38" x14ac:dyDescent="0.2">
      <c r="A3686" s="2" t="str">
        <f>HYPERLINK("https://www.compass.com/listing/300-east-64th-street-unit-29c-manhattan-ny-10065/29415751492396865/","300 E 64th St, Unit 29C")</f>
        <v>300 E 64th St, Unit 29C</v>
      </c>
      <c r="B3686" s="2" t="str">
        <f t="shared" ref="B3686:B3687" si="619">HYPERLINK("https://www.compass.com/building/300-e-64th-st-manhattan-ny-10065/282038617012979925/","300 E 64th St")</f>
        <v>300 E 64th St</v>
      </c>
      <c r="C3686" s="1" t="s">
        <v>82</v>
      </c>
      <c r="D3686" s="1" t="s">
        <v>41</v>
      </c>
      <c r="E3686" s="3">
        <v>2096434</v>
      </c>
      <c r="F3686" s="1">
        <v>2069.5301085883498</v>
      </c>
      <c r="G3686" s="1">
        <v>4</v>
      </c>
      <c r="H3686" s="1">
        <v>2</v>
      </c>
      <c r="I3686" s="1">
        <v>2</v>
      </c>
      <c r="J3686" s="1">
        <v>2</v>
      </c>
      <c r="K3686" s="1">
        <v>2</v>
      </c>
      <c r="M3686" s="4">
        <v>1013</v>
      </c>
      <c r="N3686" s="1">
        <v>1140</v>
      </c>
      <c r="O3686" s="1">
        <v>2818</v>
      </c>
      <c r="P3686" s="1">
        <v>1678</v>
      </c>
      <c r="Q3686" s="1" t="s">
        <v>42</v>
      </c>
      <c r="S3686" s="1" t="s">
        <v>42</v>
      </c>
      <c r="T3686" s="1" t="s">
        <v>273</v>
      </c>
      <c r="U3686" s="1">
        <v>292</v>
      </c>
      <c r="V3686" s="5">
        <v>44225</v>
      </c>
      <c r="W3686" s="5">
        <v>42376</v>
      </c>
      <c r="X3686" s="1">
        <v>2285000</v>
      </c>
      <c r="Y3686" s="1">
        <v>2075000</v>
      </c>
      <c r="Z3686" s="5">
        <v>42668</v>
      </c>
      <c r="AA3686" s="1">
        <v>2096434</v>
      </c>
      <c r="AB3686" s="1" t="s">
        <v>2461</v>
      </c>
      <c r="AC3686" s="5">
        <v>42711</v>
      </c>
      <c r="AF3686" s="1">
        <v>10065</v>
      </c>
      <c r="AI3686" s="1" t="s">
        <v>189</v>
      </c>
      <c r="AJ3686" s="1">
        <v>1996</v>
      </c>
      <c r="AK3686" s="1" t="s">
        <v>46</v>
      </c>
      <c r="AL3686" s="1">
        <v>103</v>
      </c>
    </row>
    <row r="3687" spans="1:38" x14ac:dyDescent="0.2">
      <c r="A3687" s="2" t="str">
        <f>HYPERLINK("https://www.compass.com/listing/300-east-64th-street-unit-phc-manhattan-ny-10065/29415752750688081/","300 E 64th St, Unit PHC")</f>
        <v>300 E 64th St, Unit PHC</v>
      </c>
      <c r="B3687" s="2" t="str">
        <f t="shared" si="619"/>
        <v>300 E 64th St</v>
      </c>
      <c r="C3687" s="1" t="s">
        <v>82</v>
      </c>
      <c r="D3687" s="1" t="s">
        <v>41</v>
      </c>
      <c r="E3687" s="3">
        <v>2175000</v>
      </c>
      <c r="F3687" s="1">
        <v>2147.0878578479701</v>
      </c>
      <c r="G3687" s="1">
        <v>4</v>
      </c>
      <c r="H3687" s="1">
        <v>2</v>
      </c>
      <c r="I3687" s="1">
        <v>2</v>
      </c>
      <c r="J3687" s="1">
        <v>2</v>
      </c>
      <c r="M3687" s="4">
        <v>1013</v>
      </c>
      <c r="N3687" s="1">
        <v>1140</v>
      </c>
      <c r="O3687" s="1">
        <v>2817</v>
      </c>
      <c r="P3687" s="1">
        <v>1677</v>
      </c>
      <c r="Q3687" s="1" t="s">
        <v>42</v>
      </c>
      <c r="S3687" s="1" t="s">
        <v>42</v>
      </c>
      <c r="T3687" s="1" t="s">
        <v>273</v>
      </c>
      <c r="V3687" s="5">
        <v>43672</v>
      </c>
      <c r="W3687" s="5">
        <v>42703</v>
      </c>
      <c r="X3687" s="1">
        <v>2175000</v>
      </c>
      <c r="Y3687" s="1">
        <v>2175000</v>
      </c>
      <c r="Z3687" s="5">
        <v>42703</v>
      </c>
      <c r="AA3687" s="1">
        <v>2175000</v>
      </c>
      <c r="AB3687" s="1" t="s">
        <v>2462</v>
      </c>
      <c r="AC3687" s="5">
        <v>42740</v>
      </c>
      <c r="AF3687" s="1">
        <v>10065</v>
      </c>
      <c r="AI3687" s="1" t="s">
        <v>189</v>
      </c>
      <c r="AJ3687" s="1">
        <v>1996</v>
      </c>
      <c r="AK3687" s="1" t="s">
        <v>46</v>
      </c>
      <c r="AL3687" s="1">
        <v>103</v>
      </c>
    </row>
    <row r="3688" spans="1:38" x14ac:dyDescent="0.2">
      <c r="A3688" s="2" t="str">
        <f>HYPERLINK("https://www.compass.com/listing/277-5th-avenue-unit-33c-manhattan-ny-10016/21730718476434193/","277 5th Ave, Unit 33C")</f>
        <v>277 5th Ave, Unit 33C</v>
      </c>
      <c r="B3688" s="2" t="str">
        <f t="shared" ref="B3688:B3694" si="620">HYPERLINK("https://www.compass.com/building/277-fifth-avenue-manhattan-ny/281939285475645317/","277 FIFTH AVENUE")</f>
        <v>277 FIFTH AVENUE</v>
      </c>
      <c r="C3688" s="1" t="s">
        <v>40</v>
      </c>
      <c r="D3688" s="1" t="s">
        <v>41</v>
      </c>
      <c r="E3688" s="3">
        <v>3350000</v>
      </c>
      <c r="F3688" s="1">
        <v>2397.99570508231</v>
      </c>
      <c r="G3688" s="1">
        <v>4</v>
      </c>
      <c r="H3688" s="1">
        <v>2</v>
      </c>
      <c r="I3688" s="1">
        <v>2</v>
      </c>
      <c r="J3688" s="1">
        <v>2</v>
      </c>
      <c r="K3688" s="1">
        <v>2</v>
      </c>
      <c r="M3688" s="4">
        <v>1397</v>
      </c>
      <c r="N3688" s="1">
        <v>2014</v>
      </c>
      <c r="O3688" s="1">
        <v>2644</v>
      </c>
      <c r="P3688" s="1">
        <v>630</v>
      </c>
      <c r="Q3688" s="1" t="s">
        <v>42</v>
      </c>
      <c r="S3688" s="1" t="s">
        <v>42</v>
      </c>
      <c r="T3688" s="1" t="s">
        <v>273</v>
      </c>
      <c r="U3688" s="1">
        <v>150</v>
      </c>
      <c r="V3688" s="5">
        <v>44419</v>
      </c>
      <c r="W3688" s="5">
        <v>43782</v>
      </c>
      <c r="Y3688" s="1">
        <v>4125000</v>
      </c>
      <c r="Z3688" s="5">
        <v>44246</v>
      </c>
      <c r="AA3688" s="1">
        <v>3350000</v>
      </c>
      <c r="AB3688" s="1" t="s">
        <v>2463</v>
      </c>
      <c r="AC3688" s="5">
        <v>44288</v>
      </c>
      <c r="AF3688" s="1">
        <v>10016</v>
      </c>
      <c r="AI3688" s="1" t="s">
        <v>48</v>
      </c>
      <c r="AJ3688" s="1">
        <v>2019</v>
      </c>
      <c r="AK3688" s="1" t="s">
        <v>46</v>
      </c>
      <c r="AL3688" s="1">
        <v>130</v>
      </c>
    </row>
    <row r="3689" spans="1:38" x14ac:dyDescent="0.2">
      <c r="A3689" s="2" t="str">
        <f>HYPERLINK("https://www.compass.com/listing/277-5th-avenue-unit-45a-manhattan-ny-10016/21776539251157137/","277 5th Ave, Unit 45A")</f>
        <v>277 5th Ave, Unit 45A</v>
      </c>
      <c r="B3689" s="2" t="str">
        <f t="shared" si="620"/>
        <v>277 FIFTH AVENUE</v>
      </c>
      <c r="C3689" s="1" t="s">
        <v>40</v>
      </c>
      <c r="D3689" s="1" t="s">
        <v>41</v>
      </c>
      <c r="E3689" s="3">
        <v>4300000</v>
      </c>
      <c r="F3689" s="1">
        <v>2767.0527670527599</v>
      </c>
      <c r="G3689" s="1">
        <v>4</v>
      </c>
      <c r="H3689" s="1">
        <v>2</v>
      </c>
      <c r="I3689" s="1">
        <v>2</v>
      </c>
      <c r="J3689" s="1">
        <v>2</v>
      </c>
      <c r="K3689" s="1">
        <v>2</v>
      </c>
      <c r="M3689" s="4">
        <v>1554</v>
      </c>
      <c r="N3689" s="1">
        <v>2241</v>
      </c>
      <c r="O3689" s="1">
        <v>4680</v>
      </c>
      <c r="P3689" s="1">
        <v>2439</v>
      </c>
      <c r="Q3689" s="1" t="s">
        <v>42</v>
      </c>
      <c r="S3689" s="1" t="s">
        <v>42</v>
      </c>
      <c r="T3689" s="1" t="s">
        <v>273</v>
      </c>
      <c r="U3689" s="1">
        <v>138</v>
      </c>
      <c r="V3689" s="5">
        <v>43694</v>
      </c>
      <c r="W3689" s="5">
        <v>42994</v>
      </c>
      <c r="X3689" s="1">
        <v>4455000</v>
      </c>
      <c r="Y3689" s="1">
        <v>4505000</v>
      </c>
      <c r="Z3689" s="5">
        <v>43597</v>
      </c>
      <c r="AA3689" s="1">
        <v>4300000</v>
      </c>
      <c r="AB3689" s="1" t="s">
        <v>2464</v>
      </c>
      <c r="AC3689" s="5">
        <v>43644</v>
      </c>
      <c r="AF3689" s="1">
        <v>10016</v>
      </c>
      <c r="AI3689" s="1" t="s">
        <v>48</v>
      </c>
      <c r="AJ3689" s="1">
        <v>2019</v>
      </c>
      <c r="AK3689" s="1" t="s">
        <v>46</v>
      </c>
      <c r="AL3689" s="1">
        <v>130</v>
      </c>
    </row>
    <row r="3690" spans="1:38" x14ac:dyDescent="0.2">
      <c r="A3690" s="2" t="str">
        <f>HYPERLINK("https://www.compass.com/listing/277-5th-avenue-unit-37b-manhattan-ny-10016/368671127409890561/","277 5th Ave, Unit 37B")</f>
        <v>277 5th Ave, Unit 37B</v>
      </c>
      <c r="B3690" s="2" t="str">
        <f t="shared" si="620"/>
        <v>277 FIFTH AVENUE</v>
      </c>
      <c r="C3690" s="1" t="s">
        <v>40</v>
      </c>
      <c r="D3690" s="1" t="s">
        <v>41</v>
      </c>
      <c r="E3690" s="3">
        <v>3355000</v>
      </c>
      <c r="F3690" s="1">
        <v>2623.14308053166</v>
      </c>
      <c r="G3690" s="1">
        <v>4</v>
      </c>
      <c r="H3690" s="1">
        <v>2</v>
      </c>
      <c r="I3690" s="1">
        <v>2</v>
      </c>
      <c r="J3690" s="1">
        <v>2</v>
      </c>
      <c r="K3690" s="1">
        <v>2</v>
      </c>
      <c r="M3690" s="4">
        <v>1279</v>
      </c>
      <c r="N3690" s="1">
        <v>1844</v>
      </c>
      <c r="O3690" s="1">
        <v>3851</v>
      </c>
      <c r="P3690" s="1">
        <v>2007</v>
      </c>
      <c r="Q3690" s="1" t="s">
        <v>42</v>
      </c>
      <c r="S3690" s="1" t="s">
        <v>42</v>
      </c>
      <c r="T3690" s="1" t="s">
        <v>273</v>
      </c>
      <c r="U3690" s="1">
        <v>24</v>
      </c>
      <c r="V3690" s="5">
        <v>43801</v>
      </c>
      <c r="W3690" s="5">
        <v>43761</v>
      </c>
      <c r="X3690" s="1">
        <v>3795000</v>
      </c>
      <c r="Y3690" s="1">
        <v>3795000</v>
      </c>
      <c r="Z3690" s="5">
        <v>43785</v>
      </c>
      <c r="AA3690" s="1">
        <v>3355000</v>
      </c>
      <c r="AB3690" s="1" t="s">
        <v>2465</v>
      </c>
      <c r="AC3690" s="5">
        <v>43787</v>
      </c>
      <c r="AF3690" s="1">
        <v>10016</v>
      </c>
      <c r="AI3690" s="1" t="s">
        <v>118</v>
      </c>
      <c r="AJ3690" s="1">
        <v>2019</v>
      </c>
      <c r="AK3690" s="1" t="s">
        <v>49</v>
      </c>
      <c r="AL3690" s="1">
        <v>130</v>
      </c>
    </row>
    <row r="3691" spans="1:38" x14ac:dyDescent="0.2">
      <c r="A3691" s="2" t="str">
        <f>HYPERLINK("https://www.compass.com/listing/277-5th-avenue-unit-30a-manhattan-ny-10016/573281316999989577/","277 5th Ave, Unit 30A")</f>
        <v>277 5th Ave, Unit 30A</v>
      </c>
      <c r="B3691" s="2" t="str">
        <f t="shared" si="620"/>
        <v>277 FIFTH AVENUE</v>
      </c>
      <c r="C3691" s="1" t="s">
        <v>40</v>
      </c>
      <c r="D3691" s="1" t="s">
        <v>41</v>
      </c>
      <c r="E3691" s="3">
        <v>3213100</v>
      </c>
      <c r="F3691" s="1">
        <v>2392.4795234549501</v>
      </c>
      <c r="G3691" s="1">
        <v>4</v>
      </c>
      <c r="H3691" s="1">
        <v>2</v>
      </c>
      <c r="I3691" s="1">
        <v>2</v>
      </c>
      <c r="J3691" s="1">
        <v>2</v>
      </c>
      <c r="K3691" s="1">
        <v>2</v>
      </c>
      <c r="M3691" s="4">
        <v>1343</v>
      </c>
      <c r="N3691" s="1">
        <v>1935</v>
      </c>
      <c r="O3691" s="1">
        <v>3650</v>
      </c>
      <c r="P3691" s="1">
        <v>1715</v>
      </c>
      <c r="Q3691" s="1" t="s">
        <v>42</v>
      </c>
      <c r="S3691" s="1" t="s">
        <v>42</v>
      </c>
      <c r="T3691" s="1" t="s">
        <v>273</v>
      </c>
      <c r="U3691" s="1">
        <v>70</v>
      </c>
      <c r="V3691" s="5">
        <v>44287</v>
      </c>
      <c r="W3691" s="5">
        <v>44042</v>
      </c>
      <c r="X3691" s="1">
        <v>3692000</v>
      </c>
      <c r="AB3691" s="1" t="s">
        <v>275</v>
      </c>
      <c r="AF3691" s="1">
        <v>10016</v>
      </c>
      <c r="AI3691" s="1" t="s">
        <v>118</v>
      </c>
      <c r="AJ3691" s="1">
        <v>2019</v>
      </c>
      <c r="AK3691" s="1" t="s">
        <v>49</v>
      </c>
      <c r="AL3691" s="1">
        <v>130</v>
      </c>
    </row>
    <row r="3692" spans="1:38" x14ac:dyDescent="0.2">
      <c r="A3692" s="2" t="str">
        <f>HYPERLINK("https://www.compass.com/listing/277-5th-avenue-unit-24a-manhattan-ny-10016/59346956664793233/","277 5th Ave, Unit 24A")</f>
        <v>277 5th Ave, Unit 24A</v>
      </c>
      <c r="B3692" s="2" t="str">
        <f t="shared" si="620"/>
        <v>277 FIFTH AVENUE</v>
      </c>
      <c r="C3692" s="1" t="s">
        <v>40</v>
      </c>
      <c r="D3692" s="1" t="s">
        <v>41</v>
      </c>
      <c r="E3692" s="3">
        <v>3166506</v>
      </c>
      <c r="F3692" s="1">
        <v>2357.7858004467598</v>
      </c>
      <c r="G3692" s="1">
        <v>4</v>
      </c>
      <c r="H3692" s="1">
        <v>2</v>
      </c>
      <c r="I3692" s="1">
        <v>2</v>
      </c>
      <c r="J3692" s="1">
        <v>2</v>
      </c>
      <c r="K3692" s="1">
        <v>2</v>
      </c>
      <c r="M3692" s="4">
        <v>1343</v>
      </c>
      <c r="N3692" s="1">
        <v>1936</v>
      </c>
      <c r="O3692" s="1">
        <v>4044</v>
      </c>
      <c r="P3692" s="1">
        <v>2108</v>
      </c>
      <c r="Q3692" s="1" t="s">
        <v>42</v>
      </c>
      <c r="S3692" s="1" t="s">
        <v>42</v>
      </c>
      <c r="T3692" s="1" t="s">
        <v>273</v>
      </c>
      <c r="U3692" s="1">
        <v>38</v>
      </c>
      <c r="V3692" s="5">
        <v>43865</v>
      </c>
      <c r="W3692" s="5">
        <v>43334</v>
      </c>
      <c r="X3692" s="1">
        <v>3495000</v>
      </c>
      <c r="Y3692" s="1">
        <v>3480000</v>
      </c>
      <c r="Z3692" s="5">
        <v>43782</v>
      </c>
      <c r="AA3692" s="1">
        <v>3166506.33</v>
      </c>
      <c r="AB3692" s="1" t="s">
        <v>2466</v>
      </c>
      <c r="AC3692" s="5">
        <v>43853</v>
      </c>
      <c r="AF3692" s="1">
        <v>10016</v>
      </c>
      <c r="AI3692" s="1" t="s">
        <v>48</v>
      </c>
      <c r="AJ3692" s="1">
        <v>2019</v>
      </c>
      <c r="AK3692" s="1" t="s">
        <v>46</v>
      </c>
      <c r="AL3692" s="1">
        <v>130</v>
      </c>
    </row>
    <row r="3693" spans="1:38" x14ac:dyDescent="0.2">
      <c r="A3693" s="2" t="str">
        <f>HYPERLINK("https://www.compass.com/listing/277-5th-avenue-unit-47a-manhattan-ny-10016/73850139248177393/","277 5th Ave, Unit 47A")</f>
        <v>277 5th Ave, Unit 47A</v>
      </c>
      <c r="B3693" s="2" t="str">
        <f t="shared" si="620"/>
        <v>277 FIFTH AVENUE</v>
      </c>
      <c r="C3693" s="1" t="s">
        <v>40</v>
      </c>
      <c r="D3693" s="1" t="s">
        <v>41</v>
      </c>
      <c r="E3693" s="3">
        <v>7677771</v>
      </c>
      <c r="F3693" s="1">
        <v>3460.0138035150899</v>
      </c>
      <c r="G3693" s="1">
        <v>5</v>
      </c>
      <c r="H3693" s="1">
        <v>3</v>
      </c>
      <c r="I3693" s="1">
        <v>4</v>
      </c>
      <c r="J3693" s="1">
        <v>3.5</v>
      </c>
      <c r="K3693" s="1">
        <v>3</v>
      </c>
      <c r="L3693" s="1">
        <v>1</v>
      </c>
      <c r="M3693" s="4">
        <v>2219</v>
      </c>
      <c r="N3693" s="1">
        <v>3199</v>
      </c>
      <c r="O3693" s="1">
        <v>6681</v>
      </c>
      <c r="P3693" s="1">
        <v>3482</v>
      </c>
      <c r="Q3693" s="1" t="s">
        <v>42</v>
      </c>
      <c r="S3693" s="1" t="s">
        <v>42</v>
      </c>
      <c r="T3693" s="1" t="s">
        <v>273</v>
      </c>
      <c r="U3693" s="1">
        <v>84</v>
      </c>
      <c r="V3693" s="5">
        <v>43706</v>
      </c>
      <c r="W3693" s="5">
        <v>43353</v>
      </c>
      <c r="X3693" s="1">
        <v>8000000</v>
      </c>
      <c r="Y3693" s="1">
        <v>8000000</v>
      </c>
      <c r="Z3693" s="5">
        <v>43502</v>
      </c>
      <c r="AA3693" s="1">
        <v>7677770.6299999999</v>
      </c>
      <c r="AB3693" s="1" t="s">
        <v>2467</v>
      </c>
      <c r="AC3693" s="5">
        <v>43644</v>
      </c>
      <c r="AF3693" s="1">
        <v>10016</v>
      </c>
      <c r="AI3693" s="1" t="s">
        <v>118</v>
      </c>
      <c r="AJ3693" s="1">
        <v>2019</v>
      </c>
      <c r="AK3693" s="1" t="s">
        <v>46</v>
      </c>
      <c r="AL3693" s="1">
        <v>130</v>
      </c>
    </row>
    <row r="3694" spans="1:38" x14ac:dyDescent="0.2">
      <c r="A3694" s="2" t="str">
        <f>HYPERLINK("https://www.compass.com/listing/277-5th-avenue-unit-23d-manhattan-ny-10016/83997473835641185/","277 5th Ave, Unit 23D")</f>
        <v>277 5th Ave, Unit 23D</v>
      </c>
      <c r="B3694" s="2" t="str">
        <f t="shared" si="620"/>
        <v>277 FIFTH AVENUE</v>
      </c>
      <c r="C3694" s="1" t="s">
        <v>40</v>
      </c>
      <c r="D3694" s="1" t="s">
        <v>41</v>
      </c>
      <c r="E3694" s="3">
        <v>326718336</v>
      </c>
      <c r="F3694" s="1">
        <v>237959.458120903</v>
      </c>
      <c r="G3694" s="1">
        <v>4</v>
      </c>
      <c r="H3694" s="1">
        <v>2</v>
      </c>
      <c r="I3694" s="1">
        <v>2</v>
      </c>
      <c r="J3694" s="1">
        <v>2</v>
      </c>
      <c r="K3694" s="1">
        <v>2</v>
      </c>
      <c r="M3694" s="4">
        <v>1373</v>
      </c>
      <c r="N3694" s="1">
        <v>1980</v>
      </c>
      <c r="O3694" s="1">
        <v>4135</v>
      </c>
      <c r="P3694" s="1">
        <v>2155</v>
      </c>
      <c r="Q3694" s="1" t="s">
        <v>42</v>
      </c>
      <c r="S3694" s="1" t="s">
        <v>42</v>
      </c>
      <c r="T3694" s="1" t="s">
        <v>273</v>
      </c>
      <c r="U3694" s="1">
        <v>50</v>
      </c>
      <c r="V3694" s="5">
        <v>43803</v>
      </c>
      <c r="W3694" s="5">
        <v>43367</v>
      </c>
      <c r="X3694" s="1">
        <v>3430000</v>
      </c>
      <c r="Y3694" s="1">
        <v>3430000</v>
      </c>
      <c r="AA3694" s="1">
        <v>326718336</v>
      </c>
      <c r="AB3694" s="1" t="s">
        <v>275</v>
      </c>
      <c r="AC3694" s="5">
        <v>43787</v>
      </c>
      <c r="AF3694" s="1">
        <v>10016</v>
      </c>
      <c r="AI3694" s="1" t="s">
        <v>118</v>
      </c>
      <c r="AJ3694" s="1">
        <v>2019</v>
      </c>
      <c r="AK3694" s="1" t="s">
        <v>49</v>
      </c>
      <c r="AL3694" s="1">
        <v>130</v>
      </c>
    </row>
    <row r="3695" spans="1:38" x14ac:dyDescent="0.2">
      <c r="A3695" s="2" t="str">
        <f>HYPERLINK("https://www.compass.com/listing/300-east-64th-street-unit-9c-manhattan-ny-10065/349231848449749633/","300 E 64th St, Unit 9C")</f>
        <v>300 E 64th St, Unit 9C</v>
      </c>
      <c r="B3695" s="2" t="str">
        <f>HYPERLINK("https://www.compass.com/building/300-e-64th-st-manhattan-ny-10065/282038617012979925/","300 E 64th St")</f>
        <v>300 E 64th St</v>
      </c>
      <c r="C3695" s="1" t="s">
        <v>82</v>
      </c>
      <c r="D3695" s="1" t="s">
        <v>41</v>
      </c>
      <c r="E3695" s="3">
        <v>1375000</v>
      </c>
      <c r="F3695" s="1">
        <v>1408.8114754098301</v>
      </c>
      <c r="G3695" s="1">
        <v>3.5</v>
      </c>
      <c r="H3695" s="1">
        <v>1</v>
      </c>
      <c r="I3695" s="1">
        <v>2</v>
      </c>
      <c r="J3695" s="1">
        <v>2</v>
      </c>
      <c r="K3695" s="1">
        <v>2</v>
      </c>
      <c r="M3695" s="1">
        <v>976</v>
      </c>
      <c r="N3695" s="1">
        <v>1671.79</v>
      </c>
      <c r="O3695" s="1">
        <v>3767.79</v>
      </c>
      <c r="P3695" s="1">
        <v>2096</v>
      </c>
      <c r="Q3695" s="1" t="s">
        <v>42</v>
      </c>
      <c r="S3695" s="1" t="s">
        <v>42</v>
      </c>
      <c r="T3695" s="1" t="s">
        <v>273</v>
      </c>
      <c r="U3695" s="1">
        <v>523</v>
      </c>
      <c r="V3695" s="5">
        <v>44425</v>
      </c>
      <c r="W3695" s="5">
        <v>43731</v>
      </c>
      <c r="X3695" s="1">
        <v>1675000</v>
      </c>
      <c r="Y3695" s="1">
        <v>1399000</v>
      </c>
      <c r="Z3695" s="5">
        <v>44348</v>
      </c>
      <c r="AA3695" s="1">
        <v>1375000</v>
      </c>
      <c r="AB3695" s="1" t="s">
        <v>275</v>
      </c>
      <c r="AC3695" s="5">
        <v>44420</v>
      </c>
      <c r="AF3695" s="1">
        <v>10065</v>
      </c>
      <c r="AI3695" s="1" t="s">
        <v>148</v>
      </c>
      <c r="AJ3695" s="1">
        <v>1996</v>
      </c>
      <c r="AK3695" s="1" t="s">
        <v>46</v>
      </c>
      <c r="AL3695" s="1">
        <v>103</v>
      </c>
    </row>
    <row r="3696" spans="1:38" x14ac:dyDescent="0.2">
      <c r="A3696" s="2" t="str">
        <f>HYPERLINK("https://www.compass.com/listing/277-5th-avenue-unit-18d-manhattan-ny-10016/191990924543342417/","277 5th Ave, Unit 18D")</f>
        <v>277 5th Ave, Unit 18D</v>
      </c>
      <c r="B3696" s="2" t="str">
        <f t="shared" ref="B3696:B3697" si="621">HYPERLINK("https://www.compass.com/building/277-fifth-avenue-manhattan-ny/281939285475645317/","277 FIFTH AVENUE")</f>
        <v>277 FIFTH AVENUE</v>
      </c>
      <c r="C3696" s="1" t="s">
        <v>40</v>
      </c>
      <c r="D3696" s="1" t="s">
        <v>41</v>
      </c>
      <c r="E3696" s="3">
        <v>3000000</v>
      </c>
      <c r="F3696" s="1">
        <v>2184.9963583394001</v>
      </c>
      <c r="G3696" s="1">
        <v>4</v>
      </c>
      <c r="H3696" s="1">
        <v>2</v>
      </c>
      <c r="I3696" s="1">
        <v>2</v>
      </c>
      <c r="J3696" s="1">
        <v>2</v>
      </c>
      <c r="K3696" s="1">
        <v>2</v>
      </c>
      <c r="M3696" s="4">
        <v>1373</v>
      </c>
      <c r="N3696" s="1">
        <v>1979</v>
      </c>
      <c r="O3696" s="1">
        <v>4133</v>
      </c>
      <c r="P3696" s="1">
        <v>2154</v>
      </c>
      <c r="Q3696" s="1" t="s">
        <v>42</v>
      </c>
      <c r="S3696" s="1" t="s">
        <v>42</v>
      </c>
      <c r="T3696" s="1" t="s">
        <v>273</v>
      </c>
      <c r="U3696" s="1">
        <v>138</v>
      </c>
      <c r="V3696" s="5">
        <v>43708</v>
      </c>
      <c r="W3696" s="5">
        <v>43516</v>
      </c>
      <c r="X3696" s="1">
        <v>3255000</v>
      </c>
      <c r="Y3696" s="1">
        <v>3255000</v>
      </c>
      <c r="Z3696" s="5">
        <v>43676</v>
      </c>
      <c r="AA3696" s="1">
        <v>3000000</v>
      </c>
      <c r="AB3696" s="1" t="s">
        <v>2468</v>
      </c>
      <c r="AC3696" s="5">
        <v>43685</v>
      </c>
      <c r="AF3696" s="1">
        <v>10016</v>
      </c>
      <c r="AI3696" s="1" t="s">
        <v>48</v>
      </c>
      <c r="AJ3696" s="1">
        <v>2019</v>
      </c>
      <c r="AK3696" s="1" t="s">
        <v>46</v>
      </c>
      <c r="AL3696" s="1">
        <v>130</v>
      </c>
    </row>
    <row r="3697" spans="1:38" x14ac:dyDescent="0.2">
      <c r="A3697" s="2" t="str">
        <f>HYPERLINK("https://www.compass.com/listing/277-5th-avenue-unit-20d-manhattan-ny-10016/803351763125615105/","277 5th Ave, Unit 20D")</f>
        <v>277 5th Ave, Unit 20D</v>
      </c>
      <c r="B3697" s="2" t="str">
        <f t="shared" si="621"/>
        <v>277 FIFTH AVENUE</v>
      </c>
      <c r="C3697" s="1" t="s">
        <v>40</v>
      </c>
      <c r="D3697" s="1" t="s">
        <v>41</v>
      </c>
      <c r="E3697" s="3">
        <v>2902183</v>
      </c>
      <c r="F3697" s="1">
        <v>2113.75310269482</v>
      </c>
      <c r="G3697" s="1">
        <v>4</v>
      </c>
      <c r="H3697" s="1">
        <v>2</v>
      </c>
      <c r="I3697" s="1">
        <v>2</v>
      </c>
      <c r="J3697" s="1">
        <v>2</v>
      </c>
      <c r="K3697" s="1">
        <v>2</v>
      </c>
      <c r="M3697" s="4">
        <v>1373</v>
      </c>
      <c r="N3697" s="1">
        <v>1980</v>
      </c>
      <c r="O3697" s="1">
        <v>4135</v>
      </c>
      <c r="P3697" s="1">
        <v>2155</v>
      </c>
      <c r="Q3697" s="1" t="s">
        <v>42</v>
      </c>
      <c r="S3697" s="1" t="s">
        <v>42</v>
      </c>
      <c r="T3697" s="1" t="s">
        <v>273</v>
      </c>
      <c r="V3697" s="5">
        <v>44288</v>
      </c>
      <c r="W3697" s="5">
        <v>43676</v>
      </c>
      <c r="X3697" s="1">
        <v>3325000</v>
      </c>
      <c r="Y3697" s="1">
        <v>3325000</v>
      </c>
      <c r="AA3697" s="1">
        <v>2902183.01</v>
      </c>
      <c r="AB3697" s="1" t="s">
        <v>2469</v>
      </c>
      <c r="AC3697" s="5">
        <v>44333</v>
      </c>
      <c r="AF3697" s="1">
        <v>10016</v>
      </c>
      <c r="AI3697" s="1" t="s">
        <v>118</v>
      </c>
      <c r="AJ3697" s="1">
        <v>2019</v>
      </c>
      <c r="AK3697" s="1" t="s">
        <v>46</v>
      </c>
      <c r="AL3697" s="1">
        <v>130</v>
      </c>
    </row>
    <row r="3698" spans="1:38" x14ac:dyDescent="0.2">
      <c r="A3698" s="2" t="str">
        <f>HYPERLINK("https://www.compass.com/listing/300-east-64th-street-unit-22a-manhattan-ny-10065/29415740402656945/","300 E 64th St, Unit 22A")</f>
        <v>300 E 64th St, Unit 22A</v>
      </c>
      <c r="B3698" s="2" t="str">
        <f t="shared" ref="B3698:B3701" si="622">HYPERLINK("https://www.compass.com/building/300-e-64th-st-manhattan-ny-10065/282038617012979925/","300 E 64th St")</f>
        <v>300 E 64th St</v>
      </c>
      <c r="C3698" s="1" t="s">
        <v>82</v>
      </c>
      <c r="D3698" s="1" t="s">
        <v>41</v>
      </c>
      <c r="E3698" s="3">
        <v>2016135</v>
      </c>
      <c r="F3698" s="1">
        <v>1931.16379310344</v>
      </c>
      <c r="G3698" s="1">
        <v>4</v>
      </c>
      <c r="H3698" s="1">
        <v>2</v>
      </c>
      <c r="I3698" s="1">
        <v>2</v>
      </c>
      <c r="J3698" s="1">
        <v>2</v>
      </c>
      <c r="K3698" s="1">
        <v>2</v>
      </c>
      <c r="M3698" s="4">
        <v>1044</v>
      </c>
      <c r="N3698" s="1">
        <v>1175</v>
      </c>
      <c r="O3698" s="1">
        <v>2849</v>
      </c>
      <c r="P3698" s="1">
        <v>1674</v>
      </c>
      <c r="Q3698" s="1" t="s">
        <v>42</v>
      </c>
      <c r="S3698" s="1" t="s">
        <v>42</v>
      </c>
      <c r="T3698" s="1" t="s">
        <v>273</v>
      </c>
      <c r="V3698" s="5">
        <v>44379</v>
      </c>
      <c r="W3698" s="5">
        <v>42033</v>
      </c>
      <c r="X3698" s="1">
        <v>1980000</v>
      </c>
      <c r="Y3698" s="1">
        <v>1980000</v>
      </c>
      <c r="Z3698" s="5">
        <v>42033</v>
      </c>
      <c r="AA3698" s="1">
        <v>2016135</v>
      </c>
      <c r="AB3698" s="1" t="s">
        <v>2470</v>
      </c>
      <c r="AC3698" s="5">
        <v>42208</v>
      </c>
      <c r="AF3698" s="1">
        <v>10065</v>
      </c>
      <c r="AI3698" s="1" t="s">
        <v>83</v>
      </c>
      <c r="AJ3698" s="1">
        <v>1996</v>
      </c>
      <c r="AK3698" s="1" t="s">
        <v>49</v>
      </c>
      <c r="AL3698" s="1">
        <v>103</v>
      </c>
    </row>
    <row r="3699" spans="1:38" x14ac:dyDescent="0.2">
      <c r="A3699" s="2" t="str">
        <f>HYPERLINK("https://www.compass.com/listing/300-east-64th-street-unit-16a-manhattan-ny-10065/29415730915142545/","300 E 64th St, Unit 16A")</f>
        <v>300 E 64th St, Unit 16A</v>
      </c>
      <c r="B3699" s="2" t="str">
        <f t="shared" si="622"/>
        <v>300 E 64th St</v>
      </c>
      <c r="C3699" s="1" t="s">
        <v>82</v>
      </c>
      <c r="D3699" s="1" t="s">
        <v>41</v>
      </c>
      <c r="E3699" s="3">
        <v>1800000</v>
      </c>
      <c r="F3699" s="1">
        <v>1724.1379310344801</v>
      </c>
      <c r="G3699" s="1">
        <v>4</v>
      </c>
      <c r="H3699" s="1">
        <v>2</v>
      </c>
      <c r="I3699" s="1">
        <v>2</v>
      </c>
      <c r="J3699" s="1">
        <v>2</v>
      </c>
      <c r="K3699" s="1">
        <v>2</v>
      </c>
      <c r="M3699" s="4">
        <v>1044</v>
      </c>
      <c r="N3699" s="1">
        <v>1175</v>
      </c>
      <c r="O3699" s="1">
        <v>2849</v>
      </c>
      <c r="P3699" s="1">
        <v>1674</v>
      </c>
      <c r="Q3699" s="1" t="s">
        <v>42</v>
      </c>
      <c r="S3699" s="1" t="s">
        <v>42</v>
      </c>
      <c r="T3699" s="1" t="s">
        <v>273</v>
      </c>
      <c r="U3699" s="1">
        <v>1</v>
      </c>
      <c r="V3699" s="5">
        <v>44225</v>
      </c>
      <c r="W3699" s="5">
        <v>41976</v>
      </c>
      <c r="X3699" s="1">
        <v>1800000</v>
      </c>
      <c r="Y3699" s="1">
        <v>1800000</v>
      </c>
      <c r="Z3699" s="5">
        <v>42038</v>
      </c>
      <c r="AA3699" s="1">
        <v>1800000</v>
      </c>
      <c r="AB3699" s="1" t="s">
        <v>2471</v>
      </c>
      <c r="AC3699" s="5">
        <v>42202</v>
      </c>
      <c r="AF3699" s="1">
        <v>10065</v>
      </c>
      <c r="AI3699" s="1" t="s">
        <v>83</v>
      </c>
      <c r="AJ3699" s="1">
        <v>1996</v>
      </c>
      <c r="AK3699" s="1" t="s">
        <v>49</v>
      </c>
      <c r="AL3699" s="1">
        <v>103</v>
      </c>
    </row>
    <row r="3700" spans="1:38" x14ac:dyDescent="0.2">
      <c r="A3700" s="2" t="str">
        <f>HYPERLINK("https://www.compass.com/listing/300-east-64th-street-unit-11a-manhattan-ny-10065/29415724145481105/","300 E 64th St, Unit 11A")</f>
        <v>300 E 64th St, Unit 11A</v>
      </c>
      <c r="B3700" s="2" t="str">
        <f t="shared" si="622"/>
        <v>300 E 64th St</v>
      </c>
      <c r="C3700" s="1" t="s">
        <v>82</v>
      </c>
      <c r="D3700" s="1" t="s">
        <v>41</v>
      </c>
      <c r="E3700" s="3">
        <v>1886263</v>
      </c>
      <c r="F3700" s="1">
        <v>1806.76484674329</v>
      </c>
      <c r="G3700" s="1">
        <v>4</v>
      </c>
      <c r="H3700" s="1">
        <v>2</v>
      </c>
      <c r="I3700" s="1">
        <v>2</v>
      </c>
      <c r="J3700" s="1">
        <v>2</v>
      </c>
      <c r="M3700" s="4">
        <v>1044</v>
      </c>
      <c r="N3700" s="1">
        <v>1175</v>
      </c>
      <c r="O3700" s="1">
        <v>2849</v>
      </c>
      <c r="P3700" s="1">
        <v>1674</v>
      </c>
      <c r="Q3700" s="1" t="s">
        <v>42</v>
      </c>
      <c r="S3700" s="1" t="s">
        <v>42</v>
      </c>
      <c r="T3700" s="1" t="s">
        <v>273</v>
      </c>
      <c r="U3700" s="1">
        <v>706</v>
      </c>
      <c r="V3700" s="5">
        <v>42507</v>
      </c>
      <c r="W3700" s="5">
        <v>41800</v>
      </c>
      <c r="X3700" s="1">
        <v>2095000</v>
      </c>
      <c r="Y3700" s="1">
        <v>1975000</v>
      </c>
      <c r="AA3700" s="1">
        <v>1886262.5</v>
      </c>
      <c r="AB3700" s="1" t="s">
        <v>2472</v>
      </c>
      <c r="AC3700" s="5">
        <v>42607</v>
      </c>
      <c r="AF3700" s="1">
        <v>10065</v>
      </c>
      <c r="AI3700" s="1" t="s">
        <v>189</v>
      </c>
      <c r="AJ3700" s="1">
        <v>1996</v>
      </c>
      <c r="AK3700" s="1" t="s">
        <v>49</v>
      </c>
      <c r="AL3700" s="1">
        <v>103</v>
      </c>
    </row>
    <row r="3701" spans="1:38" x14ac:dyDescent="0.2">
      <c r="A3701" s="2" t="str">
        <f>HYPERLINK("https://www.compass.com/listing/300-east-64th-street-unit-27c-manhattan-ny-10065/4703678077102744001/","300 E 64th St, Unit 27C")</f>
        <v>300 E 64th St, Unit 27C</v>
      </c>
      <c r="B3701" s="2" t="str">
        <f t="shared" si="622"/>
        <v>300 E 64th St</v>
      </c>
      <c r="C3701" s="1" t="s">
        <v>82</v>
      </c>
      <c r="D3701" s="1" t="s">
        <v>41</v>
      </c>
      <c r="E3701" s="3">
        <v>1220000</v>
      </c>
      <c r="F3701" s="1">
        <v>1588.5416666666599</v>
      </c>
      <c r="G3701" s="1">
        <v>3</v>
      </c>
      <c r="H3701" s="1">
        <v>1</v>
      </c>
      <c r="I3701" s="1">
        <v>1</v>
      </c>
      <c r="J3701" s="1">
        <v>1</v>
      </c>
      <c r="M3701" s="1">
        <v>768</v>
      </c>
      <c r="N3701" s="1">
        <v>848.9</v>
      </c>
      <c r="O3701" s="1">
        <v>1713.24</v>
      </c>
      <c r="P3701" s="1">
        <v>864.33333333333303</v>
      </c>
      <c r="Q3701" s="1" t="s">
        <v>42</v>
      </c>
      <c r="S3701" s="1" t="s">
        <v>42</v>
      </c>
      <c r="T3701" s="1" t="s">
        <v>273</v>
      </c>
      <c r="V3701" s="5">
        <v>42478</v>
      </c>
      <c r="Y3701" s="1">
        <v>1220000</v>
      </c>
      <c r="Z3701" s="5">
        <v>39770</v>
      </c>
      <c r="AA3701" s="1">
        <v>1220000</v>
      </c>
      <c r="AB3701" s="1" t="s">
        <v>275</v>
      </c>
      <c r="AC3701" s="5">
        <v>39868</v>
      </c>
      <c r="AF3701" s="1">
        <v>10065</v>
      </c>
      <c r="AI3701" s="1" t="s">
        <v>83</v>
      </c>
      <c r="AJ3701" s="1">
        <v>1996</v>
      </c>
      <c r="AK3701" s="1" t="s">
        <v>46</v>
      </c>
      <c r="AL3701" s="1">
        <v>103</v>
      </c>
    </row>
    <row r="3702" spans="1:38" x14ac:dyDescent="0.2">
      <c r="A3702" s="2" t="str">
        <f>HYPERLINK("https://www.compass.com/listing/277-5th-avenue-unit-39c-manhattan-ny-10016/293466219250573617/","277 5th Ave, Unit 39C")</f>
        <v>277 5th Ave, Unit 39C</v>
      </c>
      <c r="B3702" s="2" t="str">
        <f t="shared" ref="B3702:B3704" si="623">HYPERLINK("https://www.compass.com/building/277-fifth-avenue-manhattan-ny/281939285475645317/","277 FIFTH AVENUE")</f>
        <v>277 FIFTH AVENUE</v>
      </c>
      <c r="C3702" s="1" t="s">
        <v>40</v>
      </c>
      <c r="D3702" s="1" t="s">
        <v>41</v>
      </c>
      <c r="E3702" s="3">
        <v>3600000</v>
      </c>
      <c r="F3702" s="1">
        <v>2576.9506084466698</v>
      </c>
      <c r="G3702" s="1">
        <v>4</v>
      </c>
      <c r="H3702" s="1">
        <v>2</v>
      </c>
      <c r="I3702" s="1">
        <v>2</v>
      </c>
      <c r="J3702" s="1">
        <v>2</v>
      </c>
      <c r="K3702" s="1">
        <v>2</v>
      </c>
      <c r="M3702" s="4">
        <v>1397</v>
      </c>
      <c r="N3702" s="1">
        <v>2014</v>
      </c>
      <c r="O3702" s="1">
        <v>4206</v>
      </c>
      <c r="P3702" s="1">
        <v>2192</v>
      </c>
      <c r="Q3702" s="1" t="s">
        <v>42</v>
      </c>
      <c r="S3702" s="1" t="s">
        <v>42</v>
      </c>
      <c r="T3702" s="1" t="s">
        <v>273</v>
      </c>
      <c r="U3702" s="1">
        <v>2</v>
      </c>
      <c r="V3702" s="5">
        <v>44272</v>
      </c>
      <c r="W3702" s="5">
        <v>43656</v>
      </c>
      <c r="X3702" s="1">
        <v>4425000</v>
      </c>
      <c r="Y3702" s="1">
        <v>4425000</v>
      </c>
      <c r="Z3702" s="5">
        <v>44250</v>
      </c>
      <c r="AA3702" s="1">
        <v>3600000</v>
      </c>
      <c r="AB3702" s="1" t="s">
        <v>2473</v>
      </c>
      <c r="AC3702" s="5">
        <v>44270</v>
      </c>
      <c r="AF3702" s="1">
        <v>10016</v>
      </c>
      <c r="AI3702" s="1" t="s">
        <v>118</v>
      </c>
      <c r="AJ3702" s="1">
        <v>2019</v>
      </c>
      <c r="AK3702" s="1" t="s">
        <v>49</v>
      </c>
      <c r="AL3702" s="1">
        <v>130</v>
      </c>
    </row>
    <row r="3703" spans="1:38" x14ac:dyDescent="0.2">
      <c r="A3703" s="2" t="str">
        <f>HYPERLINK("https://www.compass.com/listing/277-5th-avenue-unit-21d-manhattan-ny-10016/385425632149736961/","277 5th Ave, Unit 21D")</f>
        <v>277 5th Ave, Unit 21D</v>
      </c>
      <c r="B3703" s="2" t="str">
        <f t="shared" si="623"/>
        <v>277 FIFTH AVENUE</v>
      </c>
      <c r="C3703" s="1" t="s">
        <v>40</v>
      </c>
      <c r="D3703" s="1" t="s">
        <v>41</v>
      </c>
      <c r="E3703" s="3">
        <v>3100000</v>
      </c>
      <c r="F3703" s="1">
        <v>2257.8295702840401</v>
      </c>
      <c r="G3703" s="1">
        <v>4</v>
      </c>
      <c r="H3703" s="1">
        <v>2</v>
      </c>
      <c r="I3703" s="1">
        <v>2</v>
      </c>
      <c r="J3703" s="1">
        <v>2</v>
      </c>
      <c r="K3703" s="1">
        <v>2</v>
      </c>
      <c r="M3703" s="4">
        <v>1373</v>
      </c>
      <c r="N3703" s="1">
        <v>1980</v>
      </c>
      <c r="O3703" s="1">
        <v>4135</v>
      </c>
      <c r="P3703" s="1">
        <v>2155</v>
      </c>
      <c r="Q3703" s="1" t="s">
        <v>42</v>
      </c>
      <c r="S3703" s="1" t="s">
        <v>42</v>
      </c>
      <c r="T3703" s="1" t="s">
        <v>273</v>
      </c>
      <c r="U3703" s="1">
        <v>90</v>
      </c>
      <c r="V3703" s="5">
        <v>43953</v>
      </c>
      <c r="W3703" s="5">
        <v>43783</v>
      </c>
      <c r="X3703" s="1">
        <v>3360000</v>
      </c>
      <c r="Y3703" s="1">
        <v>3360000</v>
      </c>
      <c r="Z3703" s="5">
        <v>43874</v>
      </c>
      <c r="AA3703" s="1">
        <v>3100000</v>
      </c>
      <c r="AB3703" s="1" t="s">
        <v>2474</v>
      </c>
      <c r="AC3703" s="5">
        <v>43949</v>
      </c>
      <c r="AF3703" s="1">
        <v>10016</v>
      </c>
      <c r="AI3703" s="1" t="s">
        <v>118</v>
      </c>
      <c r="AJ3703" s="1">
        <v>2019</v>
      </c>
      <c r="AK3703" s="1" t="s">
        <v>46</v>
      </c>
      <c r="AL3703" s="1">
        <v>130</v>
      </c>
    </row>
    <row r="3704" spans="1:38" x14ac:dyDescent="0.2">
      <c r="A3704" s="2" t="str">
        <f>HYPERLINK("https://www.compass.com/listing/277-5th-avenue-unit-36b-manhattan-ny-10016/445632218405459201/","277 5th Ave, Unit 36B")</f>
        <v>277 5th Ave, Unit 36B</v>
      </c>
      <c r="B3704" s="2" t="str">
        <f t="shared" si="623"/>
        <v>277 FIFTH AVENUE</v>
      </c>
      <c r="C3704" s="1" t="s">
        <v>40</v>
      </c>
      <c r="D3704" s="1" t="s">
        <v>41</v>
      </c>
      <c r="E3704" s="3">
        <v>3241500</v>
      </c>
      <c r="F3704" s="1">
        <v>2534.40187646598</v>
      </c>
      <c r="G3704" s="1">
        <v>4</v>
      </c>
      <c r="H3704" s="1">
        <v>2</v>
      </c>
      <c r="I3704" s="1">
        <v>2</v>
      </c>
      <c r="J3704" s="1">
        <v>2</v>
      </c>
      <c r="K3704" s="1">
        <v>2</v>
      </c>
      <c r="M3704" s="4">
        <v>1279</v>
      </c>
      <c r="N3704" s="1">
        <v>1844</v>
      </c>
      <c r="O3704" s="1">
        <v>3851</v>
      </c>
      <c r="P3704" s="1">
        <v>2007</v>
      </c>
      <c r="Q3704" s="1" t="s">
        <v>42</v>
      </c>
      <c r="S3704" s="1" t="s">
        <v>42</v>
      </c>
      <c r="T3704" s="1" t="s">
        <v>273</v>
      </c>
      <c r="V3704" s="5">
        <v>44288</v>
      </c>
      <c r="W3704" s="5">
        <v>43866</v>
      </c>
      <c r="X3704" s="1">
        <v>3760000</v>
      </c>
      <c r="Y3704" s="1">
        <v>3760000</v>
      </c>
      <c r="AA3704" s="1">
        <v>3241500</v>
      </c>
      <c r="AB3704" s="1" t="s">
        <v>2341</v>
      </c>
      <c r="AC3704" s="5">
        <v>44371</v>
      </c>
      <c r="AF3704" s="1">
        <v>10016</v>
      </c>
      <c r="AI3704" s="1" t="s">
        <v>118</v>
      </c>
      <c r="AJ3704" s="1">
        <v>2019</v>
      </c>
      <c r="AK3704" s="1" t="s">
        <v>46</v>
      </c>
      <c r="AL3704" s="1">
        <v>130</v>
      </c>
    </row>
    <row r="3705" spans="1:38" x14ac:dyDescent="0.2">
      <c r="A3705" s="2" t="str">
        <f>HYPERLINK("https://www.compass.com/listing/20-east-end-avenue-unit-pha-manhattan-ny-10028/812767270310321849/","20 E End Ave, Unit PHA")</f>
        <v>20 E End Ave, Unit PHA</v>
      </c>
      <c r="B3705" s="2" t="str">
        <f>HYPERLINK("https://www.compass.com/building/20-e-end-ave-manhattan-ny-10028/281985490498985157/","20 E End Ave")</f>
        <v>20 E End Ave</v>
      </c>
      <c r="C3705" s="1" t="s">
        <v>82</v>
      </c>
      <c r="D3705" s="1" t="s">
        <v>41</v>
      </c>
      <c r="E3705" s="3">
        <v>30311250</v>
      </c>
      <c r="F3705" s="1">
        <v>5010.1239669421402</v>
      </c>
      <c r="H3705" s="1">
        <v>5</v>
      </c>
      <c r="J3705" s="1">
        <v>5.5</v>
      </c>
      <c r="K3705" s="1">
        <v>5</v>
      </c>
      <c r="L3705" s="1">
        <v>1</v>
      </c>
      <c r="M3705" s="4">
        <v>6050</v>
      </c>
      <c r="N3705" s="1">
        <v>9231</v>
      </c>
      <c r="O3705" s="1">
        <v>19099</v>
      </c>
      <c r="P3705" s="1">
        <v>9868</v>
      </c>
      <c r="Q3705" s="1" t="s">
        <v>42</v>
      </c>
      <c r="S3705" s="1" t="s">
        <v>42</v>
      </c>
      <c r="T3705" s="1" t="s">
        <v>273</v>
      </c>
      <c r="AA3705" s="1">
        <v>30311250</v>
      </c>
      <c r="AB3705" s="1" t="s">
        <v>2475</v>
      </c>
      <c r="AC3705" s="5">
        <v>44358</v>
      </c>
      <c r="AF3705" s="1">
        <v>10028</v>
      </c>
      <c r="AJ3705" s="1">
        <v>2017</v>
      </c>
      <c r="AK3705" s="1" t="s">
        <v>49</v>
      </c>
      <c r="AL3705" s="1">
        <v>41</v>
      </c>
    </row>
    <row r="3706" spans="1:38" x14ac:dyDescent="0.2">
      <c r="A3706" s="2" t="str">
        <f>HYPERLINK("https://www.compass.com/listing/277-5th-avenue-unit-46a-manhattan-ny-10016/608710199639092009/","277 5th Ave, Unit 46A")</f>
        <v>277 5th Ave, Unit 46A</v>
      </c>
      <c r="B3706" s="2" t="str">
        <f t="shared" ref="B3706:B3718" si="624">HYPERLINK("https://www.compass.com/building/277-fifth-avenue-manhattan-ny/281939285475645317/","277 FIFTH AVENUE")</f>
        <v>277 FIFTH AVENUE</v>
      </c>
      <c r="C3706" s="1" t="s">
        <v>40</v>
      </c>
      <c r="D3706" s="1" t="s">
        <v>41</v>
      </c>
      <c r="E3706" s="3">
        <v>5200000</v>
      </c>
      <c r="F3706" s="1">
        <v>2646.3104325699701</v>
      </c>
      <c r="G3706" s="1">
        <v>4</v>
      </c>
      <c r="H3706" s="1">
        <v>2</v>
      </c>
      <c r="I3706" s="1">
        <v>3</v>
      </c>
      <c r="J3706" s="1">
        <v>2.5</v>
      </c>
      <c r="K3706" s="1">
        <v>2</v>
      </c>
      <c r="L3706" s="1">
        <v>1</v>
      </c>
      <c r="M3706" s="4">
        <v>1965</v>
      </c>
      <c r="N3706" s="1">
        <v>2833</v>
      </c>
      <c r="O3706" s="1">
        <v>5342</v>
      </c>
      <c r="P3706" s="1">
        <v>2509</v>
      </c>
      <c r="Q3706" s="1" t="s">
        <v>42</v>
      </c>
      <c r="S3706" s="1" t="s">
        <v>42</v>
      </c>
      <c r="T3706" s="1" t="s">
        <v>273</v>
      </c>
      <c r="U3706" s="1">
        <v>21</v>
      </c>
      <c r="V3706" s="5">
        <v>44288</v>
      </c>
      <c r="W3706" s="5">
        <v>44091</v>
      </c>
      <c r="X3706" s="1">
        <v>6100000</v>
      </c>
      <c r="Y3706" s="1">
        <v>6100000</v>
      </c>
      <c r="AA3706" s="1">
        <v>5200000</v>
      </c>
      <c r="AB3706" s="1" t="s">
        <v>2476</v>
      </c>
      <c r="AC3706" s="5">
        <v>44120</v>
      </c>
      <c r="AF3706" s="1">
        <v>10016</v>
      </c>
      <c r="AI3706" s="1" t="s">
        <v>118</v>
      </c>
      <c r="AJ3706" s="1">
        <v>2019</v>
      </c>
      <c r="AK3706" s="1" t="s">
        <v>46</v>
      </c>
      <c r="AL3706" s="1">
        <v>130</v>
      </c>
    </row>
    <row r="3707" spans="1:38" x14ac:dyDescent="0.2">
      <c r="A3707" s="2" t="str">
        <f>HYPERLINK("https://www.compass.com/listing/277-5th-avenue-unit-28a-manhattan-ny-10016/100704617217688145/","277 5th Ave, Unit 28A")</f>
        <v>277 5th Ave, Unit 28A</v>
      </c>
      <c r="B3707" s="2" t="str">
        <f t="shared" si="624"/>
        <v>277 FIFTH AVENUE</v>
      </c>
      <c r="C3707" s="1" t="s">
        <v>40</v>
      </c>
      <c r="D3707" s="1" t="s">
        <v>41</v>
      </c>
      <c r="E3707" s="3">
        <v>3545044</v>
      </c>
      <c r="F3707" s="1">
        <v>2639.64543559195</v>
      </c>
      <c r="G3707" s="1">
        <v>4</v>
      </c>
      <c r="H3707" s="1">
        <v>2</v>
      </c>
      <c r="I3707" s="1">
        <v>2</v>
      </c>
      <c r="J3707" s="1">
        <v>2</v>
      </c>
      <c r="K3707" s="1">
        <v>2</v>
      </c>
      <c r="M3707" s="4">
        <v>1343</v>
      </c>
      <c r="N3707" s="1">
        <v>1936</v>
      </c>
      <c r="O3707" s="1">
        <v>4044</v>
      </c>
      <c r="P3707" s="1">
        <v>2108</v>
      </c>
      <c r="Q3707" s="1" t="s">
        <v>42</v>
      </c>
      <c r="S3707" s="1" t="s">
        <v>42</v>
      </c>
      <c r="T3707" s="1" t="s">
        <v>273</v>
      </c>
      <c r="V3707" s="5">
        <v>43706</v>
      </c>
      <c r="W3707" s="5">
        <v>43390</v>
      </c>
      <c r="X3707" s="1">
        <v>3620000</v>
      </c>
      <c r="Y3707" s="1">
        <v>3620000</v>
      </c>
      <c r="Z3707" s="5">
        <v>43391</v>
      </c>
      <c r="AA3707" s="1">
        <v>3545043.82</v>
      </c>
      <c r="AB3707" s="1" t="s">
        <v>2477</v>
      </c>
      <c r="AC3707" s="5">
        <v>43643</v>
      </c>
      <c r="AF3707" s="1">
        <v>10016</v>
      </c>
      <c r="AI3707" s="1" t="s">
        <v>118</v>
      </c>
      <c r="AJ3707" s="1">
        <v>2019</v>
      </c>
      <c r="AK3707" s="1" t="s">
        <v>46</v>
      </c>
      <c r="AL3707" s="1">
        <v>130</v>
      </c>
    </row>
    <row r="3708" spans="1:38" x14ac:dyDescent="0.2">
      <c r="A3708" s="2" t="str">
        <f>HYPERLINK("https://www.compass.com/listing/277-5th-avenue-unit-29a-manhattan-ny-10016/111508116616638065/","277 5th Ave, Unit 29A")</f>
        <v>277 5th Ave, Unit 29A</v>
      </c>
      <c r="B3708" s="2" t="str">
        <f t="shared" si="624"/>
        <v>277 FIFTH AVENUE</v>
      </c>
      <c r="C3708" s="1" t="s">
        <v>40</v>
      </c>
      <c r="D3708" s="1" t="s">
        <v>41</v>
      </c>
      <c r="E3708" s="3">
        <v>3582757</v>
      </c>
      <c r="F3708" s="1">
        <v>2667.7269769173399</v>
      </c>
      <c r="G3708" s="1">
        <v>4</v>
      </c>
      <c r="H3708" s="1">
        <v>2</v>
      </c>
      <c r="I3708" s="1">
        <v>2</v>
      </c>
      <c r="J3708" s="1">
        <v>2</v>
      </c>
      <c r="K3708" s="1">
        <v>2</v>
      </c>
      <c r="M3708" s="4">
        <v>1343</v>
      </c>
      <c r="N3708" s="1">
        <v>1936</v>
      </c>
      <c r="O3708" s="1">
        <v>4044</v>
      </c>
      <c r="P3708" s="1">
        <v>2108</v>
      </c>
      <c r="Q3708" s="1" t="s">
        <v>42</v>
      </c>
      <c r="S3708" s="1" t="s">
        <v>42</v>
      </c>
      <c r="T3708" s="1" t="s">
        <v>273</v>
      </c>
      <c r="V3708" s="5">
        <v>43706</v>
      </c>
      <c r="W3708" s="5">
        <v>43405</v>
      </c>
      <c r="X3708" s="1">
        <v>3655000</v>
      </c>
      <c r="Y3708" s="1">
        <v>3655000</v>
      </c>
      <c r="Z3708" s="5">
        <v>43406</v>
      </c>
      <c r="AA3708" s="1">
        <v>3582757.33</v>
      </c>
      <c r="AB3708" s="1" t="s">
        <v>2478</v>
      </c>
      <c r="AC3708" s="5">
        <v>43643</v>
      </c>
      <c r="AF3708" s="1">
        <v>10016</v>
      </c>
      <c r="AI3708" s="1" t="s">
        <v>118</v>
      </c>
      <c r="AJ3708" s="1">
        <v>2019</v>
      </c>
      <c r="AK3708" s="1" t="s">
        <v>46</v>
      </c>
      <c r="AL3708" s="1">
        <v>130</v>
      </c>
    </row>
    <row r="3709" spans="1:38" x14ac:dyDescent="0.2">
      <c r="A3709" s="2" t="str">
        <f>HYPERLINK("https://www.compass.com/listing/277-5th-avenue-unit-26a-manhattan-ny-10016/228966860954072545/","277 5th Ave, Unit 26A")</f>
        <v>277 5th Ave, Unit 26A</v>
      </c>
      <c r="B3709" s="2" t="str">
        <f t="shared" si="624"/>
        <v>277 FIFTH AVENUE</v>
      </c>
      <c r="C3709" s="1" t="s">
        <v>40</v>
      </c>
      <c r="D3709" s="1" t="s">
        <v>41</v>
      </c>
      <c r="E3709" s="3">
        <v>3281808</v>
      </c>
      <c r="F3709" s="1">
        <v>2443.6392926284402</v>
      </c>
      <c r="G3709" s="1">
        <v>4</v>
      </c>
      <c r="H3709" s="1">
        <v>2</v>
      </c>
      <c r="I3709" s="1">
        <v>2</v>
      </c>
      <c r="J3709" s="1">
        <v>2</v>
      </c>
      <c r="K3709" s="1">
        <v>2</v>
      </c>
      <c r="M3709" s="4">
        <v>1343</v>
      </c>
      <c r="N3709" s="1">
        <v>1936</v>
      </c>
      <c r="O3709" s="1">
        <v>4044</v>
      </c>
      <c r="P3709" s="1">
        <v>2108</v>
      </c>
      <c r="Q3709" s="1" t="s">
        <v>42</v>
      </c>
      <c r="S3709" s="1" t="s">
        <v>42</v>
      </c>
      <c r="T3709" s="1" t="s">
        <v>273</v>
      </c>
      <c r="U3709" s="1">
        <v>109</v>
      </c>
      <c r="V3709" s="5">
        <v>43795</v>
      </c>
      <c r="W3709" s="5">
        <v>43567</v>
      </c>
      <c r="X3709" s="1">
        <v>3550000</v>
      </c>
      <c r="Y3709" s="1">
        <v>3550000</v>
      </c>
      <c r="Z3709" s="5">
        <v>43728</v>
      </c>
      <c r="AA3709" s="1">
        <v>3281807.57</v>
      </c>
      <c r="AB3709" s="1" t="s">
        <v>2479</v>
      </c>
      <c r="AC3709" s="5">
        <v>43763</v>
      </c>
      <c r="AF3709" s="1">
        <v>10016</v>
      </c>
      <c r="AI3709" s="1" t="s">
        <v>118</v>
      </c>
      <c r="AJ3709" s="1">
        <v>2019</v>
      </c>
      <c r="AK3709" s="1" t="s">
        <v>46</v>
      </c>
      <c r="AL3709" s="1">
        <v>130</v>
      </c>
    </row>
    <row r="3710" spans="1:38" x14ac:dyDescent="0.2">
      <c r="A3710" s="2" t="str">
        <f>HYPERLINK("https://www.compass.com/listing/277-5th-avenue-unit-27d-manhattan-ny-10016/24675872611039921/","277 5th Ave, Unit 27D")</f>
        <v>277 5th Ave, Unit 27D</v>
      </c>
      <c r="B3710" s="2" t="str">
        <f t="shared" si="624"/>
        <v>277 FIFTH AVENUE</v>
      </c>
      <c r="C3710" s="1" t="s">
        <v>40</v>
      </c>
      <c r="D3710" s="1" t="s">
        <v>41</v>
      </c>
      <c r="E3710" s="3">
        <v>3325000</v>
      </c>
      <c r="F3710" s="1">
        <v>2421.7042971595001</v>
      </c>
      <c r="G3710" s="1">
        <v>4</v>
      </c>
      <c r="H3710" s="1">
        <v>2</v>
      </c>
      <c r="I3710" s="1">
        <v>2</v>
      </c>
      <c r="J3710" s="1">
        <v>2</v>
      </c>
      <c r="K3710" s="1">
        <v>2</v>
      </c>
      <c r="M3710" s="4">
        <v>1373</v>
      </c>
      <c r="N3710" s="1">
        <v>1980</v>
      </c>
      <c r="O3710" s="1">
        <v>4135</v>
      </c>
      <c r="P3710" s="1">
        <v>2155</v>
      </c>
      <c r="Q3710" s="1" t="s">
        <v>42</v>
      </c>
      <c r="S3710" s="1" t="s">
        <v>42</v>
      </c>
      <c r="T3710" s="1" t="s">
        <v>273</v>
      </c>
      <c r="U3710" s="1">
        <v>123</v>
      </c>
      <c r="V3710" s="5">
        <v>43897</v>
      </c>
      <c r="W3710" s="5">
        <v>43102</v>
      </c>
      <c r="X3710" s="1">
        <v>3570000</v>
      </c>
      <c r="Y3710" s="1">
        <v>3570000</v>
      </c>
      <c r="Z3710" s="5">
        <v>43848</v>
      </c>
      <c r="AA3710" s="1">
        <v>3325000</v>
      </c>
      <c r="AB3710" s="1" t="s">
        <v>2480</v>
      </c>
      <c r="AC3710" s="5">
        <v>43896</v>
      </c>
      <c r="AF3710" s="1">
        <v>10016</v>
      </c>
      <c r="AI3710" s="1" t="s">
        <v>48</v>
      </c>
      <c r="AJ3710" s="1">
        <v>2019</v>
      </c>
      <c r="AK3710" s="1" t="s">
        <v>46</v>
      </c>
      <c r="AL3710" s="1">
        <v>130</v>
      </c>
    </row>
    <row r="3711" spans="1:38" x14ac:dyDescent="0.2">
      <c r="A3711" s="2" t="str">
        <f>HYPERLINK("https://www.compass.com/listing/277-5th-avenue-unit-36c-manhattan-ny-10016/274558828446530385/","277 5th Ave, Unit 36C")</f>
        <v>277 5th Ave, Unit 36C</v>
      </c>
      <c r="B3711" s="2" t="str">
        <f t="shared" si="624"/>
        <v>277 FIFTH AVENUE</v>
      </c>
      <c r="C3711" s="1" t="s">
        <v>40</v>
      </c>
      <c r="D3711" s="1" t="s">
        <v>41</v>
      </c>
      <c r="E3711" s="3">
        <v>4243222</v>
      </c>
      <c r="F3711" s="1">
        <v>3037.38166785969</v>
      </c>
      <c r="G3711" s="1">
        <v>4</v>
      </c>
      <c r="H3711" s="1">
        <v>2</v>
      </c>
      <c r="I3711" s="1">
        <v>2</v>
      </c>
      <c r="J3711" s="1">
        <v>2</v>
      </c>
      <c r="K3711" s="1">
        <v>2</v>
      </c>
      <c r="M3711" s="4">
        <v>1397</v>
      </c>
      <c r="N3711" s="1">
        <v>2014</v>
      </c>
      <c r="O3711" s="1">
        <v>4206</v>
      </c>
      <c r="P3711" s="1">
        <v>2192</v>
      </c>
      <c r="Q3711" s="1" t="s">
        <v>42</v>
      </c>
      <c r="S3711" s="1" t="s">
        <v>42</v>
      </c>
      <c r="T3711" s="1" t="s">
        <v>273</v>
      </c>
      <c r="U3711" s="1">
        <v>1</v>
      </c>
      <c r="V3711" s="5">
        <v>43631</v>
      </c>
      <c r="W3711" s="5">
        <v>43209</v>
      </c>
      <c r="Y3711" s="1">
        <v>4225000</v>
      </c>
      <c r="Z3711" s="5">
        <v>43210</v>
      </c>
      <c r="AA3711" s="1">
        <v>4243222.1900000004</v>
      </c>
      <c r="AB3711" s="1" t="s">
        <v>2481</v>
      </c>
      <c r="AC3711" s="5">
        <v>43578</v>
      </c>
      <c r="AF3711" s="1">
        <v>10016</v>
      </c>
      <c r="AI3711" s="1" t="s">
        <v>48</v>
      </c>
      <c r="AJ3711" s="1">
        <v>2019</v>
      </c>
      <c r="AK3711" s="1" t="s">
        <v>46</v>
      </c>
      <c r="AL3711" s="1">
        <v>130</v>
      </c>
    </row>
    <row r="3712" spans="1:38" x14ac:dyDescent="0.2">
      <c r="A3712" s="2" t="str">
        <f>HYPERLINK("https://www.compass.com/listing/277-5th-avenue-unit-25a-manhattan-ny-10016/274558841767593809/","277 5th Ave, Unit 25A")</f>
        <v>277 5th Ave, Unit 25A</v>
      </c>
      <c r="B3712" s="2" t="str">
        <f t="shared" si="624"/>
        <v>277 FIFTH AVENUE</v>
      </c>
      <c r="C3712" s="1" t="s">
        <v>40</v>
      </c>
      <c r="D3712" s="1" t="s">
        <v>41</v>
      </c>
      <c r="E3712" s="3">
        <v>3179600</v>
      </c>
      <c r="F3712" s="1">
        <v>2367.53536857781</v>
      </c>
      <c r="G3712" s="1">
        <v>4</v>
      </c>
      <c r="H3712" s="1">
        <v>2</v>
      </c>
      <c r="I3712" s="1">
        <v>2</v>
      </c>
      <c r="J3712" s="1">
        <v>2</v>
      </c>
      <c r="K3712" s="1">
        <v>2</v>
      </c>
      <c r="M3712" s="4">
        <v>1343</v>
      </c>
      <c r="N3712" s="1">
        <v>1936</v>
      </c>
      <c r="O3712" s="1">
        <v>4044</v>
      </c>
      <c r="P3712" s="1">
        <v>2108</v>
      </c>
      <c r="Q3712" s="1" t="s">
        <v>42</v>
      </c>
      <c r="S3712" s="1" t="s">
        <v>42</v>
      </c>
      <c r="T3712" s="1" t="s">
        <v>273</v>
      </c>
      <c r="U3712" s="1">
        <v>7</v>
      </c>
      <c r="V3712" s="5">
        <v>43631</v>
      </c>
      <c r="W3712" s="5">
        <v>43224</v>
      </c>
      <c r="X3712" s="1">
        <v>3284400</v>
      </c>
      <c r="Y3712" s="1">
        <v>3284400</v>
      </c>
      <c r="Z3712" s="5">
        <v>43232</v>
      </c>
      <c r="AA3712" s="1">
        <v>3179600</v>
      </c>
      <c r="AB3712" s="1" t="s">
        <v>2482</v>
      </c>
      <c r="AC3712" s="5">
        <v>43581</v>
      </c>
      <c r="AF3712" s="1">
        <v>10016</v>
      </c>
      <c r="AI3712" s="1" t="s">
        <v>118</v>
      </c>
      <c r="AJ3712" s="1">
        <v>2019</v>
      </c>
      <c r="AK3712" s="1" t="s">
        <v>46</v>
      </c>
      <c r="AL3712" s="1">
        <v>130</v>
      </c>
    </row>
    <row r="3713" spans="1:38" x14ac:dyDescent="0.2">
      <c r="A3713" s="2" t="str">
        <f>HYPERLINK("https://www.compass.com/listing/277-5th-avenue-unit-52b-manhattan-ny-10016/29514468723527137/","277 5th Ave, Unit 52B")</f>
        <v>277 5th Ave, Unit 52B</v>
      </c>
      <c r="B3713" s="2" t="str">
        <f t="shared" si="624"/>
        <v>277 FIFTH AVENUE</v>
      </c>
      <c r="C3713" s="1" t="s">
        <v>40</v>
      </c>
      <c r="D3713" s="1" t="s">
        <v>41</v>
      </c>
      <c r="E3713" s="3">
        <v>7250000</v>
      </c>
      <c r="F3713" s="1">
        <v>3689.56743002544</v>
      </c>
      <c r="G3713" s="1">
        <v>4.5</v>
      </c>
      <c r="H3713" s="1">
        <v>2</v>
      </c>
      <c r="I3713" s="1">
        <v>3</v>
      </c>
      <c r="J3713" s="1">
        <v>2.5</v>
      </c>
      <c r="K3713" s="1">
        <v>2</v>
      </c>
      <c r="L3713" s="1">
        <v>1</v>
      </c>
      <c r="M3713" s="4">
        <v>1965</v>
      </c>
      <c r="N3713" s="1">
        <v>2833</v>
      </c>
      <c r="O3713" s="1">
        <v>5917</v>
      </c>
      <c r="P3713" s="1">
        <v>3084</v>
      </c>
      <c r="Q3713" s="1" t="s">
        <v>42</v>
      </c>
      <c r="S3713" s="1" t="s">
        <v>42</v>
      </c>
      <c r="T3713" s="1" t="s">
        <v>273</v>
      </c>
      <c r="V3713" s="5">
        <v>43777</v>
      </c>
      <c r="W3713" s="5">
        <v>43272</v>
      </c>
      <c r="X3713" s="1">
        <v>7250000</v>
      </c>
      <c r="Y3713" s="1">
        <v>7250000</v>
      </c>
      <c r="Z3713" s="5">
        <v>43273</v>
      </c>
      <c r="AA3713" s="1">
        <v>7250000</v>
      </c>
      <c r="AB3713" s="1" t="s">
        <v>275</v>
      </c>
      <c r="AC3713" s="5">
        <v>43608</v>
      </c>
      <c r="AF3713" s="1">
        <v>10016</v>
      </c>
      <c r="AI3713" s="1" t="s">
        <v>118</v>
      </c>
      <c r="AJ3713" s="1">
        <v>2019</v>
      </c>
      <c r="AK3713" s="1" t="s">
        <v>46</v>
      </c>
      <c r="AL3713" s="1">
        <v>130</v>
      </c>
    </row>
    <row r="3714" spans="1:38" x14ac:dyDescent="0.2">
      <c r="A3714" s="2" t="str">
        <f>HYPERLINK("https://www.compass.com/listing/277-5th-avenue-unit-34c-manhattan-ny-10016/29514471340849441/","277 5th Ave, Unit 34C")</f>
        <v>277 5th Ave, Unit 34C</v>
      </c>
      <c r="B3714" s="2" t="str">
        <f t="shared" si="624"/>
        <v>277 FIFTH AVENUE</v>
      </c>
      <c r="C3714" s="1" t="s">
        <v>40</v>
      </c>
      <c r="D3714" s="1" t="s">
        <v>41</v>
      </c>
      <c r="E3714" s="3">
        <v>4017483</v>
      </c>
      <c r="F3714" s="1">
        <v>2875.7931281317101</v>
      </c>
      <c r="G3714" s="1">
        <v>4</v>
      </c>
      <c r="H3714" s="1">
        <v>2</v>
      </c>
      <c r="I3714" s="1">
        <v>2</v>
      </c>
      <c r="J3714" s="1">
        <v>2</v>
      </c>
      <c r="K3714" s="1">
        <v>2</v>
      </c>
      <c r="M3714" s="4">
        <v>1397</v>
      </c>
      <c r="N3714" s="1">
        <v>2014</v>
      </c>
      <c r="O3714" s="1">
        <v>4206</v>
      </c>
      <c r="P3714" s="1">
        <v>2192</v>
      </c>
      <c r="Q3714" s="1" t="s">
        <v>42</v>
      </c>
      <c r="S3714" s="1" t="s">
        <v>42</v>
      </c>
      <c r="T3714" s="1" t="s">
        <v>273</v>
      </c>
      <c r="U3714" s="1">
        <v>42</v>
      </c>
      <c r="V3714" s="5">
        <v>43690</v>
      </c>
      <c r="W3714" s="5">
        <v>43280</v>
      </c>
      <c r="X3714" s="1">
        <v>4125000</v>
      </c>
      <c r="Y3714" s="1">
        <v>4125000</v>
      </c>
      <c r="Z3714" s="5">
        <v>43326</v>
      </c>
      <c r="AA3714" s="1">
        <v>4017483</v>
      </c>
      <c r="AB3714" s="1" t="s">
        <v>2483</v>
      </c>
      <c r="AC3714" s="5">
        <v>43546</v>
      </c>
      <c r="AF3714" s="1">
        <v>10016</v>
      </c>
      <c r="AI3714" s="1" t="s">
        <v>118</v>
      </c>
      <c r="AJ3714" s="1">
        <v>2019</v>
      </c>
      <c r="AK3714" s="1" t="s">
        <v>46</v>
      </c>
      <c r="AL3714" s="1">
        <v>130</v>
      </c>
    </row>
    <row r="3715" spans="1:38" x14ac:dyDescent="0.2">
      <c r="A3715" s="2" t="str">
        <f>HYPERLINK("https://www.compass.com/listing/277-5th-avenue-unit-29d-manhattan-ny-10016/29514474813656753/","277 5th Ave, Unit 29D")</f>
        <v>277 5th Ave, Unit 29D</v>
      </c>
      <c r="B3715" s="2" t="str">
        <f t="shared" si="624"/>
        <v>277 FIFTH AVENUE</v>
      </c>
      <c r="C3715" s="1" t="s">
        <v>40</v>
      </c>
      <c r="D3715" s="1" t="s">
        <v>41</v>
      </c>
      <c r="E3715" s="3">
        <v>3587183</v>
      </c>
      <c r="F3715" s="1">
        <v>2612.66059723233</v>
      </c>
      <c r="G3715" s="1">
        <v>4</v>
      </c>
      <c r="H3715" s="1">
        <v>2</v>
      </c>
      <c r="I3715" s="1">
        <v>2</v>
      </c>
      <c r="J3715" s="1">
        <v>2</v>
      </c>
      <c r="K3715" s="1">
        <v>2</v>
      </c>
      <c r="M3715" s="4">
        <v>1373</v>
      </c>
      <c r="N3715" s="1">
        <v>1980</v>
      </c>
      <c r="O3715" s="1">
        <v>4135</v>
      </c>
      <c r="P3715" s="1">
        <v>2155</v>
      </c>
      <c r="Q3715" s="1" t="s">
        <v>42</v>
      </c>
      <c r="S3715" s="1" t="s">
        <v>42</v>
      </c>
      <c r="T3715" s="1" t="s">
        <v>273</v>
      </c>
      <c r="U3715" s="1">
        <v>6</v>
      </c>
      <c r="V3715" s="5">
        <v>43648</v>
      </c>
      <c r="W3715" s="5">
        <v>43219</v>
      </c>
      <c r="X3715" s="1">
        <v>3641400</v>
      </c>
      <c r="Y3715" s="1">
        <v>3641400</v>
      </c>
      <c r="Z3715" s="5">
        <v>43225</v>
      </c>
      <c r="AA3715" s="1">
        <v>3587183</v>
      </c>
      <c r="AB3715" s="1" t="s">
        <v>2484</v>
      </c>
      <c r="AC3715" s="5">
        <v>43573</v>
      </c>
      <c r="AF3715" s="1">
        <v>10016</v>
      </c>
      <c r="AI3715" s="1" t="s">
        <v>118</v>
      </c>
      <c r="AJ3715" s="1">
        <v>2019</v>
      </c>
      <c r="AK3715" s="1" t="s">
        <v>46</v>
      </c>
      <c r="AL3715" s="1">
        <v>130</v>
      </c>
    </row>
    <row r="3716" spans="1:38" x14ac:dyDescent="0.2">
      <c r="A3716" s="2" t="str">
        <f>HYPERLINK("https://www.compass.com/listing/277-5th-avenue-unit-19a-manhattan-ny-10016/29514476181034465/","277 5th Ave, Unit 19A")</f>
        <v>277 5th Ave, Unit 19A</v>
      </c>
      <c r="B3716" s="2" t="str">
        <f t="shared" si="624"/>
        <v>277 FIFTH AVENUE</v>
      </c>
      <c r="C3716" s="1" t="s">
        <v>40</v>
      </c>
      <c r="D3716" s="1" t="s">
        <v>41</v>
      </c>
      <c r="E3716" s="3">
        <v>3071560</v>
      </c>
      <c r="F3716" s="1">
        <v>2287.0886075949302</v>
      </c>
      <c r="G3716" s="1">
        <v>4</v>
      </c>
      <c r="H3716" s="1">
        <v>2</v>
      </c>
      <c r="I3716" s="1">
        <v>2</v>
      </c>
      <c r="J3716" s="1">
        <v>2</v>
      </c>
      <c r="K3716" s="1">
        <v>2</v>
      </c>
      <c r="M3716" s="4">
        <v>1343</v>
      </c>
      <c r="N3716" s="1">
        <v>1936</v>
      </c>
      <c r="O3716" s="1">
        <v>4044</v>
      </c>
      <c r="P3716" s="1">
        <v>2108</v>
      </c>
      <c r="Q3716" s="1" t="s">
        <v>42</v>
      </c>
      <c r="S3716" s="1" t="s">
        <v>42</v>
      </c>
      <c r="T3716" s="1" t="s">
        <v>273</v>
      </c>
      <c r="U3716" s="1">
        <v>151</v>
      </c>
      <c r="V3716" s="5">
        <v>43648</v>
      </c>
      <c r="W3716" s="5">
        <v>43074</v>
      </c>
      <c r="X3716" s="1">
        <v>3010000</v>
      </c>
      <c r="Y3716" s="1">
        <v>3010000</v>
      </c>
      <c r="Z3716" s="5">
        <v>43225</v>
      </c>
      <c r="AA3716" s="1">
        <v>3071560</v>
      </c>
      <c r="AB3716" s="1" t="s">
        <v>2485</v>
      </c>
      <c r="AC3716" s="5">
        <v>43568</v>
      </c>
      <c r="AF3716" s="1">
        <v>10016</v>
      </c>
      <c r="AI3716" s="1" t="s">
        <v>118</v>
      </c>
      <c r="AJ3716" s="1">
        <v>2019</v>
      </c>
      <c r="AK3716" s="1" t="s">
        <v>46</v>
      </c>
      <c r="AL3716" s="1">
        <v>130</v>
      </c>
    </row>
    <row r="3717" spans="1:38" x14ac:dyDescent="0.2">
      <c r="A3717" s="2" t="str">
        <f>HYPERLINK("https://www.compass.com/listing/277-5th-avenue-unit-19d-manhattan-ny-10016/29514476935974673/","277 5th Ave, Unit 19D")</f>
        <v>277 5th Ave, Unit 19D</v>
      </c>
      <c r="B3717" s="2" t="str">
        <f t="shared" si="624"/>
        <v>277 FIFTH AVENUE</v>
      </c>
      <c r="C3717" s="1" t="s">
        <v>40</v>
      </c>
      <c r="D3717" s="1" t="s">
        <v>41</v>
      </c>
      <c r="E3717" s="3">
        <v>3237183</v>
      </c>
      <c r="F3717" s="1">
        <v>2357.7443554260699</v>
      </c>
      <c r="G3717" s="1">
        <v>4</v>
      </c>
      <c r="H3717" s="1">
        <v>2</v>
      </c>
      <c r="I3717" s="1">
        <v>2</v>
      </c>
      <c r="J3717" s="1">
        <v>2</v>
      </c>
      <c r="K3717" s="1">
        <v>2</v>
      </c>
      <c r="M3717" s="4">
        <v>1373</v>
      </c>
      <c r="N3717" s="1">
        <v>1980</v>
      </c>
      <c r="O3717" s="1">
        <v>4135</v>
      </c>
      <c r="P3717" s="1">
        <v>2155</v>
      </c>
      <c r="Q3717" s="1" t="s">
        <v>42</v>
      </c>
      <c r="S3717" s="1" t="s">
        <v>42</v>
      </c>
      <c r="T3717" s="1" t="s">
        <v>273</v>
      </c>
      <c r="U3717" s="1">
        <v>7</v>
      </c>
      <c r="V3717" s="5">
        <v>43729</v>
      </c>
      <c r="W3717" s="5">
        <v>43211</v>
      </c>
      <c r="X3717" s="1">
        <v>3220000</v>
      </c>
      <c r="Y3717" s="1">
        <v>3220000</v>
      </c>
      <c r="Z3717" s="5">
        <v>43218</v>
      </c>
      <c r="AA3717" s="1">
        <v>3237183</v>
      </c>
      <c r="AB3717" s="1" t="s">
        <v>2486</v>
      </c>
      <c r="AC3717" s="5">
        <v>43533</v>
      </c>
      <c r="AF3717" s="1">
        <v>10016</v>
      </c>
      <c r="AI3717" s="1" t="s">
        <v>48</v>
      </c>
      <c r="AJ3717" s="1">
        <v>2019</v>
      </c>
      <c r="AK3717" s="1" t="s">
        <v>46</v>
      </c>
      <c r="AL3717" s="1">
        <v>130</v>
      </c>
    </row>
    <row r="3718" spans="1:38" x14ac:dyDescent="0.2">
      <c r="A3718" s="2" t="str">
        <f>HYPERLINK("https://www.compass.com/listing/277-5th-avenue-unit-28d-manhattan-ny-10016/49932297545316417/","277 5th Ave, Unit 28D")</f>
        <v>277 5th Ave, Unit 28D</v>
      </c>
      <c r="B3718" s="2" t="str">
        <f t="shared" si="624"/>
        <v>277 FIFTH AVENUE</v>
      </c>
      <c r="C3718" s="1" t="s">
        <v>40</v>
      </c>
      <c r="D3718" s="1" t="s">
        <v>41</v>
      </c>
      <c r="E3718" s="3">
        <v>3529683</v>
      </c>
      <c r="F3718" s="1">
        <v>2570.7815003641599</v>
      </c>
      <c r="G3718" s="1">
        <v>4</v>
      </c>
      <c r="H3718" s="1">
        <v>2</v>
      </c>
      <c r="I3718" s="1">
        <v>2</v>
      </c>
      <c r="J3718" s="1">
        <v>2</v>
      </c>
      <c r="K3718" s="1">
        <v>2</v>
      </c>
      <c r="M3718" s="4">
        <v>1373</v>
      </c>
      <c r="N3718" s="1">
        <v>1980</v>
      </c>
      <c r="O3718" s="1">
        <v>4135</v>
      </c>
      <c r="P3718" s="1">
        <v>2155</v>
      </c>
      <c r="Q3718" s="1" t="s">
        <v>42</v>
      </c>
      <c r="S3718" s="1" t="s">
        <v>42</v>
      </c>
      <c r="T3718" s="1" t="s">
        <v>273</v>
      </c>
      <c r="V3718" s="5">
        <v>43685</v>
      </c>
      <c r="W3718" s="5">
        <v>43321</v>
      </c>
      <c r="X3718" s="1">
        <v>3610000</v>
      </c>
      <c r="Y3718" s="1">
        <v>3610000</v>
      </c>
      <c r="Z3718" s="5">
        <v>43321</v>
      </c>
      <c r="AA3718" s="1">
        <v>3529683</v>
      </c>
      <c r="AB3718" s="1" t="s">
        <v>2487</v>
      </c>
      <c r="AC3718" s="5">
        <v>43537</v>
      </c>
      <c r="AF3718" s="1">
        <v>10016</v>
      </c>
      <c r="AI3718" s="1" t="s">
        <v>118</v>
      </c>
      <c r="AJ3718" s="1">
        <v>2019</v>
      </c>
      <c r="AK3718" s="1" t="s">
        <v>46</v>
      </c>
      <c r="AL3718" s="1">
        <v>130</v>
      </c>
    </row>
    <row r="3719" spans="1:38" x14ac:dyDescent="0.2">
      <c r="A3719" s="2" t="str">
        <f>HYPERLINK("https://www.compass.com/listing/300-east-64th-street-unit-26a-manhattan-ny-10065/181045975488503921/","300 E 64th St, Unit 26A")</f>
        <v>300 E 64th St, Unit 26A</v>
      </c>
      <c r="B3719" s="2" t="str">
        <f t="shared" ref="B3719:B3720" si="625">HYPERLINK("https://www.compass.com/building/300-e-64th-st-manhattan-ny-10065/282038617012979925/","300 E 64th St")</f>
        <v>300 E 64th St</v>
      </c>
      <c r="C3719" s="1" t="s">
        <v>82</v>
      </c>
      <c r="D3719" s="1" t="s">
        <v>41</v>
      </c>
      <c r="E3719" s="3">
        <v>2200000</v>
      </c>
      <c r="F3719" s="1">
        <v>1788.6178861788601</v>
      </c>
      <c r="G3719" s="1">
        <v>4</v>
      </c>
      <c r="H3719" s="1">
        <v>2</v>
      </c>
      <c r="I3719" s="1">
        <v>2</v>
      </c>
      <c r="J3719" s="1">
        <v>2</v>
      </c>
      <c r="M3719" s="4">
        <v>1230</v>
      </c>
      <c r="N3719" s="1">
        <v>1385</v>
      </c>
      <c r="O3719" s="1">
        <v>3358</v>
      </c>
      <c r="P3719" s="1">
        <v>1973</v>
      </c>
      <c r="Q3719" s="1" t="s">
        <v>42</v>
      </c>
      <c r="S3719" s="1" t="s">
        <v>42</v>
      </c>
      <c r="T3719" s="1" t="s">
        <v>273</v>
      </c>
      <c r="U3719" s="1">
        <v>76</v>
      </c>
      <c r="V3719" s="5">
        <v>43677</v>
      </c>
      <c r="W3719" s="5">
        <v>42376</v>
      </c>
      <c r="X3719" s="1">
        <v>2275000</v>
      </c>
      <c r="Y3719" s="1">
        <v>2200000</v>
      </c>
      <c r="Z3719" s="5">
        <v>42452</v>
      </c>
      <c r="AA3719" s="1">
        <v>2200000</v>
      </c>
      <c r="AB3719" s="1" t="s">
        <v>2488</v>
      </c>
      <c r="AC3719" s="5">
        <v>42489</v>
      </c>
      <c r="AF3719" s="1">
        <v>10065</v>
      </c>
      <c r="AI3719" s="1" t="s">
        <v>189</v>
      </c>
      <c r="AJ3719" s="1">
        <v>1996</v>
      </c>
      <c r="AK3719" s="1" t="s">
        <v>49</v>
      </c>
      <c r="AL3719" s="1">
        <v>103</v>
      </c>
    </row>
    <row r="3720" spans="1:38" x14ac:dyDescent="0.2">
      <c r="A3720" s="2" t="str">
        <f>HYPERLINK("https://www.compass.com/listing/300-east-64th-street-unit-26a-manhattan-ny-10065/803380884657027049/","300 E 64th St, Unit 26A")</f>
        <v>300 E 64th St, Unit 26A</v>
      </c>
      <c r="B3720" s="2" t="str">
        <f t="shared" si="625"/>
        <v>300 E 64th St</v>
      </c>
      <c r="C3720" s="1" t="s">
        <v>82</v>
      </c>
      <c r="D3720" s="1" t="s">
        <v>41</v>
      </c>
      <c r="E3720" s="3">
        <v>2200000</v>
      </c>
      <c r="F3720" s="1">
        <v>1788.6178861788601</v>
      </c>
      <c r="G3720" s="1">
        <v>4</v>
      </c>
      <c r="H3720" s="1">
        <v>2</v>
      </c>
      <c r="I3720" s="1">
        <v>2</v>
      </c>
      <c r="J3720" s="1">
        <v>2</v>
      </c>
      <c r="M3720" s="4">
        <v>1230</v>
      </c>
      <c r="N3720" s="1">
        <v>1384</v>
      </c>
      <c r="O3720" s="1">
        <v>3356</v>
      </c>
      <c r="P3720" s="1">
        <v>1972</v>
      </c>
      <c r="Q3720" s="1" t="s">
        <v>42</v>
      </c>
      <c r="S3720" s="1" t="s">
        <v>42</v>
      </c>
      <c r="T3720" s="1" t="s">
        <v>273</v>
      </c>
      <c r="U3720" s="1">
        <v>573</v>
      </c>
      <c r="V3720" s="5">
        <v>42374</v>
      </c>
      <c r="W3720" s="5">
        <v>41800</v>
      </c>
      <c r="X3720" s="1">
        <v>2480000</v>
      </c>
      <c r="Y3720" s="1">
        <v>2275000</v>
      </c>
      <c r="AA3720" s="1">
        <v>2200000</v>
      </c>
      <c r="AB3720" s="1" t="s">
        <v>2488</v>
      </c>
      <c r="AC3720" s="5">
        <v>42489</v>
      </c>
      <c r="AF3720" s="1">
        <v>10065</v>
      </c>
      <c r="AI3720" s="1" t="s">
        <v>189</v>
      </c>
      <c r="AJ3720" s="1">
        <v>1996</v>
      </c>
      <c r="AK3720" s="1" t="s">
        <v>49</v>
      </c>
      <c r="AL3720" s="1">
        <v>103</v>
      </c>
    </row>
    <row r="3721" spans="1:38" x14ac:dyDescent="0.2">
      <c r="A3721" s="2" t="str">
        <f>HYPERLINK("https://www.compass.com/listing/277-5th-avenue-unit-42a-manhattan-ny-10016/220813772485340417/","277 5th Ave, Unit 42A")</f>
        <v>277 5th Ave, Unit 42A</v>
      </c>
      <c r="B3721" s="2" t="str">
        <f t="shared" ref="B3721:B3724" si="626">HYPERLINK("https://www.compass.com/building/277-fifth-avenue-manhattan-ny/281939285475645317/","277 FIFTH AVENUE")</f>
        <v>277 FIFTH AVENUE</v>
      </c>
      <c r="C3721" s="1" t="s">
        <v>40</v>
      </c>
      <c r="D3721" s="1" t="s">
        <v>41</v>
      </c>
      <c r="E3721" s="3">
        <v>4250000</v>
      </c>
      <c r="G3721" s="1">
        <v>4</v>
      </c>
      <c r="H3721" s="1">
        <v>2</v>
      </c>
      <c r="I3721" s="1">
        <v>2</v>
      </c>
      <c r="J3721" s="1">
        <v>2</v>
      </c>
      <c r="K3721" s="1">
        <v>2</v>
      </c>
      <c r="N3721" s="1">
        <v>2439</v>
      </c>
      <c r="O3721" s="1">
        <v>4680</v>
      </c>
      <c r="P3721" s="1">
        <v>2241</v>
      </c>
      <c r="Q3721" s="1" t="s">
        <v>42</v>
      </c>
      <c r="S3721" s="1" t="s">
        <v>42</v>
      </c>
      <c r="T3721" s="1" t="s">
        <v>273</v>
      </c>
      <c r="V3721" s="5">
        <v>43719</v>
      </c>
      <c r="W3721" s="5">
        <v>43556</v>
      </c>
      <c r="X3721" s="1">
        <v>4435000</v>
      </c>
      <c r="Y3721" s="1">
        <v>4435000</v>
      </c>
      <c r="Z3721" s="5">
        <v>43556</v>
      </c>
      <c r="AA3721" s="1">
        <v>4250000</v>
      </c>
      <c r="AB3721" s="1" t="s">
        <v>2489</v>
      </c>
      <c r="AC3721" s="5">
        <v>43637</v>
      </c>
      <c r="AF3721" s="1">
        <v>10016</v>
      </c>
      <c r="AI3721" s="1" t="s">
        <v>118</v>
      </c>
      <c r="AJ3721" s="1">
        <v>2019</v>
      </c>
      <c r="AK3721" s="1" t="s">
        <v>46</v>
      </c>
      <c r="AL3721" s="1">
        <v>130</v>
      </c>
    </row>
    <row r="3722" spans="1:38" x14ac:dyDescent="0.2">
      <c r="A3722" s="2" t="str">
        <f>HYPERLINK("https://www.compass.com/listing/277-5th-avenue-unit-27d-manhattan-ny-10016/469187666186487649/","277 5th Ave, Unit 27D")</f>
        <v>277 5th Ave, Unit 27D</v>
      </c>
      <c r="B3722" s="2" t="str">
        <f t="shared" si="626"/>
        <v>277 FIFTH AVENUE</v>
      </c>
      <c r="C3722" s="1" t="s">
        <v>40</v>
      </c>
      <c r="D3722" s="1" t="s">
        <v>41</v>
      </c>
      <c r="E3722" s="3">
        <v>3325000</v>
      </c>
      <c r="F3722" s="1">
        <v>2421.7042971595001</v>
      </c>
      <c r="G3722" s="1">
        <v>4</v>
      </c>
      <c r="H3722" s="1">
        <v>2</v>
      </c>
      <c r="J3722" s="1">
        <v>2</v>
      </c>
      <c r="M3722" s="4">
        <v>1373</v>
      </c>
      <c r="N3722" s="1">
        <v>1980</v>
      </c>
      <c r="O3722" s="1">
        <v>4135</v>
      </c>
      <c r="P3722" s="1">
        <v>2155</v>
      </c>
      <c r="S3722" s="1" t="s">
        <v>42</v>
      </c>
      <c r="T3722" s="1" t="s">
        <v>273</v>
      </c>
      <c r="V3722" s="5">
        <v>44253</v>
      </c>
      <c r="W3722" s="5">
        <v>43899</v>
      </c>
      <c r="X3722" s="1">
        <v>3570000</v>
      </c>
      <c r="Y3722" s="1">
        <v>3570000</v>
      </c>
      <c r="Z3722" s="5">
        <v>43899</v>
      </c>
      <c r="AA3722" s="1">
        <v>3325000</v>
      </c>
      <c r="AB3722" s="1" t="s">
        <v>275</v>
      </c>
      <c r="AC3722" s="5">
        <v>43918</v>
      </c>
      <c r="AF3722" s="1">
        <v>10016</v>
      </c>
      <c r="AI3722" s="1" t="s">
        <v>48</v>
      </c>
      <c r="AJ3722" s="1">
        <v>2019</v>
      </c>
      <c r="AK3722" s="1" t="s">
        <v>46</v>
      </c>
      <c r="AL3722" s="1">
        <v>130</v>
      </c>
    </row>
    <row r="3723" spans="1:38" x14ac:dyDescent="0.2">
      <c r="A3723" s="2" t="str">
        <f>HYPERLINK("https://www.compass.com/listing/277-5th-avenue-unit-36b-manhattan-ny-10016/840610507068300065/","277 5th Ave, Unit 36B")</f>
        <v>277 5th Ave, Unit 36B</v>
      </c>
      <c r="B3723" s="2" t="str">
        <f t="shared" si="626"/>
        <v>277 FIFTH AVENUE</v>
      </c>
      <c r="C3723" s="1" t="s">
        <v>40</v>
      </c>
      <c r="D3723" s="1" t="s">
        <v>41</v>
      </c>
      <c r="E3723" s="3">
        <v>3241500</v>
      </c>
      <c r="G3723" s="1">
        <v>4</v>
      </c>
      <c r="H3723" s="1">
        <v>2</v>
      </c>
      <c r="I3723" s="1">
        <v>2</v>
      </c>
      <c r="J3723" s="1">
        <v>2</v>
      </c>
      <c r="K3723" s="1">
        <v>2</v>
      </c>
      <c r="N3723" s="1">
        <v>1686</v>
      </c>
      <c r="O3723" s="1">
        <v>3527.24</v>
      </c>
      <c r="P3723" s="1">
        <v>1841.25</v>
      </c>
      <c r="Q3723" s="1" t="s">
        <v>42</v>
      </c>
      <c r="S3723" s="1" t="s">
        <v>42</v>
      </c>
      <c r="T3723" s="1" t="s">
        <v>273</v>
      </c>
      <c r="V3723" s="5">
        <v>44419</v>
      </c>
      <c r="AA3723" s="1">
        <v>3241500</v>
      </c>
      <c r="AB3723" s="1" t="s">
        <v>2341</v>
      </c>
      <c r="AC3723" s="5">
        <v>44371</v>
      </c>
      <c r="AF3723" s="1">
        <v>10016</v>
      </c>
      <c r="AI3723" s="1" t="s">
        <v>118</v>
      </c>
      <c r="AJ3723" s="1">
        <v>2019</v>
      </c>
      <c r="AK3723" s="1" t="s">
        <v>49</v>
      </c>
      <c r="AL3723" s="1">
        <v>130</v>
      </c>
    </row>
    <row r="3724" spans="1:38" x14ac:dyDescent="0.2">
      <c r="A3724" s="2" t="str">
        <f>HYPERLINK("https://www.compass.com/listing/277-5th-avenue-unit-39b-manhattan-ny-10016/840610787482745657/","277 5th Ave, Unit 39B")</f>
        <v>277 5th Ave, Unit 39B</v>
      </c>
      <c r="B3724" s="2" t="str">
        <f t="shared" si="626"/>
        <v>277 FIFTH AVENUE</v>
      </c>
      <c r="C3724" s="1" t="s">
        <v>40</v>
      </c>
      <c r="D3724" s="1" t="s">
        <v>41</v>
      </c>
      <c r="E3724" s="3">
        <v>3525000</v>
      </c>
      <c r="G3724" s="1">
        <v>4</v>
      </c>
      <c r="H3724" s="1">
        <v>2</v>
      </c>
      <c r="I3724" s="1">
        <v>2</v>
      </c>
      <c r="J3724" s="1">
        <v>2</v>
      </c>
      <c r="K3724" s="1">
        <v>2</v>
      </c>
      <c r="N3724" s="1">
        <v>1686</v>
      </c>
      <c r="O3724" s="1">
        <v>3527.25</v>
      </c>
      <c r="P3724" s="1">
        <v>1841.25</v>
      </c>
      <c r="Q3724" s="1" t="s">
        <v>42</v>
      </c>
      <c r="S3724" s="1" t="s">
        <v>42</v>
      </c>
      <c r="T3724" s="1" t="s">
        <v>273</v>
      </c>
      <c r="V3724" s="5">
        <v>44419</v>
      </c>
      <c r="AA3724" s="1">
        <v>3525000</v>
      </c>
      <c r="AB3724" s="1" t="s">
        <v>2490</v>
      </c>
      <c r="AC3724" s="5">
        <v>44384</v>
      </c>
      <c r="AF3724" s="1">
        <v>10016</v>
      </c>
      <c r="AI3724" s="1" t="s">
        <v>118</v>
      </c>
      <c r="AJ3724" s="1">
        <v>2019</v>
      </c>
      <c r="AK3724" s="1" t="s">
        <v>49</v>
      </c>
      <c r="AL3724" s="1">
        <v>130</v>
      </c>
    </row>
    <row r="3725" spans="1:38" x14ac:dyDescent="0.2">
      <c r="A3725" s="2" t="str">
        <f>HYPERLINK("https://www.compass.com/listing/20-east-end-avenue-unit-3a-manhattan-ny-10028/29425932410321313/","20 E End Ave, Unit 3A")</f>
        <v>20 E End Ave, Unit 3A</v>
      </c>
      <c r="B3725" s="2" t="str">
        <f t="shared" ref="B3725:B3727" si="627">HYPERLINK("https://www.compass.com/building/20-e-end-ave-manhattan-ny-10028/281985490498985157/","20 E End Ave")</f>
        <v>20 E End Ave</v>
      </c>
      <c r="C3725" s="1" t="s">
        <v>82</v>
      </c>
      <c r="D3725" s="1" t="s">
        <v>41</v>
      </c>
      <c r="E3725" s="3">
        <v>6275000</v>
      </c>
      <c r="F3725" s="1">
        <v>2214.1848976711299</v>
      </c>
      <c r="G3725" s="1">
        <v>6</v>
      </c>
      <c r="H3725" s="1">
        <v>3</v>
      </c>
      <c r="I3725" s="1">
        <v>3</v>
      </c>
      <c r="J3725" s="1">
        <v>3.5</v>
      </c>
      <c r="K3725" s="1">
        <v>3</v>
      </c>
      <c r="L3725" s="1">
        <v>1</v>
      </c>
      <c r="M3725" s="4">
        <v>2834</v>
      </c>
      <c r="N3725" s="1">
        <v>3404</v>
      </c>
      <c r="O3725" s="1">
        <v>7043</v>
      </c>
      <c r="P3725" s="1">
        <v>3639</v>
      </c>
      <c r="Q3725" s="1" t="s">
        <v>42</v>
      </c>
      <c r="S3725" s="1" t="s">
        <v>42</v>
      </c>
      <c r="T3725" s="1" t="s">
        <v>273</v>
      </c>
      <c r="U3725" s="1">
        <v>691</v>
      </c>
      <c r="V3725" s="5">
        <v>43677</v>
      </c>
      <c r="W3725" s="5">
        <v>42138</v>
      </c>
      <c r="X3725" s="1">
        <v>6275000</v>
      </c>
      <c r="Y3725" s="1">
        <v>6275000</v>
      </c>
      <c r="Z3725" s="5">
        <v>42872</v>
      </c>
      <c r="AA3725" s="1">
        <v>6275000</v>
      </c>
      <c r="AB3725" s="1" t="s">
        <v>2491</v>
      </c>
      <c r="AC3725" s="5">
        <v>42930</v>
      </c>
      <c r="AF3725" s="1">
        <v>10028</v>
      </c>
      <c r="AJ3725" s="1">
        <v>2017</v>
      </c>
      <c r="AK3725" s="1" t="s">
        <v>46</v>
      </c>
      <c r="AL3725" s="1">
        <v>41</v>
      </c>
    </row>
    <row r="3726" spans="1:38" x14ac:dyDescent="0.2">
      <c r="A3726" s="2" t="str">
        <f>HYPERLINK("https://www.compass.com/listing/20-east-end-avenue-unit-15a-manhattan-ny-10028/29425945966387729/","20 E End Ave, Unit 15A")</f>
        <v>20 E End Ave, Unit 15A</v>
      </c>
      <c r="B3726" s="2" t="str">
        <f t="shared" si="627"/>
        <v>20 E End Ave</v>
      </c>
      <c r="C3726" s="1" t="s">
        <v>82</v>
      </c>
      <c r="D3726" s="1" t="s">
        <v>41</v>
      </c>
      <c r="E3726" s="3">
        <v>8767133</v>
      </c>
      <c r="F3726" s="1">
        <v>2854.8137414522898</v>
      </c>
      <c r="G3726" s="1">
        <v>5</v>
      </c>
      <c r="H3726" s="1">
        <v>3</v>
      </c>
      <c r="I3726" s="1">
        <v>3</v>
      </c>
      <c r="J3726" s="1">
        <v>3.5</v>
      </c>
      <c r="K3726" s="1">
        <v>3</v>
      </c>
      <c r="L3726" s="1">
        <v>1</v>
      </c>
      <c r="M3726" s="4">
        <v>3071</v>
      </c>
      <c r="N3726" s="1">
        <v>3470</v>
      </c>
      <c r="O3726" s="1">
        <v>7629</v>
      </c>
      <c r="P3726" s="1">
        <v>4159</v>
      </c>
      <c r="Q3726" s="1" t="s">
        <v>42</v>
      </c>
      <c r="S3726" s="1" t="s">
        <v>42</v>
      </c>
      <c r="T3726" s="1" t="s">
        <v>273</v>
      </c>
      <c r="V3726" s="5">
        <v>43664</v>
      </c>
      <c r="W3726" s="5">
        <v>42024</v>
      </c>
      <c r="X3726" s="1">
        <v>8570000</v>
      </c>
      <c r="Y3726" s="1">
        <v>8570000</v>
      </c>
      <c r="Z3726" s="5">
        <v>42024</v>
      </c>
      <c r="AA3726" s="1">
        <v>8767133</v>
      </c>
      <c r="AB3726" s="1" t="s">
        <v>2492</v>
      </c>
      <c r="AC3726" s="5">
        <v>42818</v>
      </c>
      <c r="AF3726" s="1">
        <v>10028</v>
      </c>
      <c r="AJ3726" s="1">
        <v>2017</v>
      </c>
      <c r="AK3726" s="1" t="s">
        <v>46</v>
      </c>
      <c r="AL3726" s="1">
        <v>41</v>
      </c>
    </row>
    <row r="3727" spans="1:38" x14ac:dyDescent="0.2">
      <c r="A3727" s="2" t="str">
        <f>HYPERLINK("https://www.compass.com/listing/20-east-end-avenue-unit-16a-manhattan-ny-10028/29425946746457329/","20 E End Ave, Unit 16A")</f>
        <v>20 E End Ave, Unit 16A</v>
      </c>
      <c r="B3727" s="2" t="str">
        <f t="shared" si="627"/>
        <v>20 E End Ave</v>
      </c>
      <c r="C3727" s="1" t="s">
        <v>82</v>
      </c>
      <c r="D3727" s="1" t="s">
        <v>41</v>
      </c>
      <c r="E3727" s="3">
        <v>9103155</v>
      </c>
      <c r="F3727" s="1">
        <v>2947.9128886010299</v>
      </c>
      <c r="G3727" s="1">
        <v>5</v>
      </c>
      <c r="H3727" s="1">
        <v>3</v>
      </c>
      <c r="I3727" s="1">
        <v>3</v>
      </c>
      <c r="J3727" s="1">
        <v>3.5</v>
      </c>
      <c r="K3727" s="1">
        <v>3</v>
      </c>
      <c r="L3727" s="1">
        <v>1</v>
      </c>
      <c r="M3727" s="4">
        <v>3088</v>
      </c>
      <c r="N3727" s="1">
        <v>3930</v>
      </c>
      <c r="O3727" s="1">
        <v>8131</v>
      </c>
      <c r="P3727" s="1">
        <v>4201</v>
      </c>
      <c r="Q3727" s="1" t="s">
        <v>42</v>
      </c>
      <c r="S3727" s="1" t="s">
        <v>42</v>
      </c>
      <c r="T3727" s="1" t="s">
        <v>273</v>
      </c>
      <c r="U3727" s="1">
        <v>1</v>
      </c>
      <c r="V3727" s="5">
        <v>43676</v>
      </c>
      <c r="W3727" s="5">
        <v>42027</v>
      </c>
      <c r="X3727" s="1">
        <v>8880000</v>
      </c>
      <c r="Y3727" s="1">
        <v>8880000</v>
      </c>
      <c r="Z3727" s="5">
        <v>42028</v>
      </c>
      <c r="AA3727" s="1">
        <v>9103155</v>
      </c>
      <c r="AB3727" s="1" t="s">
        <v>2493</v>
      </c>
      <c r="AC3727" s="5">
        <v>42824</v>
      </c>
      <c r="AF3727" s="1">
        <v>10028</v>
      </c>
      <c r="AJ3727" s="1">
        <v>2017</v>
      </c>
      <c r="AK3727" s="1" t="s">
        <v>46</v>
      </c>
      <c r="AL3727" s="1">
        <v>41</v>
      </c>
    </row>
    <row r="3728" spans="1:38" x14ac:dyDescent="0.2">
      <c r="A3728" s="2" t="str">
        <f>HYPERLINK("https://www.compass.com/listing/300-east-64th-street-unit-24b-manhattan-ny-10065/29415744437577441/","300 E 64th St, Unit 24B")</f>
        <v>300 E 64th St, Unit 24B</v>
      </c>
      <c r="B3728" s="2" t="str">
        <f>HYPERLINK("https://www.compass.com/building/300-e-64th-st-manhattan-ny-10065/282038617012979925/","300 E 64th St")</f>
        <v>300 E 64th St</v>
      </c>
      <c r="C3728" s="1" t="s">
        <v>82</v>
      </c>
      <c r="D3728" s="1" t="s">
        <v>41</v>
      </c>
      <c r="E3728" s="3">
        <v>1516188</v>
      </c>
      <c r="F3728" s="1">
        <v>1059.5300489168401</v>
      </c>
      <c r="G3728" s="1">
        <v>5</v>
      </c>
      <c r="H3728" s="1">
        <v>3</v>
      </c>
      <c r="I3728" s="1">
        <v>3</v>
      </c>
      <c r="J3728" s="1">
        <v>3</v>
      </c>
      <c r="M3728" s="4">
        <v>1431</v>
      </c>
      <c r="N3728" s="1">
        <v>1610</v>
      </c>
      <c r="O3728" s="1">
        <v>4068</v>
      </c>
      <c r="P3728" s="1">
        <v>2458</v>
      </c>
      <c r="Q3728" s="1" t="s">
        <v>42</v>
      </c>
      <c r="S3728" s="1" t="s">
        <v>42</v>
      </c>
      <c r="T3728" s="1" t="s">
        <v>273</v>
      </c>
      <c r="U3728" s="1">
        <v>79</v>
      </c>
      <c r="V3728" s="5">
        <v>43648</v>
      </c>
      <c r="W3728" s="5">
        <v>43103</v>
      </c>
      <c r="X3728" s="1">
        <v>2545000</v>
      </c>
      <c r="Y3728" s="1">
        <v>2545000</v>
      </c>
      <c r="Z3728" s="5">
        <v>43182</v>
      </c>
      <c r="AA3728" s="1">
        <v>1516187.5</v>
      </c>
      <c r="AB3728" s="1" t="s">
        <v>2494</v>
      </c>
      <c r="AC3728" s="5">
        <v>43243</v>
      </c>
      <c r="AF3728" s="1">
        <v>10065</v>
      </c>
      <c r="AI3728" s="1" t="s">
        <v>189</v>
      </c>
      <c r="AJ3728" s="1">
        <v>1996</v>
      </c>
      <c r="AK3728" s="1" t="s">
        <v>49</v>
      </c>
      <c r="AL3728" s="1">
        <v>103</v>
      </c>
    </row>
    <row r="3729" spans="1:38" x14ac:dyDescent="0.2">
      <c r="A3729" s="2" t="str">
        <f>HYPERLINK("https://www.compass.com/listing/235-west-75th-street-unit-520-manhattan-ny-10023/117099951040788833/","235 W 75th St, Unit 520")</f>
        <v>235 W 75th St, Unit 520</v>
      </c>
      <c r="B3729" s="2" t="str">
        <f t="shared" ref="B3729:B3734" si="628">HYPERLINK("https://www.compass.com/building/the-astor-manhattan-ny/281958704155269925/","The Astor")</f>
        <v>The Astor</v>
      </c>
      <c r="C3729" s="1" t="s">
        <v>57</v>
      </c>
      <c r="D3729" s="1" t="s">
        <v>41</v>
      </c>
      <c r="E3729" s="3">
        <v>6047367</v>
      </c>
      <c r="F3729" s="1">
        <v>2149.7929114824001</v>
      </c>
      <c r="H3729" s="1">
        <v>4</v>
      </c>
      <c r="J3729" s="1">
        <v>4.5</v>
      </c>
      <c r="K3729" s="1">
        <v>4</v>
      </c>
      <c r="L3729" s="1">
        <v>1</v>
      </c>
      <c r="M3729" s="4">
        <v>2813</v>
      </c>
      <c r="N3729" s="1">
        <v>3677</v>
      </c>
      <c r="O3729" s="1">
        <v>7679</v>
      </c>
      <c r="P3729" s="1">
        <v>4002</v>
      </c>
      <c r="Q3729" s="1" t="s">
        <v>42</v>
      </c>
      <c r="S3729" s="1" t="s">
        <v>42</v>
      </c>
      <c r="T3729" s="1" t="s">
        <v>273</v>
      </c>
      <c r="AA3729" s="1">
        <v>6047367.46</v>
      </c>
      <c r="AB3729" s="1" t="s">
        <v>2495</v>
      </c>
      <c r="AC3729" s="5">
        <v>43385</v>
      </c>
      <c r="AF3729" s="1">
        <v>10023</v>
      </c>
      <c r="AJ3729" s="1">
        <v>2018</v>
      </c>
      <c r="AK3729" s="1" t="s">
        <v>49</v>
      </c>
      <c r="AL3729" s="1">
        <v>98</v>
      </c>
    </row>
    <row r="3730" spans="1:38" x14ac:dyDescent="0.2">
      <c r="A3730" s="2" t="str">
        <f>HYPERLINK("https://www.compass.com/listing/235-west-75th-street-unit-312-manhattan-ny-10023/29395865735038785/","235 W 75th St, Unit 312")</f>
        <v>235 W 75th St, Unit 312</v>
      </c>
      <c r="B3730" s="2" t="str">
        <f t="shared" si="628"/>
        <v>The Astor</v>
      </c>
      <c r="C3730" s="1" t="s">
        <v>57</v>
      </c>
      <c r="D3730" s="1" t="s">
        <v>41</v>
      </c>
      <c r="E3730" s="3">
        <v>7200475</v>
      </c>
      <c r="F3730" s="1">
        <v>2230.6303593556299</v>
      </c>
      <c r="H3730" s="1">
        <v>4</v>
      </c>
      <c r="J3730" s="1">
        <v>4.5</v>
      </c>
      <c r="K3730" s="1">
        <v>4</v>
      </c>
      <c r="L3730" s="1">
        <v>1</v>
      </c>
      <c r="M3730" s="4">
        <v>3228</v>
      </c>
      <c r="N3730" s="1">
        <v>4152</v>
      </c>
      <c r="O3730" s="1">
        <v>9406</v>
      </c>
      <c r="P3730" s="1">
        <v>5254</v>
      </c>
      <c r="Q3730" s="1" t="s">
        <v>42</v>
      </c>
      <c r="S3730" s="1" t="s">
        <v>42</v>
      </c>
      <c r="T3730" s="1" t="s">
        <v>273</v>
      </c>
      <c r="AA3730" s="1">
        <v>7200474.7999999998</v>
      </c>
      <c r="AB3730" s="1" t="s">
        <v>2496</v>
      </c>
      <c r="AC3730" s="5">
        <v>42527</v>
      </c>
      <c r="AF3730" s="1">
        <v>10023</v>
      </c>
      <c r="AJ3730" s="1">
        <v>2018</v>
      </c>
      <c r="AK3730" s="1" t="s">
        <v>49</v>
      </c>
      <c r="AL3730" s="1">
        <v>98</v>
      </c>
    </row>
    <row r="3731" spans="1:38" x14ac:dyDescent="0.2">
      <c r="A3731" s="2" t="str">
        <f>HYPERLINK("https://www.compass.com/listing/235-west-75th-street-unit-623-manhattan-ny-10023/29509619026051233/","235 W 75th St, Unit 623")</f>
        <v>235 W 75th St, Unit 623</v>
      </c>
      <c r="B3731" s="2" t="str">
        <f t="shared" si="628"/>
        <v>The Astor</v>
      </c>
      <c r="C3731" s="1" t="s">
        <v>57</v>
      </c>
      <c r="D3731" s="1" t="s">
        <v>41</v>
      </c>
      <c r="E3731" s="3">
        <v>7740456</v>
      </c>
      <c r="F3731" s="1">
        <v>2627.4460964018999</v>
      </c>
      <c r="H3731" s="1">
        <v>4</v>
      </c>
      <c r="J3731" s="1">
        <v>4.5</v>
      </c>
      <c r="K3731" s="1">
        <v>4</v>
      </c>
      <c r="L3731" s="1">
        <v>1</v>
      </c>
      <c r="M3731" s="4">
        <v>2946</v>
      </c>
      <c r="N3731" s="1">
        <v>3494</v>
      </c>
      <c r="O3731" s="1">
        <v>7363</v>
      </c>
      <c r="P3731" s="1">
        <v>3869</v>
      </c>
      <c r="Q3731" s="1" t="s">
        <v>42</v>
      </c>
      <c r="S3731" s="1" t="s">
        <v>42</v>
      </c>
      <c r="T3731" s="1" t="s">
        <v>273</v>
      </c>
      <c r="AA3731" s="1">
        <v>7740456.2000000002</v>
      </c>
      <c r="AB3731" s="1" t="s">
        <v>2497</v>
      </c>
      <c r="AC3731" s="5">
        <v>42583</v>
      </c>
      <c r="AF3731" s="1">
        <v>10023</v>
      </c>
      <c r="AJ3731" s="1">
        <v>2018</v>
      </c>
      <c r="AK3731" s="1" t="s">
        <v>49</v>
      </c>
      <c r="AL3731" s="1">
        <v>98</v>
      </c>
    </row>
    <row r="3732" spans="1:38" x14ac:dyDescent="0.2">
      <c r="A3732" s="2" t="str">
        <f>HYPERLINK("https://www.compass.com/listing/235-west-75th-street-unit-701-manhattan-ny-10023/483865022176003049/","235 W 75th St, Unit 701")</f>
        <v>235 W 75th St, Unit 701</v>
      </c>
      <c r="B3732" s="2" t="str">
        <f t="shared" si="628"/>
        <v>The Astor</v>
      </c>
      <c r="C3732" s="1" t="s">
        <v>57</v>
      </c>
      <c r="D3732" s="1" t="s">
        <v>41</v>
      </c>
      <c r="E3732" s="3">
        <v>13009475</v>
      </c>
      <c r="F3732" s="1">
        <v>2718.23557877141</v>
      </c>
      <c r="H3732" s="1">
        <v>4</v>
      </c>
      <c r="J3732" s="1">
        <v>4.5</v>
      </c>
      <c r="K3732" s="1">
        <v>4</v>
      </c>
      <c r="L3732" s="1">
        <v>1</v>
      </c>
      <c r="M3732" s="4">
        <v>4786</v>
      </c>
      <c r="N3732" s="1">
        <v>4458</v>
      </c>
      <c r="O3732" s="1">
        <v>9340</v>
      </c>
      <c r="P3732" s="1">
        <v>4882</v>
      </c>
      <c r="Q3732" s="1" t="s">
        <v>42</v>
      </c>
      <c r="S3732" s="1" t="s">
        <v>42</v>
      </c>
      <c r="T3732" s="1" t="s">
        <v>273</v>
      </c>
      <c r="AA3732" s="1">
        <v>13009475.48</v>
      </c>
      <c r="AB3732" s="1" t="s">
        <v>2498</v>
      </c>
      <c r="AC3732" s="5">
        <v>42443</v>
      </c>
      <c r="AF3732" s="1">
        <v>10023</v>
      </c>
      <c r="AJ3732" s="1">
        <v>2018</v>
      </c>
      <c r="AK3732" s="1" t="s">
        <v>49</v>
      </c>
      <c r="AL3732" s="1">
        <v>98</v>
      </c>
    </row>
    <row r="3733" spans="1:38" x14ac:dyDescent="0.2">
      <c r="A3733" s="2" t="str">
        <f>HYPERLINK("https://www.compass.com/listing/235-west-75th-street-unit-805-manhattan-ny-10023/604808785825453209/","235 W 75th St, Unit 805")</f>
        <v>235 W 75th St, Unit 805</v>
      </c>
      <c r="B3733" s="2" t="str">
        <f t="shared" si="628"/>
        <v>The Astor</v>
      </c>
      <c r="C3733" s="1" t="s">
        <v>57</v>
      </c>
      <c r="D3733" s="1" t="s">
        <v>41</v>
      </c>
      <c r="E3733" s="3">
        <v>6095946</v>
      </c>
      <c r="F3733" s="1">
        <v>2543.1562953692101</v>
      </c>
      <c r="H3733" s="1">
        <v>4</v>
      </c>
      <c r="J3733" s="1">
        <v>3.5</v>
      </c>
      <c r="K3733" s="1">
        <v>3</v>
      </c>
      <c r="L3733" s="1">
        <v>1</v>
      </c>
      <c r="M3733" s="4">
        <v>2397</v>
      </c>
      <c r="N3733" s="1">
        <v>3170</v>
      </c>
      <c r="O3733" s="1">
        <v>6620</v>
      </c>
      <c r="P3733" s="1">
        <v>3450</v>
      </c>
      <c r="Q3733" s="1" t="s">
        <v>42</v>
      </c>
      <c r="S3733" s="1" t="s">
        <v>42</v>
      </c>
      <c r="T3733" s="1" t="s">
        <v>273</v>
      </c>
      <c r="AA3733" s="1">
        <v>6095945.6399999997</v>
      </c>
      <c r="AB3733" s="1" t="s">
        <v>2499</v>
      </c>
      <c r="AC3733" s="5">
        <v>44069</v>
      </c>
      <c r="AF3733" s="1">
        <v>10023</v>
      </c>
      <c r="AJ3733" s="1">
        <v>2018</v>
      </c>
      <c r="AK3733" s="1" t="s">
        <v>49</v>
      </c>
      <c r="AL3733" s="1">
        <v>98</v>
      </c>
    </row>
    <row r="3734" spans="1:38" x14ac:dyDescent="0.2">
      <c r="A3734" s="2" t="str">
        <f>HYPERLINK("https://www.compass.com/listing/235-west-75th-street-unit-612-manhattan-ny-10023/79413257957399569/","235 W 75th St, Unit 612")</f>
        <v>235 W 75th St, Unit 612</v>
      </c>
      <c r="B3734" s="2" t="str">
        <f t="shared" si="628"/>
        <v>The Astor</v>
      </c>
      <c r="C3734" s="1" t="s">
        <v>57</v>
      </c>
      <c r="D3734" s="1" t="s">
        <v>41</v>
      </c>
      <c r="E3734" s="3">
        <v>7166311</v>
      </c>
      <c r="F3734" s="1">
        <v>2605.9311927272702</v>
      </c>
      <c r="H3734" s="1">
        <v>4</v>
      </c>
      <c r="J3734" s="1">
        <v>3.5</v>
      </c>
      <c r="M3734" s="4">
        <v>2750</v>
      </c>
      <c r="Q3734" s="1" t="s">
        <v>42</v>
      </c>
      <c r="S3734" s="1" t="s">
        <v>42</v>
      </c>
      <c r="T3734" s="1" t="s">
        <v>273</v>
      </c>
      <c r="AA3734" s="1">
        <v>7166310.7800000003</v>
      </c>
      <c r="AB3734" s="1" t="s">
        <v>2500</v>
      </c>
      <c r="AC3734" s="5">
        <v>42430</v>
      </c>
      <c r="AF3734" s="1">
        <v>10023</v>
      </c>
      <c r="AJ3734" s="1">
        <v>2018</v>
      </c>
      <c r="AK3734" s="1" t="s">
        <v>49</v>
      </c>
      <c r="AL3734" s="1">
        <v>98</v>
      </c>
    </row>
    <row r="3735" spans="1:38" x14ac:dyDescent="0.2">
      <c r="A3735" s="2" t="str">
        <f>HYPERLINK("https://www.compass.com/listing/300-east-64th-street-unit-11a-manhattan-ny-10065/181050224385490241/","300 E 64th St, Unit 11A")</f>
        <v>300 E 64th St, Unit 11A</v>
      </c>
      <c r="B3735" s="2" t="str">
        <f t="shared" ref="B3735:B3745" si="629">HYPERLINK("https://www.compass.com/building/300-e-64th-st-manhattan-ny-10065/282038617012979925/","300 E 64th St")</f>
        <v>300 E 64th St</v>
      </c>
      <c r="C3735" s="1" t="s">
        <v>82</v>
      </c>
      <c r="D3735" s="1" t="s">
        <v>41</v>
      </c>
      <c r="E3735" s="3">
        <v>1886262</v>
      </c>
      <c r="F3735" s="1">
        <v>1806.76436781609</v>
      </c>
      <c r="G3735" s="1">
        <v>4</v>
      </c>
      <c r="H3735" s="1">
        <v>2</v>
      </c>
      <c r="I3735" s="1">
        <v>2</v>
      </c>
      <c r="J3735" s="1">
        <v>2</v>
      </c>
      <c r="M3735" s="4">
        <v>1044</v>
      </c>
      <c r="Q3735" s="1" t="s">
        <v>42</v>
      </c>
      <c r="S3735" s="1" t="s">
        <v>42</v>
      </c>
      <c r="T3735" s="1" t="s">
        <v>273</v>
      </c>
      <c r="V3735" s="5">
        <v>43675</v>
      </c>
      <c r="W3735" s="5">
        <v>42544</v>
      </c>
      <c r="X3735" s="1">
        <v>1850000</v>
      </c>
      <c r="Y3735" s="1">
        <v>1850000</v>
      </c>
      <c r="Z3735" s="5">
        <v>42544</v>
      </c>
      <c r="AA3735" s="1">
        <v>1886262</v>
      </c>
      <c r="AB3735" s="1" t="s">
        <v>2472</v>
      </c>
      <c r="AC3735" s="5">
        <v>42608</v>
      </c>
      <c r="AF3735" s="1">
        <v>10065</v>
      </c>
      <c r="AI3735" s="1" t="s">
        <v>189</v>
      </c>
      <c r="AJ3735" s="1">
        <v>1996</v>
      </c>
      <c r="AK3735" s="1" t="s">
        <v>49</v>
      </c>
      <c r="AL3735" s="1">
        <v>103</v>
      </c>
    </row>
    <row r="3736" spans="1:38" x14ac:dyDescent="0.2">
      <c r="A3736" s="2" t="str">
        <f>HYPERLINK("https://www.compass.com/listing/300-east-64th-street-unit-8d-manhattan-ny-10065/29415720454493377/","300 E 64th St, Unit 8D")</f>
        <v>300 E 64th St, Unit 8D</v>
      </c>
      <c r="B3736" s="2" t="str">
        <f t="shared" si="629"/>
        <v>300 E 64th St</v>
      </c>
      <c r="C3736" s="1" t="s">
        <v>82</v>
      </c>
      <c r="D3736" s="1" t="s">
        <v>41</v>
      </c>
      <c r="E3736" s="3">
        <v>2050000</v>
      </c>
      <c r="F3736" s="1">
        <v>1570.8812260536399</v>
      </c>
      <c r="G3736" s="1">
        <v>4</v>
      </c>
      <c r="H3736" s="1">
        <v>2</v>
      </c>
      <c r="I3736" s="1">
        <v>2</v>
      </c>
      <c r="J3736" s="1">
        <v>2</v>
      </c>
      <c r="M3736" s="4">
        <v>1305</v>
      </c>
      <c r="N3736" s="1">
        <v>1634</v>
      </c>
      <c r="O3736" s="1">
        <v>4038</v>
      </c>
      <c r="P3736" s="1">
        <v>2404</v>
      </c>
      <c r="Q3736" s="1" t="s">
        <v>42</v>
      </c>
      <c r="S3736" s="1" t="s">
        <v>42</v>
      </c>
      <c r="T3736" s="1" t="s">
        <v>273</v>
      </c>
      <c r="U3736" s="1">
        <v>357</v>
      </c>
      <c r="V3736" s="5">
        <v>43664</v>
      </c>
      <c r="W3736" s="5">
        <v>42459</v>
      </c>
      <c r="X3736" s="1">
        <v>2375000</v>
      </c>
      <c r="Y3736" s="1">
        <v>2175000</v>
      </c>
      <c r="Z3736" s="5">
        <v>42816</v>
      </c>
      <c r="AA3736" s="1">
        <v>2050000</v>
      </c>
      <c r="AB3736" s="1" t="s">
        <v>2501</v>
      </c>
      <c r="AC3736" s="5">
        <v>42853</v>
      </c>
      <c r="AF3736" s="1">
        <v>10065</v>
      </c>
      <c r="AI3736" s="1" t="s">
        <v>188</v>
      </c>
      <c r="AJ3736" s="1">
        <v>1996</v>
      </c>
      <c r="AK3736" s="1" t="s">
        <v>46</v>
      </c>
      <c r="AL3736" s="1">
        <v>103</v>
      </c>
    </row>
    <row r="3737" spans="1:38" x14ac:dyDescent="0.2">
      <c r="A3737" s="2" t="str">
        <f>HYPERLINK("https://www.compass.com/listing/300-east-64th-street-unit-9a-manhattan-ny-10065/29415720865590001/","300 E 64th St, Unit 9A")</f>
        <v>300 E 64th St, Unit 9A</v>
      </c>
      <c r="B3737" s="2" t="str">
        <f t="shared" si="629"/>
        <v>300 E 64th St</v>
      </c>
      <c r="C3737" s="1" t="s">
        <v>82</v>
      </c>
      <c r="D3737" s="1" t="s">
        <v>41</v>
      </c>
      <c r="E3737" s="3">
        <v>1860806</v>
      </c>
      <c r="F3737" s="1">
        <v>1782.3812260536399</v>
      </c>
      <c r="G3737" s="1">
        <v>4</v>
      </c>
      <c r="H3737" s="1">
        <v>2</v>
      </c>
      <c r="I3737" s="1">
        <v>2</v>
      </c>
      <c r="J3737" s="1">
        <v>2</v>
      </c>
      <c r="M3737" s="4">
        <v>1044</v>
      </c>
      <c r="N3737" s="1">
        <v>1175</v>
      </c>
      <c r="O3737" s="1">
        <v>2904</v>
      </c>
      <c r="P3737" s="1">
        <v>1729</v>
      </c>
      <c r="Q3737" s="1" t="s">
        <v>42</v>
      </c>
      <c r="S3737" s="1" t="s">
        <v>42</v>
      </c>
      <c r="T3737" s="1" t="s">
        <v>273</v>
      </c>
      <c r="U3737" s="1">
        <v>245</v>
      </c>
      <c r="V3737" s="5">
        <v>43662</v>
      </c>
      <c r="W3737" s="5">
        <v>42629</v>
      </c>
      <c r="X3737" s="1">
        <v>2035000</v>
      </c>
      <c r="Y3737" s="1">
        <v>1875000</v>
      </c>
      <c r="Z3737" s="5">
        <v>42874</v>
      </c>
      <c r="AA3737" s="1">
        <v>1860806</v>
      </c>
      <c r="AB3737" s="1" t="s">
        <v>2502</v>
      </c>
      <c r="AC3737" s="5">
        <v>42896</v>
      </c>
      <c r="AF3737" s="1">
        <v>10065</v>
      </c>
      <c r="AI3737" s="1" t="s">
        <v>189</v>
      </c>
      <c r="AJ3737" s="1">
        <v>1996</v>
      </c>
      <c r="AK3737" s="1" t="s">
        <v>46</v>
      </c>
      <c r="AL3737" s="1">
        <v>103</v>
      </c>
    </row>
    <row r="3738" spans="1:38" x14ac:dyDescent="0.2">
      <c r="A3738" s="2" t="str">
        <f>HYPERLINK("https://www.compass.com/listing/300-east-64th-street-unit-15a-manhattan-ny-10065/29415729287697905/","300 E 64th St, Unit 15A")</f>
        <v>300 E 64th St, Unit 15A</v>
      </c>
      <c r="B3738" s="2" t="str">
        <f t="shared" si="629"/>
        <v>300 E 64th St</v>
      </c>
      <c r="C3738" s="1" t="s">
        <v>82</v>
      </c>
      <c r="D3738" s="1" t="s">
        <v>41</v>
      </c>
      <c r="E3738" s="3">
        <v>1850000</v>
      </c>
      <c r="F3738" s="1">
        <v>1772.0306513409901</v>
      </c>
      <c r="G3738" s="1">
        <v>4</v>
      </c>
      <c r="H3738" s="1">
        <v>2</v>
      </c>
      <c r="I3738" s="1">
        <v>2</v>
      </c>
      <c r="J3738" s="1">
        <v>2</v>
      </c>
      <c r="M3738" s="4">
        <v>1044</v>
      </c>
      <c r="N3738" s="1">
        <v>1175</v>
      </c>
      <c r="O3738" s="1">
        <v>2849</v>
      </c>
      <c r="P3738" s="1">
        <v>1674</v>
      </c>
      <c r="Q3738" s="1" t="s">
        <v>42</v>
      </c>
      <c r="S3738" s="1" t="s">
        <v>42</v>
      </c>
      <c r="T3738" s="1" t="s">
        <v>273</v>
      </c>
      <c r="U3738" s="1">
        <v>29</v>
      </c>
      <c r="V3738" s="5">
        <v>43654</v>
      </c>
      <c r="W3738" s="5">
        <v>42055</v>
      </c>
      <c r="X3738" s="1">
        <v>1850000</v>
      </c>
      <c r="Y3738" s="1">
        <v>1850000</v>
      </c>
      <c r="Z3738" s="5">
        <v>42084</v>
      </c>
      <c r="AA3738" s="1">
        <v>1850000</v>
      </c>
      <c r="AB3738" s="1" t="s">
        <v>2503</v>
      </c>
      <c r="AC3738" s="5">
        <v>42186</v>
      </c>
      <c r="AF3738" s="1">
        <v>10065</v>
      </c>
      <c r="AI3738" s="1" t="s">
        <v>189</v>
      </c>
      <c r="AJ3738" s="1">
        <v>1996</v>
      </c>
      <c r="AK3738" s="1" t="s">
        <v>46</v>
      </c>
      <c r="AL3738" s="1">
        <v>103</v>
      </c>
    </row>
    <row r="3739" spans="1:38" x14ac:dyDescent="0.2">
      <c r="A3739" s="2" t="str">
        <f>HYPERLINK("https://www.compass.com/listing/300-east-64th-street-unit-17a-manhattan-ny-10065/29415732802577969/","300 E 64th St, Unit 17A")</f>
        <v>300 E 64th St, Unit 17A</v>
      </c>
      <c r="B3739" s="2" t="str">
        <f t="shared" si="629"/>
        <v>300 E 64th St</v>
      </c>
      <c r="C3739" s="1" t="s">
        <v>82</v>
      </c>
      <c r="D3739" s="1" t="s">
        <v>41</v>
      </c>
      <c r="E3739" s="3">
        <v>2005613</v>
      </c>
      <c r="F3739" s="1">
        <v>1921.08524904214</v>
      </c>
      <c r="G3739" s="1">
        <v>4</v>
      </c>
      <c r="H3739" s="1">
        <v>2</v>
      </c>
      <c r="I3739" s="1">
        <v>2</v>
      </c>
      <c r="J3739" s="1">
        <v>2</v>
      </c>
      <c r="M3739" s="4">
        <v>1044</v>
      </c>
      <c r="N3739" s="1">
        <v>1175</v>
      </c>
      <c r="O3739" s="1">
        <v>2849</v>
      </c>
      <c r="P3739" s="1">
        <v>1674</v>
      </c>
      <c r="Q3739" s="1" t="s">
        <v>42</v>
      </c>
      <c r="S3739" s="1" t="s">
        <v>42</v>
      </c>
      <c r="T3739" s="1" t="s">
        <v>273</v>
      </c>
      <c r="U3739" s="1">
        <v>59</v>
      </c>
      <c r="V3739" s="5">
        <v>43673</v>
      </c>
      <c r="W3739" s="5">
        <v>42508</v>
      </c>
      <c r="X3739" s="1">
        <v>1985000</v>
      </c>
      <c r="Y3739" s="1">
        <v>1985000</v>
      </c>
      <c r="Z3739" s="5">
        <v>42567</v>
      </c>
      <c r="AA3739" s="1">
        <v>2005613</v>
      </c>
      <c r="AB3739" s="1" t="s">
        <v>2504</v>
      </c>
      <c r="AC3739" s="5">
        <v>42587</v>
      </c>
      <c r="AF3739" s="1">
        <v>10065</v>
      </c>
      <c r="AI3739" s="1" t="s">
        <v>189</v>
      </c>
      <c r="AJ3739" s="1">
        <v>1996</v>
      </c>
      <c r="AK3739" s="1" t="s">
        <v>49</v>
      </c>
      <c r="AL3739" s="1">
        <v>103</v>
      </c>
    </row>
    <row r="3740" spans="1:38" x14ac:dyDescent="0.2">
      <c r="A3740" s="2" t="str">
        <f>HYPERLINK("https://www.compass.com/listing/300-east-64th-street-unit-18a-manhattan-ny-10065/29415734488634993/","300 E 64th St, Unit 18A")</f>
        <v>300 E 64th St, Unit 18A</v>
      </c>
      <c r="B3740" s="2" t="str">
        <f t="shared" si="629"/>
        <v>300 E 64th St</v>
      </c>
      <c r="C3740" s="1" t="s">
        <v>82</v>
      </c>
      <c r="D3740" s="1" t="s">
        <v>41</v>
      </c>
      <c r="E3740" s="3">
        <v>2031408</v>
      </c>
      <c r="F3740" s="1">
        <v>1945.7931034482699</v>
      </c>
      <c r="G3740" s="1">
        <v>4</v>
      </c>
      <c r="H3740" s="1">
        <v>2</v>
      </c>
      <c r="I3740" s="1">
        <v>2</v>
      </c>
      <c r="J3740" s="1">
        <v>2</v>
      </c>
      <c r="M3740" s="4">
        <v>1044</v>
      </c>
      <c r="N3740" s="1">
        <v>1175</v>
      </c>
      <c r="O3740" s="1">
        <v>2849</v>
      </c>
      <c r="P3740" s="1">
        <v>1674</v>
      </c>
      <c r="Q3740" s="1" t="s">
        <v>42</v>
      </c>
      <c r="S3740" s="1" t="s">
        <v>42</v>
      </c>
      <c r="T3740" s="1" t="s">
        <v>273</v>
      </c>
      <c r="U3740" s="1">
        <v>11</v>
      </c>
      <c r="V3740" s="5">
        <v>43651</v>
      </c>
      <c r="W3740" s="5">
        <v>42085</v>
      </c>
      <c r="X3740" s="1">
        <v>1995000</v>
      </c>
      <c r="Y3740" s="1">
        <v>1995000</v>
      </c>
      <c r="Z3740" s="5">
        <v>42096</v>
      </c>
      <c r="AA3740" s="1">
        <v>2031408</v>
      </c>
      <c r="AB3740" s="1" t="s">
        <v>2505</v>
      </c>
      <c r="AC3740" s="5">
        <v>42201</v>
      </c>
      <c r="AF3740" s="1">
        <v>10065</v>
      </c>
      <c r="AI3740" s="1" t="s">
        <v>189</v>
      </c>
      <c r="AJ3740" s="1">
        <v>1996</v>
      </c>
      <c r="AK3740" s="1" t="s">
        <v>49</v>
      </c>
      <c r="AL3740" s="1">
        <v>103</v>
      </c>
    </row>
    <row r="3741" spans="1:38" x14ac:dyDescent="0.2">
      <c r="A3741" s="2" t="str">
        <f>HYPERLINK("https://www.compass.com/listing/300-east-64th-street-unit-20a-manhattan-ny-10065/29415737365982193/","300 E 64th St, Unit 20A")</f>
        <v>300 E 64th St, Unit 20A</v>
      </c>
      <c r="B3741" s="2" t="str">
        <f t="shared" si="629"/>
        <v>300 E 64th St</v>
      </c>
      <c r="C3741" s="1" t="s">
        <v>82</v>
      </c>
      <c r="D3741" s="1" t="s">
        <v>41</v>
      </c>
      <c r="E3741" s="3">
        <v>2158690</v>
      </c>
      <c r="F3741" s="1">
        <v>2067.71072796934</v>
      </c>
      <c r="G3741" s="1">
        <v>4</v>
      </c>
      <c r="H3741" s="1">
        <v>2</v>
      </c>
      <c r="I3741" s="1">
        <v>2</v>
      </c>
      <c r="J3741" s="1">
        <v>2</v>
      </c>
      <c r="M3741" s="4">
        <v>1044</v>
      </c>
      <c r="N3741" s="1">
        <v>1175</v>
      </c>
      <c r="O3741" s="1">
        <v>2849</v>
      </c>
      <c r="P3741" s="1">
        <v>1674</v>
      </c>
      <c r="Q3741" s="1" t="s">
        <v>42</v>
      </c>
      <c r="S3741" s="1" t="s">
        <v>42</v>
      </c>
      <c r="T3741" s="1" t="s">
        <v>273</v>
      </c>
      <c r="U3741" s="1">
        <v>375</v>
      </c>
      <c r="V3741" s="5">
        <v>43651</v>
      </c>
      <c r="W3741" s="5">
        <v>41793</v>
      </c>
      <c r="X3741" s="1">
        <v>2120000</v>
      </c>
      <c r="Y3741" s="1">
        <v>2120000</v>
      </c>
      <c r="Z3741" s="5">
        <v>42168</v>
      </c>
      <c r="AA3741" s="1">
        <v>2158690</v>
      </c>
      <c r="AB3741" s="1" t="s">
        <v>2506</v>
      </c>
      <c r="AC3741" s="5">
        <v>42200</v>
      </c>
      <c r="AF3741" s="1">
        <v>10065</v>
      </c>
      <c r="AI3741" s="1" t="s">
        <v>189</v>
      </c>
      <c r="AJ3741" s="1">
        <v>1996</v>
      </c>
      <c r="AK3741" s="1" t="s">
        <v>49</v>
      </c>
      <c r="AL3741" s="1">
        <v>103</v>
      </c>
    </row>
    <row r="3742" spans="1:38" x14ac:dyDescent="0.2">
      <c r="A3742" s="2" t="str">
        <f>HYPERLINK("https://www.compass.com/listing/300-east-64th-street-unit-10a-manhattan-ny-10065/29415722492978561/","300 E 64th St, Unit 10A")</f>
        <v>300 E 64th St, Unit 10A</v>
      </c>
      <c r="B3742" s="2" t="str">
        <f t="shared" si="629"/>
        <v>300 E 64th St</v>
      </c>
      <c r="C3742" s="1" t="s">
        <v>82</v>
      </c>
      <c r="D3742" s="1" t="s">
        <v>41</v>
      </c>
      <c r="E3742" s="3">
        <v>1650000</v>
      </c>
      <c r="F3742" s="1">
        <v>1580.4597701149401</v>
      </c>
      <c r="G3742" s="1">
        <v>4</v>
      </c>
      <c r="H3742" s="1">
        <v>2</v>
      </c>
      <c r="I3742" s="1">
        <v>2</v>
      </c>
      <c r="J3742" s="1">
        <v>2</v>
      </c>
      <c r="K3742" s="1">
        <v>2</v>
      </c>
      <c r="M3742" s="4">
        <v>1044</v>
      </c>
      <c r="N3742" s="1">
        <v>1175</v>
      </c>
      <c r="O3742" s="1">
        <v>2849</v>
      </c>
      <c r="P3742" s="1">
        <v>1674</v>
      </c>
      <c r="Q3742" s="1" t="s">
        <v>42</v>
      </c>
      <c r="S3742" s="1" t="s">
        <v>42</v>
      </c>
      <c r="T3742" s="1" t="s">
        <v>273</v>
      </c>
      <c r="V3742" s="5">
        <v>44351</v>
      </c>
      <c r="W3742" s="5">
        <v>42017</v>
      </c>
      <c r="X3742" s="1">
        <v>1650000</v>
      </c>
      <c r="Y3742" s="1">
        <v>1650000</v>
      </c>
      <c r="Z3742" s="5">
        <v>42017</v>
      </c>
      <c r="AA3742" s="1">
        <v>1650000</v>
      </c>
      <c r="AB3742" s="1" t="s">
        <v>2507</v>
      </c>
      <c r="AC3742" s="5">
        <v>42186</v>
      </c>
      <c r="AF3742" s="1">
        <v>10065</v>
      </c>
      <c r="AI3742" s="1" t="s">
        <v>83</v>
      </c>
      <c r="AJ3742" s="1">
        <v>1996</v>
      </c>
      <c r="AK3742" s="1" t="s">
        <v>49</v>
      </c>
      <c r="AL3742" s="1">
        <v>103</v>
      </c>
    </row>
    <row r="3743" spans="1:38" x14ac:dyDescent="0.2">
      <c r="A3743" s="2" t="str">
        <f>HYPERLINK("https://www.compass.com/listing/300-east-64th-street-unit-26b-manhattan-ny-10065/29415746962549921/","300 E 64th St, Unit 26B")</f>
        <v>300 E 64th St, Unit 26B</v>
      </c>
      <c r="B3743" s="2" t="str">
        <f t="shared" si="629"/>
        <v>300 E 64th St</v>
      </c>
      <c r="C3743" s="1" t="s">
        <v>82</v>
      </c>
      <c r="D3743" s="1" t="s">
        <v>41</v>
      </c>
      <c r="E3743" s="3">
        <v>2405570</v>
      </c>
      <c r="F3743" s="1">
        <v>1681.0412299091499</v>
      </c>
      <c r="G3743" s="1">
        <v>6</v>
      </c>
      <c r="H3743" s="1">
        <v>3</v>
      </c>
      <c r="I3743" s="1">
        <v>3</v>
      </c>
      <c r="J3743" s="1">
        <v>3</v>
      </c>
      <c r="M3743" s="4">
        <v>1431</v>
      </c>
      <c r="N3743" s="1">
        <v>1611</v>
      </c>
      <c r="O3743" s="1">
        <v>3981</v>
      </c>
      <c r="P3743" s="1">
        <v>2370</v>
      </c>
      <c r="Q3743" s="1" t="s">
        <v>42</v>
      </c>
      <c r="S3743" s="1" t="s">
        <v>42</v>
      </c>
      <c r="T3743" s="1" t="s">
        <v>273</v>
      </c>
      <c r="U3743" s="1">
        <v>255</v>
      </c>
      <c r="V3743" s="5">
        <v>43663</v>
      </c>
      <c r="W3743" s="5">
        <v>42571</v>
      </c>
      <c r="X3743" s="1">
        <v>2425000</v>
      </c>
      <c r="Y3743" s="1">
        <v>2425000</v>
      </c>
      <c r="Z3743" s="5">
        <v>42826</v>
      </c>
      <c r="AA3743" s="1">
        <v>2405570</v>
      </c>
      <c r="AB3743" s="1" t="s">
        <v>2508</v>
      </c>
      <c r="AC3743" s="5">
        <v>42865</v>
      </c>
      <c r="AF3743" s="1">
        <v>10065</v>
      </c>
      <c r="AI3743" s="1" t="s">
        <v>189</v>
      </c>
      <c r="AJ3743" s="1">
        <v>1996</v>
      </c>
      <c r="AK3743" s="1" t="s">
        <v>46</v>
      </c>
      <c r="AL3743" s="1">
        <v>103</v>
      </c>
    </row>
    <row r="3744" spans="1:38" x14ac:dyDescent="0.2">
      <c r="A3744" s="2" t="str">
        <f>HYPERLINK("https://www.compass.com/listing/300-east-64th-street-unit-27b-manhattan-ny-10065/29415748212452529/","300 E 64th St, Unit 27B")</f>
        <v>300 E 64th St, Unit 27B</v>
      </c>
      <c r="B3744" s="2" t="str">
        <f t="shared" si="629"/>
        <v>300 E 64th St</v>
      </c>
      <c r="C3744" s="1" t="s">
        <v>82</v>
      </c>
      <c r="D3744" s="1" t="s">
        <v>41</v>
      </c>
      <c r="E3744" s="3">
        <v>2450000</v>
      </c>
      <c r="F3744" s="1">
        <v>1712.0894479384999</v>
      </c>
      <c r="G3744" s="1">
        <v>5</v>
      </c>
      <c r="H3744" s="1">
        <v>3</v>
      </c>
      <c r="I3744" s="1">
        <v>3</v>
      </c>
      <c r="J3744" s="1">
        <v>3</v>
      </c>
      <c r="M3744" s="4">
        <v>1431</v>
      </c>
      <c r="N3744" s="1">
        <v>1610</v>
      </c>
      <c r="O3744" s="1">
        <v>3980</v>
      </c>
      <c r="P3744" s="1">
        <v>2370</v>
      </c>
      <c r="Q3744" s="1" t="s">
        <v>42</v>
      </c>
      <c r="S3744" s="1" t="s">
        <v>42</v>
      </c>
      <c r="T3744" s="1" t="s">
        <v>273</v>
      </c>
      <c r="U3744" s="1">
        <v>50</v>
      </c>
      <c r="V3744" s="5">
        <v>43664</v>
      </c>
      <c r="W3744" s="5">
        <v>42829</v>
      </c>
      <c r="X3744" s="1">
        <v>2500000</v>
      </c>
      <c r="Y3744" s="1">
        <v>2500000</v>
      </c>
      <c r="Z3744" s="5">
        <v>42879</v>
      </c>
      <c r="AA3744" s="1">
        <v>2450000</v>
      </c>
      <c r="AB3744" s="1" t="s">
        <v>2509</v>
      </c>
      <c r="AC3744" s="5">
        <v>42902</v>
      </c>
      <c r="AF3744" s="1">
        <v>10065</v>
      </c>
      <c r="AI3744" s="1" t="s">
        <v>189</v>
      </c>
      <c r="AJ3744" s="1">
        <v>1996</v>
      </c>
      <c r="AK3744" s="1" t="s">
        <v>46</v>
      </c>
      <c r="AL3744" s="1">
        <v>103</v>
      </c>
    </row>
    <row r="3745" spans="1:38" x14ac:dyDescent="0.2">
      <c r="A3745" s="2" t="str">
        <f>HYPERLINK("https://www.compass.com/listing/300-east-64th-street-unit-28b-manhattan-ny-10065/29415749613350097/","300 E 64th St, Unit 28B")</f>
        <v>300 E 64th St, Unit 28B</v>
      </c>
      <c r="B3745" s="2" t="str">
        <f t="shared" si="629"/>
        <v>300 E 64th St</v>
      </c>
      <c r="C3745" s="1" t="s">
        <v>82</v>
      </c>
      <c r="D3745" s="1" t="s">
        <v>41</v>
      </c>
      <c r="E3745" s="3">
        <v>2604128</v>
      </c>
      <c r="F3745" s="1">
        <v>1819.79594689028</v>
      </c>
      <c r="G3745" s="1">
        <v>5</v>
      </c>
      <c r="H3745" s="1">
        <v>3</v>
      </c>
      <c r="I3745" s="1">
        <v>3</v>
      </c>
      <c r="J3745" s="1">
        <v>3</v>
      </c>
      <c r="M3745" s="4">
        <v>1431</v>
      </c>
      <c r="N3745" s="1">
        <v>1610</v>
      </c>
      <c r="O3745" s="1">
        <v>4068</v>
      </c>
      <c r="P3745" s="1">
        <v>2458</v>
      </c>
      <c r="Q3745" s="1" t="s">
        <v>42</v>
      </c>
      <c r="S3745" s="1" t="s">
        <v>42</v>
      </c>
      <c r="T3745" s="1" t="s">
        <v>273</v>
      </c>
      <c r="U3745" s="1">
        <v>50</v>
      </c>
      <c r="V3745" s="5">
        <v>43649</v>
      </c>
      <c r="W3745" s="5">
        <v>42893</v>
      </c>
      <c r="X3745" s="1">
        <v>2600000</v>
      </c>
      <c r="Y3745" s="1">
        <v>2600000</v>
      </c>
      <c r="Z3745" s="5">
        <v>42943</v>
      </c>
      <c r="AA3745" s="1">
        <v>2604128</v>
      </c>
      <c r="AB3745" s="1" t="s">
        <v>2510</v>
      </c>
      <c r="AC3745" s="5">
        <v>43004</v>
      </c>
      <c r="AF3745" s="1">
        <v>10065</v>
      </c>
      <c r="AI3745" s="1" t="s">
        <v>189</v>
      </c>
      <c r="AJ3745" s="1">
        <v>1996</v>
      </c>
      <c r="AK3745" s="1" t="s">
        <v>49</v>
      </c>
      <c r="AL3745" s="1">
        <v>103</v>
      </c>
    </row>
    <row r="3746" spans="1:38" x14ac:dyDescent="0.2">
      <c r="A3746" s="2" t="str">
        <f>HYPERLINK("https://www.compass.com/listing/20-east-end-avenue-unit-4a-manhattan-ny-10028/29425934171933713/","20 E End Ave, Unit 4A")</f>
        <v>20 E End Ave, Unit 4A</v>
      </c>
      <c r="B3746" s="2" t="str">
        <f t="shared" ref="B3746:B3747" si="630">HYPERLINK("https://www.compass.com/building/20-e-end-ave-manhattan-ny-10028/281985490498985157/","20 E End Ave")</f>
        <v>20 E End Ave</v>
      </c>
      <c r="C3746" s="1" t="s">
        <v>82</v>
      </c>
      <c r="D3746" s="1" t="s">
        <v>41</v>
      </c>
      <c r="E3746" s="3">
        <v>6511709</v>
      </c>
      <c r="F3746" s="1">
        <v>2193.97203504043</v>
      </c>
      <c r="G3746" s="1">
        <v>5</v>
      </c>
      <c r="H3746" s="1">
        <v>3</v>
      </c>
      <c r="I3746" s="1">
        <v>3</v>
      </c>
      <c r="J3746" s="1">
        <v>3</v>
      </c>
      <c r="K3746" s="1">
        <v>3</v>
      </c>
      <c r="M3746" s="4">
        <v>2968</v>
      </c>
      <c r="N3746" s="1">
        <v>3582</v>
      </c>
      <c r="O3746" s="1">
        <v>7412</v>
      </c>
      <c r="P3746" s="1">
        <v>3830</v>
      </c>
      <c r="Q3746" s="1" t="s">
        <v>42</v>
      </c>
      <c r="S3746" s="1" t="s">
        <v>42</v>
      </c>
      <c r="T3746" s="1" t="s">
        <v>273</v>
      </c>
      <c r="U3746" s="1">
        <v>95</v>
      </c>
      <c r="V3746" s="5">
        <v>43672</v>
      </c>
      <c r="W3746" s="5">
        <v>42020</v>
      </c>
      <c r="X3746" s="1">
        <v>6365000</v>
      </c>
      <c r="Y3746" s="1">
        <v>6365000</v>
      </c>
      <c r="Z3746" s="5">
        <v>42115</v>
      </c>
      <c r="AA3746" s="1">
        <v>6511709</v>
      </c>
      <c r="AB3746" s="1" t="s">
        <v>2511</v>
      </c>
      <c r="AC3746" s="5">
        <v>42745</v>
      </c>
      <c r="AF3746" s="1">
        <v>10028</v>
      </c>
      <c r="AJ3746" s="1">
        <v>2017</v>
      </c>
      <c r="AK3746" s="1" t="s">
        <v>46</v>
      </c>
      <c r="AL3746" s="1">
        <v>41</v>
      </c>
    </row>
    <row r="3747" spans="1:38" x14ac:dyDescent="0.2">
      <c r="A3747" s="2" t="str">
        <f>HYPERLINK("https://www.compass.com/listing/20-east-end-avenue-unit-5a-manhattan-ny-10028/29425936352967185/","20 E End Ave, Unit 5A")</f>
        <v>20 E End Ave, Unit 5A</v>
      </c>
      <c r="B3747" s="2" t="str">
        <f t="shared" si="630"/>
        <v>20 E End Ave</v>
      </c>
      <c r="C3747" s="1" t="s">
        <v>82</v>
      </c>
      <c r="D3747" s="1" t="s">
        <v>41</v>
      </c>
      <c r="E3747" s="3">
        <v>6945483</v>
      </c>
      <c r="F3747" s="1">
        <v>2364.8222676200198</v>
      </c>
      <c r="G3747" s="1">
        <v>6</v>
      </c>
      <c r="H3747" s="1">
        <v>3</v>
      </c>
      <c r="I3747" s="1">
        <v>3</v>
      </c>
      <c r="J3747" s="1">
        <v>3</v>
      </c>
      <c r="K3747" s="1">
        <v>3</v>
      </c>
      <c r="M3747" s="4">
        <v>2937</v>
      </c>
      <c r="N3747" s="1">
        <v>3562</v>
      </c>
      <c r="O3747" s="1">
        <v>7370</v>
      </c>
      <c r="P3747" s="1">
        <v>3808</v>
      </c>
      <c r="Q3747" s="1" t="s">
        <v>42</v>
      </c>
      <c r="S3747" s="1" t="s">
        <v>42</v>
      </c>
      <c r="T3747" s="1" t="s">
        <v>273</v>
      </c>
      <c r="U3747" s="1">
        <v>20</v>
      </c>
      <c r="V3747" s="5">
        <v>43675</v>
      </c>
      <c r="W3747" s="5">
        <v>42116</v>
      </c>
      <c r="X3747" s="1">
        <v>6495000</v>
      </c>
      <c r="Y3747" s="1">
        <v>6795000</v>
      </c>
      <c r="Z3747" s="5">
        <v>42136</v>
      </c>
      <c r="AA3747" s="1">
        <v>6945483</v>
      </c>
      <c r="AB3747" s="1" t="s">
        <v>2512</v>
      </c>
      <c r="AC3747" s="5">
        <v>42655</v>
      </c>
      <c r="AF3747" s="1">
        <v>10028</v>
      </c>
      <c r="AJ3747" s="1">
        <v>2017</v>
      </c>
      <c r="AK3747" s="1" t="s">
        <v>46</v>
      </c>
      <c r="AL3747" s="1">
        <v>41</v>
      </c>
    </row>
    <row r="3748" spans="1:38" x14ac:dyDescent="0.2">
      <c r="A3748" s="2" t="str">
        <f>HYPERLINK("https://www.compass.com/listing/505-513-west-43rd-street-unit-1c-manhattan-ny-10036/775091883351280881/","505-513 W 43rd St, Unit 1C")</f>
        <v>505-513 W 43rd St, Unit 1C</v>
      </c>
      <c r="B3748" s="2" t="str">
        <f>HYPERLINK("https://www.compass.com/building/charlie-west-manhattan-ny/292918554372621509/","Charlie West")</f>
        <v>Charlie West</v>
      </c>
      <c r="C3748" s="1" t="s">
        <v>90</v>
      </c>
      <c r="D3748" s="1" t="s">
        <v>41</v>
      </c>
      <c r="E3748" s="3">
        <v>54522874</v>
      </c>
      <c r="F3748" s="1">
        <v>54359.794795613103</v>
      </c>
      <c r="H3748" s="1">
        <v>1</v>
      </c>
      <c r="J3748" s="1">
        <v>1.5</v>
      </c>
      <c r="M3748" s="4">
        <v>1003</v>
      </c>
      <c r="N3748" s="1">
        <v>1161</v>
      </c>
      <c r="O3748" s="1">
        <v>2180</v>
      </c>
      <c r="Q3748" s="1" t="s">
        <v>271</v>
      </c>
      <c r="S3748" s="1" t="s">
        <v>271</v>
      </c>
      <c r="T3748" s="1" t="s">
        <v>273</v>
      </c>
      <c r="AA3748" s="1">
        <v>54522874.18</v>
      </c>
      <c r="AB3748" s="1" t="s">
        <v>2513</v>
      </c>
      <c r="AC3748" s="5">
        <v>44306</v>
      </c>
      <c r="AF3748" s="1">
        <v>10036</v>
      </c>
      <c r="AI3748" s="1" t="s">
        <v>118</v>
      </c>
      <c r="AJ3748" s="1">
        <v>2019</v>
      </c>
      <c r="AK3748" s="1" t="s">
        <v>49</v>
      </c>
      <c r="AL3748" s="1">
        <v>123</v>
      </c>
    </row>
    <row r="3749" spans="1:38" x14ac:dyDescent="0.2">
      <c r="A3749" s="2" t="str">
        <f>HYPERLINK("https://www.compass.com/listing/30-east-31st-street-unit-16-manhattan-ny-10016/697311147083876505/","30 E 31st St, Unit 16")</f>
        <v>30 E 31st St, Unit 16</v>
      </c>
      <c r="B3749" s="2" t="str">
        <f t="shared" ref="B3749:B3751" si="631">HYPERLINK("https://www.compass.com/building/30-east-31st-street-manhattan-ny/281939352542566357/","30 East 31st Street")</f>
        <v>30 East 31st Street</v>
      </c>
      <c r="C3749" s="1" t="s">
        <v>40</v>
      </c>
      <c r="D3749" s="1" t="s">
        <v>41</v>
      </c>
      <c r="E3749" s="3">
        <v>2385455</v>
      </c>
      <c r="F3749" s="1">
        <v>1422.45378652355</v>
      </c>
      <c r="G3749" s="1">
        <v>4</v>
      </c>
      <c r="H3749" s="1">
        <v>2</v>
      </c>
      <c r="I3749" s="1">
        <v>3</v>
      </c>
      <c r="J3749" s="1">
        <v>2.5</v>
      </c>
      <c r="K3749" s="1">
        <v>2</v>
      </c>
      <c r="L3749" s="1">
        <v>1</v>
      </c>
      <c r="M3749" s="4">
        <v>1677</v>
      </c>
      <c r="N3749" s="1">
        <v>2481</v>
      </c>
      <c r="O3749" s="1">
        <v>5804</v>
      </c>
      <c r="P3749" s="1">
        <v>3323</v>
      </c>
      <c r="Q3749" s="1" t="s">
        <v>42</v>
      </c>
      <c r="S3749" s="1" t="s">
        <v>42</v>
      </c>
      <c r="T3749" s="1" t="s">
        <v>273</v>
      </c>
      <c r="V3749" s="5">
        <v>44312</v>
      </c>
      <c r="W3749" s="5">
        <v>44212</v>
      </c>
      <c r="X3749" s="1">
        <v>3750000</v>
      </c>
      <c r="Y3749" s="1">
        <v>3750000</v>
      </c>
      <c r="Z3749" s="5">
        <v>44212</v>
      </c>
      <c r="AA3749" s="1">
        <v>2385455</v>
      </c>
      <c r="AB3749" s="1" t="s">
        <v>2514</v>
      </c>
      <c r="AC3749" s="5">
        <v>44298</v>
      </c>
      <c r="AF3749" s="1">
        <v>10016</v>
      </c>
      <c r="AJ3749" s="1">
        <v>2018</v>
      </c>
      <c r="AK3749" s="1" t="s">
        <v>46</v>
      </c>
      <c r="AL3749" s="1">
        <v>42</v>
      </c>
    </row>
    <row r="3750" spans="1:38" x14ac:dyDescent="0.2">
      <c r="A3750" s="2" t="str">
        <f>HYPERLINK("https://www.compass.com/listing/30-east-31st-street-unit-10-manhattan-ny-10016/598057491634629409/","30 E 31st St, Unit 10")</f>
        <v>30 E 31st St, Unit 10</v>
      </c>
      <c r="B3750" s="2" t="str">
        <f t="shared" si="631"/>
        <v>30 East 31st Street</v>
      </c>
      <c r="C3750" s="1" t="s">
        <v>40</v>
      </c>
      <c r="D3750" s="1" t="s">
        <v>41</v>
      </c>
      <c r="E3750" s="3">
        <v>2120000</v>
      </c>
      <c r="F3750" s="1">
        <v>1264.16219439475</v>
      </c>
      <c r="G3750" s="1">
        <v>4</v>
      </c>
      <c r="H3750" s="1">
        <v>2</v>
      </c>
      <c r="I3750" s="1">
        <v>3</v>
      </c>
      <c r="J3750" s="1">
        <v>2.5</v>
      </c>
      <c r="K3750" s="1">
        <v>2</v>
      </c>
      <c r="L3750" s="1">
        <v>1</v>
      </c>
      <c r="M3750" s="4">
        <v>1677</v>
      </c>
      <c r="N3750" s="1">
        <v>2317</v>
      </c>
      <c r="O3750" s="1">
        <v>5420.03</v>
      </c>
      <c r="P3750" s="1">
        <v>3103</v>
      </c>
      <c r="Q3750" s="1" t="s">
        <v>42</v>
      </c>
      <c r="S3750" s="1" t="s">
        <v>42</v>
      </c>
      <c r="T3750" s="1" t="s">
        <v>273</v>
      </c>
      <c r="U3750" s="1">
        <v>124</v>
      </c>
      <c r="V3750" s="5">
        <v>44308</v>
      </c>
      <c r="W3750" s="5">
        <v>44076</v>
      </c>
      <c r="X3750" s="1">
        <v>2350000</v>
      </c>
      <c r="Y3750" s="1">
        <v>2180000</v>
      </c>
      <c r="Z3750" s="5">
        <v>44200</v>
      </c>
      <c r="AA3750" s="1">
        <v>2120000</v>
      </c>
      <c r="AB3750" s="1" t="s">
        <v>2515</v>
      </c>
      <c r="AC3750" s="5">
        <v>44293</v>
      </c>
      <c r="AF3750" s="1">
        <v>10016</v>
      </c>
      <c r="AJ3750" s="1">
        <v>2018</v>
      </c>
      <c r="AK3750" s="1" t="s">
        <v>46</v>
      </c>
      <c r="AL3750" s="1">
        <v>42</v>
      </c>
    </row>
    <row r="3751" spans="1:38" x14ac:dyDescent="0.2">
      <c r="A3751" s="2" t="str">
        <f>HYPERLINK("https://www.compass.com/listing/30-east-31st-street-unit-18-manhattan-ny-10016/461336558739015401/","30 E 31st St, Unit 18")</f>
        <v>30 E 31st St, Unit 18</v>
      </c>
      <c r="B3751" s="2" t="str">
        <f t="shared" si="631"/>
        <v>30 East 31st Street</v>
      </c>
      <c r="C3751" s="1" t="s">
        <v>40</v>
      </c>
      <c r="D3751" s="1" t="s">
        <v>41</v>
      </c>
      <c r="E3751" s="3">
        <v>2293813</v>
      </c>
      <c r="F3751" s="1">
        <v>1367.8070960047701</v>
      </c>
      <c r="G3751" s="1">
        <v>4</v>
      </c>
      <c r="H3751" s="1">
        <v>2</v>
      </c>
      <c r="I3751" s="1">
        <v>3</v>
      </c>
      <c r="J3751" s="1">
        <v>2.5</v>
      </c>
      <c r="K3751" s="1">
        <v>2</v>
      </c>
      <c r="L3751" s="1">
        <v>1</v>
      </c>
      <c r="M3751" s="4">
        <v>1677</v>
      </c>
      <c r="N3751" s="1">
        <v>2548.71</v>
      </c>
      <c r="O3751" s="1">
        <v>5962.05</v>
      </c>
      <c r="P3751" s="1">
        <v>3413.3333333333298</v>
      </c>
      <c r="Q3751" s="1" t="s">
        <v>42</v>
      </c>
      <c r="S3751" s="1" t="s">
        <v>42</v>
      </c>
      <c r="T3751" s="1" t="s">
        <v>273</v>
      </c>
      <c r="U3751" s="1">
        <v>185</v>
      </c>
      <c r="V3751" s="5">
        <v>44250</v>
      </c>
      <c r="W3751" s="5">
        <v>43887</v>
      </c>
      <c r="X3751" s="1">
        <v>3465000</v>
      </c>
      <c r="Y3751" s="1">
        <v>2410000</v>
      </c>
      <c r="Z3751" s="5">
        <v>44167</v>
      </c>
      <c r="AA3751" s="1">
        <v>2293812.5</v>
      </c>
      <c r="AB3751" s="1" t="s">
        <v>2516</v>
      </c>
      <c r="AC3751" s="5">
        <v>44228</v>
      </c>
      <c r="AF3751" s="1">
        <v>10016</v>
      </c>
      <c r="AJ3751" s="1">
        <v>2018</v>
      </c>
      <c r="AK3751" s="1" t="s">
        <v>46</v>
      </c>
      <c r="AL3751" s="1">
        <v>42</v>
      </c>
    </row>
    <row r="3752" spans="1:38" x14ac:dyDescent="0.2">
      <c r="A3752" s="2" t="str">
        <f>HYPERLINK("https://www.compass.com/listing/277-5th-avenue-unit-40b-manhattan-ny-10016/596578141185869769/","277 5th Ave, Unit 40B")</f>
        <v>277 5th Ave, Unit 40B</v>
      </c>
      <c r="B3752" s="2" t="str">
        <f t="shared" ref="B3752:B3753" si="632">HYPERLINK("https://www.compass.com/building/277-fifth-avenue-manhattan-ny/281939285475645317/","277 FIFTH AVENUE")</f>
        <v>277 FIFTH AVENUE</v>
      </c>
      <c r="C3752" s="1" t="s">
        <v>40</v>
      </c>
      <c r="D3752" s="1" t="s">
        <v>41</v>
      </c>
      <c r="E3752" s="3">
        <v>3092500</v>
      </c>
      <c r="F3752" s="1">
        <v>2417.9046129788899</v>
      </c>
      <c r="G3752" s="1">
        <v>4</v>
      </c>
      <c r="H3752" s="1">
        <v>2</v>
      </c>
      <c r="I3752" s="1">
        <v>2</v>
      </c>
      <c r="J3752" s="1">
        <v>2</v>
      </c>
      <c r="K3752" s="1">
        <v>2</v>
      </c>
      <c r="M3752" s="4">
        <v>1279</v>
      </c>
      <c r="N3752" s="1">
        <v>1844</v>
      </c>
      <c r="O3752" s="1">
        <v>3851</v>
      </c>
      <c r="P3752" s="1">
        <v>2007</v>
      </c>
      <c r="Q3752" s="1" t="s">
        <v>42</v>
      </c>
      <c r="S3752" s="1" t="s">
        <v>42</v>
      </c>
      <c r="T3752" s="1" t="s">
        <v>273</v>
      </c>
      <c r="V3752" s="5">
        <v>44419</v>
      </c>
      <c r="W3752" s="5">
        <v>44074</v>
      </c>
      <c r="X3752" s="1">
        <v>3900000</v>
      </c>
      <c r="Y3752" s="1">
        <v>3900000</v>
      </c>
      <c r="Z3752" s="5">
        <v>44074</v>
      </c>
      <c r="AA3752" s="1">
        <v>3092500</v>
      </c>
      <c r="AB3752" s="1" t="s">
        <v>2517</v>
      </c>
      <c r="AC3752" s="5">
        <v>44358</v>
      </c>
      <c r="AF3752" s="1">
        <v>10016</v>
      </c>
      <c r="AI3752" s="1" t="s">
        <v>118</v>
      </c>
      <c r="AJ3752" s="1">
        <v>2019</v>
      </c>
      <c r="AK3752" s="1" t="s">
        <v>49</v>
      </c>
      <c r="AL3752" s="1">
        <v>130</v>
      </c>
    </row>
    <row r="3753" spans="1:38" x14ac:dyDescent="0.2">
      <c r="A3753" s="2" t="str">
        <f>HYPERLINK("https://www.compass.com/listing/277-5th-avenue-unit-41b-manhattan-ny-10016/165919695474587057/","277 5th Ave, Unit 41B")</f>
        <v>277 5th Ave, Unit 41B</v>
      </c>
      <c r="B3753" s="2" t="str">
        <f t="shared" si="632"/>
        <v>277 FIFTH AVENUE</v>
      </c>
      <c r="C3753" s="1" t="s">
        <v>40</v>
      </c>
      <c r="D3753" s="1" t="s">
        <v>41</v>
      </c>
      <c r="E3753" s="3">
        <v>3550000</v>
      </c>
      <c r="F3753" s="1">
        <v>2494.7294448348498</v>
      </c>
      <c r="G3753" s="1">
        <v>4</v>
      </c>
      <c r="H3753" s="1">
        <v>2</v>
      </c>
      <c r="I3753" s="1">
        <v>2</v>
      </c>
      <c r="J3753" s="1">
        <v>2</v>
      </c>
      <c r="K3753" s="1">
        <v>2</v>
      </c>
      <c r="M3753" s="4">
        <v>1423</v>
      </c>
      <c r="N3753" s="1">
        <v>2051</v>
      </c>
      <c r="O3753" s="1">
        <v>4284</v>
      </c>
      <c r="P3753" s="1">
        <v>2233</v>
      </c>
      <c r="Q3753" s="1" t="s">
        <v>42</v>
      </c>
      <c r="S3753" s="1" t="s">
        <v>42</v>
      </c>
      <c r="T3753" s="1" t="s">
        <v>273</v>
      </c>
      <c r="V3753" s="5">
        <v>44286</v>
      </c>
      <c r="W3753" s="5">
        <v>43480</v>
      </c>
      <c r="X3753" s="1">
        <v>4390000</v>
      </c>
      <c r="Y3753" s="1">
        <v>4390000</v>
      </c>
      <c r="Z3753" s="5">
        <v>44260</v>
      </c>
      <c r="AA3753" s="1">
        <v>3550000</v>
      </c>
      <c r="AB3753" s="1" t="s">
        <v>2518</v>
      </c>
      <c r="AC3753" s="5">
        <v>44285</v>
      </c>
      <c r="AF3753" s="1">
        <v>10016</v>
      </c>
      <c r="AI3753" s="1" t="s">
        <v>118</v>
      </c>
      <c r="AJ3753" s="1">
        <v>2019</v>
      </c>
      <c r="AK3753" s="1" t="s">
        <v>46</v>
      </c>
      <c r="AL3753" s="1">
        <v>130</v>
      </c>
    </row>
    <row r="3754" spans="1:38" x14ac:dyDescent="0.2">
      <c r="A3754" s="2" t="str">
        <f>HYPERLINK("https://www.compass.com/listing/300-east-64th-street-unit-29b-manhattan-ny-10065/181056876652370881/","300 E 64th St, Unit 29B")</f>
        <v>300 E 64th St, Unit 29B</v>
      </c>
      <c r="B3754" s="2" t="str">
        <f t="shared" ref="B3754:B3756" si="633">HYPERLINK("https://www.compass.com/building/300-e-64th-st-manhattan-ny-10065/282038617012979925/","300 E 64th St")</f>
        <v>300 E 64th St</v>
      </c>
      <c r="C3754" s="1" t="s">
        <v>82</v>
      </c>
      <c r="D3754" s="1" t="s">
        <v>41</v>
      </c>
      <c r="E3754" s="3">
        <v>2275000</v>
      </c>
      <c r="F3754" s="1">
        <v>1898.9983305509099</v>
      </c>
      <c r="G3754" s="1">
        <v>4</v>
      </c>
      <c r="H3754" s="1">
        <v>2</v>
      </c>
      <c r="I3754" s="1">
        <v>2</v>
      </c>
      <c r="J3754" s="1">
        <v>2</v>
      </c>
      <c r="M3754" s="4">
        <v>1198</v>
      </c>
      <c r="N3754" s="1">
        <v>1349</v>
      </c>
      <c r="O3754" s="1">
        <v>3333</v>
      </c>
      <c r="P3754" s="1">
        <v>1984</v>
      </c>
      <c r="Q3754" s="1" t="s">
        <v>42</v>
      </c>
      <c r="S3754" s="1" t="s">
        <v>42</v>
      </c>
      <c r="T3754" s="1" t="s">
        <v>273</v>
      </c>
      <c r="V3754" s="5">
        <v>43672</v>
      </c>
      <c r="W3754" s="5">
        <v>42663</v>
      </c>
      <c r="X3754" s="1">
        <v>2275000</v>
      </c>
      <c r="Y3754" s="1">
        <v>2275000</v>
      </c>
      <c r="Z3754" s="5">
        <v>42663</v>
      </c>
      <c r="AA3754" s="1">
        <v>2275000</v>
      </c>
      <c r="AB3754" s="1" t="s">
        <v>2519</v>
      </c>
      <c r="AC3754" s="5">
        <v>42703</v>
      </c>
      <c r="AF3754" s="1">
        <v>10065</v>
      </c>
      <c r="AI3754" s="1" t="s">
        <v>189</v>
      </c>
      <c r="AJ3754" s="1">
        <v>1996</v>
      </c>
      <c r="AK3754" s="1" t="s">
        <v>46</v>
      </c>
      <c r="AL3754" s="1">
        <v>103</v>
      </c>
    </row>
    <row r="3755" spans="1:38" x14ac:dyDescent="0.2">
      <c r="A3755" s="2" t="str">
        <f>HYPERLINK("https://www.compass.com/listing/300-east-64th-street-unit-27a-manhattan-ny-10065/29415747834910529/","300 E 64th St, Unit 27A")</f>
        <v>300 E 64th St, Unit 27A</v>
      </c>
      <c r="B3755" s="2" t="str">
        <f t="shared" si="633"/>
        <v>300 E 64th St</v>
      </c>
      <c r="C3755" s="1" t="s">
        <v>82</v>
      </c>
      <c r="D3755" s="1" t="s">
        <v>41</v>
      </c>
      <c r="E3755" s="3">
        <v>2318441</v>
      </c>
      <c r="F3755" s="1">
        <v>1884.9113821138201</v>
      </c>
      <c r="G3755" s="1">
        <v>4</v>
      </c>
      <c r="H3755" s="1">
        <v>2</v>
      </c>
      <c r="I3755" s="1">
        <v>2</v>
      </c>
      <c r="J3755" s="1">
        <v>2</v>
      </c>
      <c r="M3755" s="4">
        <v>1230</v>
      </c>
      <c r="N3755" s="1">
        <v>1384</v>
      </c>
      <c r="O3755" s="1">
        <v>3356</v>
      </c>
      <c r="P3755" s="1">
        <v>1972</v>
      </c>
      <c r="Q3755" s="1" t="s">
        <v>42</v>
      </c>
      <c r="S3755" s="1" t="s">
        <v>42</v>
      </c>
      <c r="T3755" s="1" t="s">
        <v>273</v>
      </c>
      <c r="V3755" s="5">
        <v>43665</v>
      </c>
      <c r="W3755" s="5">
        <v>42498</v>
      </c>
      <c r="X3755" s="1">
        <v>2295000</v>
      </c>
      <c r="Y3755" s="1">
        <v>2295000</v>
      </c>
      <c r="Z3755" s="5">
        <v>42498</v>
      </c>
      <c r="AA3755" s="1">
        <v>2318441</v>
      </c>
      <c r="AB3755" s="1" t="s">
        <v>2520</v>
      </c>
      <c r="AC3755" s="5">
        <v>42508</v>
      </c>
      <c r="AF3755" s="1">
        <v>10065</v>
      </c>
      <c r="AI3755" s="1" t="s">
        <v>189</v>
      </c>
      <c r="AJ3755" s="1">
        <v>1996</v>
      </c>
      <c r="AK3755" s="1" t="s">
        <v>49</v>
      </c>
      <c r="AL3755" s="1">
        <v>103</v>
      </c>
    </row>
    <row r="3756" spans="1:38" x14ac:dyDescent="0.2">
      <c r="A3756" s="2" t="str">
        <f>HYPERLINK("https://www.compass.com/listing/300-east-64th-street-unit-29a-manhattan-ny-10065/29415750552819553/","300 E 64th St, Unit 29A")</f>
        <v>300 E 64th St, Unit 29A</v>
      </c>
      <c r="B3756" s="2" t="str">
        <f t="shared" si="633"/>
        <v>300 E 64th St</v>
      </c>
      <c r="C3756" s="1" t="s">
        <v>82</v>
      </c>
      <c r="D3756" s="1" t="s">
        <v>41</v>
      </c>
      <c r="E3756" s="3">
        <v>2700000</v>
      </c>
      <c r="F3756" s="1">
        <v>2195.1219512195098</v>
      </c>
      <c r="G3756" s="1">
        <v>4</v>
      </c>
      <c r="H3756" s="1">
        <v>2</v>
      </c>
      <c r="I3756" s="1">
        <v>2</v>
      </c>
      <c r="J3756" s="1">
        <v>2</v>
      </c>
      <c r="M3756" s="4">
        <v>1230</v>
      </c>
      <c r="N3756" s="1">
        <v>1384</v>
      </c>
      <c r="O3756" s="1">
        <v>3356</v>
      </c>
      <c r="P3756" s="1">
        <v>1972</v>
      </c>
      <c r="Q3756" s="1" t="s">
        <v>42</v>
      </c>
      <c r="S3756" s="1" t="s">
        <v>42</v>
      </c>
      <c r="T3756" s="1" t="s">
        <v>273</v>
      </c>
      <c r="V3756" s="5">
        <v>43654</v>
      </c>
      <c r="W3756" s="5">
        <v>42056</v>
      </c>
      <c r="X3756" s="1">
        <v>2700000</v>
      </c>
      <c r="Y3756" s="1">
        <v>2700000</v>
      </c>
      <c r="Z3756" s="5">
        <v>42056</v>
      </c>
      <c r="AA3756" s="1">
        <v>2700000</v>
      </c>
      <c r="AB3756" s="1" t="s">
        <v>2521</v>
      </c>
      <c r="AC3756" s="5">
        <v>42185</v>
      </c>
      <c r="AF3756" s="1">
        <v>10065</v>
      </c>
      <c r="AI3756" s="1" t="s">
        <v>189</v>
      </c>
      <c r="AJ3756" s="1">
        <v>1996</v>
      </c>
      <c r="AK3756" s="1" t="s">
        <v>49</v>
      </c>
      <c r="AL3756" s="1">
        <v>103</v>
      </c>
    </row>
    <row r="3757" spans="1:38" x14ac:dyDescent="0.2">
      <c r="A3757" s="2" t="str">
        <f>HYPERLINK("https://www.compass.com/listing/505-513-west-43rd-street-unit-5g-manhattan-ny-10036/775091874475171665/","505-513 W 43rd St, Unit 5G")</f>
        <v>505-513 W 43rd St, Unit 5G</v>
      </c>
      <c r="B3757" s="2" t="str">
        <f>HYPERLINK("https://www.compass.com/building/charlie-west-manhattan-ny/292918554372621509/","Charlie West")</f>
        <v>Charlie West</v>
      </c>
      <c r="C3757" s="1" t="s">
        <v>90</v>
      </c>
      <c r="D3757" s="1" t="s">
        <v>41</v>
      </c>
      <c r="E3757" s="3">
        <v>35490451</v>
      </c>
      <c r="F3757" s="1">
        <v>30281.954803754201</v>
      </c>
      <c r="H3757" s="1">
        <v>2</v>
      </c>
      <c r="J3757" s="1">
        <v>2</v>
      </c>
      <c r="M3757" s="4">
        <v>1172</v>
      </c>
      <c r="N3757" s="1">
        <v>1209</v>
      </c>
      <c r="O3757" s="1">
        <v>2277</v>
      </c>
      <c r="Q3757" s="1" t="s">
        <v>271</v>
      </c>
      <c r="S3757" s="1" t="s">
        <v>271</v>
      </c>
      <c r="T3757" s="1" t="s">
        <v>273</v>
      </c>
      <c r="AA3757" s="1">
        <v>35490451.030000001</v>
      </c>
      <c r="AB3757" s="1" t="s">
        <v>2522</v>
      </c>
      <c r="AC3757" s="5">
        <v>44306</v>
      </c>
      <c r="AF3757" s="1">
        <v>10036</v>
      </c>
      <c r="AI3757" s="1" t="s">
        <v>118</v>
      </c>
      <c r="AJ3757" s="1">
        <v>2019</v>
      </c>
      <c r="AK3757" s="1" t="s">
        <v>49</v>
      </c>
      <c r="AL3757" s="1">
        <v>123</v>
      </c>
    </row>
    <row r="3758" spans="1:38" x14ac:dyDescent="0.2">
      <c r="A3758" s="2" t="str">
        <f>HYPERLINK("https://www.compass.com/listing/277-5th-avenue-unit-15a-manhattan-ny-10016/634518182534853545/","277 5th Ave, Unit 15A")</f>
        <v>277 5th Ave, Unit 15A</v>
      </c>
      <c r="B3758" s="2" t="str">
        <f>HYPERLINK("https://www.compass.com/building/277-fifth-avenue-manhattan-ny/281939285475645317/","277 FIFTH AVENUE")</f>
        <v>277 FIFTH AVENUE</v>
      </c>
      <c r="C3758" s="1" t="s">
        <v>40</v>
      </c>
      <c r="D3758" s="1" t="s">
        <v>41</v>
      </c>
      <c r="E3758" s="3">
        <v>2630000</v>
      </c>
      <c r="F3758" s="1">
        <v>1958.30230826507</v>
      </c>
      <c r="G3758" s="1">
        <v>4</v>
      </c>
      <c r="H3758" s="1">
        <v>2</v>
      </c>
      <c r="I3758" s="1">
        <v>2</v>
      </c>
      <c r="J3758" s="1">
        <v>2</v>
      </c>
      <c r="K3758" s="1">
        <v>2</v>
      </c>
      <c r="M3758" s="4">
        <v>1343</v>
      </c>
      <c r="N3758" s="1">
        <v>1976</v>
      </c>
      <c r="O3758" s="1">
        <v>3691</v>
      </c>
      <c r="P3758" s="1">
        <v>1715</v>
      </c>
      <c r="Q3758" s="1" t="s">
        <v>42</v>
      </c>
      <c r="S3758" s="1" t="s">
        <v>42</v>
      </c>
      <c r="T3758" s="1" t="s">
        <v>273</v>
      </c>
      <c r="U3758" s="1">
        <v>145</v>
      </c>
      <c r="V3758" s="5">
        <v>44323</v>
      </c>
      <c r="W3758" s="5">
        <v>44125</v>
      </c>
      <c r="X3758" s="1">
        <v>2995000</v>
      </c>
      <c r="Y3758" s="1">
        <v>2995000</v>
      </c>
      <c r="Z3758" s="5">
        <v>44271</v>
      </c>
      <c r="AA3758" s="1">
        <v>2630000</v>
      </c>
      <c r="AB3758" s="1" t="s">
        <v>2523</v>
      </c>
      <c r="AC3758" s="5">
        <v>44312</v>
      </c>
      <c r="AF3758" s="1">
        <v>10016</v>
      </c>
      <c r="AI3758" s="1" t="s">
        <v>118</v>
      </c>
      <c r="AJ3758" s="1">
        <v>2019</v>
      </c>
      <c r="AK3758" s="1" t="s">
        <v>49</v>
      </c>
      <c r="AL3758" s="1">
        <v>130</v>
      </c>
    </row>
    <row r="3759" spans="1:38" x14ac:dyDescent="0.2">
      <c r="A3759" s="2" t="str">
        <f>HYPERLINK("https://www.compass.com/listing/505-513-west-43rd-street-unit-phk-manhattan-ny-10036/317399886391418225/","505-513 W 43rd St, Unit PHK")</f>
        <v>505-513 W 43rd St, Unit PHK</v>
      </c>
      <c r="B3759" s="2" t="str">
        <f>HYPERLINK("https://www.compass.com/building/charlie-west-manhattan-ny/292918554372621509/","Charlie West")</f>
        <v>Charlie West</v>
      </c>
      <c r="C3759" s="1" t="s">
        <v>90</v>
      </c>
      <c r="D3759" s="1" t="s">
        <v>41</v>
      </c>
      <c r="E3759" s="3">
        <v>4529461</v>
      </c>
      <c r="F3759" s="1">
        <v>1965.0590021691901</v>
      </c>
      <c r="G3759" s="1">
        <v>6</v>
      </c>
      <c r="H3759" s="1">
        <v>3</v>
      </c>
      <c r="I3759" s="1">
        <v>4</v>
      </c>
      <c r="J3759" s="1">
        <v>3.5</v>
      </c>
      <c r="K3759" s="1">
        <v>3</v>
      </c>
      <c r="L3759" s="1">
        <v>1</v>
      </c>
      <c r="M3759" s="4">
        <v>2305</v>
      </c>
      <c r="N3759" s="1">
        <v>2550</v>
      </c>
      <c r="O3759" s="1">
        <v>4707</v>
      </c>
      <c r="Q3759" s="1" t="s">
        <v>158</v>
      </c>
      <c r="S3759" s="1" t="s">
        <v>158</v>
      </c>
      <c r="T3759" s="1" t="s">
        <v>273</v>
      </c>
      <c r="U3759" s="1">
        <v>46</v>
      </c>
      <c r="V3759" s="5">
        <v>43901</v>
      </c>
      <c r="W3759" s="5">
        <v>43690</v>
      </c>
      <c r="X3759" s="1">
        <v>5075000</v>
      </c>
      <c r="Y3759" s="1">
        <v>5075000</v>
      </c>
      <c r="Z3759" s="5">
        <v>43736</v>
      </c>
      <c r="AA3759" s="1">
        <v>4529461</v>
      </c>
      <c r="AB3759" s="1" t="s">
        <v>2524</v>
      </c>
      <c r="AC3759" s="5">
        <v>43888</v>
      </c>
      <c r="AF3759" s="1">
        <v>10036</v>
      </c>
      <c r="AI3759" s="1" t="s">
        <v>211</v>
      </c>
      <c r="AJ3759" s="1">
        <v>2019</v>
      </c>
      <c r="AK3759" s="1" t="s">
        <v>46</v>
      </c>
      <c r="AL3759" s="1">
        <v>123</v>
      </c>
    </row>
    <row r="3760" spans="1:38" x14ac:dyDescent="0.2">
      <c r="A3760" s="2" t="str">
        <f>HYPERLINK("https://www.compass.com/listing/15-west-61st-street-unit-27c-manhattan-ny-10023/841525620047989473/","15 W 61st St, Unit 27C")</f>
        <v>15 W 61st St, Unit 27C</v>
      </c>
      <c r="B3760" s="2" t="str">
        <f t="shared" ref="B3760:B3762" si="634">HYPERLINK("https://www.compass.com/building/the-park-loggia-manhattan-ny/292861833130357557/","The Park Loggia")</f>
        <v>The Park Loggia</v>
      </c>
      <c r="C3760" s="1" t="s">
        <v>57</v>
      </c>
      <c r="D3760" s="1" t="s">
        <v>41</v>
      </c>
      <c r="E3760" s="3">
        <v>2062900</v>
      </c>
      <c r="F3760" s="1">
        <v>2467.5837320574101</v>
      </c>
      <c r="H3760" s="1">
        <v>1</v>
      </c>
      <c r="J3760" s="1">
        <v>1</v>
      </c>
      <c r="K3760" s="1">
        <v>1</v>
      </c>
      <c r="M3760" s="1">
        <v>836</v>
      </c>
      <c r="N3760" s="1">
        <v>836</v>
      </c>
      <c r="O3760" s="1">
        <v>1663</v>
      </c>
      <c r="P3760" s="1">
        <v>827</v>
      </c>
      <c r="Q3760" s="1" t="s">
        <v>42</v>
      </c>
      <c r="S3760" s="1" t="s">
        <v>42</v>
      </c>
      <c r="T3760" s="1" t="s">
        <v>273</v>
      </c>
      <c r="AA3760" s="1">
        <v>2062900</v>
      </c>
      <c r="AB3760" s="1" t="s">
        <v>2525</v>
      </c>
      <c r="AC3760" s="5">
        <v>44074</v>
      </c>
      <c r="AF3760" s="1">
        <v>10023</v>
      </c>
      <c r="AI3760" s="1" t="s">
        <v>65</v>
      </c>
      <c r="AJ3760" s="1">
        <v>2019</v>
      </c>
      <c r="AK3760" s="1" t="s">
        <v>55</v>
      </c>
      <c r="AL3760" s="1">
        <v>172</v>
      </c>
    </row>
    <row r="3761" spans="1:38" x14ac:dyDescent="0.2">
      <c r="A3761" s="2" t="str">
        <f>HYPERLINK("https://www.compass.com/listing/15-west-61st-street-unit-6i-manhattan-ny-10023/841526273612299977/","15 W 61st St, Unit 6I")</f>
        <v>15 W 61st St, Unit 6I</v>
      </c>
      <c r="B3761" s="2" t="str">
        <f t="shared" si="634"/>
        <v>The Park Loggia</v>
      </c>
      <c r="C3761" s="1" t="s">
        <v>57</v>
      </c>
      <c r="D3761" s="1" t="s">
        <v>41</v>
      </c>
      <c r="E3761" s="3">
        <v>1756661</v>
      </c>
      <c r="F3761" s="1">
        <v>2332.8827888446199</v>
      </c>
      <c r="H3761" s="1">
        <v>1</v>
      </c>
      <c r="J3761" s="1">
        <v>1</v>
      </c>
      <c r="K3761" s="1">
        <v>1</v>
      </c>
      <c r="M3761" s="1">
        <v>753</v>
      </c>
      <c r="N3761" s="1">
        <v>774</v>
      </c>
      <c r="O3761" s="1">
        <v>1519</v>
      </c>
      <c r="P3761" s="1">
        <v>745</v>
      </c>
      <c r="Q3761" s="1" t="s">
        <v>42</v>
      </c>
      <c r="S3761" s="1" t="s">
        <v>42</v>
      </c>
      <c r="T3761" s="1" t="s">
        <v>273</v>
      </c>
      <c r="AA3761" s="1">
        <v>1756660.74</v>
      </c>
      <c r="AB3761" s="1" t="s">
        <v>2526</v>
      </c>
      <c r="AC3761" s="5">
        <v>43924</v>
      </c>
      <c r="AF3761" s="1">
        <v>10023</v>
      </c>
      <c r="AI3761" s="1" t="s">
        <v>65</v>
      </c>
      <c r="AJ3761" s="1">
        <v>2019</v>
      </c>
      <c r="AK3761" s="1" t="s">
        <v>55</v>
      </c>
      <c r="AL3761" s="1">
        <v>172</v>
      </c>
    </row>
    <row r="3762" spans="1:38" x14ac:dyDescent="0.2">
      <c r="A3762" s="2" t="str">
        <f>HYPERLINK("https://www.compass.com/listing/15-west-61st-street-unit-10g-manhattan-ny-10023/841531513933219897/","15 W 61st St, Unit 10G")</f>
        <v>15 W 61st St, Unit 10G</v>
      </c>
      <c r="B3762" s="2" t="str">
        <f t="shared" si="634"/>
        <v>The Park Loggia</v>
      </c>
      <c r="C3762" s="1" t="s">
        <v>57</v>
      </c>
      <c r="D3762" s="1" t="s">
        <v>41</v>
      </c>
      <c r="E3762" s="3">
        <v>1628030</v>
      </c>
      <c r="F3762" s="1">
        <v>2493.1540735068902</v>
      </c>
      <c r="H3762" s="1">
        <v>1</v>
      </c>
      <c r="J3762" s="1">
        <v>1</v>
      </c>
      <c r="K3762" s="1">
        <v>1</v>
      </c>
      <c r="M3762" s="1">
        <v>653</v>
      </c>
      <c r="N3762" s="1">
        <v>672</v>
      </c>
      <c r="O3762" s="1">
        <v>1318</v>
      </c>
      <c r="P3762" s="1">
        <v>646</v>
      </c>
      <c r="Q3762" s="1" t="s">
        <v>42</v>
      </c>
      <c r="S3762" s="1" t="s">
        <v>42</v>
      </c>
      <c r="T3762" s="1" t="s">
        <v>273</v>
      </c>
      <c r="AA3762" s="1">
        <v>1628029.61</v>
      </c>
      <c r="AB3762" s="1" t="s">
        <v>2527</v>
      </c>
      <c r="AC3762" s="5">
        <v>43885</v>
      </c>
      <c r="AF3762" s="1">
        <v>10023</v>
      </c>
      <c r="AI3762" s="1" t="s">
        <v>65</v>
      </c>
      <c r="AJ3762" s="1">
        <v>2019</v>
      </c>
      <c r="AK3762" s="1" t="s">
        <v>55</v>
      </c>
      <c r="AL3762" s="1">
        <v>172</v>
      </c>
    </row>
    <row r="3763" spans="1:38" x14ac:dyDescent="0.2">
      <c r="A3763" s="2" t="str">
        <f>HYPERLINK("https://www.compass.com/listing/301-east-81st-street-unit-4b-manhattan-ny-10028/684551458842112177/","301 E 81st St, Unit 4B")</f>
        <v>301 E 81st St, Unit 4B</v>
      </c>
      <c r="B3763" s="2" t="str">
        <f>HYPERLINK("https://www.compass.com/building/beckford-house-manhattan-ny/293531205712863989/","Beckford House")</f>
        <v>Beckford House</v>
      </c>
      <c r="C3763" s="1" t="s">
        <v>82</v>
      </c>
      <c r="D3763" s="1" t="s">
        <v>41</v>
      </c>
      <c r="E3763" s="3">
        <v>2425000</v>
      </c>
      <c r="F3763" s="1">
        <v>1752.1676300577999</v>
      </c>
      <c r="H3763" s="1">
        <v>2</v>
      </c>
      <c r="J3763" s="1">
        <v>2.5</v>
      </c>
      <c r="K3763" s="1">
        <v>2</v>
      </c>
      <c r="L3763" s="1">
        <v>1</v>
      </c>
      <c r="M3763" s="4">
        <v>1384</v>
      </c>
      <c r="N3763" s="1">
        <v>1956</v>
      </c>
      <c r="O3763" s="1">
        <v>4081</v>
      </c>
      <c r="P3763" s="1">
        <v>2125</v>
      </c>
      <c r="Q3763" s="1" t="s">
        <v>42</v>
      </c>
      <c r="S3763" s="1" t="s">
        <v>42</v>
      </c>
      <c r="T3763" s="1" t="s">
        <v>273</v>
      </c>
      <c r="AA3763" s="1">
        <v>2425000</v>
      </c>
      <c r="AB3763" s="1" t="s">
        <v>2528</v>
      </c>
      <c r="AC3763" s="5">
        <v>44166</v>
      </c>
      <c r="AF3763" s="1">
        <v>10028</v>
      </c>
      <c r="AI3763" s="1" t="s">
        <v>140</v>
      </c>
      <c r="AJ3763" s="1">
        <v>2019</v>
      </c>
      <c r="AK3763" s="1" t="s">
        <v>202</v>
      </c>
      <c r="AL3763" s="1">
        <v>0</v>
      </c>
    </row>
    <row r="3764" spans="1:38" x14ac:dyDescent="0.2">
      <c r="A3764" s="2" t="str">
        <f>HYPERLINK("https://www.compass.com/listing/277-5th-avenue-unit-20d-manhattan-ny-10016/693833428488410185/","277 5th Ave, Unit 20D")</f>
        <v>277 5th Ave, Unit 20D</v>
      </c>
      <c r="B3764" s="2" t="str">
        <f>HYPERLINK("https://www.compass.com/building/277-fifth-avenue-manhattan-ny/281939285475645317/","277 FIFTH AVENUE")</f>
        <v>277 FIFTH AVENUE</v>
      </c>
      <c r="C3764" s="1" t="s">
        <v>40</v>
      </c>
      <c r="D3764" s="1" t="s">
        <v>41</v>
      </c>
      <c r="E3764" s="3">
        <v>2902183</v>
      </c>
      <c r="F3764" s="1">
        <v>2113.75310269482</v>
      </c>
      <c r="G3764" s="1">
        <v>4</v>
      </c>
      <c r="H3764" s="1">
        <v>2</v>
      </c>
      <c r="I3764" s="1">
        <v>2</v>
      </c>
      <c r="J3764" s="1">
        <v>2</v>
      </c>
      <c r="K3764" s="1">
        <v>2</v>
      </c>
      <c r="M3764" s="4">
        <v>1373</v>
      </c>
      <c r="N3764" s="1">
        <v>1980</v>
      </c>
      <c r="O3764" s="1">
        <v>3733</v>
      </c>
      <c r="P3764" s="1">
        <v>1753</v>
      </c>
      <c r="Q3764" s="1" t="s">
        <v>42</v>
      </c>
      <c r="S3764" s="1" t="s">
        <v>42</v>
      </c>
      <c r="T3764" s="1" t="s">
        <v>273</v>
      </c>
      <c r="U3764" s="1">
        <v>96</v>
      </c>
      <c r="V3764" s="5">
        <v>44424</v>
      </c>
      <c r="W3764" s="5">
        <v>44208</v>
      </c>
      <c r="X3764" s="1">
        <v>2900000</v>
      </c>
      <c r="Y3764" s="1">
        <v>2900000</v>
      </c>
      <c r="Z3764" s="5">
        <v>44305</v>
      </c>
      <c r="AA3764" s="1">
        <v>2902183.01</v>
      </c>
      <c r="AB3764" s="1" t="s">
        <v>2469</v>
      </c>
      <c r="AC3764" s="5">
        <v>44333</v>
      </c>
      <c r="AF3764" s="1">
        <v>10016</v>
      </c>
      <c r="AI3764" s="1" t="s">
        <v>118</v>
      </c>
      <c r="AJ3764" s="1">
        <v>2019</v>
      </c>
      <c r="AK3764" s="1" t="s">
        <v>49</v>
      </c>
      <c r="AL3764" s="1">
        <v>130</v>
      </c>
    </row>
    <row r="3765" spans="1:38" x14ac:dyDescent="0.2">
      <c r="A3765" s="2" t="str">
        <f>HYPERLINK("https://www.compass.com/listing/300-east-64th-street-unit-phb-manhattan-ny-10065/29415752331259137/","300 E 64th St, Unit PHB")</f>
        <v>300 E 64th St, Unit PHB</v>
      </c>
      <c r="B3765" s="2" t="str">
        <f t="shared" ref="B3765:B3766" si="635">HYPERLINK("https://www.compass.com/building/300-e-64th-st-manhattan-ny-10065/282038617012979925/","300 E 64th St")</f>
        <v>300 E 64th St</v>
      </c>
      <c r="C3765" s="1" t="s">
        <v>82</v>
      </c>
      <c r="D3765" s="1" t="s">
        <v>41</v>
      </c>
      <c r="E3765" s="3">
        <v>2344475</v>
      </c>
      <c r="F3765" s="1">
        <v>1956.9908180300499</v>
      </c>
      <c r="G3765" s="1">
        <v>4</v>
      </c>
      <c r="H3765" s="1">
        <v>2</v>
      </c>
      <c r="I3765" s="1">
        <v>2</v>
      </c>
      <c r="J3765" s="1">
        <v>2</v>
      </c>
      <c r="K3765" s="1">
        <v>2</v>
      </c>
      <c r="M3765" s="4">
        <v>1198</v>
      </c>
      <c r="N3765" s="1">
        <v>1348</v>
      </c>
      <c r="O3765" s="1">
        <v>3406</v>
      </c>
      <c r="P3765" s="1">
        <v>2058</v>
      </c>
      <c r="Q3765" s="1" t="s">
        <v>42</v>
      </c>
      <c r="S3765" s="1" t="s">
        <v>42</v>
      </c>
      <c r="T3765" s="1" t="s">
        <v>273</v>
      </c>
      <c r="U3765" s="1">
        <v>1348</v>
      </c>
      <c r="V3765" s="5">
        <v>44365</v>
      </c>
      <c r="W3765" s="5">
        <v>41650</v>
      </c>
      <c r="X3765" s="1">
        <v>2350000</v>
      </c>
      <c r="Y3765" s="1">
        <v>2350000</v>
      </c>
      <c r="Z3765" s="5">
        <v>42998</v>
      </c>
      <c r="AA3765" s="1">
        <v>2344475</v>
      </c>
      <c r="AB3765" s="1" t="s">
        <v>2529</v>
      </c>
      <c r="AC3765" s="5">
        <v>43039</v>
      </c>
      <c r="AF3765" s="1">
        <v>10065</v>
      </c>
      <c r="AI3765" s="1" t="s">
        <v>189</v>
      </c>
      <c r="AJ3765" s="1">
        <v>1996</v>
      </c>
      <c r="AK3765" s="1" t="s">
        <v>49</v>
      </c>
      <c r="AL3765" s="1">
        <v>103</v>
      </c>
    </row>
    <row r="3766" spans="1:38" x14ac:dyDescent="0.2">
      <c r="A3766" s="2" t="str">
        <f>HYPERLINK("https://www.compass.com/listing/300-east-64th-street-unit-24a-manhattan-ny-10065/29415744001371249/","300 E 64th St, Unit 24A")</f>
        <v>300 E 64th St, Unit 24A</v>
      </c>
      <c r="B3766" s="2" t="str">
        <f t="shared" si="635"/>
        <v>300 E 64th St</v>
      </c>
      <c r="C3766" s="1" t="s">
        <v>82</v>
      </c>
      <c r="D3766" s="1" t="s">
        <v>41</v>
      </c>
      <c r="E3766" s="3">
        <v>2195000</v>
      </c>
      <c r="F3766" s="1">
        <v>1784.55284552845</v>
      </c>
      <c r="G3766" s="1">
        <v>4</v>
      </c>
      <c r="H3766" s="1">
        <v>2</v>
      </c>
      <c r="I3766" s="1">
        <v>2</v>
      </c>
      <c r="J3766" s="1">
        <v>2</v>
      </c>
      <c r="M3766" s="4">
        <v>1230</v>
      </c>
      <c r="N3766" s="1">
        <v>1385</v>
      </c>
      <c r="O3766" s="1">
        <v>3358</v>
      </c>
      <c r="P3766" s="1">
        <v>1973</v>
      </c>
      <c r="Q3766" s="1" t="s">
        <v>42</v>
      </c>
      <c r="S3766" s="1" t="s">
        <v>42</v>
      </c>
      <c r="T3766" s="1" t="s">
        <v>273</v>
      </c>
      <c r="U3766" s="1">
        <v>70</v>
      </c>
      <c r="V3766" s="5">
        <v>43650</v>
      </c>
      <c r="W3766" s="5">
        <v>42291</v>
      </c>
      <c r="X3766" s="1">
        <v>2195000</v>
      </c>
      <c r="Y3766" s="1">
        <v>2195000</v>
      </c>
      <c r="Z3766" s="5">
        <v>42361</v>
      </c>
      <c r="AA3766" s="1">
        <v>2195000</v>
      </c>
      <c r="AB3766" s="1" t="s">
        <v>2530</v>
      </c>
      <c r="AC3766" s="5">
        <v>42405</v>
      </c>
      <c r="AF3766" s="1">
        <v>10065</v>
      </c>
      <c r="AI3766" s="1" t="s">
        <v>189</v>
      </c>
      <c r="AJ3766" s="1">
        <v>1996</v>
      </c>
      <c r="AK3766" s="1" t="s">
        <v>49</v>
      </c>
      <c r="AL3766" s="1">
        <v>103</v>
      </c>
    </row>
    <row r="3767" spans="1:38" x14ac:dyDescent="0.2">
      <c r="A3767" s="2" t="str">
        <f>HYPERLINK("https://www.compass.com/listing/88-lexington-avenue-unit-405-manhattan-ny-10016/29507144881564033/","88 Lexington Ave, Unit 405")</f>
        <v>88 Lexington Ave, Unit 405</v>
      </c>
      <c r="B3767" s="2" t="str">
        <f>HYPERLINK("https://www.compass.com/building/88-90-lexington-avenue-manhattan-ny/281903945159296309/","88 &amp; 90 Lexington Avenue")</f>
        <v>88 &amp; 90 Lexington Avenue</v>
      </c>
      <c r="C3767" s="1" t="s">
        <v>198</v>
      </c>
      <c r="D3767" s="1" t="s">
        <v>41</v>
      </c>
      <c r="E3767" s="3">
        <v>3779799</v>
      </c>
      <c r="F3767" s="1">
        <v>1768.7407580720601</v>
      </c>
      <c r="G3767" s="1">
        <v>5</v>
      </c>
      <c r="H3767" s="1">
        <v>3</v>
      </c>
      <c r="I3767" s="1">
        <v>3</v>
      </c>
      <c r="J3767" s="1">
        <v>2.5</v>
      </c>
      <c r="K3767" s="1">
        <v>2</v>
      </c>
      <c r="L3767" s="1">
        <v>1</v>
      </c>
      <c r="M3767" s="4">
        <v>2137</v>
      </c>
      <c r="N3767" s="1">
        <v>2096</v>
      </c>
      <c r="O3767" s="1">
        <v>5897</v>
      </c>
      <c r="P3767" s="1">
        <v>3801</v>
      </c>
      <c r="Q3767" s="1" t="s">
        <v>42</v>
      </c>
      <c r="S3767" s="1" t="s">
        <v>42</v>
      </c>
      <c r="T3767" s="1" t="s">
        <v>273</v>
      </c>
      <c r="U3767" s="1">
        <v>342</v>
      </c>
      <c r="V3767" s="5">
        <v>43689</v>
      </c>
      <c r="W3767" s="5">
        <v>43069</v>
      </c>
      <c r="X3767" s="1">
        <v>4274000</v>
      </c>
      <c r="Y3767" s="1">
        <v>3975000</v>
      </c>
      <c r="Z3767" s="5">
        <v>43411</v>
      </c>
      <c r="AA3767" s="1">
        <v>3779799</v>
      </c>
      <c r="AB3767" s="1" t="s">
        <v>2531</v>
      </c>
      <c r="AC3767" s="5">
        <v>43469</v>
      </c>
      <c r="AF3767" s="1">
        <v>10016</v>
      </c>
      <c r="AI3767" s="1" t="s">
        <v>114</v>
      </c>
      <c r="AJ3767" s="1">
        <v>1927</v>
      </c>
      <c r="AK3767" s="1" t="s">
        <v>46</v>
      </c>
      <c r="AL3767" s="1">
        <v>70</v>
      </c>
    </row>
    <row r="3768" spans="1:38" x14ac:dyDescent="0.2">
      <c r="A3768" s="2" t="str">
        <f>HYPERLINK("https://www.compass.com/listing/20-east-end-avenue-unit-4c-manhattan-ny-10028/29425935497333793/","20 E End Ave, Unit 4C")</f>
        <v>20 E End Ave, Unit 4C</v>
      </c>
      <c r="B3768" s="2" t="str">
        <f t="shared" ref="B3768:B3772" si="636">HYPERLINK("https://www.compass.com/building/20-e-end-ave-manhattan-ny-10028/281985490498985157/","20 E End Ave")</f>
        <v>20 E End Ave</v>
      </c>
      <c r="C3768" s="1" t="s">
        <v>82</v>
      </c>
      <c r="D3768" s="1" t="s">
        <v>41</v>
      </c>
      <c r="E3768" s="3">
        <v>4577034</v>
      </c>
      <c r="F3768" s="1">
        <v>2392.5948771562898</v>
      </c>
      <c r="G3768" s="1">
        <v>4</v>
      </c>
      <c r="H3768" s="1">
        <v>2</v>
      </c>
      <c r="I3768" s="1">
        <v>2</v>
      </c>
      <c r="J3768" s="1">
        <v>2.5</v>
      </c>
      <c r="K3768" s="1">
        <v>2</v>
      </c>
      <c r="L3768" s="1">
        <v>1</v>
      </c>
      <c r="M3768" s="4">
        <v>1913</v>
      </c>
      <c r="N3768" s="1">
        <v>2309</v>
      </c>
      <c r="O3768" s="1">
        <v>4778</v>
      </c>
      <c r="P3768" s="1">
        <v>2469</v>
      </c>
      <c r="Q3768" s="1" t="s">
        <v>42</v>
      </c>
      <c r="S3768" s="1" t="s">
        <v>42</v>
      </c>
      <c r="T3768" s="1" t="s">
        <v>273</v>
      </c>
      <c r="U3768" s="1">
        <v>90</v>
      </c>
      <c r="V3768" s="5">
        <v>43662</v>
      </c>
      <c r="W3768" s="5">
        <v>42020</v>
      </c>
      <c r="X3768" s="1">
        <v>4495000</v>
      </c>
      <c r="Y3768" s="1">
        <v>4495000</v>
      </c>
      <c r="Z3768" s="5">
        <v>42110</v>
      </c>
      <c r="AA3768" s="1">
        <v>4577034</v>
      </c>
      <c r="AB3768" s="1" t="s">
        <v>2532</v>
      </c>
      <c r="AC3768" s="5">
        <v>42910</v>
      </c>
      <c r="AF3768" s="1">
        <v>10028</v>
      </c>
      <c r="AJ3768" s="1">
        <v>2017</v>
      </c>
      <c r="AK3768" s="1" t="s">
        <v>46</v>
      </c>
      <c r="AL3768" s="1">
        <v>41</v>
      </c>
    </row>
    <row r="3769" spans="1:38" x14ac:dyDescent="0.2">
      <c r="A3769" s="2" t="str">
        <f>HYPERLINK("https://www.compass.com/listing/20-east-end-avenue-unit-5c-manhattan-ny-10028/29425937133183329/","20 E End Ave, Unit 5C")</f>
        <v>20 E End Ave, Unit 5C</v>
      </c>
      <c r="B3769" s="2" t="str">
        <f t="shared" si="636"/>
        <v>20 E End Ave</v>
      </c>
      <c r="C3769" s="1" t="s">
        <v>82</v>
      </c>
      <c r="D3769" s="1" t="s">
        <v>41</v>
      </c>
      <c r="E3769" s="3">
        <v>4714498</v>
      </c>
      <c r="F3769" s="1">
        <v>2463.16509926854</v>
      </c>
      <c r="G3769" s="1">
        <v>4</v>
      </c>
      <c r="H3769" s="1">
        <v>2</v>
      </c>
      <c r="I3769" s="1">
        <v>2</v>
      </c>
      <c r="J3769" s="1">
        <v>2.5</v>
      </c>
      <c r="K3769" s="1">
        <v>2</v>
      </c>
      <c r="L3769" s="1">
        <v>1</v>
      </c>
      <c r="M3769" s="4">
        <v>1914</v>
      </c>
      <c r="N3769" s="1">
        <v>2322</v>
      </c>
      <c r="O3769" s="1">
        <v>5164</v>
      </c>
      <c r="P3769" s="1">
        <v>2842</v>
      </c>
      <c r="Q3769" s="1" t="s">
        <v>42</v>
      </c>
      <c r="S3769" s="1" t="s">
        <v>42</v>
      </c>
      <c r="T3769" s="1" t="s">
        <v>273</v>
      </c>
      <c r="U3769" s="1">
        <v>2</v>
      </c>
      <c r="V3769" s="5">
        <v>43676</v>
      </c>
      <c r="W3769" s="5">
        <v>42025</v>
      </c>
      <c r="X3769" s="1">
        <v>4600000</v>
      </c>
      <c r="Y3769" s="1">
        <v>4600000</v>
      </c>
      <c r="Z3769" s="5">
        <v>42027</v>
      </c>
      <c r="AA3769" s="1">
        <v>4714498</v>
      </c>
      <c r="AB3769" s="1" t="s">
        <v>2533</v>
      </c>
      <c r="AC3769" s="5">
        <v>42803</v>
      </c>
      <c r="AF3769" s="1">
        <v>10028</v>
      </c>
      <c r="AJ3769" s="1">
        <v>2017</v>
      </c>
      <c r="AK3769" s="1" t="s">
        <v>46</v>
      </c>
      <c r="AL3769" s="1">
        <v>41</v>
      </c>
    </row>
    <row r="3770" spans="1:38" x14ac:dyDescent="0.2">
      <c r="A3770" s="2" t="str">
        <f>HYPERLINK("https://www.compass.com/listing/20-east-end-avenue-unit-9c-manhattan-ny-10028/29425941755235505/","20 E End Ave, Unit 9C")</f>
        <v>20 E End Ave, Unit 9C</v>
      </c>
      <c r="B3770" s="2" t="str">
        <f t="shared" si="636"/>
        <v>20 E End Ave</v>
      </c>
      <c r="C3770" s="1" t="s">
        <v>82</v>
      </c>
      <c r="D3770" s="1" t="s">
        <v>41</v>
      </c>
      <c r="E3770" s="3">
        <v>5564736</v>
      </c>
      <c r="F3770" s="1">
        <v>2577.4599351551601</v>
      </c>
      <c r="G3770" s="1">
        <v>5</v>
      </c>
      <c r="H3770" s="1">
        <v>3</v>
      </c>
      <c r="I3770" s="1">
        <v>3</v>
      </c>
      <c r="J3770" s="1">
        <v>3.5</v>
      </c>
      <c r="K3770" s="1">
        <v>3</v>
      </c>
      <c r="L3770" s="1">
        <v>1</v>
      </c>
      <c r="M3770" s="4">
        <v>2159</v>
      </c>
      <c r="N3770" s="1">
        <v>2670</v>
      </c>
      <c r="O3770" s="1">
        <v>5525</v>
      </c>
      <c r="P3770" s="1">
        <v>2855</v>
      </c>
      <c r="Q3770" s="1" t="s">
        <v>42</v>
      </c>
      <c r="S3770" s="1" t="s">
        <v>42</v>
      </c>
      <c r="T3770" s="1" t="s">
        <v>273</v>
      </c>
      <c r="U3770" s="1">
        <v>62</v>
      </c>
      <c r="V3770" s="5">
        <v>43677</v>
      </c>
      <c r="W3770" s="5">
        <v>42020</v>
      </c>
      <c r="X3770" s="1">
        <v>5450000</v>
      </c>
      <c r="Y3770" s="1">
        <v>5450000</v>
      </c>
      <c r="Z3770" s="5">
        <v>42082</v>
      </c>
      <c r="AA3770" s="1">
        <v>5564736</v>
      </c>
      <c r="AB3770" s="1" t="s">
        <v>2534</v>
      </c>
      <c r="AC3770" s="5">
        <v>42873</v>
      </c>
      <c r="AF3770" s="1">
        <v>10028</v>
      </c>
      <c r="AJ3770" s="1">
        <v>2017</v>
      </c>
      <c r="AK3770" s="1" t="s">
        <v>46</v>
      </c>
      <c r="AL3770" s="1">
        <v>41</v>
      </c>
    </row>
    <row r="3771" spans="1:38" x14ac:dyDescent="0.2">
      <c r="A3771" s="2" t="str">
        <f>HYPERLINK("https://www.compass.com/listing/20-east-end-avenue-unit-10c-manhattan-ny-10028/29425943013526721/","20 E End Ave, Unit 10C")</f>
        <v>20 E End Ave, Unit 10C</v>
      </c>
      <c r="B3771" s="2" t="str">
        <f t="shared" si="636"/>
        <v>20 E End Ave</v>
      </c>
      <c r="C3771" s="1" t="s">
        <v>82</v>
      </c>
      <c r="D3771" s="1" t="s">
        <v>41</v>
      </c>
      <c r="E3771" s="3">
        <v>5646196</v>
      </c>
      <c r="F3771" s="1">
        <v>2613.9796296296199</v>
      </c>
      <c r="G3771" s="1">
        <v>4</v>
      </c>
      <c r="H3771" s="1">
        <v>3</v>
      </c>
      <c r="I3771" s="1">
        <v>3</v>
      </c>
      <c r="J3771" s="1">
        <v>3.5</v>
      </c>
      <c r="K3771" s="1">
        <v>3</v>
      </c>
      <c r="L3771" s="1">
        <v>1</v>
      </c>
      <c r="M3771" s="4">
        <v>2160</v>
      </c>
      <c r="N3771" s="1">
        <v>2684</v>
      </c>
      <c r="O3771" s="1">
        <v>5554</v>
      </c>
      <c r="P3771" s="1">
        <v>2870</v>
      </c>
      <c r="Q3771" s="1" t="s">
        <v>42</v>
      </c>
      <c r="S3771" s="1" t="s">
        <v>42</v>
      </c>
      <c r="T3771" s="1" t="s">
        <v>273</v>
      </c>
      <c r="U3771" s="1">
        <v>1</v>
      </c>
      <c r="V3771" s="5">
        <v>43676</v>
      </c>
      <c r="W3771" s="5">
        <v>42024</v>
      </c>
      <c r="X3771" s="1">
        <v>5545000</v>
      </c>
      <c r="Y3771" s="1">
        <v>5545000</v>
      </c>
      <c r="Z3771" s="5">
        <v>42025</v>
      </c>
      <c r="AA3771" s="1">
        <v>5646196</v>
      </c>
      <c r="AB3771" s="1" t="s">
        <v>2535</v>
      </c>
      <c r="AC3771" s="5">
        <v>42873</v>
      </c>
      <c r="AF3771" s="1">
        <v>10028</v>
      </c>
      <c r="AJ3771" s="1">
        <v>2017</v>
      </c>
      <c r="AK3771" s="1" t="s">
        <v>46</v>
      </c>
      <c r="AL3771" s="1">
        <v>41</v>
      </c>
    </row>
    <row r="3772" spans="1:38" x14ac:dyDescent="0.2">
      <c r="A3772" s="2" t="str">
        <f>HYPERLINK("https://www.compass.com/listing/20-east-end-avenue-unit-14a-manhattan-ny-10028/29425945077119649/","20 E End Ave, Unit 14A")</f>
        <v>20 E End Ave, Unit 14A</v>
      </c>
      <c r="B3772" s="2" t="str">
        <f t="shared" si="636"/>
        <v>20 E End Ave</v>
      </c>
      <c r="C3772" s="1" t="s">
        <v>82</v>
      </c>
      <c r="D3772" s="1" t="s">
        <v>41</v>
      </c>
      <c r="E3772" s="3">
        <v>10157044</v>
      </c>
      <c r="F3772" s="1">
        <v>3270.1365099806799</v>
      </c>
      <c r="G3772" s="1">
        <v>6</v>
      </c>
      <c r="H3772" s="1">
        <v>3</v>
      </c>
      <c r="I3772" s="1">
        <v>3</v>
      </c>
      <c r="J3772" s="1">
        <v>3.5</v>
      </c>
      <c r="K3772" s="1">
        <v>3</v>
      </c>
      <c r="L3772" s="1">
        <v>1</v>
      </c>
      <c r="M3772" s="4">
        <v>3106</v>
      </c>
      <c r="N3772" s="1">
        <v>4066</v>
      </c>
      <c r="O3772" s="1">
        <v>8411</v>
      </c>
      <c r="P3772" s="1">
        <v>4345</v>
      </c>
      <c r="Q3772" s="1" t="s">
        <v>42</v>
      </c>
      <c r="S3772" s="1" t="s">
        <v>42</v>
      </c>
      <c r="T3772" s="1" t="s">
        <v>273</v>
      </c>
      <c r="U3772" s="1">
        <v>81</v>
      </c>
      <c r="V3772" s="5">
        <v>43677</v>
      </c>
      <c r="W3772" s="5">
        <v>42090</v>
      </c>
      <c r="X3772" s="1">
        <v>9950000</v>
      </c>
      <c r="Y3772" s="1">
        <v>9950000</v>
      </c>
      <c r="Z3772" s="5">
        <v>42171</v>
      </c>
      <c r="AA3772" s="1">
        <v>10157044</v>
      </c>
      <c r="AB3772" s="1" t="s">
        <v>2536</v>
      </c>
      <c r="AC3772" s="5">
        <v>42810</v>
      </c>
      <c r="AF3772" s="1">
        <v>10028</v>
      </c>
      <c r="AI3772" s="1" t="s">
        <v>483</v>
      </c>
      <c r="AJ3772" s="1">
        <v>2017</v>
      </c>
      <c r="AK3772" s="1" t="s">
        <v>46</v>
      </c>
      <c r="AL3772" s="1">
        <v>41</v>
      </c>
    </row>
    <row r="3773" spans="1:38" x14ac:dyDescent="0.2">
      <c r="A3773" s="2" t="str">
        <f>HYPERLINK("https://www.compass.com/listing/277-5th-avenue-unit-23d-manhattan-ny-10016/480871177398088329/","277 5th Ave, Unit 23D")</f>
        <v>277 5th Ave, Unit 23D</v>
      </c>
      <c r="B3773" s="2" t="str">
        <f t="shared" ref="B3773:B3776" si="637">HYPERLINK("https://www.compass.com/building/277-fifth-avenue-manhattan-ny/281939285475645317/","277 FIFTH AVENUE")</f>
        <v>277 FIFTH AVENUE</v>
      </c>
      <c r="C3773" s="1" t="s">
        <v>40</v>
      </c>
      <c r="D3773" s="1" t="s">
        <v>41</v>
      </c>
      <c r="E3773" s="3">
        <v>3267183</v>
      </c>
      <c r="F3773" s="1">
        <v>2379.5943335761099</v>
      </c>
      <c r="H3773" s="1">
        <v>2</v>
      </c>
      <c r="J3773" s="1">
        <v>2</v>
      </c>
      <c r="K3773" s="1">
        <v>2</v>
      </c>
      <c r="M3773" s="4">
        <v>1373</v>
      </c>
      <c r="N3773" s="1">
        <v>1980</v>
      </c>
      <c r="O3773" s="1">
        <v>4135</v>
      </c>
      <c r="P3773" s="1">
        <v>2155</v>
      </c>
      <c r="Q3773" s="1" t="s">
        <v>42</v>
      </c>
      <c r="S3773" s="1" t="s">
        <v>42</v>
      </c>
      <c r="T3773" s="1" t="s">
        <v>273</v>
      </c>
      <c r="AA3773" s="1">
        <v>3267183.02</v>
      </c>
      <c r="AB3773" s="1" t="s">
        <v>2537</v>
      </c>
      <c r="AC3773" s="5">
        <v>43781</v>
      </c>
      <c r="AF3773" s="1">
        <v>10016</v>
      </c>
      <c r="AI3773" s="1" t="s">
        <v>118</v>
      </c>
      <c r="AJ3773" s="1">
        <v>2019</v>
      </c>
      <c r="AK3773" s="1" t="s">
        <v>49</v>
      </c>
      <c r="AL3773" s="1">
        <v>130</v>
      </c>
    </row>
    <row r="3774" spans="1:38" x14ac:dyDescent="0.2">
      <c r="A3774" s="2" t="str">
        <f>HYPERLINK("https://www.compass.com/listing/277-5th-avenue-unit-12d-manhattan-ny-10016/837410561086366881/","277 5th Ave, Unit 12D")</f>
        <v>277 5th Ave, Unit 12D</v>
      </c>
      <c r="B3774" s="2" t="str">
        <f t="shared" si="637"/>
        <v>277 FIFTH AVENUE</v>
      </c>
      <c r="C3774" s="1" t="s">
        <v>40</v>
      </c>
      <c r="D3774" s="1" t="s">
        <v>41</v>
      </c>
      <c r="E3774" s="3">
        <v>2750000</v>
      </c>
      <c r="F3774" s="1">
        <v>2002.9133284777799</v>
      </c>
      <c r="H3774" s="1">
        <v>2</v>
      </c>
      <c r="J3774" s="1">
        <v>2</v>
      </c>
      <c r="K3774" s="1">
        <v>2</v>
      </c>
      <c r="M3774" s="4">
        <v>1373</v>
      </c>
      <c r="N3774" s="1">
        <v>1980</v>
      </c>
      <c r="O3774" s="1">
        <v>3733</v>
      </c>
      <c r="P3774" s="1">
        <v>1753</v>
      </c>
      <c r="Q3774" s="1" t="s">
        <v>42</v>
      </c>
      <c r="S3774" s="1" t="s">
        <v>42</v>
      </c>
      <c r="T3774" s="1" t="s">
        <v>273</v>
      </c>
      <c r="AA3774" s="1">
        <v>2750000</v>
      </c>
      <c r="AB3774" s="1" t="s">
        <v>2538</v>
      </c>
      <c r="AC3774" s="5">
        <v>44377</v>
      </c>
      <c r="AF3774" s="1">
        <v>10016</v>
      </c>
      <c r="AI3774" s="1" t="s">
        <v>118</v>
      </c>
      <c r="AJ3774" s="1">
        <v>2019</v>
      </c>
      <c r="AK3774" s="1" t="s">
        <v>49</v>
      </c>
      <c r="AL3774" s="1">
        <v>130</v>
      </c>
    </row>
    <row r="3775" spans="1:38" x14ac:dyDescent="0.2">
      <c r="A3775" s="2" t="str">
        <f>HYPERLINK("https://www.compass.com/listing/277-5th-avenue-unit-35b-manhattan-ny-10016/841485510580567681/","277 5th Ave, Unit 35B")</f>
        <v>277 5th Ave, Unit 35B</v>
      </c>
      <c r="B3775" s="2" t="str">
        <f t="shared" si="637"/>
        <v>277 FIFTH AVENUE</v>
      </c>
      <c r="C3775" s="1" t="s">
        <v>40</v>
      </c>
      <c r="D3775" s="1" t="s">
        <v>41</v>
      </c>
      <c r="E3775" s="3">
        <v>3120000</v>
      </c>
      <c r="F3775" s="1">
        <v>2439.40578577013</v>
      </c>
      <c r="H3775" s="1">
        <v>2</v>
      </c>
      <c r="J3775" s="1">
        <v>2</v>
      </c>
      <c r="K3775" s="1">
        <v>2</v>
      </c>
      <c r="M3775" s="4">
        <v>1279</v>
      </c>
      <c r="N3775" s="1">
        <v>1844</v>
      </c>
      <c r="O3775" s="1">
        <v>3851</v>
      </c>
      <c r="P3775" s="1">
        <v>2007</v>
      </c>
      <c r="Q3775" s="1" t="s">
        <v>42</v>
      </c>
      <c r="S3775" s="1" t="s">
        <v>42</v>
      </c>
      <c r="T3775" s="1" t="s">
        <v>273</v>
      </c>
      <c r="AA3775" s="1">
        <v>3120000</v>
      </c>
      <c r="AB3775" s="1" t="s">
        <v>2539</v>
      </c>
      <c r="AC3775" s="5">
        <v>44344</v>
      </c>
      <c r="AF3775" s="1">
        <v>10016</v>
      </c>
      <c r="AI3775" s="1" t="s">
        <v>118</v>
      </c>
      <c r="AJ3775" s="1">
        <v>2019</v>
      </c>
      <c r="AK3775" s="1" t="s">
        <v>49</v>
      </c>
      <c r="AL3775" s="1">
        <v>130</v>
      </c>
    </row>
    <row r="3776" spans="1:38" x14ac:dyDescent="0.2">
      <c r="A3776" s="2" t="str">
        <f>HYPERLINK("https://www.compass.com/listing/277-5th-avenue-unit-30a-manhattan-ny-10016/841559201969063201/","277 5th Ave, Unit 30A")</f>
        <v>277 5th Ave, Unit 30A</v>
      </c>
      <c r="B3776" s="2" t="str">
        <f t="shared" si="637"/>
        <v>277 FIFTH AVENUE</v>
      </c>
      <c r="C3776" s="1" t="s">
        <v>40</v>
      </c>
      <c r="D3776" s="1" t="s">
        <v>41</v>
      </c>
      <c r="E3776" s="3">
        <v>3213100</v>
      </c>
      <c r="F3776" s="1">
        <v>2392.4795234549501</v>
      </c>
      <c r="H3776" s="1">
        <v>2</v>
      </c>
      <c r="J3776" s="1">
        <v>2</v>
      </c>
      <c r="K3776" s="1">
        <v>2</v>
      </c>
      <c r="M3776" s="4">
        <v>1343</v>
      </c>
      <c r="N3776" s="1">
        <v>1935</v>
      </c>
      <c r="O3776" s="1">
        <v>3650</v>
      </c>
      <c r="P3776" s="1">
        <v>1715</v>
      </c>
      <c r="Q3776" s="1" t="s">
        <v>42</v>
      </c>
      <c r="S3776" s="1" t="s">
        <v>42</v>
      </c>
      <c r="T3776" s="1" t="s">
        <v>273</v>
      </c>
      <c r="AA3776" s="1">
        <v>3213100</v>
      </c>
      <c r="AB3776" s="1" t="s">
        <v>2540</v>
      </c>
      <c r="AC3776" s="5">
        <v>44286</v>
      </c>
      <c r="AF3776" s="1">
        <v>10016</v>
      </c>
      <c r="AI3776" s="1" t="s">
        <v>118</v>
      </c>
      <c r="AJ3776" s="1">
        <v>2019</v>
      </c>
      <c r="AK3776" s="1" t="s">
        <v>49</v>
      </c>
      <c r="AL3776" s="1">
        <v>130</v>
      </c>
    </row>
    <row r="3777" spans="1:38" x14ac:dyDescent="0.2">
      <c r="A3777" s="2" t="str">
        <f>HYPERLINK("https://www.compass.com/listing/30-east-31st-street-unit-19-manhattan-ny-10016/689317053463266033/","30 E 31st St, Unit 19")</f>
        <v>30 E 31st St, Unit 19</v>
      </c>
      <c r="B3777" s="2" t="str">
        <f>HYPERLINK("https://www.compass.com/building/30-east-31st-street-manhattan-ny/281939352542566357/","30 East 31st Street")</f>
        <v>30 East 31st Street</v>
      </c>
      <c r="C3777" s="1" t="s">
        <v>40</v>
      </c>
      <c r="D3777" s="1" t="s">
        <v>41</v>
      </c>
      <c r="E3777" s="3">
        <v>2460000</v>
      </c>
      <c r="F3777" s="1">
        <v>1466.9051878354201</v>
      </c>
      <c r="G3777" s="1">
        <v>4</v>
      </c>
      <c r="H3777" s="1">
        <v>2</v>
      </c>
      <c r="I3777" s="1">
        <v>3</v>
      </c>
      <c r="J3777" s="1">
        <v>2.5</v>
      </c>
      <c r="K3777" s="1">
        <v>2</v>
      </c>
      <c r="L3777" s="1">
        <v>1</v>
      </c>
      <c r="M3777" s="4">
        <v>1677</v>
      </c>
      <c r="N3777" s="1">
        <v>2582</v>
      </c>
      <c r="O3777" s="1">
        <v>6040</v>
      </c>
      <c r="P3777" s="1">
        <v>3458</v>
      </c>
      <c r="Q3777" s="1" t="s">
        <v>42</v>
      </c>
      <c r="S3777" s="1" t="s">
        <v>42</v>
      </c>
      <c r="T3777" s="1" t="s">
        <v>273</v>
      </c>
      <c r="V3777" s="5">
        <v>44413</v>
      </c>
      <c r="W3777" s="5">
        <v>44202</v>
      </c>
      <c r="Y3777" s="1">
        <v>2460000</v>
      </c>
      <c r="Z3777" s="5">
        <v>44202</v>
      </c>
      <c r="AA3777" s="1">
        <v>2460000</v>
      </c>
      <c r="AB3777" s="1" t="s">
        <v>275</v>
      </c>
      <c r="AC3777" s="5">
        <v>44411</v>
      </c>
      <c r="AF3777" s="1">
        <v>10016</v>
      </c>
      <c r="AJ3777" s="1">
        <v>2018</v>
      </c>
      <c r="AK3777" s="1" t="s">
        <v>46</v>
      </c>
      <c r="AL3777" s="1">
        <v>42</v>
      </c>
    </row>
    <row r="3778" spans="1:38" x14ac:dyDescent="0.2">
      <c r="A3778" s="2" t="str">
        <f>HYPERLINK("https://www.compass.com/listing/300-east-64th-street-unit-10c-manhattan-ny-10065/29415723306674961/","300 E 64th St, Unit 10C")</f>
        <v>300 E 64th St, Unit 10C</v>
      </c>
      <c r="B3778" s="2" t="str">
        <f>HYPERLINK("https://www.compass.com/building/300-e-64th-st-manhattan-ny-10065/282038617012979925/","300 E 64th St")</f>
        <v>300 E 64th St</v>
      </c>
      <c r="C3778" s="1" t="s">
        <v>82</v>
      </c>
      <c r="D3778" s="1" t="s">
        <v>41</v>
      </c>
      <c r="E3778" s="3">
        <v>1475000</v>
      </c>
      <c r="F3778" s="1">
        <v>1511.27049180327</v>
      </c>
      <c r="G3778" s="1">
        <v>3.5</v>
      </c>
      <c r="H3778" s="1">
        <v>2</v>
      </c>
      <c r="I3778" s="1">
        <v>2</v>
      </c>
      <c r="J3778" s="1">
        <v>2</v>
      </c>
      <c r="K3778" s="1">
        <v>2</v>
      </c>
      <c r="M3778" s="1">
        <v>976</v>
      </c>
      <c r="N3778" s="1">
        <v>1099</v>
      </c>
      <c r="O3778" s="1">
        <v>2664</v>
      </c>
      <c r="P3778" s="1">
        <v>1565</v>
      </c>
      <c r="Q3778" s="1" t="s">
        <v>42</v>
      </c>
      <c r="S3778" s="1" t="s">
        <v>42</v>
      </c>
      <c r="T3778" s="1" t="s">
        <v>273</v>
      </c>
      <c r="U3778" s="1">
        <v>97</v>
      </c>
      <c r="V3778" s="5">
        <v>44366</v>
      </c>
      <c r="W3778" s="5">
        <v>41976</v>
      </c>
      <c r="X3778" s="1">
        <v>1475000</v>
      </c>
      <c r="Y3778" s="1">
        <v>1475000</v>
      </c>
      <c r="Z3778" s="5">
        <v>42073</v>
      </c>
      <c r="AA3778" s="1">
        <v>1475000</v>
      </c>
      <c r="AB3778" s="1" t="s">
        <v>2541</v>
      </c>
      <c r="AC3778" s="5">
        <v>42198</v>
      </c>
      <c r="AF3778" s="1">
        <v>10065</v>
      </c>
      <c r="AI3778" s="1" t="s">
        <v>189</v>
      </c>
      <c r="AJ3778" s="1">
        <v>1996</v>
      </c>
      <c r="AK3778" s="1" t="s">
        <v>49</v>
      </c>
      <c r="AL3778" s="1">
        <v>103</v>
      </c>
    </row>
    <row r="3779" spans="1:38" x14ac:dyDescent="0.2">
      <c r="A3779" s="2" t="str">
        <f>HYPERLINK("https://www.compass.com/listing/301-east-81st-street-unit-ph20-manhattan-ny-10028/846937156676931177/","301 E 81st St, Unit PH20")</f>
        <v>301 E 81st St, Unit PH20</v>
      </c>
      <c r="B3779" s="2" t="str">
        <f>HYPERLINK("https://www.compass.com/building/beckford-house-manhattan-ny/293531205712863989/","Beckford House")</f>
        <v>Beckford House</v>
      </c>
      <c r="C3779" s="1" t="s">
        <v>82</v>
      </c>
      <c r="D3779" s="1" t="s">
        <v>41</v>
      </c>
      <c r="E3779" s="3">
        <v>15250000</v>
      </c>
      <c r="F3779" s="1">
        <v>2832.9927549693398</v>
      </c>
      <c r="G3779" s="1">
        <v>12</v>
      </c>
      <c r="H3779" s="1">
        <v>5</v>
      </c>
      <c r="I3779" s="1">
        <v>7</v>
      </c>
      <c r="J3779" s="1">
        <v>6.5</v>
      </c>
      <c r="K3779" s="1">
        <v>6</v>
      </c>
      <c r="L3779" s="1">
        <v>1</v>
      </c>
      <c r="M3779" s="4">
        <v>5383</v>
      </c>
      <c r="N3779" s="1">
        <v>8184</v>
      </c>
      <c r="O3779" s="1">
        <v>17073</v>
      </c>
      <c r="P3779" s="1">
        <v>8889</v>
      </c>
      <c r="Q3779" s="1" t="s">
        <v>42</v>
      </c>
      <c r="S3779" s="1" t="s">
        <v>42</v>
      </c>
      <c r="T3779" s="1" t="s">
        <v>273</v>
      </c>
      <c r="U3779" s="1">
        <v>58</v>
      </c>
      <c r="V3779" s="5">
        <v>44420</v>
      </c>
      <c r="W3779" s="5">
        <v>44313</v>
      </c>
      <c r="X3779" s="1">
        <v>1</v>
      </c>
      <c r="Y3779" s="1">
        <v>1</v>
      </c>
      <c r="AA3779" s="1">
        <v>15250000</v>
      </c>
      <c r="AB3779" s="1" t="s">
        <v>2542</v>
      </c>
      <c r="AC3779" s="5">
        <v>44371</v>
      </c>
      <c r="AF3779" s="1">
        <v>10028</v>
      </c>
      <c r="AI3779" s="1" t="s">
        <v>2458</v>
      </c>
      <c r="AJ3779" s="1">
        <v>2019</v>
      </c>
      <c r="AK3779" s="1" t="s">
        <v>202</v>
      </c>
      <c r="AL3779" s="1">
        <v>0</v>
      </c>
    </row>
    <row r="3780" spans="1:38" x14ac:dyDescent="0.2">
      <c r="A3780" s="2" t="str">
        <f>HYPERLINK("https://www.compass.com/listing/20-east-end-avenue-unit-4b-manhattan-ny-10028/784661415619691025/","20 E End Ave, Unit 4B")</f>
        <v>20 E End Ave, Unit 4B</v>
      </c>
      <c r="B3780" s="2" t="str">
        <f>HYPERLINK("https://www.compass.com/building/20-e-end-ave-manhattan-ny-10028/281985490498985157/","20 E End Ave")</f>
        <v>20 E End Ave</v>
      </c>
      <c r="C3780" s="1" t="s">
        <v>82</v>
      </c>
      <c r="D3780" s="1" t="s">
        <v>41</v>
      </c>
      <c r="E3780" s="3">
        <v>7000000</v>
      </c>
      <c r="F3780" s="1">
        <v>2090.1761719916299</v>
      </c>
      <c r="G3780" s="1">
        <v>8</v>
      </c>
      <c r="H3780" s="1">
        <v>4</v>
      </c>
      <c r="I3780" s="1">
        <v>4</v>
      </c>
      <c r="J3780" s="1">
        <v>4</v>
      </c>
      <c r="M3780" s="4">
        <v>3349</v>
      </c>
      <c r="N3780" s="1">
        <v>4042</v>
      </c>
      <c r="O3780" s="1">
        <v>8363</v>
      </c>
      <c r="P3780" s="1">
        <v>4321</v>
      </c>
      <c r="Q3780" s="1" t="s">
        <v>42</v>
      </c>
      <c r="S3780" s="1" t="s">
        <v>42</v>
      </c>
      <c r="T3780" s="1" t="s">
        <v>273</v>
      </c>
      <c r="V3780" s="5">
        <v>42747</v>
      </c>
      <c r="Y3780" s="1">
        <v>8070000</v>
      </c>
      <c r="Z3780" s="5">
        <v>42650</v>
      </c>
      <c r="AA3780" s="1">
        <v>7000000</v>
      </c>
      <c r="AB3780" s="1" t="s">
        <v>275</v>
      </c>
      <c r="AC3780" s="5">
        <v>42745</v>
      </c>
      <c r="AF3780" s="1">
        <v>10028</v>
      </c>
      <c r="AJ3780" s="1">
        <v>2017</v>
      </c>
      <c r="AK3780" s="1" t="s">
        <v>46</v>
      </c>
      <c r="AL3780" s="1">
        <v>41</v>
      </c>
    </row>
    <row r="3781" spans="1:38" x14ac:dyDescent="0.2">
      <c r="A3781" s="2" t="str">
        <f>HYPERLINK("https://www.compass.com/listing/300-east-64th-street-unit-19a-manhattan-ny-10065/29415735730148993/","300 E 64th St, Unit 19A")</f>
        <v>300 E 64th St, Unit 19A</v>
      </c>
      <c r="B3781" s="2" t="str">
        <f>HYPERLINK("https://www.compass.com/building/300-e-64th-st-manhattan-ny-10065/282038617012979925/","300 E 64th St")</f>
        <v>300 E 64th St</v>
      </c>
      <c r="C3781" s="1" t="s">
        <v>82</v>
      </c>
      <c r="D3781" s="1" t="s">
        <v>41</v>
      </c>
      <c r="E3781" s="3">
        <v>2109071</v>
      </c>
      <c r="F3781" s="1">
        <v>2020.1829501915699</v>
      </c>
      <c r="G3781" s="1">
        <v>4</v>
      </c>
      <c r="H3781" s="1">
        <v>2</v>
      </c>
      <c r="I3781" s="1">
        <v>2</v>
      </c>
      <c r="J3781" s="1">
        <v>2</v>
      </c>
      <c r="K3781" s="1">
        <v>2</v>
      </c>
      <c r="M3781" s="4">
        <v>1044</v>
      </c>
      <c r="N3781" s="1">
        <v>1175</v>
      </c>
      <c r="O3781" s="1">
        <v>2849</v>
      </c>
      <c r="P3781" s="1">
        <v>1674</v>
      </c>
      <c r="Q3781" s="1" t="s">
        <v>42</v>
      </c>
      <c r="S3781" s="1" t="s">
        <v>42</v>
      </c>
      <c r="T3781" s="1" t="s">
        <v>273</v>
      </c>
      <c r="U3781" s="1">
        <v>42</v>
      </c>
      <c r="V3781" s="5">
        <v>44338</v>
      </c>
      <c r="W3781" s="5">
        <v>42096</v>
      </c>
      <c r="X3781" s="1">
        <v>2090000</v>
      </c>
      <c r="Y3781" s="1">
        <v>2090000</v>
      </c>
      <c r="Z3781" s="5">
        <v>42138</v>
      </c>
      <c r="AA3781" s="1">
        <v>2109071</v>
      </c>
      <c r="AB3781" s="1" t="s">
        <v>2543</v>
      </c>
      <c r="AC3781" s="5">
        <v>42200</v>
      </c>
      <c r="AF3781" s="1">
        <v>10065</v>
      </c>
      <c r="AI3781" s="1" t="s">
        <v>189</v>
      </c>
      <c r="AJ3781" s="1">
        <v>1996</v>
      </c>
      <c r="AK3781" s="1" t="s">
        <v>49</v>
      </c>
      <c r="AL3781" s="1">
        <v>103</v>
      </c>
    </row>
    <row r="3782" spans="1:38" x14ac:dyDescent="0.2">
      <c r="A3782" s="2" t="str">
        <f>HYPERLINK("https://www.compass.com/listing/277-5th-avenue-unit-43a-manhattan-ny-10016/545391386764158721/","277 5th Ave, Unit 43A")</f>
        <v>277 5th Ave, Unit 43A</v>
      </c>
      <c r="B3782" s="2" t="str">
        <f>HYPERLINK("https://www.compass.com/building/277-fifth-avenue-manhattan-ny/281939285475645317/","277 FIFTH AVENUE")</f>
        <v>277 FIFTH AVENUE</v>
      </c>
      <c r="C3782" s="1" t="s">
        <v>40</v>
      </c>
      <c r="D3782" s="1" t="s">
        <v>41</v>
      </c>
      <c r="E3782" s="3">
        <v>3900000</v>
      </c>
      <c r="F3782" s="1">
        <v>2509.6525096525002</v>
      </c>
      <c r="G3782" s="1">
        <v>4</v>
      </c>
      <c r="H3782" s="1">
        <v>2</v>
      </c>
      <c r="I3782" s="1">
        <v>2</v>
      </c>
      <c r="J3782" s="1">
        <v>2</v>
      </c>
      <c r="K3782" s="1">
        <v>2</v>
      </c>
      <c r="M3782" s="4">
        <v>1554</v>
      </c>
      <c r="N3782" s="1">
        <v>2241</v>
      </c>
      <c r="O3782" s="1">
        <v>4226</v>
      </c>
      <c r="P3782" s="1">
        <v>1985</v>
      </c>
      <c r="Q3782" s="1" t="s">
        <v>42</v>
      </c>
      <c r="S3782" s="1" t="s">
        <v>42</v>
      </c>
      <c r="T3782" s="1" t="s">
        <v>273</v>
      </c>
      <c r="U3782" s="1">
        <v>102</v>
      </c>
      <c r="V3782" s="5">
        <v>44224</v>
      </c>
      <c r="W3782" s="5">
        <v>44011</v>
      </c>
      <c r="X3782" s="1">
        <v>4470000</v>
      </c>
      <c r="Y3782" s="1">
        <v>4470000</v>
      </c>
      <c r="Z3782" s="5">
        <v>44147</v>
      </c>
      <c r="AA3782" s="1">
        <v>3900000</v>
      </c>
      <c r="AB3782" s="1" t="s">
        <v>2544</v>
      </c>
      <c r="AC3782" s="5">
        <v>44218</v>
      </c>
      <c r="AF3782" s="1">
        <v>10016</v>
      </c>
      <c r="AI3782" s="1" t="s">
        <v>48</v>
      </c>
      <c r="AJ3782" s="1">
        <v>2019</v>
      </c>
      <c r="AK3782" s="1" t="s">
        <v>46</v>
      </c>
      <c r="AL3782" s="1">
        <v>130</v>
      </c>
    </row>
    <row r="3783" spans="1:38" x14ac:dyDescent="0.2">
      <c r="A3783" s="2" t="str">
        <f>HYPERLINK("https://www.compass.com/listing/300-east-64th-street-unit-25b-manhattan-ny-10065/29415745410657409/","300 E 64th St, Unit 25B")</f>
        <v>300 E 64th St, Unit 25B</v>
      </c>
      <c r="B3783" s="2" t="str">
        <f t="shared" ref="B3783:B3784" si="638">HYPERLINK("https://www.compass.com/building/300-e-64th-st-manhattan-ny-10065/282038617012979925/","300 E 64th St")</f>
        <v>300 E 64th St</v>
      </c>
      <c r="C3783" s="1" t="s">
        <v>82</v>
      </c>
      <c r="D3783" s="1" t="s">
        <v>41</v>
      </c>
      <c r="E3783" s="3">
        <v>2800000</v>
      </c>
      <c r="F3783" s="1">
        <v>1956.67365478686</v>
      </c>
      <c r="G3783" s="1">
        <v>5</v>
      </c>
      <c r="H3783" s="1">
        <v>3</v>
      </c>
      <c r="I3783" s="1">
        <v>3</v>
      </c>
      <c r="J3783" s="1">
        <v>3</v>
      </c>
      <c r="K3783" s="1">
        <v>3</v>
      </c>
      <c r="M3783" s="4">
        <v>1431</v>
      </c>
      <c r="N3783" s="1">
        <v>1610</v>
      </c>
      <c r="O3783" s="1">
        <v>3904</v>
      </c>
      <c r="P3783" s="1">
        <v>2294</v>
      </c>
      <c r="Q3783" s="1" t="s">
        <v>42</v>
      </c>
      <c r="S3783" s="1" t="s">
        <v>42</v>
      </c>
      <c r="T3783" s="1" t="s">
        <v>273</v>
      </c>
      <c r="U3783" s="1">
        <v>27</v>
      </c>
      <c r="V3783" s="5">
        <v>44338</v>
      </c>
      <c r="W3783" s="5">
        <v>41976</v>
      </c>
      <c r="X3783" s="1">
        <v>2800000</v>
      </c>
      <c r="Y3783" s="1">
        <v>2800000</v>
      </c>
      <c r="Z3783" s="5">
        <v>42045</v>
      </c>
      <c r="AA3783" s="1">
        <v>2800000</v>
      </c>
      <c r="AB3783" s="1" t="s">
        <v>2545</v>
      </c>
      <c r="AC3783" s="5">
        <v>42191</v>
      </c>
      <c r="AF3783" s="1">
        <v>10065</v>
      </c>
      <c r="AI3783" s="1" t="s">
        <v>83</v>
      </c>
      <c r="AJ3783" s="1">
        <v>1996</v>
      </c>
      <c r="AK3783" s="1" t="s">
        <v>49</v>
      </c>
      <c r="AL3783" s="1">
        <v>103</v>
      </c>
    </row>
    <row r="3784" spans="1:38" x14ac:dyDescent="0.2">
      <c r="A3784" s="2" t="str">
        <f>HYPERLINK("https://www.compass.com/listing/300-east-64th-street-unit-29c-manhattan-ny-10065/687533222263185329/","300 E 64th St, Unit 29C")</f>
        <v>300 E 64th St, Unit 29C</v>
      </c>
      <c r="B3784" s="2" t="str">
        <f t="shared" si="638"/>
        <v>300 E 64th St</v>
      </c>
      <c r="C3784" s="1" t="s">
        <v>82</v>
      </c>
      <c r="D3784" s="1" t="s">
        <v>41</v>
      </c>
      <c r="E3784" s="3">
        <v>1695000</v>
      </c>
      <c r="F3784" s="1">
        <v>1673.2477788746201</v>
      </c>
      <c r="G3784" s="1">
        <v>4</v>
      </c>
      <c r="H3784" s="1">
        <v>2</v>
      </c>
      <c r="I3784" s="1">
        <v>2</v>
      </c>
      <c r="J3784" s="1">
        <v>2</v>
      </c>
      <c r="K3784" s="1">
        <v>2</v>
      </c>
      <c r="M3784" s="4">
        <v>1013</v>
      </c>
      <c r="N3784" s="1">
        <v>1339</v>
      </c>
      <c r="O3784" s="1">
        <v>2867</v>
      </c>
      <c r="P3784" s="1">
        <v>1528</v>
      </c>
      <c r="Q3784" s="1" t="s">
        <v>42</v>
      </c>
      <c r="S3784" s="1" t="s">
        <v>42</v>
      </c>
      <c r="T3784" s="1" t="s">
        <v>273</v>
      </c>
      <c r="V3784" s="5">
        <v>44323</v>
      </c>
      <c r="W3784" s="5">
        <v>44200</v>
      </c>
      <c r="X3784" s="1">
        <v>1695000</v>
      </c>
      <c r="Y3784" s="1">
        <v>1695000</v>
      </c>
      <c r="Z3784" s="5">
        <v>44200</v>
      </c>
      <c r="AA3784" s="1">
        <v>1695000</v>
      </c>
      <c r="AB3784" s="1" t="s">
        <v>2546</v>
      </c>
      <c r="AC3784" s="5">
        <v>44306</v>
      </c>
      <c r="AF3784" s="1">
        <v>10065</v>
      </c>
      <c r="AI3784" s="1" t="s">
        <v>189</v>
      </c>
      <c r="AJ3784" s="1">
        <v>1996</v>
      </c>
      <c r="AK3784" s="1" t="s">
        <v>121</v>
      </c>
      <c r="AL3784" s="1">
        <v>103</v>
      </c>
    </row>
    <row r="3785" spans="1:38" x14ac:dyDescent="0.2">
      <c r="A3785" s="2" t="str">
        <f>HYPERLINK("https://www.compass.com/listing/277-5th-avenue-unit-14d-manhattan-ny-10016/339120215534730897/","277 5th Ave, Unit 14D")</f>
        <v>277 5th Ave, Unit 14D</v>
      </c>
      <c r="B3785" s="2" t="str">
        <f>HYPERLINK("https://www.compass.com/building/277-fifth-avenue-manhattan-ny/281939285475645317/","277 FIFTH AVENUE")</f>
        <v>277 FIFTH AVENUE</v>
      </c>
      <c r="C3785" s="1" t="s">
        <v>40</v>
      </c>
      <c r="D3785" s="1" t="s">
        <v>41</v>
      </c>
      <c r="E3785" s="3">
        <v>2892183</v>
      </c>
      <c r="F3785" s="1">
        <v>2106.4697960670001</v>
      </c>
      <c r="G3785" s="1">
        <v>4</v>
      </c>
      <c r="H3785" s="1">
        <v>2</v>
      </c>
      <c r="J3785" s="1">
        <v>2</v>
      </c>
      <c r="M3785" s="4">
        <v>1373</v>
      </c>
      <c r="N3785" s="1">
        <v>1980</v>
      </c>
      <c r="O3785" s="1">
        <v>4135</v>
      </c>
      <c r="P3785" s="1">
        <v>2155</v>
      </c>
      <c r="Q3785" s="1" t="s">
        <v>42</v>
      </c>
      <c r="S3785" s="1" t="s">
        <v>42</v>
      </c>
      <c r="T3785" s="1" t="s">
        <v>273</v>
      </c>
      <c r="V3785" s="5">
        <v>44247</v>
      </c>
      <c r="AA3785" s="1">
        <v>2892183.03</v>
      </c>
      <c r="AB3785" s="1" t="s">
        <v>2430</v>
      </c>
      <c r="AC3785" s="5">
        <v>43705</v>
      </c>
      <c r="AF3785" s="1">
        <v>10016</v>
      </c>
      <c r="AI3785" s="1" t="s">
        <v>118</v>
      </c>
      <c r="AJ3785" s="1">
        <v>2019</v>
      </c>
      <c r="AK3785" s="1" t="s">
        <v>46</v>
      </c>
      <c r="AL3785" s="1">
        <v>130</v>
      </c>
    </row>
    <row r="3786" spans="1:38" x14ac:dyDescent="0.2">
      <c r="A3786" s="2" t="str">
        <f>HYPERLINK("https://www.compass.com/listing/300-east-64th-street-unit-21a-manhattan-ny-10065/29415739001759393/","300 E 64th St, Unit 21A")</f>
        <v>300 E 64th St, Unit 21A</v>
      </c>
      <c r="B3786" s="2" t="str">
        <f>HYPERLINK("https://www.compass.com/building/300-e-64th-st-manhattan-ny-10065/282038617012979925/","300 E 64th St")</f>
        <v>300 E 64th St</v>
      </c>
      <c r="C3786" s="1" t="s">
        <v>82</v>
      </c>
      <c r="D3786" s="1" t="s">
        <v>41</v>
      </c>
      <c r="E3786" s="3">
        <v>3300000</v>
      </c>
      <c r="F3786" s="1">
        <v>1770.3862660944201</v>
      </c>
      <c r="G3786" s="1">
        <v>5</v>
      </c>
      <c r="H3786" s="1">
        <v>3</v>
      </c>
      <c r="I3786" s="1">
        <v>4</v>
      </c>
      <c r="J3786" s="1">
        <v>4</v>
      </c>
      <c r="M3786" s="4">
        <v>1864</v>
      </c>
      <c r="N3786" s="1">
        <v>2098</v>
      </c>
      <c r="O3786" s="1">
        <v>5300</v>
      </c>
      <c r="P3786" s="1">
        <v>3202</v>
      </c>
      <c r="Q3786" s="1" t="s">
        <v>42</v>
      </c>
      <c r="S3786" s="1" t="s">
        <v>42</v>
      </c>
      <c r="T3786" s="1" t="s">
        <v>273</v>
      </c>
      <c r="U3786" s="1">
        <v>248</v>
      </c>
      <c r="V3786" s="5">
        <v>43650</v>
      </c>
      <c r="W3786" s="5">
        <v>42669</v>
      </c>
      <c r="X3786" s="1">
        <v>3665000</v>
      </c>
      <c r="Y3786" s="1">
        <v>3665000</v>
      </c>
      <c r="Z3786" s="5">
        <v>42917</v>
      </c>
      <c r="AA3786" s="1">
        <v>3300000</v>
      </c>
      <c r="AB3786" s="1" t="s">
        <v>2547</v>
      </c>
      <c r="AC3786" s="5">
        <v>42972</v>
      </c>
      <c r="AF3786" s="1">
        <v>10065</v>
      </c>
      <c r="AI3786" s="1" t="s">
        <v>189</v>
      </c>
      <c r="AJ3786" s="1">
        <v>1996</v>
      </c>
      <c r="AK3786" s="1" t="s">
        <v>49</v>
      </c>
      <c r="AL3786" s="1">
        <v>103</v>
      </c>
    </row>
    <row r="3787" spans="1:38" x14ac:dyDescent="0.2">
      <c r="A3787" s="2" t="str">
        <f>HYPERLINK("https://www.compass.com/listing/90-lexington-avenue-unit-11a-manhattan-ny-10016/257949863545790529/","90 Lexington Ave, Unit 11A")</f>
        <v>90 Lexington Ave, Unit 11A</v>
      </c>
      <c r="B3787" s="2" t="str">
        <f>HYPERLINK("https://www.compass.com/building/88-90-lexington-avenue-manhattan-ny/281941431524842901/","88 &amp; 90 Lexington Avenue")</f>
        <v>88 &amp; 90 Lexington Avenue</v>
      </c>
      <c r="C3787" s="1" t="s">
        <v>198</v>
      </c>
      <c r="D3787" s="1" t="s">
        <v>41</v>
      </c>
      <c r="E3787" s="3">
        <v>5545165</v>
      </c>
      <c r="F3787" s="1">
        <v>2451.44341290893</v>
      </c>
      <c r="G3787" s="1">
        <v>5</v>
      </c>
      <c r="H3787" s="1">
        <v>3</v>
      </c>
      <c r="I3787" s="1">
        <v>4</v>
      </c>
      <c r="J3787" s="1">
        <v>3.5</v>
      </c>
      <c r="K3787" s="1">
        <v>3</v>
      </c>
      <c r="L3787" s="1">
        <v>1</v>
      </c>
      <c r="M3787" s="4">
        <v>2262</v>
      </c>
      <c r="N3787" s="1">
        <v>2860</v>
      </c>
      <c r="O3787" s="1">
        <v>7705</v>
      </c>
      <c r="P3787" s="1">
        <v>4845</v>
      </c>
      <c r="Q3787" s="1" t="s">
        <v>42</v>
      </c>
      <c r="S3787" s="1" t="s">
        <v>42</v>
      </c>
      <c r="T3787" s="1" t="s">
        <v>273</v>
      </c>
      <c r="V3787" s="5">
        <v>43697</v>
      </c>
      <c r="W3787" s="5">
        <v>43607</v>
      </c>
      <c r="X3787" s="1">
        <v>5900000</v>
      </c>
      <c r="Y3787" s="1">
        <v>5900000</v>
      </c>
      <c r="Z3787" s="5">
        <v>43607</v>
      </c>
      <c r="AA3787" s="1">
        <v>5545165</v>
      </c>
      <c r="AB3787" s="1" t="s">
        <v>2548</v>
      </c>
      <c r="AC3787" s="5">
        <v>43644</v>
      </c>
      <c r="AF3787" s="1">
        <v>10016</v>
      </c>
      <c r="AI3787" s="1" t="s">
        <v>1939</v>
      </c>
      <c r="AJ3787" s="1">
        <v>1957</v>
      </c>
      <c r="AK3787" s="1" t="s">
        <v>46</v>
      </c>
      <c r="AL3787" s="1">
        <v>49</v>
      </c>
    </row>
    <row r="3788" spans="1:38" x14ac:dyDescent="0.2">
      <c r="A3788" s="2" t="str">
        <f>HYPERLINK("https://www.compass.com/listing/300-east-64th-street-unit-28a-manhattan-ny-10065/29415749109978961/","300 E 64th St, Unit 28A")</f>
        <v>300 E 64th St, Unit 28A</v>
      </c>
      <c r="B3788" s="2" t="str">
        <f>HYPERLINK("https://www.compass.com/building/300-e-64th-st-manhattan-ny-10065/282038617012979925/","300 E 64th St")</f>
        <v>300 E 64th St</v>
      </c>
      <c r="C3788" s="1" t="s">
        <v>82</v>
      </c>
      <c r="D3788" s="1" t="s">
        <v>41</v>
      </c>
      <c r="E3788" s="3">
        <v>2325000</v>
      </c>
      <c r="F3788" s="1">
        <v>1890.2439024390201</v>
      </c>
      <c r="G3788" s="1">
        <v>4</v>
      </c>
      <c r="H3788" s="1">
        <v>2</v>
      </c>
      <c r="I3788" s="1">
        <v>2</v>
      </c>
      <c r="J3788" s="1">
        <v>2</v>
      </c>
      <c r="K3788" s="1">
        <v>2</v>
      </c>
      <c r="M3788" s="4">
        <v>1230</v>
      </c>
      <c r="N3788" s="1">
        <v>1384</v>
      </c>
      <c r="O3788" s="1">
        <v>3356</v>
      </c>
      <c r="P3788" s="1">
        <v>1972</v>
      </c>
      <c r="Q3788" s="1" t="s">
        <v>42</v>
      </c>
      <c r="S3788" s="1" t="s">
        <v>42</v>
      </c>
      <c r="T3788" s="1" t="s">
        <v>273</v>
      </c>
      <c r="V3788" s="5">
        <v>44400</v>
      </c>
      <c r="W3788" s="5">
        <v>42587</v>
      </c>
      <c r="X3788" s="1">
        <v>2325000</v>
      </c>
      <c r="Y3788" s="1">
        <v>2325000</v>
      </c>
      <c r="Z3788" s="5">
        <v>42587</v>
      </c>
      <c r="AA3788" s="1">
        <v>2325000</v>
      </c>
      <c r="AB3788" s="1" t="s">
        <v>2549</v>
      </c>
      <c r="AC3788" s="5">
        <v>42606</v>
      </c>
      <c r="AF3788" s="1">
        <v>10065</v>
      </c>
      <c r="AI3788" s="1" t="s">
        <v>189</v>
      </c>
      <c r="AJ3788" s="1">
        <v>1996</v>
      </c>
      <c r="AK3788" s="1" t="s">
        <v>49</v>
      </c>
      <c r="AL3788" s="1">
        <v>103</v>
      </c>
    </row>
    <row r="3789" spans="1:38" x14ac:dyDescent="0.2">
      <c r="A3789" s="2" t="str">
        <f>HYPERLINK("https://www.compass.com/listing/277-5th-avenue-unit-38a-manhattan-ny-10016/700956806970929521/","277 5th Ave, Unit 38A")</f>
        <v>277 5th Ave, Unit 38A</v>
      </c>
      <c r="B3789" s="2" t="str">
        <f t="shared" ref="B3789:B3792" si="639">HYPERLINK("https://www.compass.com/building/277-fifth-avenue-manhattan-ny/281939285475645317/","277 FIFTH AVENUE")</f>
        <v>277 FIFTH AVENUE</v>
      </c>
      <c r="C3789" s="1" t="s">
        <v>40</v>
      </c>
      <c r="D3789" s="1" t="s">
        <v>41</v>
      </c>
      <c r="E3789" s="3">
        <v>4500000</v>
      </c>
      <c r="F3789" s="1">
        <v>2522.42152466367</v>
      </c>
      <c r="G3789" s="1">
        <v>5</v>
      </c>
      <c r="H3789" s="1">
        <v>3</v>
      </c>
      <c r="I3789" s="1">
        <v>3</v>
      </c>
      <c r="J3789" s="1">
        <v>3</v>
      </c>
      <c r="K3789" s="1">
        <v>3</v>
      </c>
      <c r="M3789" s="4">
        <v>1784</v>
      </c>
      <c r="N3789" s="1">
        <v>2572</v>
      </c>
      <c r="O3789" s="1">
        <v>4850</v>
      </c>
      <c r="P3789" s="1">
        <v>2278</v>
      </c>
      <c r="Q3789" s="1" t="s">
        <v>42</v>
      </c>
      <c r="S3789" s="1" t="s">
        <v>42</v>
      </c>
      <c r="T3789" s="1" t="s">
        <v>273</v>
      </c>
      <c r="U3789" s="1">
        <v>53</v>
      </c>
      <c r="V3789" s="5">
        <v>44421</v>
      </c>
      <c r="W3789" s="5">
        <v>44218</v>
      </c>
      <c r="X3789" s="1">
        <v>4710000</v>
      </c>
      <c r="Y3789" s="1">
        <v>4710000</v>
      </c>
      <c r="Z3789" s="5">
        <v>44272</v>
      </c>
      <c r="AA3789" s="1">
        <v>4500000</v>
      </c>
      <c r="AB3789" s="1" t="s">
        <v>2550</v>
      </c>
      <c r="AC3789" s="5">
        <v>44291</v>
      </c>
      <c r="AF3789" s="1">
        <v>10016</v>
      </c>
      <c r="AI3789" s="1" t="s">
        <v>118</v>
      </c>
      <c r="AJ3789" s="1">
        <v>2019</v>
      </c>
      <c r="AK3789" s="1" t="s">
        <v>49</v>
      </c>
      <c r="AL3789" s="1">
        <v>130</v>
      </c>
    </row>
    <row r="3790" spans="1:38" x14ac:dyDescent="0.2">
      <c r="A3790" s="2" t="str">
        <f>HYPERLINK("https://www.compass.com/listing/277-5th-avenue-unit-41a-manhattan-ny-10016/364473352640509745/","277 5th Ave, Unit 41A")</f>
        <v>277 5th Ave, Unit 41A</v>
      </c>
      <c r="B3790" s="2" t="str">
        <f t="shared" si="639"/>
        <v>277 FIFTH AVENUE</v>
      </c>
      <c r="C3790" s="1" t="s">
        <v>40</v>
      </c>
      <c r="D3790" s="1" t="s">
        <v>41</v>
      </c>
      <c r="E3790" s="3">
        <v>3850000</v>
      </c>
      <c r="F3790" s="1">
        <v>2477.4774774774701</v>
      </c>
      <c r="G3790" s="1">
        <v>4</v>
      </c>
      <c r="H3790" s="1">
        <v>2</v>
      </c>
      <c r="I3790" s="1">
        <v>2</v>
      </c>
      <c r="J3790" s="1">
        <v>2</v>
      </c>
      <c r="K3790" s="1">
        <v>2</v>
      </c>
      <c r="M3790" s="4">
        <v>1554</v>
      </c>
      <c r="N3790" s="1">
        <v>2241</v>
      </c>
      <c r="O3790" s="1">
        <v>4680</v>
      </c>
      <c r="P3790" s="1">
        <v>2439</v>
      </c>
      <c r="Q3790" s="1" t="s">
        <v>42</v>
      </c>
      <c r="S3790" s="1" t="s">
        <v>42</v>
      </c>
      <c r="T3790" s="1" t="s">
        <v>273</v>
      </c>
      <c r="V3790" s="5">
        <v>44414</v>
      </c>
      <c r="W3790" s="5">
        <v>43754</v>
      </c>
      <c r="X3790" s="1">
        <v>4400000</v>
      </c>
      <c r="Y3790" s="1">
        <v>4400000</v>
      </c>
      <c r="Z3790" s="5">
        <v>44280</v>
      </c>
      <c r="AA3790" s="1">
        <v>3850000</v>
      </c>
      <c r="AB3790" s="1" t="s">
        <v>2551</v>
      </c>
      <c r="AC3790" s="5">
        <v>44314</v>
      </c>
      <c r="AF3790" s="1">
        <v>10016</v>
      </c>
      <c r="AI3790" s="1" t="s">
        <v>118</v>
      </c>
      <c r="AJ3790" s="1">
        <v>2019</v>
      </c>
      <c r="AK3790" s="1" t="s">
        <v>49</v>
      </c>
      <c r="AL3790" s="1">
        <v>130</v>
      </c>
    </row>
    <row r="3791" spans="1:38" x14ac:dyDescent="0.2">
      <c r="A3791" s="2" t="str">
        <f>HYPERLINK("https://www.compass.com/listing/277-5th-avenue-unit-33a-manhattan-ny-10016/426117414622808081/","277 5th Ave, Unit 33A")</f>
        <v>277 5th Ave, Unit 33A</v>
      </c>
      <c r="B3791" s="2" t="str">
        <f t="shared" si="639"/>
        <v>277 FIFTH AVENUE</v>
      </c>
      <c r="C3791" s="1" t="s">
        <v>40</v>
      </c>
      <c r="D3791" s="1" t="s">
        <v>41</v>
      </c>
      <c r="E3791" s="3">
        <v>4450000</v>
      </c>
      <c r="F3791" s="1">
        <v>2494.3946188340801</v>
      </c>
      <c r="G3791" s="1">
        <v>5</v>
      </c>
      <c r="H3791" s="1">
        <v>3</v>
      </c>
      <c r="I3791" s="1">
        <v>3</v>
      </c>
      <c r="J3791" s="1">
        <v>3</v>
      </c>
      <c r="K3791" s="1">
        <v>3</v>
      </c>
      <c r="M3791" s="4">
        <v>1784</v>
      </c>
      <c r="N3791" s="1">
        <v>2572</v>
      </c>
      <c r="O3791" s="1">
        <v>5372</v>
      </c>
      <c r="P3791" s="1">
        <v>2800</v>
      </c>
      <c r="Q3791" s="1" t="s">
        <v>42</v>
      </c>
      <c r="S3791" s="1" t="s">
        <v>42</v>
      </c>
      <c r="T3791" s="1" t="s">
        <v>273</v>
      </c>
      <c r="U3791" s="1">
        <v>60</v>
      </c>
      <c r="V3791" s="5">
        <v>43929</v>
      </c>
      <c r="W3791" s="5">
        <v>43839</v>
      </c>
      <c r="X3791" s="1">
        <v>4725000</v>
      </c>
      <c r="Y3791" s="1">
        <v>4465000</v>
      </c>
      <c r="Z3791" s="5">
        <v>43900</v>
      </c>
      <c r="AA3791" s="1">
        <v>4450000</v>
      </c>
      <c r="AB3791" s="1" t="s">
        <v>2552</v>
      </c>
      <c r="AC3791" s="5">
        <v>43921</v>
      </c>
      <c r="AF3791" s="1">
        <v>10016</v>
      </c>
      <c r="AI3791" s="1" t="s">
        <v>118</v>
      </c>
      <c r="AJ3791" s="1">
        <v>2019</v>
      </c>
      <c r="AK3791" s="1" t="s">
        <v>46</v>
      </c>
      <c r="AL3791" s="1">
        <v>130</v>
      </c>
    </row>
    <row r="3792" spans="1:38" x14ac:dyDescent="0.2">
      <c r="A3792" s="2" t="str">
        <f>HYPERLINK("https://www.compass.com/listing/277-5th-avenue-unit-46a-manhattan-ny-10016/784710251377289689/","277 5th Ave, Unit 46A")</f>
        <v>277 5th Ave, Unit 46A</v>
      </c>
      <c r="B3792" s="2" t="str">
        <f t="shared" si="639"/>
        <v>277 FIFTH AVENUE</v>
      </c>
      <c r="C3792" s="1" t="s">
        <v>40</v>
      </c>
      <c r="D3792" s="1" t="s">
        <v>41</v>
      </c>
      <c r="E3792" s="3">
        <v>5200000</v>
      </c>
      <c r="F3792" s="1">
        <v>2646.3104325699701</v>
      </c>
      <c r="G3792" s="1">
        <v>4</v>
      </c>
      <c r="H3792" s="1">
        <v>2</v>
      </c>
      <c r="I3792" s="1">
        <v>3</v>
      </c>
      <c r="J3792" s="1">
        <v>2.5</v>
      </c>
      <c r="K3792" s="1">
        <v>2</v>
      </c>
      <c r="L3792" s="1">
        <v>1</v>
      </c>
      <c r="M3792" s="4">
        <v>1965</v>
      </c>
      <c r="N3792" s="1">
        <v>2833.16</v>
      </c>
      <c r="O3792" s="1">
        <v>5342.16</v>
      </c>
      <c r="P3792" s="1">
        <v>2509</v>
      </c>
      <c r="Q3792" s="1" t="s">
        <v>42</v>
      </c>
      <c r="S3792" s="1" t="s">
        <v>42</v>
      </c>
      <c r="T3792" s="1" t="s">
        <v>273</v>
      </c>
      <c r="U3792" s="1">
        <v>158</v>
      </c>
      <c r="V3792" s="5">
        <v>44132</v>
      </c>
      <c r="W3792" s="5">
        <v>43839</v>
      </c>
      <c r="X3792" s="1">
        <v>6700000</v>
      </c>
      <c r="Y3792" s="1">
        <v>6100000</v>
      </c>
      <c r="Z3792" s="5">
        <v>44092</v>
      </c>
      <c r="AA3792" s="1">
        <v>5200000</v>
      </c>
      <c r="AB3792" s="1" t="s">
        <v>2476</v>
      </c>
      <c r="AC3792" s="5">
        <v>44120</v>
      </c>
      <c r="AF3792" s="1">
        <v>10016</v>
      </c>
      <c r="AI3792" s="1" t="s">
        <v>196</v>
      </c>
      <c r="AJ3792" s="1">
        <v>2019</v>
      </c>
      <c r="AK3792" s="1" t="s">
        <v>46</v>
      </c>
      <c r="AL3792" s="1">
        <v>130</v>
      </c>
    </row>
    <row r="3793" spans="1:38" x14ac:dyDescent="0.2">
      <c r="A3793" s="2" t="str">
        <f>HYPERLINK("https://www.compass.com/listing/505-513-west-43rd-street-unit-8g-manhattan-ny-10036/116551295745237249/","505-513 W 43rd St, Unit 8G")</f>
        <v>505-513 W 43rd St, Unit 8G</v>
      </c>
      <c r="B3793" s="2" t="str">
        <f t="shared" ref="B3793:B3796" si="640">HYPERLINK("https://www.compass.com/building/charlie-west-manhattan-ny/292918554372621509/","Charlie West")</f>
        <v>Charlie West</v>
      </c>
      <c r="C3793" s="1" t="s">
        <v>90</v>
      </c>
      <c r="D3793" s="1" t="s">
        <v>41</v>
      </c>
      <c r="E3793" s="3">
        <v>1715000</v>
      </c>
      <c r="F3793" s="1">
        <v>1860.08676789587</v>
      </c>
      <c r="G3793" s="1">
        <v>5</v>
      </c>
      <c r="H3793" s="1">
        <v>2</v>
      </c>
      <c r="I3793" s="1">
        <v>1</v>
      </c>
      <c r="J3793" s="1">
        <v>1</v>
      </c>
      <c r="K3793" s="1">
        <v>1</v>
      </c>
      <c r="M3793" s="1">
        <v>922</v>
      </c>
      <c r="N3793" s="1">
        <v>958.56</v>
      </c>
      <c r="O3793" s="1">
        <v>1769.42</v>
      </c>
      <c r="P3793" s="1">
        <v>810.83333333333303</v>
      </c>
      <c r="Q3793" s="1" t="s">
        <v>42</v>
      </c>
      <c r="S3793" s="1" t="s">
        <v>42</v>
      </c>
      <c r="T3793" s="1" t="s">
        <v>273</v>
      </c>
      <c r="U3793" s="1">
        <v>82</v>
      </c>
      <c r="V3793" s="5">
        <v>43792</v>
      </c>
      <c r="W3793" s="5">
        <v>43413</v>
      </c>
      <c r="X3793" s="1">
        <v>1785000</v>
      </c>
      <c r="Y3793" s="1">
        <v>1794000</v>
      </c>
      <c r="Z3793" s="5">
        <v>43495</v>
      </c>
      <c r="AA3793" s="1">
        <v>1715000</v>
      </c>
      <c r="AB3793" s="1" t="s">
        <v>2553</v>
      </c>
      <c r="AC3793" s="5">
        <v>43776</v>
      </c>
      <c r="AF3793" s="1">
        <v>10036</v>
      </c>
      <c r="AI3793" s="1" t="s">
        <v>61</v>
      </c>
      <c r="AJ3793" s="1">
        <v>2019</v>
      </c>
      <c r="AK3793" s="1" t="s">
        <v>46</v>
      </c>
      <c r="AL3793" s="1">
        <v>123</v>
      </c>
    </row>
    <row r="3794" spans="1:38" x14ac:dyDescent="0.2">
      <c r="A3794" s="2" t="str">
        <f>HYPERLINK("https://www.compass.com/listing/505-513-west-43rd-street-unit-6c-manhattan-ny-10036/29514246031269665/","505-513 W 43rd St, Unit 6C")</f>
        <v>505-513 W 43rd St, Unit 6C</v>
      </c>
      <c r="B3794" s="2" t="str">
        <f t="shared" si="640"/>
        <v>Charlie West</v>
      </c>
      <c r="C3794" s="1" t="s">
        <v>90</v>
      </c>
      <c r="D3794" s="1" t="s">
        <v>41</v>
      </c>
      <c r="E3794" s="3">
        <v>941881</v>
      </c>
      <c r="F3794" s="1">
        <v>1861.4249011857701</v>
      </c>
      <c r="G3794" s="1">
        <v>2</v>
      </c>
      <c r="H3794" s="1" t="s">
        <v>99</v>
      </c>
      <c r="I3794" s="1">
        <v>1</v>
      </c>
      <c r="J3794" s="1">
        <v>1</v>
      </c>
      <c r="K3794" s="1">
        <v>1</v>
      </c>
      <c r="M3794" s="1">
        <v>506</v>
      </c>
      <c r="N3794" s="1">
        <v>529</v>
      </c>
      <c r="O3794" s="1">
        <v>996</v>
      </c>
      <c r="P3794" s="1">
        <v>467</v>
      </c>
      <c r="Q3794" s="1" t="s">
        <v>249</v>
      </c>
      <c r="S3794" s="1" t="s">
        <v>250</v>
      </c>
      <c r="T3794" s="1" t="s">
        <v>273</v>
      </c>
      <c r="V3794" s="5">
        <v>44427</v>
      </c>
      <c r="W3794" s="5">
        <v>43202</v>
      </c>
      <c r="X3794" s="1">
        <v>925000</v>
      </c>
      <c r="Y3794" s="1">
        <v>925000</v>
      </c>
      <c r="Z3794" s="5">
        <v>43202</v>
      </c>
      <c r="AA3794" s="1">
        <v>941881</v>
      </c>
      <c r="AB3794" s="1" t="s">
        <v>2554</v>
      </c>
      <c r="AC3794" s="5">
        <v>43776</v>
      </c>
      <c r="AF3794" s="1">
        <v>10036</v>
      </c>
      <c r="AI3794" s="1" t="s">
        <v>118</v>
      </c>
      <c r="AJ3794" s="1">
        <v>2019</v>
      </c>
      <c r="AK3794" s="1" t="s">
        <v>49</v>
      </c>
      <c r="AL3794" s="1">
        <v>123</v>
      </c>
    </row>
    <row r="3795" spans="1:38" x14ac:dyDescent="0.2">
      <c r="A3795" s="2" t="str">
        <f>HYPERLINK("https://www.compass.com/listing/505-513-west-43rd-street-unit-7j-manhattan-ny-10036/29514248237378625/","505-513 W 43rd St, Unit 7J")</f>
        <v>505-513 W 43rd St, Unit 7J</v>
      </c>
      <c r="B3795" s="2" t="str">
        <f t="shared" si="640"/>
        <v>Charlie West</v>
      </c>
      <c r="C3795" s="1" t="s">
        <v>90</v>
      </c>
      <c r="D3795" s="1" t="s">
        <v>41</v>
      </c>
      <c r="E3795" s="3">
        <v>890968</v>
      </c>
      <c r="F3795" s="1">
        <v>1771.3081510934301</v>
      </c>
      <c r="G3795" s="1">
        <v>2</v>
      </c>
      <c r="H3795" s="1" t="s">
        <v>99</v>
      </c>
      <c r="I3795" s="1">
        <v>1</v>
      </c>
      <c r="J3795" s="1">
        <v>1</v>
      </c>
      <c r="K3795" s="1">
        <v>1</v>
      </c>
      <c r="M3795" s="1">
        <v>503</v>
      </c>
      <c r="N3795" s="1">
        <v>524</v>
      </c>
      <c r="O3795" s="1">
        <v>987</v>
      </c>
      <c r="Q3795" s="1" t="s">
        <v>2555</v>
      </c>
      <c r="S3795" s="1" t="s">
        <v>2556</v>
      </c>
      <c r="T3795" s="1" t="s">
        <v>273</v>
      </c>
      <c r="V3795" s="5">
        <v>44427</v>
      </c>
      <c r="W3795" s="5">
        <v>43097</v>
      </c>
      <c r="X3795" s="1">
        <v>875000</v>
      </c>
      <c r="Y3795" s="1">
        <v>875000</v>
      </c>
      <c r="Z3795" s="5">
        <v>43097</v>
      </c>
      <c r="AA3795" s="1">
        <v>890968.75</v>
      </c>
      <c r="AB3795" s="1" t="s">
        <v>2557</v>
      </c>
      <c r="AC3795" s="5">
        <v>43887</v>
      </c>
      <c r="AF3795" s="1">
        <v>10036</v>
      </c>
      <c r="AI3795" s="1" t="s">
        <v>170</v>
      </c>
      <c r="AJ3795" s="1">
        <v>2019</v>
      </c>
      <c r="AK3795" s="1" t="s">
        <v>49</v>
      </c>
      <c r="AL3795" s="1">
        <v>123</v>
      </c>
    </row>
    <row r="3796" spans="1:38" x14ac:dyDescent="0.2">
      <c r="A3796" s="2" t="str">
        <f>HYPERLINK("https://www.compass.com/listing/505-513-west-43rd-street-unit-4c-manhattan-ny-10036/29514249730646305/","505-513 W 43rd St, Unit 4C")</f>
        <v>505-513 W 43rd St, Unit 4C</v>
      </c>
      <c r="B3796" s="2" t="str">
        <f t="shared" si="640"/>
        <v>Charlie West</v>
      </c>
      <c r="C3796" s="1" t="s">
        <v>90</v>
      </c>
      <c r="D3796" s="1" t="s">
        <v>41</v>
      </c>
      <c r="E3796" s="3">
        <v>896060</v>
      </c>
      <c r="F3796" s="1">
        <v>1770.8695652173899</v>
      </c>
      <c r="G3796" s="1">
        <v>2</v>
      </c>
      <c r="H3796" s="1" t="s">
        <v>99</v>
      </c>
      <c r="I3796" s="1">
        <v>1</v>
      </c>
      <c r="J3796" s="1">
        <v>1</v>
      </c>
      <c r="K3796" s="1">
        <v>1</v>
      </c>
      <c r="M3796" s="1">
        <v>506</v>
      </c>
      <c r="N3796" s="1">
        <v>526</v>
      </c>
      <c r="O3796" s="1">
        <v>990</v>
      </c>
      <c r="P3796" s="1">
        <v>464</v>
      </c>
      <c r="Q3796" s="1" t="s">
        <v>249</v>
      </c>
      <c r="S3796" s="1" t="s">
        <v>250</v>
      </c>
      <c r="T3796" s="1" t="s">
        <v>273</v>
      </c>
      <c r="U3796" s="1">
        <v>191</v>
      </c>
      <c r="V3796" s="5">
        <v>44427</v>
      </c>
      <c r="W3796" s="5">
        <v>43039</v>
      </c>
      <c r="X3796" s="1">
        <v>895000</v>
      </c>
      <c r="Y3796" s="1">
        <v>895000</v>
      </c>
      <c r="Z3796" s="5">
        <v>43231</v>
      </c>
      <c r="AA3796" s="1">
        <v>896060</v>
      </c>
      <c r="AB3796" s="1" t="s">
        <v>2558</v>
      </c>
      <c r="AC3796" s="5">
        <v>43818</v>
      </c>
      <c r="AF3796" s="1">
        <v>10036</v>
      </c>
      <c r="AI3796" s="1" t="s">
        <v>170</v>
      </c>
      <c r="AJ3796" s="1">
        <v>2019</v>
      </c>
      <c r="AK3796" s="1" t="s">
        <v>49</v>
      </c>
      <c r="AL3796" s="1">
        <v>123</v>
      </c>
    </row>
    <row r="3797" spans="1:38" x14ac:dyDescent="0.2">
      <c r="A3797" s="2" t="str">
        <f>HYPERLINK("https://www.compass.com/listing/277-5th-avenue-unit-34a-manhattan-ny-10016/624059155613305721/","277 5th Ave, Unit 34A")</f>
        <v>277 5th Ave, Unit 34A</v>
      </c>
      <c r="B3797" s="2" t="str">
        <f t="shared" ref="B3797:B3798" si="641">HYPERLINK("https://www.compass.com/building/277-fifth-avenue-manhattan-ny/281939285475645317/","277 FIFTH AVENUE")</f>
        <v>277 FIFTH AVENUE</v>
      </c>
      <c r="C3797" s="1" t="s">
        <v>40</v>
      </c>
      <c r="D3797" s="1" t="s">
        <v>41</v>
      </c>
      <c r="E3797" s="3">
        <v>4275000</v>
      </c>
      <c r="F3797" s="1">
        <v>2396.3004484304902</v>
      </c>
      <c r="G3797" s="1">
        <v>5</v>
      </c>
      <c r="H3797" s="1">
        <v>3</v>
      </c>
      <c r="I3797" s="1">
        <v>3</v>
      </c>
      <c r="J3797" s="1">
        <v>3</v>
      </c>
      <c r="K3797" s="1">
        <v>3</v>
      </c>
      <c r="M3797" s="4">
        <v>1784</v>
      </c>
      <c r="N3797" s="1">
        <v>2572</v>
      </c>
      <c r="O3797" s="1">
        <v>4924</v>
      </c>
      <c r="P3797" s="1">
        <v>2352</v>
      </c>
      <c r="Q3797" s="1" t="s">
        <v>42</v>
      </c>
      <c r="S3797" s="1" t="s">
        <v>42</v>
      </c>
      <c r="T3797" s="1" t="s">
        <v>273</v>
      </c>
      <c r="U3797" s="1">
        <v>209</v>
      </c>
      <c r="V3797" s="5">
        <v>44419</v>
      </c>
      <c r="W3797" s="5">
        <v>44112</v>
      </c>
      <c r="X3797" s="1">
        <v>4510000</v>
      </c>
      <c r="Y3797" s="1">
        <v>4510000</v>
      </c>
      <c r="Z3797" s="5">
        <v>44385</v>
      </c>
      <c r="AA3797" s="1">
        <v>4275000</v>
      </c>
      <c r="AB3797" s="1" t="s">
        <v>275</v>
      </c>
      <c r="AC3797" s="5">
        <v>44410</v>
      </c>
      <c r="AF3797" s="1">
        <v>10016</v>
      </c>
      <c r="AI3797" s="1" t="s">
        <v>118</v>
      </c>
      <c r="AJ3797" s="1">
        <v>2019</v>
      </c>
      <c r="AK3797" s="1" t="s">
        <v>49</v>
      </c>
      <c r="AL3797" s="1">
        <v>130</v>
      </c>
    </row>
    <row r="3798" spans="1:38" x14ac:dyDescent="0.2">
      <c r="A3798" s="2" t="str">
        <f>HYPERLINK("https://www.compass.com/listing/277-5th-avenue-unit-33a-manhattan-ny-10016/23954486900888305/","277 5th Ave, Unit 33A")</f>
        <v>277 5th Ave, Unit 33A</v>
      </c>
      <c r="B3798" s="2" t="str">
        <f t="shared" si="641"/>
        <v>277 FIFTH AVENUE</v>
      </c>
      <c r="C3798" s="1" t="s">
        <v>40</v>
      </c>
      <c r="D3798" s="1" t="s">
        <v>41</v>
      </c>
      <c r="E3798" s="3">
        <v>4450000</v>
      </c>
      <c r="F3798" s="1">
        <v>2494.3946188340801</v>
      </c>
      <c r="G3798" s="1">
        <v>5</v>
      </c>
      <c r="H3798" s="1">
        <v>3</v>
      </c>
      <c r="I3798" s="1">
        <v>3</v>
      </c>
      <c r="J3798" s="1">
        <v>3</v>
      </c>
      <c r="K3798" s="1">
        <v>3</v>
      </c>
      <c r="M3798" s="4">
        <v>1784</v>
      </c>
      <c r="N3798" s="1">
        <v>2572</v>
      </c>
      <c r="O3798" s="1">
        <v>5372</v>
      </c>
      <c r="P3798" s="1">
        <v>2800</v>
      </c>
      <c r="Q3798" s="1" t="s">
        <v>42</v>
      </c>
      <c r="S3798" s="1" t="s">
        <v>42</v>
      </c>
      <c r="T3798" s="1" t="s">
        <v>273</v>
      </c>
      <c r="U3798" s="1">
        <v>300</v>
      </c>
      <c r="V3798" s="5">
        <v>43837</v>
      </c>
      <c r="W3798" s="5">
        <v>43536</v>
      </c>
      <c r="X3798" s="1">
        <v>4725000</v>
      </c>
      <c r="Y3798" s="1">
        <v>4725000</v>
      </c>
      <c r="AA3798" s="1">
        <v>4450000</v>
      </c>
      <c r="AB3798" s="1" t="s">
        <v>2552</v>
      </c>
      <c r="AC3798" s="5">
        <v>43921</v>
      </c>
      <c r="AF3798" s="1">
        <v>10016</v>
      </c>
      <c r="AI3798" s="1" t="s">
        <v>48</v>
      </c>
      <c r="AJ3798" s="1">
        <v>2019</v>
      </c>
      <c r="AK3798" s="1" t="s">
        <v>46</v>
      </c>
      <c r="AL3798" s="1">
        <v>130</v>
      </c>
    </row>
    <row r="3799" spans="1:38" x14ac:dyDescent="0.2">
      <c r="A3799" s="2" t="str">
        <f>HYPERLINK("https://www.compass.com/listing/20-east-end-avenue-unit-16b-manhattan-ny-10028/29425947140792865/","20 E End Ave, Unit 16B")</f>
        <v>20 E End Ave, Unit 16B</v>
      </c>
      <c r="B3799" s="2" t="str">
        <f>HYPERLINK("https://www.compass.com/building/20-e-end-ave-manhattan-ny-10028/281985490498985157/","20 E End Ave")</f>
        <v>20 E End Ave</v>
      </c>
      <c r="C3799" s="1" t="s">
        <v>82</v>
      </c>
      <c r="D3799" s="1" t="s">
        <v>41</v>
      </c>
      <c r="E3799" s="3">
        <v>11149838</v>
      </c>
      <c r="F3799" s="1">
        <v>3399.3408536585298</v>
      </c>
      <c r="G3799" s="1">
        <v>5</v>
      </c>
      <c r="H3799" s="1">
        <v>4</v>
      </c>
      <c r="I3799" s="1">
        <v>3</v>
      </c>
      <c r="J3799" s="1">
        <v>3.5</v>
      </c>
      <c r="K3799" s="1">
        <v>3</v>
      </c>
      <c r="L3799" s="1">
        <v>1</v>
      </c>
      <c r="M3799" s="4">
        <v>3280</v>
      </c>
      <c r="N3799" s="1">
        <v>4265</v>
      </c>
      <c r="O3799" s="1">
        <v>8830</v>
      </c>
      <c r="P3799" s="1">
        <v>4565</v>
      </c>
      <c r="Q3799" s="1" t="s">
        <v>42</v>
      </c>
      <c r="S3799" s="1" t="s">
        <v>42</v>
      </c>
      <c r="T3799" s="1" t="s">
        <v>273</v>
      </c>
      <c r="U3799" s="1">
        <v>38</v>
      </c>
      <c r="V3799" s="5">
        <v>43677</v>
      </c>
      <c r="W3799" s="5">
        <v>42039</v>
      </c>
      <c r="X3799" s="1">
        <v>10950000</v>
      </c>
      <c r="Y3799" s="1">
        <v>10950000</v>
      </c>
      <c r="Z3799" s="5">
        <v>42077</v>
      </c>
      <c r="AA3799" s="1">
        <v>11149838</v>
      </c>
      <c r="AB3799" s="1" t="s">
        <v>2559</v>
      </c>
      <c r="AC3799" s="5">
        <v>42868</v>
      </c>
      <c r="AF3799" s="1">
        <v>10028</v>
      </c>
      <c r="AI3799" s="1" t="s">
        <v>216</v>
      </c>
      <c r="AJ3799" s="1">
        <v>2017</v>
      </c>
      <c r="AK3799" s="1" t="s">
        <v>46</v>
      </c>
      <c r="AL3799" s="1">
        <v>41</v>
      </c>
    </row>
    <row r="3800" spans="1:38" x14ac:dyDescent="0.2">
      <c r="A3800" s="2" t="str">
        <f>HYPERLINK("https://www.compass.com/listing/301-east-81st-street-unit-16a-manhattan-ny-10028/781597809682745505/","301 E 81st St, Unit 16A")</f>
        <v>301 E 81st St, Unit 16A</v>
      </c>
      <c r="B3800" s="2" t="str">
        <f t="shared" ref="B3800:B3801" si="642">HYPERLINK("https://www.compass.com/building/beckford-house-manhattan-ny/293531205712863989/","Beckford House")</f>
        <v>Beckford House</v>
      </c>
      <c r="C3800" s="1" t="s">
        <v>82</v>
      </c>
      <c r="D3800" s="1" t="s">
        <v>41</v>
      </c>
      <c r="E3800" s="3">
        <v>9503368</v>
      </c>
      <c r="Q3800" s="1" t="s">
        <v>42</v>
      </c>
      <c r="S3800" s="1" t="s">
        <v>42</v>
      </c>
      <c r="T3800" s="1" t="s">
        <v>273</v>
      </c>
      <c r="AA3800" s="1">
        <v>9503368.4800000004</v>
      </c>
      <c r="AB3800" s="1" t="s">
        <v>2560</v>
      </c>
      <c r="AC3800" s="5">
        <v>44294</v>
      </c>
      <c r="AF3800" s="1">
        <v>10028</v>
      </c>
      <c r="AI3800" s="1" t="s">
        <v>140</v>
      </c>
      <c r="AJ3800" s="1">
        <v>2019</v>
      </c>
      <c r="AK3800" s="1" t="s">
        <v>202</v>
      </c>
      <c r="AL3800" s="1">
        <v>0</v>
      </c>
    </row>
    <row r="3801" spans="1:38" x14ac:dyDescent="0.2">
      <c r="A3801" s="2" t="str">
        <f>HYPERLINK("https://www.compass.com/listing/301-east-81st-street-unit-15a-manhattan-ny-10028/781598266023521129/","301 E 81st St, Unit 15A")</f>
        <v>301 E 81st St, Unit 15A</v>
      </c>
      <c r="B3801" s="2" t="str">
        <f t="shared" si="642"/>
        <v>Beckford House</v>
      </c>
      <c r="C3801" s="1" t="s">
        <v>82</v>
      </c>
      <c r="D3801" s="1" t="s">
        <v>41</v>
      </c>
      <c r="E3801" s="3">
        <v>10753368</v>
      </c>
      <c r="Q3801" s="1" t="s">
        <v>42</v>
      </c>
      <c r="S3801" s="1" t="s">
        <v>42</v>
      </c>
      <c r="T3801" s="1" t="s">
        <v>273</v>
      </c>
      <c r="AA3801" s="1">
        <v>10753368.48</v>
      </c>
      <c r="AB3801" s="1" t="s">
        <v>2561</v>
      </c>
      <c r="AC3801" s="5">
        <v>44294</v>
      </c>
      <c r="AF3801" s="1">
        <v>10028</v>
      </c>
      <c r="AI3801" s="1" t="s">
        <v>140</v>
      </c>
      <c r="AJ3801" s="1">
        <v>2019</v>
      </c>
      <c r="AK3801" s="1" t="s">
        <v>202</v>
      </c>
      <c r="AL3801" s="1">
        <v>0</v>
      </c>
    </row>
    <row r="3802" spans="1:38" x14ac:dyDescent="0.2">
      <c r="A3802" s="2" t="str">
        <f>HYPERLINK("https://www.compass.com/listing/300-east-64th-street-unit-8a-manhattan-ny-10065/29415719632464609/","300 E 64th St, Unit 8A")</f>
        <v>300 E 64th St, Unit 8A</v>
      </c>
      <c r="B3802" s="2" t="str">
        <f>HYPERLINK("https://www.compass.com/building/300-e-64th-st-manhattan-ny-10065/282038617012979925/","300 E 64th St")</f>
        <v>300 E 64th St</v>
      </c>
      <c r="C3802" s="1" t="s">
        <v>82</v>
      </c>
      <c r="D3802" s="1" t="s">
        <v>41</v>
      </c>
      <c r="E3802" s="3">
        <v>3975000</v>
      </c>
      <c r="F3802" s="1">
        <v>2160.3260869565202</v>
      </c>
      <c r="G3802" s="1">
        <v>3</v>
      </c>
      <c r="H3802" s="1">
        <v>3</v>
      </c>
      <c r="I3802" s="1">
        <v>3</v>
      </c>
      <c r="J3802" s="1">
        <v>3</v>
      </c>
      <c r="M3802" s="4">
        <v>1840</v>
      </c>
      <c r="N3802" s="1">
        <v>2810</v>
      </c>
      <c r="O3802" s="1">
        <v>6814</v>
      </c>
      <c r="P3802" s="1">
        <v>4004</v>
      </c>
      <c r="Q3802" s="1" t="s">
        <v>42</v>
      </c>
      <c r="S3802" s="1" t="s">
        <v>42</v>
      </c>
      <c r="T3802" s="1" t="s">
        <v>273</v>
      </c>
      <c r="U3802" s="1">
        <v>632</v>
      </c>
      <c r="V3802" s="5">
        <v>42504</v>
      </c>
      <c r="W3802" s="5">
        <v>41800</v>
      </c>
      <c r="X3802" s="1">
        <v>3975000</v>
      </c>
      <c r="Y3802" s="1">
        <v>3975000</v>
      </c>
      <c r="AA3802" s="1">
        <v>3975000</v>
      </c>
      <c r="AB3802" s="1" t="s">
        <v>2562</v>
      </c>
      <c r="AC3802" s="5">
        <v>42432</v>
      </c>
      <c r="AF3802" s="1">
        <v>10065</v>
      </c>
      <c r="AI3802" s="1" t="s">
        <v>2563</v>
      </c>
      <c r="AJ3802" s="1">
        <v>1996</v>
      </c>
      <c r="AK3802" s="1" t="s">
        <v>49</v>
      </c>
      <c r="AL3802" s="1">
        <v>103</v>
      </c>
    </row>
    <row r="3803" spans="1:38" x14ac:dyDescent="0.2">
      <c r="A3803" s="2" t="str">
        <f>HYPERLINK("https://www.compass.com/listing/505-513-west-43rd-street-unit-5j-manhattan-ny-10036/29514254394655793/","505-513 W 43rd St, Unit 5J")</f>
        <v>505-513 W 43rd St, Unit 5J</v>
      </c>
      <c r="B3803" s="2" t="str">
        <f>HYPERLINK("https://www.compass.com/building/charlie-west-manhattan-ny/292918554372621509/","Charlie West")</f>
        <v>Charlie West</v>
      </c>
      <c r="C3803" s="1" t="s">
        <v>90</v>
      </c>
      <c r="D3803" s="1" t="s">
        <v>41</v>
      </c>
      <c r="E3803" s="3">
        <v>865864</v>
      </c>
      <c r="F3803" s="1">
        <v>1721.3991053677901</v>
      </c>
      <c r="G3803" s="1">
        <v>2</v>
      </c>
      <c r="H3803" s="1" t="s">
        <v>99</v>
      </c>
      <c r="I3803" s="1">
        <v>1</v>
      </c>
      <c r="J3803" s="1">
        <v>1</v>
      </c>
      <c r="K3803" s="1">
        <v>1</v>
      </c>
      <c r="M3803" s="1">
        <v>503</v>
      </c>
      <c r="N3803" s="1">
        <v>520</v>
      </c>
      <c r="O3803" s="1">
        <v>980</v>
      </c>
      <c r="P3803" s="1">
        <v>460</v>
      </c>
      <c r="Q3803" s="1" t="s">
        <v>249</v>
      </c>
      <c r="S3803" s="1" t="s">
        <v>250</v>
      </c>
      <c r="T3803" s="1" t="s">
        <v>273</v>
      </c>
      <c r="U3803" s="1">
        <v>62</v>
      </c>
      <c r="V3803" s="5">
        <v>43795</v>
      </c>
      <c r="W3803" s="5">
        <v>43048</v>
      </c>
      <c r="X3803" s="1">
        <v>855000</v>
      </c>
      <c r="Y3803" s="1">
        <v>965000</v>
      </c>
      <c r="Z3803" s="5">
        <v>43110</v>
      </c>
      <c r="AA3803" s="1">
        <v>865863.75</v>
      </c>
      <c r="AB3803" s="1" t="s">
        <v>2564</v>
      </c>
      <c r="AC3803" s="5">
        <v>43781</v>
      </c>
      <c r="AF3803" s="1">
        <v>10036</v>
      </c>
      <c r="AI3803" s="1" t="s">
        <v>118</v>
      </c>
      <c r="AJ3803" s="1">
        <v>2019</v>
      </c>
      <c r="AK3803" s="1" t="s">
        <v>49</v>
      </c>
      <c r="AL3803" s="1">
        <v>123</v>
      </c>
    </row>
    <row r="3804" spans="1:38" x14ac:dyDescent="0.2">
      <c r="A3804" s="2" t="str">
        <f>HYPERLINK("https://www.compass.com/listing/15-west-61st-street-unit-14d-manhattan-ny-10023/841759996848655089/","15 W 61st St, Unit 14D")</f>
        <v>15 W 61st St, Unit 14D</v>
      </c>
      <c r="B3804" s="2" t="str">
        <f>HYPERLINK("https://www.compass.com/building/the-park-loggia-manhattan-ny/292861833130357557/","The Park Loggia")</f>
        <v>The Park Loggia</v>
      </c>
      <c r="C3804" s="1" t="s">
        <v>57</v>
      </c>
      <c r="D3804" s="1" t="s">
        <v>41</v>
      </c>
      <c r="E3804" s="3">
        <v>1570000</v>
      </c>
      <c r="F3804" s="1">
        <v>2350.2994011976002</v>
      </c>
      <c r="M3804" s="1">
        <v>668</v>
      </c>
      <c r="Q3804" s="1" t="s">
        <v>42</v>
      </c>
      <c r="S3804" s="1" t="s">
        <v>42</v>
      </c>
      <c r="T3804" s="1" t="s">
        <v>273</v>
      </c>
      <c r="AA3804" s="1">
        <v>1570000</v>
      </c>
      <c r="AB3804" s="1" t="s">
        <v>2565</v>
      </c>
      <c r="AC3804" s="5">
        <v>44400</v>
      </c>
      <c r="AF3804" s="1">
        <v>10023</v>
      </c>
      <c r="AI3804" s="1" t="s">
        <v>65</v>
      </c>
      <c r="AJ3804" s="1">
        <v>2019</v>
      </c>
      <c r="AK3804" s="1" t="s">
        <v>55</v>
      </c>
      <c r="AL3804" s="1">
        <v>172</v>
      </c>
    </row>
    <row r="3805" spans="1:38" x14ac:dyDescent="0.2">
      <c r="A3805" s="2" t="str">
        <f>HYPERLINK("https://www.compass.com/listing/301-east-81st-street-unit-10a-manhattan-ny-10028/410111962277501633/","301 E 81st St, Unit 10A")</f>
        <v>301 E 81st St, Unit 10A</v>
      </c>
      <c r="B3805" s="2" t="str">
        <f t="shared" ref="B3805:B3810" si="643">HYPERLINK("https://www.compass.com/building/beckford-house-manhattan-ny/293531205712863989/","Beckford House")</f>
        <v>Beckford House</v>
      </c>
      <c r="C3805" s="1" t="s">
        <v>82</v>
      </c>
      <c r="D3805" s="1" t="s">
        <v>41</v>
      </c>
      <c r="E3805" s="3">
        <v>5600000</v>
      </c>
      <c r="F3805" s="1">
        <v>2219.5798652397898</v>
      </c>
      <c r="G3805" s="1">
        <v>9.5</v>
      </c>
      <c r="H3805" s="1">
        <v>4</v>
      </c>
      <c r="I3805" s="1">
        <v>5</v>
      </c>
      <c r="J3805" s="1">
        <v>4.5</v>
      </c>
      <c r="K3805" s="1">
        <v>4</v>
      </c>
      <c r="L3805" s="1">
        <v>1</v>
      </c>
      <c r="M3805" s="4">
        <v>2523</v>
      </c>
      <c r="N3805" s="1">
        <v>3672</v>
      </c>
      <c r="O3805" s="1">
        <v>7660</v>
      </c>
      <c r="P3805" s="1">
        <v>3988</v>
      </c>
      <c r="Q3805" s="1" t="s">
        <v>42</v>
      </c>
      <c r="S3805" s="1" t="s">
        <v>42</v>
      </c>
      <c r="T3805" s="1" t="s">
        <v>273</v>
      </c>
      <c r="U3805" s="1">
        <v>195</v>
      </c>
      <c r="V3805" s="5">
        <v>44031</v>
      </c>
      <c r="W3805" s="5">
        <v>43740</v>
      </c>
      <c r="X3805" s="1">
        <v>5850000</v>
      </c>
      <c r="Y3805" s="1">
        <v>5850000</v>
      </c>
      <c r="AA3805" s="1">
        <v>5600000</v>
      </c>
      <c r="AB3805" s="1" t="s">
        <v>2566</v>
      </c>
      <c r="AC3805" s="5">
        <v>44133</v>
      </c>
      <c r="AF3805" s="1">
        <v>10028</v>
      </c>
      <c r="AI3805" s="1" t="s">
        <v>201</v>
      </c>
      <c r="AJ3805" s="1">
        <v>2019</v>
      </c>
      <c r="AK3805" s="1" t="s">
        <v>202</v>
      </c>
      <c r="AL3805" s="1">
        <v>0</v>
      </c>
    </row>
    <row r="3806" spans="1:38" x14ac:dyDescent="0.2">
      <c r="A3806" s="2" t="str">
        <f>HYPERLINK("https://www.compass.com/listing/301-east-81st-street-unit-12a-manhattan-ny-10028/618867647742029081/","301 E 81st St, Unit 12A")</f>
        <v>301 E 81st St, Unit 12A</v>
      </c>
      <c r="B3806" s="2" t="str">
        <f t="shared" si="643"/>
        <v>Beckford House</v>
      </c>
      <c r="C3806" s="1" t="s">
        <v>82</v>
      </c>
      <c r="D3806" s="1" t="s">
        <v>41</v>
      </c>
      <c r="E3806" s="3">
        <v>5775000</v>
      </c>
      <c r="F3806" s="1">
        <v>2288.9417360285302</v>
      </c>
      <c r="G3806" s="1">
        <v>6</v>
      </c>
      <c r="H3806" s="1">
        <v>4</v>
      </c>
      <c r="I3806" s="1">
        <v>5</v>
      </c>
      <c r="J3806" s="1">
        <v>4.5</v>
      </c>
      <c r="K3806" s="1">
        <v>4</v>
      </c>
      <c r="L3806" s="1">
        <v>1</v>
      </c>
      <c r="M3806" s="4">
        <v>2523</v>
      </c>
      <c r="N3806" s="1">
        <v>3707</v>
      </c>
      <c r="O3806" s="1">
        <v>7734</v>
      </c>
      <c r="P3806" s="1">
        <v>4027</v>
      </c>
      <c r="Q3806" s="1" t="s">
        <v>42</v>
      </c>
      <c r="S3806" s="1" t="s">
        <v>42</v>
      </c>
      <c r="T3806" s="1" t="s">
        <v>273</v>
      </c>
      <c r="V3806" s="5">
        <v>44314</v>
      </c>
      <c r="W3806" s="5">
        <v>43741</v>
      </c>
      <c r="X3806" s="1">
        <v>6175000</v>
      </c>
      <c r="Y3806" s="1">
        <v>6175000</v>
      </c>
      <c r="AA3806" s="1">
        <v>5775000</v>
      </c>
      <c r="AB3806" s="1" t="s">
        <v>2567</v>
      </c>
      <c r="AC3806" s="5">
        <v>44259</v>
      </c>
      <c r="AF3806" s="1">
        <v>10028</v>
      </c>
      <c r="AI3806" s="1" t="s">
        <v>201</v>
      </c>
      <c r="AJ3806" s="1">
        <v>2019</v>
      </c>
      <c r="AK3806" s="1" t="s">
        <v>49</v>
      </c>
      <c r="AL3806" s="1">
        <v>0</v>
      </c>
    </row>
    <row r="3807" spans="1:38" x14ac:dyDescent="0.2">
      <c r="A3807" s="2" t="str">
        <f>HYPERLINK("https://www.compass.com/listing/301-east-81st-street-unit-ph17-manhattan-ny-10028/637760822745327113/","301 E 81st St, Unit PH17")</f>
        <v>301 E 81st St, Unit PH17</v>
      </c>
      <c r="B3807" s="2" t="str">
        <f t="shared" si="643"/>
        <v>Beckford House</v>
      </c>
      <c r="C3807" s="1" t="s">
        <v>82</v>
      </c>
      <c r="D3807" s="1" t="s">
        <v>41</v>
      </c>
      <c r="E3807" s="3">
        <v>10000000</v>
      </c>
      <c r="F3807" s="1">
        <v>2946.3759575721801</v>
      </c>
      <c r="G3807" s="1">
        <v>8</v>
      </c>
      <c r="H3807" s="1">
        <v>4</v>
      </c>
      <c r="I3807" s="1">
        <v>5</v>
      </c>
      <c r="J3807" s="1">
        <v>4.5</v>
      </c>
      <c r="K3807" s="1">
        <v>4</v>
      </c>
      <c r="L3807" s="1">
        <v>1</v>
      </c>
      <c r="M3807" s="4">
        <v>3394</v>
      </c>
      <c r="N3807" s="1">
        <v>5441</v>
      </c>
      <c r="O3807" s="1">
        <v>11436</v>
      </c>
      <c r="P3807" s="1">
        <v>5995</v>
      </c>
      <c r="Q3807" s="1" t="s">
        <v>42</v>
      </c>
      <c r="S3807" s="1" t="s">
        <v>42</v>
      </c>
      <c r="T3807" s="1" t="s">
        <v>273</v>
      </c>
      <c r="U3807" s="1">
        <v>388</v>
      </c>
      <c r="V3807" s="5">
        <v>44369</v>
      </c>
      <c r="W3807" s="5">
        <v>43741</v>
      </c>
      <c r="X3807" s="1">
        <v>12000000</v>
      </c>
      <c r="Y3807" s="1">
        <v>12000000</v>
      </c>
      <c r="AA3807" s="1">
        <v>10000000</v>
      </c>
      <c r="AB3807" s="1" t="s">
        <v>2568</v>
      </c>
      <c r="AC3807" s="5">
        <v>44312</v>
      </c>
      <c r="AF3807" s="1">
        <v>10028</v>
      </c>
      <c r="AI3807" s="1" t="s">
        <v>2569</v>
      </c>
      <c r="AJ3807" s="1">
        <v>2019</v>
      </c>
      <c r="AK3807" s="1" t="s">
        <v>202</v>
      </c>
      <c r="AL3807" s="1">
        <v>0</v>
      </c>
    </row>
    <row r="3808" spans="1:38" x14ac:dyDescent="0.2">
      <c r="A3808" s="2" t="str">
        <f>HYPERLINK("https://www.compass.com/listing/301-east-81st-street-unit-ph20-manhattan-ny-10028/643601711204086537/","301 E 81st St, Unit PH20")</f>
        <v>301 E 81st St, Unit PH20</v>
      </c>
      <c r="B3808" s="2" t="str">
        <f t="shared" si="643"/>
        <v>Beckford House</v>
      </c>
      <c r="C3808" s="1" t="s">
        <v>82</v>
      </c>
      <c r="D3808" s="1" t="s">
        <v>41</v>
      </c>
      <c r="E3808" s="3">
        <v>15250000</v>
      </c>
      <c r="F3808" s="1">
        <v>2832.9927549693398</v>
      </c>
      <c r="G3808" s="1">
        <v>12.5</v>
      </c>
      <c r="H3808" s="1">
        <v>5</v>
      </c>
      <c r="I3808" s="1">
        <v>7</v>
      </c>
      <c r="J3808" s="1">
        <v>6.5</v>
      </c>
      <c r="K3808" s="1">
        <v>6</v>
      </c>
      <c r="L3808" s="1">
        <v>1</v>
      </c>
      <c r="M3808" s="4">
        <v>5383</v>
      </c>
      <c r="N3808" s="1">
        <v>8184</v>
      </c>
      <c r="O3808" s="1">
        <v>17073</v>
      </c>
      <c r="P3808" s="1">
        <v>8889</v>
      </c>
      <c r="Q3808" s="1" t="s">
        <v>42</v>
      </c>
      <c r="S3808" s="1" t="s">
        <v>42</v>
      </c>
      <c r="T3808" s="1" t="s">
        <v>273</v>
      </c>
      <c r="U3808" s="1">
        <v>472</v>
      </c>
      <c r="V3808" s="5">
        <v>44393</v>
      </c>
      <c r="W3808" s="5">
        <v>43741</v>
      </c>
      <c r="X3808" s="1">
        <v>16995000</v>
      </c>
      <c r="Y3808" s="1">
        <v>16995000</v>
      </c>
      <c r="AA3808" s="1">
        <v>15250000</v>
      </c>
      <c r="AB3808" s="1" t="s">
        <v>2542</v>
      </c>
      <c r="AC3808" s="5">
        <v>44371</v>
      </c>
      <c r="AF3808" s="1">
        <v>10028</v>
      </c>
      <c r="AI3808" s="1" t="s">
        <v>2458</v>
      </c>
      <c r="AJ3808" s="1">
        <v>2019</v>
      </c>
      <c r="AK3808" s="1" t="s">
        <v>202</v>
      </c>
      <c r="AL3808" s="1">
        <v>0</v>
      </c>
    </row>
    <row r="3809" spans="1:38" x14ac:dyDescent="0.2">
      <c r="A3809" s="2" t="str">
        <f>HYPERLINK("https://www.compass.com/listing/301-east-81st-street-unit-14a-manhattan-ny-10028/563766855540795185/","301 E 81st St, Unit 14A")</f>
        <v>301 E 81st St, Unit 14A</v>
      </c>
      <c r="B3809" s="2" t="str">
        <f t="shared" si="643"/>
        <v>Beckford House</v>
      </c>
      <c r="C3809" s="1" t="s">
        <v>82</v>
      </c>
      <c r="D3809" s="1" t="s">
        <v>41</v>
      </c>
      <c r="E3809" s="3">
        <v>6575000</v>
      </c>
      <c r="F3809" s="1">
        <v>2606.0245739199299</v>
      </c>
      <c r="G3809" s="1">
        <v>8</v>
      </c>
      <c r="H3809" s="1">
        <v>4</v>
      </c>
      <c r="I3809" s="1">
        <v>5</v>
      </c>
      <c r="J3809" s="1">
        <v>4.5</v>
      </c>
      <c r="K3809" s="1">
        <v>4</v>
      </c>
      <c r="L3809" s="1">
        <v>1</v>
      </c>
      <c r="M3809" s="4">
        <v>2523</v>
      </c>
      <c r="N3809" s="1">
        <v>3743</v>
      </c>
      <c r="O3809" s="1">
        <v>7808</v>
      </c>
      <c r="P3809" s="1">
        <v>4065</v>
      </c>
      <c r="Q3809" s="1" t="s">
        <v>42</v>
      </c>
      <c r="S3809" s="1" t="s">
        <v>42</v>
      </c>
      <c r="T3809" s="1" t="s">
        <v>273</v>
      </c>
      <c r="U3809" s="1">
        <v>270</v>
      </c>
      <c r="V3809" s="5">
        <v>44420</v>
      </c>
      <c r="W3809" s="5">
        <v>43741</v>
      </c>
      <c r="AA3809" s="1">
        <v>6575000</v>
      </c>
      <c r="AB3809" s="1" t="s">
        <v>275</v>
      </c>
      <c r="AC3809" s="5">
        <v>44385</v>
      </c>
      <c r="AF3809" s="1">
        <v>10028</v>
      </c>
      <c r="AI3809" s="1" t="s">
        <v>201</v>
      </c>
      <c r="AJ3809" s="1">
        <v>2019</v>
      </c>
      <c r="AK3809" s="1" t="s">
        <v>202</v>
      </c>
      <c r="AL3809" s="1">
        <v>0</v>
      </c>
    </row>
    <row r="3810" spans="1:38" x14ac:dyDescent="0.2">
      <c r="A3810" s="2" t="str">
        <f>HYPERLINK("https://www.compass.com/listing/301-east-81st-street-unit-10b-manhattan-ny-10028/825076993467548657/","301 E 81st St, Unit 10B")</f>
        <v>301 E 81st St, Unit 10B</v>
      </c>
      <c r="B3810" s="2" t="str">
        <f t="shared" si="643"/>
        <v>Beckford House</v>
      </c>
      <c r="C3810" s="1" t="s">
        <v>82</v>
      </c>
      <c r="D3810" s="1" t="s">
        <v>41</v>
      </c>
      <c r="E3810" s="3">
        <v>3300557</v>
      </c>
      <c r="F3810" s="1">
        <v>1994.2945196374601</v>
      </c>
      <c r="H3810" s="1">
        <v>2</v>
      </c>
      <c r="J3810" s="1">
        <v>2.5</v>
      </c>
      <c r="K3810" s="1">
        <v>2</v>
      </c>
      <c r="L3810" s="1">
        <v>1</v>
      </c>
      <c r="M3810" s="4">
        <v>1655</v>
      </c>
      <c r="N3810" s="1">
        <v>2402</v>
      </c>
      <c r="O3810" s="1">
        <v>5048</v>
      </c>
      <c r="P3810" s="1">
        <v>2646</v>
      </c>
      <c r="Q3810" s="1" t="s">
        <v>42</v>
      </c>
      <c r="S3810" s="1" t="s">
        <v>42</v>
      </c>
      <c r="T3810" s="1" t="s">
        <v>273</v>
      </c>
      <c r="AA3810" s="1">
        <v>3300557.43</v>
      </c>
      <c r="AB3810" s="1" t="s">
        <v>2570</v>
      </c>
      <c r="AC3810" s="5">
        <v>44272</v>
      </c>
      <c r="AF3810" s="1">
        <v>10028</v>
      </c>
      <c r="AI3810" s="1" t="s">
        <v>140</v>
      </c>
      <c r="AJ3810" s="1">
        <v>2019</v>
      </c>
      <c r="AK3810" s="1" t="s">
        <v>202</v>
      </c>
      <c r="AL3810" s="1">
        <v>0</v>
      </c>
    </row>
    <row r="3811" spans="1:38" x14ac:dyDescent="0.2">
      <c r="A3811" s="2" t="str">
        <f>HYPERLINK("https://www.compass.com/listing/88-lexington-avenue-unit-m1-manhattan-ny-10016/83951598962829889/","88 Lexington Ave, Unit M1")</f>
        <v>88 Lexington Ave, Unit M1</v>
      </c>
      <c r="B3811" s="2" t="str">
        <f>HYPERLINK("https://www.compass.com/building/88-90-lexington-avenue-manhattan-ny/281903945159296309/","88 &amp; 90 Lexington Avenue")</f>
        <v>88 &amp; 90 Lexington Avenue</v>
      </c>
      <c r="C3811" s="1" t="s">
        <v>198</v>
      </c>
      <c r="D3811" s="1" t="s">
        <v>41</v>
      </c>
      <c r="E3811" s="3">
        <v>3791410</v>
      </c>
      <c r="F3811" s="1">
        <v>1280.8817364864799</v>
      </c>
      <c r="G3811" s="1">
        <v>6</v>
      </c>
      <c r="H3811" s="1">
        <v>3</v>
      </c>
      <c r="I3811" s="1">
        <v>5</v>
      </c>
      <c r="J3811" s="1">
        <v>4.5</v>
      </c>
      <c r="K3811" s="1">
        <v>4</v>
      </c>
      <c r="L3811" s="1">
        <v>1</v>
      </c>
      <c r="M3811" s="4">
        <v>2960</v>
      </c>
      <c r="N3811" s="1">
        <v>2861</v>
      </c>
      <c r="O3811" s="1">
        <v>8047</v>
      </c>
      <c r="P3811" s="1">
        <v>5186</v>
      </c>
      <c r="Q3811" s="1" t="s">
        <v>42</v>
      </c>
      <c r="S3811" s="1" t="s">
        <v>42</v>
      </c>
      <c r="T3811" s="1" t="s">
        <v>273</v>
      </c>
      <c r="V3811" s="5">
        <v>43645</v>
      </c>
      <c r="W3811" s="5">
        <v>43363</v>
      </c>
      <c r="X3811" s="1">
        <v>4375000</v>
      </c>
      <c r="Y3811" s="1">
        <v>4375000</v>
      </c>
      <c r="Z3811" s="5">
        <v>43363</v>
      </c>
      <c r="AA3811" s="1">
        <v>3791409.94</v>
      </c>
      <c r="AB3811" s="1" t="s">
        <v>2571</v>
      </c>
      <c r="AC3811" s="5">
        <v>43488</v>
      </c>
      <c r="AF3811" s="1">
        <v>10016</v>
      </c>
      <c r="AI3811" s="1" t="s">
        <v>114</v>
      </c>
      <c r="AJ3811" s="1">
        <v>1927</v>
      </c>
      <c r="AK3811" s="1" t="s">
        <v>46</v>
      </c>
      <c r="AL3811" s="1">
        <v>70</v>
      </c>
    </row>
    <row r="3812" spans="1:38" x14ac:dyDescent="0.2">
      <c r="A3812" s="2" t="str">
        <f>HYPERLINK("https://www.compass.com/listing/20-east-end-avenue-unit-12b-manhattan-ny-10028/29425944691319297/","20 E End Ave, Unit 12B")</f>
        <v>20 E End Ave, Unit 12B</v>
      </c>
      <c r="B3812" s="2" t="str">
        <f>HYPERLINK("https://www.compass.com/building/20-e-end-ave-manhattan-ny-10028/281985490498985157/","20 E End Ave")</f>
        <v>20 E End Ave</v>
      </c>
      <c r="C3812" s="1" t="s">
        <v>82</v>
      </c>
      <c r="D3812" s="1" t="s">
        <v>41</v>
      </c>
      <c r="E3812" s="3">
        <v>14784990</v>
      </c>
      <c r="F3812" s="1">
        <v>3015.4986742810502</v>
      </c>
      <c r="G3812" s="1">
        <v>5</v>
      </c>
      <c r="H3812" s="1">
        <v>5</v>
      </c>
      <c r="I3812" s="1">
        <v>5</v>
      </c>
      <c r="J3812" s="1">
        <v>5.5</v>
      </c>
      <c r="K3812" s="1">
        <v>5</v>
      </c>
      <c r="L3812" s="1">
        <v>1</v>
      </c>
      <c r="M3812" s="4">
        <v>4903</v>
      </c>
      <c r="N3812" s="1">
        <v>6152.05</v>
      </c>
      <c r="O3812" s="1">
        <v>12729.01</v>
      </c>
      <c r="P3812" s="1">
        <v>6577</v>
      </c>
      <c r="Q3812" s="1" t="s">
        <v>42</v>
      </c>
      <c r="S3812" s="1" t="s">
        <v>42</v>
      </c>
      <c r="T3812" s="1" t="s">
        <v>273</v>
      </c>
      <c r="V3812" s="5">
        <v>43664</v>
      </c>
      <c r="W3812" s="5">
        <v>42073</v>
      </c>
      <c r="X3812" s="1">
        <v>8690000</v>
      </c>
      <c r="Y3812" s="1">
        <v>8690000</v>
      </c>
      <c r="Z3812" s="5">
        <v>42073</v>
      </c>
      <c r="AA3812" s="1">
        <v>14784990</v>
      </c>
      <c r="AB3812" s="1" t="s">
        <v>2572</v>
      </c>
      <c r="AC3812" s="5">
        <v>42836</v>
      </c>
      <c r="AF3812" s="1">
        <v>10028</v>
      </c>
      <c r="AJ3812" s="1">
        <v>2017</v>
      </c>
      <c r="AK3812" s="1" t="s">
        <v>46</v>
      </c>
      <c r="AL3812" s="1">
        <v>41</v>
      </c>
    </row>
    <row r="3813" spans="1:38" x14ac:dyDescent="0.2">
      <c r="A3813" s="2" t="str">
        <f>HYPERLINK("https://www.compass.com/listing/505-513-west-43rd-street-unit-7t-manhattan-ny-10036/598325319361171897/","505-513 W 43rd St, Unit 7T")</f>
        <v>505-513 W 43rd St, Unit 7T</v>
      </c>
      <c r="B3813" s="2" t="str">
        <f>HYPERLINK("https://www.compass.com/building/charlie-west-manhattan-ny/292918554372621509/","Charlie West")</f>
        <v>Charlie West</v>
      </c>
      <c r="C3813" s="1" t="s">
        <v>90</v>
      </c>
      <c r="D3813" s="1" t="s">
        <v>41</v>
      </c>
      <c r="E3813" s="3">
        <v>710629</v>
      </c>
      <c r="F3813" s="1">
        <v>1676.0117924528299</v>
      </c>
      <c r="G3813" s="1">
        <v>2</v>
      </c>
      <c r="H3813" s="1" t="s">
        <v>99</v>
      </c>
      <c r="I3813" s="1">
        <v>1</v>
      </c>
      <c r="J3813" s="1">
        <v>1</v>
      </c>
      <c r="K3813" s="1">
        <v>1</v>
      </c>
      <c r="M3813" s="1">
        <v>424</v>
      </c>
      <c r="N3813" s="1">
        <v>440</v>
      </c>
      <c r="O3813" s="1">
        <v>1075</v>
      </c>
      <c r="Q3813" s="1" t="s">
        <v>2555</v>
      </c>
      <c r="S3813" s="1" t="s">
        <v>2556</v>
      </c>
      <c r="T3813" s="1" t="s">
        <v>273</v>
      </c>
      <c r="V3813" s="5">
        <v>44338</v>
      </c>
      <c r="W3813" s="5">
        <v>44076</v>
      </c>
      <c r="X3813" s="1">
        <v>750000</v>
      </c>
      <c r="Y3813" s="1">
        <v>750000</v>
      </c>
      <c r="Z3813" s="5">
        <v>44076</v>
      </c>
      <c r="AA3813" s="1">
        <v>710629</v>
      </c>
      <c r="AB3813" s="1" t="s">
        <v>2573</v>
      </c>
      <c r="AC3813" s="5">
        <v>44295</v>
      </c>
      <c r="AF3813" s="1">
        <v>10036</v>
      </c>
      <c r="AI3813" s="1" t="s">
        <v>196</v>
      </c>
      <c r="AJ3813" s="1">
        <v>2019</v>
      </c>
      <c r="AK3813" s="1" t="s">
        <v>49</v>
      </c>
      <c r="AL3813" s="1">
        <v>123</v>
      </c>
    </row>
    <row r="3814" spans="1:38" x14ac:dyDescent="0.2">
      <c r="A3814" s="2" t="str">
        <f>HYPERLINK("https://www.compass.com/listing/15-west-61st-street-unit-26b-manhattan-ny-10023/812054300471610217/","15 W 61st St, Unit 26B")</f>
        <v>15 W 61st St, Unit 26B</v>
      </c>
      <c r="B3814" s="2" t="str">
        <f t="shared" ref="B3814:B3819" si="644">HYPERLINK("https://www.compass.com/building/the-park-loggia-manhattan-ny/292861833130357557/","The Park Loggia")</f>
        <v>The Park Loggia</v>
      </c>
      <c r="C3814" s="1" t="s">
        <v>57</v>
      </c>
      <c r="D3814" s="1" t="s">
        <v>41</v>
      </c>
      <c r="E3814" s="3">
        <v>3260000</v>
      </c>
      <c r="F3814" s="1">
        <v>2822.5108225108202</v>
      </c>
      <c r="H3814" s="1">
        <v>2</v>
      </c>
      <c r="J3814" s="1">
        <v>2</v>
      </c>
      <c r="K3814" s="1">
        <v>2</v>
      </c>
      <c r="M3814" s="4">
        <v>1155</v>
      </c>
      <c r="N3814" s="1">
        <v>1193</v>
      </c>
      <c r="O3814" s="1">
        <v>2373</v>
      </c>
      <c r="P3814" s="1">
        <v>1180</v>
      </c>
      <c r="Q3814" s="1" t="s">
        <v>42</v>
      </c>
      <c r="S3814" s="1" t="s">
        <v>42</v>
      </c>
      <c r="T3814" s="1" t="s">
        <v>273</v>
      </c>
      <c r="AA3814" s="1">
        <v>3260000</v>
      </c>
      <c r="AB3814" s="1" t="s">
        <v>2574</v>
      </c>
      <c r="AC3814" s="5">
        <v>44337</v>
      </c>
      <c r="AF3814" s="1">
        <v>10023</v>
      </c>
      <c r="AI3814" s="1" t="s">
        <v>65</v>
      </c>
      <c r="AJ3814" s="1">
        <v>2019</v>
      </c>
      <c r="AK3814" s="1" t="s">
        <v>55</v>
      </c>
      <c r="AL3814" s="1">
        <v>172</v>
      </c>
    </row>
    <row r="3815" spans="1:38" x14ac:dyDescent="0.2">
      <c r="A3815" s="2" t="str">
        <f>HYPERLINK("https://www.compass.com/listing/15-west-61st-street-unit-11f-manhattan-ny-10023/817835428969389441/","15 W 61st St, Unit 11F")</f>
        <v>15 W 61st St, Unit 11F</v>
      </c>
      <c r="B3815" s="2" t="str">
        <f t="shared" si="644"/>
        <v>The Park Loggia</v>
      </c>
      <c r="C3815" s="1" t="s">
        <v>57</v>
      </c>
      <c r="D3815" s="1" t="s">
        <v>41</v>
      </c>
      <c r="E3815" s="3">
        <v>3135000</v>
      </c>
      <c r="F3815" s="1">
        <v>2616.8614357262099</v>
      </c>
      <c r="H3815" s="1">
        <v>2</v>
      </c>
      <c r="J3815" s="1">
        <v>2</v>
      </c>
      <c r="K3815" s="1">
        <v>2</v>
      </c>
      <c r="M3815" s="4">
        <v>1198</v>
      </c>
      <c r="N3815" s="1">
        <v>1232</v>
      </c>
      <c r="O3815" s="1">
        <v>2417</v>
      </c>
      <c r="P3815" s="1">
        <v>1185</v>
      </c>
      <c r="Q3815" s="1" t="s">
        <v>42</v>
      </c>
      <c r="S3815" s="1" t="s">
        <v>42</v>
      </c>
      <c r="T3815" s="1" t="s">
        <v>273</v>
      </c>
      <c r="AA3815" s="1">
        <v>3135000</v>
      </c>
      <c r="AB3815" s="1" t="s">
        <v>2575</v>
      </c>
      <c r="AC3815" s="5">
        <v>44364</v>
      </c>
      <c r="AF3815" s="1">
        <v>10023</v>
      </c>
      <c r="AI3815" s="1" t="s">
        <v>65</v>
      </c>
      <c r="AJ3815" s="1">
        <v>2019</v>
      </c>
      <c r="AK3815" s="1" t="s">
        <v>55</v>
      </c>
      <c r="AL3815" s="1">
        <v>172</v>
      </c>
    </row>
    <row r="3816" spans="1:38" x14ac:dyDescent="0.2">
      <c r="A3816" s="2" t="str">
        <f>HYPERLINK("https://www.compass.com/listing/15-west-61st-street-unit-10f-manhattan-ny-10023/841525620063847825/","15 W 61st St, Unit 10F")</f>
        <v>15 W 61st St, Unit 10F</v>
      </c>
      <c r="B3816" s="2" t="str">
        <f t="shared" si="644"/>
        <v>The Park Loggia</v>
      </c>
      <c r="C3816" s="1" t="s">
        <v>57</v>
      </c>
      <c r="D3816" s="1" t="s">
        <v>41</v>
      </c>
      <c r="E3816" s="3">
        <v>3283000</v>
      </c>
      <c r="F3816" s="1">
        <v>2740.4006677796301</v>
      </c>
      <c r="H3816" s="1">
        <v>2</v>
      </c>
      <c r="J3816" s="1">
        <v>2</v>
      </c>
      <c r="K3816" s="1">
        <v>2</v>
      </c>
      <c r="M3816" s="4">
        <v>1198</v>
      </c>
      <c r="N3816" s="1">
        <v>1232</v>
      </c>
      <c r="O3816" s="1">
        <v>2417</v>
      </c>
      <c r="P3816" s="1">
        <v>1185</v>
      </c>
      <c r="Q3816" s="1" t="s">
        <v>42</v>
      </c>
      <c r="S3816" s="1" t="s">
        <v>42</v>
      </c>
      <c r="T3816" s="1" t="s">
        <v>273</v>
      </c>
      <c r="AA3816" s="1">
        <v>3283000</v>
      </c>
      <c r="AB3816" s="1" t="s">
        <v>2576</v>
      </c>
      <c r="AC3816" s="5">
        <v>43906</v>
      </c>
      <c r="AF3816" s="1">
        <v>10023</v>
      </c>
      <c r="AI3816" s="1" t="s">
        <v>65</v>
      </c>
      <c r="AJ3816" s="1">
        <v>2019</v>
      </c>
      <c r="AK3816" s="1" t="s">
        <v>55</v>
      </c>
      <c r="AL3816" s="1">
        <v>172</v>
      </c>
    </row>
    <row r="3817" spans="1:38" x14ac:dyDescent="0.2">
      <c r="A3817" s="2" t="str">
        <f>HYPERLINK("https://www.compass.com/listing/15-west-61st-street-unit-9b-manhattan-ny-10023/841525625919617489/","15 W 61st St, Unit 9B")</f>
        <v>15 W 61st St, Unit 9B</v>
      </c>
      <c r="B3817" s="2" t="str">
        <f t="shared" si="644"/>
        <v>The Park Loggia</v>
      </c>
      <c r="C3817" s="1" t="s">
        <v>57</v>
      </c>
      <c r="D3817" s="1" t="s">
        <v>41</v>
      </c>
      <c r="E3817" s="3">
        <v>3291919</v>
      </c>
      <c r="F3817" s="1">
        <v>2641.9893659711001</v>
      </c>
      <c r="H3817" s="1">
        <v>2</v>
      </c>
      <c r="J3817" s="1">
        <v>2</v>
      </c>
      <c r="K3817" s="1">
        <v>2</v>
      </c>
      <c r="M3817" s="4">
        <v>1246</v>
      </c>
      <c r="N3817" s="1">
        <v>1284</v>
      </c>
      <c r="O3817" s="1">
        <v>2554</v>
      </c>
      <c r="P3817" s="1">
        <v>1270</v>
      </c>
      <c r="Q3817" s="1" t="s">
        <v>42</v>
      </c>
      <c r="S3817" s="1" t="s">
        <v>42</v>
      </c>
      <c r="T3817" s="1" t="s">
        <v>273</v>
      </c>
      <c r="AA3817" s="1">
        <v>3291918.75</v>
      </c>
      <c r="AB3817" s="1" t="s">
        <v>2577</v>
      </c>
      <c r="AC3817" s="5">
        <v>43860</v>
      </c>
      <c r="AF3817" s="1">
        <v>10023</v>
      </c>
      <c r="AI3817" s="1" t="s">
        <v>65</v>
      </c>
      <c r="AJ3817" s="1">
        <v>2019</v>
      </c>
      <c r="AK3817" s="1" t="s">
        <v>55</v>
      </c>
      <c r="AL3817" s="1">
        <v>172</v>
      </c>
    </row>
    <row r="3818" spans="1:38" x14ac:dyDescent="0.2">
      <c r="A3818" s="2" t="str">
        <f>HYPERLINK("https://www.compass.com/listing/15-west-61st-street-unit-10b-manhattan-ny-10023/841531537614999409/","15 W 61st St, Unit 10B")</f>
        <v>15 W 61st St, Unit 10B</v>
      </c>
      <c r="B3818" s="2" t="str">
        <f t="shared" si="644"/>
        <v>The Park Loggia</v>
      </c>
      <c r="C3818" s="1" t="s">
        <v>57</v>
      </c>
      <c r="D3818" s="1" t="s">
        <v>41</v>
      </c>
      <c r="E3818" s="3">
        <v>3268688</v>
      </c>
      <c r="F3818" s="1">
        <v>2623.34470304975</v>
      </c>
      <c r="H3818" s="1">
        <v>2</v>
      </c>
      <c r="J3818" s="1">
        <v>2</v>
      </c>
      <c r="K3818" s="1">
        <v>2</v>
      </c>
      <c r="M3818" s="4">
        <v>1246</v>
      </c>
      <c r="N3818" s="1">
        <v>1284</v>
      </c>
      <c r="O3818" s="1">
        <v>2554</v>
      </c>
      <c r="P3818" s="1">
        <v>1270</v>
      </c>
      <c r="Q3818" s="1" t="s">
        <v>42</v>
      </c>
      <c r="S3818" s="1" t="s">
        <v>42</v>
      </c>
      <c r="T3818" s="1" t="s">
        <v>273</v>
      </c>
      <c r="AA3818" s="1">
        <v>3268687.5</v>
      </c>
      <c r="AB3818" s="1" t="s">
        <v>2578</v>
      </c>
      <c r="AC3818" s="5">
        <v>43866</v>
      </c>
      <c r="AF3818" s="1">
        <v>10023</v>
      </c>
      <c r="AI3818" s="1" t="s">
        <v>65</v>
      </c>
      <c r="AJ3818" s="1">
        <v>2019</v>
      </c>
      <c r="AK3818" s="1" t="s">
        <v>55</v>
      </c>
      <c r="AL3818" s="1">
        <v>172</v>
      </c>
    </row>
    <row r="3819" spans="1:38" x14ac:dyDescent="0.2">
      <c r="A3819" s="2" t="str">
        <f>HYPERLINK("https://www.compass.com/listing/15-west-61st-street-unit-14b-manhattan-ny-10023/841536494091058329/","15 W 61st St, Unit 14B")</f>
        <v>15 W 61st St, Unit 14B</v>
      </c>
      <c r="B3819" s="2" t="str">
        <f t="shared" si="644"/>
        <v>The Park Loggia</v>
      </c>
      <c r="C3819" s="1" t="s">
        <v>57</v>
      </c>
      <c r="D3819" s="1" t="s">
        <v>41</v>
      </c>
      <c r="E3819" s="3">
        <v>3361354</v>
      </c>
      <c r="F3819" s="1">
        <v>2697.7157704654801</v>
      </c>
      <c r="H3819" s="1">
        <v>2</v>
      </c>
      <c r="J3819" s="1">
        <v>2</v>
      </c>
      <c r="K3819" s="1">
        <v>2</v>
      </c>
      <c r="M3819" s="4">
        <v>1246</v>
      </c>
      <c r="N3819" s="1">
        <v>1320</v>
      </c>
      <c r="O3819" s="1">
        <v>2590</v>
      </c>
      <c r="P3819" s="1">
        <v>1270</v>
      </c>
      <c r="Q3819" s="1" t="s">
        <v>42</v>
      </c>
      <c r="S3819" s="1" t="s">
        <v>42</v>
      </c>
      <c r="T3819" s="1" t="s">
        <v>273</v>
      </c>
      <c r="AA3819" s="1">
        <v>3361353.85</v>
      </c>
      <c r="AB3819" s="1" t="s">
        <v>2579</v>
      </c>
      <c r="AC3819" s="5">
        <v>43868</v>
      </c>
      <c r="AF3819" s="1">
        <v>10023</v>
      </c>
      <c r="AI3819" s="1" t="s">
        <v>65</v>
      </c>
      <c r="AJ3819" s="1">
        <v>2019</v>
      </c>
      <c r="AK3819" s="1" t="s">
        <v>55</v>
      </c>
      <c r="AL3819" s="1">
        <v>172</v>
      </c>
    </row>
    <row r="3820" spans="1:38" x14ac:dyDescent="0.2">
      <c r="A3820" s="2" t="str">
        <f>HYPERLINK("https://www.compass.com/listing/1-west-end-avenue-unit-15g-manhattan-ny-10023/29397373167866449/","1 W End Ave, Unit 15G")</f>
        <v>1 W End Ave, Unit 15G</v>
      </c>
      <c r="B3820" s="2" t="str">
        <f>HYPERLINK("https://www.compass.com/building/1-w-end-ave-manhattan-ny-10023/455676159137755317/","1 W End Ave")</f>
        <v>1 W End Ave</v>
      </c>
      <c r="C3820" s="1" t="s">
        <v>57</v>
      </c>
      <c r="D3820" s="1" t="s">
        <v>41</v>
      </c>
      <c r="E3820" s="3">
        <v>2278056</v>
      </c>
      <c r="F3820" s="1">
        <v>1911.1210989932799</v>
      </c>
      <c r="G3820" s="1">
        <v>4</v>
      </c>
      <c r="H3820" s="1">
        <v>2</v>
      </c>
      <c r="I3820" s="1">
        <v>2</v>
      </c>
      <c r="J3820" s="1">
        <v>2</v>
      </c>
      <c r="K3820" s="1">
        <v>2</v>
      </c>
      <c r="M3820" s="4">
        <v>1192</v>
      </c>
      <c r="N3820" s="1">
        <v>1473</v>
      </c>
      <c r="O3820" s="1">
        <v>1559</v>
      </c>
      <c r="P3820" s="1">
        <v>86</v>
      </c>
      <c r="Q3820" s="1" t="s">
        <v>42</v>
      </c>
      <c r="S3820" s="1" t="s">
        <v>42</v>
      </c>
      <c r="T3820" s="1" t="s">
        <v>273</v>
      </c>
      <c r="U3820" s="1">
        <v>1</v>
      </c>
      <c r="V3820" s="5">
        <v>43606</v>
      </c>
      <c r="W3820" s="5">
        <v>42198</v>
      </c>
      <c r="X3820" s="1">
        <v>2365000</v>
      </c>
      <c r="Y3820" s="1">
        <v>2365000</v>
      </c>
      <c r="Z3820" s="5">
        <v>42199</v>
      </c>
      <c r="AA3820" s="1">
        <v>2278056.35</v>
      </c>
      <c r="AB3820" s="1" t="s">
        <v>2580</v>
      </c>
      <c r="AC3820" s="5">
        <v>43056</v>
      </c>
      <c r="AF3820" s="1">
        <v>10023</v>
      </c>
      <c r="AI3820" s="1" t="s">
        <v>60</v>
      </c>
      <c r="AJ3820" s="1">
        <v>2017</v>
      </c>
      <c r="AK3820" s="1" t="s">
        <v>108</v>
      </c>
      <c r="AL3820" s="1">
        <v>246</v>
      </c>
    </row>
    <row r="3821" spans="1:38" x14ac:dyDescent="0.2">
      <c r="A3821" s="2" t="str">
        <f>HYPERLINK("https://www.compass.com/listing/20-east-end-avenue-unit-4b-manhattan-ny-10028/29425934608212289/","20 E End Ave, Unit 4B")</f>
        <v>20 E End Ave, Unit 4B</v>
      </c>
      <c r="B3821" s="2" t="str">
        <f t="shared" ref="B3821:B3829" si="645">HYPERLINK("https://www.compass.com/building/20-e-end-ave-manhattan-ny-10028/281985490498985157/","20 E End Ave")</f>
        <v>20 E End Ave</v>
      </c>
      <c r="C3821" s="1" t="s">
        <v>82</v>
      </c>
      <c r="D3821" s="1" t="s">
        <v>41</v>
      </c>
      <c r="E3821" s="3">
        <v>7127750</v>
      </c>
      <c r="F3821" s="1">
        <v>2128.3218871304798</v>
      </c>
      <c r="G3821" s="1">
        <v>8</v>
      </c>
      <c r="H3821" s="1">
        <v>4</v>
      </c>
      <c r="I3821" s="1">
        <v>4</v>
      </c>
      <c r="J3821" s="1">
        <v>4</v>
      </c>
      <c r="K3821" s="1">
        <v>4</v>
      </c>
      <c r="M3821" s="4">
        <v>3349</v>
      </c>
      <c r="N3821" s="1">
        <v>4042</v>
      </c>
      <c r="O3821" s="1">
        <v>8363</v>
      </c>
      <c r="P3821" s="1">
        <v>4321</v>
      </c>
      <c r="Q3821" s="1" t="s">
        <v>42</v>
      </c>
      <c r="S3821" s="1" t="s">
        <v>42</v>
      </c>
      <c r="T3821" s="1" t="s">
        <v>273</v>
      </c>
      <c r="V3821" s="5">
        <v>43673</v>
      </c>
      <c r="W3821" s="5">
        <v>42565</v>
      </c>
      <c r="X3821" s="1">
        <v>8070000</v>
      </c>
      <c r="Y3821" s="1">
        <v>8070000</v>
      </c>
      <c r="Z3821" s="5">
        <v>42565</v>
      </c>
      <c r="AA3821" s="1">
        <v>7127750</v>
      </c>
      <c r="AB3821" s="1" t="s">
        <v>2581</v>
      </c>
      <c r="AC3821" s="5">
        <v>42627</v>
      </c>
      <c r="AF3821" s="1">
        <v>10028</v>
      </c>
      <c r="AJ3821" s="1">
        <v>2017</v>
      </c>
      <c r="AK3821" s="1" t="s">
        <v>46</v>
      </c>
      <c r="AL3821" s="1">
        <v>41</v>
      </c>
    </row>
    <row r="3822" spans="1:38" x14ac:dyDescent="0.2">
      <c r="A3822" s="2" t="str">
        <f>HYPERLINK("https://www.compass.com/listing/20-east-end-avenue-unit-4d-manhattan-ny-10028/29425935975555409/","20 E End Ave, Unit 4D")</f>
        <v>20 E End Ave, Unit 4D</v>
      </c>
      <c r="B3822" s="2" t="str">
        <f t="shared" si="645"/>
        <v>20 E End Ave</v>
      </c>
      <c r="C3822" s="1" t="s">
        <v>82</v>
      </c>
      <c r="D3822" s="1" t="s">
        <v>41</v>
      </c>
      <c r="E3822" s="3">
        <v>6610778</v>
      </c>
      <c r="F3822" s="1">
        <v>2207.2714524206999</v>
      </c>
      <c r="G3822" s="1">
        <v>6</v>
      </c>
      <c r="H3822" s="1">
        <v>4</v>
      </c>
      <c r="I3822" s="1">
        <v>4</v>
      </c>
      <c r="J3822" s="1">
        <v>4</v>
      </c>
      <c r="K3822" s="1">
        <v>4</v>
      </c>
      <c r="M3822" s="4">
        <v>2995</v>
      </c>
      <c r="N3822" s="1">
        <v>3615</v>
      </c>
      <c r="O3822" s="1">
        <v>7479</v>
      </c>
      <c r="P3822" s="1">
        <v>3864</v>
      </c>
      <c r="Q3822" s="1" t="s">
        <v>42</v>
      </c>
      <c r="S3822" s="1" t="s">
        <v>42</v>
      </c>
      <c r="T3822" s="1" t="s">
        <v>273</v>
      </c>
      <c r="U3822" s="1">
        <v>6</v>
      </c>
      <c r="V3822" s="5">
        <v>43672</v>
      </c>
      <c r="W3822" s="5">
        <v>42403</v>
      </c>
      <c r="X3822" s="1">
        <v>6525000</v>
      </c>
      <c r="Y3822" s="1">
        <v>6525000</v>
      </c>
      <c r="Z3822" s="5">
        <v>42409</v>
      </c>
      <c r="AA3822" s="1">
        <v>6610778</v>
      </c>
      <c r="AB3822" s="1" t="s">
        <v>2582</v>
      </c>
      <c r="AC3822" s="5">
        <v>42704</v>
      </c>
      <c r="AF3822" s="1">
        <v>10028</v>
      </c>
      <c r="AJ3822" s="1">
        <v>2017</v>
      </c>
      <c r="AK3822" s="1" t="s">
        <v>46</v>
      </c>
      <c r="AL3822" s="1">
        <v>41</v>
      </c>
    </row>
    <row r="3823" spans="1:38" x14ac:dyDescent="0.2">
      <c r="A3823" s="2" t="str">
        <f>HYPERLINK("https://www.compass.com/listing/20-east-end-avenue-unit-5b-manhattan-ny-10028/29425936755625057/","20 E End Ave, Unit 5B")</f>
        <v>20 E End Ave, Unit 5B</v>
      </c>
      <c r="B3823" s="2" t="str">
        <f t="shared" si="645"/>
        <v>20 E End Ave</v>
      </c>
      <c r="C3823" s="1" t="s">
        <v>82</v>
      </c>
      <c r="D3823" s="1" t="s">
        <v>41</v>
      </c>
      <c r="E3823" s="3">
        <v>8064540</v>
      </c>
      <c r="F3823" s="1">
        <v>2408.0441922962</v>
      </c>
      <c r="G3823" s="1">
        <v>8</v>
      </c>
      <c r="H3823" s="1">
        <v>4</v>
      </c>
      <c r="I3823" s="1">
        <v>4</v>
      </c>
      <c r="J3823" s="1">
        <v>4</v>
      </c>
      <c r="K3823" s="1">
        <v>4</v>
      </c>
      <c r="M3823" s="4">
        <v>3349</v>
      </c>
      <c r="N3823" s="1">
        <v>4062</v>
      </c>
      <c r="O3823" s="1">
        <v>8372</v>
      </c>
      <c r="P3823" s="1">
        <v>4310</v>
      </c>
      <c r="Q3823" s="1" t="s">
        <v>42</v>
      </c>
      <c r="S3823" s="1" t="s">
        <v>42</v>
      </c>
      <c r="T3823" s="1" t="s">
        <v>273</v>
      </c>
      <c r="U3823" s="1">
        <v>53</v>
      </c>
      <c r="V3823" s="5">
        <v>43675</v>
      </c>
      <c r="W3823" s="5">
        <v>42020</v>
      </c>
      <c r="X3823" s="1">
        <v>7920000</v>
      </c>
      <c r="Y3823" s="1">
        <v>7920000</v>
      </c>
      <c r="Z3823" s="5">
        <v>42073</v>
      </c>
      <c r="AA3823" s="1">
        <v>8064540</v>
      </c>
      <c r="AB3823" s="1" t="s">
        <v>2583</v>
      </c>
      <c r="AC3823" s="5">
        <v>42650</v>
      </c>
      <c r="AF3823" s="1">
        <v>10028</v>
      </c>
      <c r="AJ3823" s="1">
        <v>2017</v>
      </c>
      <c r="AK3823" s="1" t="s">
        <v>46</v>
      </c>
      <c r="AL3823" s="1">
        <v>41</v>
      </c>
    </row>
    <row r="3824" spans="1:38" x14ac:dyDescent="0.2">
      <c r="A3824" s="2" t="str">
        <f>HYPERLINK("https://www.compass.com/listing/20-east-end-avenue-unit-6b-manhattan-ny-10028/29425938458583425/","20 E End Ave, Unit 6B")</f>
        <v>20 E End Ave, Unit 6B</v>
      </c>
      <c r="B3824" s="2" t="str">
        <f t="shared" si="645"/>
        <v>20 E End Ave</v>
      </c>
      <c r="C3824" s="1" t="s">
        <v>82</v>
      </c>
      <c r="D3824" s="1" t="s">
        <v>41</v>
      </c>
      <c r="E3824" s="3">
        <v>8572647</v>
      </c>
      <c r="F3824" s="1">
        <v>2565.89254714157</v>
      </c>
      <c r="G3824" s="1">
        <v>7</v>
      </c>
      <c r="H3824" s="1">
        <v>4</v>
      </c>
      <c r="I3824" s="1">
        <v>4</v>
      </c>
      <c r="J3824" s="1">
        <v>4</v>
      </c>
      <c r="K3824" s="1">
        <v>4</v>
      </c>
      <c r="M3824" s="4">
        <v>3341</v>
      </c>
      <c r="N3824" s="1">
        <v>4072</v>
      </c>
      <c r="O3824" s="1">
        <v>8426</v>
      </c>
      <c r="P3824" s="1">
        <v>4354</v>
      </c>
      <c r="Q3824" s="1" t="s">
        <v>42</v>
      </c>
      <c r="S3824" s="1" t="s">
        <v>42</v>
      </c>
      <c r="T3824" s="1" t="s">
        <v>273</v>
      </c>
      <c r="U3824" s="1">
        <v>81</v>
      </c>
      <c r="V3824" s="5">
        <v>43664</v>
      </c>
      <c r="W3824" s="5">
        <v>42090</v>
      </c>
      <c r="X3824" s="1">
        <v>8375000</v>
      </c>
      <c r="Y3824" s="1">
        <v>8375000</v>
      </c>
      <c r="Z3824" s="5">
        <v>42171</v>
      </c>
      <c r="AA3824" s="1">
        <v>8572647</v>
      </c>
      <c r="AB3824" s="1" t="s">
        <v>2584</v>
      </c>
      <c r="AC3824" s="5">
        <v>42784</v>
      </c>
      <c r="AF3824" s="1">
        <v>10028</v>
      </c>
      <c r="AJ3824" s="1">
        <v>2017</v>
      </c>
      <c r="AK3824" s="1" t="s">
        <v>46</v>
      </c>
      <c r="AL3824" s="1">
        <v>41</v>
      </c>
    </row>
    <row r="3825" spans="1:38" x14ac:dyDescent="0.2">
      <c r="A3825" s="2" t="str">
        <f>HYPERLINK("https://www.compass.com/listing/20-east-end-avenue-unit-6c-manhattan-ny-10028/29425938802440785/","20 E End Ave, Unit 6C")</f>
        <v>20 E End Ave, Unit 6C</v>
      </c>
      <c r="B3825" s="2" t="str">
        <f t="shared" si="645"/>
        <v>20 E End Ave</v>
      </c>
      <c r="C3825" s="1" t="s">
        <v>82</v>
      </c>
      <c r="D3825" s="1" t="s">
        <v>41</v>
      </c>
      <c r="E3825" s="3">
        <v>7970861</v>
      </c>
      <c r="F3825" s="1">
        <v>2648.1265780730801</v>
      </c>
      <c r="G3825" s="1">
        <v>6</v>
      </c>
      <c r="H3825" s="1">
        <v>4</v>
      </c>
      <c r="I3825" s="1">
        <v>4</v>
      </c>
      <c r="J3825" s="1">
        <v>4</v>
      </c>
      <c r="K3825" s="1">
        <v>4</v>
      </c>
      <c r="M3825" s="4">
        <v>3010</v>
      </c>
      <c r="N3825" s="1">
        <v>3844</v>
      </c>
      <c r="O3825" s="1">
        <v>7954</v>
      </c>
      <c r="P3825" s="1">
        <v>4110</v>
      </c>
      <c r="Q3825" s="1" t="s">
        <v>42</v>
      </c>
      <c r="S3825" s="1" t="s">
        <v>42</v>
      </c>
      <c r="T3825" s="1" t="s">
        <v>273</v>
      </c>
      <c r="V3825" s="5">
        <v>43677</v>
      </c>
      <c r="W3825" s="5">
        <v>42445</v>
      </c>
      <c r="X3825" s="1">
        <v>7950000</v>
      </c>
      <c r="Y3825" s="1">
        <v>7950000</v>
      </c>
      <c r="Z3825" s="5">
        <v>42445</v>
      </c>
      <c r="AA3825" s="1">
        <v>7970861</v>
      </c>
      <c r="AB3825" s="1" t="s">
        <v>2585</v>
      </c>
      <c r="AC3825" s="5">
        <v>42905</v>
      </c>
      <c r="AF3825" s="1">
        <v>10028</v>
      </c>
      <c r="AI3825" s="1" t="s">
        <v>216</v>
      </c>
      <c r="AJ3825" s="1">
        <v>2017</v>
      </c>
      <c r="AK3825" s="1" t="s">
        <v>46</v>
      </c>
      <c r="AL3825" s="1">
        <v>41</v>
      </c>
    </row>
    <row r="3826" spans="1:38" x14ac:dyDescent="0.2">
      <c r="A3826" s="2" t="str">
        <f>HYPERLINK("https://www.compass.com/listing/20-east-end-avenue-unit-7b-manhattan-ny-10028/29425939599434129/","20 E End Ave, Unit 7B")</f>
        <v>20 E End Ave, Unit 7B</v>
      </c>
      <c r="B3826" s="2" t="str">
        <f t="shared" si="645"/>
        <v>20 E End Ave</v>
      </c>
      <c r="C3826" s="1" t="s">
        <v>82</v>
      </c>
      <c r="D3826" s="1" t="s">
        <v>41</v>
      </c>
      <c r="E3826" s="3">
        <v>8039084</v>
      </c>
      <c r="F3826" s="1">
        <v>2696.7742368332702</v>
      </c>
      <c r="G3826" s="1">
        <v>5</v>
      </c>
      <c r="H3826" s="1">
        <v>4</v>
      </c>
      <c r="I3826" s="1">
        <v>4</v>
      </c>
      <c r="J3826" s="1">
        <v>4</v>
      </c>
      <c r="K3826" s="1">
        <v>4</v>
      </c>
      <c r="M3826" s="4">
        <v>2981</v>
      </c>
      <c r="N3826" s="1">
        <v>3651</v>
      </c>
      <c r="O3826" s="1">
        <v>7555</v>
      </c>
      <c r="P3826" s="1">
        <v>3904</v>
      </c>
      <c r="Q3826" s="1" t="s">
        <v>42</v>
      </c>
      <c r="S3826" s="1" t="s">
        <v>42</v>
      </c>
      <c r="T3826" s="1" t="s">
        <v>273</v>
      </c>
      <c r="V3826" s="5">
        <v>43666</v>
      </c>
      <c r="W3826" s="5">
        <v>42339</v>
      </c>
      <c r="X3826" s="1">
        <v>7895000</v>
      </c>
      <c r="Y3826" s="1">
        <v>7895000</v>
      </c>
      <c r="Z3826" s="5">
        <v>42339</v>
      </c>
      <c r="AA3826" s="1">
        <v>8039084</v>
      </c>
      <c r="AB3826" s="1" t="s">
        <v>2586</v>
      </c>
      <c r="AC3826" s="5">
        <v>42763</v>
      </c>
      <c r="AF3826" s="1">
        <v>10028</v>
      </c>
      <c r="AJ3826" s="1">
        <v>2017</v>
      </c>
      <c r="AK3826" s="1" t="s">
        <v>46</v>
      </c>
      <c r="AL3826" s="1">
        <v>41</v>
      </c>
    </row>
    <row r="3827" spans="1:38" x14ac:dyDescent="0.2">
      <c r="A3827" s="2" t="str">
        <f>HYPERLINK("https://www.compass.com/listing/20-east-end-avenue-unit-8b-manhattan-ny-10028/29425940463389857/","20 E End Ave, Unit 8B")</f>
        <v>20 E End Ave, Unit 8B</v>
      </c>
      <c r="B3827" s="2" t="str">
        <f t="shared" si="645"/>
        <v>20 E End Ave</v>
      </c>
      <c r="C3827" s="1" t="s">
        <v>82</v>
      </c>
      <c r="D3827" s="1" t="s">
        <v>41</v>
      </c>
      <c r="E3827" s="3">
        <v>8152110</v>
      </c>
      <c r="F3827" s="1">
        <v>2730.1105157401198</v>
      </c>
      <c r="G3827" s="1">
        <v>5</v>
      </c>
      <c r="H3827" s="1">
        <v>4</v>
      </c>
      <c r="I3827" s="1">
        <v>4</v>
      </c>
      <c r="J3827" s="1">
        <v>4</v>
      </c>
      <c r="K3827" s="1">
        <v>4</v>
      </c>
      <c r="M3827" s="4">
        <v>2986</v>
      </c>
      <c r="N3827" s="1">
        <v>3675</v>
      </c>
      <c r="O3827" s="1">
        <v>7604</v>
      </c>
      <c r="P3827" s="1">
        <v>3929</v>
      </c>
      <c r="Q3827" s="1" t="s">
        <v>42</v>
      </c>
      <c r="S3827" s="1" t="s">
        <v>42</v>
      </c>
      <c r="T3827" s="1" t="s">
        <v>273</v>
      </c>
      <c r="U3827" s="1">
        <v>298</v>
      </c>
      <c r="V3827" s="5">
        <v>43666</v>
      </c>
      <c r="W3827" s="5">
        <v>42020</v>
      </c>
      <c r="X3827" s="1">
        <v>7950000</v>
      </c>
      <c r="Y3827" s="1">
        <v>7950000</v>
      </c>
      <c r="Z3827" s="5">
        <v>42318</v>
      </c>
      <c r="AA3827" s="1">
        <v>8152110</v>
      </c>
      <c r="AB3827" s="1" t="s">
        <v>2587</v>
      </c>
      <c r="AC3827" s="5">
        <v>42740</v>
      </c>
      <c r="AF3827" s="1">
        <v>10028</v>
      </c>
      <c r="AJ3827" s="1">
        <v>2017</v>
      </c>
      <c r="AK3827" s="1" t="s">
        <v>46</v>
      </c>
      <c r="AL3827" s="1">
        <v>41</v>
      </c>
    </row>
    <row r="3828" spans="1:38" x14ac:dyDescent="0.2">
      <c r="A3828" s="2" t="str">
        <f>HYPERLINK("https://www.compass.com/listing/20-east-end-avenue-unit-9b-manhattan-ny-10028/29425941369354865/","20 E End Ave, Unit 9B")</f>
        <v>20 E End Ave, Unit 9B</v>
      </c>
      <c r="B3828" s="2" t="str">
        <f t="shared" si="645"/>
        <v>20 E End Ave</v>
      </c>
      <c r="C3828" s="1" t="s">
        <v>82</v>
      </c>
      <c r="D3828" s="1" t="s">
        <v>41</v>
      </c>
      <c r="E3828" s="3">
        <v>8145000</v>
      </c>
      <c r="F3828" s="1">
        <v>2861.9114546732199</v>
      </c>
      <c r="G3828" s="1">
        <v>6</v>
      </c>
      <c r="H3828" s="1">
        <v>4</v>
      </c>
      <c r="I3828" s="1">
        <v>4</v>
      </c>
      <c r="J3828" s="1">
        <v>4.5</v>
      </c>
      <c r="K3828" s="1">
        <v>4</v>
      </c>
      <c r="L3828" s="1">
        <v>1</v>
      </c>
      <c r="M3828" s="4">
        <v>2846</v>
      </c>
      <c r="N3828" s="1">
        <v>3520</v>
      </c>
      <c r="O3828" s="1">
        <v>7283</v>
      </c>
      <c r="P3828" s="1">
        <v>3763</v>
      </c>
      <c r="Q3828" s="1" t="s">
        <v>42</v>
      </c>
      <c r="S3828" s="1" t="s">
        <v>42</v>
      </c>
      <c r="T3828" s="1" t="s">
        <v>273</v>
      </c>
      <c r="U3828" s="1">
        <v>346</v>
      </c>
      <c r="V3828" s="5">
        <v>43664</v>
      </c>
      <c r="W3828" s="5">
        <v>42466</v>
      </c>
      <c r="X3828" s="1">
        <v>8145000</v>
      </c>
      <c r="Y3828" s="1">
        <v>8145000</v>
      </c>
      <c r="Z3828" s="5">
        <v>42812</v>
      </c>
      <c r="AA3828" s="1">
        <v>8145000</v>
      </c>
      <c r="AB3828" s="1" t="s">
        <v>2588</v>
      </c>
      <c r="AC3828" s="5">
        <v>42856</v>
      </c>
      <c r="AF3828" s="1">
        <v>10028</v>
      </c>
      <c r="AJ3828" s="1">
        <v>2017</v>
      </c>
      <c r="AK3828" s="1" t="s">
        <v>46</v>
      </c>
      <c r="AL3828" s="1">
        <v>41</v>
      </c>
    </row>
    <row r="3829" spans="1:38" x14ac:dyDescent="0.2">
      <c r="A3829" s="2" t="str">
        <f>HYPERLINK("https://www.compass.com/listing/20-east-end-avenue-unit-10b-manhattan-ny-10028/29425942661200513/","20 E End Ave, Unit 10B")</f>
        <v>20 E End Ave, Unit 10B</v>
      </c>
      <c r="B3829" s="2" t="str">
        <f t="shared" si="645"/>
        <v>20 E End Ave</v>
      </c>
      <c r="C3829" s="1" t="s">
        <v>82</v>
      </c>
      <c r="D3829" s="1" t="s">
        <v>41</v>
      </c>
      <c r="E3829" s="3">
        <v>8451475</v>
      </c>
      <c r="F3829" s="1">
        <v>2969.5976809557201</v>
      </c>
      <c r="G3829" s="1">
        <v>6</v>
      </c>
      <c r="H3829" s="1">
        <v>4</v>
      </c>
      <c r="I3829" s="1">
        <v>4</v>
      </c>
      <c r="J3829" s="1">
        <v>4.5</v>
      </c>
      <c r="K3829" s="1">
        <v>4</v>
      </c>
      <c r="L3829" s="1">
        <v>1</v>
      </c>
      <c r="M3829" s="4">
        <v>2846</v>
      </c>
      <c r="N3829" s="1">
        <v>3537</v>
      </c>
      <c r="O3829" s="1">
        <v>7318</v>
      </c>
      <c r="P3829" s="1">
        <v>3781</v>
      </c>
      <c r="Q3829" s="1" t="s">
        <v>42</v>
      </c>
      <c r="S3829" s="1" t="s">
        <v>42</v>
      </c>
      <c r="T3829" s="1" t="s">
        <v>273</v>
      </c>
      <c r="U3829" s="1">
        <v>147</v>
      </c>
      <c r="V3829" s="5">
        <v>43677</v>
      </c>
      <c r="W3829" s="5">
        <v>42319</v>
      </c>
      <c r="X3829" s="1">
        <v>8300000</v>
      </c>
      <c r="Y3829" s="1">
        <v>8300000</v>
      </c>
      <c r="Z3829" s="5">
        <v>42497</v>
      </c>
      <c r="AA3829" s="1">
        <v>8451475</v>
      </c>
      <c r="AB3829" s="1" t="s">
        <v>2589</v>
      </c>
      <c r="AC3829" s="5">
        <v>42823</v>
      </c>
      <c r="AF3829" s="1">
        <v>10028</v>
      </c>
      <c r="AJ3829" s="1">
        <v>2017</v>
      </c>
      <c r="AK3829" s="1" t="s">
        <v>46</v>
      </c>
      <c r="AL3829" s="1">
        <v>41</v>
      </c>
    </row>
    <row r="3830" spans="1:38" x14ac:dyDescent="0.2">
      <c r="A3830" s="2" t="str">
        <f>HYPERLINK("https://www.compass.com/listing/505-513-west-43rd-street-unit-4j-manhattan-ny-10036/29514250519175537/","505-513 W 43rd St, Unit 4J")</f>
        <v>505-513 W 43rd St, Unit 4J</v>
      </c>
      <c r="B3830" s="2" t="str">
        <f t="shared" ref="B3830:B3831" si="646">HYPERLINK("https://www.compass.com/building/charlie-west-manhattan-ny/292918554372621509/","Charlie West")</f>
        <v>Charlie West</v>
      </c>
      <c r="C3830" s="1" t="s">
        <v>90</v>
      </c>
      <c r="D3830" s="1" t="s">
        <v>41</v>
      </c>
      <c r="E3830" s="3">
        <v>896151</v>
      </c>
      <c r="F3830" s="1">
        <v>1781.61282306163</v>
      </c>
      <c r="G3830" s="1">
        <v>2</v>
      </c>
      <c r="H3830" s="1" t="s">
        <v>99</v>
      </c>
      <c r="I3830" s="1">
        <v>1</v>
      </c>
      <c r="J3830" s="1">
        <v>1</v>
      </c>
      <c r="K3830" s="1">
        <v>1</v>
      </c>
      <c r="M3830" s="1">
        <v>503</v>
      </c>
      <c r="N3830" s="1">
        <v>519</v>
      </c>
      <c r="O3830" s="1">
        <v>977</v>
      </c>
      <c r="P3830" s="1">
        <v>458</v>
      </c>
      <c r="Q3830" s="1" t="s">
        <v>249</v>
      </c>
      <c r="S3830" s="1" t="s">
        <v>250</v>
      </c>
      <c r="T3830" s="1" t="s">
        <v>273</v>
      </c>
      <c r="U3830" s="1">
        <v>84</v>
      </c>
      <c r="V3830" s="5">
        <v>43762</v>
      </c>
      <c r="W3830" s="5">
        <v>43039</v>
      </c>
      <c r="X3830" s="1">
        <v>945000</v>
      </c>
      <c r="Y3830" s="1">
        <v>945000</v>
      </c>
      <c r="Z3830" s="5">
        <v>43124</v>
      </c>
      <c r="AA3830" s="1">
        <v>896151.25</v>
      </c>
      <c r="AB3830" s="1" t="s">
        <v>2590</v>
      </c>
      <c r="AC3830" s="5">
        <v>43756</v>
      </c>
      <c r="AF3830" s="1">
        <v>10036</v>
      </c>
      <c r="AI3830" s="1" t="s">
        <v>170</v>
      </c>
      <c r="AJ3830" s="1">
        <v>2019</v>
      </c>
      <c r="AK3830" s="1" t="s">
        <v>49</v>
      </c>
      <c r="AL3830" s="1">
        <v>123</v>
      </c>
    </row>
    <row r="3831" spans="1:38" x14ac:dyDescent="0.2">
      <c r="A3831" s="2" t="str">
        <f>HYPERLINK("https://www.compass.com/listing/505-513-west-43rd-street-unit-7s-manhattan-ny-10036/447543568317034889/","505-513 W 43rd St, Unit 7S")</f>
        <v>505-513 W 43rd St, Unit 7S</v>
      </c>
      <c r="B3831" s="2" t="str">
        <f t="shared" si="646"/>
        <v>Charlie West</v>
      </c>
      <c r="C3831" s="1" t="s">
        <v>90</v>
      </c>
      <c r="D3831" s="1" t="s">
        <v>41</v>
      </c>
      <c r="E3831" s="3">
        <v>760000</v>
      </c>
      <c r="F3831" s="1">
        <v>1685.14412416851</v>
      </c>
      <c r="G3831" s="1">
        <v>1</v>
      </c>
      <c r="H3831" s="1" t="s">
        <v>99</v>
      </c>
      <c r="I3831" s="1">
        <v>1</v>
      </c>
      <c r="J3831" s="1">
        <v>1</v>
      </c>
      <c r="K3831" s="1">
        <v>1</v>
      </c>
      <c r="M3831" s="1">
        <v>451</v>
      </c>
      <c r="N3831" s="1">
        <v>469</v>
      </c>
      <c r="O3831" s="1">
        <v>1398</v>
      </c>
      <c r="Q3831" s="1" t="s">
        <v>2555</v>
      </c>
      <c r="S3831" s="1" t="s">
        <v>2556</v>
      </c>
      <c r="T3831" s="1" t="s">
        <v>273</v>
      </c>
      <c r="U3831" s="1">
        <v>78</v>
      </c>
      <c r="V3831" s="5">
        <v>44314</v>
      </c>
      <c r="W3831" s="5">
        <v>43868</v>
      </c>
      <c r="X3831" s="1">
        <v>865500</v>
      </c>
      <c r="Y3831" s="1">
        <v>865500</v>
      </c>
      <c r="Z3831" s="5">
        <v>44041</v>
      </c>
      <c r="AA3831" s="1">
        <v>760000</v>
      </c>
      <c r="AB3831" s="1" t="s">
        <v>2591</v>
      </c>
      <c r="AC3831" s="5">
        <v>44239</v>
      </c>
      <c r="AF3831" s="1">
        <v>10036</v>
      </c>
      <c r="AI3831" s="1" t="s">
        <v>118</v>
      </c>
      <c r="AJ3831" s="1">
        <v>2019</v>
      </c>
      <c r="AK3831" s="1" t="s">
        <v>49</v>
      </c>
      <c r="AL3831" s="1">
        <v>123</v>
      </c>
    </row>
    <row r="3832" spans="1:38" x14ac:dyDescent="0.2">
      <c r="A3832" s="2" t="str">
        <f>HYPERLINK("https://www.compass.com/listing/301-east-81st-street-unit-7a-manhattan-ny-10028/764935451561119577/","301 E 81st St, Unit 7A")</f>
        <v>301 E 81st St, Unit 7A</v>
      </c>
      <c r="B3832" s="2" t="str">
        <f t="shared" ref="B3832:B3833" si="647">HYPERLINK("https://www.compass.com/building/beckford-house-manhattan-ny/293531205712863989/","Beckford House")</f>
        <v>Beckford House</v>
      </c>
      <c r="C3832" s="1" t="s">
        <v>82</v>
      </c>
      <c r="D3832" s="1" t="s">
        <v>41</v>
      </c>
      <c r="E3832" s="3">
        <v>4150000</v>
      </c>
      <c r="F3832" s="1">
        <v>1961.2476370510301</v>
      </c>
      <c r="H3832" s="1">
        <v>3</v>
      </c>
      <c r="J3832" s="1">
        <v>3.5</v>
      </c>
      <c r="K3832" s="1">
        <v>3</v>
      </c>
      <c r="L3832" s="1">
        <v>1</v>
      </c>
      <c r="M3832" s="4">
        <v>2116</v>
      </c>
      <c r="N3832" s="1">
        <v>3035</v>
      </c>
      <c r="O3832" s="1">
        <v>6332</v>
      </c>
      <c r="P3832" s="1">
        <v>3297</v>
      </c>
      <c r="Q3832" s="1" t="s">
        <v>42</v>
      </c>
      <c r="S3832" s="1" t="s">
        <v>42</v>
      </c>
      <c r="T3832" s="1" t="s">
        <v>273</v>
      </c>
      <c r="AA3832" s="1">
        <v>4150000</v>
      </c>
      <c r="AB3832" s="1" t="s">
        <v>2592</v>
      </c>
      <c r="AC3832" s="5">
        <v>44292</v>
      </c>
      <c r="AF3832" s="1">
        <v>10028</v>
      </c>
      <c r="AI3832" s="1" t="s">
        <v>140</v>
      </c>
      <c r="AJ3832" s="1">
        <v>2019</v>
      </c>
      <c r="AK3832" s="1" t="s">
        <v>202</v>
      </c>
      <c r="AL3832" s="1">
        <v>0</v>
      </c>
    </row>
    <row r="3833" spans="1:38" x14ac:dyDescent="0.2">
      <c r="A3833" s="2" t="str">
        <f>HYPERLINK("https://www.compass.com/listing/301-east-81st-street-unit-8b-manhattan-ny-10028/812767262618192737/","301 E 81st St, Unit 8B")</f>
        <v>301 E 81st St, Unit 8B</v>
      </c>
      <c r="B3833" s="2" t="str">
        <f t="shared" si="647"/>
        <v>Beckford House</v>
      </c>
      <c r="C3833" s="1" t="s">
        <v>82</v>
      </c>
      <c r="D3833" s="1" t="s">
        <v>41</v>
      </c>
      <c r="E3833" s="3">
        <v>4235000</v>
      </c>
      <c r="F3833" s="1">
        <v>2010.92117758784</v>
      </c>
      <c r="H3833" s="1">
        <v>3</v>
      </c>
      <c r="J3833" s="1">
        <v>3.5</v>
      </c>
      <c r="K3833" s="1">
        <v>3</v>
      </c>
      <c r="L3833" s="1">
        <v>1</v>
      </c>
      <c r="M3833" s="4">
        <v>2106</v>
      </c>
      <c r="N3833" s="1">
        <v>3036</v>
      </c>
      <c r="O3833" s="1">
        <v>6333</v>
      </c>
      <c r="P3833" s="1">
        <v>3297</v>
      </c>
      <c r="Q3833" s="1" t="s">
        <v>42</v>
      </c>
      <c r="S3833" s="1" t="s">
        <v>42</v>
      </c>
      <c r="T3833" s="1" t="s">
        <v>273</v>
      </c>
      <c r="AA3833" s="1">
        <v>4235000</v>
      </c>
      <c r="AB3833" s="1" t="s">
        <v>2593</v>
      </c>
      <c r="AC3833" s="5">
        <v>44327</v>
      </c>
      <c r="AF3833" s="1">
        <v>10028</v>
      </c>
      <c r="AI3833" s="1" t="s">
        <v>140</v>
      </c>
      <c r="AJ3833" s="1">
        <v>2019</v>
      </c>
      <c r="AK3833" s="1" t="s">
        <v>202</v>
      </c>
      <c r="AL3833" s="1">
        <v>0</v>
      </c>
    </row>
    <row r="3834" spans="1:38" x14ac:dyDescent="0.2">
      <c r="A3834" s="2" t="str">
        <f>HYPERLINK("https://www.compass.com/listing/20-east-end-avenue-unit-14b-manhattan-ny-10028/29425945555274977/","20 E End Ave, Unit 14B")</f>
        <v>20 E End Ave, Unit 14B</v>
      </c>
      <c r="B3834" s="2" t="str">
        <f>HYPERLINK("https://www.compass.com/building/20-e-end-ave-manhattan-ny-10028/281985490498985157/","20 E End Ave")</f>
        <v>20 E End Ave</v>
      </c>
      <c r="C3834" s="1" t="s">
        <v>82</v>
      </c>
      <c r="D3834" s="1" t="s">
        <v>41</v>
      </c>
      <c r="E3834" s="3">
        <v>14601705</v>
      </c>
      <c r="F3834" s="1">
        <v>3964.62259027966</v>
      </c>
      <c r="G3834" s="1">
        <v>7</v>
      </c>
      <c r="H3834" s="1">
        <v>4</v>
      </c>
      <c r="I3834" s="1">
        <v>3</v>
      </c>
      <c r="J3834" s="1">
        <v>3.5</v>
      </c>
      <c r="K3834" s="1">
        <v>3</v>
      </c>
      <c r="L3834" s="1">
        <v>1</v>
      </c>
      <c r="M3834" s="4">
        <v>3683</v>
      </c>
      <c r="N3834" s="1">
        <v>4899</v>
      </c>
      <c r="O3834" s="1">
        <v>10136</v>
      </c>
      <c r="P3834" s="1">
        <v>5237</v>
      </c>
      <c r="Q3834" s="1" t="s">
        <v>42</v>
      </c>
      <c r="S3834" s="1" t="s">
        <v>42</v>
      </c>
      <c r="T3834" s="1" t="s">
        <v>273</v>
      </c>
      <c r="V3834" s="5">
        <v>43676</v>
      </c>
      <c r="W3834" s="5">
        <v>42024</v>
      </c>
      <c r="X3834" s="1">
        <v>14250000</v>
      </c>
      <c r="Y3834" s="1">
        <v>14250000</v>
      </c>
      <c r="Z3834" s="5">
        <v>42024</v>
      </c>
      <c r="AA3834" s="1">
        <v>14601705</v>
      </c>
      <c r="AB3834" s="1" t="s">
        <v>2594</v>
      </c>
      <c r="AC3834" s="5">
        <v>42823</v>
      </c>
      <c r="AF3834" s="1">
        <v>10028</v>
      </c>
      <c r="AI3834" s="1" t="s">
        <v>216</v>
      </c>
      <c r="AJ3834" s="1">
        <v>2017</v>
      </c>
      <c r="AK3834" s="1" t="s">
        <v>46</v>
      </c>
      <c r="AL3834" s="1">
        <v>41</v>
      </c>
    </row>
    <row r="3835" spans="1:38" x14ac:dyDescent="0.2">
      <c r="A3835" s="2" t="str">
        <f>HYPERLINK("https://www.compass.com/listing/90-lexington-avenue-unit-pha-manhattan-ny-10016/278980544069442593/","90 Lexington Ave, Unit PHA")</f>
        <v>90 Lexington Ave, Unit PHA</v>
      </c>
      <c r="B3835" s="2" t="str">
        <f>HYPERLINK("https://www.compass.com/building/88-90-lexington-avenue-manhattan-ny/281941431524842901/","88 &amp; 90 Lexington Avenue")</f>
        <v>88 &amp; 90 Lexington Avenue</v>
      </c>
      <c r="C3835" s="1" t="s">
        <v>198</v>
      </c>
      <c r="D3835" s="1" t="s">
        <v>41</v>
      </c>
      <c r="E3835" s="3">
        <v>9716508</v>
      </c>
      <c r="F3835" s="1">
        <v>2884.9489073634199</v>
      </c>
      <c r="G3835" s="1">
        <v>6</v>
      </c>
      <c r="H3835" s="1">
        <v>4</v>
      </c>
      <c r="I3835" s="1">
        <v>5</v>
      </c>
      <c r="J3835" s="1">
        <v>4.5</v>
      </c>
      <c r="K3835" s="1">
        <v>4</v>
      </c>
      <c r="L3835" s="1">
        <v>1</v>
      </c>
      <c r="M3835" s="4">
        <v>3368</v>
      </c>
      <c r="N3835" s="1">
        <v>4059</v>
      </c>
      <c r="O3835" s="1">
        <v>11689</v>
      </c>
      <c r="P3835" s="1">
        <v>7630</v>
      </c>
      <c r="Q3835" s="1" t="s">
        <v>42</v>
      </c>
      <c r="S3835" s="1" t="s">
        <v>42</v>
      </c>
      <c r="T3835" s="1" t="s">
        <v>273</v>
      </c>
      <c r="U3835" s="1">
        <v>174</v>
      </c>
      <c r="V3835" s="5">
        <v>43846</v>
      </c>
      <c r="W3835" s="5">
        <v>43636</v>
      </c>
      <c r="X3835" s="1">
        <v>11000000</v>
      </c>
      <c r="Y3835" s="1">
        <v>11000000</v>
      </c>
      <c r="Z3835" s="5">
        <v>43810</v>
      </c>
      <c r="AA3835" s="1">
        <v>9716507.9199999999</v>
      </c>
      <c r="AB3835" s="1" t="s">
        <v>2595</v>
      </c>
      <c r="AC3835" s="5">
        <v>43822</v>
      </c>
      <c r="AF3835" s="1">
        <v>10016</v>
      </c>
      <c r="AI3835" s="1" t="s">
        <v>193</v>
      </c>
      <c r="AJ3835" s="1">
        <v>1957</v>
      </c>
      <c r="AK3835" s="1" t="s">
        <v>46</v>
      </c>
      <c r="AL3835" s="1">
        <v>49</v>
      </c>
    </row>
    <row r="3836" spans="1:38" x14ac:dyDescent="0.2">
      <c r="A3836" s="2" t="str">
        <f>HYPERLINK("https://www.compass.com/listing/20-east-end-avenue-unit-3b-manhattan-ny-10028/29425932771036161/","20 E End Ave, Unit 3B")</f>
        <v>20 E End Ave, Unit 3B</v>
      </c>
      <c r="B3836" s="2" t="str">
        <f t="shared" ref="B3836:B3842" si="648">HYPERLINK("https://www.compass.com/building/20-e-end-ave-manhattan-ny-10028/281985490498985157/","20 E End Ave")</f>
        <v>20 E End Ave</v>
      </c>
      <c r="C3836" s="1" t="s">
        <v>82</v>
      </c>
      <c r="D3836" s="1" t="s">
        <v>41</v>
      </c>
      <c r="E3836" s="3">
        <v>7000469</v>
      </c>
      <c r="F3836" s="1">
        <v>2293.7316513761398</v>
      </c>
      <c r="G3836" s="1">
        <v>6</v>
      </c>
      <c r="H3836" s="1">
        <v>4</v>
      </c>
      <c r="I3836" s="1">
        <v>4</v>
      </c>
      <c r="J3836" s="1">
        <v>4</v>
      </c>
      <c r="K3836" s="1">
        <v>4</v>
      </c>
      <c r="M3836" s="4">
        <v>3052</v>
      </c>
      <c r="N3836" s="1">
        <v>3665</v>
      </c>
      <c r="O3836" s="1">
        <v>7583</v>
      </c>
      <c r="P3836" s="1">
        <v>3918</v>
      </c>
      <c r="Q3836" s="1" t="s">
        <v>42</v>
      </c>
      <c r="S3836" s="1" t="s">
        <v>42</v>
      </c>
      <c r="T3836" s="1" t="s">
        <v>273</v>
      </c>
      <c r="U3836" s="1">
        <v>2</v>
      </c>
      <c r="V3836" s="5">
        <v>43666</v>
      </c>
      <c r="W3836" s="5">
        <v>42025</v>
      </c>
      <c r="X3836" s="1">
        <v>6875000</v>
      </c>
      <c r="Y3836" s="1">
        <v>6875000</v>
      </c>
      <c r="Z3836" s="5">
        <v>42027</v>
      </c>
      <c r="AA3836" s="1">
        <v>7000469</v>
      </c>
      <c r="AB3836" s="1" t="s">
        <v>2596</v>
      </c>
      <c r="AC3836" s="5">
        <v>42762</v>
      </c>
      <c r="AF3836" s="1">
        <v>10028</v>
      </c>
      <c r="AJ3836" s="1">
        <v>2017</v>
      </c>
      <c r="AK3836" s="1" t="s">
        <v>46</v>
      </c>
      <c r="AL3836" s="1">
        <v>41</v>
      </c>
    </row>
    <row r="3837" spans="1:38" x14ac:dyDescent="0.2">
      <c r="A3837" s="2" t="str">
        <f>HYPERLINK("https://www.compass.com/listing/20-east-end-avenue-unit-7a-manhattan-ny-10028/29425939163155601/","20 E End Ave, Unit 7A")</f>
        <v>20 E End Ave, Unit 7A</v>
      </c>
      <c r="B3837" s="2" t="str">
        <f t="shared" si="648"/>
        <v>20 E End Ave</v>
      </c>
      <c r="C3837" s="1" t="s">
        <v>82</v>
      </c>
      <c r="D3837" s="1" t="s">
        <v>41</v>
      </c>
      <c r="E3837" s="3">
        <v>7771284</v>
      </c>
      <c r="F3837" s="1">
        <v>2555.5027951331799</v>
      </c>
      <c r="G3837" s="1">
        <v>7</v>
      </c>
      <c r="H3837" s="1">
        <v>4</v>
      </c>
      <c r="I3837" s="1">
        <v>4</v>
      </c>
      <c r="J3837" s="1">
        <v>4</v>
      </c>
      <c r="K3837" s="1">
        <v>4</v>
      </c>
      <c r="M3837" s="4">
        <v>3041</v>
      </c>
      <c r="N3837" s="1">
        <v>3725</v>
      </c>
      <c r="O3837" s="1">
        <v>7707</v>
      </c>
      <c r="P3837" s="1">
        <v>3982</v>
      </c>
      <c r="Q3837" s="1" t="s">
        <v>42</v>
      </c>
      <c r="S3837" s="1" t="s">
        <v>42</v>
      </c>
      <c r="T3837" s="1" t="s">
        <v>273</v>
      </c>
      <c r="U3837" s="1">
        <v>191</v>
      </c>
      <c r="V3837" s="5">
        <v>43677</v>
      </c>
      <c r="W3837" s="5">
        <v>42466</v>
      </c>
      <c r="X3837" s="1">
        <v>7600000</v>
      </c>
      <c r="Y3837" s="1">
        <v>7600000</v>
      </c>
      <c r="Z3837" s="5">
        <v>42657</v>
      </c>
      <c r="AA3837" s="1">
        <v>7771284</v>
      </c>
      <c r="AB3837" s="1" t="s">
        <v>2597</v>
      </c>
      <c r="AC3837" s="5">
        <v>42766</v>
      </c>
      <c r="AF3837" s="1">
        <v>10028</v>
      </c>
      <c r="AJ3837" s="1">
        <v>2017</v>
      </c>
      <c r="AK3837" s="1" t="s">
        <v>46</v>
      </c>
      <c r="AL3837" s="1">
        <v>41</v>
      </c>
    </row>
    <row r="3838" spans="1:38" x14ac:dyDescent="0.2">
      <c r="A3838" s="2" t="str">
        <f>HYPERLINK("https://www.compass.com/listing/20-east-end-avenue-unit-8a-manhattan-ny-10028/29425940052343393/","20 E End Ave, Unit 8A")</f>
        <v>20 E End Ave, Unit 8A</v>
      </c>
      <c r="B3838" s="2" t="str">
        <f t="shared" si="648"/>
        <v>20 E End Ave</v>
      </c>
      <c r="C3838" s="1" t="s">
        <v>82</v>
      </c>
      <c r="D3838" s="1" t="s">
        <v>41</v>
      </c>
      <c r="E3838" s="3">
        <v>7725000</v>
      </c>
      <c r="F3838" s="1">
        <v>2538.6132106473801</v>
      </c>
      <c r="G3838" s="1">
        <v>7</v>
      </c>
      <c r="H3838" s="1">
        <v>4</v>
      </c>
      <c r="I3838" s="1">
        <v>4</v>
      </c>
      <c r="J3838" s="1">
        <v>4</v>
      </c>
      <c r="K3838" s="1">
        <v>4</v>
      </c>
      <c r="M3838" s="4">
        <v>3043</v>
      </c>
      <c r="N3838" s="1">
        <v>3648</v>
      </c>
      <c r="O3838" s="1">
        <v>7652</v>
      </c>
      <c r="P3838" s="1">
        <v>4004</v>
      </c>
      <c r="Q3838" s="1" t="s">
        <v>42</v>
      </c>
      <c r="S3838" s="1" t="s">
        <v>42</v>
      </c>
      <c r="T3838" s="1" t="s">
        <v>273</v>
      </c>
      <c r="U3838" s="1">
        <v>278</v>
      </c>
      <c r="V3838" s="5">
        <v>43666</v>
      </c>
      <c r="W3838" s="5">
        <v>42188</v>
      </c>
      <c r="X3838" s="1">
        <v>7725000</v>
      </c>
      <c r="Y3838" s="1">
        <v>7725000</v>
      </c>
      <c r="Z3838" s="5">
        <v>42536</v>
      </c>
      <c r="AA3838" s="1">
        <v>7725000</v>
      </c>
      <c r="AB3838" s="1" t="s">
        <v>2598</v>
      </c>
      <c r="AC3838" s="5">
        <v>42738</v>
      </c>
      <c r="AF3838" s="1">
        <v>10028</v>
      </c>
      <c r="AJ3838" s="1">
        <v>2017</v>
      </c>
      <c r="AK3838" s="1" t="s">
        <v>46</v>
      </c>
      <c r="AL3838" s="1">
        <v>41</v>
      </c>
    </row>
    <row r="3839" spans="1:38" x14ac:dyDescent="0.2">
      <c r="A3839" s="2" t="str">
        <f>HYPERLINK("https://www.compass.com/listing/20-east-end-avenue-unit-9a-manhattan-ny-10028/29425940933222833/","20 E End Ave, Unit 9A")</f>
        <v>20 E End Ave, Unit 9A</v>
      </c>
      <c r="B3839" s="2" t="str">
        <f t="shared" si="648"/>
        <v>20 E End Ave</v>
      </c>
      <c r="C3839" s="1" t="s">
        <v>82</v>
      </c>
      <c r="D3839" s="1" t="s">
        <v>41</v>
      </c>
      <c r="E3839" s="3">
        <v>7800000</v>
      </c>
      <c r="F3839" s="1">
        <v>2563.25994084784</v>
      </c>
      <c r="G3839" s="1">
        <v>7</v>
      </c>
      <c r="H3839" s="1">
        <v>4</v>
      </c>
      <c r="I3839" s="1">
        <v>4</v>
      </c>
      <c r="J3839" s="1">
        <v>4.5</v>
      </c>
      <c r="K3839" s="1">
        <v>4</v>
      </c>
      <c r="L3839" s="1">
        <v>1</v>
      </c>
      <c r="M3839" s="4">
        <v>3043</v>
      </c>
      <c r="N3839" s="1">
        <v>3764</v>
      </c>
      <c r="O3839" s="1">
        <v>7788</v>
      </c>
      <c r="P3839" s="1">
        <v>4024</v>
      </c>
      <c r="Q3839" s="1" t="s">
        <v>42</v>
      </c>
      <c r="S3839" s="1" t="s">
        <v>42</v>
      </c>
      <c r="T3839" s="1" t="s">
        <v>273</v>
      </c>
      <c r="U3839" s="1">
        <v>135</v>
      </c>
      <c r="V3839" s="5">
        <v>43675</v>
      </c>
      <c r="W3839" s="5">
        <v>42658</v>
      </c>
      <c r="X3839" s="1">
        <v>7850000</v>
      </c>
      <c r="Y3839" s="1">
        <v>7850000</v>
      </c>
      <c r="AA3839" s="1">
        <v>7800000</v>
      </c>
      <c r="AB3839" s="1" t="s">
        <v>2599</v>
      </c>
      <c r="AC3839" s="5">
        <v>42793</v>
      </c>
      <c r="AF3839" s="1">
        <v>10028</v>
      </c>
      <c r="AJ3839" s="1">
        <v>2017</v>
      </c>
      <c r="AK3839" s="1" t="s">
        <v>46</v>
      </c>
      <c r="AL3839" s="1">
        <v>41</v>
      </c>
    </row>
    <row r="3840" spans="1:38" x14ac:dyDescent="0.2">
      <c r="A3840" s="2" t="str">
        <f>HYPERLINK("https://www.compass.com/listing/20-east-end-avenue-unit-11a-manhattan-ny-10028/29425943382696433/","20 E End Ave, Unit 11A")</f>
        <v>20 E End Ave, Unit 11A</v>
      </c>
      <c r="B3840" s="2" t="str">
        <f t="shared" si="648"/>
        <v>20 E End Ave</v>
      </c>
      <c r="C3840" s="1" t="s">
        <v>82</v>
      </c>
      <c r="D3840" s="1" t="s">
        <v>41</v>
      </c>
      <c r="E3840" s="3">
        <v>8159237</v>
      </c>
      <c r="F3840" s="1">
        <v>2683.0769483722402</v>
      </c>
      <c r="G3840" s="1">
        <v>7</v>
      </c>
      <c r="H3840" s="1">
        <v>4</v>
      </c>
      <c r="I3840" s="1">
        <v>4</v>
      </c>
      <c r="J3840" s="1">
        <v>4.5</v>
      </c>
      <c r="K3840" s="1">
        <v>4</v>
      </c>
      <c r="L3840" s="1">
        <v>1</v>
      </c>
      <c r="M3840" s="4">
        <v>3041</v>
      </c>
      <c r="N3840" s="1">
        <v>3770</v>
      </c>
      <c r="O3840" s="1">
        <v>7800</v>
      </c>
      <c r="P3840" s="1">
        <v>4030</v>
      </c>
      <c r="Q3840" s="1" t="s">
        <v>42</v>
      </c>
      <c r="S3840" s="1" t="s">
        <v>42</v>
      </c>
      <c r="T3840" s="1" t="s">
        <v>273</v>
      </c>
      <c r="U3840" s="1">
        <v>72</v>
      </c>
      <c r="V3840" s="5">
        <v>43676</v>
      </c>
      <c r="W3840" s="5">
        <v>42116</v>
      </c>
      <c r="X3840" s="1">
        <v>7985000</v>
      </c>
      <c r="Y3840" s="1">
        <v>7985000</v>
      </c>
      <c r="Z3840" s="5">
        <v>42188</v>
      </c>
      <c r="AA3840" s="1">
        <v>8159237</v>
      </c>
      <c r="AB3840" s="1" t="s">
        <v>2600</v>
      </c>
      <c r="AC3840" s="5">
        <v>42803</v>
      </c>
      <c r="AF3840" s="1">
        <v>10028</v>
      </c>
      <c r="AJ3840" s="1">
        <v>2017</v>
      </c>
      <c r="AK3840" s="1" t="s">
        <v>46</v>
      </c>
      <c r="AL3840" s="1">
        <v>41</v>
      </c>
    </row>
    <row r="3841" spans="1:38" x14ac:dyDescent="0.2">
      <c r="A3841" s="2" t="str">
        <f>HYPERLINK("https://www.compass.com/listing/20-east-end-avenue-unit-12a-manhattan-ny-10028/29425944296983761/","20 E End Ave, Unit 12A")</f>
        <v>20 E End Ave, Unit 12A</v>
      </c>
      <c r="B3841" s="2" t="str">
        <f t="shared" si="648"/>
        <v>20 E End Ave</v>
      </c>
      <c r="C3841" s="1" t="s">
        <v>82</v>
      </c>
      <c r="D3841" s="1" t="s">
        <v>41</v>
      </c>
      <c r="E3841" s="3">
        <v>8629669</v>
      </c>
      <c r="F3841" s="1">
        <v>2841.51103062232</v>
      </c>
      <c r="G3841" s="1">
        <v>7</v>
      </c>
      <c r="H3841" s="1">
        <v>4</v>
      </c>
      <c r="I3841" s="1">
        <v>4</v>
      </c>
      <c r="J3841" s="1">
        <v>4</v>
      </c>
      <c r="K3841" s="1">
        <v>4</v>
      </c>
      <c r="M3841" s="4">
        <v>3037</v>
      </c>
      <c r="N3841" s="1">
        <v>3399</v>
      </c>
      <c r="O3841" s="1">
        <v>7473</v>
      </c>
      <c r="P3841" s="1">
        <v>4074</v>
      </c>
      <c r="Q3841" s="1" t="s">
        <v>42</v>
      </c>
      <c r="S3841" s="1" t="s">
        <v>42</v>
      </c>
      <c r="T3841" s="1" t="s">
        <v>273</v>
      </c>
      <c r="V3841" s="5">
        <v>43664</v>
      </c>
      <c r="W3841" s="5">
        <v>42174</v>
      </c>
      <c r="X3841" s="1">
        <v>8475000</v>
      </c>
      <c r="Y3841" s="1">
        <v>8475000</v>
      </c>
      <c r="Z3841" s="5">
        <v>42174</v>
      </c>
      <c r="AA3841" s="1">
        <v>8629669</v>
      </c>
      <c r="AB3841" s="1" t="s">
        <v>2601</v>
      </c>
      <c r="AC3841" s="5">
        <v>42781</v>
      </c>
      <c r="AF3841" s="1">
        <v>10028</v>
      </c>
      <c r="AJ3841" s="1">
        <v>2017</v>
      </c>
      <c r="AK3841" s="1" t="s">
        <v>46</v>
      </c>
      <c r="AL3841" s="1">
        <v>41</v>
      </c>
    </row>
    <row r="3842" spans="1:38" x14ac:dyDescent="0.2">
      <c r="A3842" s="2" t="str">
        <f>HYPERLINK("https://www.compass.com/listing/20-east-end-avenue-unit-7c-manhattan-ny-10028/29641164067966353/","20 E End Ave, Unit 7C")</f>
        <v>20 E End Ave, Unit 7C</v>
      </c>
      <c r="B3842" s="2" t="str">
        <f t="shared" si="648"/>
        <v>20 E End Ave</v>
      </c>
      <c r="C3842" s="1" t="s">
        <v>82</v>
      </c>
      <c r="D3842" s="1" t="s">
        <v>41</v>
      </c>
      <c r="E3842" s="3">
        <v>11350000</v>
      </c>
      <c r="F3842" s="1">
        <v>2848.1806775407699</v>
      </c>
      <c r="G3842" s="1">
        <v>7</v>
      </c>
      <c r="H3842" s="1">
        <v>4</v>
      </c>
      <c r="I3842" s="1">
        <v>5</v>
      </c>
      <c r="J3842" s="1">
        <v>4.5</v>
      </c>
      <c r="K3842" s="1">
        <v>4</v>
      </c>
      <c r="L3842" s="1">
        <v>1</v>
      </c>
      <c r="M3842" s="4">
        <v>3985</v>
      </c>
      <c r="N3842" s="1">
        <v>5330</v>
      </c>
      <c r="O3842" s="1">
        <v>11028</v>
      </c>
      <c r="P3842" s="1">
        <v>5698</v>
      </c>
      <c r="Q3842" s="1" t="s">
        <v>42</v>
      </c>
      <c r="S3842" s="1" t="s">
        <v>42</v>
      </c>
      <c r="T3842" s="1" t="s">
        <v>273</v>
      </c>
      <c r="U3842" s="1">
        <v>309</v>
      </c>
      <c r="V3842" s="5">
        <v>43648</v>
      </c>
      <c r="W3842" s="5">
        <v>43133</v>
      </c>
      <c r="X3842" s="1">
        <v>11995000</v>
      </c>
      <c r="Y3842" s="1">
        <v>11995000</v>
      </c>
      <c r="Z3842" s="5">
        <v>43442</v>
      </c>
      <c r="AA3842" s="1">
        <v>11350000</v>
      </c>
      <c r="AB3842" s="1" t="s">
        <v>2602</v>
      </c>
      <c r="AC3842" s="5">
        <v>43497</v>
      </c>
      <c r="AF3842" s="1">
        <v>10028</v>
      </c>
      <c r="AI3842" s="1" t="s">
        <v>160</v>
      </c>
      <c r="AJ3842" s="1">
        <v>2017</v>
      </c>
      <c r="AK3842" s="1" t="s">
        <v>46</v>
      </c>
      <c r="AL3842" s="1">
        <v>41</v>
      </c>
    </row>
    <row r="3843" spans="1:38" x14ac:dyDescent="0.2">
      <c r="A3843" s="2" t="str">
        <f>HYPERLINK("https://www.compass.com/listing/505-513-west-43rd-street-unit-4d-manhattan-ny-10036/29514247591494481/","505-513 W 43rd St, Unit 4D")</f>
        <v>505-513 W 43rd St, Unit 4D</v>
      </c>
      <c r="B3843" s="2" t="str">
        <f t="shared" ref="B3843:B3844" si="649">HYPERLINK("https://www.compass.com/building/charlie-west-manhattan-ny/292918554372621509/","Charlie West")</f>
        <v>Charlie West</v>
      </c>
      <c r="C3843" s="1" t="s">
        <v>90</v>
      </c>
      <c r="D3843" s="1" t="s">
        <v>41</v>
      </c>
      <c r="E3843" s="3">
        <v>1277904</v>
      </c>
      <c r="F3843" s="1">
        <v>1975.1217156105099</v>
      </c>
      <c r="G3843" s="1">
        <v>3</v>
      </c>
      <c r="H3843" s="1">
        <v>1</v>
      </c>
      <c r="I3843" s="1">
        <v>1</v>
      </c>
      <c r="J3843" s="1">
        <v>1</v>
      </c>
      <c r="K3843" s="1">
        <v>1</v>
      </c>
      <c r="M3843" s="1">
        <v>647</v>
      </c>
      <c r="N3843" s="1">
        <v>703</v>
      </c>
      <c r="O3843" s="1">
        <v>1324</v>
      </c>
      <c r="P3843" s="1">
        <v>621</v>
      </c>
      <c r="Q3843" s="1" t="s">
        <v>249</v>
      </c>
      <c r="S3843" s="1" t="s">
        <v>250</v>
      </c>
      <c r="T3843" s="1" t="s">
        <v>273</v>
      </c>
      <c r="U3843" s="1">
        <v>24</v>
      </c>
      <c r="V3843" s="5">
        <v>44427</v>
      </c>
      <c r="W3843" s="5">
        <v>43140</v>
      </c>
      <c r="X3843" s="1">
        <v>1255000</v>
      </c>
      <c r="Y3843" s="1">
        <v>1255000</v>
      </c>
      <c r="Z3843" s="5">
        <v>43165</v>
      </c>
      <c r="AA3843" s="1">
        <v>1277903.75</v>
      </c>
      <c r="AB3843" s="1" t="s">
        <v>2603</v>
      </c>
      <c r="AC3843" s="5">
        <v>43728</v>
      </c>
      <c r="AF3843" s="1">
        <v>10036</v>
      </c>
      <c r="AI3843" s="1" t="s">
        <v>183</v>
      </c>
      <c r="AJ3843" s="1">
        <v>2019</v>
      </c>
      <c r="AK3843" s="1" t="s">
        <v>49</v>
      </c>
      <c r="AL3843" s="1">
        <v>123</v>
      </c>
    </row>
    <row r="3844" spans="1:38" x14ac:dyDescent="0.2">
      <c r="A3844" s="2" t="str">
        <f>HYPERLINK("https://www.compass.com/listing/505-513-west-43rd-street-unit-5d-manhattan-ny-10036/29514253161530369/","505-513 W 43rd St, Unit 5D")</f>
        <v>505-513 W 43rd St, Unit 5D</v>
      </c>
      <c r="B3844" s="2" t="str">
        <f t="shared" si="649"/>
        <v>Charlie West</v>
      </c>
      <c r="C3844" s="1" t="s">
        <v>90</v>
      </c>
      <c r="D3844" s="1" t="s">
        <v>41</v>
      </c>
      <c r="E3844" s="3">
        <v>1159966</v>
      </c>
      <c r="F3844" s="1">
        <v>1792.83808346213</v>
      </c>
      <c r="G3844" s="1">
        <v>3</v>
      </c>
      <c r="H3844" s="1">
        <v>1</v>
      </c>
      <c r="I3844" s="1">
        <v>1</v>
      </c>
      <c r="J3844" s="1">
        <v>1</v>
      </c>
      <c r="K3844" s="1">
        <v>1</v>
      </c>
      <c r="M3844" s="1">
        <v>647</v>
      </c>
      <c r="N3844" s="1">
        <v>705</v>
      </c>
      <c r="O3844" s="1">
        <v>1328</v>
      </c>
      <c r="Q3844" s="1" t="s">
        <v>2555</v>
      </c>
      <c r="S3844" s="1" t="s">
        <v>2556</v>
      </c>
      <c r="T3844" s="1" t="s">
        <v>273</v>
      </c>
      <c r="U3844" s="1">
        <v>1</v>
      </c>
      <c r="V3844" s="5">
        <v>44427</v>
      </c>
      <c r="W3844" s="5">
        <v>43095</v>
      </c>
      <c r="X3844" s="1">
        <v>1245000</v>
      </c>
      <c r="Y3844" s="1">
        <v>1245000</v>
      </c>
      <c r="Z3844" s="5">
        <v>43097</v>
      </c>
      <c r="AA3844" s="1">
        <v>1159966.24</v>
      </c>
      <c r="AB3844" s="1" t="s">
        <v>2604</v>
      </c>
      <c r="AC3844" s="5">
        <v>43986</v>
      </c>
      <c r="AF3844" s="1">
        <v>10036</v>
      </c>
      <c r="AI3844" s="1" t="s">
        <v>183</v>
      </c>
      <c r="AJ3844" s="1">
        <v>2019</v>
      </c>
      <c r="AK3844" s="1" t="s">
        <v>49</v>
      </c>
      <c r="AL3844" s="1">
        <v>123</v>
      </c>
    </row>
    <row r="3845" spans="1:38" x14ac:dyDescent="0.2">
      <c r="A3845" s="2" t="str">
        <f>HYPERLINK("https://www.compass.com/listing/88-lexington-avenue-unit-702-manhattan-ny-10016/183298490070223025/","88 Lexington Ave, Unit 702")</f>
        <v>88 Lexington Ave, Unit 702</v>
      </c>
      <c r="B3845" s="2" t="str">
        <f>HYPERLINK("https://www.compass.com/building/88-90-lexington-avenue-manhattan-ny/281903945159296309/","88 &amp; 90 Lexington Avenue")</f>
        <v>88 &amp; 90 Lexington Avenue</v>
      </c>
      <c r="C3845" s="1" t="s">
        <v>198</v>
      </c>
      <c r="D3845" s="1" t="s">
        <v>41</v>
      </c>
      <c r="E3845" s="3">
        <v>3300000</v>
      </c>
      <c r="F3845" s="1">
        <v>1761.8793379604899</v>
      </c>
      <c r="G3845" s="1">
        <v>5</v>
      </c>
      <c r="H3845" s="1">
        <v>3</v>
      </c>
      <c r="I3845" s="1">
        <v>3</v>
      </c>
      <c r="J3845" s="1">
        <v>2.5</v>
      </c>
      <c r="K3845" s="1">
        <v>2</v>
      </c>
      <c r="L3845" s="1">
        <v>1</v>
      </c>
      <c r="M3845" s="4">
        <v>1873</v>
      </c>
      <c r="N3845" s="1">
        <v>1726</v>
      </c>
      <c r="O3845" s="1">
        <v>4438</v>
      </c>
      <c r="P3845" s="1">
        <v>2712</v>
      </c>
      <c r="Q3845" s="1" t="s">
        <v>42</v>
      </c>
      <c r="S3845" s="1" t="s">
        <v>42</v>
      </c>
      <c r="T3845" s="1" t="s">
        <v>273</v>
      </c>
      <c r="U3845" s="1">
        <v>123</v>
      </c>
      <c r="V3845" s="5">
        <v>43697</v>
      </c>
      <c r="W3845" s="5">
        <v>43505</v>
      </c>
      <c r="X3845" s="1">
        <v>3500000</v>
      </c>
      <c r="Y3845" s="1">
        <v>3350000</v>
      </c>
      <c r="Z3845" s="5">
        <v>43628</v>
      </c>
      <c r="AA3845" s="1">
        <v>3300000</v>
      </c>
      <c r="AB3845" s="1" t="s">
        <v>2026</v>
      </c>
      <c r="AC3845" s="5">
        <v>43643</v>
      </c>
      <c r="AF3845" s="1">
        <v>10016</v>
      </c>
      <c r="AI3845" s="1" t="s">
        <v>78</v>
      </c>
      <c r="AJ3845" s="1">
        <v>1927</v>
      </c>
      <c r="AK3845" s="1" t="s">
        <v>49</v>
      </c>
      <c r="AL3845" s="1">
        <v>70</v>
      </c>
    </row>
    <row r="3846" spans="1:38" x14ac:dyDescent="0.2">
      <c r="A3846" s="2" t="str">
        <f>HYPERLINK("https://www.compass.com/listing/301-east-81st-street-unit-5b-manhattan-ny-10028/487487004068942009/","301 E 81st St, Unit 5B")</f>
        <v>301 E 81st St, Unit 5B</v>
      </c>
      <c r="B3846" s="2" t="str">
        <f>HYPERLINK("https://www.compass.com/building/beckford-house-manhattan-ny/293531205712863989/","Beckford House")</f>
        <v>Beckford House</v>
      </c>
      <c r="C3846" s="1" t="s">
        <v>82</v>
      </c>
      <c r="D3846" s="1" t="s">
        <v>41</v>
      </c>
      <c r="E3846" s="3">
        <v>2700000</v>
      </c>
      <c r="F3846" s="1">
        <v>1351.3513513513501</v>
      </c>
      <c r="G3846" s="1">
        <v>5.5</v>
      </c>
      <c r="H3846" s="1">
        <v>2</v>
      </c>
      <c r="I3846" s="1">
        <v>3</v>
      </c>
      <c r="J3846" s="1">
        <v>2.5</v>
      </c>
      <c r="K3846" s="1">
        <v>2</v>
      </c>
      <c r="L3846" s="1">
        <v>1</v>
      </c>
      <c r="M3846" s="4">
        <v>1998</v>
      </c>
      <c r="N3846" s="1">
        <v>1966</v>
      </c>
      <c r="O3846" s="1">
        <v>4101</v>
      </c>
      <c r="P3846" s="1">
        <v>2135</v>
      </c>
      <c r="Q3846" s="1" t="s">
        <v>42</v>
      </c>
      <c r="S3846" s="1" t="s">
        <v>42</v>
      </c>
      <c r="T3846" s="1" t="s">
        <v>273</v>
      </c>
      <c r="U3846" s="1">
        <v>170</v>
      </c>
      <c r="V3846" s="5">
        <v>44225</v>
      </c>
      <c r="W3846" s="5">
        <v>43740</v>
      </c>
      <c r="X3846" s="1">
        <v>2975000</v>
      </c>
      <c r="Y3846" s="1">
        <v>2975000</v>
      </c>
      <c r="AA3846" s="1">
        <v>2700000</v>
      </c>
      <c r="AB3846" s="1" t="s">
        <v>2605</v>
      </c>
      <c r="AC3846" s="5">
        <v>44187</v>
      </c>
      <c r="AF3846" s="1">
        <v>10028</v>
      </c>
      <c r="AI3846" s="1" t="s">
        <v>2328</v>
      </c>
      <c r="AJ3846" s="1">
        <v>2019</v>
      </c>
      <c r="AK3846" s="1" t="s">
        <v>49</v>
      </c>
      <c r="AL3846" s="1">
        <v>0</v>
      </c>
    </row>
    <row r="3847" spans="1:38" x14ac:dyDescent="0.2">
      <c r="A3847" s="2" t="str">
        <f>HYPERLINK("https://www.compass.com/listing/505-513-west-43rd-street-unit-14j-manhattan-ny-10036/583985794107324761/","505-513 W 43rd St, Unit 14J")</f>
        <v>505-513 W 43rd St, Unit 14J</v>
      </c>
      <c r="B3847" s="2" t="str">
        <f t="shared" ref="B3847:B3851" si="650">HYPERLINK("https://www.compass.com/building/charlie-west-manhattan-ny/292918554372621509/","Charlie West")</f>
        <v>Charlie West</v>
      </c>
      <c r="C3847" s="1" t="s">
        <v>90</v>
      </c>
      <c r="D3847" s="1" t="s">
        <v>41</v>
      </c>
      <c r="E3847" s="3">
        <v>1050000</v>
      </c>
      <c r="F3847" s="1">
        <v>1607.96324655436</v>
      </c>
      <c r="G3847" s="1">
        <v>3</v>
      </c>
      <c r="H3847" s="1">
        <v>1</v>
      </c>
      <c r="I3847" s="1">
        <v>1</v>
      </c>
      <c r="J3847" s="1">
        <v>1</v>
      </c>
      <c r="K3847" s="1">
        <v>1</v>
      </c>
      <c r="M3847" s="1">
        <v>653</v>
      </c>
      <c r="N3847" s="1">
        <v>717</v>
      </c>
      <c r="O3847" s="1">
        <v>1752</v>
      </c>
      <c r="Q3847" s="1" t="s">
        <v>2555</v>
      </c>
      <c r="S3847" s="1" t="s">
        <v>2556</v>
      </c>
      <c r="T3847" s="1" t="s">
        <v>273</v>
      </c>
      <c r="V3847" s="5">
        <v>44314</v>
      </c>
      <c r="W3847" s="5">
        <v>44054</v>
      </c>
      <c r="X3847" s="1">
        <v>1150000</v>
      </c>
      <c r="Y3847" s="1">
        <v>1150000</v>
      </c>
      <c r="Z3847" s="5">
        <v>44054</v>
      </c>
      <c r="AA3847" s="1">
        <v>1050000</v>
      </c>
      <c r="AB3847" s="1" t="s">
        <v>2606</v>
      </c>
      <c r="AC3847" s="5">
        <v>44270</v>
      </c>
      <c r="AF3847" s="1">
        <v>10036</v>
      </c>
      <c r="AI3847" s="1" t="s">
        <v>183</v>
      </c>
      <c r="AJ3847" s="1">
        <v>2019</v>
      </c>
      <c r="AK3847" s="1" t="s">
        <v>49</v>
      </c>
      <c r="AL3847" s="1">
        <v>123</v>
      </c>
    </row>
    <row r="3848" spans="1:38" x14ac:dyDescent="0.2">
      <c r="A3848" s="2" t="str">
        <f>HYPERLINK("https://www.compass.com/listing/505-513-west-43rd-street-unit-10j-manhattan-ny-10036/213686035391992769/","505-513 W 43rd St, Unit 10J")</f>
        <v>505-513 W 43rd St, Unit 10J</v>
      </c>
      <c r="B3848" s="2" t="str">
        <f t="shared" si="650"/>
        <v>Charlie West</v>
      </c>
      <c r="C3848" s="1" t="s">
        <v>90</v>
      </c>
      <c r="D3848" s="1" t="s">
        <v>41</v>
      </c>
      <c r="E3848" s="3">
        <v>2767000</v>
      </c>
      <c r="F3848" s="1">
        <v>1997.8339350180499</v>
      </c>
      <c r="G3848" s="1">
        <v>5</v>
      </c>
      <c r="H3848" s="1">
        <v>2</v>
      </c>
      <c r="I3848" s="1">
        <v>2</v>
      </c>
      <c r="J3848" s="1">
        <v>2</v>
      </c>
      <c r="K3848" s="1">
        <v>2</v>
      </c>
      <c r="M3848" s="4">
        <v>1385</v>
      </c>
      <c r="N3848" s="1">
        <v>1461.1</v>
      </c>
      <c r="O3848" s="1">
        <v>2696.79</v>
      </c>
      <c r="P3848" s="1">
        <v>1235.6666666666599</v>
      </c>
      <c r="Q3848" s="1" t="s">
        <v>42</v>
      </c>
      <c r="S3848" s="1" t="s">
        <v>42</v>
      </c>
      <c r="T3848" s="1" t="s">
        <v>273</v>
      </c>
      <c r="V3848" s="5">
        <v>43853</v>
      </c>
      <c r="W3848" s="5">
        <v>43546</v>
      </c>
      <c r="X3848" s="1">
        <v>2805000</v>
      </c>
      <c r="Y3848" s="1">
        <v>2805000</v>
      </c>
      <c r="Z3848" s="5">
        <v>43546</v>
      </c>
      <c r="AA3848" s="1">
        <v>2767000</v>
      </c>
      <c r="AB3848" s="1" t="s">
        <v>2607</v>
      </c>
      <c r="AC3848" s="5">
        <v>43852</v>
      </c>
      <c r="AF3848" s="1">
        <v>10036</v>
      </c>
      <c r="AI3848" s="1" t="s">
        <v>183</v>
      </c>
      <c r="AJ3848" s="1">
        <v>2019</v>
      </c>
      <c r="AK3848" s="1" t="s">
        <v>46</v>
      </c>
      <c r="AL3848" s="1">
        <v>123</v>
      </c>
    </row>
    <row r="3849" spans="1:38" x14ac:dyDescent="0.2">
      <c r="A3849" s="2" t="str">
        <f>HYPERLINK("https://www.compass.com/listing/505-513-west-43rd-street-unit-10g-manhattan-ny-10036/317399885938221201/","505-513 W 43rd St, Unit 10G")</f>
        <v>505-513 W 43rd St, Unit 10G</v>
      </c>
      <c r="B3849" s="2" t="str">
        <f t="shared" si="650"/>
        <v>Charlie West</v>
      </c>
      <c r="C3849" s="1" t="s">
        <v>90</v>
      </c>
      <c r="D3849" s="1" t="s">
        <v>41</v>
      </c>
      <c r="E3849" s="3">
        <v>2650000</v>
      </c>
      <c r="F3849" s="1">
        <v>2190.0826446280898</v>
      </c>
      <c r="G3849" s="1">
        <v>4</v>
      </c>
      <c r="H3849" s="1">
        <v>2</v>
      </c>
      <c r="I3849" s="1">
        <v>2</v>
      </c>
      <c r="J3849" s="1">
        <v>2</v>
      </c>
      <c r="K3849" s="1">
        <v>2</v>
      </c>
      <c r="M3849" s="4">
        <v>1210</v>
      </c>
      <c r="N3849" s="1">
        <v>1404</v>
      </c>
      <c r="O3849" s="1">
        <v>2591</v>
      </c>
      <c r="P3849" s="1">
        <v>1187</v>
      </c>
      <c r="Q3849" s="1" t="s">
        <v>42</v>
      </c>
      <c r="S3849" s="1" t="s">
        <v>42</v>
      </c>
      <c r="T3849" s="1" t="s">
        <v>273</v>
      </c>
      <c r="V3849" s="5">
        <v>43809</v>
      </c>
      <c r="W3849" s="5">
        <v>43690</v>
      </c>
      <c r="X3849" s="1">
        <v>2650000</v>
      </c>
      <c r="Y3849" s="1">
        <v>2650000</v>
      </c>
      <c r="Z3849" s="5">
        <v>43690</v>
      </c>
      <c r="AA3849" s="1">
        <v>2650000</v>
      </c>
      <c r="AB3849" s="1" t="s">
        <v>275</v>
      </c>
      <c r="AC3849" s="5">
        <v>43795</v>
      </c>
      <c r="AF3849" s="1">
        <v>10036</v>
      </c>
      <c r="AI3849" s="1" t="s">
        <v>122</v>
      </c>
      <c r="AJ3849" s="1">
        <v>2019</v>
      </c>
      <c r="AK3849" s="1" t="s">
        <v>46</v>
      </c>
      <c r="AL3849" s="1">
        <v>123</v>
      </c>
    </row>
    <row r="3850" spans="1:38" x14ac:dyDescent="0.2">
      <c r="A3850" s="2" t="str">
        <f>HYPERLINK("https://www.compass.com/listing/505-513-west-43rd-street-unit-3e-manhattan-ny-10036/337772223221507649/","505-513 W 43rd St, Unit 3E")</f>
        <v>505-513 W 43rd St, Unit 3E</v>
      </c>
      <c r="B3850" s="2" t="str">
        <f t="shared" si="650"/>
        <v>Charlie West</v>
      </c>
      <c r="C3850" s="1" t="s">
        <v>90</v>
      </c>
      <c r="D3850" s="1" t="s">
        <v>41</v>
      </c>
      <c r="E3850" s="3">
        <v>1824704</v>
      </c>
      <c r="F3850" s="1">
        <v>1751.15547024952</v>
      </c>
      <c r="G3850" s="1">
        <v>4</v>
      </c>
      <c r="H3850" s="1">
        <v>2</v>
      </c>
      <c r="I3850" s="1">
        <v>2</v>
      </c>
      <c r="J3850" s="1">
        <v>2</v>
      </c>
      <c r="K3850" s="1">
        <v>2</v>
      </c>
      <c r="M3850" s="4">
        <v>1042</v>
      </c>
      <c r="N3850" s="1">
        <v>1104.0899999999999</v>
      </c>
      <c r="O3850" s="1">
        <v>2038.1</v>
      </c>
      <c r="P3850" s="1">
        <v>934</v>
      </c>
      <c r="Q3850" s="1" t="s">
        <v>42</v>
      </c>
      <c r="S3850" s="1" t="s">
        <v>42</v>
      </c>
      <c r="T3850" s="1" t="s">
        <v>273</v>
      </c>
      <c r="U3850" s="1">
        <v>72</v>
      </c>
      <c r="V3850" s="5">
        <v>43823</v>
      </c>
      <c r="W3850" s="5">
        <v>43717</v>
      </c>
      <c r="X3850" s="1">
        <v>1875000</v>
      </c>
      <c r="Y3850" s="1">
        <v>1875000</v>
      </c>
      <c r="Z3850" s="5">
        <v>43819</v>
      </c>
      <c r="AA3850" s="1">
        <v>1824704</v>
      </c>
      <c r="AB3850" s="1" t="s">
        <v>2608</v>
      </c>
      <c r="AC3850" s="5">
        <v>43819</v>
      </c>
      <c r="AF3850" s="1">
        <v>10036</v>
      </c>
      <c r="AI3850" s="1" t="s">
        <v>122</v>
      </c>
      <c r="AJ3850" s="1">
        <v>2019</v>
      </c>
      <c r="AK3850" s="1" t="s">
        <v>46</v>
      </c>
      <c r="AL3850" s="1">
        <v>123</v>
      </c>
    </row>
    <row r="3851" spans="1:38" x14ac:dyDescent="0.2">
      <c r="A3851" s="2" t="str">
        <f>HYPERLINK("https://www.compass.com/listing/505-513-west-43rd-street-unit-6f-manhattan-ny-10036/81131358180632465/","505-513 W 43rd St, Unit 6F")</f>
        <v>505-513 W 43rd St, Unit 6F</v>
      </c>
      <c r="B3851" s="2" t="str">
        <f t="shared" si="650"/>
        <v>Charlie West</v>
      </c>
      <c r="C3851" s="1" t="s">
        <v>90</v>
      </c>
      <c r="D3851" s="1" t="s">
        <v>41</v>
      </c>
      <c r="E3851" s="3">
        <v>1915000</v>
      </c>
      <c r="F3851" s="1">
        <v>1839.5773294908699</v>
      </c>
      <c r="G3851" s="1">
        <v>5</v>
      </c>
      <c r="H3851" s="1">
        <v>2</v>
      </c>
      <c r="I3851" s="1">
        <v>2</v>
      </c>
      <c r="J3851" s="1">
        <v>2</v>
      </c>
      <c r="K3851" s="1">
        <v>2</v>
      </c>
      <c r="M3851" s="4">
        <v>1041</v>
      </c>
      <c r="N3851" s="1">
        <v>1117.17</v>
      </c>
      <c r="O3851" s="1">
        <v>2062.1999999999998</v>
      </c>
      <c r="P3851" s="1">
        <v>945</v>
      </c>
      <c r="Q3851" s="1" t="s">
        <v>42</v>
      </c>
      <c r="S3851" s="1" t="s">
        <v>42</v>
      </c>
      <c r="T3851" s="1" t="s">
        <v>273</v>
      </c>
      <c r="U3851" s="1">
        <v>179</v>
      </c>
      <c r="V3851" s="5">
        <v>43752</v>
      </c>
      <c r="W3851" s="5">
        <v>43363</v>
      </c>
      <c r="X3851" s="1">
        <v>2115000</v>
      </c>
      <c r="Y3851" s="1">
        <v>1995000</v>
      </c>
      <c r="Z3851" s="5">
        <v>43542</v>
      </c>
      <c r="AA3851" s="1">
        <v>1915000</v>
      </c>
      <c r="AB3851" s="1" t="s">
        <v>2609</v>
      </c>
      <c r="AC3851" s="5">
        <v>43740</v>
      </c>
      <c r="AF3851" s="1">
        <v>10036</v>
      </c>
      <c r="AI3851" s="1" t="s">
        <v>251</v>
      </c>
      <c r="AJ3851" s="1">
        <v>2019</v>
      </c>
      <c r="AK3851" s="1" t="s">
        <v>46</v>
      </c>
      <c r="AL3851" s="1">
        <v>123</v>
      </c>
    </row>
    <row r="3852" spans="1:38" x14ac:dyDescent="0.2">
      <c r="A3852" s="2" t="str">
        <f>HYPERLINK("https://www.compass.com/listing/20-east-end-avenue-unit-15b-manhattan-ny-10028/29425946335410865/","20 E End Ave, Unit 15B")</f>
        <v>20 E End Ave, Unit 15B</v>
      </c>
      <c r="B3852" s="2" t="str">
        <f>HYPERLINK("https://www.compass.com/building/20-e-end-ave-manhattan-ny-10028/281985490498985157/","20 E End Ave")</f>
        <v>20 E End Ave</v>
      </c>
      <c r="C3852" s="1" t="s">
        <v>82</v>
      </c>
      <c r="D3852" s="1" t="s">
        <v>41</v>
      </c>
      <c r="E3852" s="3">
        <v>12267876</v>
      </c>
      <c r="F3852" s="1">
        <v>3407.7433333333302</v>
      </c>
      <c r="G3852" s="1">
        <v>9</v>
      </c>
      <c r="H3852" s="1">
        <v>4</v>
      </c>
      <c r="I3852" s="1">
        <v>4</v>
      </c>
      <c r="J3852" s="1">
        <v>4</v>
      </c>
      <c r="K3852" s="1">
        <v>4</v>
      </c>
      <c r="M3852" s="4">
        <v>3600</v>
      </c>
      <c r="N3852" s="1">
        <v>4615</v>
      </c>
      <c r="O3852" s="1">
        <v>9549</v>
      </c>
      <c r="P3852" s="1">
        <v>4934</v>
      </c>
      <c r="Q3852" s="1" t="s">
        <v>42</v>
      </c>
      <c r="S3852" s="1" t="s">
        <v>42</v>
      </c>
      <c r="T3852" s="1" t="s">
        <v>273</v>
      </c>
      <c r="U3852" s="1">
        <v>10</v>
      </c>
      <c r="V3852" s="5">
        <v>43676</v>
      </c>
      <c r="W3852" s="5">
        <v>42024</v>
      </c>
      <c r="X3852" s="1">
        <v>12000000</v>
      </c>
      <c r="Y3852" s="1">
        <v>12000000</v>
      </c>
      <c r="Z3852" s="5">
        <v>42034</v>
      </c>
      <c r="AA3852" s="1">
        <v>12267876</v>
      </c>
      <c r="AB3852" s="1" t="s">
        <v>2610</v>
      </c>
      <c r="AC3852" s="5">
        <v>42839</v>
      </c>
      <c r="AF3852" s="1">
        <v>10028</v>
      </c>
      <c r="AI3852" s="1" t="s">
        <v>216</v>
      </c>
      <c r="AJ3852" s="1">
        <v>2017</v>
      </c>
      <c r="AK3852" s="1" t="s">
        <v>46</v>
      </c>
      <c r="AL3852" s="1">
        <v>41</v>
      </c>
    </row>
    <row r="3853" spans="1:38" x14ac:dyDescent="0.2">
      <c r="A3853" s="2" t="str">
        <f>HYPERLINK("https://www.compass.com/listing/15-west-61st-street-unit-20d-manhattan-ny-10023/841525606533779825/","15 W 61st St, Unit 20D")</f>
        <v>15 W 61st St, Unit 20D</v>
      </c>
      <c r="B3853" s="2" t="str">
        <f>HYPERLINK("https://www.compass.com/building/the-park-loggia-manhattan-ny/292861833130357557/","The Park Loggia")</f>
        <v>The Park Loggia</v>
      </c>
      <c r="C3853" s="1" t="s">
        <v>57</v>
      </c>
      <c r="D3853" s="1" t="s">
        <v>41</v>
      </c>
      <c r="E3853" s="3">
        <v>3588163</v>
      </c>
      <c r="F3853" s="1">
        <v>2677.7332089552201</v>
      </c>
      <c r="H3853" s="1">
        <v>2</v>
      </c>
      <c r="J3853" s="1">
        <v>2</v>
      </c>
      <c r="K3853" s="1">
        <v>2</v>
      </c>
      <c r="M3853" s="4">
        <v>1340</v>
      </c>
      <c r="N3853" s="1">
        <v>1415</v>
      </c>
      <c r="O3853" s="1">
        <v>2776</v>
      </c>
      <c r="P3853" s="1">
        <v>1361</v>
      </c>
      <c r="Q3853" s="1" t="s">
        <v>42</v>
      </c>
      <c r="S3853" s="1" t="s">
        <v>42</v>
      </c>
      <c r="T3853" s="1" t="s">
        <v>273</v>
      </c>
      <c r="AA3853" s="1">
        <v>3588162.5</v>
      </c>
      <c r="AB3853" s="1" t="s">
        <v>2611</v>
      </c>
      <c r="AC3853" s="5">
        <v>43902</v>
      </c>
      <c r="AF3853" s="1">
        <v>10023</v>
      </c>
      <c r="AI3853" s="1" t="s">
        <v>65</v>
      </c>
      <c r="AJ3853" s="1">
        <v>2019</v>
      </c>
      <c r="AK3853" s="1" t="s">
        <v>55</v>
      </c>
      <c r="AL3853" s="1">
        <v>172</v>
      </c>
    </row>
    <row r="3854" spans="1:38" x14ac:dyDescent="0.2">
      <c r="A3854" s="2" t="str">
        <f>HYPERLINK("https://www.compass.com/listing/505-513-west-43rd-street-unit-10g-manhattan-ny-10036/429973621797474801/","505-513 W 43rd St, Unit 10G")</f>
        <v>505-513 W 43rd St, Unit 10G</v>
      </c>
      <c r="B3854" s="2" t="str">
        <f>HYPERLINK("https://www.compass.com/building/charlie-west-manhattan-ny/292918554372621509/","Charlie West")</f>
        <v>Charlie West</v>
      </c>
      <c r="C3854" s="1" t="s">
        <v>90</v>
      </c>
      <c r="D3854" s="1" t="s">
        <v>41</v>
      </c>
      <c r="E3854" s="3">
        <v>2299239</v>
      </c>
      <c r="F3854" s="1">
        <v>1900.1978347107399</v>
      </c>
      <c r="H3854" s="1">
        <v>2</v>
      </c>
      <c r="J3854" s="1">
        <v>2</v>
      </c>
      <c r="K3854" s="1">
        <v>2</v>
      </c>
      <c r="M3854" s="4">
        <v>1210</v>
      </c>
      <c r="N3854" s="1">
        <v>1404</v>
      </c>
      <c r="O3854" s="1">
        <v>2591</v>
      </c>
      <c r="P3854" s="1">
        <v>1187</v>
      </c>
      <c r="Q3854" s="1" t="s">
        <v>42</v>
      </c>
      <c r="S3854" s="1" t="s">
        <v>42</v>
      </c>
      <c r="T3854" s="1" t="s">
        <v>273</v>
      </c>
      <c r="AA3854" s="1">
        <v>2299239.38</v>
      </c>
      <c r="AB3854" s="1" t="s">
        <v>2612</v>
      </c>
      <c r="AC3854" s="5">
        <v>43065</v>
      </c>
      <c r="AF3854" s="1">
        <v>10036</v>
      </c>
      <c r="AI3854" s="1" t="s">
        <v>118</v>
      </c>
      <c r="AJ3854" s="1">
        <v>2019</v>
      </c>
      <c r="AK3854" s="1" t="s">
        <v>49</v>
      </c>
      <c r="AL3854" s="1">
        <v>123</v>
      </c>
    </row>
    <row r="3855" spans="1:38" x14ac:dyDescent="0.2">
      <c r="A3855" s="2" t="str">
        <f>HYPERLINK("https://www.compass.com/listing/305-west-150th-street-unit-404-manhattan-ny-10039/29434118735426865/","305 W 150th St, Unit 404")</f>
        <v>305 W 150th St, Unit 404</v>
      </c>
      <c r="B3855" s="2" t="str">
        <f t="shared" ref="B3855:B3857" si="651">HYPERLINK("https://www.compass.com/building/305-w-150th-st-manhattan-ny-10039/282032234968400245/","305 W 150th St")</f>
        <v>305 W 150th St</v>
      </c>
      <c r="C3855" s="1" t="s">
        <v>85</v>
      </c>
      <c r="D3855" s="1" t="s">
        <v>41</v>
      </c>
      <c r="E3855" s="3">
        <v>494325</v>
      </c>
      <c r="F3855" s="1">
        <v>832.19696969696895</v>
      </c>
      <c r="G3855" s="1">
        <v>3</v>
      </c>
      <c r="H3855" s="1">
        <v>1</v>
      </c>
      <c r="I3855" s="1">
        <v>1</v>
      </c>
      <c r="J3855" s="1">
        <v>1</v>
      </c>
      <c r="K3855" s="1">
        <v>1</v>
      </c>
      <c r="M3855" s="1">
        <v>594</v>
      </c>
      <c r="N3855" s="1">
        <v>358.82</v>
      </c>
      <c r="O3855" s="1">
        <v>617.91999999999996</v>
      </c>
      <c r="P3855" s="1">
        <v>259.08333333333297</v>
      </c>
      <c r="Q3855" s="1" t="s">
        <v>42</v>
      </c>
      <c r="S3855" s="1" t="s">
        <v>42</v>
      </c>
      <c r="T3855" s="1" t="s">
        <v>273</v>
      </c>
      <c r="U3855" s="1">
        <v>162</v>
      </c>
      <c r="V3855" s="5">
        <v>43677</v>
      </c>
      <c r="W3855" s="5">
        <v>42258</v>
      </c>
      <c r="X3855" s="1">
        <v>487500</v>
      </c>
      <c r="Y3855" s="1">
        <v>487500</v>
      </c>
      <c r="Z3855" s="5">
        <v>42420</v>
      </c>
      <c r="AA3855" s="1">
        <v>494325</v>
      </c>
      <c r="AB3855" s="1" t="s">
        <v>2613</v>
      </c>
      <c r="AC3855" s="5">
        <v>42521</v>
      </c>
      <c r="AF3855" s="1">
        <v>10039</v>
      </c>
      <c r="AJ3855" s="1">
        <v>1921</v>
      </c>
      <c r="AK3855" s="1" t="s">
        <v>143</v>
      </c>
      <c r="AL3855" s="1">
        <v>84</v>
      </c>
    </row>
    <row r="3856" spans="1:38" x14ac:dyDescent="0.2">
      <c r="A3856" s="2" t="str">
        <f>HYPERLINK("https://www.compass.com/listing/305-west-150th-street-unit-512-manhattan-ny-10039/29434127249925249/","305 W 150th St, Unit 512")</f>
        <v>305 W 150th St, Unit 512</v>
      </c>
      <c r="B3856" s="2" t="str">
        <f t="shared" si="651"/>
        <v>305 W 150th St</v>
      </c>
      <c r="C3856" s="1" t="s">
        <v>85</v>
      </c>
      <c r="D3856" s="1" t="s">
        <v>41</v>
      </c>
      <c r="E3856" s="3">
        <v>507000</v>
      </c>
      <c r="F3856" s="1">
        <v>845</v>
      </c>
      <c r="G3856" s="1">
        <v>3</v>
      </c>
      <c r="H3856" s="1">
        <v>1</v>
      </c>
      <c r="I3856" s="1">
        <v>1</v>
      </c>
      <c r="J3856" s="1">
        <v>1</v>
      </c>
      <c r="K3856" s="1">
        <v>1</v>
      </c>
      <c r="M3856" s="1">
        <v>600</v>
      </c>
      <c r="N3856" s="1">
        <v>367.67</v>
      </c>
      <c r="O3856" s="1">
        <v>633.17999999999995</v>
      </c>
      <c r="P3856" s="1">
        <v>265.5</v>
      </c>
      <c r="Q3856" s="1" t="s">
        <v>42</v>
      </c>
      <c r="S3856" s="1" t="s">
        <v>42</v>
      </c>
      <c r="T3856" s="1" t="s">
        <v>273</v>
      </c>
      <c r="U3856" s="1">
        <v>24</v>
      </c>
      <c r="V3856" s="5">
        <v>43680</v>
      </c>
      <c r="W3856" s="5">
        <v>42193</v>
      </c>
      <c r="X3856" s="1">
        <v>500000</v>
      </c>
      <c r="Y3856" s="1">
        <v>500000</v>
      </c>
      <c r="Z3856" s="5">
        <v>42217</v>
      </c>
      <c r="AA3856" s="1">
        <v>507000</v>
      </c>
      <c r="AB3856" s="1" t="s">
        <v>2614</v>
      </c>
      <c r="AC3856" s="5">
        <v>42263</v>
      </c>
      <c r="AF3856" s="1">
        <v>10039</v>
      </c>
      <c r="AJ3856" s="1">
        <v>1921</v>
      </c>
      <c r="AK3856" s="1" t="s">
        <v>143</v>
      </c>
      <c r="AL3856" s="1">
        <v>84</v>
      </c>
    </row>
    <row r="3857" spans="1:38" x14ac:dyDescent="0.2">
      <c r="A3857" s="2" t="str">
        <f>HYPERLINK("https://www.compass.com/listing/305-west-150th-street-unit-705-manhattan-ny-10039/29434135571424545/","305 W 150th St, Unit 705")</f>
        <v>305 W 150th St, Unit 705</v>
      </c>
      <c r="B3857" s="2" t="str">
        <f t="shared" si="651"/>
        <v>305 W 150th St</v>
      </c>
      <c r="C3857" s="1" t="s">
        <v>85</v>
      </c>
      <c r="D3857" s="1" t="s">
        <v>41</v>
      </c>
      <c r="E3857" s="3">
        <v>505000</v>
      </c>
      <c r="F3857" s="1">
        <v>855.93220338982997</v>
      </c>
      <c r="G3857" s="1">
        <v>3</v>
      </c>
      <c r="H3857" s="1">
        <v>1</v>
      </c>
      <c r="I3857" s="1">
        <v>1</v>
      </c>
      <c r="J3857" s="1">
        <v>1</v>
      </c>
      <c r="K3857" s="1">
        <v>1</v>
      </c>
      <c r="M3857" s="1">
        <v>590</v>
      </c>
      <c r="N3857" s="1">
        <v>370.67</v>
      </c>
      <c r="O3857" s="1">
        <v>638.33000000000004</v>
      </c>
      <c r="P3857" s="1">
        <v>267.666666666666</v>
      </c>
      <c r="Q3857" s="1" t="s">
        <v>42</v>
      </c>
      <c r="S3857" s="1" t="s">
        <v>42</v>
      </c>
      <c r="T3857" s="1" t="s">
        <v>273</v>
      </c>
      <c r="U3857" s="1">
        <v>82</v>
      </c>
      <c r="V3857" s="5">
        <v>43679</v>
      </c>
      <c r="W3857" s="5">
        <v>42258</v>
      </c>
      <c r="X3857" s="1">
        <v>505000</v>
      </c>
      <c r="Y3857" s="1">
        <v>505000</v>
      </c>
      <c r="Z3857" s="5">
        <v>42340</v>
      </c>
      <c r="AA3857" s="1">
        <v>505000</v>
      </c>
      <c r="AB3857" s="1" t="s">
        <v>2615</v>
      </c>
      <c r="AC3857" s="5">
        <v>42367</v>
      </c>
      <c r="AF3857" s="1">
        <v>10039</v>
      </c>
      <c r="AJ3857" s="1">
        <v>1921</v>
      </c>
      <c r="AK3857" s="1" t="s">
        <v>143</v>
      </c>
      <c r="AL3857" s="1">
        <v>84</v>
      </c>
    </row>
    <row r="3858" spans="1:38" x14ac:dyDescent="0.2">
      <c r="A3858" s="2" t="str">
        <f>HYPERLINK("https://www.compass.com/listing/505-513-west-43rd-street-unit-6d-manhattan-ny-10036/29514250812681377/","505-513 W 43rd St, Unit 6D")</f>
        <v>505-513 W 43rd St, Unit 6D</v>
      </c>
      <c r="B3858" s="2" t="str">
        <f>HYPERLINK("https://www.compass.com/building/charlie-west-manhattan-ny/292918554372621509/","Charlie West")</f>
        <v>Charlie West</v>
      </c>
      <c r="C3858" s="1" t="s">
        <v>90</v>
      </c>
      <c r="D3858" s="1" t="s">
        <v>41</v>
      </c>
      <c r="E3858" s="3">
        <v>1271498</v>
      </c>
      <c r="F3858" s="1">
        <v>1965.2202472951999</v>
      </c>
      <c r="G3858" s="1">
        <v>3</v>
      </c>
      <c r="H3858" s="1">
        <v>1</v>
      </c>
      <c r="I3858" s="1">
        <v>1</v>
      </c>
      <c r="J3858" s="1">
        <v>1</v>
      </c>
      <c r="K3858" s="1">
        <v>1</v>
      </c>
      <c r="M3858" s="1">
        <v>647</v>
      </c>
      <c r="N3858" s="1">
        <v>708</v>
      </c>
      <c r="O3858" s="1">
        <v>1845</v>
      </c>
      <c r="P3858" s="1">
        <v>1137</v>
      </c>
      <c r="Q3858" s="1" t="s">
        <v>249</v>
      </c>
      <c r="S3858" s="1" t="s">
        <v>250</v>
      </c>
      <c r="T3858" s="1" t="s">
        <v>273</v>
      </c>
      <c r="V3858" s="5">
        <v>43795</v>
      </c>
      <c r="W3858" s="5">
        <v>43193</v>
      </c>
      <c r="X3858" s="1">
        <v>1260000</v>
      </c>
      <c r="Y3858" s="1">
        <v>1260000</v>
      </c>
      <c r="Z3858" s="5">
        <v>43193</v>
      </c>
      <c r="AA3858" s="1">
        <v>1271497.5</v>
      </c>
      <c r="AB3858" s="1" t="s">
        <v>2616</v>
      </c>
      <c r="AC3858" s="5">
        <v>43780</v>
      </c>
      <c r="AF3858" s="1">
        <v>10036</v>
      </c>
      <c r="AI3858" s="1" t="s">
        <v>251</v>
      </c>
      <c r="AJ3858" s="1">
        <v>2019</v>
      </c>
      <c r="AK3858" s="1" t="s">
        <v>49</v>
      </c>
      <c r="AL3858" s="1">
        <v>123</v>
      </c>
    </row>
    <row r="3859" spans="1:38" x14ac:dyDescent="0.2">
      <c r="A3859" s="2" t="str">
        <f>HYPERLINK("https://www.compass.com/listing/305-west-150th-street-unit-201-manhattan-ny-10039/29434102427964897/","305 W 150th St, Unit 201")</f>
        <v>305 W 150th St, Unit 201</v>
      </c>
      <c r="B3859" s="2" t="str">
        <f t="shared" ref="B3859:B3867" si="652">HYPERLINK("https://www.compass.com/building/305-w-150th-st-manhattan-ny-10039/282032234968400245/","305 W 150th St")</f>
        <v>305 W 150th St</v>
      </c>
      <c r="C3859" s="1" t="s">
        <v>85</v>
      </c>
      <c r="D3859" s="1" t="s">
        <v>41</v>
      </c>
      <c r="E3859" s="3">
        <v>486720</v>
      </c>
      <c r="F3859" s="1">
        <v>843.53552859618696</v>
      </c>
      <c r="G3859" s="1">
        <v>4</v>
      </c>
      <c r="H3859" s="1">
        <v>1</v>
      </c>
      <c r="I3859" s="1">
        <v>1</v>
      </c>
      <c r="J3859" s="1">
        <v>1</v>
      </c>
      <c r="K3859" s="1">
        <v>1</v>
      </c>
      <c r="M3859" s="1">
        <v>577</v>
      </c>
      <c r="N3859" s="1">
        <v>344</v>
      </c>
      <c r="O3859" s="1">
        <v>592.39</v>
      </c>
      <c r="P3859" s="1">
        <v>248.416666666666</v>
      </c>
      <c r="Q3859" s="1" t="s">
        <v>42</v>
      </c>
      <c r="S3859" s="1" t="s">
        <v>42</v>
      </c>
      <c r="T3859" s="1" t="s">
        <v>273</v>
      </c>
      <c r="U3859" s="1">
        <v>20</v>
      </c>
      <c r="V3859" s="5">
        <v>43668</v>
      </c>
      <c r="W3859" s="5">
        <v>42631</v>
      </c>
      <c r="X3859" s="1">
        <v>480000</v>
      </c>
      <c r="Y3859" s="1">
        <v>480000</v>
      </c>
      <c r="Z3859" s="5">
        <v>42651</v>
      </c>
      <c r="AA3859" s="1">
        <v>486720</v>
      </c>
      <c r="AB3859" s="1" t="s">
        <v>2617</v>
      </c>
      <c r="AC3859" s="5">
        <v>42797</v>
      </c>
      <c r="AF3859" s="1">
        <v>10039</v>
      </c>
      <c r="AJ3859" s="1">
        <v>1921</v>
      </c>
      <c r="AK3859" s="1" t="s">
        <v>73</v>
      </c>
      <c r="AL3859" s="1">
        <v>84</v>
      </c>
    </row>
    <row r="3860" spans="1:38" x14ac:dyDescent="0.2">
      <c r="A3860" s="2" t="str">
        <f>HYPERLINK("https://www.compass.com/listing/305-west-150th-street-unit-207-manhattan-ny-10039/29434106328736545/","305 W 150th St, Unit 207")</f>
        <v>305 W 150th St, Unit 207</v>
      </c>
      <c r="B3860" s="2" t="str">
        <f t="shared" si="652"/>
        <v>305 W 150th St</v>
      </c>
      <c r="C3860" s="1" t="s">
        <v>85</v>
      </c>
      <c r="D3860" s="1" t="s">
        <v>41</v>
      </c>
      <c r="E3860" s="3">
        <v>486815</v>
      </c>
      <c r="F3860" s="1">
        <v>854.06140350877195</v>
      </c>
      <c r="G3860" s="1">
        <v>4</v>
      </c>
      <c r="H3860" s="1">
        <v>1</v>
      </c>
      <c r="I3860" s="1">
        <v>1</v>
      </c>
      <c r="J3860" s="1">
        <v>1</v>
      </c>
      <c r="K3860" s="1">
        <v>1</v>
      </c>
      <c r="M3860" s="1">
        <v>570</v>
      </c>
      <c r="N3860" s="1">
        <v>351.23</v>
      </c>
      <c r="O3860" s="1">
        <v>597.48</v>
      </c>
      <c r="P3860" s="1">
        <v>246.25</v>
      </c>
      <c r="Q3860" s="1" t="s">
        <v>42</v>
      </c>
      <c r="S3860" s="1" t="s">
        <v>42</v>
      </c>
      <c r="T3860" s="1" t="s">
        <v>273</v>
      </c>
      <c r="U3860" s="1">
        <v>163</v>
      </c>
      <c r="V3860" s="5">
        <v>43649</v>
      </c>
      <c r="W3860" s="5">
        <v>42857</v>
      </c>
      <c r="X3860" s="1">
        <v>480000</v>
      </c>
      <c r="Y3860" s="1">
        <v>480000</v>
      </c>
      <c r="Z3860" s="5">
        <v>43020</v>
      </c>
      <c r="AA3860" s="1">
        <v>486815</v>
      </c>
      <c r="AB3860" s="1" t="s">
        <v>2618</v>
      </c>
      <c r="AC3860" s="5">
        <v>43067</v>
      </c>
      <c r="AF3860" s="1">
        <v>10039</v>
      </c>
      <c r="AI3860" s="1" t="s">
        <v>80</v>
      </c>
      <c r="AJ3860" s="1">
        <v>1921</v>
      </c>
      <c r="AK3860" s="1" t="s">
        <v>73</v>
      </c>
      <c r="AL3860" s="1">
        <v>84</v>
      </c>
    </row>
    <row r="3861" spans="1:38" x14ac:dyDescent="0.2">
      <c r="A3861" s="2" t="str">
        <f>HYPERLINK("https://www.compass.com/listing/305-west-150th-street-unit-604-manhattan-ny-10039/29434129179236305/","305 W 150th St, Unit 604")</f>
        <v>305 W 150th St, Unit 604</v>
      </c>
      <c r="B3861" s="2" t="str">
        <f t="shared" si="652"/>
        <v>305 W 150th St</v>
      </c>
      <c r="C3861" s="1" t="s">
        <v>85</v>
      </c>
      <c r="D3861" s="1" t="s">
        <v>41</v>
      </c>
      <c r="E3861" s="3">
        <v>505000</v>
      </c>
      <c r="F3861" s="1">
        <v>850.16835016835</v>
      </c>
      <c r="G3861" s="1">
        <v>3</v>
      </c>
      <c r="H3861" s="1">
        <v>1</v>
      </c>
      <c r="I3861" s="1">
        <v>1</v>
      </c>
      <c r="J3861" s="1">
        <v>1</v>
      </c>
      <c r="K3861" s="1">
        <v>1</v>
      </c>
      <c r="M3861" s="1">
        <v>594</v>
      </c>
      <c r="N3861" s="1">
        <v>367.67</v>
      </c>
      <c r="O3861" s="1">
        <v>633.19000000000005</v>
      </c>
      <c r="P3861" s="1">
        <v>265.5</v>
      </c>
      <c r="Q3861" s="1" t="s">
        <v>42</v>
      </c>
      <c r="S3861" s="1" t="s">
        <v>42</v>
      </c>
      <c r="T3861" s="1" t="s">
        <v>273</v>
      </c>
      <c r="U3861" s="1">
        <v>30</v>
      </c>
      <c r="V3861" s="5">
        <v>43672</v>
      </c>
      <c r="W3861" s="5">
        <v>42627</v>
      </c>
      <c r="X3861" s="1">
        <v>505000</v>
      </c>
      <c r="Y3861" s="1">
        <v>505000</v>
      </c>
      <c r="Z3861" s="5">
        <v>42657</v>
      </c>
      <c r="AA3861" s="1">
        <v>505000</v>
      </c>
      <c r="AB3861" s="1" t="s">
        <v>2619</v>
      </c>
      <c r="AC3861" s="5">
        <v>42702</v>
      </c>
      <c r="AF3861" s="1">
        <v>10039</v>
      </c>
      <c r="AJ3861" s="1">
        <v>1921</v>
      </c>
      <c r="AK3861" s="1" t="s">
        <v>73</v>
      </c>
      <c r="AL3861" s="1">
        <v>84</v>
      </c>
    </row>
    <row r="3862" spans="1:38" x14ac:dyDescent="0.2">
      <c r="A3862" s="2" t="str">
        <f>HYPERLINK("https://www.compass.com/listing/305-west-150th-street-unit-703-manhattan-ny-10039/29434133826594065/","305 W 150th St, Unit 703")</f>
        <v>305 W 150th St, Unit 703</v>
      </c>
      <c r="B3862" s="2" t="str">
        <f t="shared" si="652"/>
        <v>305 W 150th St</v>
      </c>
      <c r="C3862" s="1" t="s">
        <v>85</v>
      </c>
      <c r="D3862" s="1" t="s">
        <v>41</v>
      </c>
      <c r="E3862" s="3">
        <v>510000</v>
      </c>
      <c r="F3862" s="1">
        <v>870.30716723549403</v>
      </c>
      <c r="G3862" s="1">
        <v>3</v>
      </c>
      <c r="H3862" s="1">
        <v>1</v>
      </c>
      <c r="I3862" s="1">
        <v>1</v>
      </c>
      <c r="J3862" s="1">
        <v>1</v>
      </c>
      <c r="K3862" s="1">
        <v>1</v>
      </c>
      <c r="M3862" s="1">
        <v>586</v>
      </c>
      <c r="N3862" s="1">
        <v>373.67</v>
      </c>
      <c r="O3862" s="1">
        <v>643.48</v>
      </c>
      <c r="P3862" s="1">
        <v>269.83333333333297</v>
      </c>
      <c r="Q3862" s="1" t="s">
        <v>42</v>
      </c>
      <c r="S3862" s="1" t="s">
        <v>42</v>
      </c>
      <c r="T3862" s="1" t="s">
        <v>273</v>
      </c>
      <c r="U3862" s="1">
        <v>40</v>
      </c>
      <c r="V3862" s="5">
        <v>43673</v>
      </c>
      <c r="W3862" s="5">
        <v>42572</v>
      </c>
      <c r="X3862" s="1">
        <v>510000</v>
      </c>
      <c r="Y3862" s="1">
        <v>510000</v>
      </c>
      <c r="Z3862" s="5">
        <v>42612</v>
      </c>
      <c r="AA3862" s="1">
        <v>510000</v>
      </c>
      <c r="AB3862" s="1" t="s">
        <v>2620</v>
      </c>
      <c r="AC3862" s="5">
        <v>42718</v>
      </c>
      <c r="AF3862" s="1">
        <v>10039</v>
      </c>
      <c r="AJ3862" s="1">
        <v>1921</v>
      </c>
      <c r="AK3862" s="1" t="s">
        <v>73</v>
      </c>
      <c r="AL3862" s="1">
        <v>84</v>
      </c>
    </row>
    <row r="3863" spans="1:38" x14ac:dyDescent="0.2">
      <c r="A3863" s="2" t="str">
        <f>HYPERLINK("https://www.compass.com/listing/305-west-150th-street-unit-709-manhattan-ny-10039/29434136812938545/","305 W 150th St, Unit 709")</f>
        <v>305 W 150th St, Unit 709</v>
      </c>
      <c r="B3863" s="2" t="str">
        <f t="shared" si="652"/>
        <v>305 W 150th St</v>
      </c>
      <c r="C3863" s="1" t="s">
        <v>85</v>
      </c>
      <c r="D3863" s="1" t="s">
        <v>41</v>
      </c>
      <c r="E3863" s="3">
        <v>497999</v>
      </c>
      <c r="F3863" s="1">
        <v>849.82764505119405</v>
      </c>
      <c r="G3863" s="1">
        <v>4</v>
      </c>
      <c r="H3863" s="1">
        <v>1</v>
      </c>
      <c r="I3863" s="1">
        <v>1</v>
      </c>
      <c r="J3863" s="1">
        <v>1</v>
      </c>
      <c r="K3863" s="1">
        <v>1</v>
      </c>
      <c r="M3863" s="1">
        <v>586</v>
      </c>
      <c r="N3863" s="1">
        <v>364.75</v>
      </c>
      <c r="O3863" s="1">
        <v>628.13</v>
      </c>
      <c r="P3863" s="1">
        <v>263.416666666666</v>
      </c>
      <c r="Q3863" s="1" t="s">
        <v>42</v>
      </c>
      <c r="S3863" s="1" t="s">
        <v>42</v>
      </c>
      <c r="T3863" s="1" t="s">
        <v>273</v>
      </c>
      <c r="U3863" s="1">
        <v>89</v>
      </c>
      <c r="V3863" s="5">
        <v>43665</v>
      </c>
      <c r="W3863" s="5">
        <v>42572</v>
      </c>
      <c r="X3863" s="1">
        <v>491000</v>
      </c>
      <c r="Y3863" s="1">
        <v>491000</v>
      </c>
      <c r="Z3863" s="5">
        <v>42661</v>
      </c>
      <c r="AA3863" s="1">
        <v>497999</v>
      </c>
      <c r="AB3863" s="1" t="s">
        <v>2621</v>
      </c>
      <c r="AC3863" s="5">
        <v>42725</v>
      </c>
      <c r="AF3863" s="1">
        <v>10039</v>
      </c>
      <c r="AJ3863" s="1">
        <v>1921</v>
      </c>
      <c r="AK3863" s="1" t="s">
        <v>73</v>
      </c>
      <c r="AL3863" s="1">
        <v>84</v>
      </c>
    </row>
    <row r="3864" spans="1:38" x14ac:dyDescent="0.2">
      <c r="A3864" s="2" t="str">
        <f>HYPERLINK("https://www.compass.com/listing/305-west-150th-street-unit-102-manhattan-ny-10039/29434098737046161/","305 W 150th St, Unit 102")</f>
        <v>305 W 150th St, Unit 102</v>
      </c>
      <c r="B3864" s="2" t="str">
        <f t="shared" si="652"/>
        <v>305 W 150th St</v>
      </c>
      <c r="C3864" s="1" t="s">
        <v>85</v>
      </c>
      <c r="D3864" s="1" t="s">
        <v>41</v>
      </c>
      <c r="E3864" s="3">
        <v>455000</v>
      </c>
      <c r="F3864" s="1">
        <v>775.12776831345798</v>
      </c>
      <c r="G3864" s="1">
        <v>3</v>
      </c>
      <c r="H3864" s="1">
        <v>1</v>
      </c>
      <c r="I3864" s="1">
        <v>1</v>
      </c>
      <c r="J3864" s="1">
        <v>1</v>
      </c>
      <c r="M3864" s="1">
        <v>587</v>
      </c>
      <c r="N3864" s="1">
        <v>344</v>
      </c>
      <c r="O3864" s="1">
        <v>624</v>
      </c>
      <c r="P3864" s="1">
        <v>280</v>
      </c>
      <c r="Q3864" s="1" t="s">
        <v>42</v>
      </c>
      <c r="S3864" s="1" t="s">
        <v>42</v>
      </c>
      <c r="T3864" s="1" t="s">
        <v>273</v>
      </c>
      <c r="U3864" s="1">
        <v>147</v>
      </c>
      <c r="V3864" s="5">
        <v>43668</v>
      </c>
      <c r="W3864" s="5">
        <v>42690</v>
      </c>
      <c r="X3864" s="1">
        <v>465000</v>
      </c>
      <c r="Y3864" s="1">
        <v>460000</v>
      </c>
      <c r="Z3864" s="5">
        <v>42837</v>
      </c>
      <c r="AA3864" s="1">
        <v>455000</v>
      </c>
      <c r="AB3864" s="1" t="s">
        <v>2622</v>
      </c>
      <c r="AC3864" s="5">
        <v>42895</v>
      </c>
      <c r="AF3864" s="1">
        <v>10039</v>
      </c>
      <c r="AI3864" s="1" t="s">
        <v>177</v>
      </c>
      <c r="AJ3864" s="1">
        <v>1921</v>
      </c>
      <c r="AK3864" s="1" t="s">
        <v>73</v>
      </c>
      <c r="AL3864" s="1">
        <v>84</v>
      </c>
    </row>
    <row r="3865" spans="1:38" x14ac:dyDescent="0.2">
      <c r="A3865" s="2" t="str">
        <f>HYPERLINK("https://www.compass.com/listing/305-west-150th-street-unit-304-manhattan-ny-10039/29434110430765937/","305 W 150th St, Unit 304")</f>
        <v>305 W 150th St, Unit 304</v>
      </c>
      <c r="B3865" s="2" t="str">
        <f t="shared" si="652"/>
        <v>305 W 150th St</v>
      </c>
      <c r="C3865" s="1" t="s">
        <v>85</v>
      </c>
      <c r="D3865" s="1" t="s">
        <v>41</v>
      </c>
      <c r="E3865" s="3">
        <v>487734</v>
      </c>
      <c r="F3865" s="1">
        <v>821.10101010101005</v>
      </c>
      <c r="G3865" s="1">
        <v>3</v>
      </c>
      <c r="H3865" s="1">
        <v>1</v>
      </c>
      <c r="I3865" s="1">
        <v>1</v>
      </c>
      <c r="J3865" s="1">
        <v>1</v>
      </c>
      <c r="K3865" s="1">
        <v>1</v>
      </c>
      <c r="M3865" s="1">
        <v>594</v>
      </c>
      <c r="N3865" s="1">
        <v>352.92</v>
      </c>
      <c r="O3865" s="1">
        <v>607.74</v>
      </c>
      <c r="P3865" s="1">
        <v>254.833333333333</v>
      </c>
      <c r="Q3865" s="1" t="s">
        <v>42</v>
      </c>
      <c r="S3865" s="1" t="s">
        <v>42</v>
      </c>
      <c r="T3865" s="1" t="s">
        <v>273</v>
      </c>
      <c r="U3865" s="1">
        <v>49</v>
      </c>
      <c r="V3865" s="5">
        <v>43678</v>
      </c>
      <c r="W3865" s="5">
        <v>42381</v>
      </c>
      <c r="X3865" s="1">
        <v>481000</v>
      </c>
      <c r="Y3865" s="1">
        <v>481000</v>
      </c>
      <c r="Z3865" s="5">
        <v>42430</v>
      </c>
      <c r="AA3865" s="1">
        <v>487734</v>
      </c>
      <c r="AB3865" s="1" t="s">
        <v>2623</v>
      </c>
      <c r="AC3865" s="5">
        <v>42473</v>
      </c>
      <c r="AF3865" s="1">
        <v>10039</v>
      </c>
      <c r="AJ3865" s="1">
        <v>1921</v>
      </c>
      <c r="AK3865" s="1" t="s">
        <v>143</v>
      </c>
      <c r="AL3865" s="1">
        <v>84</v>
      </c>
    </row>
    <row r="3866" spans="1:38" x14ac:dyDescent="0.2">
      <c r="A3866" s="2" t="str">
        <f>HYPERLINK("https://www.compass.com/listing/305-west-150th-street-unit-505-manhattan-ny-10039/29434123147834737/","305 W 150th St, Unit 505")</f>
        <v>305 W 150th St, Unit 505</v>
      </c>
      <c r="B3866" s="2" t="str">
        <f t="shared" si="652"/>
        <v>305 W 150th St</v>
      </c>
      <c r="C3866" s="1" t="s">
        <v>85</v>
      </c>
      <c r="D3866" s="1" t="s">
        <v>41</v>
      </c>
      <c r="E3866" s="3">
        <v>487734</v>
      </c>
      <c r="F3866" s="1">
        <v>826.66779661016903</v>
      </c>
      <c r="G3866" s="1">
        <v>3</v>
      </c>
      <c r="H3866" s="1">
        <v>1</v>
      </c>
      <c r="I3866" s="1">
        <v>1</v>
      </c>
      <c r="M3866" s="1">
        <v>590</v>
      </c>
      <c r="N3866" s="1">
        <v>358</v>
      </c>
      <c r="O3866" s="1">
        <v>617</v>
      </c>
      <c r="P3866" s="1">
        <v>259</v>
      </c>
      <c r="Q3866" s="1" t="s">
        <v>42</v>
      </c>
      <c r="S3866" s="1" t="s">
        <v>42</v>
      </c>
      <c r="T3866" s="1" t="s">
        <v>273</v>
      </c>
      <c r="U3866" s="1">
        <v>125</v>
      </c>
      <c r="V3866" s="5">
        <v>43670</v>
      </c>
      <c r="W3866" s="5">
        <v>42258</v>
      </c>
      <c r="X3866" s="1">
        <v>481000</v>
      </c>
      <c r="Y3866" s="1">
        <v>481000</v>
      </c>
      <c r="Z3866" s="5">
        <v>42383</v>
      </c>
      <c r="AA3866" s="1">
        <v>487734</v>
      </c>
      <c r="AB3866" s="1" t="s">
        <v>2624</v>
      </c>
      <c r="AC3866" s="5">
        <v>42516</v>
      </c>
      <c r="AF3866" s="1">
        <v>10039</v>
      </c>
      <c r="AJ3866" s="1">
        <v>1921</v>
      </c>
      <c r="AK3866" s="1" t="s">
        <v>146</v>
      </c>
      <c r="AL3866" s="1">
        <v>84</v>
      </c>
    </row>
    <row r="3867" spans="1:38" x14ac:dyDescent="0.2">
      <c r="A3867" s="2" t="str">
        <f>HYPERLINK("https://www.compass.com/listing/305-west-150th-street-unit-505-manhattan-ny-10039/29434123147834753/","305 W 150th St, Unit 505")</f>
        <v>305 W 150th St, Unit 505</v>
      </c>
      <c r="B3867" s="2" t="str">
        <f t="shared" si="652"/>
        <v>305 W 150th St</v>
      </c>
      <c r="C3867" s="1" t="s">
        <v>85</v>
      </c>
      <c r="D3867" s="1" t="s">
        <v>41</v>
      </c>
      <c r="E3867" s="3">
        <v>487734</v>
      </c>
      <c r="F3867" s="1">
        <v>826.66779661016903</v>
      </c>
      <c r="G3867" s="1">
        <v>3</v>
      </c>
      <c r="H3867" s="1">
        <v>1</v>
      </c>
      <c r="I3867" s="1">
        <v>1</v>
      </c>
      <c r="J3867" s="1">
        <v>1</v>
      </c>
      <c r="K3867" s="1">
        <v>1</v>
      </c>
      <c r="M3867" s="1">
        <v>590</v>
      </c>
      <c r="N3867" s="1">
        <v>358.82</v>
      </c>
      <c r="O3867" s="1">
        <v>617.91999999999996</v>
      </c>
      <c r="P3867" s="1">
        <v>259.08333333333297</v>
      </c>
      <c r="Q3867" s="1" t="s">
        <v>42</v>
      </c>
      <c r="S3867" s="1" t="s">
        <v>42</v>
      </c>
      <c r="T3867" s="1" t="s">
        <v>273</v>
      </c>
      <c r="U3867" s="1">
        <v>125</v>
      </c>
      <c r="V3867" s="5">
        <v>43678</v>
      </c>
      <c r="W3867" s="5">
        <v>42258</v>
      </c>
      <c r="X3867" s="1">
        <v>481000</v>
      </c>
      <c r="Y3867" s="1">
        <v>481000</v>
      </c>
      <c r="Z3867" s="5">
        <v>42383</v>
      </c>
      <c r="AA3867" s="1">
        <v>487734</v>
      </c>
      <c r="AB3867" s="1" t="s">
        <v>2624</v>
      </c>
      <c r="AC3867" s="5">
        <v>42516</v>
      </c>
      <c r="AF3867" s="1">
        <v>10039</v>
      </c>
      <c r="AJ3867" s="1">
        <v>1921</v>
      </c>
      <c r="AK3867" s="1" t="s">
        <v>143</v>
      </c>
      <c r="AL3867" s="1">
        <v>84</v>
      </c>
    </row>
    <row r="3868" spans="1:38" x14ac:dyDescent="0.2">
      <c r="A3868" s="2" t="str">
        <f>HYPERLINK("https://www.compass.com/listing/505-513-west-43rd-street-unit-3k-manhattan-ny-10036/29514249143348321/","505-513 W 43rd St, Unit 3K")</f>
        <v>505-513 W 43rd St, Unit 3K</v>
      </c>
      <c r="B3868" s="2" t="str">
        <f>HYPERLINK("https://www.compass.com/building/charlie-west-manhattan-ny/292918554372621509/","Charlie West")</f>
        <v>Charlie West</v>
      </c>
      <c r="C3868" s="1" t="s">
        <v>90</v>
      </c>
      <c r="D3868" s="1" t="s">
        <v>41</v>
      </c>
      <c r="E3868" s="3">
        <v>1236754</v>
      </c>
      <c r="F3868" s="1">
        <v>1888.17366412213</v>
      </c>
      <c r="G3868" s="1">
        <v>3</v>
      </c>
      <c r="H3868" s="1">
        <v>1</v>
      </c>
      <c r="I3868" s="1">
        <v>1</v>
      </c>
      <c r="J3868" s="1">
        <v>1</v>
      </c>
      <c r="K3868" s="1">
        <v>1</v>
      </c>
      <c r="M3868" s="1">
        <v>655</v>
      </c>
      <c r="N3868" s="1">
        <v>705</v>
      </c>
      <c r="O3868" s="1">
        <v>1327</v>
      </c>
      <c r="P3868" s="1">
        <v>622</v>
      </c>
      <c r="Q3868" s="1" t="s">
        <v>249</v>
      </c>
      <c r="S3868" s="1" t="s">
        <v>250</v>
      </c>
      <c r="T3868" s="1" t="s">
        <v>273</v>
      </c>
      <c r="V3868" s="5">
        <v>43795</v>
      </c>
      <c r="W3868" s="5">
        <v>43124</v>
      </c>
      <c r="X3868" s="1">
        <v>1240000</v>
      </c>
      <c r="Y3868" s="1">
        <v>1240000</v>
      </c>
      <c r="Z3868" s="5">
        <v>43124</v>
      </c>
      <c r="AA3868" s="1">
        <v>1236753.75</v>
      </c>
      <c r="AB3868" s="1" t="s">
        <v>2625</v>
      </c>
      <c r="AC3868" s="5">
        <v>43781</v>
      </c>
      <c r="AF3868" s="1">
        <v>10036</v>
      </c>
      <c r="AI3868" s="1" t="s">
        <v>183</v>
      </c>
      <c r="AJ3868" s="1">
        <v>2019</v>
      </c>
      <c r="AK3868" s="1" t="s">
        <v>49</v>
      </c>
      <c r="AL3868" s="1">
        <v>123</v>
      </c>
    </row>
    <row r="3869" spans="1:38" x14ac:dyDescent="0.2">
      <c r="A3869" s="2" t="str">
        <f>HYPERLINK("https://www.compass.com/listing/305-west-150th-street-unit-111-manhattan-ny-10039/29513373490118385/","305 W 150th St, Unit 111")</f>
        <v>305 W 150th St, Unit 111</v>
      </c>
      <c r="B3869" s="2" t="str">
        <f t="shared" ref="B3869:B3898" si="653">HYPERLINK("https://www.compass.com/building/305-w-150th-st-manhattan-ny-10039/282032234968400245/","305 W 150th St")</f>
        <v>305 W 150th St</v>
      </c>
      <c r="C3869" s="1" t="s">
        <v>85</v>
      </c>
      <c r="D3869" s="1" t="s">
        <v>41</v>
      </c>
      <c r="E3869" s="3">
        <v>800000</v>
      </c>
      <c r="F3869" s="1">
        <v>793.65079365079305</v>
      </c>
      <c r="G3869" s="1">
        <v>4</v>
      </c>
      <c r="H3869" s="1">
        <v>2</v>
      </c>
      <c r="I3869" s="1">
        <v>2</v>
      </c>
      <c r="J3869" s="1">
        <v>2</v>
      </c>
      <c r="K3869" s="1">
        <v>2</v>
      </c>
      <c r="M3869" s="4">
        <v>1008</v>
      </c>
      <c r="N3869" s="1">
        <v>656.04</v>
      </c>
      <c r="O3869" s="1">
        <v>1041.04</v>
      </c>
      <c r="P3869" s="1">
        <v>385</v>
      </c>
      <c r="Q3869" s="1" t="s">
        <v>42</v>
      </c>
      <c r="S3869" s="1" t="s">
        <v>42</v>
      </c>
      <c r="T3869" s="1" t="s">
        <v>273</v>
      </c>
      <c r="U3869" s="1">
        <v>273</v>
      </c>
      <c r="V3869" s="5">
        <v>43647</v>
      </c>
      <c r="W3869" s="5">
        <v>42985</v>
      </c>
      <c r="X3869" s="1">
        <v>925000</v>
      </c>
      <c r="Y3869" s="1">
        <v>825000</v>
      </c>
      <c r="Z3869" s="5">
        <v>43258</v>
      </c>
      <c r="AA3869" s="1">
        <v>800000</v>
      </c>
      <c r="AB3869" s="1" t="s">
        <v>2626</v>
      </c>
      <c r="AC3869" s="5">
        <v>43305</v>
      </c>
      <c r="AF3869" s="1">
        <v>10039</v>
      </c>
      <c r="AI3869" s="1" t="s">
        <v>80</v>
      </c>
      <c r="AJ3869" s="1">
        <v>1921</v>
      </c>
      <c r="AK3869" s="1" t="s">
        <v>73</v>
      </c>
      <c r="AL3869" s="1">
        <v>84</v>
      </c>
    </row>
    <row r="3870" spans="1:38" x14ac:dyDescent="0.2">
      <c r="A3870" s="2" t="str">
        <f>HYPERLINK("https://www.compass.com/listing/305-west-150th-street-unit-203-manhattan-ny-10039/29434104290243633/","305 W 150th St, Unit 203")</f>
        <v>305 W 150th St, Unit 203</v>
      </c>
      <c r="B3870" s="2" t="str">
        <f t="shared" si="653"/>
        <v>305 W 150th St</v>
      </c>
      <c r="C3870" s="1" t="s">
        <v>85</v>
      </c>
      <c r="D3870" s="1" t="s">
        <v>41</v>
      </c>
      <c r="E3870" s="3">
        <v>490000</v>
      </c>
      <c r="G3870" s="1">
        <v>3</v>
      </c>
      <c r="H3870" s="1">
        <v>1</v>
      </c>
      <c r="I3870" s="1">
        <v>1</v>
      </c>
      <c r="J3870" s="1">
        <v>1</v>
      </c>
      <c r="K3870" s="1">
        <v>1</v>
      </c>
      <c r="N3870" s="1">
        <v>389</v>
      </c>
      <c r="O3870" s="1">
        <v>734</v>
      </c>
      <c r="P3870" s="1">
        <v>345</v>
      </c>
      <c r="Q3870" s="1" t="s">
        <v>42</v>
      </c>
      <c r="S3870" s="1" t="s">
        <v>42</v>
      </c>
      <c r="T3870" s="1" t="s">
        <v>273</v>
      </c>
      <c r="U3870" s="1">
        <v>4</v>
      </c>
      <c r="V3870" s="5">
        <v>44288</v>
      </c>
      <c r="W3870" s="5">
        <v>43178</v>
      </c>
      <c r="X3870" s="1">
        <v>499000</v>
      </c>
      <c r="Y3870" s="1">
        <v>499000</v>
      </c>
      <c r="AA3870" s="1">
        <v>490000</v>
      </c>
      <c r="AB3870" s="1" t="s">
        <v>2627</v>
      </c>
      <c r="AC3870" s="5">
        <v>43236</v>
      </c>
      <c r="AF3870" s="1">
        <v>10039</v>
      </c>
      <c r="AJ3870" s="1">
        <v>1921</v>
      </c>
      <c r="AK3870" s="1" t="s">
        <v>143</v>
      </c>
      <c r="AL3870" s="1">
        <v>84</v>
      </c>
    </row>
    <row r="3871" spans="1:38" x14ac:dyDescent="0.2">
      <c r="A3871" s="2" t="str">
        <f>HYPERLINK("https://www.compass.com/listing/305-west-150th-street-unit-612-manhattan-ny-10039/181026920815746145/","305 W 150th St, Unit 612")</f>
        <v>305 W 150th St, Unit 612</v>
      </c>
      <c r="B3871" s="2" t="str">
        <f t="shared" si="653"/>
        <v>305 W 150th St</v>
      </c>
      <c r="C3871" s="1" t="s">
        <v>85</v>
      </c>
      <c r="D3871" s="1" t="s">
        <v>41</v>
      </c>
      <c r="E3871" s="3">
        <v>425880</v>
      </c>
      <c r="F3871" s="1">
        <v>709.8</v>
      </c>
      <c r="G3871" s="1">
        <v>3</v>
      </c>
      <c r="H3871" s="1">
        <v>1</v>
      </c>
      <c r="I3871" s="1">
        <v>1</v>
      </c>
      <c r="J3871" s="1">
        <v>1</v>
      </c>
      <c r="K3871" s="1">
        <v>1</v>
      </c>
      <c r="M3871" s="1">
        <v>600</v>
      </c>
      <c r="N3871" s="1">
        <v>314.75</v>
      </c>
      <c r="O3871" s="1">
        <v>584.54999999999995</v>
      </c>
      <c r="P3871" s="1">
        <v>269.83333333333297</v>
      </c>
      <c r="Q3871" s="1" t="s">
        <v>42</v>
      </c>
      <c r="S3871" s="1" t="s">
        <v>42</v>
      </c>
      <c r="T3871" s="1" t="s">
        <v>273</v>
      </c>
      <c r="U3871" s="1">
        <v>17</v>
      </c>
      <c r="V3871" s="5">
        <v>43635</v>
      </c>
      <c r="W3871" s="5">
        <v>41815</v>
      </c>
      <c r="X3871" s="1">
        <v>420000</v>
      </c>
      <c r="Y3871" s="1">
        <v>420000</v>
      </c>
      <c r="Z3871" s="5">
        <v>41832</v>
      </c>
      <c r="AA3871" s="1">
        <v>425880</v>
      </c>
      <c r="AB3871" s="1" t="s">
        <v>2628</v>
      </c>
      <c r="AC3871" s="5">
        <v>42179</v>
      </c>
      <c r="AF3871" s="1">
        <v>10039</v>
      </c>
      <c r="AJ3871" s="1">
        <v>1921</v>
      </c>
      <c r="AK3871" s="1" t="s">
        <v>143</v>
      </c>
      <c r="AL3871" s="1">
        <v>84</v>
      </c>
    </row>
    <row r="3872" spans="1:38" x14ac:dyDescent="0.2">
      <c r="A3872" s="2" t="str">
        <f>HYPERLINK("https://www.compass.com/listing/305-west-150th-street-unit-206-manhattan-ny-10039/29434105858913361/","305 W 150th St, Unit 206")</f>
        <v>305 W 150th St, Unit 206</v>
      </c>
      <c r="B3872" s="2" t="str">
        <f t="shared" si="653"/>
        <v>305 W 150th St</v>
      </c>
      <c r="C3872" s="1" t="s">
        <v>85</v>
      </c>
      <c r="D3872" s="1" t="s">
        <v>41</v>
      </c>
      <c r="E3872" s="3">
        <v>386966</v>
      </c>
      <c r="F3872" s="1">
        <v>682.47971781305102</v>
      </c>
      <c r="G3872" s="1">
        <v>3</v>
      </c>
      <c r="H3872" s="1">
        <v>1</v>
      </c>
      <c r="I3872" s="1">
        <v>1</v>
      </c>
      <c r="M3872" s="1">
        <v>567</v>
      </c>
      <c r="N3872" s="1">
        <v>293</v>
      </c>
      <c r="O3872" s="1">
        <v>539</v>
      </c>
      <c r="P3872" s="1">
        <v>246</v>
      </c>
      <c r="Q3872" s="1" t="s">
        <v>42</v>
      </c>
      <c r="S3872" s="1" t="s">
        <v>42</v>
      </c>
      <c r="T3872" s="1" t="s">
        <v>273</v>
      </c>
      <c r="U3872" s="1">
        <v>42</v>
      </c>
      <c r="V3872" s="5">
        <v>43691</v>
      </c>
      <c r="W3872" s="5">
        <v>41886</v>
      </c>
      <c r="X3872" s="1">
        <v>381500</v>
      </c>
      <c r="Y3872" s="1">
        <v>381500</v>
      </c>
      <c r="Z3872" s="5">
        <v>41928</v>
      </c>
      <c r="AA3872" s="1">
        <v>386966</v>
      </c>
      <c r="AB3872" s="1" t="s">
        <v>2629</v>
      </c>
      <c r="AC3872" s="5">
        <v>42185</v>
      </c>
      <c r="AF3872" s="1">
        <v>10039</v>
      </c>
      <c r="AJ3872" s="1">
        <v>1921</v>
      </c>
      <c r="AK3872" s="1" t="s">
        <v>146</v>
      </c>
      <c r="AL3872" s="1">
        <v>84</v>
      </c>
    </row>
    <row r="3873" spans="1:38" x14ac:dyDescent="0.2">
      <c r="A3873" s="2" t="str">
        <f>HYPERLINK("https://www.compass.com/listing/305-west-150th-street-unit-206-manhattan-ny-10039/29434105858913377/","305 W 150th St, Unit 206")</f>
        <v>305 W 150th St, Unit 206</v>
      </c>
      <c r="B3873" s="2" t="str">
        <f t="shared" si="653"/>
        <v>305 W 150th St</v>
      </c>
      <c r="C3873" s="1" t="s">
        <v>85</v>
      </c>
      <c r="D3873" s="1" t="s">
        <v>41</v>
      </c>
      <c r="E3873" s="3">
        <v>386966</v>
      </c>
      <c r="F3873" s="1">
        <v>682.47971781305102</v>
      </c>
      <c r="G3873" s="1">
        <v>3</v>
      </c>
      <c r="H3873" s="1">
        <v>1</v>
      </c>
      <c r="I3873" s="1">
        <v>1</v>
      </c>
      <c r="J3873" s="1">
        <v>1</v>
      </c>
      <c r="K3873" s="1">
        <v>1</v>
      </c>
      <c r="M3873" s="1">
        <v>567</v>
      </c>
      <c r="N3873" s="1">
        <v>293.17</v>
      </c>
      <c r="O3873" s="1">
        <v>539.41999999999996</v>
      </c>
      <c r="P3873" s="1">
        <v>246.25</v>
      </c>
      <c r="Q3873" s="1" t="s">
        <v>42</v>
      </c>
      <c r="S3873" s="1" t="s">
        <v>42</v>
      </c>
      <c r="T3873" s="1" t="s">
        <v>273</v>
      </c>
      <c r="U3873" s="1">
        <v>42</v>
      </c>
      <c r="V3873" s="5">
        <v>43635</v>
      </c>
      <c r="W3873" s="5">
        <v>41886</v>
      </c>
      <c r="X3873" s="1">
        <v>381500</v>
      </c>
      <c r="Y3873" s="1">
        <v>381500</v>
      </c>
      <c r="Z3873" s="5">
        <v>41928</v>
      </c>
      <c r="AA3873" s="1">
        <v>386966</v>
      </c>
      <c r="AB3873" s="1" t="s">
        <v>2629</v>
      </c>
      <c r="AC3873" s="5">
        <v>42185</v>
      </c>
      <c r="AF3873" s="1">
        <v>10039</v>
      </c>
      <c r="AJ3873" s="1">
        <v>1921</v>
      </c>
      <c r="AK3873" s="1" t="s">
        <v>143</v>
      </c>
      <c r="AL3873" s="1">
        <v>84</v>
      </c>
    </row>
    <row r="3874" spans="1:38" x14ac:dyDescent="0.2">
      <c r="A3874" s="2" t="str">
        <f>HYPERLINK("https://www.compass.com/listing/305-west-150th-street-unit-209-manhattan-ny-10039/29434107192702065/","305 W 150th St, Unit 209")</f>
        <v>305 W 150th St, Unit 209</v>
      </c>
      <c r="B3874" s="2" t="str">
        <f t="shared" si="653"/>
        <v>305 W 150th St</v>
      </c>
      <c r="C3874" s="1" t="s">
        <v>85</v>
      </c>
      <c r="D3874" s="1" t="s">
        <v>41</v>
      </c>
      <c r="E3874" s="3">
        <v>417386</v>
      </c>
      <c r="F3874" s="1">
        <v>712.26279863481204</v>
      </c>
      <c r="G3874" s="1">
        <v>3</v>
      </c>
      <c r="H3874" s="1">
        <v>1</v>
      </c>
      <c r="I3874" s="1">
        <v>1</v>
      </c>
      <c r="J3874" s="1">
        <v>1</v>
      </c>
      <c r="K3874" s="1">
        <v>1</v>
      </c>
      <c r="M3874" s="1">
        <v>586</v>
      </c>
      <c r="N3874" s="1">
        <v>298.25</v>
      </c>
      <c r="O3874" s="1">
        <v>548.77</v>
      </c>
      <c r="P3874" s="1">
        <v>250.5</v>
      </c>
      <c r="Q3874" s="1" t="s">
        <v>42</v>
      </c>
      <c r="S3874" s="1" t="s">
        <v>42</v>
      </c>
      <c r="T3874" s="1" t="s">
        <v>273</v>
      </c>
      <c r="V3874" s="5">
        <v>43635</v>
      </c>
      <c r="W3874" s="5">
        <v>42193</v>
      </c>
      <c r="X3874" s="1">
        <v>411500</v>
      </c>
      <c r="Y3874" s="1">
        <v>411500</v>
      </c>
      <c r="Z3874" s="5">
        <v>42193</v>
      </c>
      <c r="AA3874" s="1">
        <v>417386</v>
      </c>
      <c r="AB3874" s="1" t="s">
        <v>2630</v>
      </c>
      <c r="AC3874" s="5">
        <v>42195</v>
      </c>
      <c r="AF3874" s="1">
        <v>10039</v>
      </c>
      <c r="AJ3874" s="1">
        <v>1921</v>
      </c>
      <c r="AK3874" s="1" t="s">
        <v>143</v>
      </c>
      <c r="AL3874" s="1">
        <v>84</v>
      </c>
    </row>
    <row r="3875" spans="1:38" x14ac:dyDescent="0.2">
      <c r="A3875" s="2" t="str">
        <f>HYPERLINK("https://www.compass.com/listing/305-west-150th-street-unit-311-manhattan-ny-10039/29434112670463217/","305 W 150th St, Unit 311")</f>
        <v>305 W 150th St, Unit 311</v>
      </c>
      <c r="B3875" s="2" t="str">
        <f t="shared" si="653"/>
        <v>305 W 150th St</v>
      </c>
      <c r="C3875" s="1" t="s">
        <v>85</v>
      </c>
      <c r="D3875" s="1" t="s">
        <v>41</v>
      </c>
      <c r="E3875" s="3">
        <v>379743</v>
      </c>
      <c r="F3875" s="1">
        <v>633.96160267111804</v>
      </c>
      <c r="G3875" s="1">
        <v>3</v>
      </c>
      <c r="H3875" s="1">
        <v>1</v>
      </c>
      <c r="I3875" s="1">
        <v>1</v>
      </c>
      <c r="M3875" s="1">
        <v>599</v>
      </c>
      <c r="N3875" s="1">
        <v>308</v>
      </c>
      <c r="O3875" s="1">
        <v>567</v>
      </c>
      <c r="P3875" s="1">
        <v>259</v>
      </c>
      <c r="Q3875" s="1" t="s">
        <v>42</v>
      </c>
      <c r="S3875" s="1" t="s">
        <v>42</v>
      </c>
      <c r="T3875" s="1" t="s">
        <v>273</v>
      </c>
      <c r="V3875" s="5">
        <v>43642</v>
      </c>
      <c r="W3875" s="5">
        <v>42193</v>
      </c>
      <c r="X3875" s="1">
        <v>374500</v>
      </c>
      <c r="Y3875" s="1">
        <v>374500</v>
      </c>
      <c r="Z3875" s="5">
        <v>42193</v>
      </c>
      <c r="AA3875" s="1">
        <v>379743</v>
      </c>
      <c r="AB3875" s="1" t="s">
        <v>2631</v>
      </c>
      <c r="AC3875" s="5">
        <v>42202</v>
      </c>
      <c r="AF3875" s="1">
        <v>10039</v>
      </c>
      <c r="AJ3875" s="1">
        <v>1921</v>
      </c>
      <c r="AK3875" s="1" t="s">
        <v>146</v>
      </c>
      <c r="AL3875" s="1">
        <v>84</v>
      </c>
    </row>
    <row r="3876" spans="1:38" x14ac:dyDescent="0.2">
      <c r="A3876" s="2" t="str">
        <f>HYPERLINK("https://www.compass.com/listing/305-west-150th-street-unit-311-manhattan-ny-10039/29434112670463233/","305 W 150th St, Unit 311")</f>
        <v>305 W 150th St, Unit 311</v>
      </c>
      <c r="B3876" s="2" t="str">
        <f t="shared" si="653"/>
        <v>305 W 150th St</v>
      </c>
      <c r="C3876" s="1" t="s">
        <v>85</v>
      </c>
      <c r="D3876" s="1" t="s">
        <v>41</v>
      </c>
      <c r="E3876" s="3">
        <v>379743</v>
      </c>
      <c r="F3876" s="1">
        <v>633.96160267111804</v>
      </c>
      <c r="G3876" s="1">
        <v>3</v>
      </c>
      <c r="H3876" s="1">
        <v>1</v>
      </c>
      <c r="I3876" s="1">
        <v>1</v>
      </c>
      <c r="J3876" s="1">
        <v>1</v>
      </c>
      <c r="K3876" s="1">
        <v>1</v>
      </c>
      <c r="M3876" s="1">
        <v>599</v>
      </c>
      <c r="N3876" s="1">
        <v>308.5</v>
      </c>
      <c r="O3876" s="1">
        <v>567.6</v>
      </c>
      <c r="P3876" s="1">
        <v>259.08333333333297</v>
      </c>
      <c r="Q3876" s="1" t="s">
        <v>42</v>
      </c>
      <c r="S3876" s="1" t="s">
        <v>42</v>
      </c>
      <c r="T3876" s="1" t="s">
        <v>273</v>
      </c>
      <c r="V3876" s="5">
        <v>43649</v>
      </c>
      <c r="W3876" s="5">
        <v>42193</v>
      </c>
      <c r="X3876" s="1">
        <v>374500</v>
      </c>
      <c r="Y3876" s="1">
        <v>374500</v>
      </c>
      <c r="Z3876" s="5">
        <v>42193</v>
      </c>
      <c r="AA3876" s="1">
        <v>379743</v>
      </c>
      <c r="AB3876" s="1" t="s">
        <v>2631</v>
      </c>
      <c r="AC3876" s="5">
        <v>42202</v>
      </c>
      <c r="AF3876" s="1">
        <v>10039</v>
      </c>
      <c r="AJ3876" s="1">
        <v>1921</v>
      </c>
      <c r="AK3876" s="1" t="s">
        <v>143</v>
      </c>
      <c r="AL3876" s="1">
        <v>84</v>
      </c>
    </row>
    <row r="3877" spans="1:38" x14ac:dyDescent="0.2">
      <c r="A3877" s="2" t="str">
        <f>HYPERLINK("https://www.compass.com/listing/305-west-150th-street-unit-612-manhattan-ny-10039/29434132517971185/","305 W 150th St, Unit 612")</f>
        <v>305 W 150th St, Unit 612</v>
      </c>
      <c r="B3877" s="2" t="str">
        <f t="shared" si="653"/>
        <v>305 W 150th St</v>
      </c>
      <c r="C3877" s="1" t="s">
        <v>85</v>
      </c>
      <c r="D3877" s="1" t="s">
        <v>41</v>
      </c>
      <c r="E3877" s="3">
        <v>425880</v>
      </c>
      <c r="F3877" s="1">
        <v>709.8</v>
      </c>
      <c r="G3877" s="1">
        <v>3</v>
      </c>
      <c r="H3877" s="1">
        <v>1</v>
      </c>
      <c r="I3877" s="1">
        <v>1</v>
      </c>
      <c r="M3877" s="1">
        <v>600</v>
      </c>
      <c r="N3877" s="1">
        <v>314</v>
      </c>
      <c r="O3877" s="1">
        <v>583</v>
      </c>
      <c r="P3877" s="1">
        <v>269</v>
      </c>
      <c r="Q3877" s="1" t="s">
        <v>42</v>
      </c>
      <c r="S3877" s="1" t="s">
        <v>42</v>
      </c>
      <c r="T3877" s="1" t="s">
        <v>273</v>
      </c>
      <c r="U3877" s="1">
        <v>17</v>
      </c>
      <c r="V3877" s="5">
        <v>43693</v>
      </c>
      <c r="W3877" s="5">
        <v>41815</v>
      </c>
      <c r="X3877" s="1">
        <v>420000</v>
      </c>
      <c r="Y3877" s="1">
        <v>420000</v>
      </c>
      <c r="Z3877" s="5">
        <v>41832</v>
      </c>
      <c r="AA3877" s="1">
        <v>425880</v>
      </c>
      <c r="AB3877" s="1" t="s">
        <v>2628</v>
      </c>
      <c r="AC3877" s="5">
        <v>42179</v>
      </c>
      <c r="AF3877" s="1">
        <v>10039</v>
      </c>
      <c r="AJ3877" s="1">
        <v>1921</v>
      </c>
      <c r="AK3877" s="1" t="s">
        <v>146</v>
      </c>
      <c r="AL3877" s="1">
        <v>84</v>
      </c>
    </row>
    <row r="3878" spans="1:38" x14ac:dyDescent="0.2">
      <c r="A3878" s="2" t="str">
        <f>HYPERLINK("https://www.compass.com/listing/305-west-150th-street-unit-708-manhattan-ny-10039/29434136376669809/","305 W 150th St, Unit 708")</f>
        <v>305 W 150th St, Unit 708</v>
      </c>
      <c r="B3878" s="2" t="str">
        <f t="shared" si="653"/>
        <v>305 W 150th St</v>
      </c>
      <c r="C3878" s="1" t="s">
        <v>85</v>
      </c>
      <c r="D3878" s="1" t="s">
        <v>41</v>
      </c>
      <c r="E3878" s="3">
        <v>437034</v>
      </c>
      <c r="F3878" s="1">
        <v>740.73559322033896</v>
      </c>
      <c r="G3878" s="1">
        <v>3</v>
      </c>
      <c r="H3878" s="1">
        <v>1</v>
      </c>
      <c r="I3878" s="1">
        <v>1</v>
      </c>
      <c r="J3878" s="1">
        <v>1</v>
      </c>
      <c r="K3878" s="1">
        <v>1</v>
      </c>
      <c r="M3878" s="1">
        <v>590</v>
      </c>
      <c r="N3878" s="1">
        <v>321.25</v>
      </c>
      <c r="O3878" s="1">
        <v>591.04999999999995</v>
      </c>
      <c r="P3878" s="1">
        <v>269.83333333333297</v>
      </c>
      <c r="Q3878" s="1" t="s">
        <v>42</v>
      </c>
      <c r="S3878" s="1" t="s">
        <v>42</v>
      </c>
      <c r="T3878" s="1" t="s">
        <v>273</v>
      </c>
      <c r="U3878" s="1">
        <v>89</v>
      </c>
      <c r="V3878" s="5">
        <v>43635</v>
      </c>
      <c r="W3878" s="5">
        <v>41938</v>
      </c>
      <c r="X3878" s="1">
        <v>431000</v>
      </c>
      <c r="Y3878" s="1">
        <v>431000</v>
      </c>
      <c r="Z3878" s="5">
        <v>42027</v>
      </c>
      <c r="AA3878" s="1">
        <v>437034</v>
      </c>
      <c r="AB3878" s="1" t="s">
        <v>2632</v>
      </c>
      <c r="AC3878" s="5">
        <v>42170</v>
      </c>
      <c r="AF3878" s="1">
        <v>10039</v>
      </c>
      <c r="AJ3878" s="1">
        <v>1921</v>
      </c>
      <c r="AK3878" s="1" t="s">
        <v>143</v>
      </c>
      <c r="AL3878" s="1">
        <v>84</v>
      </c>
    </row>
    <row r="3879" spans="1:38" x14ac:dyDescent="0.2">
      <c r="A3879" s="2" t="str">
        <f>HYPERLINK("https://www.compass.com/listing/305-west-150th-street-unit-106-manhattan-ny-10039/29434100054057633/","305 W 150th St, Unit 106")</f>
        <v>305 W 150th St, Unit 106</v>
      </c>
      <c r="B3879" s="2" t="str">
        <f t="shared" si="653"/>
        <v>305 W 150th St</v>
      </c>
      <c r="C3879" s="1" t="s">
        <v>85</v>
      </c>
      <c r="D3879" s="1" t="s">
        <v>41</v>
      </c>
      <c r="E3879" s="3">
        <v>449202</v>
      </c>
      <c r="F3879" s="1">
        <v>792.243386243386</v>
      </c>
      <c r="G3879" s="1">
        <v>3</v>
      </c>
      <c r="H3879" s="1">
        <v>1</v>
      </c>
      <c r="I3879" s="1">
        <v>1</v>
      </c>
      <c r="J3879" s="1">
        <v>1</v>
      </c>
      <c r="K3879" s="1">
        <v>1</v>
      </c>
      <c r="M3879" s="1">
        <v>567</v>
      </c>
      <c r="N3879" s="1">
        <v>335.08</v>
      </c>
      <c r="O3879" s="1">
        <v>577.04999999999995</v>
      </c>
      <c r="P3879" s="1">
        <v>242</v>
      </c>
      <c r="Q3879" s="1" t="s">
        <v>42</v>
      </c>
      <c r="S3879" s="1" t="s">
        <v>42</v>
      </c>
      <c r="T3879" s="1" t="s">
        <v>273</v>
      </c>
      <c r="U3879" s="1">
        <v>58</v>
      </c>
      <c r="V3879" s="5">
        <v>43678</v>
      </c>
      <c r="W3879" s="5">
        <v>42381</v>
      </c>
      <c r="X3879" s="1">
        <v>443000</v>
      </c>
      <c r="Y3879" s="1">
        <v>443000</v>
      </c>
      <c r="Z3879" s="5">
        <v>42439</v>
      </c>
      <c r="AA3879" s="1">
        <v>449202</v>
      </c>
      <c r="AB3879" s="1" t="s">
        <v>2633</v>
      </c>
      <c r="AC3879" s="5">
        <v>42473</v>
      </c>
      <c r="AF3879" s="1">
        <v>10039</v>
      </c>
      <c r="AJ3879" s="1">
        <v>1921</v>
      </c>
      <c r="AK3879" s="1" t="s">
        <v>143</v>
      </c>
      <c r="AL3879" s="1">
        <v>84</v>
      </c>
    </row>
    <row r="3880" spans="1:38" x14ac:dyDescent="0.2">
      <c r="A3880" s="2" t="str">
        <f>HYPERLINK("https://www.compass.com/listing/305-west-150th-street-unit-208-manhattan-ny-10039/29434106739709505/","305 W 150th St, Unit 208")</f>
        <v>305 W 150th St, Unit 208</v>
      </c>
      <c r="B3880" s="2" t="str">
        <f t="shared" si="653"/>
        <v>305 W 150th St</v>
      </c>
      <c r="C3880" s="1" t="s">
        <v>85</v>
      </c>
      <c r="D3880" s="1" t="s">
        <v>41</v>
      </c>
      <c r="E3880" s="3">
        <v>420303</v>
      </c>
      <c r="F3880" s="1">
        <v>712.37796610169403</v>
      </c>
      <c r="G3880" s="1">
        <v>3</v>
      </c>
      <c r="H3880" s="1">
        <v>1</v>
      </c>
      <c r="I3880" s="1">
        <v>1</v>
      </c>
      <c r="J3880" s="1">
        <v>1</v>
      </c>
      <c r="K3880" s="1">
        <v>1</v>
      </c>
      <c r="M3880" s="1">
        <v>590</v>
      </c>
      <c r="N3880" s="1">
        <v>300.82</v>
      </c>
      <c r="O3880" s="1">
        <v>553.49</v>
      </c>
      <c r="P3880" s="1">
        <v>252.666666666666</v>
      </c>
      <c r="Q3880" s="1" t="s">
        <v>42</v>
      </c>
      <c r="S3880" s="1" t="s">
        <v>42</v>
      </c>
      <c r="T3880" s="1" t="s">
        <v>273</v>
      </c>
      <c r="V3880" s="5">
        <v>43680</v>
      </c>
      <c r="W3880" s="5">
        <v>42193</v>
      </c>
      <c r="X3880" s="1">
        <v>414500</v>
      </c>
      <c r="Y3880" s="1">
        <v>414500</v>
      </c>
      <c r="Z3880" s="5">
        <v>42193</v>
      </c>
      <c r="AA3880" s="1">
        <v>420303</v>
      </c>
      <c r="AB3880" s="1" t="s">
        <v>2634</v>
      </c>
      <c r="AC3880" s="5">
        <v>42216</v>
      </c>
      <c r="AF3880" s="1">
        <v>10039</v>
      </c>
      <c r="AJ3880" s="1">
        <v>1921</v>
      </c>
      <c r="AK3880" s="1" t="s">
        <v>143</v>
      </c>
      <c r="AL3880" s="1">
        <v>84</v>
      </c>
    </row>
    <row r="3881" spans="1:38" x14ac:dyDescent="0.2">
      <c r="A3881" s="2" t="str">
        <f>HYPERLINK("https://www.compass.com/listing/305-west-150th-street-unit-210-manhattan-ny-10039/29434107670913841/","305 W 150th St, Unit 210")</f>
        <v>305 W 150th St, Unit 210</v>
      </c>
      <c r="B3881" s="2" t="str">
        <f t="shared" si="653"/>
        <v>305 W 150th St</v>
      </c>
      <c r="C3881" s="1" t="s">
        <v>85</v>
      </c>
      <c r="D3881" s="1" t="s">
        <v>41</v>
      </c>
      <c r="E3881" s="3">
        <v>415740</v>
      </c>
      <c r="F3881" s="1">
        <v>711.88356164383504</v>
      </c>
      <c r="G3881" s="1">
        <v>3</v>
      </c>
      <c r="H3881" s="1">
        <v>1</v>
      </c>
      <c r="I3881" s="1">
        <v>1</v>
      </c>
      <c r="J3881" s="1">
        <v>1</v>
      </c>
      <c r="K3881" s="1">
        <v>1</v>
      </c>
      <c r="M3881" s="1">
        <v>584</v>
      </c>
      <c r="N3881" s="1">
        <v>295.75</v>
      </c>
      <c r="O3881" s="1">
        <v>544.13</v>
      </c>
      <c r="P3881" s="1">
        <v>248.416666666666</v>
      </c>
      <c r="Q3881" s="1" t="s">
        <v>42</v>
      </c>
      <c r="S3881" s="1" t="s">
        <v>42</v>
      </c>
      <c r="T3881" s="1" t="s">
        <v>273</v>
      </c>
      <c r="V3881" s="5">
        <v>43635</v>
      </c>
      <c r="W3881" s="5">
        <v>42193</v>
      </c>
      <c r="X3881" s="1">
        <v>415740</v>
      </c>
      <c r="Y3881" s="1">
        <v>415740</v>
      </c>
      <c r="Z3881" s="5">
        <v>42193</v>
      </c>
      <c r="AA3881" s="1">
        <v>415740</v>
      </c>
      <c r="AB3881" s="1" t="s">
        <v>275</v>
      </c>
      <c r="AC3881" s="5">
        <v>42193</v>
      </c>
      <c r="AF3881" s="1">
        <v>10039</v>
      </c>
      <c r="AJ3881" s="1">
        <v>1921</v>
      </c>
      <c r="AK3881" s="1" t="s">
        <v>143</v>
      </c>
      <c r="AL3881" s="1">
        <v>84</v>
      </c>
    </row>
    <row r="3882" spans="1:38" x14ac:dyDescent="0.2">
      <c r="A3882" s="2" t="str">
        <f>HYPERLINK("https://www.compass.com/listing/305-west-150th-street-unit-506-manhattan-ny-10039/29434123659600977/","305 W 150th St, Unit 506")</f>
        <v>305 W 150th St, Unit 506</v>
      </c>
      <c r="B3882" s="2" t="str">
        <f t="shared" si="653"/>
        <v>305 W 150th St</v>
      </c>
      <c r="C3882" s="1" t="s">
        <v>85</v>
      </c>
      <c r="D3882" s="1" t="s">
        <v>41</v>
      </c>
      <c r="E3882" s="3">
        <v>464919</v>
      </c>
      <c r="F3882" s="1">
        <v>819.96296296296202</v>
      </c>
      <c r="G3882" s="1">
        <v>3</v>
      </c>
      <c r="H3882" s="1">
        <v>1</v>
      </c>
      <c r="I3882" s="1">
        <v>1</v>
      </c>
      <c r="J3882" s="1">
        <v>1</v>
      </c>
      <c r="K3882" s="1">
        <v>1</v>
      </c>
      <c r="M3882" s="1">
        <v>567</v>
      </c>
      <c r="N3882" s="1">
        <v>346.92</v>
      </c>
      <c r="O3882" s="1">
        <v>597.44000000000005</v>
      </c>
      <c r="P3882" s="1">
        <v>250.5</v>
      </c>
      <c r="Q3882" s="1" t="s">
        <v>42</v>
      </c>
      <c r="S3882" s="1" t="s">
        <v>42</v>
      </c>
      <c r="T3882" s="1" t="s">
        <v>273</v>
      </c>
      <c r="U3882" s="1">
        <v>87</v>
      </c>
      <c r="V3882" s="5">
        <v>43635</v>
      </c>
      <c r="W3882" s="5">
        <v>42193</v>
      </c>
      <c r="X3882" s="1">
        <v>458500</v>
      </c>
      <c r="Y3882" s="1">
        <v>458500</v>
      </c>
      <c r="Z3882" s="5">
        <v>42280</v>
      </c>
      <c r="AA3882" s="1">
        <v>464919</v>
      </c>
      <c r="AB3882" s="1" t="s">
        <v>2635</v>
      </c>
      <c r="AC3882" s="5">
        <v>42319</v>
      </c>
      <c r="AF3882" s="1">
        <v>10039</v>
      </c>
      <c r="AJ3882" s="1">
        <v>1921</v>
      </c>
      <c r="AK3882" s="1" t="s">
        <v>143</v>
      </c>
      <c r="AL3882" s="1">
        <v>84</v>
      </c>
    </row>
    <row r="3883" spans="1:38" x14ac:dyDescent="0.2">
      <c r="A3883" s="2" t="str">
        <f>HYPERLINK("https://www.compass.com/listing/305-west-150th-street-unit-609-manhattan-ny-10039/29434131242902737/","305 W 150th St, Unit 609")</f>
        <v>305 W 150th St, Unit 609</v>
      </c>
      <c r="B3883" s="2" t="str">
        <f t="shared" si="653"/>
        <v>305 W 150th St</v>
      </c>
      <c r="C3883" s="1" t="s">
        <v>85</v>
      </c>
      <c r="D3883" s="1" t="s">
        <v>41</v>
      </c>
      <c r="E3883" s="3">
        <v>427401</v>
      </c>
      <c r="F3883" s="1">
        <v>729.35324232081905</v>
      </c>
      <c r="G3883" s="1">
        <v>3</v>
      </c>
      <c r="H3883" s="1">
        <v>1</v>
      </c>
      <c r="I3883" s="1">
        <v>1</v>
      </c>
      <c r="J3883" s="1">
        <v>1</v>
      </c>
      <c r="K3883" s="1">
        <v>1</v>
      </c>
      <c r="M3883" s="1">
        <v>586</v>
      </c>
      <c r="N3883" s="1">
        <v>313.57</v>
      </c>
      <c r="O3883" s="1">
        <v>576.95000000000005</v>
      </c>
      <c r="P3883" s="1">
        <v>263.416666666666</v>
      </c>
      <c r="Q3883" s="1" t="s">
        <v>42</v>
      </c>
      <c r="S3883" s="1" t="s">
        <v>42</v>
      </c>
      <c r="T3883" s="1" t="s">
        <v>273</v>
      </c>
      <c r="U3883" s="1">
        <v>83</v>
      </c>
      <c r="V3883" s="5">
        <v>43649</v>
      </c>
      <c r="W3883" s="5">
        <v>42019</v>
      </c>
      <c r="X3883" s="1">
        <v>421500</v>
      </c>
      <c r="Y3883" s="1">
        <v>421500</v>
      </c>
      <c r="Z3883" s="5">
        <v>42102</v>
      </c>
      <c r="AA3883" s="1">
        <v>427401</v>
      </c>
      <c r="AB3883" s="1" t="s">
        <v>2636</v>
      </c>
      <c r="AC3883" s="5">
        <v>42172</v>
      </c>
      <c r="AF3883" s="1">
        <v>10039</v>
      </c>
      <c r="AJ3883" s="1">
        <v>1921</v>
      </c>
      <c r="AK3883" s="1" t="s">
        <v>143</v>
      </c>
      <c r="AL3883" s="1">
        <v>84</v>
      </c>
    </row>
    <row r="3884" spans="1:38" x14ac:dyDescent="0.2">
      <c r="A3884" s="2" t="str">
        <f>HYPERLINK("https://www.compass.com/listing/305-west-150th-street-unit-301-manhattan-ny-10039/181026940268940737/","305 W 150th St, Unit 301")</f>
        <v>305 W 150th St, Unit 301</v>
      </c>
      <c r="B3884" s="2" t="str">
        <f t="shared" si="653"/>
        <v>305 W 150th St</v>
      </c>
      <c r="C3884" s="1" t="s">
        <v>85</v>
      </c>
      <c r="D3884" s="1" t="s">
        <v>41</v>
      </c>
      <c r="E3884" s="3">
        <v>365547</v>
      </c>
      <c r="F3884" s="1">
        <v>633.53032928942798</v>
      </c>
      <c r="G3884" s="1">
        <v>3</v>
      </c>
      <c r="H3884" s="1">
        <v>1</v>
      </c>
      <c r="I3884" s="1">
        <v>1</v>
      </c>
      <c r="J3884" s="1">
        <v>1</v>
      </c>
      <c r="K3884" s="1">
        <v>1</v>
      </c>
      <c r="M3884" s="1">
        <v>577</v>
      </c>
      <c r="N3884" s="1">
        <v>300.82</v>
      </c>
      <c r="O3884" s="1">
        <v>553.49</v>
      </c>
      <c r="P3884" s="1">
        <v>252.666666666666</v>
      </c>
      <c r="Q3884" s="1" t="s">
        <v>42</v>
      </c>
      <c r="S3884" s="1" t="s">
        <v>42</v>
      </c>
      <c r="T3884" s="1" t="s">
        <v>273</v>
      </c>
      <c r="U3884" s="1">
        <v>10</v>
      </c>
      <c r="V3884" s="5">
        <v>43680</v>
      </c>
      <c r="W3884" s="5">
        <v>41695</v>
      </c>
      <c r="X3884" s="1">
        <v>360500</v>
      </c>
      <c r="Y3884" s="1">
        <v>360500</v>
      </c>
      <c r="Z3884" s="5">
        <v>41705</v>
      </c>
      <c r="AA3884" s="1">
        <v>365547</v>
      </c>
      <c r="AB3884" s="1" t="s">
        <v>2637</v>
      </c>
      <c r="AC3884" s="5">
        <v>42174</v>
      </c>
      <c r="AF3884" s="1">
        <v>10039</v>
      </c>
      <c r="AJ3884" s="1">
        <v>1921</v>
      </c>
      <c r="AK3884" s="1" t="s">
        <v>143</v>
      </c>
      <c r="AL3884" s="1">
        <v>84</v>
      </c>
    </row>
    <row r="3885" spans="1:38" x14ac:dyDescent="0.2">
      <c r="A3885" s="2" t="str">
        <f>HYPERLINK("https://www.compass.com/listing/305-west-150th-street-unit-401-manhattan-ny-10039/181026942986852305/","305 W 150th St, Unit 401")</f>
        <v>305 W 150th St, Unit 401</v>
      </c>
      <c r="B3885" s="2" t="str">
        <f t="shared" si="653"/>
        <v>305 W 150th St</v>
      </c>
      <c r="C3885" s="1" t="s">
        <v>85</v>
      </c>
      <c r="D3885" s="1" t="s">
        <v>41</v>
      </c>
      <c r="E3885" s="3">
        <v>372138</v>
      </c>
      <c r="F3885" s="1">
        <v>644.95320623916803</v>
      </c>
      <c r="G3885" s="1">
        <v>3</v>
      </c>
      <c r="H3885" s="1">
        <v>1</v>
      </c>
      <c r="I3885" s="1">
        <v>1</v>
      </c>
      <c r="J3885" s="1">
        <v>1</v>
      </c>
      <c r="K3885" s="1">
        <v>1</v>
      </c>
      <c r="M3885" s="1">
        <v>577</v>
      </c>
      <c r="N3885" s="1">
        <v>305.92</v>
      </c>
      <c r="O3885" s="1">
        <v>562.87</v>
      </c>
      <c r="P3885" s="1">
        <v>256.916666666666</v>
      </c>
      <c r="Q3885" s="1" t="s">
        <v>42</v>
      </c>
      <c r="S3885" s="1" t="s">
        <v>42</v>
      </c>
      <c r="T3885" s="1" t="s">
        <v>273</v>
      </c>
      <c r="U3885" s="1">
        <v>4</v>
      </c>
      <c r="V3885" s="5">
        <v>43649</v>
      </c>
      <c r="W3885" s="5">
        <v>41695</v>
      </c>
      <c r="X3885" s="1">
        <v>367000</v>
      </c>
      <c r="Y3885" s="1">
        <v>367000</v>
      </c>
      <c r="Z3885" s="5">
        <v>41699</v>
      </c>
      <c r="AA3885" s="1">
        <v>372138</v>
      </c>
      <c r="AB3885" s="1" t="s">
        <v>2638</v>
      </c>
      <c r="AC3885" s="5">
        <v>42174</v>
      </c>
      <c r="AF3885" s="1">
        <v>10039</v>
      </c>
      <c r="AJ3885" s="1">
        <v>1921</v>
      </c>
      <c r="AK3885" s="1" t="s">
        <v>143</v>
      </c>
      <c r="AL3885" s="1">
        <v>84</v>
      </c>
    </row>
    <row r="3886" spans="1:38" x14ac:dyDescent="0.2">
      <c r="A3886" s="2" t="str">
        <f>HYPERLINK("https://www.compass.com/listing/305-west-150th-street-unit-203-manhattan-ny-10039/181026963564089393/","305 W 150th St, Unit 203")</f>
        <v>305 W 150th St, Unit 203</v>
      </c>
      <c r="B3886" s="2" t="str">
        <f t="shared" si="653"/>
        <v>305 W 150th St</v>
      </c>
      <c r="C3886" s="1" t="s">
        <v>85</v>
      </c>
      <c r="D3886" s="1" t="s">
        <v>41</v>
      </c>
      <c r="E3886" s="3">
        <v>370110</v>
      </c>
      <c r="F3886" s="1">
        <v>623.08080808080797</v>
      </c>
      <c r="G3886" s="1">
        <v>3</v>
      </c>
      <c r="H3886" s="1">
        <v>1</v>
      </c>
      <c r="I3886" s="1">
        <v>1</v>
      </c>
      <c r="J3886" s="1">
        <v>1</v>
      </c>
      <c r="K3886" s="1">
        <v>1</v>
      </c>
      <c r="M3886" s="1">
        <v>594</v>
      </c>
      <c r="N3886" s="1">
        <v>305.92</v>
      </c>
      <c r="O3886" s="1">
        <v>562.87</v>
      </c>
      <c r="P3886" s="1">
        <v>256.916666666666</v>
      </c>
      <c r="Q3886" s="1" t="s">
        <v>42</v>
      </c>
      <c r="S3886" s="1" t="s">
        <v>42</v>
      </c>
      <c r="T3886" s="1" t="s">
        <v>273</v>
      </c>
      <c r="U3886" s="1">
        <v>12</v>
      </c>
      <c r="V3886" s="5">
        <v>43636</v>
      </c>
      <c r="W3886" s="5">
        <v>41713</v>
      </c>
      <c r="X3886" s="1">
        <v>365000</v>
      </c>
      <c r="Y3886" s="1">
        <v>365000</v>
      </c>
      <c r="Z3886" s="5">
        <v>41725</v>
      </c>
      <c r="AA3886" s="1">
        <v>370110</v>
      </c>
      <c r="AB3886" s="1" t="s">
        <v>2639</v>
      </c>
      <c r="AC3886" s="5">
        <v>42174</v>
      </c>
      <c r="AF3886" s="1">
        <v>10039</v>
      </c>
      <c r="AJ3886" s="1">
        <v>1921</v>
      </c>
      <c r="AK3886" s="1" t="s">
        <v>143</v>
      </c>
      <c r="AL3886" s="1">
        <v>84</v>
      </c>
    </row>
    <row r="3887" spans="1:38" x14ac:dyDescent="0.2">
      <c r="A3887" s="2" t="str">
        <f>HYPERLINK("https://www.compass.com/listing/305-west-150th-street-unit-212-manhattan-ny-10039/181028248254267441/","305 W 150th St, Unit 212")</f>
        <v>305 W 150th St, Unit 212</v>
      </c>
      <c r="B3887" s="2" t="str">
        <f t="shared" si="653"/>
        <v>305 W 150th St</v>
      </c>
      <c r="C3887" s="1" t="s">
        <v>85</v>
      </c>
      <c r="D3887" s="1" t="s">
        <v>41</v>
      </c>
      <c r="E3887" s="3">
        <v>372742</v>
      </c>
      <c r="F3887" s="1">
        <v>621.236666666666</v>
      </c>
      <c r="G3887" s="1">
        <v>3</v>
      </c>
      <c r="H3887" s="1">
        <v>1</v>
      </c>
      <c r="I3887" s="1">
        <v>1</v>
      </c>
      <c r="J3887" s="1">
        <v>1</v>
      </c>
      <c r="K3887" s="1">
        <v>1</v>
      </c>
      <c r="M3887" s="1">
        <v>600</v>
      </c>
      <c r="N3887" s="1">
        <v>311</v>
      </c>
      <c r="O3887" s="1">
        <v>572.23</v>
      </c>
      <c r="P3887" s="1">
        <v>261.25</v>
      </c>
      <c r="Q3887" s="1" t="s">
        <v>42</v>
      </c>
      <c r="S3887" s="1" t="s">
        <v>42</v>
      </c>
      <c r="T3887" s="1" t="s">
        <v>273</v>
      </c>
      <c r="V3887" s="5">
        <v>43635</v>
      </c>
      <c r="W3887" s="5">
        <v>41707</v>
      </c>
      <c r="X3887" s="1">
        <v>369000</v>
      </c>
      <c r="Y3887" s="1">
        <v>369000</v>
      </c>
      <c r="Z3887" s="5">
        <v>41707</v>
      </c>
      <c r="AA3887" s="1">
        <v>372742</v>
      </c>
      <c r="AB3887" s="1" t="s">
        <v>2640</v>
      </c>
      <c r="AC3887" s="5">
        <v>42186</v>
      </c>
      <c r="AF3887" s="1">
        <v>10039</v>
      </c>
      <c r="AJ3887" s="1">
        <v>1921</v>
      </c>
      <c r="AK3887" s="1" t="s">
        <v>143</v>
      </c>
      <c r="AL3887" s="1">
        <v>84</v>
      </c>
    </row>
    <row r="3888" spans="1:38" x14ac:dyDescent="0.2">
      <c r="A3888" s="2" t="str">
        <f>HYPERLINK("https://www.compass.com/listing/305-west-150th-street-unit-102-manhattan-ny-10039/29434098728657521/","305 W 150th St, Unit 102")</f>
        <v>305 W 150th St, Unit 102</v>
      </c>
      <c r="B3888" s="2" t="str">
        <f t="shared" si="653"/>
        <v>305 W 150th St</v>
      </c>
      <c r="C3888" s="1" t="s">
        <v>85</v>
      </c>
      <c r="D3888" s="1" t="s">
        <v>41</v>
      </c>
      <c r="E3888" s="3">
        <v>359463</v>
      </c>
      <c r="F3888" s="1">
        <v>612.37308347529802</v>
      </c>
      <c r="G3888" s="1">
        <v>3</v>
      </c>
      <c r="H3888" s="1">
        <v>1</v>
      </c>
      <c r="I3888" s="1">
        <v>1</v>
      </c>
      <c r="M3888" s="1">
        <v>587</v>
      </c>
      <c r="N3888" s="1">
        <v>298</v>
      </c>
      <c r="O3888" s="1">
        <v>548</v>
      </c>
      <c r="P3888" s="1">
        <v>250</v>
      </c>
      <c r="Q3888" s="1" t="s">
        <v>42</v>
      </c>
      <c r="S3888" s="1" t="s">
        <v>42</v>
      </c>
      <c r="T3888" s="1" t="s">
        <v>273</v>
      </c>
      <c r="U3888" s="1">
        <v>114</v>
      </c>
      <c r="V3888" s="5">
        <v>43693</v>
      </c>
      <c r="W3888" s="5">
        <v>41674</v>
      </c>
      <c r="X3888" s="1">
        <v>337525</v>
      </c>
      <c r="Y3888" s="1">
        <v>354500</v>
      </c>
      <c r="Z3888" s="5">
        <v>41788</v>
      </c>
      <c r="AA3888" s="1">
        <v>359463</v>
      </c>
      <c r="AB3888" s="1" t="s">
        <v>2641</v>
      </c>
      <c r="AC3888" s="5">
        <v>42171</v>
      </c>
      <c r="AF3888" s="1">
        <v>10039</v>
      </c>
      <c r="AJ3888" s="1">
        <v>1921</v>
      </c>
      <c r="AK3888" s="1" t="s">
        <v>146</v>
      </c>
      <c r="AL3888" s="1">
        <v>84</v>
      </c>
    </row>
    <row r="3889" spans="1:38" x14ac:dyDescent="0.2">
      <c r="A3889" s="2" t="str">
        <f>HYPERLINK("https://www.compass.com/listing/305-west-150th-street-unit-102-manhattan-ny-10039/29434098728657537/","305 W 150th St, Unit 102")</f>
        <v>305 W 150th St, Unit 102</v>
      </c>
      <c r="B3889" s="2" t="str">
        <f t="shared" si="653"/>
        <v>305 W 150th St</v>
      </c>
      <c r="C3889" s="1" t="s">
        <v>85</v>
      </c>
      <c r="D3889" s="1" t="s">
        <v>41</v>
      </c>
      <c r="E3889" s="3">
        <v>359463</v>
      </c>
      <c r="F3889" s="1">
        <v>612.37308347529802</v>
      </c>
      <c r="G3889" s="1">
        <v>3</v>
      </c>
      <c r="H3889" s="1">
        <v>1</v>
      </c>
      <c r="I3889" s="1">
        <v>1</v>
      </c>
      <c r="J3889" s="1">
        <v>1</v>
      </c>
      <c r="K3889" s="1">
        <v>1</v>
      </c>
      <c r="M3889" s="1">
        <v>587</v>
      </c>
      <c r="N3889" s="1">
        <v>298.25</v>
      </c>
      <c r="O3889" s="1">
        <v>548.77</v>
      </c>
      <c r="P3889" s="1">
        <v>250.5</v>
      </c>
      <c r="Q3889" s="1" t="s">
        <v>42</v>
      </c>
      <c r="S3889" s="1" t="s">
        <v>42</v>
      </c>
      <c r="T3889" s="1" t="s">
        <v>273</v>
      </c>
      <c r="U3889" s="1">
        <v>114</v>
      </c>
      <c r="V3889" s="5">
        <v>43636</v>
      </c>
      <c r="W3889" s="5">
        <v>41674</v>
      </c>
      <c r="X3889" s="1">
        <v>337525</v>
      </c>
      <c r="Y3889" s="1">
        <v>354500</v>
      </c>
      <c r="Z3889" s="5">
        <v>41788</v>
      </c>
      <c r="AA3889" s="1">
        <v>359463</v>
      </c>
      <c r="AB3889" s="1" t="s">
        <v>2641</v>
      </c>
      <c r="AC3889" s="5">
        <v>42171</v>
      </c>
      <c r="AF3889" s="1">
        <v>10039</v>
      </c>
      <c r="AI3889" s="1" t="s">
        <v>177</v>
      </c>
      <c r="AJ3889" s="1">
        <v>1921</v>
      </c>
      <c r="AK3889" s="1" t="s">
        <v>143</v>
      </c>
      <c r="AL3889" s="1">
        <v>84</v>
      </c>
    </row>
    <row r="3890" spans="1:38" x14ac:dyDescent="0.2">
      <c r="A3890" s="2" t="str">
        <f>HYPERLINK("https://www.compass.com/listing/305-west-150th-street-unit-203-manhattan-ny-10039/29434104290243601/","305 W 150th St, Unit 203")</f>
        <v>305 W 150th St, Unit 203</v>
      </c>
      <c r="B3890" s="2" t="str">
        <f t="shared" si="653"/>
        <v>305 W 150th St</v>
      </c>
      <c r="C3890" s="1" t="s">
        <v>85</v>
      </c>
      <c r="D3890" s="1" t="s">
        <v>41</v>
      </c>
      <c r="E3890" s="3">
        <v>370110</v>
      </c>
      <c r="F3890" s="1">
        <v>623.08080808080797</v>
      </c>
      <c r="G3890" s="1">
        <v>3</v>
      </c>
      <c r="H3890" s="1">
        <v>1</v>
      </c>
      <c r="I3890" s="1">
        <v>1</v>
      </c>
      <c r="M3890" s="1">
        <v>594</v>
      </c>
      <c r="N3890" s="1">
        <v>305</v>
      </c>
      <c r="O3890" s="1">
        <v>561</v>
      </c>
      <c r="P3890" s="1">
        <v>256</v>
      </c>
      <c r="Q3890" s="1" t="s">
        <v>42</v>
      </c>
      <c r="S3890" s="1" t="s">
        <v>42</v>
      </c>
      <c r="T3890" s="1" t="s">
        <v>273</v>
      </c>
      <c r="U3890" s="1">
        <v>12</v>
      </c>
      <c r="V3890" s="5">
        <v>43694</v>
      </c>
      <c r="W3890" s="5">
        <v>41713</v>
      </c>
      <c r="X3890" s="1">
        <v>365000</v>
      </c>
      <c r="Y3890" s="1">
        <v>365000</v>
      </c>
      <c r="Z3890" s="5">
        <v>41725</v>
      </c>
      <c r="AA3890" s="1">
        <v>370110</v>
      </c>
      <c r="AB3890" s="1" t="s">
        <v>2639</v>
      </c>
      <c r="AC3890" s="5">
        <v>42174</v>
      </c>
      <c r="AF3890" s="1">
        <v>10039</v>
      </c>
      <c r="AJ3890" s="1">
        <v>1921</v>
      </c>
      <c r="AK3890" s="1" t="s">
        <v>146</v>
      </c>
      <c r="AL3890" s="1">
        <v>84</v>
      </c>
    </row>
    <row r="3891" spans="1:38" x14ac:dyDescent="0.2">
      <c r="A3891" s="2" t="str">
        <f>HYPERLINK("https://www.compass.com/listing/305-west-150th-street-unit-212-manhattan-ny-10039/29434108769760401/","305 W 150th St, Unit 212")</f>
        <v>305 W 150th St, Unit 212</v>
      </c>
      <c r="B3891" s="2" t="str">
        <f t="shared" si="653"/>
        <v>305 W 150th St</v>
      </c>
      <c r="C3891" s="1" t="s">
        <v>85</v>
      </c>
      <c r="D3891" s="1" t="s">
        <v>41</v>
      </c>
      <c r="E3891" s="3">
        <v>372741</v>
      </c>
      <c r="F3891" s="1">
        <v>621.23500000000001</v>
      </c>
      <c r="G3891" s="1">
        <v>3</v>
      </c>
      <c r="H3891" s="1">
        <v>1</v>
      </c>
      <c r="I3891" s="1">
        <v>1</v>
      </c>
      <c r="M3891" s="1">
        <v>600</v>
      </c>
      <c r="N3891" s="1">
        <v>311</v>
      </c>
      <c r="O3891" s="1">
        <v>572</v>
      </c>
      <c r="P3891" s="1">
        <v>261</v>
      </c>
      <c r="Q3891" s="1" t="s">
        <v>42</v>
      </c>
      <c r="S3891" s="1" t="s">
        <v>42</v>
      </c>
      <c r="T3891" s="1" t="s">
        <v>273</v>
      </c>
      <c r="V3891" s="5">
        <v>43693</v>
      </c>
      <c r="W3891" s="5">
        <v>41707</v>
      </c>
      <c r="X3891" s="1">
        <v>369000</v>
      </c>
      <c r="Y3891" s="1">
        <v>369000</v>
      </c>
      <c r="Z3891" s="5">
        <v>41707</v>
      </c>
      <c r="AA3891" s="1">
        <v>372741</v>
      </c>
      <c r="AB3891" s="1" t="s">
        <v>2640</v>
      </c>
      <c r="AC3891" s="5">
        <v>42186</v>
      </c>
      <c r="AF3891" s="1">
        <v>10039</v>
      </c>
      <c r="AJ3891" s="1">
        <v>1921</v>
      </c>
      <c r="AK3891" s="1" t="s">
        <v>146</v>
      </c>
      <c r="AL3891" s="1">
        <v>84</v>
      </c>
    </row>
    <row r="3892" spans="1:38" x14ac:dyDescent="0.2">
      <c r="A3892" s="2" t="str">
        <f>HYPERLINK("https://www.compass.com/listing/305-west-150th-street-unit-301-manhattan-ny-10039/29434109222806353/","305 W 150th St, Unit 301")</f>
        <v>305 W 150th St, Unit 301</v>
      </c>
      <c r="B3892" s="2" t="str">
        <f t="shared" si="653"/>
        <v>305 W 150th St</v>
      </c>
      <c r="C3892" s="1" t="s">
        <v>85</v>
      </c>
      <c r="D3892" s="1" t="s">
        <v>41</v>
      </c>
      <c r="E3892" s="3">
        <v>365547</v>
      </c>
      <c r="F3892" s="1">
        <v>633.53032928942798</v>
      </c>
      <c r="G3892" s="1">
        <v>3</v>
      </c>
      <c r="H3892" s="1">
        <v>1</v>
      </c>
      <c r="I3892" s="1">
        <v>1</v>
      </c>
      <c r="M3892" s="1">
        <v>577</v>
      </c>
      <c r="N3892" s="1">
        <v>300</v>
      </c>
      <c r="O3892" s="1">
        <v>552</v>
      </c>
      <c r="P3892" s="1">
        <v>252</v>
      </c>
      <c r="Q3892" s="1" t="s">
        <v>42</v>
      </c>
      <c r="S3892" s="1" t="s">
        <v>42</v>
      </c>
      <c r="T3892" s="1" t="s">
        <v>273</v>
      </c>
      <c r="U3892" s="1">
        <v>10</v>
      </c>
      <c r="V3892" s="5">
        <v>43670</v>
      </c>
      <c r="W3892" s="5">
        <v>41695</v>
      </c>
      <c r="X3892" s="1">
        <v>360500</v>
      </c>
      <c r="Y3892" s="1">
        <v>360500</v>
      </c>
      <c r="Z3892" s="5">
        <v>41705</v>
      </c>
      <c r="AA3892" s="1">
        <v>365547</v>
      </c>
      <c r="AB3892" s="1" t="s">
        <v>2637</v>
      </c>
      <c r="AC3892" s="5">
        <v>42174</v>
      </c>
      <c r="AF3892" s="1">
        <v>10039</v>
      </c>
      <c r="AJ3892" s="1">
        <v>1921</v>
      </c>
      <c r="AK3892" s="1" t="s">
        <v>146</v>
      </c>
      <c r="AL3892" s="1">
        <v>84</v>
      </c>
    </row>
    <row r="3893" spans="1:38" x14ac:dyDescent="0.2">
      <c r="A3893" s="2" t="str">
        <f>HYPERLINK("https://www.compass.com/listing/305-west-150th-street-unit-401-manhattan-ny-10039/29434113475761873/","305 W 150th St, Unit 401")</f>
        <v>305 W 150th St, Unit 401</v>
      </c>
      <c r="B3893" s="2" t="str">
        <f t="shared" si="653"/>
        <v>305 W 150th St</v>
      </c>
      <c r="C3893" s="1" t="s">
        <v>85</v>
      </c>
      <c r="D3893" s="1" t="s">
        <v>41</v>
      </c>
      <c r="E3893" s="3">
        <v>372138</v>
      </c>
      <c r="F3893" s="1">
        <v>644.95320623916803</v>
      </c>
      <c r="G3893" s="1">
        <v>3</v>
      </c>
      <c r="H3893" s="1">
        <v>1</v>
      </c>
      <c r="I3893" s="1">
        <v>1</v>
      </c>
      <c r="M3893" s="1">
        <v>577</v>
      </c>
      <c r="N3893" s="1">
        <v>305</v>
      </c>
      <c r="O3893" s="1">
        <v>561</v>
      </c>
      <c r="P3893" s="1">
        <v>256</v>
      </c>
      <c r="Q3893" s="1" t="s">
        <v>42</v>
      </c>
      <c r="S3893" s="1" t="s">
        <v>42</v>
      </c>
      <c r="T3893" s="1" t="s">
        <v>273</v>
      </c>
      <c r="U3893" s="1">
        <v>4</v>
      </c>
      <c r="V3893" s="5">
        <v>43638</v>
      </c>
      <c r="W3893" s="5">
        <v>41695</v>
      </c>
      <c r="X3893" s="1">
        <v>367000</v>
      </c>
      <c r="Y3893" s="1">
        <v>367000</v>
      </c>
      <c r="Z3893" s="5">
        <v>41699</v>
      </c>
      <c r="AA3893" s="1">
        <v>372138</v>
      </c>
      <c r="AB3893" s="1" t="s">
        <v>2638</v>
      </c>
      <c r="AC3893" s="5">
        <v>42174</v>
      </c>
      <c r="AF3893" s="1">
        <v>10039</v>
      </c>
      <c r="AJ3893" s="1">
        <v>1921</v>
      </c>
      <c r="AK3893" s="1" t="s">
        <v>146</v>
      </c>
      <c r="AL3893" s="1">
        <v>84</v>
      </c>
    </row>
    <row r="3894" spans="1:38" x14ac:dyDescent="0.2">
      <c r="A3894" s="2" t="str">
        <f>HYPERLINK("https://www.compass.com/listing/305-west-150th-street-unit-502-manhattan-ny-10039/29434122283869233/","305 W 150th St, Unit 502")</f>
        <v>305 W 150th St, Unit 502</v>
      </c>
      <c r="B3894" s="2" t="str">
        <f t="shared" si="653"/>
        <v>305 W 150th St</v>
      </c>
      <c r="C3894" s="1" t="s">
        <v>85</v>
      </c>
      <c r="D3894" s="1" t="s">
        <v>41</v>
      </c>
      <c r="E3894" s="3">
        <v>476073</v>
      </c>
      <c r="F3894" s="1">
        <v>811.02725724020399</v>
      </c>
      <c r="G3894" s="1">
        <v>3</v>
      </c>
      <c r="H3894" s="1">
        <v>1</v>
      </c>
      <c r="I3894" s="1">
        <v>1</v>
      </c>
      <c r="M3894" s="1">
        <v>587</v>
      </c>
      <c r="N3894" s="1">
        <v>311</v>
      </c>
      <c r="O3894" s="1">
        <v>572</v>
      </c>
      <c r="P3894" s="1">
        <v>261</v>
      </c>
      <c r="Q3894" s="1" t="s">
        <v>42</v>
      </c>
      <c r="S3894" s="1" t="s">
        <v>42</v>
      </c>
      <c r="T3894" s="1" t="s">
        <v>273</v>
      </c>
      <c r="U3894" s="1">
        <v>13</v>
      </c>
      <c r="V3894" s="5">
        <v>43693</v>
      </c>
      <c r="W3894" s="5">
        <v>41938</v>
      </c>
      <c r="X3894" s="1">
        <v>469500</v>
      </c>
      <c r="Y3894" s="1">
        <v>469500</v>
      </c>
      <c r="Z3894" s="5">
        <v>41951</v>
      </c>
      <c r="AA3894" s="1">
        <v>476073</v>
      </c>
      <c r="AB3894" s="1" t="s">
        <v>2642</v>
      </c>
      <c r="AC3894" s="5">
        <v>42166</v>
      </c>
      <c r="AF3894" s="1">
        <v>10039</v>
      </c>
      <c r="AJ3894" s="1">
        <v>1921</v>
      </c>
      <c r="AK3894" s="1" t="s">
        <v>146</v>
      </c>
      <c r="AL3894" s="1">
        <v>84</v>
      </c>
    </row>
    <row r="3895" spans="1:38" x14ac:dyDescent="0.2">
      <c r="A3895" s="2" t="str">
        <f>HYPERLINK("https://www.compass.com/listing/305-west-150th-street-unit-603-manhattan-ny-10039/29434128734708897/","305 W 150th St, Unit 603")</f>
        <v>305 W 150th St, Unit 603</v>
      </c>
      <c r="B3895" s="2" t="str">
        <f t="shared" si="653"/>
        <v>305 W 150th St</v>
      </c>
      <c r="C3895" s="1" t="s">
        <v>85</v>
      </c>
      <c r="D3895" s="1" t="s">
        <v>41</v>
      </c>
      <c r="E3895" s="3">
        <v>481650</v>
      </c>
      <c r="F3895" s="1">
        <v>810.858585858585</v>
      </c>
      <c r="G3895" s="1">
        <v>3</v>
      </c>
      <c r="H3895" s="1">
        <v>1</v>
      </c>
      <c r="I3895" s="1">
        <v>1</v>
      </c>
      <c r="M3895" s="1">
        <v>594</v>
      </c>
      <c r="N3895" s="1">
        <v>309</v>
      </c>
      <c r="O3895" s="1">
        <v>574</v>
      </c>
      <c r="P3895" s="1">
        <v>265</v>
      </c>
      <c r="Q3895" s="1" t="s">
        <v>42</v>
      </c>
      <c r="S3895" s="1" t="s">
        <v>42</v>
      </c>
      <c r="T3895" s="1" t="s">
        <v>273</v>
      </c>
      <c r="U3895" s="1">
        <v>135</v>
      </c>
      <c r="V3895" s="5">
        <v>43693</v>
      </c>
      <c r="W3895" s="5">
        <v>41938</v>
      </c>
      <c r="X3895" s="1">
        <v>475000</v>
      </c>
      <c r="Y3895" s="1">
        <v>475000</v>
      </c>
      <c r="Z3895" s="5">
        <v>42073</v>
      </c>
      <c r="AA3895" s="1">
        <v>481650</v>
      </c>
      <c r="AB3895" s="1" t="s">
        <v>2643</v>
      </c>
      <c r="AC3895" s="5">
        <v>42178</v>
      </c>
      <c r="AF3895" s="1">
        <v>10039</v>
      </c>
      <c r="AJ3895" s="1">
        <v>1921</v>
      </c>
      <c r="AK3895" s="1" t="s">
        <v>146</v>
      </c>
      <c r="AL3895" s="1">
        <v>84</v>
      </c>
    </row>
    <row r="3896" spans="1:38" x14ac:dyDescent="0.2">
      <c r="A3896" s="2" t="str">
        <f>HYPERLINK("https://www.compass.com/listing/305-west-150th-street-unit-603-manhattan-ny-10039/29434128734708913/","305 W 150th St, Unit 603")</f>
        <v>305 W 150th St, Unit 603</v>
      </c>
      <c r="B3896" s="2" t="str">
        <f t="shared" si="653"/>
        <v>305 W 150th St</v>
      </c>
      <c r="C3896" s="1" t="s">
        <v>85</v>
      </c>
      <c r="D3896" s="1" t="s">
        <v>41</v>
      </c>
      <c r="E3896" s="3">
        <v>481650</v>
      </c>
      <c r="F3896" s="1">
        <v>810.858585858585</v>
      </c>
      <c r="G3896" s="1">
        <v>3</v>
      </c>
      <c r="H3896" s="1">
        <v>1</v>
      </c>
      <c r="I3896" s="1">
        <v>1</v>
      </c>
      <c r="J3896" s="1">
        <v>1</v>
      </c>
      <c r="K3896" s="1">
        <v>1</v>
      </c>
      <c r="M3896" s="1">
        <v>594</v>
      </c>
      <c r="N3896" s="1">
        <v>309</v>
      </c>
      <c r="O3896" s="1">
        <v>574.51</v>
      </c>
      <c r="P3896" s="1">
        <v>265.5</v>
      </c>
      <c r="Q3896" s="1" t="s">
        <v>42</v>
      </c>
      <c r="S3896" s="1" t="s">
        <v>42</v>
      </c>
      <c r="T3896" s="1" t="s">
        <v>273</v>
      </c>
      <c r="U3896" s="1">
        <v>135</v>
      </c>
      <c r="V3896" s="5">
        <v>43680</v>
      </c>
      <c r="W3896" s="5">
        <v>41938</v>
      </c>
      <c r="X3896" s="1">
        <v>475000</v>
      </c>
      <c r="Y3896" s="1">
        <v>475000</v>
      </c>
      <c r="Z3896" s="5">
        <v>42073</v>
      </c>
      <c r="AA3896" s="1">
        <v>481650</v>
      </c>
      <c r="AB3896" s="1" t="s">
        <v>2643</v>
      </c>
      <c r="AC3896" s="5">
        <v>42178</v>
      </c>
      <c r="AF3896" s="1">
        <v>10039</v>
      </c>
      <c r="AJ3896" s="1">
        <v>1921</v>
      </c>
      <c r="AK3896" s="1" t="s">
        <v>143</v>
      </c>
      <c r="AL3896" s="1">
        <v>84</v>
      </c>
    </row>
    <row r="3897" spans="1:38" x14ac:dyDescent="0.2">
      <c r="A3897" s="2" t="str">
        <f>HYPERLINK("https://www.compass.com/listing/305-west-150th-street-unit-302-manhattan-ny-10039/29513372894579393/","305 W 150th St, Unit 302")</f>
        <v>305 W 150th St, Unit 302</v>
      </c>
      <c r="B3897" s="2" t="str">
        <f t="shared" si="653"/>
        <v>305 W 150th St</v>
      </c>
      <c r="C3897" s="1" t="s">
        <v>85</v>
      </c>
      <c r="D3897" s="1" t="s">
        <v>41</v>
      </c>
      <c r="E3897" s="3">
        <v>499000</v>
      </c>
      <c r="F3897" s="1">
        <v>850.08517887563801</v>
      </c>
      <c r="G3897" s="1">
        <v>3</v>
      </c>
      <c r="H3897" s="1">
        <v>1</v>
      </c>
      <c r="I3897" s="1">
        <v>1</v>
      </c>
      <c r="J3897" s="1">
        <v>1</v>
      </c>
      <c r="K3897" s="1">
        <v>1</v>
      </c>
      <c r="M3897" s="1">
        <v>587</v>
      </c>
      <c r="N3897" s="1">
        <v>385.17</v>
      </c>
      <c r="O3897" s="1">
        <v>735.09</v>
      </c>
      <c r="P3897" s="1">
        <v>349.916666666666</v>
      </c>
      <c r="Q3897" s="1" t="s">
        <v>42</v>
      </c>
      <c r="S3897" s="1" t="s">
        <v>42</v>
      </c>
      <c r="T3897" s="1" t="s">
        <v>273</v>
      </c>
      <c r="U3897" s="1">
        <v>58</v>
      </c>
      <c r="V3897" s="5">
        <v>43643</v>
      </c>
      <c r="W3897" s="5">
        <v>43207</v>
      </c>
      <c r="X3897" s="1">
        <v>505000</v>
      </c>
      <c r="Y3897" s="1">
        <v>505000</v>
      </c>
      <c r="Z3897" s="5">
        <v>43265</v>
      </c>
      <c r="AA3897" s="1">
        <v>499000</v>
      </c>
      <c r="AB3897" s="1" t="s">
        <v>2644</v>
      </c>
      <c r="AC3897" s="5">
        <v>43332</v>
      </c>
      <c r="AF3897" s="1">
        <v>10039</v>
      </c>
      <c r="AI3897" s="1" t="s">
        <v>80</v>
      </c>
      <c r="AJ3897" s="1">
        <v>1921</v>
      </c>
      <c r="AK3897" s="1" t="s">
        <v>73</v>
      </c>
      <c r="AL3897" s="1">
        <v>84</v>
      </c>
    </row>
    <row r="3898" spans="1:38" x14ac:dyDescent="0.2">
      <c r="A3898" s="2" t="str">
        <f>HYPERLINK("https://www.compass.com/listing/305-west-150th-street-unit-501-manhattan-ny-10039/29513373221770849/","305 W 150th St, Unit 501")</f>
        <v>305 W 150th St, Unit 501</v>
      </c>
      <c r="B3898" s="2" t="str">
        <f t="shared" si="653"/>
        <v>305 W 150th St</v>
      </c>
      <c r="C3898" s="1" t="s">
        <v>85</v>
      </c>
      <c r="D3898" s="1" t="s">
        <v>41</v>
      </c>
      <c r="E3898" s="3">
        <v>524398</v>
      </c>
      <c r="F3898" s="1">
        <v>908.83535528596099</v>
      </c>
      <c r="G3898" s="1">
        <v>4</v>
      </c>
      <c r="H3898" s="1">
        <v>1</v>
      </c>
      <c r="I3898" s="1">
        <v>1</v>
      </c>
      <c r="J3898" s="1">
        <v>1</v>
      </c>
      <c r="K3898" s="1">
        <v>1</v>
      </c>
      <c r="M3898" s="1">
        <v>577</v>
      </c>
      <c r="N3898" s="1">
        <v>388.48</v>
      </c>
      <c r="O3898" s="1">
        <v>729.48</v>
      </c>
      <c r="P3898" s="1">
        <v>341</v>
      </c>
      <c r="Q3898" s="1" t="s">
        <v>42</v>
      </c>
      <c r="S3898" s="1" t="s">
        <v>42</v>
      </c>
      <c r="T3898" s="1" t="s">
        <v>273</v>
      </c>
      <c r="U3898" s="1">
        <v>21</v>
      </c>
      <c r="V3898" s="5">
        <v>43700</v>
      </c>
      <c r="W3898" s="5">
        <v>43266</v>
      </c>
      <c r="X3898" s="1">
        <v>515000</v>
      </c>
      <c r="Y3898" s="1">
        <v>515000</v>
      </c>
      <c r="Z3898" s="5">
        <v>43287</v>
      </c>
      <c r="AA3898" s="1">
        <v>524398.75</v>
      </c>
      <c r="AB3898" s="1" t="s">
        <v>2645</v>
      </c>
      <c r="AC3898" s="5">
        <v>43313</v>
      </c>
      <c r="AF3898" s="1">
        <v>10039</v>
      </c>
      <c r="AI3898" s="1" t="s">
        <v>80</v>
      </c>
      <c r="AJ3898" s="1">
        <v>1921</v>
      </c>
      <c r="AK3898" s="1" t="s">
        <v>73</v>
      </c>
      <c r="AL3898" s="1">
        <v>84</v>
      </c>
    </row>
    <row r="3899" spans="1:38" x14ac:dyDescent="0.2">
      <c r="A3899" s="2" t="str">
        <f>HYPERLINK("https://www.compass.com/listing/301-east-81st-street-unit-11a-manhattan-ny-10028/678021397813100577/","301 E 81st St, Unit 11A")</f>
        <v>301 E 81st St, Unit 11A</v>
      </c>
      <c r="B3899" s="2" t="str">
        <f>HYPERLINK("https://www.compass.com/building/beckford-house-manhattan-ny/293531205712863989/","Beckford House")</f>
        <v>Beckford House</v>
      </c>
      <c r="C3899" s="1" t="s">
        <v>82</v>
      </c>
      <c r="D3899" s="1" t="s">
        <v>41</v>
      </c>
      <c r="E3899" s="3">
        <v>5700000</v>
      </c>
      <c r="F3899" s="1">
        <v>2259.2152199762099</v>
      </c>
      <c r="H3899" s="1">
        <v>4</v>
      </c>
      <c r="J3899" s="1">
        <v>4.5</v>
      </c>
      <c r="K3899" s="1">
        <v>4</v>
      </c>
      <c r="L3899" s="1">
        <v>1</v>
      </c>
      <c r="M3899" s="4">
        <v>2523</v>
      </c>
      <c r="N3899" s="1">
        <v>3679</v>
      </c>
      <c r="O3899" s="1">
        <v>7732</v>
      </c>
      <c r="P3899" s="1">
        <v>4053</v>
      </c>
      <c r="Q3899" s="1" t="s">
        <v>42</v>
      </c>
      <c r="S3899" s="1" t="s">
        <v>42</v>
      </c>
      <c r="T3899" s="1" t="s">
        <v>273</v>
      </c>
      <c r="AA3899" s="1">
        <v>5700000</v>
      </c>
      <c r="AB3899" s="1" t="s">
        <v>2646</v>
      </c>
      <c r="AC3899" s="5">
        <v>44141</v>
      </c>
      <c r="AF3899" s="1">
        <v>10028</v>
      </c>
      <c r="AI3899" s="1" t="s">
        <v>140</v>
      </c>
      <c r="AJ3899" s="1">
        <v>2019</v>
      </c>
      <c r="AK3899" s="1" t="s">
        <v>202</v>
      </c>
      <c r="AL3899" s="1">
        <v>0</v>
      </c>
    </row>
    <row r="3900" spans="1:38" x14ac:dyDescent="0.2">
      <c r="A3900" s="2" t="str">
        <f>HYPERLINK("https://www.compass.com/listing/305-west-150th-street-unit-305-manhattan-ny-10039/29434110808184481/","305 W 150th St, Unit 305")</f>
        <v>305 W 150th St, Unit 305</v>
      </c>
      <c r="B3900" s="2" t="str">
        <f t="shared" ref="B3900:B3917" si="654">HYPERLINK("https://www.compass.com/building/305-w-150th-st-manhattan-ny-10039/282032234968400245/","305 W 150th St")</f>
        <v>305 W 150th St</v>
      </c>
      <c r="C3900" s="1" t="s">
        <v>85</v>
      </c>
      <c r="D3900" s="1" t="s">
        <v>41</v>
      </c>
      <c r="E3900" s="3">
        <v>477559</v>
      </c>
      <c r="F3900" s="1">
        <v>809.42203389830502</v>
      </c>
      <c r="G3900" s="1">
        <v>3</v>
      </c>
      <c r="H3900" s="1">
        <v>1</v>
      </c>
      <c r="I3900" s="1">
        <v>1</v>
      </c>
      <c r="J3900" s="1">
        <v>1</v>
      </c>
      <c r="K3900" s="1">
        <v>1</v>
      </c>
      <c r="M3900" s="1">
        <v>590</v>
      </c>
      <c r="N3900" s="1">
        <v>352.92</v>
      </c>
      <c r="O3900" s="1">
        <v>607.74</v>
      </c>
      <c r="P3900" s="1">
        <v>254.833333333333</v>
      </c>
      <c r="Q3900" s="1" t="s">
        <v>42</v>
      </c>
      <c r="S3900" s="1" t="s">
        <v>42</v>
      </c>
      <c r="T3900" s="1" t="s">
        <v>273</v>
      </c>
      <c r="U3900" s="1">
        <v>162</v>
      </c>
      <c r="V3900" s="5">
        <v>43678</v>
      </c>
      <c r="W3900" s="5">
        <v>42258</v>
      </c>
      <c r="X3900" s="1">
        <v>469000</v>
      </c>
      <c r="Y3900" s="1">
        <v>469000</v>
      </c>
      <c r="Z3900" s="5">
        <v>42420</v>
      </c>
      <c r="AA3900" s="1">
        <v>477559</v>
      </c>
      <c r="AB3900" s="1" t="s">
        <v>2647</v>
      </c>
      <c r="AC3900" s="5">
        <v>42490</v>
      </c>
      <c r="AF3900" s="1">
        <v>10039</v>
      </c>
      <c r="AJ3900" s="1">
        <v>1921</v>
      </c>
      <c r="AK3900" s="1" t="s">
        <v>143</v>
      </c>
      <c r="AL3900" s="1">
        <v>84</v>
      </c>
    </row>
    <row r="3901" spans="1:38" x14ac:dyDescent="0.2">
      <c r="A3901" s="2" t="str">
        <f>HYPERLINK("https://www.compass.com/listing/305-west-150th-street-unit-402-manhattan-ny-10039/29434115606476049/","305 W 150th St, Unit 402")</f>
        <v>305 W 150th St, Unit 402</v>
      </c>
      <c r="B3901" s="2" t="str">
        <f t="shared" si="654"/>
        <v>305 W 150th St</v>
      </c>
      <c r="C3901" s="1" t="s">
        <v>85</v>
      </c>
      <c r="D3901" s="1" t="s">
        <v>41</v>
      </c>
      <c r="E3901" s="3">
        <v>481650</v>
      </c>
      <c r="F3901" s="1">
        <v>820.52810902895999</v>
      </c>
      <c r="G3901" s="1">
        <v>3</v>
      </c>
      <c r="H3901" s="1">
        <v>1</v>
      </c>
      <c r="I3901" s="1">
        <v>1</v>
      </c>
      <c r="J3901" s="1">
        <v>1</v>
      </c>
      <c r="K3901" s="1">
        <v>1</v>
      </c>
      <c r="M3901" s="1">
        <v>587</v>
      </c>
      <c r="N3901" s="1">
        <v>352.92</v>
      </c>
      <c r="O3901" s="1">
        <v>607.74</v>
      </c>
      <c r="P3901" s="1">
        <v>254.833333333333</v>
      </c>
      <c r="Q3901" s="1" t="s">
        <v>42</v>
      </c>
      <c r="S3901" s="1" t="s">
        <v>42</v>
      </c>
      <c r="T3901" s="1" t="s">
        <v>273</v>
      </c>
      <c r="U3901" s="1">
        <v>45</v>
      </c>
      <c r="V3901" s="5">
        <v>43635</v>
      </c>
      <c r="W3901" s="5">
        <v>42193</v>
      </c>
      <c r="X3901" s="1">
        <v>475000</v>
      </c>
      <c r="Y3901" s="1">
        <v>475000</v>
      </c>
      <c r="Z3901" s="5">
        <v>42238</v>
      </c>
      <c r="AA3901" s="1">
        <v>481650</v>
      </c>
      <c r="AB3901" s="1" t="s">
        <v>2648</v>
      </c>
      <c r="AC3901" s="5">
        <v>42321</v>
      </c>
      <c r="AF3901" s="1">
        <v>10039</v>
      </c>
      <c r="AJ3901" s="1">
        <v>1921</v>
      </c>
      <c r="AK3901" s="1" t="s">
        <v>143</v>
      </c>
      <c r="AL3901" s="1">
        <v>84</v>
      </c>
    </row>
    <row r="3902" spans="1:38" x14ac:dyDescent="0.2">
      <c r="A3902" s="2" t="str">
        <f>HYPERLINK("https://www.compass.com/listing/305-west-150th-street-unit-701-manhattan-ny-10039/29434132920555521/","305 W 150th St, Unit 701")</f>
        <v>305 W 150th St, Unit 701</v>
      </c>
      <c r="B3902" s="2" t="str">
        <f t="shared" si="654"/>
        <v>305 W 150th St</v>
      </c>
      <c r="C3902" s="1" t="s">
        <v>85</v>
      </c>
      <c r="D3902" s="1" t="s">
        <v>41</v>
      </c>
      <c r="E3902" s="3">
        <v>483171</v>
      </c>
      <c r="F3902" s="1">
        <v>837.38474870017296</v>
      </c>
      <c r="G3902" s="1">
        <v>3</v>
      </c>
      <c r="H3902" s="1">
        <v>1</v>
      </c>
      <c r="I3902" s="1">
        <v>1</v>
      </c>
      <c r="J3902" s="1">
        <v>1</v>
      </c>
      <c r="K3902" s="1">
        <v>1</v>
      </c>
      <c r="M3902" s="1">
        <v>577</v>
      </c>
      <c r="N3902" s="1">
        <v>367.67</v>
      </c>
      <c r="O3902" s="1">
        <v>633.17999999999995</v>
      </c>
      <c r="P3902" s="1">
        <v>265.5</v>
      </c>
      <c r="Q3902" s="1" t="s">
        <v>42</v>
      </c>
      <c r="S3902" s="1" t="s">
        <v>42</v>
      </c>
      <c r="T3902" s="1" t="s">
        <v>273</v>
      </c>
      <c r="V3902" s="5">
        <v>43649</v>
      </c>
      <c r="W3902" s="5">
        <v>42193</v>
      </c>
      <c r="X3902" s="1">
        <v>476500</v>
      </c>
      <c r="Y3902" s="1">
        <v>476500</v>
      </c>
      <c r="Z3902" s="5">
        <v>42193</v>
      </c>
      <c r="AA3902" s="1">
        <v>483171</v>
      </c>
      <c r="AB3902" s="1" t="s">
        <v>2649</v>
      </c>
      <c r="AC3902" s="5">
        <v>42229</v>
      </c>
      <c r="AF3902" s="1">
        <v>10039</v>
      </c>
      <c r="AJ3902" s="1">
        <v>1921</v>
      </c>
      <c r="AK3902" s="1" t="s">
        <v>143</v>
      </c>
      <c r="AL3902" s="1">
        <v>84</v>
      </c>
    </row>
    <row r="3903" spans="1:38" x14ac:dyDescent="0.2">
      <c r="A3903" s="2" t="str">
        <f>HYPERLINK("https://www.compass.com/listing/305-west-150th-street-unit-706-manhattan-ny-10039/4845166432402554833/","305 W 150th St, Unit 706")</f>
        <v>305 W 150th St, Unit 706</v>
      </c>
      <c r="B3903" s="2" t="str">
        <f t="shared" si="654"/>
        <v>305 W 150th St</v>
      </c>
      <c r="C3903" s="1" t="s">
        <v>85</v>
      </c>
      <c r="D3903" s="1" t="s">
        <v>41</v>
      </c>
      <c r="E3903" s="3">
        <v>474552</v>
      </c>
      <c r="F3903" s="1">
        <v>836.95238095238096</v>
      </c>
      <c r="G3903" s="1">
        <v>3</v>
      </c>
      <c r="H3903" s="1">
        <v>1</v>
      </c>
      <c r="I3903" s="1">
        <v>1</v>
      </c>
      <c r="J3903" s="1">
        <v>1</v>
      </c>
      <c r="K3903" s="1">
        <v>1</v>
      </c>
      <c r="M3903" s="1">
        <v>567</v>
      </c>
      <c r="N3903" s="1">
        <v>361.75</v>
      </c>
      <c r="O3903" s="1">
        <v>622.98</v>
      </c>
      <c r="P3903" s="1">
        <v>261.25</v>
      </c>
      <c r="Q3903" s="1" t="s">
        <v>42</v>
      </c>
      <c r="S3903" s="1" t="s">
        <v>42</v>
      </c>
      <c r="T3903" s="1" t="s">
        <v>273</v>
      </c>
      <c r="V3903" s="5">
        <v>43683</v>
      </c>
      <c r="W3903" s="5">
        <v>42193</v>
      </c>
      <c r="X3903" s="1">
        <v>468000</v>
      </c>
      <c r="Y3903" s="1">
        <v>468000</v>
      </c>
      <c r="Z3903" s="5">
        <v>42193</v>
      </c>
      <c r="AA3903" s="1">
        <v>474552</v>
      </c>
      <c r="AB3903" s="1" t="s">
        <v>2650</v>
      </c>
      <c r="AC3903" s="5">
        <v>42207</v>
      </c>
      <c r="AF3903" s="1">
        <v>10039</v>
      </c>
      <c r="AJ3903" s="1">
        <v>1921</v>
      </c>
      <c r="AK3903" s="1" t="s">
        <v>143</v>
      </c>
      <c r="AL3903" s="1">
        <v>84</v>
      </c>
    </row>
    <row r="3904" spans="1:38" x14ac:dyDescent="0.2">
      <c r="A3904" s="2" t="str">
        <f>HYPERLINK("https://www.compass.com/listing/305-west-150th-street-unit-607-manhattan-ny-10039/29434130420750305/","305 W 150th St, Unit 607")</f>
        <v>305 W 150th St, Unit 607</v>
      </c>
      <c r="B3904" s="2" t="str">
        <f t="shared" si="654"/>
        <v>305 W 150th St</v>
      </c>
      <c r="C3904" s="1" t="s">
        <v>85</v>
      </c>
      <c r="D3904" s="1" t="s">
        <v>41</v>
      </c>
      <c r="E3904" s="3">
        <v>474000</v>
      </c>
      <c r="F3904" s="1">
        <v>831.57894736842104</v>
      </c>
      <c r="G3904" s="1">
        <v>3</v>
      </c>
      <c r="H3904" s="1">
        <v>1</v>
      </c>
      <c r="I3904" s="1">
        <v>1</v>
      </c>
      <c r="J3904" s="1">
        <v>1</v>
      </c>
      <c r="K3904" s="1">
        <v>1</v>
      </c>
      <c r="M3904" s="1">
        <v>570</v>
      </c>
      <c r="N3904" s="1">
        <v>391.67</v>
      </c>
      <c r="O3904" s="1">
        <v>648.63</v>
      </c>
      <c r="P3904" s="1">
        <v>257</v>
      </c>
      <c r="Q3904" s="1" t="s">
        <v>42</v>
      </c>
      <c r="S3904" s="1" t="s">
        <v>42</v>
      </c>
      <c r="T3904" s="1" t="s">
        <v>273</v>
      </c>
      <c r="V3904" s="5">
        <v>43654</v>
      </c>
      <c r="W3904" s="5">
        <v>43140</v>
      </c>
      <c r="X3904" s="1">
        <v>474000</v>
      </c>
      <c r="Y3904" s="1">
        <v>474000</v>
      </c>
      <c r="Z3904" s="5">
        <v>43140</v>
      </c>
      <c r="AA3904" s="1">
        <v>474000</v>
      </c>
      <c r="AB3904" s="1" t="s">
        <v>2651</v>
      </c>
      <c r="AC3904" s="5">
        <v>43221</v>
      </c>
      <c r="AF3904" s="1">
        <v>10039</v>
      </c>
      <c r="AI3904" s="1" t="s">
        <v>80</v>
      </c>
      <c r="AJ3904" s="1">
        <v>1921</v>
      </c>
      <c r="AK3904" s="1" t="s">
        <v>73</v>
      </c>
      <c r="AL3904" s="1">
        <v>84</v>
      </c>
    </row>
    <row r="3905" spans="1:38" x14ac:dyDescent="0.2">
      <c r="A3905" s="2" t="str">
        <f>HYPERLINK("https://www.compass.com/listing/305-west-150th-street-unit-508-manhattan-ny-10039/29434125077214625/","305 W 150th St, Unit 508")</f>
        <v>305 W 150th St, Unit 508</v>
      </c>
      <c r="B3905" s="2" t="str">
        <f t="shared" si="654"/>
        <v>305 W 150th St</v>
      </c>
      <c r="C3905" s="1" t="s">
        <v>85</v>
      </c>
      <c r="D3905" s="1" t="s">
        <v>41</v>
      </c>
      <c r="E3905" s="3">
        <v>488748</v>
      </c>
      <c r="F3905" s="1">
        <v>828.38644067796599</v>
      </c>
      <c r="G3905" s="1">
        <v>3</v>
      </c>
      <c r="H3905" s="1">
        <v>1</v>
      </c>
      <c r="I3905" s="1">
        <v>1</v>
      </c>
      <c r="J3905" s="1">
        <v>1</v>
      </c>
      <c r="K3905" s="1">
        <v>1</v>
      </c>
      <c r="M3905" s="1">
        <v>590</v>
      </c>
      <c r="N3905" s="1">
        <v>355.82</v>
      </c>
      <c r="O3905" s="1">
        <v>612.77</v>
      </c>
      <c r="P3905" s="1">
        <v>256.916666666666</v>
      </c>
      <c r="Q3905" s="1" t="s">
        <v>42</v>
      </c>
      <c r="S3905" s="1" t="s">
        <v>42</v>
      </c>
      <c r="T3905" s="1" t="s">
        <v>273</v>
      </c>
      <c r="U3905" s="1">
        <v>359</v>
      </c>
      <c r="V3905" s="5">
        <v>43635</v>
      </c>
      <c r="W3905" s="5">
        <v>42193</v>
      </c>
      <c r="X3905" s="1">
        <v>477000</v>
      </c>
      <c r="Y3905" s="1">
        <v>482000</v>
      </c>
      <c r="Z3905" s="5">
        <v>42552</v>
      </c>
      <c r="AA3905" s="1">
        <v>488748</v>
      </c>
      <c r="AB3905" s="1" t="s">
        <v>2652</v>
      </c>
      <c r="AC3905" s="5">
        <v>42601</v>
      </c>
      <c r="AF3905" s="1">
        <v>10039</v>
      </c>
      <c r="AJ3905" s="1">
        <v>1921</v>
      </c>
      <c r="AK3905" s="1" t="s">
        <v>143</v>
      </c>
      <c r="AL3905" s="1">
        <v>84</v>
      </c>
    </row>
    <row r="3906" spans="1:38" x14ac:dyDescent="0.2">
      <c r="A3906" s="2" t="str">
        <f>HYPERLINK("https://www.compass.com/listing/305-west-150th-street-unit-710-manhattan-ny-10039/29434137198745697/","305 W 150th St, Unit 710")</f>
        <v>305 W 150th St, Unit 710</v>
      </c>
      <c r="B3906" s="2" t="str">
        <f t="shared" si="654"/>
        <v>305 W 150th St</v>
      </c>
      <c r="C3906" s="1" t="s">
        <v>85</v>
      </c>
      <c r="D3906" s="1" t="s">
        <v>41</v>
      </c>
      <c r="E3906" s="3">
        <v>488748</v>
      </c>
      <c r="F3906" s="1">
        <v>836.89726027397205</v>
      </c>
      <c r="G3906" s="1">
        <v>3</v>
      </c>
      <c r="H3906" s="1">
        <v>1</v>
      </c>
      <c r="I3906" s="1">
        <v>1</v>
      </c>
      <c r="J3906" s="1">
        <v>1</v>
      </c>
      <c r="K3906" s="1">
        <v>1</v>
      </c>
      <c r="M3906" s="1">
        <v>584</v>
      </c>
      <c r="N3906" s="1">
        <v>364.75</v>
      </c>
      <c r="O3906" s="1">
        <v>628.13</v>
      </c>
      <c r="P3906" s="1">
        <v>263.416666666666</v>
      </c>
      <c r="Q3906" s="1" t="s">
        <v>42</v>
      </c>
      <c r="S3906" s="1" t="s">
        <v>42</v>
      </c>
      <c r="T3906" s="1" t="s">
        <v>273</v>
      </c>
      <c r="U3906" s="1">
        <v>112</v>
      </c>
      <c r="V3906" s="5">
        <v>43673</v>
      </c>
      <c r="W3906" s="5">
        <v>42381</v>
      </c>
      <c r="X3906" s="1">
        <v>482000</v>
      </c>
      <c r="Y3906" s="1">
        <v>482000</v>
      </c>
      <c r="Z3906" s="5">
        <v>42493</v>
      </c>
      <c r="AA3906" s="1">
        <v>488748</v>
      </c>
      <c r="AB3906" s="1" t="s">
        <v>2653</v>
      </c>
      <c r="AC3906" s="5">
        <v>42572</v>
      </c>
      <c r="AF3906" s="1">
        <v>10039</v>
      </c>
      <c r="AJ3906" s="1">
        <v>1921</v>
      </c>
      <c r="AK3906" s="1" t="s">
        <v>143</v>
      </c>
      <c r="AL3906" s="1">
        <v>84</v>
      </c>
    </row>
    <row r="3907" spans="1:38" x14ac:dyDescent="0.2">
      <c r="A3907" s="2" t="str">
        <f>HYPERLINK("https://www.compass.com/listing/305-west-150th-street-unit-508-manhattan-ny-10039/29434125077214609/","305 W 150th St, Unit 508")</f>
        <v>305 W 150th St, Unit 508</v>
      </c>
      <c r="B3907" s="2" t="str">
        <f t="shared" si="654"/>
        <v>305 W 150th St</v>
      </c>
      <c r="C3907" s="1" t="s">
        <v>85</v>
      </c>
      <c r="D3907" s="1" t="s">
        <v>41</v>
      </c>
      <c r="E3907" s="3">
        <v>488748</v>
      </c>
      <c r="F3907" s="1">
        <v>828.38644067796599</v>
      </c>
      <c r="G3907" s="1">
        <v>3</v>
      </c>
      <c r="H3907" s="1">
        <v>1</v>
      </c>
      <c r="I3907" s="1">
        <v>1</v>
      </c>
      <c r="M3907" s="1">
        <v>590</v>
      </c>
      <c r="N3907" s="1">
        <v>355</v>
      </c>
      <c r="O3907" s="1">
        <v>611</v>
      </c>
      <c r="P3907" s="1">
        <v>256</v>
      </c>
      <c r="Q3907" s="1" t="s">
        <v>42</v>
      </c>
      <c r="S3907" s="1" t="s">
        <v>42</v>
      </c>
      <c r="T3907" s="1" t="s">
        <v>273</v>
      </c>
      <c r="U3907" s="1">
        <v>359</v>
      </c>
      <c r="V3907" s="5">
        <v>43693</v>
      </c>
      <c r="W3907" s="5">
        <v>42193</v>
      </c>
      <c r="X3907" s="1">
        <v>477000</v>
      </c>
      <c r="Y3907" s="1">
        <v>482000</v>
      </c>
      <c r="Z3907" s="5">
        <v>42552</v>
      </c>
      <c r="AA3907" s="1">
        <v>488748</v>
      </c>
      <c r="AB3907" s="1" t="s">
        <v>2652</v>
      </c>
      <c r="AC3907" s="5">
        <v>42601</v>
      </c>
      <c r="AF3907" s="1">
        <v>10039</v>
      </c>
      <c r="AJ3907" s="1">
        <v>1921</v>
      </c>
      <c r="AK3907" s="1" t="s">
        <v>146</v>
      </c>
      <c r="AL3907" s="1">
        <v>84</v>
      </c>
    </row>
    <row r="3908" spans="1:38" x14ac:dyDescent="0.2">
      <c r="A3908" s="2" t="str">
        <f>HYPERLINK("https://www.compass.com/listing/305-west-150th-street-unit-205-manhattan-ny-10039/29434105473029681/","305 W 150th St, Unit 205")</f>
        <v>305 W 150th St, Unit 205</v>
      </c>
      <c r="B3908" s="2" t="str">
        <f t="shared" si="654"/>
        <v>305 W 150th St</v>
      </c>
      <c r="C3908" s="1" t="s">
        <v>85</v>
      </c>
      <c r="D3908" s="1" t="s">
        <v>41</v>
      </c>
      <c r="E3908" s="3">
        <v>485000</v>
      </c>
      <c r="F3908" s="1">
        <v>822.03389830508399</v>
      </c>
      <c r="G3908" s="1">
        <v>3</v>
      </c>
      <c r="H3908" s="1">
        <v>1</v>
      </c>
      <c r="I3908" s="1">
        <v>1</v>
      </c>
      <c r="J3908" s="1">
        <v>1</v>
      </c>
      <c r="K3908" s="1">
        <v>1</v>
      </c>
      <c r="M3908" s="1">
        <v>590</v>
      </c>
      <c r="N3908" s="1">
        <v>381.87</v>
      </c>
      <c r="O3908" s="1">
        <v>739.2</v>
      </c>
      <c r="P3908" s="1">
        <v>357.33333333333297</v>
      </c>
      <c r="Q3908" s="1" t="s">
        <v>42</v>
      </c>
      <c r="S3908" s="1" t="s">
        <v>42</v>
      </c>
      <c r="T3908" s="1" t="s">
        <v>273</v>
      </c>
      <c r="U3908" s="1">
        <v>104</v>
      </c>
      <c r="V3908" s="5">
        <v>43643</v>
      </c>
      <c r="W3908" s="5">
        <v>42938</v>
      </c>
      <c r="X3908" s="1">
        <v>485000</v>
      </c>
      <c r="Y3908" s="1">
        <v>485000</v>
      </c>
      <c r="Z3908" s="5">
        <v>43158</v>
      </c>
      <c r="AA3908" s="1">
        <v>485000</v>
      </c>
      <c r="AB3908" s="1" t="s">
        <v>2654</v>
      </c>
      <c r="AC3908" s="5">
        <v>43206</v>
      </c>
      <c r="AF3908" s="1">
        <v>10039</v>
      </c>
      <c r="AI3908" s="1" t="s">
        <v>54</v>
      </c>
      <c r="AJ3908" s="1">
        <v>1921</v>
      </c>
      <c r="AK3908" s="1" t="s">
        <v>143</v>
      </c>
      <c r="AL3908" s="1">
        <v>84</v>
      </c>
    </row>
    <row r="3909" spans="1:38" x14ac:dyDescent="0.2">
      <c r="A3909" s="2" t="str">
        <f>HYPERLINK("https://www.compass.com/listing/305-west-150th-street-unit-503-manhattan-ny-10039/29434122711619425/","305 W 150th St, Unit 503")</f>
        <v>305 W 150th St, Unit 503</v>
      </c>
      <c r="B3909" s="2" t="str">
        <f t="shared" si="654"/>
        <v>305 W 150th St</v>
      </c>
      <c r="C3909" s="1" t="s">
        <v>85</v>
      </c>
      <c r="D3909" s="1" t="s">
        <v>41</v>
      </c>
      <c r="E3909" s="3">
        <v>514216</v>
      </c>
      <c r="F3909" s="1">
        <v>865.68350168350105</v>
      </c>
      <c r="G3909" s="1">
        <v>3</v>
      </c>
      <c r="H3909" s="1">
        <v>1</v>
      </c>
      <c r="I3909" s="1">
        <v>1</v>
      </c>
      <c r="J3909" s="1">
        <v>1</v>
      </c>
      <c r="K3909" s="1">
        <v>1</v>
      </c>
      <c r="M3909" s="1">
        <v>594</v>
      </c>
      <c r="N3909" s="1">
        <v>361.24</v>
      </c>
      <c r="O3909" s="1">
        <v>622.99</v>
      </c>
      <c r="P3909" s="1">
        <v>261.75</v>
      </c>
      <c r="Q3909" s="1" t="s">
        <v>42</v>
      </c>
      <c r="S3909" s="1" t="s">
        <v>42</v>
      </c>
      <c r="T3909" s="1" t="s">
        <v>273</v>
      </c>
      <c r="U3909" s="1">
        <v>31</v>
      </c>
      <c r="V3909" s="5">
        <v>43649</v>
      </c>
      <c r="W3909" s="5">
        <v>42938</v>
      </c>
      <c r="X3909" s="1">
        <v>505000</v>
      </c>
      <c r="Y3909" s="1">
        <v>505000</v>
      </c>
      <c r="Z3909" s="5">
        <v>42969</v>
      </c>
      <c r="AA3909" s="1">
        <v>514216</v>
      </c>
      <c r="AB3909" s="1" t="s">
        <v>2655</v>
      </c>
      <c r="AC3909" s="5">
        <v>43020</v>
      </c>
      <c r="AF3909" s="1">
        <v>10039</v>
      </c>
      <c r="AJ3909" s="1">
        <v>1921</v>
      </c>
      <c r="AK3909" s="1" t="s">
        <v>73</v>
      </c>
      <c r="AL3909" s="1">
        <v>84</v>
      </c>
    </row>
    <row r="3910" spans="1:38" x14ac:dyDescent="0.2">
      <c r="A3910" s="2" t="str">
        <f>HYPERLINK("https://www.compass.com/listing/305-west-150th-street-unit-602-manhattan-ny-10039/29434128365549009/","305 W 150th St, Unit 602")</f>
        <v>305 W 150th St, Unit 602</v>
      </c>
      <c r="B3910" s="2" t="str">
        <f t="shared" si="654"/>
        <v>305 W 150th St</v>
      </c>
      <c r="C3910" s="1" t="s">
        <v>85</v>
      </c>
      <c r="D3910" s="1" t="s">
        <v>41</v>
      </c>
      <c r="E3910" s="3">
        <v>525000</v>
      </c>
      <c r="F3910" s="1">
        <v>894.37819420783603</v>
      </c>
      <c r="G3910" s="1">
        <v>3</v>
      </c>
      <c r="H3910" s="1">
        <v>1</v>
      </c>
      <c r="I3910" s="1">
        <v>1</v>
      </c>
      <c r="J3910" s="1">
        <v>1</v>
      </c>
      <c r="K3910" s="1">
        <v>1</v>
      </c>
      <c r="M3910" s="1">
        <v>587</v>
      </c>
      <c r="N3910" s="1">
        <v>361.75</v>
      </c>
      <c r="O3910" s="1">
        <v>595.80999999999995</v>
      </c>
      <c r="P3910" s="1">
        <v>234.083333333333</v>
      </c>
      <c r="Q3910" s="1" t="s">
        <v>100</v>
      </c>
      <c r="S3910" s="1" t="s">
        <v>100</v>
      </c>
      <c r="T3910" s="1" t="s">
        <v>273</v>
      </c>
      <c r="U3910" s="1">
        <v>14</v>
      </c>
      <c r="V3910" s="5">
        <v>43649</v>
      </c>
      <c r="W3910" s="5">
        <v>43006</v>
      </c>
      <c r="X3910" s="1">
        <v>525000</v>
      </c>
      <c r="Y3910" s="1">
        <v>525000</v>
      </c>
      <c r="Z3910" s="5">
        <v>43020</v>
      </c>
      <c r="AA3910" s="1">
        <v>525000</v>
      </c>
      <c r="AB3910" s="1" t="s">
        <v>2656</v>
      </c>
      <c r="AC3910" s="5">
        <v>43052</v>
      </c>
      <c r="AF3910" s="1">
        <v>10039</v>
      </c>
      <c r="AI3910" s="1" t="s">
        <v>80</v>
      </c>
      <c r="AJ3910" s="1">
        <v>1921</v>
      </c>
      <c r="AK3910" s="1" t="s">
        <v>73</v>
      </c>
      <c r="AL3910" s="1">
        <v>84</v>
      </c>
    </row>
    <row r="3911" spans="1:38" x14ac:dyDescent="0.2">
      <c r="A3911" s="2" t="str">
        <f>HYPERLINK("https://www.compass.com/listing/305-west-150th-street-unit-608-manhattan-ny-10039/29434130823411201/","305 W 150th St, Unit 608")</f>
        <v>305 W 150th St, Unit 608</v>
      </c>
      <c r="B3911" s="2" t="str">
        <f t="shared" si="654"/>
        <v>305 W 150th St</v>
      </c>
      <c r="C3911" s="1" t="s">
        <v>85</v>
      </c>
      <c r="D3911" s="1" t="s">
        <v>41</v>
      </c>
      <c r="E3911" s="3">
        <v>503958</v>
      </c>
      <c r="F3911" s="1">
        <v>854.16610169491503</v>
      </c>
      <c r="G3911" s="1">
        <v>4</v>
      </c>
      <c r="H3911" s="1">
        <v>1</v>
      </c>
      <c r="I3911" s="1">
        <v>1</v>
      </c>
      <c r="J3911" s="1">
        <v>1</v>
      </c>
      <c r="K3911" s="1">
        <v>1</v>
      </c>
      <c r="M3911" s="1">
        <v>590</v>
      </c>
      <c r="N3911" s="1">
        <v>361.75</v>
      </c>
      <c r="O3911" s="1">
        <v>622.99</v>
      </c>
      <c r="P3911" s="1">
        <v>261.25</v>
      </c>
      <c r="Q3911" s="1" t="s">
        <v>42</v>
      </c>
      <c r="S3911" s="1" t="s">
        <v>42</v>
      </c>
      <c r="T3911" s="1" t="s">
        <v>273</v>
      </c>
      <c r="U3911" s="1">
        <v>19</v>
      </c>
      <c r="V3911" s="5">
        <v>43650</v>
      </c>
      <c r="W3911" s="5">
        <v>42985</v>
      </c>
      <c r="X3911" s="1">
        <v>497000</v>
      </c>
      <c r="Y3911" s="1">
        <v>497000</v>
      </c>
      <c r="Z3911" s="5">
        <v>43004</v>
      </c>
      <c r="AA3911" s="1">
        <v>503958</v>
      </c>
      <c r="AB3911" s="1" t="s">
        <v>2657</v>
      </c>
      <c r="AC3911" s="5">
        <v>43090</v>
      </c>
      <c r="AF3911" s="1">
        <v>10039</v>
      </c>
      <c r="AI3911" s="1" t="s">
        <v>80</v>
      </c>
      <c r="AJ3911" s="1">
        <v>1921</v>
      </c>
      <c r="AK3911" s="1" t="s">
        <v>73</v>
      </c>
      <c r="AL3911" s="1">
        <v>84</v>
      </c>
    </row>
    <row r="3912" spans="1:38" x14ac:dyDescent="0.2">
      <c r="A3912" s="2" t="str">
        <f>HYPERLINK("https://www.compass.com/listing/305-west-150th-street-unit-611-manhattan-ny-10039/29434132106868241/","305 W 150th St, Unit 611")</f>
        <v>305 W 150th St, Unit 611</v>
      </c>
      <c r="B3912" s="2" t="str">
        <f t="shared" si="654"/>
        <v>305 W 150th St</v>
      </c>
      <c r="C3912" s="1" t="s">
        <v>85</v>
      </c>
      <c r="D3912" s="1" t="s">
        <v>41</v>
      </c>
      <c r="E3912" s="3">
        <v>501930</v>
      </c>
      <c r="F3912" s="1">
        <v>837.94657762938198</v>
      </c>
      <c r="G3912" s="1">
        <v>3</v>
      </c>
      <c r="H3912" s="1">
        <v>1</v>
      </c>
      <c r="I3912" s="1">
        <v>1</v>
      </c>
      <c r="J3912" s="1">
        <v>1</v>
      </c>
      <c r="K3912" s="1">
        <v>1</v>
      </c>
      <c r="M3912" s="1">
        <v>599</v>
      </c>
      <c r="N3912" s="1">
        <v>265.52</v>
      </c>
      <c r="O3912" s="1">
        <v>633.19000000000005</v>
      </c>
      <c r="P3912" s="1">
        <v>367.666666666666</v>
      </c>
      <c r="Q3912" s="1" t="s">
        <v>42</v>
      </c>
      <c r="S3912" s="1" t="s">
        <v>42</v>
      </c>
      <c r="T3912" s="1" t="s">
        <v>273</v>
      </c>
      <c r="U3912" s="1">
        <v>55</v>
      </c>
      <c r="V3912" s="5">
        <v>43649</v>
      </c>
      <c r="W3912" s="5">
        <v>42938</v>
      </c>
      <c r="X3912" s="1">
        <v>495000</v>
      </c>
      <c r="Y3912" s="1">
        <v>495000</v>
      </c>
      <c r="Z3912" s="5">
        <v>42993</v>
      </c>
      <c r="AA3912" s="1">
        <v>501930</v>
      </c>
      <c r="AB3912" s="1" t="s">
        <v>2658</v>
      </c>
      <c r="AC3912" s="5">
        <v>43034</v>
      </c>
      <c r="AF3912" s="1">
        <v>10039</v>
      </c>
      <c r="AI3912" s="1" t="s">
        <v>80</v>
      </c>
      <c r="AJ3912" s="1">
        <v>1921</v>
      </c>
      <c r="AK3912" s="1" t="s">
        <v>73</v>
      </c>
      <c r="AL3912" s="1">
        <v>84</v>
      </c>
    </row>
    <row r="3913" spans="1:38" x14ac:dyDescent="0.2">
      <c r="A3913" s="2" t="str">
        <f>HYPERLINK("https://www.compass.com/listing/305-west-150th-street-unit-707-manhattan-ny-10039/29434135940454481/","305 W 150th St, Unit 707")</f>
        <v>305 W 150th St, Unit 707</v>
      </c>
      <c r="B3913" s="2" t="str">
        <f t="shared" si="654"/>
        <v>305 W 150th St</v>
      </c>
      <c r="C3913" s="1" t="s">
        <v>85</v>
      </c>
      <c r="D3913" s="1" t="s">
        <v>41</v>
      </c>
      <c r="E3913" s="3">
        <v>486720</v>
      </c>
      <c r="F3913" s="1">
        <v>853.89473684210498</v>
      </c>
      <c r="G3913" s="1">
        <v>4</v>
      </c>
      <c r="H3913" s="1">
        <v>1</v>
      </c>
      <c r="I3913" s="1">
        <v>1</v>
      </c>
      <c r="J3913" s="1">
        <v>1</v>
      </c>
      <c r="K3913" s="1">
        <v>1</v>
      </c>
      <c r="M3913" s="1">
        <v>570</v>
      </c>
      <c r="N3913" s="1">
        <v>361.75</v>
      </c>
      <c r="O3913" s="1">
        <v>622.99</v>
      </c>
      <c r="P3913" s="1">
        <v>261.25</v>
      </c>
      <c r="Q3913" s="1" t="s">
        <v>42</v>
      </c>
      <c r="S3913" s="1" t="s">
        <v>42</v>
      </c>
      <c r="T3913" s="1" t="s">
        <v>273</v>
      </c>
      <c r="U3913" s="1">
        <v>42</v>
      </c>
      <c r="V3913" s="5">
        <v>43665</v>
      </c>
      <c r="W3913" s="5">
        <v>42703</v>
      </c>
      <c r="X3913" s="1">
        <v>480000</v>
      </c>
      <c r="Y3913" s="1">
        <v>480000</v>
      </c>
      <c r="Z3913" s="5">
        <v>42745</v>
      </c>
      <c r="AA3913" s="1">
        <v>486720</v>
      </c>
      <c r="AB3913" s="1" t="s">
        <v>2659</v>
      </c>
      <c r="AC3913" s="5">
        <v>42807</v>
      </c>
      <c r="AF3913" s="1">
        <v>10039</v>
      </c>
      <c r="AJ3913" s="1">
        <v>1921</v>
      </c>
      <c r="AK3913" s="1" t="s">
        <v>73</v>
      </c>
      <c r="AL3913" s="1">
        <v>84</v>
      </c>
    </row>
    <row r="3914" spans="1:38" x14ac:dyDescent="0.2">
      <c r="A3914" s="2" t="str">
        <f>HYPERLINK("https://www.compass.com/listing/305-west-150th-street-unit-711-manhattan-ny-10039/29434137618183825/","305 W 150th St, Unit 711")</f>
        <v>305 W 150th St, Unit 711</v>
      </c>
      <c r="B3914" s="2" t="str">
        <f t="shared" si="654"/>
        <v>305 W 150th St</v>
      </c>
      <c r="C3914" s="1" t="s">
        <v>85</v>
      </c>
      <c r="D3914" s="1" t="s">
        <v>41</v>
      </c>
      <c r="E3914" s="3">
        <v>515000</v>
      </c>
      <c r="F3914" s="1">
        <v>859.76627712854702</v>
      </c>
      <c r="G3914" s="1">
        <v>3</v>
      </c>
      <c r="H3914" s="1">
        <v>1</v>
      </c>
      <c r="I3914" s="1">
        <v>1</v>
      </c>
      <c r="J3914" s="1">
        <v>1</v>
      </c>
      <c r="K3914" s="1">
        <v>1</v>
      </c>
      <c r="M3914" s="1">
        <v>599</v>
      </c>
      <c r="N3914" s="1">
        <v>373.67</v>
      </c>
      <c r="O3914" s="1">
        <v>643.66999999999996</v>
      </c>
      <c r="P3914" s="1">
        <v>270</v>
      </c>
      <c r="Q3914" s="1" t="s">
        <v>42</v>
      </c>
      <c r="S3914" s="1" t="s">
        <v>42</v>
      </c>
      <c r="T3914" s="1" t="s">
        <v>273</v>
      </c>
      <c r="U3914" s="1">
        <v>140</v>
      </c>
      <c r="V3914" s="5">
        <v>43649</v>
      </c>
      <c r="W3914" s="5">
        <v>42857</v>
      </c>
      <c r="X3914" s="1">
        <v>515000</v>
      </c>
      <c r="Y3914" s="1">
        <v>515000</v>
      </c>
      <c r="Z3914" s="5">
        <v>42997</v>
      </c>
      <c r="AA3914" s="1">
        <v>515000</v>
      </c>
      <c r="AB3914" s="1" t="s">
        <v>2660</v>
      </c>
      <c r="AC3914" s="5">
        <v>43056</v>
      </c>
      <c r="AF3914" s="1">
        <v>10039</v>
      </c>
      <c r="AI3914" s="1" t="s">
        <v>80</v>
      </c>
      <c r="AJ3914" s="1">
        <v>1921</v>
      </c>
      <c r="AK3914" s="1" t="s">
        <v>73</v>
      </c>
      <c r="AL3914" s="1">
        <v>84</v>
      </c>
    </row>
    <row r="3915" spans="1:38" x14ac:dyDescent="0.2">
      <c r="A3915" s="2" t="str">
        <f>HYPERLINK("https://www.compass.com/listing/305-west-150th-street-unit-712-manhattan-ny-10039/29434138046063937/","305 W 150th St, Unit 712")</f>
        <v>305 W 150th St, Unit 712</v>
      </c>
      <c r="B3915" s="2" t="str">
        <f t="shared" si="654"/>
        <v>305 W 150th St</v>
      </c>
      <c r="C3915" s="1" t="s">
        <v>85</v>
      </c>
      <c r="D3915" s="1" t="s">
        <v>41</v>
      </c>
      <c r="E3915" s="3">
        <v>549855</v>
      </c>
      <c r="F3915" s="1">
        <v>916.42499999999995</v>
      </c>
      <c r="G3915" s="1">
        <v>3</v>
      </c>
      <c r="H3915" s="1">
        <v>1</v>
      </c>
      <c r="I3915" s="1">
        <v>1</v>
      </c>
      <c r="J3915" s="1">
        <v>1</v>
      </c>
      <c r="K3915" s="1">
        <v>1</v>
      </c>
      <c r="M3915" s="1">
        <v>600</v>
      </c>
      <c r="N3915" s="1">
        <v>385.5</v>
      </c>
      <c r="O3915" s="1">
        <v>663.5</v>
      </c>
      <c r="P3915" s="1">
        <v>278</v>
      </c>
      <c r="Q3915" s="1" t="s">
        <v>42</v>
      </c>
      <c r="S3915" s="1" t="s">
        <v>42</v>
      </c>
      <c r="T3915" s="1" t="s">
        <v>273</v>
      </c>
      <c r="U3915" s="1">
        <v>51</v>
      </c>
      <c r="V3915" s="5">
        <v>43650</v>
      </c>
      <c r="W3915" s="5">
        <v>42857</v>
      </c>
      <c r="X3915" s="1">
        <v>540000</v>
      </c>
      <c r="Y3915" s="1">
        <v>540000</v>
      </c>
      <c r="Z3915" s="5">
        <v>42908</v>
      </c>
      <c r="AA3915" s="1">
        <v>549855</v>
      </c>
      <c r="AB3915" s="1" t="s">
        <v>2661</v>
      </c>
      <c r="AC3915" s="5">
        <v>42969</v>
      </c>
      <c r="AF3915" s="1">
        <v>10039</v>
      </c>
      <c r="AJ3915" s="1">
        <v>1921</v>
      </c>
      <c r="AK3915" s="1" t="s">
        <v>73</v>
      </c>
      <c r="AL3915" s="1">
        <v>84</v>
      </c>
    </row>
    <row r="3916" spans="1:38" x14ac:dyDescent="0.2">
      <c r="A3916" s="2" t="str">
        <f>HYPERLINK("https://www.compass.com/listing/305-west-150th-street-unit-504-manhattan-ny-10039/44723253549224897/","305 W 150th St, Unit 504")</f>
        <v>305 W 150th St, Unit 504</v>
      </c>
      <c r="B3916" s="2" t="str">
        <f t="shared" si="654"/>
        <v>305 W 150th St</v>
      </c>
      <c r="C3916" s="1" t="s">
        <v>85</v>
      </c>
      <c r="D3916" s="1" t="s">
        <v>41</v>
      </c>
      <c r="E3916" s="3">
        <v>510000</v>
      </c>
      <c r="F3916" s="1">
        <v>858.58585858585798</v>
      </c>
      <c r="G3916" s="1">
        <v>3</v>
      </c>
      <c r="H3916" s="1">
        <v>1</v>
      </c>
      <c r="I3916" s="1">
        <v>1</v>
      </c>
      <c r="J3916" s="1">
        <v>1</v>
      </c>
      <c r="K3916" s="1">
        <v>1</v>
      </c>
      <c r="M3916" s="1">
        <v>594</v>
      </c>
      <c r="N3916" s="1">
        <v>398.19</v>
      </c>
      <c r="O3916" s="1">
        <v>832.61</v>
      </c>
      <c r="P3916" s="1">
        <v>434.416666666666</v>
      </c>
      <c r="Q3916" s="1" t="s">
        <v>42</v>
      </c>
      <c r="S3916" s="1" t="s">
        <v>42</v>
      </c>
      <c r="T3916" s="1" t="s">
        <v>273</v>
      </c>
      <c r="U3916" s="1">
        <v>19</v>
      </c>
      <c r="V3916" s="5">
        <v>43649</v>
      </c>
      <c r="W3916" s="5">
        <v>43314</v>
      </c>
      <c r="X3916" s="1">
        <v>513500</v>
      </c>
      <c r="Y3916" s="1">
        <v>513500</v>
      </c>
      <c r="Z3916" s="5">
        <v>43333</v>
      </c>
      <c r="AA3916" s="1">
        <v>510000</v>
      </c>
      <c r="AB3916" s="1" t="s">
        <v>2662</v>
      </c>
      <c r="AC3916" s="5">
        <v>43377</v>
      </c>
      <c r="AF3916" s="1">
        <v>10039</v>
      </c>
      <c r="AI3916" s="1" t="s">
        <v>80</v>
      </c>
      <c r="AJ3916" s="1">
        <v>1921</v>
      </c>
      <c r="AK3916" s="1" t="s">
        <v>73</v>
      </c>
      <c r="AL3916" s="1">
        <v>84</v>
      </c>
    </row>
    <row r="3917" spans="1:38" x14ac:dyDescent="0.2">
      <c r="A3917" s="2" t="str">
        <f>HYPERLINK("https://www.compass.com/listing/305-west-150th-street-unit-405-manhattan-ny-10039/608678364752056073/","305 W 150th St, Unit 405")</f>
        <v>305 W 150th St, Unit 405</v>
      </c>
      <c r="B3917" s="2" t="str">
        <f t="shared" si="654"/>
        <v>305 W 150th St</v>
      </c>
      <c r="C3917" s="1" t="s">
        <v>85</v>
      </c>
      <c r="D3917" s="1" t="s">
        <v>41</v>
      </c>
      <c r="E3917" s="3">
        <v>450000</v>
      </c>
      <c r="F3917" s="1">
        <v>762.711864406779</v>
      </c>
      <c r="G3917" s="1">
        <v>3</v>
      </c>
      <c r="H3917" s="1">
        <v>1</v>
      </c>
      <c r="I3917" s="1">
        <v>1</v>
      </c>
      <c r="J3917" s="1">
        <v>1</v>
      </c>
      <c r="K3917" s="1">
        <v>1</v>
      </c>
      <c r="M3917" s="1">
        <v>590</v>
      </c>
      <c r="N3917" s="1">
        <v>432</v>
      </c>
      <c r="O3917" s="1">
        <v>868</v>
      </c>
      <c r="P3917" s="1">
        <v>436</v>
      </c>
      <c r="Q3917" s="1" t="s">
        <v>42</v>
      </c>
      <c r="S3917" s="1" t="s">
        <v>42</v>
      </c>
      <c r="T3917" s="1" t="s">
        <v>273</v>
      </c>
      <c r="U3917" s="1">
        <v>162</v>
      </c>
      <c r="V3917" s="5">
        <v>44363</v>
      </c>
      <c r="W3917" s="5">
        <v>44090</v>
      </c>
      <c r="X3917" s="1">
        <v>475000</v>
      </c>
      <c r="Y3917" s="1">
        <v>475000</v>
      </c>
      <c r="Z3917" s="5">
        <v>44260</v>
      </c>
      <c r="AA3917" s="1">
        <v>450000</v>
      </c>
      <c r="AB3917" s="1" t="s">
        <v>275</v>
      </c>
      <c r="AC3917" s="5">
        <v>44337</v>
      </c>
      <c r="AF3917" s="1">
        <v>10039</v>
      </c>
      <c r="AI3917" s="1" t="s">
        <v>54</v>
      </c>
      <c r="AJ3917" s="1">
        <v>1921</v>
      </c>
      <c r="AK3917" s="1" t="s">
        <v>73</v>
      </c>
      <c r="AL3917" s="1">
        <v>84</v>
      </c>
    </row>
    <row r="3918" spans="1:38" x14ac:dyDescent="0.2">
      <c r="A3918" s="2" t="str">
        <f>HYPERLINK("https://www.compass.com/listing/505-513-west-43rd-street-unit-pha-manhattan-ny-10036/268065446178078065/","505-513 W 43rd St, Unit PHA")</f>
        <v>505-513 W 43rd St, Unit PHA</v>
      </c>
      <c r="B3918" s="2" t="str">
        <f>HYPERLINK("https://www.compass.com/building/charlie-west-manhattan-ny/292918554372621509/","Charlie West")</f>
        <v>Charlie West</v>
      </c>
      <c r="C3918" s="1" t="s">
        <v>90</v>
      </c>
      <c r="D3918" s="1" t="s">
        <v>41</v>
      </c>
      <c r="E3918" s="3">
        <v>4550000</v>
      </c>
      <c r="F3918" s="1">
        <v>1981.7073170731701</v>
      </c>
      <c r="G3918" s="1">
        <v>6</v>
      </c>
      <c r="H3918" s="1">
        <v>3</v>
      </c>
      <c r="I3918" s="1">
        <v>3</v>
      </c>
      <c r="J3918" s="1">
        <v>2.5</v>
      </c>
      <c r="K3918" s="1">
        <v>2</v>
      </c>
      <c r="L3918" s="1">
        <v>1</v>
      </c>
      <c r="M3918" s="4">
        <v>2296</v>
      </c>
      <c r="N3918" s="1">
        <v>2507.87</v>
      </c>
      <c r="O3918" s="1">
        <v>4629.32</v>
      </c>
      <c r="P3918" s="1">
        <v>2121.4166666666601</v>
      </c>
      <c r="Q3918" s="1" t="s">
        <v>42</v>
      </c>
      <c r="S3918" s="1" t="s">
        <v>42</v>
      </c>
      <c r="T3918" s="1" t="s">
        <v>273</v>
      </c>
      <c r="U3918" s="1">
        <v>68</v>
      </c>
      <c r="V3918" s="5">
        <v>43851</v>
      </c>
      <c r="W3918" s="5">
        <v>43621</v>
      </c>
      <c r="X3918" s="1">
        <v>5050000</v>
      </c>
      <c r="Y3918" s="1">
        <v>5050000</v>
      </c>
      <c r="Z3918" s="5">
        <v>43690</v>
      </c>
      <c r="AA3918" s="1">
        <v>4550000</v>
      </c>
      <c r="AB3918" s="1" t="s">
        <v>2663</v>
      </c>
      <c r="AC3918" s="5">
        <v>43847</v>
      </c>
      <c r="AF3918" s="1">
        <v>10036</v>
      </c>
      <c r="AI3918" s="1" t="s">
        <v>2664</v>
      </c>
      <c r="AJ3918" s="1">
        <v>2019</v>
      </c>
      <c r="AK3918" s="1" t="s">
        <v>46</v>
      </c>
      <c r="AL3918" s="1">
        <v>123</v>
      </c>
    </row>
    <row r="3919" spans="1:38" x14ac:dyDescent="0.2">
      <c r="A3919" s="2" t="str">
        <f>HYPERLINK("https://www.compass.com/listing/305-west-150th-street-unit-509-manhattan-ny-10039/29434125530260593/","305 W 150th St, Unit 509")</f>
        <v>305 W 150th St, Unit 509</v>
      </c>
      <c r="B3919" s="2" t="str">
        <f t="shared" ref="B3919:B3927" si="655">HYPERLINK("https://www.compass.com/building/305-w-150th-st-manhattan-ny-10039/282032234968400245/","305 W 150th St")</f>
        <v>305 W 150th St</v>
      </c>
      <c r="C3919" s="1" t="s">
        <v>85</v>
      </c>
      <c r="D3919" s="1" t="s">
        <v>41</v>
      </c>
      <c r="E3919" s="3">
        <v>484692</v>
      </c>
      <c r="F3919" s="1">
        <v>827.11945392491396</v>
      </c>
      <c r="G3919" s="1">
        <v>4</v>
      </c>
      <c r="H3919" s="1">
        <v>1</v>
      </c>
      <c r="I3919" s="1">
        <v>1</v>
      </c>
      <c r="J3919" s="1">
        <v>1</v>
      </c>
      <c r="K3919" s="1">
        <v>1</v>
      </c>
      <c r="M3919" s="1">
        <v>586</v>
      </c>
      <c r="N3919" s="1">
        <v>352.92</v>
      </c>
      <c r="O3919" s="1">
        <v>607.74</v>
      </c>
      <c r="P3919" s="1">
        <v>254.833333333333</v>
      </c>
      <c r="Q3919" s="1" t="s">
        <v>42</v>
      </c>
      <c r="S3919" s="1" t="s">
        <v>42</v>
      </c>
      <c r="T3919" s="1" t="s">
        <v>273</v>
      </c>
      <c r="U3919" s="1">
        <v>51</v>
      </c>
      <c r="V3919" s="5">
        <v>43673</v>
      </c>
      <c r="W3919" s="5">
        <v>42703</v>
      </c>
      <c r="X3919" s="1">
        <v>478000</v>
      </c>
      <c r="Y3919" s="1">
        <v>478000</v>
      </c>
      <c r="Z3919" s="5">
        <v>42754</v>
      </c>
      <c r="AA3919" s="1">
        <v>484692</v>
      </c>
      <c r="AB3919" s="1" t="s">
        <v>2665</v>
      </c>
      <c r="AC3919" s="5">
        <v>42830</v>
      </c>
      <c r="AF3919" s="1">
        <v>10039</v>
      </c>
      <c r="AJ3919" s="1">
        <v>1921</v>
      </c>
      <c r="AK3919" s="1" t="s">
        <v>73</v>
      </c>
      <c r="AL3919" s="1">
        <v>84</v>
      </c>
    </row>
    <row r="3920" spans="1:38" x14ac:dyDescent="0.2">
      <c r="A3920" s="2" t="str">
        <f>HYPERLINK("https://www.compass.com/listing/305-west-150th-street-unit-606-manhattan-ny-10039/29434130009777345/","305 W 150th St, Unit 606")</f>
        <v>305 W 150th St, Unit 606</v>
      </c>
      <c r="B3920" s="2" t="str">
        <f t="shared" si="655"/>
        <v>305 W 150th St</v>
      </c>
      <c r="C3920" s="1" t="s">
        <v>85</v>
      </c>
      <c r="D3920" s="1" t="s">
        <v>41</v>
      </c>
      <c r="E3920" s="3">
        <v>481775</v>
      </c>
      <c r="F3920" s="1">
        <v>849.691358024691</v>
      </c>
      <c r="G3920" s="1">
        <v>3</v>
      </c>
      <c r="H3920" s="1">
        <v>1</v>
      </c>
      <c r="I3920" s="1">
        <v>1</v>
      </c>
      <c r="J3920" s="1">
        <v>1</v>
      </c>
      <c r="K3920" s="1">
        <v>1</v>
      </c>
      <c r="M3920" s="1">
        <v>567</v>
      </c>
      <c r="N3920" s="1">
        <v>352.92</v>
      </c>
      <c r="O3920" s="1">
        <v>581.22</v>
      </c>
      <c r="P3920" s="1">
        <v>228.333333333333</v>
      </c>
      <c r="Q3920" s="1" t="s">
        <v>100</v>
      </c>
      <c r="S3920" s="1" t="s">
        <v>100</v>
      </c>
      <c r="T3920" s="1" t="s">
        <v>273</v>
      </c>
      <c r="U3920" s="1">
        <v>4</v>
      </c>
      <c r="V3920" s="5">
        <v>43673</v>
      </c>
      <c r="W3920" s="5">
        <v>42627</v>
      </c>
      <c r="X3920" s="1">
        <v>475000</v>
      </c>
      <c r="Y3920" s="1">
        <v>475000</v>
      </c>
      <c r="Z3920" s="5">
        <v>42631</v>
      </c>
      <c r="AA3920" s="1">
        <v>481775</v>
      </c>
      <c r="AB3920" s="1" t="s">
        <v>2666</v>
      </c>
      <c r="AC3920" s="5">
        <v>42661</v>
      </c>
      <c r="AF3920" s="1">
        <v>10039</v>
      </c>
      <c r="AJ3920" s="1">
        <v>1921</v>
      </c>
      <c r="AK3920" s="1" t="s">
        <v>73</v>
      </c>
      <c r="AL3920" s="1">
        <v>84</v>
      </c>
    </row>
    <row r="3921" spans="1:38" x14ac:dyDescent="0.2">
      <c r="A3921" s="2" t="str">
        <f>HYPERLINK("https://www.compass.com/listing/305-west-150th-street-unit-101-manhattan-ny-10039/26126373043088497/","305 W 150th St, Unit 101")</f>
        <v>305 W 150th St, Unit 101</v>
      </c>
      <c r="B3921" s="2" t="str">
        <f t="shared" si="655"/>
        <v>305 W 150th St</v>
      </c>
      <c r="C3921" s="1" t="s">
        <v>85</v>
      </c>
      <c r="D3921" s="1" t="s">
        <v>41</v>
      </c>
      <c r="E3921" s="3">
        <v>385000</v>
      </c>
      <c r="F3921" s="1">
        <v>667.24436741767704</v>
      </c>
      <c r="G3921" s="1">
        <v>3</v>
      </c>
      <c r="H3921" s="1">
        <v>1</v>
      </c>
      <c r="I3921" s="1">
        <v>1</v>
      </c>
      <c r="J3921" s="1">
        <v>1</v>
      </c>
      <c r="K3921" s="1">
        <v>1</v>
      </c>
      <c r="M3921" s="1">
        <v>577</v>
      </c>
      <c r="N3921" s="1">
        <v>398.83</v>
      </c>
      <c r="O3921" s="1">
        <v>801.42</v>
      </c>
      <c r="P3921" s="1">
        <v>402.58333333333297</v>
      </c>
      <c r="Q3921" s="1" t="s">
        <v>42</v>
      </c>
      <c r="S3921" s="1" t="s">
        <v>42</v>
      </c>
      <c r="T3921" s="1" t="s">
        <v>273</v>
      </c>
      <c r="U3921" s="1">
        <v>455</v>
      </c>
      <c r="V3921" s="5">
        <v>43780</v>
      </c>
      <c r="W3921" s="5">
        <v>43314</v>
      </c>
      <c r="X3921" s="1">
        <v>499000</v>
      </c>
      <c r="Y3921" s="1">
        <v>475000</v>
      </c>
      <c r="AA3921" s="1">
        <v>385000</v>
      </c>
      <c r="AB3921" s="1" t="s">
        <v>2667</v>
      </c>
      <c r="AC3921" s="5">
        <v>43770</v>
      </c>
      <c r="AF3921" s="1">
        <v>10039</v>
      </c>
      <c r="AI3921" s="1" t="s">
        <v>80</v>
      </c>
      <c r="AJ3921" s="1">
        <v>1921</v>
      </c>
      <c r="AK3921" s="1" t="s">
        <v>143</v>
      </c>
      <c r="AL3921" s="1">
        <v>84</v>
      </c>
    </row>
    <row r="3922" spans="1:38" x14ac:dyDescent="0.2">
      <c r="A3922" s="2" t="str">
        <f>HYPERLINK("https://www.compass.com/listing/305-west-150th-street-unit-103-manhattan-ny-10039/29513373850880753/","305 W 150th St, Unit 103")</f>
        <v>305 W 150th St, Unit 103</v>
      </c>
      <c r="B3922" s="2" t="str">
        <f t="shared" si="655"/>
        <v>305 W 150th St</v>
      </c>
      <c r="C3922" s="1" t="s">
        <v>85</v>
      </c>
      <c r="D3922" s="1" t="s">
        <v>41</v>
      </c>
      <c r="E3922" s="3">
        <v>410000</v>
      </c>
      <c r="F3922" s="1">
        <v>690.23569023568996</v>
      </c>
      <c r="G3922" s="1">
        <v>3</v>
      </c>
      <c r="H3922" s="1">
        <v>1</v>
      </c>
      <c r="I3922" s="1">
        <v>1</v>
      </c>
      <c r="J3922" s="1">
        <v>1</v>
      </c>
      <c r="K3922" s="1">
        <v>1</v>
      </c>
      <c r="M3922" s="1">
        <v>594</v>
      </c>
      <c r="N3922" s="1">
        <v>405.75</v>
      </c>
      <c r="O3922" s="1">
        <v>815.36</v>
      </c>
      <c r="P3922" s="1">
        <v>409.58333333333297</v>
      </c>
      <c r="Q3922" s="1" t="s">
        <v>100</v>
      </c>
      <c r="S3922" s="1" t="s">
        <v>100</v>
      </c>
      <c r="T3922" s="1" t="s">
        <v>273</v>
      </c>
      <c r="U3922" s="1">
        <v>42</v>
      </c>
      <c r="V3922" s="5">
        <v>43780</v>
      </c>
      <c r="W3922" s="5">
        <v>43664</v>
      </c>
      <c r="X3922" s="1">
        <v>399000</v>
      </c>
      <c r="Y3922" s="1">
        <v>399000</v>
      </c>
      <c r="Z3922" s="5">
        <v>43706</v>
      </c>
      <c r="AA3922" s="1">
        <v>410000</v>
      </c>
      <c r="AB3922" s="1" t="s">
        <v>2668</v>
      </c>
      <c r="AC3922" s="5">
        <v>43770</v>
      </c>
      <c r="AF3922" s="1">
        <v>10039</v>
      </c>
      <c r="AI3922" s="1" t="s">
        <v>80</v>
      </c>
      <c r="AJ3922" s="1">
        <v>1921</v>
      </c>
      <c r="AK3922" s="1" t="s">
        <v>143</v>
      </c>
      <c r="AL3922" s="1">
        <v>84</v>
      </c>
    </row>
    <row r="3923" spans="1:38" x14ac:dyDescent="0.2">
      <c r="A3923" s="2" t="str">
        <f>HYPERLINK("https://www.compass.com/listing/305-west-150th-street-unit-104-manhattan-ny-10039/44798754838147937/","305 W 150th St, Unit 104")</f>
        <v>305 W 150th St, Unit 104</v>
      </c>
      <c r="B3923" s="2" t="str">
        <f t="shared" si="655"/>
        <v>305 W 150th St</v>
      </c>
      <c r="C3923" s="1" t="s">
        <v>85</v>
      </c>
      <c r="D3923" s="1" t="s">
        <v>41</v>
      </c>
      <c r="E3923" s="3">
        <v>399000</v>
      </c>
      <c r="F3923" s="1">
        <v>671.71717171717103</v>
      </c>
      <c r="G3923" s="1">
        <v>3</v>
      </c>
      <c r="H3923" s="1">
        <v>1</v>
      </c>
      <c r="I3923" s="1">
        <v>1</v>
      </c>
      <c r="J3923" s="1">
        <v>1</v>
      </c>
      <c r="K3923" s="1">
        <v>1</v>
      </c>
      <c r="M3923" s="1">
        <v>594</v>
      </c>
      <c r="N3923" s="1">
        <v>405.75</v>
      </c>
      <c r="O3923" s="1">
        <v>815.36</v>
      </c>
      <c r="P3923" s="1">
        <v>409.58333333333297</v>
      </c>
      <c r="Q3923" s="1" t="s">
        <v>42</v>
      </c>
      <c r="S3923" s="1" t="s">
        <v>42</v>
      </c>
      <c r="T3923" s="1" t="s">
        <v>273</v>
      </c>
      <c r="U3923" s="1">
        <v>392</v>
      </c>
      <c r="V3923" s="5">
        <v>43766</v>
      </c>
      <c r="W3923" s="5">
        <v>43314</v>
      </c>
      <c r="X3923" s="1">
        <v>495000</v>
      </c>
      <c r="Y3923" s="1">
        <v>399000</v>
      </c>
      <c r="Z3923" s="5">
        <v>43706</v>
      </c>
      <c r="AA3923" s="1">
        <v>399000</v>
      </c>
      <c r="AB3923" s="1" t="s">
        <v>2669</v>
      </c>
      <c r="AC3923" s="5">
        <v>43759</v>
      </c>
      <c r="AF3923" s="1">
        <v>10039</v>
      </c>
      <c r="AI3923" s="1" t="s">
        <v>80</v>
      </c>
      <c r="AJ3923" s="1">
        <v>1921</v>
      </c>
      <c r="AK3923" s="1" t="s">
        <v>143</v>
      </c>
      <c r="AL3923" s="1">
        <v>84</v>
      </c>
    </row>
    <row r="3924" spans="1:38" x14ac:dyDescent="0.2">
      <c r="A3924" s="2" t="str">
        <f>HYPERLINK("https://www.compass.com/listing/305-west-150th-street-unit-411-manhattan-ny-10039/25735219717945937/","305 W 150th St, Unit 411")</f>
        <v>305 W 150th St, Unit 411</v>
      </c>
      <c r="B3924" s="2" t="str">
        <f t="shared" si="655"/>
        <v>305 W 150th St</v>
      </c>
      <c r="C3924" s="1" t="s">
        <v>85</v>
      </c>
      <c r="D3924" s="1" t="s">
        <v>41</v>
      </c>
      <c r="E3924" s="3">
        <v>420000</v>
      </c>
      <c r="F3924" s="1">
        <v>701.16861435726196</v>
      </c>
      <c r="G3924" s="1">
        <v>3</v>
      </c>
      <c r="H3924" s="1">
        <v>1</v>
      </c>
      <c r="I3924" s="1">
        <v>1</v>
      </c>
      <c r="J3924" s="1">
        <v>1</v>
      </c>
      <c r="K3924" s="1">
        <v>1</v>
      </c>
      <c r="M3924" s="1">
        <v>599</v>
      </c>
      <c r="N3924" s="1">
        <v>391.67</v>
      </c>
      <c r="O3924" s="1">
        <v>747.5</v>
      </c>
      <c r="P3924" s="1">
        <v>355.83333333333297</v>
      </c>
      <c r="Q3924" s="1" t="s">
        <v>42</v>
      </c>
      <c r="S3924" s="1" t="s">
        <v>42</v>
      </c>
      <c r="T3924" s="1" t="s">
        <v>273</v>
      </c>
      <c r="U3924" s="1">
        <v>96</v>
      </c>
      <c r="V3924" s="5">
        <v>43643</v>
      </c>
      <c r="W3924" s="5">
        <v>43314</v>
      </c>
      <c r="X3924" s="1">
        <v>499000</v>
      </c>
      <c r="Y3924" s="1">
        <v>450000</v>
      </c>
      <c r="Z3924" s="5">
        <v>43410</v>
      </c>
      <c r="AA3924" s="1">
        <v>420000</v>
      </c>
      <c r="AB3924" s="1" t="s">
        <v>2670</v>
      </c>
      <c r="AC3924" s="5">
        <v>43497</v>
      </c>
      <c r="AF3924" s="1">
        <v>10039</v>
      </c>
      <c r="AI3924" s="1" t="s">
        <v>80</v>
      </c>
      <c r="AJ3924" s="1">
        <v>1921</v>
      </c>
      <c r="AK3924" s="1" t="s">
        <v>73</v>
      </c>
      <c r="AL3924" s="1">
        <v>84</v>
      </c>
    </row>
    <row r="3925" spans="1:38" x14ac:dyDescent="0.2">
      <c r="A3925" s="2" t="str">
        <f>HYPERLINK("https://www.compass.com/listing/305-west-150th-street-unit-303-manhattan-ny-10039/29434110053217457/","305 W 150th St, Unit 303")</f>
        <v>305 W 150th St, Unit 303</v>
      </c>
      <c r="B3925" s="2" t="str">
        <f t="shared" si="655"/>
        <v>305 W 150th St</v>
      </c>
      <c r="C3925" s="1" t="s">
        <v>85</v>
      </c>
      <c r="D3925" s="1" t="s">
        <v>41</v>
      </c>
      <c r="E3925" s="3">
        <v>512000</v>
      </c>
      <c r="F3925" s="1">
        <v>861.95286195286201</v>
      </c>
      <c r="G3925" s="1">
        <v>3</v>
      </c>
      <c r="H3925" s="1">
        <v>1</v>
      </c>
      <c r="I3925" s="1">
        <v>1</v>
      </c>
      <c r="J3925" s="1">
        <v>1</v>
      </c>
      <c r="K3925" s="1">
        <v>1</v>
      </c>
      <c r="M3925" s="1">
        <v>594</v>
      </c>
      <c r="N3925" s="1">
        <v>350</v>
      </c>
      <c r="O3925" s="1">
        <v>638</v>
      </c>
      <c r="P3925" s="1">
        <v>288</v>
      </c>
      <c r="Q3925" s="1" t="s">
        <v>42</v>
      </c>
      <c r="S3925" s="1" t="s">
        <v>42</v>
      </c>
      <c r="T3925" s="1" t="s">
        <v>273</v>
      </c>
      <c r="U3925" s="1">
        <v>88</v>
      </c>
      <c r="V3925" s="5">
        <v>43650</v>
      </c>
      <c r="W3925" s="5">
        <v>42829</v>
      </c>
      <c r="X3925" s="1">
        <v>525000</v>
      </c>
      <c r="Y3925" s="1">
        <v>525000</v>
      </c>
      <c r="Z3925" s="5">
        <v>42959</v>
      </c>
      <c r="AA3925" s="1">
        <v>512000</v>
      </c>
      <c r="AB3925" s="1" t="s">
        <v>275</v>
      </c>
      <c r="AC3925" s="5">
        <v>42991</v>
      </c>
      <c r="AF3925" s="1">
        <v>10039</v>
      </c>
      <c r="AI3925" s="1" t="s">
        <v>177</v>
      </c>
      <c r="AJ3925" s="1">
        <v>1921</v>
      </c>
      <c r="AK3925" s="1" t="s">
        <v>143</v>
      </c>
      <c r="AL3925" s="1">
        <v>84</v>
      </c>
    </row>
    <row r="3926" spans="1:38" x14ac:dyDescent="0.2">
      <c r="A3926" s="2" t="str">
        <f>HYPERLINK("https://www.compass.com/listing/305-west-150th-street-unit-403-manhattan-ny-10039/29434116646655729/","305 W 150th St, Unit 403")</f>
        <v>305 W 150th St, Unit 403</v>
      </c>
      <c r="B3926" s="2" t="str">
        <f t="shared" si="655"/>
        <v>305 W 150th St</v>
      </c>
      <c r="C3926" s="1" t="s">
        <v>85</v>
      </c>
      <c r="D3926" s="1" t="s">
        <v>41</v>
      </c>
      <c r="E3926" s="3">
        <v>519000</v>
      </c>
      <c r="F3926" s="1">
        <v>873.73737373737299</v>
      </c>
      <c r="G3926" s="1">
        <v>3</v>
      </c>
      <c r="H3926" s="1">
        <v>1</v>
      </c>
      <c r="I3926" s="1">
        <v>1</v>
      </c>
      <c r="J3926" s="1">
        <v>1</v>
      </c>
      <c r="K3926" s="1">
        <v>1</v>
      </c>
      <c r="M3926" s="1">
        <v>594</v>
      </c>
      <c r="N3926" s="1">
        <v>360</v>
      </c>
      <c r="O3926" s="1">
        <v>650</v>
      </c>
      <c r="P3926" s="1">
        <v>290</v>
      </c>
      <c r="Q3926" s="1" t="s">
        <v>42</v>
      </c>
      <c r="S3926" s="1" t="s">
        <v>42</v>
      </c>
      <c r="T3926" s="1" t="s">
        <v>273</v>
      </c>
      <c r="U3926" s="1">
        <v>13</v>
      </c>
      <c r="V3926" s="5">
        <v>43636</v>
      </c>
      <c r="W3926" s="5">
        <v>43126</v>
      </c>
      <c r="X3926" s="1">
        <v>519000</v>
      </c>
      <c r="Y3926" s="1">
        <v>519000</v>
      </c>
      <c r="Z3926" s="5">
        <v>43139</v>
      </c>
      <c r="AA3926" s="1">
        <v>519000</v>
      </c>
      <c r="AB3926" s="1" t="s">
        <v>2671</v>
      </c>
      <c r="AC3926" s="5">
        <v>43227</v>
      </c>
      <c r="AF3926" s="1">
        <v>10039</v>
      </c>
      <c r="AI3926" s="1" t="s">
        <v>80</v>
      </c>
      <c r="AJ3926" s="1">
        <v>1921</v>
      </c>
      <c r="AK3926" s="1" t="s">
        <v>143</v>
      </c>
      <c r="AL3926" s="1">
        <v>84</v>
      </c>
    </row>
    <row r="3927" spans="1:38" x14ac:dyDescent="0.2">
      <c r="A3927" s="2" t="str">
        <f>HYPERLINK("https://www.compass.com/listing/305-west-150th-street-unit-312-manhattan-ny-10039/29434113115120577/","305 W 150th St, Unit 312")</f>
        <v>305 W 150th St, Unit 312</v>
      </c>
      <c r="B3927" s="2" t="str">
        <f t="shared" si="655"/>
        <v>305 W 150th St</v>
      </c>
      <c r="C3927" s="1" t="s">
        <v>85</v>
      </c>
      <c r="D3927" s="1" t="s">
        <v>41</v>
      </c>
      <c r="E3927" s="3">
        <v>481650</v>
      </c>
      <c r="F3927" s="1">
        <v>802.75</v>
      </c>
      <c r="G3927" s="1">
        <v>3</v>
      </c>
      <c r="H3927" s="1">
        <v>1</v>
      </c>
      <c r="I3927" s="1">
        <v>1</v>
      </c>
      <c r="J3927" s="1">
        <v>1</v>
      </c>
      <c r="K3927" s="1">
        <v>1</v>
      </c>
      <c r="M3927" s="1">
        <v>600</v>
      </c>
      <c r="N3927" s="1">
        <v>361.75</v>
      </c>
      <c r="O3927" s="1">
        <v>595.80999999999995</v>
      </c>
      <c r="P3927" s="1">
        <v>234.083333333333</v>
      </c>
      <c r="Q3927" s="1" t="s">
        <v>42</v>
      </c>
      <c r="S3927" s="1" t="s">
        <v>42</v>
      </c>
      <c r="T3927" s="1" t="s">
        <v>273</v>
      </c>
      <c r="U3927" s="1">
        <v>1</v>
      </c>
      <c r="V3927" s="5">
        <v>43665</v>
      </c>
      <c r="W3927" s="5">
        <v>42530</v>
      </c>
      <c r="X3927" s="1">
        <v>475000</v>
      </c>
      <c r="Y3927" s="1">
        <v>475000</v>
      </c>
      <c r="Z3927" s="5">
        <v>42531</v>
      </c>
      <c r="AA3927" s="1">
        <v>481650</v>
      </c>
      <c r="AB3927" s="1" t="s">
        <v>2672</v>
      </c>
      <c r="AC3927" s="5">
        <v>42584</v>
      </c>
      <c r="AF3927" s="1">
        <v>10039</v>
      </c>
      <c r="AJ3927" s="1">
        <v>1921</v>
      </c>
      <c r="AK3927" s="1" t="s">
        <v>143</v>
      </c>
      <c r="AL3927" s="1">
        <v>84</v>
      </c>
    </row>
    <row r="3928" spans="1:38" x14ac:dyDescent="0.2">
      <c r="A3928" s="2" t="str">
        <f>HYPERLINK("https://www.compass.com/listing/505-513-west-43rd-street-unit-7m-manhattan-ny-10036/29514246970793889/","505-513 W 43rd St, Unit 7M")</f>
        <v>505-513 W 43rd St, Unit 7M</v>
      </c>
      <c r="B3928" s="2" t="str">
        <f t="shared" ref="B3928:B3930" si="656">HYPERLINK("https://www.compass.com/building/charlie-west-manhattan-ny/292918554372621509/","Charlie West")</f>
        <v>Charlie West</v>
      </c>
      <c r="C3928" s="1" t="s">
        <v>90</v>
      </c>
      <c r="D3928" s="1" t="s">
        <v>41</v>
      </c>
      <c r="E3928" s="3">
        <v>1990678</v>
      </c>
      <c r="F3928" s="1">
        <v>1910.4395393473999</v>
      </c>
      <c r="G3928" s="1">
        <v>5</v>
      </c>
      <c r="H3928" s="1">
        <v>2</v>
      </c>
      <c r="I3928" s="1">
        <v>2</v>
      </c>
      <c r="J3928" s="1">
        <v>2</v>
      </c>
      <c r="K3928" s="1">
        <v>2</v>
      </c>
      <c r="M3928" s="4">
        <v>1042</v>
      </c>
      <c r="N3928" s="1">
        <v>1141</v>
      </c>
      <c r="O3928" s="1">
        <v>2149</v>
      </c>
      <c r="P3928" s="1">
        <v>1008</v>
      </c>
      <c r="Q3928" s="1" t="s">
        <v>249</v>
      </c>
      <c r="S3928" s="1" t="s">
        <v>250</v>
      </c>
      <c r="T3928" s="1" t="s">
        <v>273</v>
      </c>
      <c r="U3928" s="1">
        <v>474</v>
      </c>
      <c r="V3928" s="5">
        <v>44427</v>
      </c>
      <c r="W3928" s="5">
        <v>43244</v>
      </c>
      <c r="X3928" s="1">
        <v>2090000</v>
      </c>
      <c r="Y3928" s="1">
        <v>2090000</v>
      </c>
      <c r="Z3928" s="5">
        <v>43244</v>
      </c>
      <c r="AA3928" s="1">
        <v>1990678</v>
      </c>
      <c r="AB3928" s="1" t="s">
        <v>2673</v>
      </c>
      <c r="AC3928" s="5">
        <v>43718</v>
      </c>
      <c r="AF3928" s="1">
        <v>10036</v>
      </c>
      <c r="AI3928" s="1" t="s">
        <v>183</v>
      </c>
      <c r="AJ3928" s="1">
        <v>2019</v>
      </c>
      <c r="AK3928" s="1" t="s">
        <v>49</v>
      </c>
      <c r="AL3928" s="1">
        <v>123</v>
      </c>
    </row>
    <row r="3929" spans="1:38" x14ac:dyDescent="0.2">
      <c r="A3929" s="2" t="str">
        <f>HYPERLINK("https://www.compass.com/listing/505-513-west-43rd-street-unit-4f-manhattan-ny-10036/29514247281077265/","505-513 W 43rd St, Unit 4F")</f>
        <v>505-513 W 43rd St, Unit 4F</v>
      </c>
      <c r="B3929" s="2" t="str">
        <f t="shared" si="656"/>
        <v>Charlie West</v>
      </c>
      <c r="C3929" s="1" t="s">
        <v>90</v>
      </c>
      <c r="D3929" s="1" t="s">
        <v>41</v>
      </c>
      <c r="E3929" s="3">
        <v>1929584</v>
      </c>
      <c r="F3929" s="1">
        <v>1853.5866954851101</v>
      </c>
      <c r="G3929" s="1">
        <v>5</v>
      </c>
      <c r="H3929" s="1">
        <v>2</v>
      </c>
      <c r="I3929" s="1">
        <v>2</v>
      </c>
      <c r="J3929" s="1">
        <v>2</v>
      </c>
      <c r="K3929" s="1">
        <v>2</v>
      </c>
      <c r="M3929" s="4">
        <v>1041</v>
      </c>
      <c r="N3929" s="1">
        <v>1114</v>
      </c>
      <c r="O3929" s="1">
        <v>2098</v>
      </c>
      <c r="P3929" s="1">
        <v>984</v>
      </c>
      <c r="Q3929" s="1" t="s">
        <v>249</v>
      </c>
      <c r="S3929" s="1" t="s">
        <v>250</v>
      </c>
      <c r="T3929" s="1" t="s">
        <v>273</v>
      </c>
      <c r="V3929" s="5">
        <v>44427</v>
      </c>
      <c r="W3929" s="5">
        <v>43238</v>
      </c>
      <c r="X3929" s="1">
        <v>2065000</v>
      </c>
      <c r="Y3929" s="1">
        <v>2065000</v>
      </c>
      <c r="Z3929" s="5">
        <v>43239</v>
      </c>
      <c r="AA3929" s="1">
        <v>1929583.75</v>
      </c>
      <c r="AB3929" s="1" t="s">
        <v>2674</v>
      </c>
      <c r="AC3929" s="5">
        <v>43819</v>
      </c>
      <c r="AF3929" s="1">
        <v>10036</v>
      </c>
      <c r="AI3929" s="1" t="s">
        <v>183</v>
      </c>
      <c r="AJ3929" s="1">
        <v>2019</v>
      </c>
      <c r="AK3929" s="1" t="s">
        <v>49</v>
      </c>
      <c r="AL3929" s="1">
        <v>123</v>
      </c>
    </row>
    <row r="3930" spans="1:38" x14ac:dyDescent="0.2">
      <c r="A3930" s="2" t="str">
        <f>HYPERLINK("https://www.compass.com/listing/505-513-west-43rd-street-unit-14a-manhattan-ny-10036/582372196226570121/","505-513 W 43rd St, Unit 14A")</f>
        <v>505-513 W 43rd St, Unit 14A</v>
      </c>
      <c r="B3930" s="2" t="str">
        <f t="shared" si="656"/>
        <v>Charlie West</v>
      </c>
      <c r="C3930" s="1" t="s">
        <v>90</v>
      </c>
      <c r="D3930" s="1" t="s">
        <v>41</v>
      </c>
      <c r="E3930" s="3">
        <v>1865000</v>
      </c>
      <c r="F3930" s="1">
        <v>1600.85836909871</v>
      </c>
      <c r="G3930" s="1">
        <v>4</v>
      </c>
      <c r="H3930" s="1">
        <v>2</v>
      </c>
      <c r="I3930" s="1">
        <v>2</v>
      </c>
      <c r="J3930" s="1">
        <v>2</v>
      </c>
      <c r="K3930" s="1">
        <v>2</v>
      </c>
      <c r="M3930" s="4">
        <v>1165</v>
      </c>
      <c r="N3930" s="1">
        <v>1258</v>
      </c>
      <c r="O3930" s="1">
        <v>3746</v>
      </c>
      <c r="Q3930" s="1" t="s">
        <v>2555</v>
      </c>
      <c r="S3930" s="1" t="s">
        <v>2556</v>
      </c>
      <c r="T3930" s="1" t="s">
        <v>273</v>
      </c>
      <c r="V3930" s="5">
        <v>44425</v>
      </c>
      <c r="W3930" s="5">
        <v>44054</v>
      </c>
      <c r="X3930" s="1">
        <v>2310000</v>
      </c>
      <c r="Y3930" s="1">
        <v>2310000</v>
      </c>
      <c r="AA3930" s="1">
        <v>1865000</v>
      </c>
      <c r="AB3930" s="1" t="s">
        <v>2675</v>
      </c>
      <c r="AC3930" s="5">
        <v>44396</v>
      </c>
      <c r="AF3930" s="1">
        <v>10036</v>
      </c>
      <c r="AI3930" s="1" t="s">
        <v>196</v>
      </c>
      <c r="AJ3930" s="1">
        <v>2019</v>
      </c>
      <c r="AK3930" s="1" t="s">
        <v>46</v>
      </c>
      <c r="AL3930" s="1">
        <v>123</v>
      </c>
    </row>
    <row r="3931" spans="1:38" x14ac:dyDescent="0.2">
      <c r="A3931" s="2" t="str">
        <f>HYPERLINK("https://www.compass.com/listing/305-west-150th-street-unit-409-manhattan-ny-10039/29434120681645089/","305 W 150th St, Unit 409")</f>
        <v>305 W 150th St, Unit 409</v>
      </c>
      <c r="B3931" s="2" t="str">
        <f t="shared" ref="B3931:B3932" si="657">HYPERLINK("https://www.compass.com/building/305-w-150th-st-manhattan-ny-10039/282032234968400245/","305 W 150th St")</f>
        <v>305 W 150th St</v>
      </c>
      <c r="C3931" s="1" t="s">
        <v>85</v>
      </c>
      <c r="D3931" s="1" t="s">
        <v>41</v>
      </c>
      <c r="E3931" s="3">
        <v>481650</v>
      </c>
      <c r="F3931" s="1">
        <v>821.92832764505101</v>
      </c>
      <c r="G3931" s="1">
        <v>3</v>
      </c>
      <c r="H3931" s="1">
        <v>1</v>
      </c>
      <c r="I3931" s="1">
        <v>1</v>
      </c>
      <c r="J3931" s="1">
        <v>1</v>
      </c>
      <c r="K3931" s="1">
        <v>1</v>
      </c>
      <c r="M3931" s="1">
        <v>586</v>
      </c>
      <c r="N3931" s="1">
        <v>349.92</v>
      </c>
      <c r="O3931" s="1">
        <v>602.6</v>
      </c>
      <c r="P3931" s="1">
        <v>252.666666666666</v>
      </c>
      <c r="Q3931" s="1" t="s">
        <v>42</v>
      </c>
      <c r="S3931" s="1" t="s">
        <v>42</v>
      </c>
      <c r="T3931" s="1" t="s">
        <v>273</v>
      </c>
      <c r="U3931" s="1">
        <v>24</v>
      </c>
      <c r="V3931" s="5">
        <v>43666</v>
      </c>
      <c r="W3931" s="5">
        <v>42647</v>
      </c>
      <c r="X3931" s="1">
        <v>475000</v>
      </c>
      <c r="Y3931" s="1">
        <v>475000</v>
      </c>
      <c r="Z3931" s="5">
        <v>42816</v>
      </c>
      <c r="AA3931" s="1">
        <v>481650</v>
      </c>
      <c r="AB3931" s="1" t="s">
        <v>2676</v>
      </c>
      <c r="AC3931" s="5">
        <v>42858</v>
      </c>
      <c r="AF3931" s="1">
        <v>10039</v>
      </c>
      <c r="AJ3931" s="1">
        <v>1921</v>
      </c>
      <c r="AK3931" s="1" t="s">
        <v>73</v>
      </c>
      <c r="AL3931" s="1">
        <v>84</v>
      </c>
    </row>
    <row r="3932" spans="1:38" x14ac:dyDescent="0.2">
      <c r="A3932" s="2" t="str">
        <f>HYPERLINK("https://www.compass.com/listing/305-west-150th-street-unit-506-manhattan-ny-10039/662326103295596057/","305 W 150th St, Unit 506")</f>
        <v>305 W 150th St, Unit 506</v>
      </c>
      <c r="B3932" s="2" t="str">
        <f t="shared" si="657"/>
        <v>305 W 150th St</v>
      </c>
      <c r="C3932" s="1" t="s">
        <v>85</v>
      </c>
      <c r="D3932" s="1" t="s">
        <v>41</v>
      </c>
      <c r="E3932" s="3">
        <v>425000</v>
      </c>
      <c r="F3932" s="1">
        <v>739.13043478260795</v>
      </c>
      <c r="G3932" s="1">
        <v>4</v>
      </c>
      <c r="H3932" s="1">
        <v>1</v>
      </c>
      <c r="I3932" s="1">
        <v>1</v>
      </c>
      <c r="J3932" s="1">
        <v>1</v>
      </c>
      <c r="K3932" s="1">
        <v>1</v>
      </c>
      <c r="M3932" s="1">
        <v>575</v>
      </c>
      <c r="N3932" s="1">
        <v>420</v>
      </c>
      <c r="O3932" s="1">
        <v>943</v>
      </c>
      <c r="P3932" s="1">
        <v>523</v>
      </c>
      <c r="Q3932" s="1" t="s">
        <v>42</v>
      </c>
      <c r="S3932" s="1" t="s">
        <v>42</v>
      </c>
      <c r="T3932" s="1" t="s">
        <v>273</v>
      </c>
      <c r="U3932" s="1">
        <v>37</v>
      </c>
      <c r="V3932" s="5">
        <v>44286</v>
      </c>
      <c r="W3932" s="5">
        <v>44164</v>
      </c>
      <c r="X3932" s="1">
        <v>450000</v>
      </c>
      <c r="Y3932" s="1">
        <v>450000</v>
      </c>
      <c r="Z3932" s="5">
        <v>44201</v>
      </c>
      <c r="AA3932" s="1">
        <v>425000</v>
      </c>
      <c r="AB3932" s="1" t="s">
        <v>2677</v>
      </c>
      <c r="AC3932" s="5">
        <v>44277</v>
      </c>
      <c r="AF3932" s="1">
        <v>10039</v>
      </c>
      <c r="AJ3932" s="1">
        <v>1921</v>
      </c>
      <c r="AK3932" s="1" t="s">
        <v>73</v>
      </c>
      <c r="AL3932" s="1">
        <v>84</v>
      </c>
    </row>
    <row r="3933" spans="1:38" x14ac:dyDescent="0.2">
      <c r="A3933" s="2" t="str">
        <f>HYPERLINK("https://www.compass.com/listing/505-513-west-43rd-street-unit-9d-manhattan-ny-10036/29514253631349361/","505-513 W 43rd St, Unit 9D")</f>
        <v>505-513 W 43rd St, Unit 9D</v>
      </c>
      <c r="B3933" s="2" t="str">
        <f>HYPERLINK("https://www.compass.com/building/charlie-west-manhattan-ny/292918554372621509/","Charlie West")</f>
        <v>Charlie West</v>
      </c>
      <c r="C3933" s="1" t="s">
        <v>90</v>
      </c>
      <c r="D3933" s="1" t="s">
        <v>41</v>
      </c>
      <c r="E3933" s="3">
        <v>2199511</v>
      </c>
      <c r="F3933" s="1">
        <v>2108.8314956855202</v>
      </c>
      <c r="G3933" s="1">
        <v>5</v>
      </c>
      <c r="H3933" s="1">
        <v>2</v>
      </c>
      <c r="I3933" s="1">
        <v>2</v>
      </c>
      <c r="J3933" s="1">
        <v>2</v>
      </c>
      <c r="K3933" s="1">
        <v>2</v>
      </c>
      <c r="M3933" s="4">
        <v>1043</v>
      </c>
      <c r="N3933" s="1">
        <v>1140</v>
      </c>
      <c r="O3933" s="1">
        <v>2147</v>
      </c>
      <c r="Q3933" s="1" t="s">
        <v>2555</v>
      </c>
      <c r="S3933" s="1" t="s">
        <v>2556</v>
      </c>
      <c r="T3933" s="1" t="s">
        <v>273</v>
      </c>
      <c r="U3933" s="1">
        <v>53</v>
      </c>
      <c r="V3933" s="5">
        <v>43952</v>
      </c>
      <c r="W3933" s="5">
        <v>43039</v>
      </c>
      <c r="X3933" s="1">
        <v>2165000</v>
      </c>
      <c r="Y3933" s="1">
        <v>2165000</v>
      </c>
      <c r="Z3933" s="5">
        <v>43098</v>
      </c>
      <c r="AA3933" s="1">
        <v>2199511.25</v>
      </c>
      <c r="AB3933" s="1" t="s">
        <v>2678</v>
      </c>
      <c r="AC3933" s="5">
        <v>43937</v>
      </c>
      <c r="AF3933" s="1">
        <v>10036</v>
      </c>
      <c r="AI3933" s="1" t="s">
        <v>2679</v>
      </c>
      <c r="AJ3933" s="1">
        <v>2019</v>
      </c>
      <c r="AK3933" s="1" t="s">
        <v>46</v>
      </c>
      <c r="AL3933" s="1">
        <v>123</v>
      </c>
    </row>
    <row r="3934" spans="1:38" x14ac:dyDescent="0.2">
      <c r="A3934" s="2" t="str">
        <f>HYPERLINK("https://www.compass.com/listing/301-east-81st-street-unit-7b-manhattan-ny-10028/358553644749611937/","301 E 81st St, Unit 7B")</f>
        <v>301 E 81st St, Unit 7B</v>
      </c>
      <c r="B3934" s="2" t="str">
        <f>HYPERLINK("https://www.compass.com/building/beckford-house-manhattan-ny/293531205712863989/","Beckford House")</f>
        <v>Beckford House</v>
      </c>
      <c r="C3934" s="1" t="s">
        <v>82</v>
      </c>
      <c r="D3934" s="1" t="s">
        <v>41</v>
      </c>
      <c r="E3934" s="3">
        <v>3975000</v>
      </c>
      <c r="F3934" s="1">
        <v>1887.46438746438</v>
      </c>
      <c r="G3934" s="1">
        <v>5</v>
      </c>
      <c r="H3934" s="1">
        <v>3</v>
      </c>
      <c r="I3934" s="1">
        <v>4</v>
      </c>
      <c r="J3934" s="1">
        <v>3.5</v>
      </c>
      <c r="K3934" s="1">
        <v>3</v>
      </c>
      <c r="L3934" s="1">
        <v>1</v>
      </c>
      <c r="M3934" s="4">
        <v>2106</v>
      </c>
      <c r="N3934" s="1">
        <v>3026</v>
      </c>
      <c r="O3934" s="1">
        <v>6360</v>
      </c>
      <c r="P3934" s="1">
        <v>3334</v>
      </c>
      <c r="Q3934" s="1" t="s">
        <v>42</v>
      </c>
      <c r="S3934" s="1" t="s">
        <v>42</v>
      </c>
      <c r="T3934" s="1" t="s">
        <v>273</v>
      </c>
      <c r="U3934" s="1">
        <v>76</v>
      </c>
      <c r="V3934" s="5">
        <v>44314</v>
      </c>
      <c r="W3934" s="5">
        <v>43740</v>
      </c>
      <c r="X3934" s="1">
        <v>3975000</v>
      </c>
      <c r="Y3934" s="1">
        <v>3975000</v>
      </c>
      <c r="AA3934" s="1">
        <v>3975000</v>
      </c>
      <c r="AB3934" s="1" t="s">
        <v>2680</v>
      </c>
      <c r="AC3934" s="5">
        <v>44267</v>
      </c>
      <c r="AF3934" s="1">
        <v>10028</v>
      </c>
      <c r="AI3934" s="1" t="s">
        <v>201</v>
      </c>
      <c r="AJ3934" s="1">
        <v>2019</v>
      </c>
      <c r="AK3934" s="1" t="s">
        <v>202</v>
      </c>
      <c r="AL3934" s="1">
        <v>0</v>
      </c>
    </row>
    <row r="3935" spans="1:38" x14ac:dyDescent="0.2">
      <c r="A3935" s="2" t="str">
        <f>HYPERLINK("https://www.compass.com/listing/305-west-150th-street-unit-105-manhattan-ny-10039/29434099651343249/","305 W 150th St, Unit 105")</f>
        <v>305 W 150th St, Unit 105</v>
      </c>
      <c r="B3935" s="2" t="str">
        <f t="shared" ref="B3935:B3936" si="658">HYPERLINK("https://www.compass.com/building/305-w-150th-st-manhattan-ny-10039/282032234968400245/","305 W 150th St")</f>
        <v>305 W 150th St</v>
      </c>
      <c r="C3935" s="1" t="s">
        <v>85</v>
      </c>
      <c r="D3935" s="1" t="s">
        <v>41</v>
      </c>
      <c r="E3935" s="3">
        <v>456000</v>
      </c>
      <c r="F3935" s="1">
        <v>772.88135593220295</v>
      </c>
      <c r="G3935" s="1">
        <v>3</v>
      </c>
      <c r="H3935" s="1">
        <v>1</v>
      </c>
      <c r="I3935" s="1">
        <v>1</v>
      </c>
      <c r="J3935" s="1">
        <v>1</v>
      </c>
      <c r="K3935" s="1">
        <v>1</v>
      </c>
      <c r="M3935" s="1">
        <v>590</v>
      </c>
      <c r="N3935" s="1">
        <v>335.08</v>
      </c>
      <c r="O3935" s="1">
        <v>577.04999999999995</v>
      </c>
      <c r="P3935" s="1">
        <v>242</v>
      </c>
      <c r="Q3935" s="1" t="s">
        <v>42</v>
      </c>
      <c r="S3935" s="1" t="s">
        <v>42</v>
      </c>
      <c r="T3935" s="1" t="s">
        <v>273</v>
      </c>
      <c r="U3935" s="1">
        <v>12</v>
      </c>
      <c r="V3935" s="5">
        <v>43673</v>
      </c>
      <c r="W3935" s="5">
        <v>42546</v>
      </c>
      <c r="X3935" s="1">
        <v>475000</v>
      </c>
      <c r="Y3935" s="1">
        <v>475000</v>
      </c>
      <c r="Z3935" s="5">
        <v>42558</v>
      </c>
      <c r="AA3935" s="1">
        <v>456000</v>
      </c>
      <c r="AB3935" s="1" t="s">
        <v>275</v>
      </c>
      <c r="AC3935" s="5">
        <v>42630</v>
      </c>
      <c r="AF3935" s="1">
        <v>10039</v>
      </c>
      <c r="AJ3935" s="1">
        <v>1921</v>
      </c>
      <c r="AK3935" s="1" t="s">
        <v>143</v>
      </c>
      <c r="AL3935" s="1">
        <v>84</v>
      </c>
    </row>
    <row r="3936" spans="1:38" x14ac:dyDescent="0.2">
      <c r="A3936" s="2" t="str">
        <f>HYPERLINK("https://www.compass.com/listing/305-west-150th-street-unit-202-manhattan-ny-10039/29434103250117345/","305 W 150th St, Unit 202")</f>
        <v>305 W 150th St, Unit 202</v>
      </c>
      <c r="B3936" s="2" t="str">
        <f t="shared" si="658"/>
        <v>305 W 150th St</v>
      </c>
      <c r="C3936" s="1" t="s">
        <v>85</v>
      </c>
      <c r="D3936" s="1" t="s">
        <v>41</v>
      </c>
      <c r="E3936" s="3">
        <v>450000</v>
      </c>
      <c r="F3936" s="1">
        <v>766.60988074957402</v>
      </c>
      <c r="G3936" s="1">
        <v>3</v>
      </c>
      <c r="H3936" s="1">
        <v>1</v>
      </c>
      <c r="I3936" s="1">
        <v>1</v>
      </c>
      <c r="J3936" s="1">
        <v>1</v>
      </c>
      <c r="K3936" s="1">
        <v>1</v>
      </c>
      <c r="M3936" s="1">
        <v>587</v>
      </c>
      <c r="N3936" s="1">
        <v>346.92</v>
      </c>
      <c r="O3936" s="1">
        <v>628.5</v>
      </c>
      <c r="P3936" s="1">
        <v>281.58333333333297</v>
      </c>
      <c r="Q3936" s="1" t="s">
        <v>42</v>
      </c>
      <c r="S3936" s="1" t="s">
        <v>42</v>
      </c>
      <c r="T3936" s="1" t="s">
        <v>273</v>
      </c>
      <c r="U3936" s="1">
        <v>63</v>
      </c>
      <c r="V3936" s="5">
        <v>43666</v>
      </c>
      <c r="W3936" s="5">
        <v>42676</v>
      </c>
      <c r="X3936" s="1">
        <v>465000</v>
      </c>
      <c r="Y3936" s="1">
        <v>465000</v>
      </c>
      <c r="AA3936" s="1">
        <v>450000</v>
      </c>
      <c r="AB3936" s="1" t="s">
        <v>2681</v>
      </c>
      <c r="AC3936" s="5">
        <v>42739</v>
      </c>
      <c r="AF3936" s="1">
        <v>10039</v>
      </c>
      <c r="AI3936" s="1" t="s">
        <v>177</v>
      </c>
      <c r="AJ3936" s="1">
        <v>1921</v>
      </c>
      <c r="AK3936" s="1" t="s">
        <v>143</v>
      </c>
      <c r="AL3936" s="1">
        <v>84</v>
      </c>
    </row>
    <row r="3937" spans="1:38" x14ac:dyDescent="0.2">
      <c r="A3937" s="2" t="str">
        <f>HYPERLINK("https://www.compass.com/listing/306-west-148th-street-unit-4-manhattan-ny-10039/29515052159695137/","306 W 148th St, Unit 4")</f>
        <v>306 W 148th St, Unit 4</v>
      </c>
      <c r="B3937" s="2" t="str">
        <f t="shared" ref="B3937:B3940" si="659">HYPERLINK("https://www.compass.com/building/baldwin-park-condominium-manhattan-ny/282032236973275253/","Baldwin Park Condominium")</f>
        <v>Baldwin Park Condominium</v>
      </c>
      <c r="C3937" s="1" t="s">
        <v>85</v>
      </c>
      <c r="D3937" s="1" t="s">
        <v>41</v>
      </c>
      <c r="E3937" s="3">
        <v>982611</v>
      </c>
      <c r="F3937" s="1">
        <v>856.67916303400102</v>
      </c>
      <c r="G3937" s="1">
        <v>4</v>
      </c>
      <c r="H3937" s="1">
        <v>2</v>
      </c>
      <c r="I3937" s="1">
        <v>2</v>
      </c>
      <c r="J3937" s="1">
        <v>2</v>
      </c>
      <c r="K3937" s="1">
        <v>2</v>
      </c>
      <c r="M3937" s="4">
        <v>1147</v>
      </c>
      <c r="N3937" s="1">
        <v>631</v>
      </c>
      <c r="O3937" s="1">
        <v>1429</v>
      </c>
      <c r="P3937" s="1">
        <v>798</v>
      </c>
      <c r="Q3937" s="1" t="s">
        <v>42</v>
      </c>
      <c r="S3937" s="1" t="s">
        <v>42</v>
      </c>
      <c r="T3937" s="1" t="s">
        <v>273</v>
      </c>
      <c r="U3937" s="1">
        <v>9</v>
      </c>
      <c r="V3937" s="5">
        <v>44334</v>
      </c>
      <c r="W3937" s="5">
        <v>43118</v>
      </c>
      <c r="X3937" s="1">
        <v>965000</v>
      </c>
      <c r="Y3937" s="1">
        <v>989000</v>
      </c>
      <c r="Z3937" s="5">
        <v>43127</v>
      </c>
      <c r="AA3937" s="1">
        <v>982611</v>
      </c>
      <c r="AB3937" s="1" t="s">
        <v>2682</v>
      </c>
      <c r="AC3937" s="5">
        <v>43375</v>
      </c>
      <c r="AF3937" s="1">
        <v>10039</v>
      </c>
      <c r="AI3937" s="1" t="s">
        <v>238</v>
      </c>
      <c r="AJ3937" s="1">
        <v>2017</v>
      </c>
      <c r="AL3937" s="1">
        <v>7</v>
      </c>
    </row>
    <row r="3938" spans="1:38" x14ac:dyDescent="0.2">
      <c r="A3938" s="2" t="str">
        <f>HYPERLINK("https://www.compass.com/listing/306-west-148th-street-unit-5-manhattan-ny-10039/29515051253725457/","306 W 148th St, Unit 5")</f>
        <v>306 W 148th St, Unit 5</v>
      </c>
      <c r="B3938" s="2" t="str">
        <f t="shared" si="659"/>
        <v>Baldwin Park Condominium</v>
      </c>
      <c r="C3938" s="1" t="s">
        <v>85</v>
      </c>
      <c r="D3938" s="1" t="s">
        <v>41</v>
      </c>
      <c r="E3938" s="3">
        <v>992794</v>
      </c>
      <c r="F3938" s="1">
        <v>865.55710549258902</v>
      </c>
      <c r="G3938" s="1">
        <v>4</v>
      </c>
      <c r="H3938" s="1">
        <v>2</v>
      </c>
      <c r="I3938" s="1">
        <v>2</v>
      </c>
      <c r="J3938" s="1">
        <v>2</v>
      </c>
      <c r="K3938" s="1">
        <v>2</v>
      </c>
      <c r="M3938" s="4">
        <v>1147</v>
      </c>
      <c r="N3938" s="1">
        <v>636</v>
      </c>
      <c r="O3938" s="1">
        <v>1440</v>
      </c>
      <c r="P3938" s="1">
        <v>804</v>
      </c>
      <c r="Q3938" s="1" t="s">
        <v>42</v>
      </c>
      <c r="S3938" s="1" t="s">
        <v>42</v>
      </c>
      <c r="T3938" s="1" t="s">
        <v>273</v>
      </c>
      <c r="U3938" s="1">
        <v>34</v>
      </c>
      <c r="V3938" s="5">
        <v>44334</v>
      </c>
      <c r="W3938" s="5">
        <v>43040</v>
      </c>
      <c r="X3938" s="1">
        <v>975000</v>
      </c>
      <c r="Y3938" s="1">
        <v>999000</v>
      </c>
      <c r="Z3938" s="5">
        <v>43109</v>
      </c>
      <c r="AA3938" s="1">
        <v>992794</v>
      </c>
      <c r="AB3938" s="1" t="s">
        <v>2683</v>
      </c>
      <c r="AC3938" s="5">
        <v>43390</v>
      </c>
      <c r="AF3938" s="1">
        <v>10039</v>
      </c>
      <c r="AI3938" s="1" t="s">
        <v>203</v>
      </c>
      <c r="AJ3938" s="1">
        <v>2017</v>
      </c>
      <c r="AL3938" s="1">
        <v>7</v>
      </c>
    </row>
    <row r="3939" spans="1:38" x14ac:dyDescent="0.2">
      <c r="A3939" s="2" t="str">
        <f>HYPERLINK("https://www.compass.com/listing/306-west-148th-street-unit-2-manhattan-ny-10039/29515052470005649/","306 W 148th St, Unit 2")</f>
        <v>306 W 148th St, Unit 2</v>
      </c>
      <c r="B3939" s="2" t="str">
        <f t="shared" si="659"/>
        <v>Baldwin Park Condominium</v>
      </c>
      <c r="C3939" s="1" t="s">
        <v>85</v>
      </c>
      <c r="D3939" s="1" t="s">
        <v>41</v>
      </c>
      <c r="E3939" s="3">
        <v>962246</v>
      </c>
      <c r="F3939" s="1">
        <v>846.30255057167903</v>
      </c>
      <c r="G3939" s="1">
        <v>4</v>
      </c>
      <c r="H3939" s="1">
        <v>2</v>
      </c>
      <c r="I3939" s="1">
        <v>2</v>
      </c>
      <c r="J3939" s="1">
        <v>2</v>
      </c>
      <c r="K3939" s="1">
        <v>2</v>
      </c>
      <c r="M3939" s="4">
        <v>1137</v>
      </c>
      <c r="N3939" s="1">
        <v>597</v>
      </c>
      <c r="O3939" s="1">
        <v>1352</v>
      </c>
      <c r="P3939" s="1">
        <v>755</v>
      </c>
      <c r="Q3939" s="1" t="s">
        <v>42</v>
      </c>
      <c r="S3939" s="1" t="s">
        <v>42</v>
      </c>
      <c r="T3939" s="1" t="s">
        <v>273</v>
      </c>
      <c r="U3939" s="1">
        <v>99</v>
      </c>
      <c r="V3939" s="5">
        <v>43866</v>
      </c>
      <c r="W3939" s="5">
        <v>43127</v>
      </c>
      <c r="X3939" s="1">
        <v>965000</v>
      </c>
      <c r="Y3939" s="1">
        <v>965000</v>
      </c>
      <c r="Z3939" s="5">
        <v>43226</v>
      </c>
      <c r="AA3939" s="1">
        <v>962246</v>
      </c>
      <c r="AB3939" s="1" t="s">
        <v>2684</v>
      </c>
      <c r="AC3939" s="5">
        <v>43378</v>
      </c>
      <c r="AF3939" s="1">
        <v>10039</v>
      </c>
      <c r="AI3939" s="1" t="s">
        <v>201</v>
      </c>
      <c r="AJ3939" s="1">
        <v>2017</v>
      </c>
      <c r="AL3939" s="1">
        <v>7</v>
      </c>
    </row>
    <row r="3940" spans="1:38" x14ac:dyDescent="0.2">
      <c r="A3940" s="2" t="str">
        <f>HYPERLINK("https://www.compass.com/listing/306-west-148th-street-unit-3-manhattan-ny-10039/29515052839131601/","306 W 148th St, Unit 3")</f>
        <v>306 W 148th St, Unit 3</v>
      </c>
      <c r="B3940" s="2" t="str">
        <f t="shared" si="659"/>
        <v>Baldwin Park Condominium</v>
      </c>
      <c r="C3940" s="1" t="s">
        <v>85</v>
      </c>
      <c r="D3940" s="1" t="s">
        <v>41</v>
      </c>
      <c r="E3940" s="3">
        <v>963714</v>
      </c>
      <c r="F3940" s="1">
        <v>840.20401046207496</v>
      </c>
      <c r="G3940" s="1">
        <v>4</v>
      </c>
      <c r="H3940" s="1">
        <v>2</v>
      </c>
      <c r="I3940" s="1">
        <v>2</v>
      </c>
      <c r="J3940" s="1">
        <v>2</v>
      </c>
      <c r="K3940" s="1">
        <v>2</v>
      </c>
      <c r="M3940" s="4">
        <v>1147</v>
      </c>
      <c r="N3940" s="1">
        <v>626</v>
      </c>
      <c r="O3940" s="1">
        <v>1418</v>
      </c>
      <c r="P3940" s="1">
        <v>792</v>
      </c>
      <c r="Q3940" s="1" t="s">
        <v>42</v>
      </c>
      <c r="S3940" s="1" t="s">
        <v>42</v>
      </c>
      <c r="T3940" s="1" t="s">
        <v>273</v>
      </c>
      <c r="U3940" s="1">
        <v>132</v>
      </c>
      <c r="V3940" s="5">
        <v>44180</v>
      </c>
      <c r="W3940" s="5">
        <v>42986</v>
      </c>
      <c r="X3940" s="1">
        <v>955000</v>
      </c>
      <c r="Y3940" s="1">
        <v>979000</v>
      </c>
      <c r="Z3940" s="5">
        <v>43118</v>
      </c>
      <c r="AA3940" s="1">
        <v>963714</v>
      </c>
      <c r="AB3940" s="1" t="s">
        <v>2685</v>
      </c>
      <c r="AC3940" s="5">
        <v>43386</v>
      </c>
      <c r="AF3940" s="1">
        <v>10039</v>
      </c>
      <c r="AI3940" s="1" t="s">
        <v>1386</v>
      </c>
      <c r="AJ3940" s="1">
        <v>2017</v>
      </c>
      <c r="AL3940" s="1">
        <v>7</v>
      </c>
    </row>
    <row r="3941" spans="1:38" x14ac:dyDescent="0.2">
      <c r="A3941" s="2" t="str">
        <f>HYPERLINK("https://www.compass.com/listing/15-hudson-yards-unit-26e-manhattan-ny-10001/461241556050527401/","15 Hudson Yards, Unit 26E")</f>
        <v>15 Hudson Yards, Unit 26E</v>
      </c>
      <c r="B3941" s="2" t="str">
        <f t="shared" ref="B3941:B3942" si="660">HYPERLINK("https://www.compass.com/building/fifteen-hudson-yards-manhattan-ny/282058587512011909/","Fifteen Hudson Yards")</f>
        <v>Fifteen Hudson Yards</v>
      </c>
      <c r="D3941" s="1" t="s">
        <v>41</v>
      </c>
      <c r="E3941" s="3">
        <v>2463100</v>
      </c>
      <c r="F3941" s="1">
        <v>2485.46922300706</v>
      </c>
      <c r="G3941" s="1">
        <v>3</v>
      </c>
      <c r="H3941" s="1">
        <v>1</v>
      </c>
      <c r="J3941" s="1">
        <v>1.5</v>
      </c>
      <c r="M3941" s="1">
        <v>991</v>
      </c>
      <c r="N3941" s="1">
        <v>2149</v>
      </c>
      <c r="O3941" s="1">
        <v>2179</v>
      </c>
      <c r="P3941" s="1">
        <v>30</v>
      </c>
      <c r="S3941" s="1" t="s">
        <v>42</v>
      </c>
      <c r="T3941" s="1" t="s">
        <v>273</v>
      </c>
      <c r="U3941" s="1">
        <v>21</v>
      </c>
      <c r="V3941" s="5">
        <v>44248</v>
      </c>
      <c r="W3941" s="5">
        <v>43888</v>
      </c>
      <c r="X3941" s="1">
        <v>2750000</v>
      </c>
      <c r="Y3941" s="1">
        <v>2750000</v>
      </c>
      <c r="AA3941" s="1">
        <v>2463100</v>
      </c>
      <c r="AB3941" s="1" t="s">
        <v>275</v>
      </c>
      <c r="AC3941" s="5">
        <v>43957</v>
      </c>
      <c r="AF3941" s="1">
        <v>10001</v>
      </c>
      <c r="AI3941" s="1" t="s">
        <v>78</v>
      </c>
      <c r="AJ3941" s="1">
        <v>2018</v>
      </c>
      <c r="AK3941" s="1" t="s">
        <v>46</v>
      </c>
      <c r="AL3941" s="1">
        <v>285</v>
      </c>
    </row>
    <row r="3942" spans="1:38" x14ac:dyDescent="0.2">
      <c r="A3942" s="2" t="str">
        <f>HYPERLINK("https://www.compass.com/listing/15-hudson-yards-unit-76c-manhattan-ny-10001/752196384322253209/","15 Hudson Yards, Unit 76C")</f>
        <v>15 Hudson Yards, Unit 76C</v>
      </c>
      <c r="B3942" s="2" t="str">
        <f t="shared" si="660"/>
        <v>Fifteen Hudson Yards</v>
      </c>
      <c r="D3942" s="1" t="s">
        <v>41</v>
      </c>
      <c r="E3942" s="3">
        <v>2680000</v>
      </c>
      <c r="F3942" s="1">
        <v>2359.1549295774598</v>
      </c>
      <c r="G3942" s="1">
        <v>4.5</v>
      </c>
      <c r="H3942" s="1">
        <v>1</v>
      </c>
      <c r="I3942" s="1">
        <v>3</v>
      </c>
      <c r="J3942" s="1">
        <v>2.5</v>
      </c>
      <c r="K3942" s="1">
        <v>2</v>
      </c>
      <c r="L3942" s="1">
        <v>1</v>
      </c>
      <c r="M3942" s="4">
        <v>1136</v>
      </c>
      <c r="N3942" s="1">
        <v>2837</v>
      </c>
      <c r="O3942" s="1">
        <v>2873</v>
      </c>
      <c r="P3942" s="1">
        <v>36</v>
      </c>
      <c r="Q3942" s="1" t="s">
        <v>42</v>
      </c>
      <c r="S3942" s="1" t="s">
        <v>42</v>
      </c>
      <c r="T3942" s="1" t="s">
        <v>273</v>
      </c>
      <c r="U3942" s="1">
        <v>19</v>
      </c>
      <c r="V3942" s="5">
        <v>44376</v>
      </c>
      <c r="W3942" s="5">
        <v>44294</v>
      </c>
      <c r="X3942" s="1">
        <v>2950000</v>
      </c>
      <c r="Y3942" s="1">
        <v>2950000</v>
      </c>
      <c r="Z3942" s="5">
        <v>44313</v>
      </c>
      <c r="AA3942" s="1">
        <v>2680000</v>
      </c>
      <c r="AB3942" s="1" t="s">
        <v>275</v>
      </c>
      <c r="AC3942" s="5">
        <v>44372</v>
      </c>
      <c r="AF3942" s="1">
        <v>10001</v>
      </c>
      <c r="AJ3942" s="1">
        <v>2018</v>
      </c>
      <c r="AK3942" s="1" t="s">
        <v>46</v>
      </c>
      <c r="AL3942" s="1">
        <v>285</v>
      </c>
    </row>
    <row r="3943" spans="1:38" x14ac:dyDescent="0.2">
      <c r="A3943" s="2" t="str">
        <f>HYPERLINK("https://www.compass.com/listing/306-west-148th-street-unit-1a-manhattan-ny-10039/29515051882830241/","306 W 148th St, Unit 1A")</f>
        <v>306 W 148th St, Unit 1A</v>
      </c>
      <c r="B3943" s="2" t="str">
        <f>HYPERLINK("https://www.compass.com/building/baldwin-park-condominium-manhattan-ny/282032236973275253/","Baldwin Park Condominium")</f>
        <v>Baldwin Park Condominium</v>
      </c>
      <c r="C3943" s="1" t="s">
        <v>85</v>
      </c>
      <c r="D3943" s="1" t="s">
        <v>41</v>
      </c>
      <c r="E3943" s="3">
        <v>1310853</v>
      </c>
      <c r="F3943" s="1">
        <v>1064.0040584415499</v>
      </c>
      <c r="G3943" s="1">
        <v>4.5</v>
      </c>
      <c r="H3943" s="1">
        <v>3</v>
      </c>
      <c r="I3943" s="1">
        <v>3</v>
      </c>
      <c r="J3943" s="1">
        <v>2.5</v>
      </c>
      <c r="K3943" s="1">
        <v>2</v>
      </c>
      <c r="L3943" s="1">
        <v>1</v>
      </c>
      <c r="M3943" s="4">
        <v>1232</v>
      </c>
      <c r="N3943" s="1">
        <v>755</v>
      </c>
      <c r="O3943" s="1">
        <v>1710</v>
      </c>
      <c r="P3943" s="1">
        <v>955</v>
      </c>
      <c r="Q3943" s="1" t="s">
        <v>42</v>
      </c>
      <c r="S3943" s="1" t="s">
        <v>42</v>
      </c>
      <c r="T3943" s="1" t="s">
        <v>273</v>
      </c>
      <c r="U3943" s="1">
        <v>32</v>
      </c>
      <c r="V3943" s="5">
        <v>44334</v>
      </c>
      <c r="W3943" s="5">
        <v>43106</v>
      </c>
      <c r="X3943" s="1">
        <v>1299000</v>
      </c>
      <c r="Y3943" s="1">
        <v>1299000</v>
      </c>
      <c r="Z3943" s="5">
        <v>43138</v>
      </c>
      <c r="AA3943" s="1">
        <v>1310853</v>
      </c>
      <c r="AB3943" s="1" t="s">
        <v>2686</v>
      </c>
      <c r="AC3943" s="5">
        <v>43372</v>
      </c>
      <c r="AF3943" s="1">
        <v>10039</v>
      </c>
      <c r="AI3943" s="1" t="s">
        <v>2687</v>
      </c>
      <c r="AJ3943" s="1">
        <v>2017</v>
      </c>
      <c r="AL3943" s="1">
        <v>7</v>
      </c>
    </row>
    <row r="3944" spans="1:38" x14ac:dyDescent="0.2">
      <c r="A3944" s="2" t="str">
        <f>HYPERLINK("https://www.compass.com/listing/15-hudson-yards-unit-72c-manhattan-ny-10001/821734452532330001/","15 Hudson Yards, Unit 72C")</f>
        <v>15 Hudson Yards, Unit 72C</v>
      </c>
      <c r="B3944" s="2" t="str">
        <f>HYPERLINK("https://www.compass.com/building/fifteen-hudson-yards-manhattan-ny/282058587512011909/","Fifteen Hudson Yards")</f>
        <v>Fifteen Hudson Yards</v>
      </c>
      <c r="C3944" s="1" t="s">
        <v>77</v>
      </c>
      <c r="D3944" s="1" t="s">
        <v>41</v>
      </c>
      <c r="E3944" s="3">
        <v>2690000</v>
      </c>
      <c r="F3944" s="1">
        <v>2320.9663503019801</v>
      </c>
      <c r="G3944" s="1">
        <v>3</v>
      </c>
      <c r="H3944" s="1">
        <v>1</v>
      </c>
      <c r="I3944" s="1">
        <v>3</v>
      </c>
      <c r="J3944" s="1">
        <v>2.5</v>
      </c>
      <c r="K3944" s="1">
        <v>2</v>
      </c>
      <c r="L3944" s="1">
        <v>1</v>
      </c>
      <c r="M3944" s="4">
        <v>1159</v>
      </c>
      <c r="N3944" s="1">
        <v>2855</v>
      </c>
      <c r="O3944" s="1">
        <v>2891</v>
      </c>
      <c r="P3944" s="1">
        <v>36</v>
      </c>
      <c r="Q3944" s="1" t="s">
        <v>42</v>
      </c>
      <c r="S3944" s="1" t="s">
        <v>42</v>
      </c>
      <c r="T3944" s="1" t="s">
        <v>273</v>
      </c>
      <c r="U3944" s="1">
        <v>11</v>
      </c>
      <c r="V3944" s="5">
        <v>44407</v>
      </c>
      <c r="W3944" s="5">
        <v>44385</v>
      </c>
      <c r="X3944" s="1">
        <v>2950000</v>
      </c>
      <c r="Y3944" s="1">
        <v>2950000</v>
      </c>
      <c r="Z3944" s="5">
        <v>44396</v>
      </c>
      <c r="AA3944" s="1">
        <v>2690000</v>
      </c>
      <c r="AB3944" s="1" t="s">
        <v>275</v>
      </c>
      <c r="AC3944" s="5">
        <v>44400</v>
      </c>
      <c r="AF3944" s="1">
        <v>10001</v>
      </c>
      <c r="AJ3944" s="1">
        <v>2018</v>
      </c>
      <c r="AK3944" s="1" t="s">
        <v>46</v>
      </c>
      <c r="AL3944" s="1">
        <v>285</v>
      </c>
    </row>
    <row r="3945" spans="1:38" x14ac:dyDescent="0.2">
      <c r="A3945" s="2" t="str">
        <f>HYPERLINK("https://www.compass.com/listing/35-hudson-yards-unit-7201-manhattan-ny-10001/764205527958726361/","35 Hudson Yards, Unit 7201")</f>
        <v>35 Hudson Yards, Unit 7201</v>
      </c>
      <c r="B3945" s="2" t="str">
        <f t="shared" ref="B3945:B3946" si="661">HYPERLINK("https://www.compass.com/building/35-hudson-yards-manhattan-ny/292773408544917349/","35 Hudson Yards")</f>
        <v>35 Hudson Yards</v>
      </c>
      <c r="D3945" s="1" t="s">
        <v>41</v>
      </c>
      <c r="E3945" s="3">
        <v>6850000</v>
      </c>
      <c r="F3945" s="1">
        <v>2665.3696498054401</v>
      </c>
      <c r="G3945" s="1">
        <v>8.5</v>
      </c>
      <c r="H3945" s="1">
        <v>3</v>
      </c>
      <c r="I3945" s="1">
        <v>5</v>
      </c>
      <c r="J3945" s="1">
        <v>4.5</v>
      </c>
      <c r="K3945" s="1">
        <v>4</v>
      </c>
      <c r="L3945" s="1">
        <v>1</v>
      </c>
      <c r="M3945" s="4">
        <v>2570</v>
      </c>
      <c r="N3945" s="1">
        <v>7594</v>
      </c>
      <c r="O3945" s="1">
        <v>8123</v>
      </c>
      <c r="P3945" s="1">
        <v>529</v>
      </c>
      <c r="Q3945" s="1" t="s">
        <v>42</v>
      </c>
      <c r="S3945" s="1" t="s">
        <v>42</v>
      </c>
      <c r="T3945" s="1" t="s">
        <v>273</v>
      </c>
      <c r="U3945" s="1">
        <v>1</v>
      </c>
      <c r="V3945" s="5">
        <v>44421</v>
      </c>
      <c r="W3945" s="5">
        <v>44305</v>
      </c>
      <c r="X3945" s="1">
        <v>9975000</v>
      </c>
      <c r="Y3945" s="1">
        <v>9975000</v>
      </c>
      <c r="Z3945" s="5">
        <v>44307</v>
      </c>
      <c r="AA3945" s="1">
        <v>6850000</v>
      </c>
      <c r="AB3945" s="1" t="s">
        <v>275</v>
      </c>
      <c r="AC3945" s="5">
        <v>44417</v>
      </c>
      <c r="AF3945" s="1">
        <v>10001</v>
      </c>
      <c r="AI3945" s="1" t="s">
        <v>48</v>
      </c>
      <c r="AJ3945" s="1">
        <v>2019</v>
      </c>
      <c r="AK3945" s="1" t="s">
        <v>108</v>
      </c>
      <c r="AL3945" s="1">
        <v>143</v>
      </c>
    </row>
    <row r="3946" spans="1:38" x14ac:dyDescent="0.2">
      <c r="A3946" s="2" t="str">
        <f>HYPERLINK("https://www.compass.com/listing/35-hudson-yards-unit-7001-manhattan-ny-10001/752116331266010049/","35 Hudson Yards, Unit 7001")</f>
        <v>35 Hudson Yards, Unit 7001</v>
      </c>
      <c r="B3946" s="2" t="str">
        <f t="shared" si="661"/>
        <v>35 Hudson Yards</v>
      </c>
      <c r="D3946" s="1" t="s">
        <v>41</v>
      </c>
      <c r="E3946" s="3">
        <v>6629250</v>
      </c>
      <c r="F3946" s="1">
        <v>2579.4747081711998</v>
      </c>
      <c r="G3946" s="1">
        <v>8.5</v>
      </c>
      <c r="H3946" s="1">
        <v>3</v>
      </c>
      <c r="I3946" s="1">
        <v>5</v>
      </c>
      <c r="J3946" s="1">
        <v>4.5</v>
      </c>
      <c r="K3946" s="1">
        <v>4</v>
      </c>
      <c r="L3946" s="1">
        <v>1</v>
      </c>
      <c r="M3946" s="4">
        <v>2570</v>
      </c>
      <c r="N3946" s="1">
        <v>7585</v>
      </c>
      <c r="O3946" s="1">
        <v>8114</v>
      </c>
      <c r="P3946" s="1">
        <v>529</v>
      </c>
      <c r="Q3946" s="1" t="s">
        <v>42</v>
      </c>
      <c r="S3946" s="1" t="s">
        <v>42</v>
      </c>
      <c r="T3946" s="1" t="s">
        <v>273</v>
      </c>
      <c r="U3946" s="1">
        <v>3</v>
      </c>
      <c r="V3946" s="5">
        <v>44373</v>
      </c>
      <c r="W3946" s="5">
        <v>44288</v>
      </c>
      <c r="X3946" s="1">
        <v>9925000</v>
      </c>
      <c r="Y3946" s="1">
        <v>9925000</v>
      </c>
      <c r="Z3946" s="5">
        <v>44291</v>
      </c>
      <c r="AA3946" s="1">
        <v>6629250</v>
      </c>
      <c r="AB3946" s="1" t="s">
        <v>2688</v>
      </c>
      <c r="AC3946" s="5">
        <v>44369</v>
      </c>
      <c r="AF3946" s="1">
        <v>10001</v>
      </c>
      <c r="AI3946" s="1" t="s">
        <v>48</v>
      </c>
      <c r="AJ3946" s="1">
        <v>2019</v>
      </c>
      <c r="AK3946" s="1" t="s">
        <v>108</v>
      </c>
      <c r="AL3946" s="1">
        <v>143</v>
      </c>
    </row>
    <row r="3947" spans="1:38" x14ac:dyDescent="0.2">
      <c r="A3947" s="2" t="str">
        <f>HYPERLINK("https://www.compass.com/listing/425-west-50th-street-unit-14b-manhattan-ny-10019/582565255098848297/","425 W 50th St, Unit 14B")</f>
        <v>425 W 50th St, Unit 14B</v>
      </c>
      <c r="B3947" s="2" t="str">
        <f>HYPERLINK("https://www.compass.com/building/stella-tower-manhattan-ny/281945855710262181/","Stella Tower")</f>
        <v>Stella Tower</v>
      </c>
      <c r="C3947" s="1" t="s">
        <v>90</v>
      </c>
      <c r="D3947" s="1" t="s">
        <v>41</v>
      </c>
      <c r="E3947" s="3">
        <v>42000</v>
      </c>
      <c r="F3947" s="1">
        <v>26.837060702875299</v>
      </c>
      <c r="G3947" s="1">
        <v>4</v>
      </c>
      <c r="H3947" s="1">
        <v>2</v>
      </c>
      <c r="I3947" s="1">
        <v>3</v>
      </c>
      <c r="J3947" s="1">
        <v>2.5</v>
      </c>
      <c r="K3947" s="1">
        <v>2</v>
      </c>
      <c r="L3947" s="1">
        <v>1</v>
      </c>
      <c r="M3947" s="4">
        <v>1565</v>
      </c>
      <c r="N3947" s="1">
        <v>2324</v>
      </c>
      <c r="O3947" s="1">
        <v>5000</v>
      </c>
      <c r="P3947" s="1">
        <v>2676</v>
      </c>
      <c r="Q3947" s="1" t="s">
        <v>42</v>
      </c>
      <c r="S3947" s="1" t="s">
        <v>42</v>
      </c>
      <c r="T3947" s="1" t="s">
        <v>273</v>
      </c>
      <c r="V3947" s="5">
        <v>44203</v>
      </c>
      <c r="W3947" s="5">
        <v>44056</v>
      </c>
      <c r="X3947" s="1">
        <v>4500000</v>
      </c>
      <c r="Y3947" s="1">
        <v>4500000</v>
      </c>
      <c r="Z3947" s="5">
        <v>44056</v>
      </c>
      <c r="AA3947" s="1">
        <v>42000</v>
      </c>
      <c r="AB3947" s="1" t="s">
        <v>2689</v>
      </c>
      <c r="AC3947" s="5">
        <v>44174</v>
      </c>
      <c r="AF3947" s="1">
        <v>10019</v>
      </c>
      <c r="AI3947" s="1" t="s">
        <v>152</v>
      </c>
      <c r="AJ3947" s="1">
        <v>1930</v>
      </c>
      <c r="AK3947" s="1" t="s">
        <v>46</v>
      </c>
      <c r="AL3947" s="1">
        <v>51</v>
      </c>
    </row>
    <row r="3948" spans="1:38" x14ac:dyDescent="0.2">
      <c r="A3948" s="2" t="str">
        <f>HYPERLINK("https://www.compass.com/listing/325-lexington-avenue-unit-6e-manhattan-ny-10016/774029636122982569/","325 Lexington Ave, Unit 6E")</f>
        <v>325 Lexington Ave, Unit 6E</v>
      </c>
      <c r="B3948" s="2" t="str">
        <f>HYPERLINK("https://www.compass.com/building/325-lex-condominium-manhattan-ny/281939882467713365/","325 Lex Condominium")</f>
        <v>325 Lex Condominium</v>
      </c>
      <c r="C3948" s="1" t="s">
        <v>59</v>
      </c>
      <c r="D3948" s="1" t="s">
        <v>41</v>
      </c>
      <c r="E3948" s="3">
        <v>799000</v>
      </c>
      <c r="F3948" s="1">
        <v>1452.72727272727</v>
      </c>
      <c r="G3948" s="1">
        <v>2</v>
      </c>
      <c r="H3948" s="1" t="s">
        <v>99</v>
      </c>
      <c r="I3948" s="1">
        <v>1</v>
      </c>
      <c r="J3948" s="1">
        <v>1</v>
      </c>
      <c r="K3948" s="1">
        <v>1</v>
      </c>
      <c r="M3948" s="1">
        <v>550</v>
      </c>
      <c r="N3948" s="1">
        <v>752</v>
      </c>
      <c r="O3948" s="1">
        <v>1143</v>
      </c>
      <c r="P3948" s="1">
        <v>391</v>
      </c>
      <c r="Q3948" s="1" t="s">
        <v>42</v>
      </c>
      <c r="S3948" s="1" t="s">
        <v>42</v>
      </c>
      <c r="T3948" s="1" t="s">
        <v>273</v>
      </c>
      <c r="U3948" s="1">
        <v>50</v>
      </c>
      <c r="V3948" s="5">
        <v>44419</v>
      </c>
      <c r="W3948" s="5">
        <v>44319</v>
      </c>
      <c r="X3948" s="1">
        <v>849000</v>
      </c>
      <c r="Y3948" s="1">
        <v>849000</v>
      </c>
      <c r="Z3948" s="5">
        <v>44370</v>
      </c>
      <c r="AA3948" s="1">
        <v>799000</v>
      </c>
      <c r="AB3948" s="1" t="s">
        <v>275</v>
      </c>
      <c r="AC3948" s="5">
        <v>44411</v>
      </c>
      <c r="AF3948" s="1">
        <v>10016</v>
      </c>
      <c r="AI3948" s="1" t="s">
        <v>2690</v>
      </c>
      <c r="AJ3948" s="1">
        <v>2014</v>
      </c>
      <c r="AK3948" s="1" t="s">
        <v>55</v>
      </c>
      <c r="AL3948" s="1">
        <v>125</v>
      </c>
    </row>
    <row r="3949" spans="1:38" x14ac:dyDescent="0.2">
      <c r="A3949" s="2" t="str">
        <f>HYPERLINK("https://www.compass.com/listing/416-west-52nd-street-unit-201-manhattan-ny-10019/29389254958361841/","416 W 52nd St, Unit 201")</f>
        <v>416 W 52nd St, Unit 201</v>
      </c>
      <c r="B3949" s="2" t="str">
        <f>HYPERLINK("https://www.compass.com/building/nine52-manhattan-ny/281945622951555813/","Nine52")</f>
        <v>Nine52</v>
      </c>
      <c r="C3949" s="1" t="s">
        <v>90</v>
      </c>
      <c r="D3949" s="1" t="s">
        <v>41</v>
      </c>
      <c r="E3949" s="3">
        <v>597000</v>
      </c>
      <c r="F3949" s="1">
        <v>1332.5892857142801</v>
      </c>
      <c r="G3949" s="1">
        <v>2</v>
      </c>
      <c r="H3949" s="1" t="s">
        <v>99</v>
      </c>
      <c r="I3949" s="1">
        <v>1</v>
      </c>
      <c r="J3949" s="1">
        <v>1</v>
      </c>
      <c r="K3949" s="1">
        <v>1</v>
      </c>
      <c r="M3949" s="1">
        <v>448</v>
      </c>
      <c r="N3949" s="1">
        <v>372</v>
      </c>
      <c r="O3949" s="1">
        <v>1030</v>
      </c>
      <c r="P3949" s="1">
        <v>658</v>
      </c>
      <c r="Q3949" s="1" t="s">
        <v>42</v>
      </c>
      <c r="S3949" s="1" t="s">
        <v>42</v>
      </c>
      <c r="T3949" s="1" t="s">
        <v>273</v>
      </c>
      <c r="U3949" s="1">
        <v>23</v>
      </c>
      <c r="V3949" s="5">
        <v>43675</v>
      </c>
      <c r="W3949" s="5">
        <v>42416</v>
      </c>
      <c r="X3949" s="1">
        <v>597000</v>
      </c>
      <c r="Y3949" s="1">
        <v>597000</v>
      </c>
      <c r="Z3949" s="5">
        <v>42439</v>
      </c>
      <c r="AA3949" s="1">
        <v>597000</v>
      </c>
      <c r="AB3949" s="1" t="s">
        <v>2691</v>
      </c>
      <c r="AC3949" s="5">
        <v>42656</v>
      </c>
      <c r="AF3949" s="1">
        <v>10019</v>
      </c>
      <c r="AI3949" s="1" t="s">
        <v>48</v>
      </c>
      <c r="AJ3949" s="1">
        <v>1940</v>
      </c>
      <c r="AK3949" s="1" t="s">
        <v>108</v>
      </c>
      <c r="AL3949" s="1">
        <v>155</v>
      </c>
    </row>
    <row r="3950" spans="1:38" x14ac:dyDescent="0.2">
      <c r="A3950" s="2" t="str">
        <f>HYPERLINK("https://www.compass.com/listing/425-west-50th-street-unit-10h-manhattan-ny-10019/29389205952055489/","425 W 50th St, Unit 10H")</f>
        <v>425 W 50th St, Unit 10H</v>
      </c>
      <c r="B3950" s="2" t="str">
        <f>HYPERLINK("https://www.compass.com/building/stella-tower-manhattan-ny/281945855710262181/","Stella Tower")</f>
        <v>Stella Tower</v>
      </c>
      <c r="C3950" s="1" t="s">
        <v>90</v>
      </c>
      <c r="D3950" s="1" t="s">
        <v>41</v>
      </c>
      <c r="E3950" s="3">
        <v>729067</v>
      </c>
      <c r="F3950" s="1">
        <v>1043.0143061516401</v>
      </c>
      <c r="G3950" s="1">
        <v>3</v>
      </c>
      <c r="H3950" s="1" t="s">
        <v>99</v>
      </c>
      <c r="I3950" s="1">
        <v>1</v>
      </c>
      <c r="J3950" s="1">
        <v>1</v>
      </c>
      <c r="M3950" s="1">
        <v>699</v>
      </c>
      <c r="N3950" s="1">
        <v>790</v>
      </c>
      <c r="O3950" s="1">
        <v>1274</v>
      </c>
      <c r="P3950" s="1">
        <v>484</v>
      </c>
      <c r="Q3950" s="1" t="s">
        <v>42</v>
      </c>
      <c r="S3950" s="1" t="s">
        <v>42</v>
      </c>
      <c r="T3950" s="1" t="s">
        <v>273</v>
      </c>
      <c r="U3950" s="1">
        <v>222</v>
      </c>
      <c r="V3950" s="5">
        <v>42437</v>
      </c>
      <c r="W3950" s="5">
        <v>41859</v>
      </c>
      <c r="X3950" s="1">
        <v>716000</v>
      </c>
      <c r="Y3950" s="1">
        <v>716000</v>
      </c>
      <c r="AA3950" s="1">
        <v>729067</v>
      </c>
      <c r="AB3950" s="1" t="s">
        <v>2692</v>
      </c>
      <c r="AC3950" s="5">
        <v>42081</v>
      </c>
      <c r="AF3950" s="1">
        <v>10019</v>
      </c>
      <c r="AI3950" s="1" t="s">
        <v>80</v>
      </c>
      <c r="AJ3950" s="1">
        <v>1930</v>
      </c>
      <c r="AK3950" s="1" t="s">
        <v>46</v>
      </c>
      <c r="AL3950" s="1">
        <v>51</v>
      </c>
    </row>
    <row r="3951" spans="1:38" x14ac:dyDescent="0.2">
      <c r="A3951" s="2" t="str">
        <f>HYPERLINK("https://www.compass.com/listing/325-lexington-avenue-unit-5c-manhattan-ny-10016/29509811628501089/","325 Lexington Ave, Unit 5C")</f>
        <v>325 Lexington Ave, Unit 5C</v>
      </c>
      <c r="B3951" s="2" t="str">
        <f>HYPERLINK("https://www.compass.com/building/325-lex-condominium-manhattan-ny/281939882467713365/","325 Lex Condominium")</f>
        <v>325 Lex Condominium</v>
      </c>
      <c r="C3951" s="1" t="s">
        <v>59</v>
      </c>
      <c r="D3951" s="1" t="s">
        <v>41</v>
      </c>
      <c r="E3951" s="3">
        <v>877000</v>
      </c>
      <c r="F3951" s="1">
        <v>1483.9255499153901</v>
      </c>
      <c r="G3951" s="1">
        <v>3</v>
      </c>
      <c r="H3951" s="1">
        <v>1</v>
      </c>
      <c r="I3951" s="1">
        <v>1</v>
      </c>
      <c r="J3951" s="1">
        <v>1</v>
      </c>
      <c r="K3951" s="1">
        <v>1</v>
      </c>
      <c r="M3951" s="1">
        <v>591</v>
      </c>
      <c r="N3951" s="1">
        <v>883</v>
      </c>
      <c r="O3951" s="1">
        <v>1292</v>
      </c>
      <c r="P3951" s="1">
        <v>409</v>
      </c>
      <c r="Q3951" s="1" t="s">
        <v>42</v>
      </c>
      <c r="S3951" s="1" t="s">
        <v>42</v>
      </c>
      <c r="T3951" s="1" t="s">
        <v>273</v>
      </c>
      <c r="U3951" s="1">
        <v>337</v>
      </c>
      <c r="V3951" s="5">
        <v>44225</v>
      </c>
      <c r="W3951" s="5">
        <v>43252</v>
      </c>
      <c r="X3951" s="1">
        <v>999888</v>
      </c>
      <c r="Y3951" s="1">
        <v>895000</v>
      </c>
      <c r="Z3951" s="5">
        <v>43589</v>
      </c>
      <c r="AA3951" s="1">
        <v>877000</v>
      </c>
      <c r="AB3951" s="1" t="s">
        <v>2693</v>
      </c>
      <c r="AC3951" s="5">
        <v>43643</v>
      </c>
      <c r="AF3951" s="1">
        <v>10016</v>
      </c>
      <c r="AI3951" s="1" t="s">
        <v>206</v>
      </c>
      <c r="AJ3951" s="1">
        <v>2014</v>
      </c>
      <c r="AK3951" s="1" t="s">
        <v>49</v>
      </c>
      <c r="AL3951" s="1">
        <v>125</v>
      </c>
    </row>
    <row r="3952" spans="1:38" x14ac:dyDescent="0.2">
      <c r="A3952" s="2" t="str">
        <f>HYPERLINK("https://www.compass.com/listing/416-west-52nd-street-unit-ph826-manhattan-ny-10019/168086413747690561/","416 W 52nd St, Unit PH826")</f>
        <v>416 W 52nd St, Unit PH826</v>
      </c>
      <c r="B3952" s="2" t="str">
        <f>HYPERLINK("https://www.compass.com/building/nine52-manhattan-ny/281945622951555813/","Nine52")</f>
        <v>Nine52</v>
      </c>
      <c r="C3952" s="1" t="s">
        <v>90</v>
      </c>
      <c r="D3952" s="1" t="s">
        <v>41</v>
      </c>
      <c r="E3952" s="3">
        <v>940000</v>
      </c>
      <c r="F3952" s="1">
        <v>1617.90017211703</v>
      </c>
      <c r="G3952" s="1">
        <v>3</v>
      </c>
      <c r="H3952" s="1">
        <v>1</v>
      </c>
      <c r="I3952" s="1">
        <v>1</v>
      </c>
      <c r="J3952" s="1">
        <v>1</v>
      </c>
      <c r="K3952" s="1">
        <v>1</v>
      </c>
      <c r="M3952" s="1">
        <v>581</v>
      </c>
      <c r="N3952" s="1">
        <v>693</v>
      </c>
      <c r="O3952" s="1">
        <v>2031</v>
      </c>
      <c r="P3952" s="1">
        <v>1338</v>
      </c>
      <c r="Q3952" s="1" t="s">
        <v>105</v>
      </c>
      <c r="S3952" s="1" t="s">
        <v>105</v>
      </c>
      <c r="T3952" s="1" t="s">
        <v>273</v>
      </c>
      <c r="U3952" s="1">
        <v>214</v>
      </c>
      <c r="V3952" s="5">
        <v>43830</v>
      </c>
      <c r="W3952" s="5">
        <v>43484</v>
      </c>
      <c r="X3952" s="1">
        <v>999000</v>
      </c>
      <c r="Y3952" s="1">
        <v>949000</v>
      </c>
      <c r="Z3952" s="5">
        <v>43698</v>
      </c>
      <c r="AA3952" s="1">
        <v>940000</v>
      </c>
      <c r="AB3952" s="1" t="s">
        <v>275</v>
      </c>
      <c r="AC3952" s="5">
        <v>43817</v>
      </c>
      <c r="AF3952" s="1">
        <v>10019</v>
      </c>
      <c r="AI3952" s="1" t="s">
        <v>61</v>
      </c>
      <c r="AJ3952" s="1">
        <v>1940</v>
      </c>
      <c r="AK3952" s="1" t="s">
        <v>108</v>
      </c>
      <c r="AL3952" s="1">
        <v>155</v>
      </c>
    </row>
    <row r="3953" spans="1:38" x14ac:dyDescent="0.2">
      <c r="A3953" s="2" t="str">
        <f>HYPERLINK("https://www.compass.com/listing/1-west-end-avenue-unit-8f-manhattan-ny-10069/324912220534067393/","1 W End Ave, Unit 8F")</f>
        <v>1 W End Ave, Unit 8F</v>
      </c>
      <c r="B3953" s="2" t="str">
        <f>HYPERLINK("https://www.compass.com/building/1-w-end-ave-manhattan-ny-10069/455676159137755317/","1 W End Ave")</f>
        <v>1 W End Ave</v>
      </c>
      <c r="C3953" s="1" t="s">
        <v>57</v>
      </c>
      <c r="D3953" s="1" t="s">
        <v>41</v>
      </c>
      <c r="E3953" s="3">
        <v>482917</v>
      </c>
      <c r="F3953" s="1">
        <v>312.97265716137298</v>
      </c>
      <c r="M3953" s="4">
        <v>1543</v>
      </c>
      <c r="Q3953" s="1" t="s">
        <v>42</v>
      </c>
      <c r="S3953" s="1" t="s">
        <v>42</v>
      </c>
      <c r="T3953" s="1" t="s">
        <v>273</v>
      </c>
      <c r="AA3953" s="1">
        <v>482916.81</v>
      </c>
      <c r="AB3953" s="1" t="s">
        <v>2694</v>
      </c>
      <c r="AC3953" s="5">
        <v>43636</v>
      </c>
      <c r="AF3953" s="1">
        <v>10069</v>
      </c>
      <c r="AI3953" s="1" t="s">
        <v>76</v>
      </c>
      <c r="AJ3953" s="1">
        <v>2017</v>
      </c>
      <c r="AK3953" s="1" t="s">
        <v>55</v>
      </c>
      <c r="AL3953" s="1">
        <v>246</v>
      </c>
    </row>
    <row r="3954" spans="1:38" x14ac:dyDescent="0.2">
      <c r="A3954" s="2" t="str">
        <f>HYPERLINK("https://www.compass.com/listing/416-west-52nd-street-unit-324-manhattan-ny-10019/29389265192473825/","416 W 52nd St, Unit 324")</f>
        <v>416 W 52nd St, Unit 324</v>
      </c>
      <c r="B3954" s="2" t="str">
        <f>HYPERLINK("https://www.compass.com/building/nine52-manhattan-ny/281945622951555813/","Nine52")</f>
        <v>Nine52</v>
      </c>
      <c r="C3954" s="1" t="s">
        <v>90</v>
      </c>
      <c r="D3954" s="1" t="s">
        <v>41</v>
      </c>
      <c r="E3954" s="3">
        <v>679000</v>
      </c>
      <c r="F3954" s="1">
        <v>1529.27927927927</v>
      </c>
      <c r="G3954" s="1">
        <v>2</v>
      </c>
      <c r="H3954" s="1" t="s">
        <v>99</v>
      </c>
      <c r="I3954" s="1">
        <v>1</v>
      </c>
      <c r="J3954" s="1">
        <v>1</v>
      </c>
      <c r="K3954" s="1">
        <v>1</v>
      </c>
      <c r="M3954" s="1">
        <v>444</v>
      </c>
      <c r="N3954" s="1">
        <v>369</v>
      </c>
      <c r="O3954" s="1">
        <v>1020</v>
      </c>
      <c r="P3954" s="1">
        <v>651</v>
      </c>
      <c r="Q3954" s="1" t="s">
        <v>42</v>
      </c>
      <c r="S3954" s="1" t="s">
        <v>42</v>
      </c>
      <c r="T3954" s="1" t="s">
        <v>273</v>
      </c>
      <c r="U3954" s="1">
        <v>24</v>
      </c>
      <c r="V3954" s="5">
        <v>43673</v>
      </c>
      <c r="W3954" s="5">
        <v>42416</v>
      </c>
      <c r="X3954" s="1">
        <v>679000</v>
      </c>
      <c r="Y3954" s="1">
        <v>679000</v>
      </c>
      <c r="Z3954" s="5">
        <v>42440</v>
      </c>
      <c r="AA3954" s="1">
        <v>679000</v>
      </c>
      <c r="AB3954" s="1" t="s">
        <v>2695</v>
      </c>
      <c r="AC3954" s="5">
        <v>42643</v>
      </c>
      <c r="AF3954" s="1">
        <v>10019</v>
      </c>
      <c r="AI3954" s="1" t="s">
        <v>48</v>
      </c>
      <c r="AJ3954" s="1">
        <v>1940</v>
      </c>
      <c r="AK3954" s="1" t="s">
        <v>108</v>
      </c>
      <c r="AL3954" s="1">
        <v>155</v>
      </c>
    </row>
    <row r="3955" spans="1:38" x14ac:dyDescent="0.2">
      <c r="A3955" s="2" t="str">
        <f>HYPERLINK("https://www.compass.com/listing/425-west-50th-street-unit-12b-manhattan-ny-10019/29389212025475361/","425 W 50th St, Unit 12B")</f>
        <v>425 W 50th St, Unit 12B</v>
      </c>
      <c r="B3955" s="2" t="str">
        <f>HYPERLINK("https://www.compass.com/building/stella-tower-manhattan-ny/281945855710262181/","Stella Tower")</f>
        <v>Stella Tower</v>
      </c>
      <c r="C3955" s="1" t="s">
        <v>90</v>
      </c>
      <c r="D3955" s="1" t="s">
        <v>41</v>
      </c>
      <c r="E3955" s="3">
        <v>840056</v>
      </c>
      <c r="F3955" s="1">
        <v>1272.8125</v>
      </c>
      <c r="G3955" s="1">
        <v>2</v>
      </c>
      <c r="H3955" s="1" t="s">
        <v>99</v>
      </c>
      <c r="I3955" s="1">
        <v>1</v>
      </c>
      <c r="J3955" s="1">
        <v>1</v>
      </c>
      <c r="M3955" s="1">
        <v>660</v>
      </c>
      <c r="N3955" s="1">
        <v>747</v>
      </c>
      <c r="O3955" s="1">
        <v>1205</v>
      </c>
      <c r="P3955" s="1">
        <v>458</v>
      </c>
      <c r="Q3955" s="1" t="s">
        <v>42</v>
      </c>
      <c r="S3955" s="1" t="s">
        <v>42</v>
      </c>
      <c r="T3955" s="1" t="s">
        <v>273</v>
      </c>
      <c r="U3955" s="1">
        <v>220</v>
      </c>
      <c r="V3955" s="5">
        <v>42978</v>
      </c>
      <c r="W3955" s="5">
        <v>41859</v>
      </c>
      <c r="X3955" s="1">
        <v>825000</v>
      </c>
      <c r="Y3955" s="1">
        <v>825000</v>
      </c>
      <c r="AA3955" s="1">
        <v>840056.25</v>
      </c>
      <c r="AB3955" s="1" t="s">
        <v>2696</v>
      </c>
      <c r="AC3955" s="5">
        <v>42079</v>
      </c>
      <c r="AF3955" s="1">
        <v>10019</v>
      </c>
      <c r="AI3955" s="1" t="s">
        <v>80</v>
      </c>
      <c r="AJ3955" s="1">
        <v>1930</v>
      </c>
      <c r="AK3955" s="1" t="s">
        <v>46</v>
      </c>
      <c r="AL3955" s="1">
        <v>51</v>
      </c>
    </row>
    <row r="3956" spans="1:38" x14ac:dyDescent="0.2">
      <c r="A3956" s="2" t="str">
        <f>HYPERLINK("https://www.compass.com/listing/151-lenox-avenue-unit-3-manhattan-ny-10026/29432073450247329/","151 Lenox Ave, Unit 3")</f>
        <v>151 Lenox Ave, Unit 3</v>
      </c>
      <c r="B3956" s="2" t="str">
        <f>HYPERLINK("https://www.compass.com/building/151-lenox-ave-manhattan-ny-10026/281974820214762821/","151 Lenox Ave")</f>
        <v>151 Lenox Ave</v>
      </c>
      <c r="C3956" s="1" t="s">
        <v>85</v>
      </c>
      <c r="D3956" s="1" t="s">
        <v>41</v>
      </c>
      <c r="E3956" s="3">
        <v>1214968</v>
      </c>
      <c r="F3956" s="1">
        <v>981.39579967689804</v>
      </c>
      <c r="G3956" s="1">
        <v>5</v>
      </c>
      <c r="H3956" s="1">
        <v>2</v>
      </c>
      <c r="I3956" s="1">
        <v>2</v>
      </c>
      <c r="J3956" s="1">
        <v>2</v>
      </c>
      <c r="M3956" s="4">
        <v>1238</v>
      </c>
      <c r="N3956" s="1">
        <v>799</v>
      </c>
      <c r="O3956" s="1">
        <v>1911</v>
      </c>
      <c r="P3956" s="1">
        <v>1112</v>
      </c>
      <c r="Q3956" s="1" t="s">
        <v>42</v>
      </c>
      <c r="S3956" s="1" t="s">
        <v>42</v>
      </c>
      <c r="T3956" s="1" t="s">
        <v>273</v>
      </c>
      <c r="U3956" s="1">
        <v>108</v>
      </c>
      <c r="V3956" s="5">
        <v>43631</v>
      </c>
      <c r="W3956" s="5">
        <v>42385</v>
      </c>
      <c r="X3956" s="1">
        <v>1190000</v>
      </c>
      <c r="Y3956" s="1">
        <v>1190000</v>
      </c>
      <c r="Z3956" s="5">
        <v>42493</v>
      </c>
      <c r="AA3956" s="1">
        <v>1214968</v>
      </c>
      <c r="AB3956" s="1" t="s">
        <v>2697</v>
      </c>
      <c r="AC3956" s="5">
        <v>42627</v>
      </c>
      <c r="AF3956" s="1">
        <v>10026</v>
      </c>
      <c r="AJ3956" s="1">
        <v>1910</v>
      </c>
      <c r="AL3956" s="1">
        <v>5</v>
      </c>
    </row>
    <row r="3957" spans="1:38" x14ac:dyDescent="0.2">
      <c r="A3957" s="2" t="str">
        <f>HYPERLINK("https://www.compass.com/listing/416-west-52nd-street-unit-424-manhattan-ny-10019/29389273396532577/","416 W 52nd St, Unit 424")</f>
        <v>416 W 52nd St, Unit 424</v>
      </c>
      <c r="B3957" s="2" t="str">
        <f t="shared" ref="B3957:B3958" si="662">HYPERLINK("https://www.compass.com/building/nine52-manhattan-ny/281945622951555813/","Nine52")</f>
        <v>Nine52</v>
      </c>
      <c r="C3957" s="1" t="s">
        <v>90</v>
      </c>
      <c r="D3957" s="1" t="s">
        <v>41</v>
      </c>
      <c r="E3957" s="3">
        <v>704000</v>
      </c>
      <c r="F3957" s="1">
        <v>1585.58558558558</v>
      </c>
      <c r="G3957" s="1">
        <v>2</v>
      </c>
      <c r="H3957" s="1" t="s">
        <v>99</v>
      </c>
      <c r="I3957" s="1">
        <v>1</v>
      </c>
      <c r="J3957" s="1">
        <v>1</v>
      </c>
      <c r="K3957" s="1">
        <v>1</v>
      </c>
      <c r="M3957" s="1">
        <v>444</v>
      </c>
      <c r="N3957" s="1">
        <v>369</v>
      </c>
      <c r="O3957" s="1">
        <v>1019</v>
      </c>
      <c r="P3957" s="1">
        <v>650</v>
      </c>
      <c r="Q3957" s="1" t="s">
        <v>42</v>
      </c>
      <c r="S3957" s="1" t="s">
        <v>42</v>
      </c>
      <c r="T3957" s="1" t="s">
        <v>273</v>
      </c>
      <c r="U3957" s="1">
        <v>1</v>
      </c>
      <c r="V3957" s="5">
        <v>43675</v>
      </c>
      <c r="W3957" s="5">
        <v>42441</v>
      </c>
      <c r="X3957" s="1">
        <v>704000</v>
      </c>
      <c r="Y3957" s="1">
        <v>704000</v>
      </c>
      <c r="Z3957" s="5">
        <v>42442</v>
      </c>
      <c r="AA3957" s="1">
        <v>704000</v>
      </c>
      <c r="AB3957" s="1" t="s">
        <v>2698</v>
      </c>
      <c r="AC3957" s="5">
        <v>42643</v>
      </c>
      <c r="AF3957" s="1">
        <v>10019</v>
      </c>
      <c r="AI3957" s="1" t="s">
        <v>48</v>
      </c>
      <c r="AJ3957" s="1">
        <v>1940</v>
      </c>
      <c r="AK3957" s="1" t="s">
        <v>108</v>
      </c>
      <c r="AL3957" s="1">
        <v>155</v>
      </c>
    </row>
    <row r="3958" spans="1:38" x14ac:dyDescent="0.2">
      <c r="A3958" s="2" t="str">
        <f>HYPERLINK("https://www.compass.com/listing/416-west-52nd-street-unit-524-manhattan-ny-10019/29389280107408993/","416 W 52nd St, Unit 524")</f>
        <v>416 W 52nd St, Unit 524</v>
      </c>
      <c r="B3958" s="2" t="str">
        <f t="shared" si="662"/>
        <v>Nine52</v>
      </c>
      <c r="C3958" s="1" t="s">
        <v>90</v>
      </c>
      <c r="D3958" s="1" t="s">
        <v>41</v>
      </c>
      <c r="E3958" s="3">
        <v>729000</v>
      </c>
      <c r="F3958" s="1">
        <v>1641.8918918918901</v>
      </c>
      <c r="G3958" s="1">
        <v>2</v>
      </c>
      <c r="H3958" s="1" t="s">
        <v>99</v>
      </c>
      <c r="I3958" s="1">
        <v>1</v>
      </c>
      <c r="J3958" s="1">
        <v>1</v>
      </c>
      <c r="K3958" s="1">
        <v>1</v>
      </c>
      <c r="M3958" s="1">
        <v>444</v>
      </c>
      <c r="N3958" s="1">
        <v>369</v>
      </c>
      <c r="O3958" s="1">
        <v>1019</v>
      </c>
      <c r="P3958" s="1">
        <v>650</v>
      </c>
      <c r="Q3958" s="1" t="s">
        <v>42</v>
      </c>
      <c r="S3958" s="1" t="s">
        <v>42</v>
      </c>
      <c r="T3958" s="1" t="s">
        <v>273</v>
      </c>
      <c r="V3958" s="5">
        <v>43675</v>
      </c>
      <c r="W3958" s="5">
        <v>42441</v>
      </c>
      <c r="X3958" s="1">
        <v>729000</v>
      </c>
      <c r="Y3958" s="1">
        <v>729000</v>
      </c>
      <c r="Z3958" s="5">
        <v>42441</v>
      </c>
      <c r="AA3958" s="1">
        <v>729000</v>
      </c>
      <c r="AB3958" s="1" t="s">
        <v>2699</v>
      </c>
      <c r="AC3958" s="5">
        <v>42643</v>
      </c>
      <c r="AF3958" s="1">
        <v>10019</v>
      </c>
      <c r="AI3958" s="1" t="s">
        <v>48</v>
      </c>
      <c r="AJ3958" s="1">
        <v>1940</v>
      </c>
      <c r="AK3958" s="1" t="s">
        <v>108</v>
      </c>
      <c r="AL3958" s="1">
        <v>155</v>
      </c>
    </row>
    <row r="3959" spans="1:38" x14ac:dyDescent="0.2">
      <c r="A3959" s="2" t="str">
        <f>HYPERLINK("https://www.compass.com/listing/325-lexington-avenue-unit-7b-manhattan-ny-10016/29379692163254465/","325 Lexington Ave, Unit 7B")</f>
        <v>325 Lexington Ave, Unit 7B</v>
      </c>
      <c r="B3959" s="2" t="str">
        <f>HYPERLINK("https://www.compass.com/building/325-lex-condominium-manhattan-ny/281939882467713365/","325 Lex Condominium")</f>
        <v>325 Lex Condominium</v>
      </c>
      <c r="C3959" s="1" t="s">
        <v>59</v>
      </c>
      <c r="D3959" s="1" t="s">
        <v>41</v>
      </c>
      <c r="E3959" s="3">
        <v>840056</v>
      </c>
      <c r="F3959" s="1">
        <v>1683.4789579158301</v>
      </c>
      <c r="G3959" s="1">
        <v>2</v>
      </c>
      <c r="H3959" s="1" t="s">
        <v>99</v>
      </c>
      <c r="I3959" s="1">
        <v>1</v>
      </c>
      <c r="J3959" s="1">
        <v>1</v>
      </c>
      <c r="K3959" s="1">
        <v>1</v>
      </c>
      <c r="M3959" s="1">
        <v>499</v>
      </c>
      <c r="N3959" s="1">
        <v>675</v>
      </c>
      <c r="O3959" s="1">
        <v>822</v>
      </c>
      <c r="P3959" s="1">
        <v>147</v>
      </c>
      <c r="Q3959" s="1" t="s">
        <v>42</v>
      </c>
      <c r="S3959" s="1" t="s">
        <v>42</v>
      </c>
      <c r="T3959" s="1" t="s">
        <v>273</v>
      </c>
      <c r="U3959" s="1">
        <v>70</v>
      </c>
      <c r="V3959" s="5">
        <v>43668</v>
      </c>
      <c r="W3959" s="5">
        <v>41951</v>
      </c>
      <c r="X3959" s="1">
        <v>825000</v>
      </c>
      <c r="Y3959" s="1">
        <v>825000</v>
      </c>
      <c r="Z3959" s="5">
        <v>42021</v>
      </c>
      <c r="AA3959" s="1">
        <v>840056</v>
      </c>
      <c r="AB3959" s="1" t="s">
        <v>2700</v>
      </c>
      <c r="AC3959" s="5">
        <v>42077</v>
      </c>
      <c r="AF3959" s="1">
        <v>10016</v>
      </c>
      <c r="AI3959" s="1" t="s">
        <v>60</v>
      </c>
      <c r="AJ3959" s="1">
        <v>2014</v>
      </c>
      <c r="AK3959" s="1" t="s">
        <v>108</v>
      </c>
      <c r="AL3959" s="1">
        <v>125</v>
      </c>
    </row>
    <row r="3960" spans="1:38" x14ac:dyDescent="0.2">
      <c r="A3960" s="2" t="str">
        <f>HYPERLINK("https://www.compass.com/listing/425-west-50th-street-unit-12b-manhattan-ny-10019/29389212025475345/","425 W 50th St, Unit 12B")</f>
        <v>425 W 50th St, Unit 12B</v>
      </c>
      <c r="B3960" s="2" t="str">
        <f>HYPERLINK("https://www.compass.com/building/stella-tower-manhattan-ny/281945855710262181/","Stella Tower")</f>
        <v>Stella Tower</v>
      </c>
      <c r="C3960" s="1" t="s">
        <v>90</v>
      </c>
      <c r="D3960" s="1" t="s">
        <v>41</v>
      </c>
      <c r="E3960" s="3">
        <v>950000</v>
      </c>
      <c r="F3960" s="1">
        <v>1439.3939393939299</v>
      </c>
      <c r="G3960" s="1">
        <v>2</v>
      </c>
      <c r="H3960" s="1" t="s">
        <v>99</v>
      </c>
      <c r="I3960" s="1">
        <v>1</v>
      </c>
      <c r="J3960" s="1">
        <v>1</v>
      </c>
      <c r="M3960" s="1">
        <v>660</v>
      </c>
      <c r="N3960" s="1">
        <v>748</v>
      </c>
      <c r="O3960" s="1">
        <v>1568</v>
      </c>
      <c r="P3960" s="1">
        <v>820</v>
      </c>
      <c r="Q3960" s="1" t="s">
        <v>42</v>
      </c>
      <c r="S3960" s="1" t="s">
        <v>42</v>
      </c>
      <c r="T3960" s="1" t="s">
        <v>273</v>
      </c>
      <c r="U3960" s="1">
        <v>54</v>
      </c>
      <c r="V3960" s="5">
        <v>43648</v>
      </c>
      <c r="W3960" s="5">
        <v>43155</v>
      </c>
      <c r="X3960" s="1">
        <v>1150000</v>
      </c>
      <c r="Y3960" s="1">
        <v>980000</v>
      </c>
      <c r="Z3960" s="5">
        <v>43209</v>
      </c>
      <c r="AA3960" s="1">
        <v>950000</v>
      </c>
      <c r="AB3960" s="1" t="s">
        <v>2701</v>
      </c>
      <c r="AC3960" s="5">
        <v>43270</v>
      </c>
      <c r="AF3960" s="1">
        <v>10019</v>
      </c>
      <c r="AI3960" s="1" t="s">
        <v>80</v>
      </c>
      <c r="AJ3960" s="1">
        <v>1930</v>
      </c>
      <c r="AK3960" s="1" t="s">
        <v>46</v>
      </c>
      <c r="AL3960" s="1">
        <v>51</v>
      </c>
    </row>
    <row r="3961" spans="1:38" x14ac:dyDescent="0.2">
      <c r="A3961" s="2" t="str">
        <f>HYPERLINK("https://www.compass.com/listing/1-west-end-avenue-unit-17b-manhattan-ny-10069/29397332390934785/","1 W End Ave, Unit 17B")</f>
        <v>1 W End Ave, Unit 17B</v>
      </c>
      <c r="B3961" s="2" t="str">
        <f t="shared" ref="B3961:B3966" si="663">HYPERLINK("https://www.compass.com/building/1-w-end-ave-manhattan-ny-10069/455676159137755317/","1 W End Ave")</f>
        <v>1 W End Ave</v>
      </c>
      <c r="C3961" s="1" t="s">
        <v>57</v>
      </c>
      <c r="D3961" s="1" t="s">
        <v>41</v>
      </c>
      <c r="E3961" s="3">
        <v>1725828</v>
      </c>
      <c r="F3961" s="1">
        <v>1928.29944134078</v>
      </c>
      <c r="G3961" s="1">
        <v>3</v>
      </c>
      <c r="H3961" s="1">
        <v>1</v>
      </c>
      <c r="I3961" s="1">
        <v>1</v>
      </c>
      <c r="J3961" s="1">
        <v>1.5</v>
      </c>
      <c r="K3961" s="1">
        <v>1</v>
      </c>
      <c r="L3961" s="1">
        <v>1</v>
      </c>
      <c r="M3961" s="1">
        <v>895</v>
      </c>
      <c r="N3961" s="1">
        <v>973.79</v>
      </c>
      <c r="O3961" s="1">
        <v>1031.97</v>
      </c>
      <c r="P3961" s="1">
        <v>58.1666666666666</v>
      </c>
      <c r="Q3961" s="1" t="s">
        <v>42</v>
      </c>
      <c r="S3961" s="1" t="s">
        <v>42</v>
      </c>
      <c r="T3961" s="1" t="s">
        <v>273</v>
      </c>
      <c r="V3961" s="5">
        <v>43623</v>
      </c>
      <c r="W3961" s="5">
        <v>42207</v>
      </c>
      <c r="X3961" s="1">
        <v>1765000</v>
      </c>
      <c r="Y3961" s="1">
        <v>1765000</v>
      </c>
      <c r="Z3961" s="5">
        <v>42207</v>
      </c>
      <c r="AA3961" s="1">
        <v>1725828</v>
      </c>
      <c r="AB3961" s="1" t="s">
        <v>2702</v>
      </c>
      <c r="AC3961" s="5">
        <v>43005</v>
      </c>
      <c r="AF3961" s="1">
        <v>10069</v>
      </c>
      <c r="AI3961" s="1" t="s">
        <v>60</v>
      </c>
      <c r="AJ3961" s="1">
        <v>2017</v>
      </c>
      <c r="AK3961" s="1" t="s">
        <v>108</v>
      </c>
      <c r="AL3961" s="1">
        <v>246</v>
      </c>
    </row>
    <row r="3962" spans="1:38" x14ac:dyDescent="0.2">
      <c r="A3962" s="2" t="str">
        <f>HYPERLINK("https://www.compass.com/listing/1-west-end-avenue-unit-20b-manhattan-ny-10069/29397333414344977/","1 W End Ave, Unit 20B")</f>
        <v>1 W End Ave, Unit 20B</v>
      </c>
      <c r="B3962" s="2" t="str">
        <f t="shared" si="663"/>
        <v>1 W End Ave</v>
      </c>
      <c r="C3962" s="1" t="s">
        <v>57</v>
      </c>
      <c r="D3962" s="1" t="s">
        <v>41</v>
      </c>
      <c r="E3962" s="3">
        <v>1870937</v>
      </c>
      <c r="F3962" s="1">
        <v>2071.9125249169401</v>
      </c>
      <c r="G3962" s="1">
        <v>3</v>
      </c>
      <c r="H3962" s="1">
        <v>1</v>
      </c>
      <c r="I3962" s="1">
        <v>1</v>
      </c>
      <c r="J3962" s="1">
        <v>1.5</v>
      </c>
      <c r="K3962" s="1">
        <v>1</v>
      </c>
      <c r="L3962" s="1">
        <v>1</v>
      </c>
      <c r="M3962" s="1">
        <v>903</v>
      </c>
      <c r="N3962" s="1">
        <v>1011</v>
      </c>
      <c r="O3962" s="1">
        <v>1068</v>
      </c>
      <c r="P3962" s="1">
        <v>57</v>
      </c>
      <c r="Q3962" s="1" t="s">
        <v>42</v>
      </c>
      <c r="S3962" s="1" t="s">
        <v>42</v>
      </c>
      <c r="T3962" s="1" t="s">
        <v>273</v>
      </c>
      <c r="V3962" s="5">
        <v>43022</v>
      </c>
      <c r="W3962" s="5">
        <v>42912</v>
      </c>
      <c r="X3962" s="1">
        <v>1832500</v>
      </c>
      <c r="Y3962" s="1">
        <v>1832500</v>
      </c>
      <c r="Z3962" s="5">
        <v>42913</v>
      </c>
      <c r="AA3962" s="1">
        <v>1870937.01</v>
      </c>
      <c r="AB3962" s="1" t="s">
        <v>2703</v>
      </c>
      <c r="AC3962" s="5">
        <v>42983</v>
      </c>
      <c r="AF3962" s="1">
        <v>10069</v>
      </c>
      <c r="AI3962" s="1" t="s">
        <v>60</v>
      </c>
      <c r="AJ3962" s="1">
        <v>2017</v>
      </c>
      <c r="AK3962" s="1" t="s">
        <v>108</v>
      </c>
      <c r="AL3962" s="1">
        <v>246</v>
      </c>
    </row>
    <row r="3963" spans="1:38" x14ac:dyDescent="0.2">
      <c r="A3963" s="2" t="str">
        <f>HYPERLINK("https://www.compass.com/listing/1-west-end-avenue-unit-17e-manhattan-ny-10069/29397361172173041/","1 W End Ave, Unit 17E")</f>
        <v>1 W End Ave, Unit 17E</v>
      </c>
      <c r="B3963" s="2" t="str">
        <f t="shared" si="663"/>
        <v>1 W End Ave</v>
      </c>
      <c r="C3963" s="1" t="s">
        <v>57</v>
      </c>
      <c r="D3963" s="1" t="s">
        <v>41</v>
      </c>
      <c r="E3963" s="3">
        <v>1920014</v>
      </c>
      <c r="F3963" s="1">
        <v>1799.4507966260501</v>
      </c>
      <c r="G3963" s="1">
        <v>3</v>
      </c>
      <c r="H3963" s="1">
        <v>1</v>
      </c>
      <c r="I3963" s="1">
        <v>1</v>
      </c>
      <c r="J3963" s="1">
        <v>1.5</v>
      </c>
      <c r="K3963" s="1">
        <v>1</v>
      </c>
      <c r="L3963" s="1">
        <v>1</v>
      </c>
      <c r="M3963" s="4">
        <v>1067</v>
      </c>
      <c r="N3963" s="1">
        <v>1117</v>
      </c>
      <c r="O3963" s="1">
        <v>1184</v>
      </c>
      <c r="P3963" s="1">
        <v>67</v>
      </c>
      <c r="Q3963" s="1" t="s">
        <v>42</v>
      </c>
      <c r="S3963" s="1" t="s">
        <v>42</v>
      </c>
      <c r="T3963" s="1" t="s">
        <v>273</v>
      </c>
      <c r="U3963" s="1">
        <v>45</v>
      </c>
      <c r="V3963" s="5">
        <v>43623</v>
      </c>
      <c r="W3963" s="5">
        <v>42182</v>
      </c>
      <c r="X3963" s="1">
        <v>1880000</v>
      </c>
      <c r="Y3963" s="1">
        <v>1880000</v>
      </c>
      <c r="Z3963" s="5">
        <v>42227</v>
      </c>
      <c r="AA3963" s="1">
        <v>1920014</v>
      </c>
      <c r="AB3963" s="1" t="s">
        <v>2704</v>
      </c>
      <c r="AC3963" s="5">
        <v>43012</v>
      </c>
      <c r="AF3963" s="1">
        <v>10069</v>
      </c>
      <c r="AI3963" s="1" t="s">
        <v>60</v>
      </c>
      <c r="AJ3963" s="1">
        <v>2017</v>
      </c>
      <c r="AK3963" s="1" t="s">
        <v>108</v>
      </c>
      <c r="AL3963" s="1">
        <v>246</v>
      </c>
    </row>
    <row r="3964" spans="1:38" x14ac:dyDescent="0.2">
      <c r="A3964" s="2" t="str">
        <f>HYPERLINK("https://www.compass.com/listing/1-west-end-avenue-unit-16l-manhattan-ny-10069/29397397905871825/","1 W End Ave, Unit 16L")</f>
        <v>1 W End Ave, Unit 16L</v>
      </c>
      <c r="B3964" s="2" t="str">
        <f t="shared" si="663"/>
        <v>1 W End Ave</v>
      </c>
      <c r="C3964" s="1" t="s">
        <v>57</v>
      </c>
      <c r="D3964" s="1" t="s">
        <v>41</v>
      </c>
      <c r="E3964" s="3">
        <v>1603806</v>
      </c>
      <c r="F3964" s="1">
        <v>1745.1643090315499</v>
      </c>
      <c r="G3964" s="1">
        <v>3</v>
      </c>
      <c r="H3964" s="1">
        <v>1</v>
      </c>
      <c r="I3964" s="1">
        <v>1</v>
      </c>
      <c r="J3964" s="1">
        <v>1.5</v>
      </c>
      <c r="K3964" s="1">
        <v>1</v>
      </c>
      <c r="L3964" s="1">
        <v>1</v>
      </c>
      <c r="M3964" s="1">
        <v>919</v>
      </c>
      <c r="N3964" s="1">
        <v>993.82</v>
      </c>
      <c r="O3964" s="1">
        <v>1053.1400000000001</v>
      </c>
      <c r="P3964" s="1">
        <v>59.3333333333333</v>
      </c>
      <c r="Q3964" s="1" t="s">
        <v>42</v>
      </c>
      <c r="S3964" s="1" t="s">
        <v>42</v>
      </c>
      <c r="T3964" s="1" t="s">
        <v>273</v>
      </c>
      <c r="V3964" s="5">
        <v>43624</v>
      </c>
      <c r="W3964" s="5">
        <v>42203</v>
      </c>
      <c r="X3964" s="1">
        <v>1715000</v>
      </c>
      <c r="Y3964" s="1">
        <v>1715000</v>
      </c>
      <c r="Z3964" s="5">
        <v>42203</v>
      </c>
      <c r="AA3964" s="1">
        <v>1603806</v>
      </c>
      <c r="AB3964" s="1" t="s">
        <v>2705</v>
      </c>
      <c r="AC3964" s="5">
        <v>43209</v>
      </c>
      <c r="AF3964" s="1">
        <v>10069</v>
      </c>
      <c r="AI3964" s="1" t="s">
        <v>60</v>
      </c>
      <c r="AJ3964" s="1">
        <v>2017</v>
      </c>
      <c r="AK3964" s="1" t="s">
        <v>108</v>
      </c>
      <c r="AL3964" s="1">
        <v>246</v>
      </c>
    </row>
    <row r="3965" spans="1:38" x14ac:dyDescent="0.2">
      <c r="A3965" s="2" t="str">
        <f>HYPERLINK("https://www.compass.com/listing/1-west-end-avenue-unit-12l-manhattan-ny-10069/558404386127280497/","1 W End Ave, Unit 12L")</f>
        <v>1 W End Ave, Unit 12L</v>
      </c>
      <c r="B3965" s="2" t="str">
        <f t="shared" si="663"/>
        <v>1 W End Ave</v>
      </c>
      <c r="C3965" s="1" t="s">
        <v>57</v>
      </c>
      <c r="D3965" s="1" t="s">
        <v>41</v>
      </c>
      <c r="E3965" s="3">
        <v>1480000</v>
      </c>
      <c r="F3965" s="1">
        <v>1608.69565217391</v>
      </c>
      <c r="G3965" s="1">
        <v>3</v>
      </c>
      <c r="H3965" s="1">
        <v>1</v>
      </c>
      <c r="I3965" s="1">
        <v>2</v>
      </c>
      <c r="J3965" s="1">
        <v>1.5</v>
      </c>
      <c r="M3965" s="1">
        <v>920</v>
      </c>
      <c r="N3965" s="1">
        <v>1048</v>
      </c>
      <c r="O3965" s="1">
        <v>1110</v>
      </c>
      <c r="P3965" s="1">
        <v>62</v>
      </c>
      <c r="Q3965" s="1" t="s">
        <v>42</v>
      </c>
      <c r="S3965" s="1" t="s">
        <v>42</v>
      </c>
      <c r="T3965" s="1" t="s">
        <v>273</v>
      </c>
      <c r="U3965" s="1">
        <v>117</v>
      </c>
      <c r="V3965" s="5">
        <v>44070</v>
      </c>
      <c r="W3965" s="5">
        <v>44022</v>
      </c>
      <c r="X3965" s="1">
        <v>1595000</v>
      </c>
      <c r="Y3965" s="1">
        <v>1595000</v>
      </c>
      <c r="AA3965" s="1">
        <v>1480000</v>
      </c>
      <c r="AB3965" s="1" t="s">
        <v>2706</v>
      </c>
      <c r="AC3965" s="5">
        <v>44140</v>
      </c>
      <c r="AF3965" s="1">
        <v>10069</v>
      </c>
      <c r="AI3965" s="1" t="s">
        <v>205</v>
      </c>
      <c r="AJ3965" s="1">
        <v>2017</v>
      </c>
      <c r="AK3965" s="1" t="s">
        <v>46</v>
      </c>
      <c r="AL3965" s="1">
        <v>246</v>
      </c>
    </row>
    <row r="3966" spans="1:38" x14ac:dyDescent="0.2">
      <c r="A3966" s="2" t="str">
        <f>HYPERLINK("https://www.compass.com/listing/1-west-end-avenue-unit-11c-manhattan-ny-10069/803380926264205073/","1 W End Ave, Unit 11C")</f>
        <v>1 W End Ave, Unit 11C</v>
      </c>
      <c r="B3966" s="2" t="str">
        <f t="shared" si="663"/>
        <v>1 W End Ave</v>
      </c>
      <c r="C3966" s="1" t="s">
        <v>57</v>
      </c>
      <c r="D3966" s="1" t="s">
        <v>41</v>
      </c>
      <c r="E3966" s="3">
        <v>1515000</v>
      </c>
      <c r="F3966" s="1">
        <v>1922.5888324872999</v>
      </c>
      <c r="G3966" s="1">
        <v>3</v>
      </c>
      <c r="H3966" s="1">
        <v>1</v>
      </c>
      <c r="I3966" s="1">
        <v>1</v>
      </c>
      <c r="J3966" s="1">
        <v>1</v>
      </c>
      <c r="K3966" s="1">
        <v>1</v>
      </c>
      <c r="M3966" s="1">
        <v>788</v>
      </c>
      <c r="N3966" s="1">
        <v>920</v>
      </c>
      <c r="O3966" s="1">
        <v>970</v>
      </c>
      <c r="P3966" s="1">
        <v>50</v>
      </c>
      <c r="Q3966" s="1" t="s">
        <v>42</v>
      </c>
      <c r="S3966" s="1" t="s">
        <v>42</v>
      </c>
      <c r="T3966" s="1" t="s">
        <v>273</v>
      </c>
      <c r="U3966" s="1">
        <v>155</v>
      </c>
      <c r="V3966" s="5">
        <v>43924</v>
      </c>
      <c r="W3966" s="5">
        <v>43383</v>
      </c>
      <c r="X3966" s="1">
        <v>1599000</v>
      </c>
      <c r="Y3966" s="1">
        <v>1599000</v>
      </c>
      <c r="AA3966" s="1">
        <v>1515000</v>
      </c>
      <c r="AB3966" s="1" t="s">
        <v>1682</v>
      </c>
      <c r="AC3966" s="5">
        <v>43602</v>
      </c>
      <c r="AF3966" s="1">
        <v>10069</v>
      </c>
      <c r="AI3966" s="1" t="s">
        <v>76</v>
      </c>
      <c r="AJ3966" s="1">
        <v>2017</v>
      </c>
      <c r="AK3966" s="1" t="s">
        <v>108</v>
      </c>
      <c r="AL3966" s="1">
        <v>246</v>
      </c>
    </row>
    <row r="3967" spans="1:38" x14ac:dyDescent="0.2">
      <c r="A3967" s="2" t="str">
        <f>HYPERLINK("https://www.compass.com/listing/325-lexington-avenue-unit-21c-manhattan-ny-10016/620288180960387257/","325 Lexington Ave, Unit 21C")</f>
        <v>325 Lexington Ave, Unit 21C</v>
      </c>
      <c r="B3967" s="2" t="str">
        <f>HYPERLINK("https://www.compass.com/building/325-lex-condominium-manhattan-ny/281939882467713365/","325 Lex Condominium")</f>
        <v>325 Lex Condominium</v>
      </c>
      <c r="C3967" s="1" t="s">
        <v>59</v>
      </c>
      <c r="D3967" s="1" t="s">
        <v>41</v>
      </c>
      <c r="E3967" s="3">
        <v>880000</v>
      </c>
      <c r="F3967" s="1">
        <v>1692.3076923076901</v>
      </c>
      <c r="G3967" s="1">
        <v>3</v>
      </c>
      <c r="H3967" s="1">
        <v>1</v>
      </c>
      <c r="I3967" s="1">
        <v>1</v>
      </c>
      <c r="J3967" s="1">
        <v>1</v>
      </c>
      <c r="K3967" s="1">
        <v>1</v>
      </c>
      <c r="M3967" s="1">
        <v>520</v>
      </c>
      <c r="N3967" s="1">
        <v>846</v>
      </c>
      <c r="O3967" s="1">
        <v>1373</v>
      </c>
      <c r="P3967" s="1">
        <v>527</v>
      </c>
      <c r="Q3967" s="1" t="s">
        <v>42</v>
      </c>
      <c r="S3967" s="1" t="s">
        <v>42</v>
      </c>
      <c r="T3967" s="1" t="s">
        <v>273</v>
      </c>
      <c r="U3967" s="1">
        <v>252</v>
      </c>
      <c r="V3967" s="5">
        <v>44414</v>
      </c>
      <c r="W3967" s="5">
        <v>44110</v>
      </c>
      <c r="X3967" s="1">
        <v>1048000</v>
      </c>
      <c r="Y3967" s="1">
        <v>980000</v>
      </c>
      <c r="Z3967" s="5">
        <v>44363</v>
      </c>
      <c r="AA3967" s="1">
        <v>880000</v>
      </c>
      <c r="AB3967" s="1" t="s">
        <v>2707</v>
      </c>
      <c r="AC3967" s="5">
        <v>44406</v>
      </c>
      <c r="AF3967" s="1">
        <v>10016</v>
      </c>
      <c r="AI3967" s="1" t="s">
        <v>205</v>
      </c>
      <c r="AJ3967" s="1">
        <v>2014</v>
      </c>
      <c r="AK3967" s="1" t="s">
        <v>46</v>
      </c>
      <c r="AL3967" s="1">
        <v>125</v>
      </c>
    </row>
    <row r="3968" spans="1:38" x14ac:dyDescent="0.2">
      <c r="A3968" s="2" t="str">
        <f>HYPERLINK("https://www.compass.com/listing/1-west-end-avenue-unit-21d-manhattan-ny-10069/29397353060465217/","1 W End Ave, Unit 21D")</f>
        <v>1 W End Ave, Unit 21D</v>
      </c>
      <c r="B3968" s="2" t="str">
        <f>HYPERLINK("https://www.compass.com/building/1-w-end-ave-manhattan-ny-10069/455676159137755317/","1 W End Ave")</f>
        <v>1 W End Ave</v>
      </c>
      <c r="C3968" s="1" t="s">
        <v>57</v>
      </c>
      <c r="D3968" s="1" t="s">
        <v>41</v>
      </c>
      <c r="E3968" s="3">
        <v>2426586</v>
      </c>
      <c r="F3968" s="1">
        <v>1736.99785254115</v>
      </c>
      <c r="G3968" s="1">
        <v>4</v>
      </c>
      <c r="H3968" s="1">
        <v>2</v>
      </c>
      <c r="I3968" s="1">
        <v>1</v>
      </c>
      <c r="J3968" s="1">
        <v>1.5</v>
      </c>
      <c r="K3968" s="1">
        <v>1</v>
      </c>
      <c r="L3968" s="1">
        <v>1</v>
      </c>
      <c r="M3968" s="4">
        <v>1397</v>
      </c>
      <c r="N3968" s="1">
        <v>1612</v>
      </c>
      <c r="O3968" s="1">
        <v>1709</v>
      </c>
      <c r="P3968" s="1">
        <v>97</v>
      </c>
      <c r="Q3968" s="1" t="s">
        <v>42</v>
      </c>
      <c r="S3968" s="1" t="s">
        <v>42</v>
      </c>
      <c r="T3968" s="1" t="s">
        <v>273</v>
      </c>
      <c r="V3968" s="5">
        <v>43669</v>
      </c>
      <c r="W3968" s="5">
        <v>42294</v>
      </c>
      <c r="X3968" s="1">
        <v>2375000</v>
      </c>
      <c r="Y3968" s="1">
        <v>2375000</v>
      </c>
      <c r="Z3968" s="5">
        <v>42294</v>
      </c>
      <c r="AA3968" s="1">
        <v>2426586</v>
      </c>
      <c r="AB3968" s="1" t="s">
        <v>2708</v>
      </c>
      <c r="AC3968" s="5">
        <v>42999</v>
      </c>
      <c r="AF3968" s="1">
        <v>10069</v>
      </c>
      <c r="AI3968" s="1" t="s">
        <v>60</v>
      </c>
      <c r="AJ3968" s="1">
        <v>2017</v>
      </c>
      <c r="AK3968" s="1" t="s">
        <v>108</v>
      </c>
      <c r="AL3968" s="1">
        <v>246</v>
      </c>
    </row>
    <row r="3969" spans="1:38" x14ac:dyDescent="0.2">
      <c r="A3969" s="2" t="str">
        <f>HYPERLINK("https://www.compass.com/listing/151-lenox-avenue-unit-4-manhattan-ny-10026/29432073836124593/","151 Lenox Ave, Unit 4")</f>
        <v>151 Lenox Ave, Unit 4</v>
      </c>
      <c r="B3969" s="2" t="str">
        <f t="shared" ref="B3969:B3970" si="664">HYPERLINK("https://www.compass.com/building/151-lenox-ave-manhattan-ny-10026/281974820214762821/","151 Lenox Ave")</f>
        <v>151 Lenox Ave</v>
      </c>
      <c r="C3969" s="1" t="s">
        <v>85</v>
      </c>
      <c r="D3969" s="1" t="s">
        <v>41</v>
      </c>
      <c r="E3969" s="3">
        <v>924000</v>
      </c>
      <c r="F3969" s="1">
        <v>981.93411264612098</v>
      </c>
      <c r="G3969" s="1">
        <v>2</v>
      </c>
      <c r="H3969" s="1">
        <v>1</v>
      </c>
      <c r="I3969" s="1">
        <v>2</v>
      </c>
      <c r="J3969" s="1">
        <v>2</v>
      </c>
      <c r="M3969" s="1">
        <v>941</v>
      </c>
      <c r="N3969" s="1">
        <v>648</v>
      </c>
      <c r="O3969" s="1">
        <v>1583</v>
      </c>
      <c r="P3969" s="1">
        <v>935</v>
      </c>
      <c r="Q3969" s="1" t="s">
        <v>42</v>
      </c>
      <c r="S3969" s="1" t="s">
        <v>42</v>
      </c>
      <c r="T3969" s="1" t="s">
        <v>273</v>
      </c>
      <c r="U3969" s="1">
        <v>230</v>
      </c>
      <c r="V3969" s="5">
        <v>43665</v>
      </c>
      <c r="W3969" s="5">
        <v>42385</v>
      </c>
      <c r="X3969" s="1">
        <v>1075000</v>
      </c>
      <c r="Y3969" s="1">
        <v>899000</v>
      </c>
      <c r="Z3969" s="5">
        <v>42615</v>
      </c>
      <c r="AA3969" s="1">
        <v>924000</v>
      </c>
      <c r="AB3969" s="1" t="s">
        <v>2709</v>
      </c>
      <c r="AC3969" s="5">
        <v>42670</v>
      </c>
      <c r="AF3969" s="1">
        <v>10026</v>
      </c>
      <c r="AI3969" s="1" t="s">
        <v>216</v>
      </c>
      <c r="AJ3969" s="1">
        <v>1910</v>
      </c>
      <c r="AK3969" s="1" t="s">
        <v>75</v>
      </c>
      <c r="AL3969" s="1">
        <v>5</v>
      </c>
    </row>
    <row r="3970" spans="1:38" x14ac:dyDescent="0.2">
      <c r="A3970" s="2" t="str">
        <f>HYPERLINK("https://www.compass.com/listing/151-lenox-avenue-unit-5-manhattan-ny-10026/29432074255487105/","151 Lenox Ave, Unit 5")</f>
        <v>151 Lenox Ave, Unit 5</v>
      </c>
      <c r="B3970" s="2" t="str">
        <f t="shared" si="664"/>
        <v>151 Lenox Ave</v>
      </c>
      <c r="C3970" s="1" t="s">
        <v>85</v>
      </c>
      <c r="D3970" s="1" t="s">
        <v>41</v>
      </c>
      <c r="E3970" s="3">
        <v>934949</v>
      </c>
      <c r="F3970" s="1">
        <v>993.56960680127497</v>
      </c>
      <c r="G3970" s="1">
        <v>4</v>
      </c>
      <c r="H3970" s="1">
        <v>1</v>
      </c>
      <c r="I3970" s="1">
        <v>2</v>
      </c>
      <c r="J3970" s="1">
        <v>2</v>
      </c>
      <c r="M3970" s="1">
        <v>941</v>
      </c>
      <c r="N3970" s="1">
        <v>699</v>
      </c>
      <c r="O3970" s="1">
        <v>1707</v>
      </c>
      <c r="P3970" s="1">
        <v>1008</v>
      </c>
      <c r="Q3970" s="1" t="s">
        <v>42</v>
      </c>
      <c r="S3970" s="1" t="s">
        <v>42</v>
      </c>
      <c r="T3970" s="1" t="s">
        <v>273</v>
      </c>
      <c r="U3970" s="1">
        <v>416</v>
      </c>
      <c r="V3970" s="5">
        <v>43631</v>
      </c>
      <c r="W3970" s="5">
        <v>42185</v>
      </c>
      <c r="X3970" s="1">
        <v>1075000</v>
      </c>
      <c r="Y3970" s="1">
        <v>915000</v>
      </c>
      <c r="Z3970" s="5">
        <v>42601</v>
      </c>
      <c r="AA3970" s="1">
        <v>934949</v>
      </c>
      <c r="AB3970" s="1" t="s">
        <v>2710</v>
      </c>
      <c r="AC3970" s="5">
        <v>42661</v>
      </c>
      <c r="AF3970" s="1">
        <v>10026</v>
      </c>
      <c r="AI3970" s="1" t="s">
        <v>2711</v>
      </c>
      <c r="AJ3970" s="1">
        <v>1910</v>
      </c>
      <c r="AL3970" s="1">
        <v>5</v>
      </c>
    </row>
    <row r="3971" spans="1:38" x14ac:dyDescent="0.2">
      <c r="A3971" s="2" t="str">
        <f>HYPERLINK("https://www.compass.com/listing/416-west-52nd-street-unit-203-manhattan-ny-10019/29389255361025121/","416 W 52nd St, Unit 203")</f>
        <v>416 W 52nd St, Unit 203</v>
      </c>
      <c r="B3971" s="2" t="str">
        <f t="shared" ref="B3971:B3977" si="665">HYPERLINK("https://www.compass.com/building/nine52-manhattan-ny/281945622951555813/","Nine52")</f>
        <v>Nine52</v>
      </c>
      <c r="C3971" s="1" t="s">
        <v>90</v>
      </c>
      <c r="D3971" s="1" t="s">
        <v>41</v>
      </c>
      <c r="E3971" s="3">
        <v>736000</v>
      </c>
      <c r="F3971" s="1">
        <v>1474.94989979959</v>
      </c>
      <c r="G3971" s="1">
        <v>2</v>
      </c>
      <c r="H3971" s="1" t="s">
        <v>99</v>
      </c>
      <c r="I3971" s="1">
        <v>1</v>
      </c>
      <c r="J3971" s="1">
        <v>1</v>
      </c>
      <c r="K3971" s="1">
        <v>1</v>
      </c>
      <c r="M3971" s="1">
        <v>499</v>
      </c>
      <c r="N3971" s="1">
        <v>414</v>
      </c>
      <c r="O3971" s="1">
        <v>1146</v>
      </c>
      <c r="P3971" s="1">
        <v>732</v>
      </c>
      <c r="Q3971" s="1" t="s">
        <v>42</v>
      </c>
      <c r="S3971" s="1" t="s">
        <v>42</v>
      </c>
      <c r="T3971" s="1" t="s">
        <v>273</v>
      </c>
      <c r="U3971" s="1">
        <v>24</v>
      </c>
      <c r="V3971" s="5">
        <v>43675</v>
      </c>
      <c r="W3971" s="5">
        <v>42416</v>
      </c>
      <c r="X3971" s="1">
        <v>736000</v>
      </c>
      <c r="Y3971" s="1">
        <v>736000</v>
      </c>
      <c r="Z3971" s="5">
        <v>42440</v>
      </c>
      <c r="AA3971" s="1">
        <v>736000</v>
      </c>
      <c r="AB3971" s="1" t="s">
        <v>2712</v>
      </c>
      <c r="AC3971" s="5">
        <v>42643</v>
      </c>
      <c r="AF3971" s="1">
        <v>10019</v>
      </c>
      <c r="AI3971" s="1" t="s">
        <v>48</v>
      </c>
      <c r="AJ3971" s="1">
        <v>1940</v>
      </c>
      <c r="AK3971" s="1" t="s">
        <v>108</v>
      </c>
      <c r="AL3971" s="1">
        <v>155</v>
      </c>
    </row>
    <row r="3972" spans="1:38" x14ac:dyDescent="0.2">
      <c r="A3972" s="2" t="str">
        <f>HYPERLINK("https://www.compass.com/listing/416-west-52nd-street-unit-217-manhattan-ny-10019/282408093520846081/","416 W 52nd St, Unit 217")</f>
        <v>416 W 52nd St, Unit 217</v>
      </c>
      <c r="B3972" s="2" t="str">
        <f t="shared" si="665"/>
        <v>Nine52</v>
      </c>
      <c r="C3972" s="1" t="s">
        <v>90</v>
      </c>
      <c r="D3972" s="1" t="s">
        <v>41</v>
      </c>
      <c r="E3972" s="3">
        <v>999000</v>
      </c>
      <c r="F3972" s="1">
        <v>1299.08972691807</v>
      </c>
      <c r="G3972" s="1">
        <v>2</v>
      </c>
      <c r="H3972" s="1">
        <v>1</v>
      </c>
      <c r="I3972" s="1">
        <v>1</v>
      </c>
      <c r="J3972" s="1">
        <v>1</v>
      </c>
      <c r="K3972" s="1">
        <v>1</v>
      </c>
      <c r="M3972" s="1">
        <v>769</v>
      </c>
      <c r="N3972" s="1">
        <v>730</v>
      </c>
      <c r="O3972" s="1">
        <v>2150</v>
      </c>
      <c r="P3972" s="1">
        <v>1420</v>
      </c>
      <c r="Q3972" s="1" t="s">
        <v>105</v>
      </c>
      <c r="S3972" s="1" t="s">
        <v>105</v>
      </c>
      <c r="T3972" s="1" t="s">
        <v>273</v>
      </c>
      <c r="U3972" s="1">
        <v>511</v>
      </c>
      <c r="V3972" s="5">
        <v>44323</v>
      </c>
      <c r="W3972" s="5">
        <v>43636</v>
      </c>
      <c r="X3972" s="1">
        <v>1250000</v>
      </c>
      <c r="Y3972" s="1">
        <v>1200000</v>
      </c>
      <c r="Z3972" s="5">
        <v>44242</v>
      </c>
      <c r="AA3972" s="1">
        <v>999000</v>
      </c>
      <c r="AB3972" s="1" t="s">
        <v>2713</v>
      </c>
      <c r="AC3972" s="5">
        <v>44306</v>
      </c>
      <c r="AF3972" s="1">
        <v>10019</v>
      </c>
      <c r="AI3972" s="1" t="s">
        <v>2714</v>
      </c>
      <c r="AJ3972" s="1">
        <v>1940</v>
      </c>
      <c r="AK3972" s="1" t="s">
        <v>55</v>
      </c>
      <c r="AL3972" s="1">
        <v>155</v>
      </c>
    </row>
    <row r="3973" spans="1:38" x14ac:dyDescent="0.2">
      <c r="A3973" s="2" t="str">
        <f>HYPERLINK("https://www.compass.com/listing/416-west-52nd-street-unit-200-manhattan-ny-10019/29389254463376641/","416 W 52nd St, Unit 200")</f>
        <v>416 W 52nd St, Unit 200</v>
      </c>
      <c r="B3973" s="2" t="str">
        <f t="shared" si="665"/>
        <v>Nine52</v>
      </c>
      <c r="C3973" s="1" t="s">
        <v>90</v>
      </c>
      <c r="D3973" s="1" t="s">
        <v>41</v>
      </c>
      <c r="E3973" s="3">
        <v>859000</v>
      </c>
      <c r="F3973" s="1">
        <v>1359.1772151898699</v>
      </c>
      <c r="G3973" s="1">
        <v>3</v>
      </c>
      <c r="H3973" s="1">
        <v>1</v>
      </c>
      <c r="I3973" s="1">
        <v>1</v>
      </c>
      <c r="J3973" s="1">
        <v>1</v>
      </c>
      <c r="K3973" s="1">
        <v>1</v>
      </c>
      <c r="M3973" s="1">
        <v>632</v>
      </c>
      <c r="N3973" s="1">
        <v>525</v>
      </c>
      <c r="O3973" s="1">
        <v>1452</v>
      </c>
      <c r="P3973" s="1">
        <v>927</v>
      </c>
      <c r="Q3973" s="1" t="s">
        <v>42</v>
      </c>
      <c r="S3973" s="1" t="s">
        <v>42</v>
      </c>
      <c r="T3973" s="1" t="s">
        <v>273</v>
      </c>
      <c r="U3973" s="1">
        <v>23</v>
      </c>
      <c r="V3973" s="5">
        <v>43675</v>
      </c>
      <c r="W3973" s="5">
        <v>42416</v>
      </c>
      <c r="X3973" s="1">
        <v>859000</v>
      </c>
      <c r="Y3973" s="1">
        <v>859000</v>
      </c>
      <c r="Z3973" s="5">
        <v>42439</v>
      </c>
      <c r="AA3973" s="1">
        <v>859000</v>
      </c>
      <c r="AB3973" s="1" t="s">
        <v>2715</v>
      </c>
      <c r="AC3973" s="5">
        <v>42656</v>
      </c>
      <c r="AF3973" s="1">
        <v>10019</v>
      </c>
      <c r="AI3973" s="1" t="s">
        <v>48</v>
      </c>
      <c r="AJ3973" s="1">
        <v>1940</v>
      </c>
      <c r="AK3973" s="1" t="s">
        <v>108</v>
      </c>
      <c r="AL3973" s="1">
        <v>155</v>
      </c>
    </row>
    <row r="3974" spans="1:38" x14ac:dyDescent="0.2">
      <c r="A3974" s="2" t="str">
        <f>HYPERLINK("https://www.compass.com/listing/416-west-52nd-street-unit-403-manhattan-ny-10019/29389266995957185/","416 W 52nd St, Unit 403")</f>
        <v>416 W 52nd St, Unit 403</v>
      </c>
      <c r="B3974" s="2" t="str">
        <f t="shared" si="665"/>
        <v>Nine52</v>
      </c>
      <c r="C3974" s="1" t="s">
        <v>90</v>
      </c>
      <c r="D3974" s="1" t="s">
        <v>41</v>
      </c>
      <c r="E3974" s="3">
        <v>792000</v>
      </c>
      <c r="F3974" s="1">
        <v>1653.4446764091799</v>
      </c>
      <c r="G3974" s="1">
        <v>2</v>
      </c>
      <c r="H3974" s="1" t="s">
        <v>99</v>
      </c>
      <c r="I3974" s="1">
        <v>1</v>
      </c>
      <c r="J3974" s="1">
        <v>1</v>
      </c>
      <c r="K3974" s="1">
        <v>1</v>
      </c>
      <c r="M3974" s="1">
        <v>479</v>
      </c>
      <c r="N3974" s="1">
        <v>398</v>
      </c>
      <c r="O3974" s="1">
        <v>1098</v>
      </c>
      <c r="P3974" s="1">
        <v>700</v>
      </c>
      <c r="Q3974" s="1" t="s">
        <v>42</v>
      </c>
      <c r="S3974" s="1" t="s">
        <v>42</v>
      </c>
      <c r="T3974" s="1" t="s">
        <v>273</v>
      </c>
      <c r="V3974" s="5">
        <v>43675</v>
      </c>
      <c r="W3974" s="5">
        <v>42453</v>
      </c>
      <c r="X3974" s="1">
        <v>792000</v>
      </c>
      <c r="Y3974" s="1">
        <v>792000</v>
      </c>
      <c r="Z3974" s="5">
        <v>42453</v>
      </c>
      <c r="AA3974" s="1">
        <v>792000</v>
      </c>
      <c r="AB3974" s="1" t="s">
        <v>2716</v>
      </c>
      <c r="AC3974" s="5">
        <v>42643</v>
      </c>
      <c r="AF3974" s="1">
        <v>10019</v>
      </c>
      <c r="AI3974" s="1" t="s">
        <v>48</v>
      </c>
      <c r="AJ3974" s="1">
        <v>1940</v>
      </c>
      <c r="AK3974" s="1" t="s">
        <v>108</v>
      </c>
      <c r="AL3974" s="1">
        <v>155</v>
      </c>
    </row>
    <row r="3975" spans="1:38" x14ac:dyDescent="0.2">
      <c r="A3975" s="2" t="str">
        <f>HYPERLINK("https://www.compass.com/listing/416-west-52nd-street-unit-624-manhattan-ny-10019/29389285543169777/","416 W 52nd St, Unit 624")</f>
        <v>416 W 52nd St, Unit 624</v>
      </c>
      <c r="B3975" s="2" t="str">
        <f t="shared" si="665"/>
        <v>Nine52</v>
      </c>
      <c r="C3975" s="1" t="s">
        <v>90</v>
      </c>
      <c r="D3975" s="1" t="s">
        <v>41</v>
      </c>
      <c r="E3975" s="3">
        <v>772851</v>
      </c>
      <c r="F3975" s="1">
        <v>1740.6554054054</v>
      </c>
      <c r="G3975" s="1">
        <v>2</v>
      </c>
      <c r="H3975" s="1" t="s">
        <v>99</v>
      </c>
      <c r="I3975" s="1">
        <v>1</v>
      </c>
      <c r="J3975" s="1">
        <v>1</v>
      </c>
      <c r="K3975" s="1">
        <v>1</v>
      </c>
      <c r="M3975" s="1">
        <v>444</v>
      </c>
      <c r="N3975" s="1">
        <v>369</v>
      </c>
      <c r="O3975" s="1">
        <v>1019</v>
      </c>
      <c r="P3975" s="1">
        <v>650</v>
      </c>
      <c r="Q3975" s="1" t="s">
        <v>100</v>
      </c>
      <c r="S3975" s="1" t="s">
        <v>100</v>
      </c>
      <c r="T3975" s="1" t="s">
        <v>273</v>
      </c>
      <c r="V3975" s="5">
        <v>43675</v>
      </c>
      <c r="W3975" s="5">
        <v>42443</v>
      </c>
      <c r="X3975" s="1">
        <v>759000</v>
      </c>
      <c r="Y3975" s="1">
        <v>759000</v>
      </c>
      <c r="Z3975" s="5">
        <v>42443</v>
      </c>
      <c r="AA3975" s="1">
        <v>772851</v>
      </c>
      <c r="AB3975" s="1" t="s">
        <v>2717</v>
      </c>
      <c r="AC3975" s="5">
        <v>43097</v>
      </c>
      <c r="AF3975" s="1">
        <v>10019</v>
      </c>
      <c r="AI3975" s="1" t="s">
        <v>48</v>
      </c>
      <c r="AJ3975" s="1">
        <v>1940</v>
      </c>
      <c r="AK3975" s="1" t="s">
        <v>108</v>
      </c>
      <c r="AL3975" s="1">
        <v>155</v>
      </c>
    </row>
    <row r="3976" spans="1:38" x14ac:dyDescent="0.2">
      <c r="A3976" s="2" t="str">
        <f>HYPERLINK("https://www.compass.com/listing/416-west-52nd-street-unit-710-manhattan-ny-10019/29389288093306673/","416 W 52nd St, Unit 710")</f>
        <v>416 W 52nd St, Unit 710</v>
      </c>
      <c r="B3976" s="2" t="str">
        <f t="shared" si="665"/>
        <v>Nine52</v>
      </c>
      <c r="C3976" s="1" t="s">
        <v>90</v>
      </c>
      <c r="D3976" s="1" t="s">
        <v>41</v>
      </c>
      <c r="E3976" s="3">
        <v>966000</v>
      </c>
      <c r="F3976" s="1">
        <v>1725</v>
      </c>
      <c r="G3976" s="1">
        <v>3</v>
      </c>
      <c r="H3976" s="1">
        <v>1</v>
      </c>
      <c r="I3976" s="1">
        <v>1</v>
      </c>
      <c r="J3976" s="1">
        <v>1</v>
      </c>
      <c r="K3976" s="1">
        <v>1</v>
      </c>
      <c r="M3976" s="1">
        <v>560</v>
      </c>
      <c r="N3976" s="1">
        <v>465</v>
      </c>
      <c r="O3976" s="1">
        <v>1277</v>
      </c>
      <c r="P3976" s="1">
        <v>812</v>
      </c>
      <c r="Q3976" s="1" t="s">
        <v>42</v>
      </c>
      <c r="S3976" s="1" t="s">
        <v>42</v>
      </c>
      <c r="T3976" s="1" t="s">
        <v>273</v>
      </c>
      <c r="U3976" s="1">
        <v>1</v>
      </c>
      <c r="V3976" s="5">
        <v>43675</v>
      </c>
      <c r="W3976" s="5">
        <v>42440</v>
      </c>
      <c r="X3976" s="1">
        <v>966000</v>
      </c>
      <c r="Y3976" s="1">
        <v>966000</v>
      </c>
      <c r="Z3976" s="5">
        <v>42441</v>
      </c>
      <c r="AA3976" s="1">
        <v>966000</v>
      </c>
      <c r="AB3976" s="1" t="s">
        <v>2718</v>
      </c>
      <c r="AC3976" s="5">
        <v>42654</v>
      </c>
      <c r="AF3976" s="1">
        <v>10019</v>
      </c>
      <c r="AI3976" s="1" t="s">
        <v>48</v>
      </c>
      <c r="AJ3976" s="1">
        <v>1940</v>
      </c>
      <c r="AK3976" s="1" t="s">
        <v>108</v>
      </c>
      <c r="AL3976" s="1">
        <v>155</v>
      </c>
    </row>
    <row r="3977" spans="1:38" x14ac:dyDescent="0.2">
      <c r="A3977" s="2" t="str">
        <f>HYPERLINK("https://www.compass.com/listing/416-west-52nd-street-unit-724-manhattan-ny-10019/29389290073085505/","416 W 52nd St, Unit 724")</f>
        <v>416 W 52nd St, Unit 724</v>
      </c>
      <c r="B3977" s="2" t="str">
        <f t="shared" si="665"/>
        <v>Nine52</v>
      </c>
      <c r="C3977" s="1" t="s">
        <v>90</v>
      </c>
      <c r="D3977" s="1" t="s">
        <v>41</v>
      </c>
      <c r="E3977" s="3">
        <v>789000</v>
      </c>
      <c r="F3977" s="1">
        <v>1777.02702702702</v>
      </c>
      <c r="G3977" s="1">
        <v>2</v>
      </c>
      <c r="H3977" s="1" t="s">
        <v>99</v>
      </c>
      <c r="I3977" s="1">
        <v>1</v>
      </c>
      <c r="J3977" s="1">
        <v>1</v>
      </c>
      <c r="K3977" s="1">
        <v>1</v>
      </c>
      <c r="M3977" s="1">
        <v>444</v>
      </c>
      <c r="N3977" s="1">
        <v>369</v>
      </c>
      <c r="O3977" s="1">
        <v>1020</v>
      </c>
      <c r="P3977" s="1">
        <v>651</v>
      </c>
      <c r="Q3977" s="1" t="s">
        <v>42</v>
      </c>
      <c r="S3977" s="1" t="s">
        <v>42</v>
      </c>
      <c r="T3977" s="1" t="s">
        <v>273</v>
      </c>
      <c r="V3977" s="5">
        <v>43684</v>
      </c>
      <c r="W3977" s="5">
        <v>42447</v>
      </c>
      <c r="X3977" s="1">
        <v>789000</v>
      </c>
      <c r="Y3977" s="1">
        <v>789000</v>
      </c>
      <c r="Z3977" s="5">
        <v>42447</v>
      </c>
      <c r="AA3977" s="1">
        <v>789000</v>
      </c>
      <c r="AB3977" s="1" t="s">
        <v>275</v>
      </c>
      <c r="AC3977" s="5">
        <v>42679</v>
      </c>
      <c r="AF3977" s="1">
        <v>10019</v>
      </c>
      <c r="AI3977" s="1" t="s">
        <v>48</v>
      </c>
      <c r="AJ3977" s="1">
        <v>1940</v>
      </c>
      <c r="AK3977" s="1" t="s">
        <v>108</v>
      </c>
      <c r="AL3977" s="1">
        <v>155</v>
      </c>
    </row>
    <row r="3978" spans="1:38" x14ac:dyDescent="0.2">
      <c r="A3978" s="2" t="str">
        <f>HYPERLINK("https://www.compass.com/listing/1-west-end-avenue-unit-11c-manhattan-ny-10069/29397339303147889/","1 W End Ave, Unit 11C")</f>
        <v>1 W End Ave, Unit 11C</v>
      </c>
      <c r="B3978" s="2" t="str">
        <f>HYPERLINK("https://www.compass.com/building/1-w-end-ave-manhattan-ny-10069/455676159137755317/","1 W End Ave")</f>
        <v>1 W End Ave</v>
      </c>
      <c r="C3978" s="1" t="s">
        <v>57</v>
      </c>
      <c r="D3978" s="1" t="s">
        <v>41</v>
      </c>
      <c r="E3978" s="3">
        <v>1368935</v>
      </c>
      <c r="F3978" s="1">
        <v>1737.2271573604</v>
      </c>
      <c r="G3978" s="1">
        <v>3</v>
      </c>
      <c r="H3978" s="1">
        <v>1</v>
      </c>
      <c r="I3978" s="1">
        <v>1</v>
      </c>
      <c r="J3978" s="1">
        <v>1</v>
      </c>
      <c r="K3978" s="1">
        <v>1</v>
      </c>
      <c r="M3978" s="1">
        <v>788</v>
      </c>
      <c r="N3978" s="1">
        <v>884.42</v>
      </c>
      <c r="O3978" s="1">
        <v>937.20999999999901</v>
      </c>
      <c r="P3978" s="1">
        <v>52.75</v>
      </c>
      <c r="Q3978" s="1" t="s">
        <v>42</v>
      </c>
      <c r="S3978" s="1" t="s">
        <v>42</v>
      </c>
      <c r="T3978" s="1" t="s">
        <v>273</v>
      </c>
      <c r="V3978" s="5">
        <v>43649</v>
      </c>
      <c r="W3978" s="5">
        <v>42202</v>
      </c>
      <c r="X3978" s="1">
        <v>1550000</v>
      </c>
      <c r="Y3978" s="1">
        <v>1550000</v>
      </c>
      <c r="Z3978" s="5">
        <v>42202</v>
      </c>
      <c r="AA3978" s="1">
        <v>1368935</v>
      </c>
      <c r="AB3978" s="1" t="s">
        <v>2719</v>
      </c>
      <c r="AC3978" s="5">
        <v>43018</v>
      </c>
      <c r="AF3978" s="1">
        <v>10069</v>
      </c>
      <c r="AI3978" s="1" t="s">
        <v>60</v>
      </c>
      <c r="AJ3978" s="1">
        <v>2017</v>
      </c>
      <c r="AK3978" s="1" t="s">
        <v>108</v>
      </c>
      <c r="AL3978" s="1">
        <v>246</v>
      </c>
    </row>
    <row r="3979" spans="1:38" x14ac:dyDescent="0.2">
      <c r="A3979" s="2" t="str">
        <f>HYPERLINK("https://www.compass.com/listing/325-lexington-avenue-unit-5a-manhattan-ny-10016/29379687440529393/","325 Lexington Ave, Unit 5A")</f>
        <v>325 Lexington Ave, Unit 5A</v>
      </c>
      <c r="B3979" s="2" t="str">
        <f t="shared" ref="B3979:B3981" si="666">HYPERLINK("https://www.compass.com/building/325-lex-condominium-manhattan-ny/281939882467713365/","325 Lex Condominium")</f>
        <v>325 Lex Condominium</v>
      </c>
      <c r="C3979" s="1" t="s">
        <v>59</v>
      </c>
      <c r="D3979" s="1" t="s">
        <v>41</v>
      </c>
      <c r="E3979" s="3">
        <v>738231</v>
      </c>
      <c r="F3979" s="1">
        <v>1488.3689516129</v>
      </c>
      <c r="G3979" s="1">
        <v>2</v>
      </c>
      <c r="H3979" s="1" t="s">
        <v>99</v>
      </c>
      <c r="I3979" s="1">
        <v>1</v>
      </c>
      <c r="J3979" s="1">
        <v>1</v>
      </c>
      <c r="K3979" s="1">
        <v>1</v>
      </c>
      <c r="M3979" s="1">
        <v>496</v>
      </c>
      <c r="N3979" s="1">
        <v>667</v>
      </c>
      <c r="O3979" s="1">
        <v>812</v>
      </c>
      <c r="P3979" s="1">
        <v>145</v>
      </c>
      <c r="Q3979" s="1" t="s">
        <v>42</v>
      </c>
      <c r="S3979" s="1" t="s">
        <v>42</v>
      </c>
      <c r="T3979" s="1" t="s">
        <v>273</v>
      </c>
      <c r="V3979" s="5">
        <v>43654</v>
      </c>
      <c r="W3979" s="5">
        <v>41953</v>
      </c>
      <c r="X3979" s="1">
        <v>760000</v>
      </c>
      <c r="Y3979" s="1">
        <v>760000</v>
      </c>
      <c r="Z3979" s="5">
        <v>41953</v>
      </c>
      <c r="AA3979" s="1">
        <v>738231</v>
      </c>
      <c r="AB3979" s="1" t="s">
        <v>2720</v>
      </c>
      <c r="AC3979" s="5">
        <v>42038</v>
      </c>
      <c r="AF3979" s="1">
        <v>10016</v>
      </c>
      <c r="AI3979" s="1" t="s">
        <v>60</v>
      </c>
      <c r="AJ3979" s="1">
        <v>2014</v>
      </c>
      <c r="AK3979" s="1" t="s">
        <v>108</v>
      </c>
      <c r="AL3979" s="1">
        <v>125</v>
      </c>
    </row>
    <row r="3980" spans="1:38" x14ac:dyDescent="0.2">
      <c r="A3980" s="2" t="str">
        <f>HYPERLINK("https://www.compass.com/listing/325-lexington-avenue-unit-6c-manhattan-ny-10016/29379690552697409/","325 Lexington Ave, Unit 6C")</f>
        <v>325 Lexington Ave, Unit 6C</v>
      </c>
      <c r="B3980" s="2" t="str">
        <f t="shared" si="666"/>
        <v>325 Lex Condominium</v>
      </c>
      <c r="C3980" s="1" t="s">
        <v>59</v>
      </c>
      <c r="D3980" s="1" t="s">
        <v>41</v>
      </c>
      <c r="E3980" s="3">
        <v>855330</v>
      </c>
      <c r="F3980" s="1">
        <v>1447.2588832487299</v>
      </c>
      <c r="G3980" s="1">
        <v>2.5</v>
      </c>
      <c r="H3980" s="1" t="s">
        <v>153</v>
      </c>
      <c r="I3980" s="1">
        <v>1</v>
      </c>
      <c r="J3980" s="1">
        <v>1</v>
      </c>
      <c r="K3980" s="1">
        <v>1</v>
      </c>
      <c r="M3980" s="1">
        <v>591</v>
      </c>
      <c r="N3980" s="1">
        <v>761</v>
      </c>
      <c r="O3980" s="1">
        <v>927</v>
      </c>
      <c r="P3980" s="1">
        <v>166</v>
      </c>
      <c r="Q3980" s="1" t="s">
        <v>42</v>
      </c>
      <c r="S3980" s="1" t="s">
        <v>42</v>
      </c>
      <c r="T3980" s="1" t="s">
        <v>273</v>
      </c>
      <c r="U3980" s="1">
        <v>51</v>
      </c>
      <c r="V3980" s="5">
        <v>43654</v>
      </c>
      <c r="W3980" s="5">
        <v>41900</v>
      </c>
      <c r="X3980" s="1">
        <v>840000</v>
      </c>
      <c r="Y3980" s="1">
        <v>895000</v>
      </c>
      <c r="Z3980" s="5">
        <v>41951</v>
      </c>
      <c r="AA3980" s="1">
        <v>855330</v>
      </c>
      <c r="AB3980" s="1" t="s">
        <v>2721</v>
      </c>
      <c r="AC3980" s="5">
        <v>42038</v>
      </c>
      <c r="AF3980" s="1">
        <v>10016</v>
      </c>
      <c r="AI3980" s="1" t="s">
        <v>60</v>
      </c>
      <c r="AJ3980" s="1">
        <v>2014</v>
      </c>
      <c r="AK3980" s="1" t="s">
        <v>108</v>
      </c>
      <c r="AL3980" s="1">
        <v>125</v>
      </c>
    </row>
    <row r="3981" spans="1:38" x14ac:dyDescent="0.2">
      <c r="A3981" s="2" t="str">
        <f>HYPERLINK("https://www.compass.com/listing/325-lexington-avenue-unit-6e-manhattan-ny-10016/29509810076583025/","325 Lexington Ave, Unit 6E")</f>
        <v>325 Lexington Ave, Unit 6E</v>
      </c>
      <c r="B3981" s="2" t="str">
        <f t="shared" si="666"/>
        <v>325 Lex Condominium</v>
      </c>
      <c r="C3981" s="1" t="s">
        <v>59</v>
      </c>
      <c r="D3981" s="1" t="s">
        <v>41</v>
      </c>
      <c r="E3981" s="3">
        <v>768779</v>
      </c>
      <c r="F3981" s="1">
        <v>1534.48902195608</v>
      </c>
      <c r="G3981" s="1">
        <v>2</v>
      </c>
      <c r="H3981" s="1" t="s">
        <v>99</v>
      </c>
      <c r="I3981" s="1">
        <v>1</v>
      </c>
      <c r="J3981" s="1">
        <v>1</v>
      </c>
      <c r="K3981" s="1">
        <v>1</v>
      </c>
      <c r="M3981" s="1">
        <v>501</v>
      </c>
      <c r="N3981" s="1">
        <v>661</v>
      </c>
      <c r="O3981" s="1">
        <v>805</v>
      </c>
      <c r="P3981" s="1">
        <v>144</v>
      </c>
      <c r="Q3981" s="1" t="s">
        <v>42</v>
      </c>
      <c r="S3981" s="1" t="s">
        <v>42</v>
      </c>
      <c r="T3981" s="1" t="s">
        <v>273</v>
      </c>
      <c r="U3981" s="1">
        <v>51</v>
      </c>
      <c r="V3981" s="5">
        <v>43655</v>
      </c>
      <c r="W3981" s="5">
        <v>41900</v>
      </c>
      <c r="X3981" s="1">
        <v>755000</v>
      </c>
      <c r="Y3981" s="1">
        <v>820000</v>
      </c>
      <c r="Z3981" s="5">
        <v>41951</v>
      </c>
      <c r="AA3981" s="1">
        <v>768779</v>
      </c>
      <c r="AB3981" s="1" t="s">
        <v>2722</v>
      </c>
      <c r="AC3981" s="5">
        <v>42045</v>
      </c>
      <c r="AF3981" s="1">
        <v>10016</v>
      </c>
      <c r="AI3981" s="1" t="s">
        <v>60</v>
      </c>
      <c r="AJ3981" s="1">
        <v>2014</v>
      </c>
      <c r="AK3981" s="1" t="s">
        <v>108</v>
      </c>
      <c r="AL3981" s="1">
        <v>125</v>
      </c>
    </row>
    <row r="3982" spans="1:38" x14ac:dyDescent="0.2">
      <c r="A3982" s="2" t="str">
        <f>HYPERLINK("https://www.compass.com/listing/416-west-52nd-street-unit-308-manhattan-ny-10019/277083356737309729/","416 W 52nd St, Unit 308")</f>
        <v>416 W 52nd St, Unit 308</v>
      </c>
      <c r="B3982" s="2" t="str">
        <f t="shared" ref="B3982:B3988" si="667">HYPERLINK("https://www.compass.com/building/nine52-manhattan-ny/281945622951555813/","Nine52")</f>
        <v>Nine52</v>
      </c>
      <c r="C3982" s="1" t="s">
        <v>90</v>
      </c>
      <c r="D3982" s="1" t="s">
        <v>41</v>
      </c>
      <c r="E3982" s="3">
        <v>883000</v>
      </c>
      <c r="F3982" s="1">
        <v>1573.9750445632701</v>
      </c>
      <c r="G3982" s="1">
        <v>3</v>
      </c>
      <c r="H3982" s="1">
        <v>1</v>
      </c>
      <c r="I3982" s="1">
        <v>1</v>
      </c>
      <c r="J3982" s="1">
        <v>1</v>
      </c>
      <c r="M3982" s="1">
        <v>561</v>
      </c>
      <c r="N3982" s="1">
        <v>466</v>
      </c>
      <c r="O3982" s="1">
        <v>1286</v>
      </c>
      <c r="P3982" s="1">
        <v>820</v>
      </c>
      <c r="Q3982" s="1" t="s">
        <v>42</v>
      </c>
      <c r="S3982" s="1" t="s">
        <v>42</v>
      </c>
      <c r="T3982" s="1" t="s">
        <v>273</v>
      </c>
      <c r="U3982" s="1">
        <v>92</v>
      </c>
      <c r="V3982" s="5">
        <v>41640</v>
      </c>
      <c r="W3982" s="5">
        <v>42445</v>
      </c>
      <c r="X3982" s="1">
        <v>899000</v>
      </c>
      <c r="Y3982" s="1">
        <v>899000</v>
      </c>
      <c r="Z3982" s="5">
        <v>42538</v>
      </c>
      <c r="AA3982" s="1">
        <v>883000</v>
      </c>
      <c r="AB3982" s="1" t="s">
        <v>2723</v>
      </c>
      <c r="AC3982" s="5">
        <v>42634</v>
      </c>
      <c r="AF3982" s="1">
        <v>10019</v>
      </c>
      <c r="AI3982" s="1" t="s">
        <v>48</v>
      </c>
      <c r="AJ3982" s="1">
        <v>1940</v>
      </c>
      <c r="AK3982" s="1" t="s">
        <v>55</v>
      </c>
      <c r="AL3982" s="1">
        <v>155</v>
      </c>
    </row>
    <row r="3983" spans="1:38" x14ac:dyDescent="0.2">
      <c r="A3983" s="2" t="str">
        <f>HYPERLINK("https://www.compass.com/listing/416-west-52nd-street-unit-218-manhattan-ny-10019/29389257097399585/","416 W 52nd St, Unit 218")</f>
        <v>416 W 52nd St, Unit 218</v>
      </c>
      <c r="B3983" s="2" t="str">
        <f t="shared" si="667"/>
        <v>Nine52</v>
      </c>
      <c r="C3983" s="1" t="s">
        <v>90</v>
      </c>
      <c r="D3983" s="1" t="s">
        <v>41</v>
      </c>
      <c r="E3983" s="3">
        <v>750000</v>
      </c>
      <c r="F3983" s="1">
        <v>1304.3478260869499</v>
      </c>
      <c r="G3983" s="1">
        <v>1.5</v>
      </c>
      <c r="H3983" s="1" t="s">
        <v>153</v>
      </c>
      <c r="I3983" s="1">
        <v>1</v>
      </c>
      <c r="J3983" s="1">
        <v>1</v>
      </c>
      <c r="K3983" s="1">
        <v>1</v>
      </c>
      <c r="M3983" s="1">
        <v>575</v>
      </c>
      <c r="N3983" s="1">
        <v>704</v>
      </c>
      <c r="O3983" s="1">
        <v>1914</v>
      </c>
      <c r="P3983" s="1">
        <v>1210</v>
      </c>
      <c r="Q3983" s="1" t="s">
        <v>42</v>
      </c>
      <c r="S3983" s="1" t="s">
        <v>42</v>
      </c>
      <c r="T3983" s="1" t="s">
        <v>273</v>
      </c>
      <c r="U3983" s="1">
        <v>435</v>
      </c>
      <c r="V3983" s="5">
        <v>43186</v>
      </c>
      <c r="W3983" s="5">
        <v>42738</v>
      </c>
      <c r="X3983" s="1">
        <v>819000</v>
      </c>
      <c r="Y3983" s="1">
        <v>775000</v>
      </c>
      <c r="Z3983" s="5">
        <v>43173</v>
      </c>
      <c r="AA3983" s="1">
        <v>750000</v>
      </c>
      <c r="AB3983" s="1" t="s">
        <v>2724</v>
      </c>
      <c r="AC3983" s="5">
        <v>43262</v>
      </c>
      <c r="AF3983" s="1">
        <v>10019</v>
      </c>
      <c r="AI3983" s="1" t="s">
        <v>211</v>
      </c>
      <c r="AJ3983" s="1">
        <v>1940</v>
      </c>
      <c r="AK3983" s="1" t="s">
        <v>108</v>
      </c>
      <c r="AL3983" s="1">
        <v>155</v>
      </c>
    </row>
    <row r="3984" spans="1:38" x14ac:dyDescent="0.2">
      <c r="A3984" s="2" t="str">
        <f>HYPERLINK("https://www.compass.com/listing/416-west-52nd-street-unit-303-manhattan-ny-10019/29389258842287393/","416 W 52nd St, Unit 303")</f>
        <v>416 W 52nd St, Unit 303</v>
      </c>
      <c r="B3984" s="2" t="str">
        <f t="shared" si="667"/>
        <v>Nine52</v>
      </c>
      <c r="C3984" s="1" t="s">
        <v>90</v>
      </c>
      <c r="D3984" s="1" t="s">
        <v>41</v>
      </c>
      <c r="E3984" s="3">
        <v>767000</v>
      </c>
      <c r="F3984" s="1">
        <v>1601.25260960334</v>
      </c>
      <c r="G3984" s="1">
        <v>2</v>
      </c>
      <c r="H3984" s="1" t="s">
        <v>99</v>
      </c>
      <c r="I3984" s="1">
        <v>1</v>
      </c>
      <c r="J3984" s="1">
        <v>1</v>
      </c>
      <c r="K3984" s="1">
        <v>1</v>
      </c>
      <c r="M3984" s="1">
        <v>479</v>
      </c>
      <c r="N3984" s="1">
        <v>398</v>
      </c>
      <c r="O3984" s="1">
        <v>1100</v>
      </c>
      <c r="P3984" s="1">
        <v>702</v>
      </c>
      <c r="Q3984" s="1" t="s">
        <v>42</v>
      </c>
      <c r="S3984" s="1" t="s">
        <v>42</v>
      </c>
      <c r="T3984" s="1" t="s">
        <v>273</v>
      </c>
      <c r="V3984" s="5">
        <v>43675</v>
      </c>
      <c r="W3984" s="5">
        <v>42448</v>
      </c>
      <c r="X3984" s="1">
        <v>767000</v>
      </c>
      <c r="Y3984" s="1">
        <v>767000</v>
      </c>
      <c r="Z3984" s="5">
        <v>42448</v>
      </c>
      <c r="AA3984" s="1">
        <v>767000</v>
      </c>
      <c r="AB3984" s="1" t="s">
        <v>2725</v>
      </c>
      <c r="AC3984" s="5">
        <v>42648</v>
      </c>
      <c r="AF3984" s="1">
        <v>10019</v>
      </c>
      <c r="AI3984" s="1" t="s">
        <v>48</v>
      </c>
      <c r="AJ3984" s="1">
        <v>1940</v>
      </c>
      <c r="AK3984" s="1" t="s">
        <v>108</v>
      </c>
      <c r="AL3984" s="1">
        <v>155</v>
      </c>
    </row>
    <row r="3985" spans="1:38" x14ac:dyDescent="0.2">
      <c r="A3985" s="2" t="str">
        <f>HYPERLINK("https://www.compass.com/listing/416-west-52nd-street-unit-410-manhattan-ny-10019/29389269697088993/","416 W 52nd St, Unit 410")</f>
        <v>416 W 52nd St, Unit 410</v>
      </c>
      <c r="B3985" s="2" t="str">
        <f t="shared" si="667"/>
        <v>Nine52</v>
      </c>
      <c r="C3985" s="1" t="s">
        <v>90</v>
      </c>
      <c r="D3985" s="1" t="s">
        <v>41</v>
      </c>
      <c r="E3985" s="3">
        <v>960000</v>
      </c>
      <c r="F3985" s="1">
        <v>1584.1584158415801</v>
      </c>
      <c r="G3985" s="1">
        <v>3</v>
      </c>
      <c r="H3985" s="1">
        <v>1</v>
      </c>
      <c r="I3985" s="1">
        <v>1</v>
      </c>
      <c r="J3985" s="1">
        <v>1</v>
      </c>
      <c r="K3985" s="1">
        <v>1</v>
      </c>
      <c r="M3985" s="1">
        <v>606</v>
      </c>
      <c r="N3985" s="1">
        <v>503</v>
      </c>
      <c r="O3985" s="1">
        <v>1383</v>
      </c>
      <c r="P3985" s="1">
        <v>880</v>
      </c>
      <c r="Q3985" s="1" t="s">
        <v>42</v>
      </c>
      <c r="S3985" s="1" t="s">
        <v>42</v>
      </c>
      <c r="T3985" s="1" t="s">
        <v>273</v>
      </c>
      <c r="V3985" s="5">
        <v>43675</v>
      </c>
      <c r="W3985" s="5">
        <v>42524</v>
      </c>
      <c r="X3985" s="1">
        <v>960000</v>
      </c>
      <c r="Y3985" s="1">
        <v>960000</v>
      </c>
      <c r="Z3985" s="5">
        <v>42524</v>
      </c>
      <c r="AA3985" s="1">
        <v>960000</v>
      </c>
      <c r="AB3985" s="1" t="s">
        <v>2726</v>
      </c>
      <c r="AC3985" s="5">
        <v>42713</v>
      </c>
      <c r="AF3985" s="1">
        <v>10019</v>
      </c>
      <c r="AI3985" s="1" t="s">
        <v>48</v>
      </c>
      <c r="AJ3985" s="1">
        <v>1940</v>
      </c>
      <c r="AK3985" s="1" t="s">
        <v>108</v>
      </c>
      <c r="AL3985" s="1">
        <v>155</v>
      </c>
    </row>
    <row r="3986" spans="1:38" x14ac:dyDescent="0.2">
      <c r="A3986" s="2" t="str">
        <f>HYPERLINK("https://www.compass.com/listing/416-west-52nd-street-unit-510-manhattan-ny-10019/29389276886193553/","416 W 52nd St, Unit 510")</f>
        <v>416 W 52nd St, Unit 510</v>
      </c>
      <c r="B3986" s="2" t="str">
        <f t="shared" si="667"/>
        <v>Nine52</v>
      </c>
      <c r="C3986" s="1" t="s">
        <v>90</v>
      </c>
      <c r="D3986" s="1" t="s">
        <v>41</v>
      </c>
      <c r="E3986" s="3">
        <v>984000</v>
      </c>
      <c r="F3986" s="1">
        <v>1623.7623762376199</v>
      </c>
      <c r="G3986" s="1">
        <v>3</v>
      </c>
      <c r="H3986" s="1">
        <v>1</v>
      </c>
      <c r="I3986" s="1">
        <v>1</v>
      </c>
      <c r="J3986" s="1">
        <v>1</v>
      </c>
      <c r="K3986" s="1">
        <v>1</v>
      </c>
      <c r="M3986" s="1">
        <v>606</v>
      </c>
      <c r="N3986" s="1">
        <v>503</v>
      </c>
      <c r="O3986" s="1">
        <v>1382</v>
      </c>
      <c r="P3986" s="1">
        <v>879</v>
      </c>
      <c r="Q3986" s="1" t="s">
        <v>42</v>
      </c>
      <c r="S3986" s="1" t="s">
        <v>42</v>
      </c>
      <c r="T3986" s="1" t="s">
        <v>273</v>
      </c>
      <c r="V3986" s="5">
        <v>43675</v>
      </c>
      <c r="W3986" s="5">
        <v>42564</v>
      </c>
      <c r="X3986" s="1">
        <v>984000</v>
      </c>
      <c r="Y3986" s="1">
        <v>984000</v>
      </c>
      <c r="Z3986" s="5">
        <v>42564</v>
      </c>
      <c r="AA3986" s="1">
        <v>984000</v>
      </c>
      <c r="AB3986" s="1" t="s">
        <v>2727</v>
      </c>
      <c r="AC3986" s="5">
        <v>42634</v>
      </c>
      <c r="AF3986" s="1">
        <v>10019</v>
      </c>
      <c r="AI3986" s="1" t="s">
        <v>48</v>
      </c>
      <c r="AJ3986" s="1">
        <v>1940</v>
      </c>
      <c r="AK3986" s="1" t="s">
        <v>108</v>
      </c>
      <c r="AL3986" s="1">
        <v>155</v>
      </c>
    </row>
    <row r="3987" spans="1:38" x14ac:dyDescent="0.2">
      <c r="A3987" s="2" t="str">
        <f>HYPERLINK("https://www.compass.com/listing/416-west-52nd-street-unit-703-manhattan-ny-10019/29389287212560097/","416 W 52nd St, Unit 703")</f>
        <v>416 W 52nd St, Unit 703</v>
      </c>
      <c r="B3987" s="2" t="str">
        <f t="shared" si="667"/>
        <v>Nine52</v>
      </c>
      <c r="C3987" s="1" t="s">
        <v>90</v>
      </c>
      <c r="D3987" s="1" t="s">
        <v>41</v>
      </c>
      <c r="E3987" s="3">
        <v>877000</v>
      </c>
      <c r="F3987" s="1">
        <v>1830.89770354906</v>
      </c>
      <c r="G3987" s="1">
        <v>2</v>
      </c>
      <c r="H3987" s="1" t="s">
        <v>99</v>
      </c>
      <c r="I3987" s="1">
        <v>1</v>
      </c>
      <c r="J3987" s="1">
        <v>1</v>
      </c>
      <c r="K3987" s="1">
        <v>1</v>
      </c>
      <c r="M3987" s="1">
        <v>479</v>
      </c>
      <c r="N3987" s="1">
        <v>398</v>
      </c>
      <c r="O3987" s="1">
        <v>1098</v>
      </c>
      <c r="P3987" s="1">
        <v>700</v>
      </c>
      <c r="Q3987" s="1" t="s">
        <v>42</v>
      </c>
      <c r="S3987" s="1" t="s">
        <v>42</v>
      </c>
      <c r="T3987" s="1" t="s">
        <v>273</v>
      </c>
      <c r="U3987" s="1">
        <v>1</v>
      </c>
      <c r="V3987" s="5">
        <v>43675</v>
      </c>
      <c r="W3987" s="5">
        <v>42441</v>
      </c>
      <c r="X3987" s="1">
        <v>877000</v>
      </c>
      <c r="Y3987" s="1">
        <v>877000</v>
      </c>
      <c r="Z3987" s="5">
        <v>42442</v>
      </c>
      <c r="AA3987" s="1">
        <v>877000</v>
      </c>
      <c r="AB3987" s="1" t="s">
        <v>2728</v>
      </c>
      <c r="AC3987" s="5">
        <v>42660</v>
      </c>
      <c r="AF3987" s="1">
        <v>10019</v>
      </c>
      <c r="AI3987" s="1" t="s">
        <v>48</v>
      </c>
      <c r="AJ3987" s="1">
        <v>1940</v>
      </c>
      <c r="AK3987" s="1" t="s">
        <v>108</v>
      </c>
      <c r="AL3987" s="1">
        <v>155</v>
      </c>
    </row>
    <row r="3988" spans="1:38" x14ac:dyDescent="0.2">
      <c r="A3988" s="2" t="str">
        <f>HYPERLINK("https://www.compass.com/listing/416-west-52nd-street-unit-711-manhattan-ny-10019/29389287623611937/","416 W 52nd St, Unit 711")</f>
        <v>416 W 52nd St, Unit 711</v>
      </c>
      <c r="B3988" s="2" t="str">
        <f t="shared" si="667"/>
        <v>Nine52</v>
      </c>
      <c r="C3988" s="1" t="s">
        <v>90</v>
      </c>
      <c r="D3988" s="1" t="s">
        <v>41</v>
      </c>
      <c r="E3988" s="3">
        <v>972429</v>
      </c>
      <c r="F3988" s="1">
        <v>1676.60172413793</v>
      </c>
      <c r="G3988" s="1">
        <v>3</v>
      </c>
      <c r="H3988" s="1">
        <v>1</v>
      </c>
      <c r="I3988" s="1">
        <v>1</v>
      </c>
      <c r="J3988" s="1">
        <v>1</v>
      </c>
      <c r="K3988" s="1">
        <v>1</v>
      </c>
      <c r="M3988" s="1">
        <v>580</v>
      </c>
      <c r="N3988" s="1">
        <v>482</v>
      </c>
      <c r="O3988" s="1">
        <v>1322</v>
      </c>
      <c r="P3988" s="1">
        <v>840</v>
      </c>
      <c r="Q3988" s="1" t="s">
        <v>42</v>
      </c>
      <c r="S3988" s="1" t="s">
        <v>42</v>
      </c>
      <c r="T3988" s="1" t="s">
        <v>273</v>
      </c>
      <c r="V3988" s="5">
        <v>43666</v>
      </c>
      <c r="W3988" s="5">
        <v>42584</v>
      </c>
      <c r="X3988" s="1">
        <v>970000</v>
      </c>
      <c r="Y3988" s="1">
        <v>970000</v>
      </c>
      <c r="Z3988" s="5">
        <v>42584</v>
      </c>
      <c r="AA3988" s="1">
        <v>972429</v>
      </c>
      <c r="AB3988" s="1" t="s">
        <v>2729</v>
      </c>
      <c r="AC3988" s="5">
        <v>42756</v>
      </c>
      <c r="AF3988" s="1">
        <v>10019</v>
      </c>
      <c r="AI3988" s="1" t="s">
        <v>48</v>
      </c>
      <c r="AJ3988" s="1">
        <v>1940</v>
      </c>
      <c r="AK3988" s="1" t="s">
        <v>108</v>
      </c>
      <c r="AL3988" s="1">
        <v>155</v>
      </c>
    </row>
    <row r="3989" spans="1:38" x14ac:dyDescent="0.2">
      <c r="A3989" s="2" t="str">
        <f>HYPERLINK("https://www.compass.com/listing/325-lexington-avenue-unit-11c-manhattan-ny-10016/29379700585472721/","325 Lexington Ave, Unit 11C")</f>
        <v>325 Lexington Ave, Unit 11C</v>
      </c>
      <c r="B3989" s="2" t="str">
        <f t="shared" ref="B3989:B3992" si="668">HYPERLINK("https://www.compass.com/building/325-lex-condominium-manhattan-ny/281939882467713365/","325 Lex Condominium")</f>
        <v>325 Lex Condominium</v>
      </c>
      <c r="C3989" s="1" t="s">
        <v>59</v>
      </c>
      <c r="D3989" s="1" t="s">
        <v>41</v>
      </c>
      <c r="E3989" s="3">
        <v>804418</v>
      </c>
      <c r="F3989" s="1">
        <v>1555.93423597678</v>
      </c>
      <c r="G3989" s="1">
        <v>3</v>
      </c>
      <c r="H3989" s="1">
        <v>1</v>
      </c>
      <c r="I3989" s="1">
        <v>1</v>
      </c>
      <c r="J3989" s="1">
        <v>1</v>
      </c>
      <c r="K3989" s="1">
        <v>1</v>
      </c>
      <c r="M3989" s="1">
        <v>517</v>
      </c>
      <c r="N3989" s="1">
        <v>713</v>
      </c>
      <c r="O3989" s="1">
        <v>868</v>
      </c>
      <c r="P3989" s="1">
        <v>155</v>
      </c>
      <c r="Q3989" s="1" t="s">
        <v>42</v>
      </c>
      <c r="S3989" s="1" t="s">
        <v>42</v>
      </c>
      <c r="T3989" s="1" t="s">
        <v>273</v>
      </c>
      <c r="V3989" s="5">
        <v>43654</v>
      </c>
      <c r="W3989" s="5">
        <v>41951</v>
      </c>
      <c r="X3989" s="1">
        <v>920000</v>
      </c>
      <c r="Y3989" s="1">
        <v>920000</v>
      </c>
      <c r="Z3989" s="5">
        <v>41951</v>
      </c>
      <c r="AA3989" s="1">
        <v>804418</v>
      </c>
      <c r="AB3989" s="1" t="s">
        <v>2730</v>
      </c>
      <c r="AC3989" s="5">
        <v>42038</v>
      </c>
      <c r="AF3989" s="1">
        <v>10016</v>
      </c>
      <c r="AI3989" s="1" t="s">
        <v>60</v>
      </c>
      <c r="AJ3989" s="1">
        <v>2014</v>
      </c>
      <c r="AK3989" s="1" t="s">
        <v>108</v>
      </c>
      <c r="AL3989" s="1">
        <v>125</v>
      </c>
    </row>
    <row r="3990" spans="1:38" x14ac:dyDescent="0.2">
      <c r="A3990" s="2" t="str">
        <f>HYPERLINK("https://www.compass.com/listing/325-lexington-avenue-unit-7a-manhattan-ny-10016/29379691693548113/","325 Lexington Ave, Unit 7A")</f>
        <v>325 Lexington Ave, Unit 7A</v>
      </c>
      <c r="B3990" s="2" t="str">
        <f t="shared" si="668"/>
        <v>325 Lex Condominium</v>
      </c>
      <c r="C3990" s="1" t="s">
        <v>59</v>
      </c>
      <c r="D3990" s="1" t="s">
        <v>41</v>
      </c>
      <c r="E3990" s="3">
        <v>784053</v>
      </c>
      <c r="F3990" s="1">
        <v>1571.2484969939801</v>
      </c>
      <c r="G3990" s="1">
        <v>2</v>
      </c>
      <c r="H3990" s="1" t="s">
        <v>99</v>
      </c>
      <c r="I3990" s="1">
        <v>1</v>
      </c>
      <c r="J3990" s="1">
        <v>1</v>
      </c>
      <c r="K3990" s="1">
        <v>1</v>
      </c>
      <c r="M3990" s="1">
        <v>499</v>
      </c>
      <c r="N3990" s="1">
        <v>671</v>
      </c>
      <c r="O3990" s="1">
        <v>817</v>
      </c>
      <c r="P3990" s="1">
        <v>146</v>
      </c>
      <c r="Q3990" s="1" t="s">
        <v>42</v>
      </c>
      <c r="S3990" s="1" t="s">
        <v>42</v>
      </c>
      <c r="T3990" s="1" t="s">
        <v>273</v>
      </c>
      <c r="U3990" s="1">
        <v>27</v>
      </c>
      <c r="V3990" s="5">
        <v>43654</v>
      </c>
      <c r="W3990" s="5">
        <v>41951</v>
      </c>
      <c r="X3990" s="1">
        <v>770000</v>
      </c>
      <c r="Y3990" s="1">
        <v>770000</v>
      </c>
      <c r="Z3990" s="5">
        <v>41978</v>
      </c>
      <c r="AA3990" s="1">
        <v>784053</v>
      </c>
      <c r="AB3990" s="1" t="s">
        <v>2731</v>
      </c>
      <c r="AC3990" s="5">
        <v>42039</v>
      </c>
      <c r="AF3990" s="1">
        <v>10016</v>
      </c>
      <c r="AI3990" s="1" t="s">
        <v>60</v>
      </c>
      <c r="AJ3990" s="1">
        <v>2014</v>
      </c>
      <c r="AK3990" s="1" t="s">
        <v>108</v>
      </c>
      <c r="AL3990" s="1">
        <v>125</v>
      </c>
    </row>
    <row r="3991" spans="1:38" x14ac:dyDescent="0.2">
      <c r="A3991" s="2" t="str">
        <f>HYPERLINK("https://www.compass.com/listing/325-lexington-avenue-unit-8a-manhattan-ny-10016/29379694075912817/","325 Lexington Ave, Unit 8A")</f>
        <v>325 Lexington Ave, Unit 8A</v>
      </c>
      <c r="B3991" s="2" t="str">
        <f t="shared" si="668"/>
        <v>325 Lex Condominium</v>
      </c>
      <c r="C3991" s="1" t="s">
        <v>59</v>
      </c>
      <c r="D3991" s="1" t="s">
        <v>41</v>
      </c>
      <c r="E3991" s="3">
        <v>753505</v>
      </c>
      <c r="F3991" s="1">
        <v>1519.16330645161</v>
      </c>
      <c r="G3991" s="1">
        <v>2</v>
      </c>
      <c r="H3991" s="1" t="s">
        <v>99</v>
      </c>
      <c r="I3991" s="1">
        <v>1</v>
      </c>
      <c r="J3991" s="1">
        <v>1</v>
      </c>
      <c r="K3991" s="1">
        <v>1</v>
      </c>
      <c r="M3991" s="1">
        <v>496</v>
      </c>
      <c r="N3991" s="1">
        <v>675</v>
      </c>
      <c r="O3991" s="1">
        <v>823</v>
      </c>
      <c r="P3991" s="1">
        <v>148</v>
      </c>
      <c r="Q3991" s="1" t="s">
        <v>42</v>
      </c>
      <c r="S3991" s="1" t="s">
        <v>42</v>
      </c>
      <c r="T3991" s="1" t="s">
        <v>273</v>
      </c>
      <c r="V3991" s="5">
        <v>43654</v>
      </c>
      <c r="W3991" s="5">
        <v>41951</v>
      </c>
      <c r="X3991" s="1">
        <v>775000</v>
      </c>
      <c r="Y3991" s="1">
        <v>775000</v>
      </c>
      <c r="Z3991" s="5">
        <v>41951</v>
      </c>
      <c r="AA3991" s="1">
        <v>753505</v>
      </c>
      <c r="AB3991" s="1" t="s">
        <v>2732</v>
      </c>
      <c r="AC3991" s="5">
        <v>42122</v>
      </c>
      <c r="AF3991" s="1">
        <v>10016</v>
      </c>
      <c r="AI3991" s="1" t="s">
        <v>209</v>
      </c>
      <c r="AJ3991" s="1">
        <v>2014</v>
      </c>
      <c r="AK3991" s="1" t="s">
        <v>108</v>
      </c>
      <c r="AL3991" s="1">
        <v>125</v>
      </c>
    </row>
    <row r="3992" spans="1:38" x14ac:dyDescent="0.2">
      <c r="A3992" s="2" t="str">
        <f>HYPERLINK("https://www.compass.com/listing/325-lexington-avenue-unit-6a-manhattan-ny-10016/29379689747335329/","325 Lexington Ave, Unit 6A")</f>
        <v>325 Lexington Ave, Unit 6A</v>
      </c>
      <c r="B3992" s="2" t="str">
        <f t="shared" si="668"/>
        <v>325 Lex Condominium</v>
      </c>
      <c r="C3992" s="1" t="s">
        <v>59</v>
      </c>
      <c r="D3992" s="1" t="s">
        <v>41</v>
      </c>
      <c r="E3992" s="3">
        <v>702593</v>
      </c>
      <c r="F3992" s="1">
        <v>1416.51814516129</v>
      </c>
      <c r="G3992" s="1">
        <v>2</v>
      </c>
      <c r="H3992" s="1" t="s">
        <v>99</v>
      </c>
      <c r="I3992" s="1">
        <v>1</v>
      </c>
      <c r="J3992" s="1">
        <v>1</v>
      </c>
      <c r="K3992" s="1">
        <v>1</v>
      </c>
      <c r="M3992" s="1">
        <v>496</v>
      </c>
      <c r="N3992" s="1">
        <v>668</v>
      </c>
      <c r="O3992" s="1">
        <v>814</v>
      </c>
      <c r="P3992" s="1">
        <v>146</v>
      </c>
      <c r="Q3992" s="1" t="s">
        <v>42</v>
      </c>
      <c r="S3992" s="1" t="s">
        <v>42</v>
      </c>
      <c r="T3992" s="1" t="s">
        <v>273</v>
      </c>
      <c r="V3992" s="5">
        <v>43655</v>
      </c>
      <c r="W3992" s="5">
        <v>41952</v>
      </c>
      <c r="X3992" s="1">
        <v>765000</v>
      </c>
      <c r="Y3992" s="1">
        <v>765000</v>
      </c>
      <c r="Z3992" s="5">
        <v>41952</v>
      </c>
      <c r="AA3992" s="1">
        <v>702593</v>
      </c>
      <c r="AB3992" s="1" t="s">
        <v>2733</v>
      </c>
      <c r="AC3992" s="5">
        <v>42042</v>
      </c>
      <c r="AF3992" s="1">
        <v>10016</v>
      </c>
      <c r="AI3992" s="1" t="s">
        <v>60</v>
      </c>
      <c r="AJ3992" s="1">
        <v>2014</v>
      </c>
      <c r="AK3992" s="1" t="s">
        <v>108</v>
      </c>
      <c r="AL3992" s="1">
        <v>125</v>
      </c>
    </row>
    <row r="3993" spans="1:38" x14ac:dyDescent="0.2">
      <c r="A3993" s="2" t="str">
        <f>HYPERLINK("https://www.compass.com/listing/416-west-52nd-street-unit-418-manhattan-ny-10019/29389274268937713/","416 W 52nd St, Unit 418")</f>
        <v>416 W 52nd St, Unit 418</v>
      </c>
      <c r="B3993" s="2" t="str">
        <f t="shared" ref="B3993:B3994" si="669">HYPERLINK("https://www.compass.com/building/nine52-manhattan-ny/281945622951555813/","Nine52")</f>
        <v>Nine52</v>
      </c>
      <c r="C3993" s="1" t="s">
        <v>90</v>
      </c>
      <c r="D3993" s="1" t="s">
        <v>41</v>
      </c>
      <c r="E3993" s="3">
        <v>780000</v>
      </c>
      <c r="F3993" s="1">
        <v>1684.6652267818499</v>
      </c>
      <c r="G3993" s="1">
        <v>2.5</v>
      </c>
      <c r="H3993" s="1" t="s">
        <v>153</v>
      </c>
      <c r="I3993" s="1">
        <v>1</v>
      </c>
      <c r="J3993" s="1">
        <v>1</v>
      </c>
      <c r="K3993" s="1">
        <v>1</v>
      </c>
      <c r="M3993" s="1">
        <v>463</v>
      </c>
      <c r="N3993" s="1">
        <v>384</v>
      </c>
      <c r="O3993" s="1">
        <v>1059</v>
      </c>
      <c r="P3993" s="1">
        <v>675</v>
      </c>
      <c r="Q3993" s="1" t="s">
        <v>42</v>
      </c>
      <c r="S3993" s="1" t="s">
        <v>42</v>
      </c>
      <c r="T3993" s="1" t="s">
        <v>273</v>
      </c>
      <c r="U3993" s="1">
        <v>20</v>
      </c>
      <c r="V3993" s="5">
        <v>43675</v>
      </c>
      <c r="W3993" s="5">
        <v>42497</v>
      </c>
      <c r="X3993" s="1">
        <v>799000</v>
      </c>
      <c r="Y3993" s="1">
        <v>799000</v>
      </c>
      <c r="Z3993" s="5">
        <v>42517</v>
      </c>
      <c r="AA3993" s="1">
        <v>780000</v>
      </c>
      <c r="AB3993" s="1" t="s">
        <v>2734</v>
      </c>
      <c r="AC3993" s="5">
        <v>42650</v>
      </c>
      <c r="AF3993" s="1">
        <v>10019</v>
      </c>
      <c r="AI3993" s="1" t="s">
        <v>48</v>
      </c>
      <c r="AJ3993" s="1">
        <v>1940</v>
      </c>
      <c r="AK3993" s="1" t="s">
        <v>108</v>
      </c>
      <c r="AL3993" s="1">
        <v>155</v>
      </c>
    </row>
    <row r="3994" spans="1:38" x14ac:dyDescent="0.2">
      <c r="A3994" s="2" t="str">
        <f>HYPERLINK("https://www.compass.com/listing/416-west-52nd-street-unit-508-manhattan-ny-10019/277083584144107361/","416 W 52nd St, Unit 508")</f>
        <v>416 W 52nd St, Unit 508</v>
      </c>
      <c r="B3994" s="2" t="str">
        <f t="shared" si="669"/>
        <v>Nine52</v>
      </c>
      <c r="C3994" s="1" t="s">
        <v>90</v>
      </c>
      <c r="D3994" s="1" t="s">
        <v>41</v>
      </c>
      <c r="E3994" s="3">
        <v>911000</v>
      </c>
      <c r="F3994" s="1">
        <v>1626.7857142857099</v>
      </c>
      <c r="G3994" s="1">
        <v>3</v>
      </c>
      <c r="H3994" s="1">
        <v>1</v>
      </c>
      <c r="I3994" s="1">
        <v>1</v>
      </c>
      <c r="J3994" s="1">
        <v>1</v>
      </c>
      <c r="M3994" s="1">
        <v>560</v>
      </c>
      <c r="N3994" s="1">
        <v>466</v>
      </c>
      <c r="O3994" s="1">
        <v>1286</v>
      </c>
      <c r="P3994" s="1">
        <v>820</v>
      </c>
      <c r="Q3994" s="1" t="s">
        <v>42</v>
      </c>
      <c r="S3994" s="1" t="s">
        <v>42</v>
      </c>
      <c r="T3994" s="1" t="s">
        <v>273</v>
      </c>
      <c r="V3994" s="5">
        <v>41640</v>
      </c>
      <c r="W3994" s="5">
        <v>42564</v>
      </c>
      <c r="X3994" s="1">
        <v>911000</v>
      </c>
      <c r="Y3994" s="1">
        <v>911000</v>
      </c>
      <c r="Z3994" s="5">
        <v>42565</v>
      </c>
      <c r="AA3994" s="1">
        <v>911000</v>
      </c>
      <c r="AB3994" s="1" t="s">
        <v>2735</v>
      </c>
      <c r="AC3994" s="5">
        <v>42634</v>
      </c>
      <c r="AF3994" s="1">
        <v>10019</v>
      </c>
      <c r="AI3994" s="1" t="s">
        <v>48</v>
      </c>
      <c r="AJ3994" s="1">
        <v>1940</v>
      </c>
      <c r="AK3994" s="1" t="s">
        <v>55</v>
      </c>
      <c r="AL3994" s="1">
        <v>155</v>
      </c>
    </row>
    <row r="3995" spans="1:38" x14ac:dyDescent="0.2">
      <c r="A3995" s="2" t="str">
        <f>HYPERLINK("https://www.compass.com/listing/1-west-end-avenue-unit-12g-manhattan-ny-10069/29397372379353553/","1 W End Ave, Unit 12G")</f>
        <v>1 W End Ave, Unit 12G</v>
      </c>
      <c r="B3995" s="2" t="str">
        <f>HYPERLINK("https://www.compass.com/building/1-w-end-ave-manhattan-ny-10069/455676159137755317/","1 W End Ave")</f>
        <v>1 W End Ave</v>
      </c>
      <c r="C3995" s="1" t="s">
        <v>57</v>
      </c>
      <c r="D3995" s="1" t="s">
        <v>41</v>
      </c>
      <c r="E3995" s="3">
        <v>2216969</v>
      </c>
      <c r="F3995" s="1">
        <v>1856.7579564489099</v>
      </c>
      <c r="G3995" s="1">
        <v>4</v>
      </c>
      <c r="H3995" s="1">
        <v>2</v>
      </c>
      <c r="I3995" s="1">
        <v>2</v>
      </c>
      <c r="J3995" s="1">
        <v>2</v>
      </c>
      <c r="K3995" s="1">
        <v>2</v>
      </c>
      <c r="M3995" s="4">
        <v>1194</v>
      </c>
      <c r="N3995" s="1">
        <v>1441</v>
      </c>
      <c r="O3995" s="1">
        <v>1527</v>
      </c>
      <c r="P3995" s="1">
        <v>86</v>
      </c>
      <c r="Q3995" s="1" t="s">
        <v>42</v>
      </c>
      <c r="S3995" s="1" t="s">
        <v>42</v>
      </c>
      <c r="T3995" s="1" t="s">
        <v>273</v>
      </c>
      <c r="U3995" s="1">
        <v>4</v>
      </c>
      <c r="V3995" s="5">
        <v>43623</v>
      </c>
      <c r="W3995" s="5">
        <v>42188</v>
      </c>
      <c r="X3995" s="1">
        <v>2305000</v>
      </c>
      <c r="Y3995" s="1">
        <v>2305000</v>
      </c>
      <c r="Z3995" s="5">
        <v>42192</v>
      </c>
      <c r="AA3995" s="1">
        <v>2216969</v>
      </c>
      <c r="AB3995" s="1" t="s">
        <v>2736</v>
      </c>
      <c r="AC3995" s="5">
        <v>43053</v>
      </c>
      <c r="AF3995" s="1">
        <v>10069</v>
      </c>
      <c r="AI3995" s="1" t="s">
        <v>60</v>
      </c>
      <c r="AJ3995" s="1">
        <v>2017</v>
      </c>
      <c r="AK3995" s="1" t="s">
        <v>108</v>
      </c>
      <c r="AL3995" s="1">
        <v>246</v>
      </c>
    </row>
    <row r="3996" spans="1:38" x14ac:dyDescent="0.2">
      <c r="A3996" s="2" t="str">
        <f>HYPERLINK("https://www.compass.com/listing/325-lexington-avenue-unit-7e-manhattan-ny-10016/29379693648099409/","325 Lexington Ave, Unit 7E")</f>
        <v>325 Lexington Ave, Unit 7E</v>
      </c>
      <c r="B3996" s="2" t="str">
        <f>HYPERLINK("https://www.compass.com/building/325-lex-condominium-manhattan-ny/281939882467713365/","325 Lex Condominium")</f>
        <v>325 Lex Condominium</v>
      </c>
      <c r="C3996" s="1" t="s">
        <v>59</v>
      </c>
      <c r="D3996" s="1" t="s">
        <v>41</v>
      </c>
      <c r="E3996" s="3">
        <v>840056</v>
      </c>
      <c r="F3996" s="1">
        <v>1676.7584830339299</v>
      </c>
      <c r="G3996" s="1">
        <v>2</v>
      </c>
      <c r="H3996" s="1" t="s">
        <v>99</v>
      </c>
      <c r="I3996" s="1">
        <v>1</v>
      </c>
      <c r="J3996" s="1">
        <v>1</v>
      </c>
      <c r="K3996" s="1">
        <v>1</v>
      </c>
      <c r="M3996" s="1">
        <v>501</v>
      </c>
      <c r="N3996" s="1">
        <v>678</v>
      </c>
      <c r="O3996" s="1">
        <v>826</v>
      </c>
      <c r="P3996" s="1">
        <v>148</v>
      </c>
      <c r="Q3996" s="1" t="s">
        <v>42</v>
      </c>
      <c r="S3996" s="1" t="s">
        <v>42</v>
      </c>
      <c r="T3996" s="1" t="s">
        <v>273</v>
      </c>
      <c r="U3996" s="1">
        <v>46</v>
      </c>
      <c r="V3996" s="5">
        <v>43654</v>
      </c>
      <c r="W3996" s="5">
        <v>41951</v>
      </c>
      <c r="X3996" s="1">
        <v>825000</v>
      </c>
      <c r="Y3996" s="1">
        <v>825000</v>
      </c>
      <c r="Z3996" s="5">
        <v>41997</v>
      </c>
      <c r="AA3996" s="1">
        <v>840056</v>
      </c>
      <c r="AB3996" s="1" t="s">
        <v>2737</v>
      </c>
      <c r="AC3996" s="5">
        <v>42047</v>
      </c>
      <c r="AF3996" s="1">
        <v>10016</v>
      </c>
      <c r="AI3996" s="1" t="s">
        <v>60</v>
      </c>
      <c r="AJ3996" s="1">
        <v>2014</v>
      </c>
      <c r="AK3996" s="1" t="s">
        <v>108</v>
      </c>
      <c r="AL3996" s="1">
        <v>125</v>
      </c>
    </row>
    <row r="3997" spans="1:38" x14ac:dyDescent="0.2">
      <c r="A3997" s="2" t="str">
        <f>HYPERLINK("https://www.compass.com/listing/1-west-end-avenue-unit-9c-manhattan-ny-10069/29397338531301473/","1 W End Ave, Unit 9C")</f>
        <v>1 W End Ave, Unit 9C</v>
      </c>
      <c r="B3997" s="2" t="str">
        <f t="shared" ref="B3997:B4005" si="670">HYPERLINK("https://www.compass.com/building/1-w-end-ave-manhattan-ny-10069/455676159137755317/","1 W End Ave")</f>
        <v>1 W End Ave</v>
      </c>
      <c r="C3997" s="1" t="s">
        <v>57</v>
      </c>
      <c r="D3997" s="1" t="s">
        <v>41</v>
      </c>
      <c r="E3997" s="3">
        <v>1338385</v>
      </c>
      <c r="F3997" s="1">
        <v>1698.45812182741</v>
      </c>
      <c r="G3997" s="1">
        <v>3</v>
      </c>
      <c r="H3997" s="1">
        <v>1</v>
      </c>
      <c r="I3997" s="1">
        <v>1</v>
      </c>
      <c r="J3997" s="1">
        <v>1</v>
      </c>
      <c r="K3997" s="1">
        <v>1</v>
      </c>
      <c r="M3997" s="1">
        <v>788</v>
      </c>
      <c r="N3997" s="1">
        <v>884.42</v>
      </c>
      <c r="O3997" s="1">
        <v>937.20999999999901</v>
      </c>
      <c r="P3997" s="1">
        <v>52.75</v>
      </c>
      <c r="Q3997" s="1" t="s">
        <v>42</v>
      </c>
      <c r="S3997" s="1" t="s">
        <v>42</v>
      </c>
      <c r="T3997" s="1" t="s">
        <v>273</v>
      </c>
      <c r="V3997" s="5">
        <v>43640</v>
      </c>
      <c r="W3997" s="5">
        <v>42203</v>
      </c>
      <c r="X3997" s="1">
        <v>1520000</v>
      </c>
      <c r="Y3997" s="1">
        <v>1520000</v>
      </c>
      <c r="Z3997" s="5">
        <v>42203</v>
      </c>
      <c r="AA3997" s="1">
        <v>1338385</v>
      </c>
      <c r="AB3997" s="1" t="s">
        <v>2738</v>
      </c>
      <c r="AC3997" s="5">
        <v>43008</v>
      </c>
      <c r="AF3997" s="1">
        <v>10069</v>
      </c>
      <c r="AI3997" s="1" t="s">
        <v>60</v>
      </c>
      <c r="AJ3997" s="1">
        <v>2017</v>
      </c>
      <c r="AK3997" s="1" t="s">
        <v>108</v>
      </c>
      <c r="AL3997" s="1">
        <v>246</v>
      </c>
    </row>
    <row r="3998" spans="1:38" x14ac:dyDescent="0.2">
      <c r="A3998" s="2" t="str">
        <f>HYPERLINK("https://www.compass.com/listing/1-west-end-avenue-unit-12c-manhattan-ny-10069/29397339663763585/","1 W End Ave, Unit 12C")</f>
        <v>1 W End Ave, Unit 12C</v>
      </c>
      <c r="B3998" s="2" t="str">
        <f t="shared" si="670"/>
        <v>1 W End Ave</v>
      </c>
      <c r="C3998" s="1" t="s">
        <v>57</v>
      </c>
      <c r="D3998" s="1" t="s">
        <v>41</v>
      </c>
      <c r="E3998" s="3">
        <v>1384206</v>
      </c>
      <c r="F3998" s="1">
        <v>1756.60659898477</v>
      </c>
      <c r="G3998" s="1">
        <v>3</v>
      </c>
      <c r="H3998" s="1">
        <v>1</v>
      </c>
      <c r="I3998" s="1">
        <v>1</v>
      </c>
      <c r="J3998" s="1">
        <v>1</v>
      </c>
      <c r="K3998" s="1">
        <v>1</v>
      </c>
      <c r="M3998" s="1">
        <v>788</v>
      </c>
      <c r="N3998" s="1">
        <v>884.42</v>
      </c>
      <c r="O3998" s="1">
        <v>937.20999999999901</v>
      </c>
      <c r="P3998" s="1">
        <v>52.75</v>
      </c>
      <c r="Q3998" s="1" t="s">
        <v>42</v>
      </c>
      <c r="S3998" s="1" t="s">
        <v>42</v>
      </c>
      <c r="T3998" s="1" t="s">
        <v>273</v>
      </c>
      <c r="V3998" s="5">
        <v>43623</v>
      </c>
      <c r="W3998" s="5">
        <v>42202</v>
      </c>
      <c r="X3998" s="1">
        <v>1565000</v>
      </c>
      <c r="Y3998" s="1">
        <v>1565000</v>
      </c>
      <c r="Z3998" s="5">
        <v>42202</v>
      </c>
      <c r="AA3998" s="1">
        <v>1384206</v>
      </c>
      <c r="AB3998" s="1" t="s">
        <v>2739</v>
      </c>
      <c r="AC3998" s="5">
        <v>43032</v>
      </c>
      <c r="AF3998" s="1">
        <v>10069</v>
      </c>
      <c r="AI3998" s="1" t="s">
        <v>60</v>
      </c>
      <c r="AJ3998" s="1">
        <v>2017</v>
      </c>
      <c r="AK3998" s="1" t="s">
        <v>108</v>
      </c>
      <c r="AL3998" s="1">
        <v>246</v>
      </c>
    </row>
    <row r="3999" spans="1:38" x14ac:dyDescent="0.2">
      <c r="A3999" s="2" t="str">
        <f>HYPERLINK("https://www.compass.com/listing/1-west-end-avenue-unit-14c-manhattan-ny-10069/29397340032880577/","1 W End Ave, Unit 14C")</f>
        <v>1 W End Ave, Unit 14C</v>
      </c>
      <c r="B3999" s="2" t="str">
        <f t="shared" si="670"/>
        <v>1 W End Ave</v>
      </c>
      <c r="C3999" s="1" t="s">
        <v>57</v>
      </c>
      <c r="D3999" s="1" t="s">
        <v>41</v>
      </c>
      <c r="E3999" s="3">
        <v>1399480</v>
      </c>
      <c r="F3999" s="1">
        <v>1775.9898477157301</v>
      </c>
      <c r="G3999" s="1">
        <v>3</v>
      </c>
      <c r="H3999" s="1">
        <v>1</v>
      </c>
      <c r="I3999" s="1">
        <v>1</v>
      </c>
      <c r="J3999" s="1">
        <v>1</v>
      </c>
      <c r="K3999" s="1">
        <v>1</v>
      </c>
      <c r="M3999" s="1">
        <v>788</v>
      </c>
      <c r="N3999" s="1">
        <v>884.42</v>
      </c>
      <c r="O3999" s="1">
        <v>937.20999999999901</v>
      </c>
      <c r="P3999" s="1">
        <v>52.75</v>
      </c>
      <c r="Q3999" s="1" t="s">
        <v>42</v>
      </c>
      <c r="S3999" s="1" t="s">
        <v>42</v>
      </c>
      <c r="T3999" s="1" t="s">
        <v>273</v>
      </c>
      <c r="V3999" s="5">
        <v>43624</v>
      </c>
      <c r="W3999" s="5">
        <v>42202</v>
      </c>
      <c r="X3999" s="1">
        <v>1580000</v>
      </c>
      <c r="Y3999" s="1">
        <v>1580000</v>
      </c>
      <c r="Z3999" s="5">
        <v>42202</v>
      </c>
      <c r="AA3999" s="1">
        <v>1399480</v>
      </c>
      <c r="AB3999" s="1" t="s">
        <v>2740</v>
      </c>
      <c r="AC3999" s="5">
        <v>43054</v>
      </c>
      <c r="AF3999" s="1">
        <v>10069</v>
      </c>
      <c r="AI3999" s="1" t="s">
        <v>60</v>
      </c>
      <c r="AJ3999" s="1">
        <v>2017</v>
      </c>
      <c r="AK3999" s="1" t="s">
        <v>108</v>
      </c>
      <c r="AL3999" s="1">
        <v>246</v>
      </c>
    </row>
    <row r="4000" spans="1:38" x14ac:dyDescent="0.2">
      <c r="A4000" s="2" t="str">
        <f>HYPERLINK("https://www.compass.com/listing/1-west-end-avenue-unit-15c-manhattan-ny-10069/29397340443998593/","1 W End Ave, Unit 15C")</f>
        <v>1 W End Ave, Unit 15C</v>
      </c>
      <c r="B4000" s="2" t="str">
        <f t="shared" si="670"/>
        <v>1 W End Ave</v>
      </c>
      <c r="C4000" s="1" t="s">
        <v>57</v>
      </c>
      <c r="D4000" s="1" t="s">
        <v>41</v>
      </c>
      <c r="E4000" s="3">
        <v>1463123</v>
      </c>
      <c r="F4000" s="1">
        <v>1856.7550761421301</v>
      </c>
      <c r="G4000" s="1">
        <v>3</v>
      </c>
      <c r="H4000" s="1">
        <v>1</v>
      </c>
      <c r="I4000" s="1">
        <v>1</v>
      </c>
      <c r="J4000" s="1">
        <v>1</v>
      </c>
      <c r="K4000" s="1">
        <v>1</v>
      </c>
      <c r="M4000" s="1">
        <v>788</v>
      </c>
      <c r="N4000" s="1">
        <v>884.42</v>
      </c>
      <c r="O4000" s="1">
        <v>937.20999999999901</v>
      </c>
      <c r="P4000" s="1">
        <v>52.75</v>
      </c>
      <c r="Q4000" s="1" t="s">
        <v>42</v>
      </c>
      <c r="S4000" s="1" t="s">
        <v>42</v>
      </c>
      <c r="T4000" s="1" t="s">
        <v>273</v>
      </c>
      <c r="V4000" s="5">
        <v>43623</v>
      </c>
      <c r="W4000" s="5">
        <v>42203</v>
      </c>
      <c r="X4000" s="1">
        <v>1602500</v>
      </c>
      <c r="Y4000" s="1">
        <v>1602500</v>
      </c>
      <c r="Z4000" s="5">
        <v>42203</v>
      </c>
      <c r="AA4000" s="1">
        <v>1463123</v>
      </c>
      <c r="AB4000" s="1" t="s">
        <v>2741</v>
      </c>
      <c r="AC4000" s="5">
        <v>43067</v>
      </c>
      <c r="AF4000" s="1">
        <v>10069</v>
      </c>
      <c r="AI4000" s="1" t="s">
        <v>60</v>
      </c>
      <c r="AJ4000" s="1">
        <v>2017</v>
      </c>
      <c r="AK4000" s="1" t="s">
        <v>108</v>
      </c>
      <c r="AL4000" s="1">
        <v>246</v>
      </c>
    </row>
    <row r="4001" spans="1:38" x14ac:dyDescent="0.2">
      <c r="A4001" s="2" t="str">
        <f>HYPERLINK("https://www.compass.com/listing/1-west-end-avenue-unit-16c-manhattan-ny-10069/29397340787837073/","1 W End Ave, Unit 16C")</f>
        <v>1 W End Ave, Unit 16C</v>
      </c>
      <c r="B4001" s="2" t="str">
        <f t="shared" si="670"/>
        <v>1 W End Ave</v>
      </c>
      <c r="C4001" s="1" t="s">
        <v>57</v>
      </c>
      <c r="D4001" s="1" t="s">
        <v>41</v>
      </c>
      <c r="E4001" s="3">
        <v>1437667</v>
      </c>
      <c r="F4001" s="1">
        <v>1824.45050761421</v>
      </c>
      <c r="G4001" s="1">
        <v>3</v>
      </c>
      <c r="H4001" s="1">
        <v>1</v>
      </c>
      <c r="I4001" s="1">
        <v>1</v>
      </c>
      <c r="J4001" s="1">
        <v>1</v>
      </c>
      <c r="K4001" s="1">
        <v>1</v>
      </c>
      <c r="M4001" s="1">
        <v>788</v>
      </c>
      <c r="N4001" s="1">
        <v>884.42</v>
      </c>
      <c r="O4001" s="1">
        <v>937.20999999999901</v>
      </c>
      <c r="P4001" s="1">
        <v>52.75</v>
      </c>
      <c r="Q4001" s="1" t="s">
        <v>42</v>
      </c>
      <c r="S4001" s="1" t="s">
        <v>42</v>
      </c>
      <c r="T4001" s="1" t="s">
        <v>273</v>
      </c>
      <c r="V4001" s="5">
        <v>43623</v>
      </c>
      <c r="W4001" s="5">
        <v>42202</v>
      </c>
      <c r="X4001" s="1">
        <v>1617500</v>
      </c>
      <c r="Y4001" s="1">
        <v>1617500</v>
      </c>
      <c r="Z4001" s="5">
        <v>42375</v>
      </c>
      <c r="AA4001" s="1">
        <v>1437667</v>
      </c>
      <c r="AB4001" s="1" t="s">
        <v>2742</v>
      </c>
      <c r="AC4001" s="5">
        <v>43069</v>
      </c>
      <c r="AF4001" s="1">
        <v>10069</v>
      </c>
      <c r="AI4001" s="1" t="s">
        <v>205</v>
      </c>
      <c r="AJ4001" s="1">
        <v>2017</v>
      </c>
      <c r="AK4001" s="1" t="s">
        <v>108</v>
      </c>
      <c r="AL4001" s="1">
        <v>246</v>
      </c>
    </row>
    <row r="4002" spans="1:38" x14ac:dyDescent="0.2">
      <c r="A4002" s="2" t="str">
        <f>HYPERLINK("https://www.compass.com/listing/1-west-end-avenue-unit-17c-manhattan-ny-10069/29397341190508497/","1 W End Ave, Unit 17C")</f>
        <v>1 W End Ave, Unit 17C</v>
      </c>
      <c r="B4002" s="2" t="str">
        <f t="shared" si="670"/>
        <v>1 W End Ave</v>
      </c>
      <c r="C4002" s="1" t="s">
        <v>57</v>
      </c>
      <c r="D4002" s="1" t="s">
        <v>41</v>
      </c>
      <c r="E4002" s="3">
        <v>1636900</v>
      </c>
      <c r="F4002" s="1">
        <v>2077.28426395939</v>
      </c>
      <c r="G4002" s="1">
        <v>3</v>
      </c>
      <c r="H4002" s="1">
        <v>1</v>
      </c>
      <c r="I4002" s="1">
        <v>1</v>
      </c>
      <c r="J4002" s="1">
        <v>1</v>
      </c>
      <c r="K4002" s="1">
        <v>1</v>
      </c>
      <c r="M4002" s="1">
        <v>788</v>
      </c>
      <c r="N4002" s="1">
        <v>884.42</v>
      </c>
      <c r="O4002" s="1">
        <v>937.20999999999901</v>
      </c>
      <c r="P4002" s="1">
        <v>52.75</v>
      </c>
      <c r="Q4002" s="1" t="s">
        <v>42</v>
      </c>
      <c r="S4002" s="1" t="s">
        <v>42</v>
      </c>
      <c r="T4002" s="1" t="s">
        <v>273</v>
      </c>
      <c r="U4002" s="1">
        <v>71</v>
      </c>
      <c r="V4002" s="5">
        <v>43673</v>
      </c>
      <c r="W4002" s="5">
        <v>42572</v>
      </c>
      <c r="X4002" s="1">
        <v>1632500</v>
      </c>
      <c r="Y4002" s="1">
        <v>1632500</v>
      </c>
      <c r="Z4002" s="5">
        <v>42643</v>
      </c>
      <c r="AA4002" s="1">
        <v>1636900</v>
      </c>
      <c r="AB4002" s="1" t="s">
        <v>2743</v>
      </c>
      <c r="AC4002" s="5">
        <v>42990</v>
      </c>
      <c r="AF4002" s="1">
        <v>10069</v>
      </c>
      <c r="AI4002" s="1" t="s">
        <v>60</v>
      </c>
      <c r="AJ4002" s="1">
        <v>2017</v>
      </c>
      <c r="AK4002" s="1" t="s">
        <v>108</v>
      </c>
      <c r="AL4002" s="1">
        <v>246</v>
      </c>
    </row>
    <row r="4003" spans="1:38" x14ac:dyDescent="0.2">
      <c r="A4003" s="2" t="str">
        <f>HYPERLINK("https://www.compass.com/listing/1-west-end-avenue-unit-18c-manhattan-ny-10069/29397341584849297/","1 W End Ave, Unit 18C")</f>
        <v>1 W End Ave, Unit 18C</v>
      </c>
      <c r="B4003" s="2" t="str">
        <f t="shared" si="670"/>
        <v>1 W End Ave</v>
      </c>
      <c r="C4003" s="1" t="s">
        <v>57</v>
      </c>
      <c r="D4003" s="1" t="s">
        <v>41</v>
      </c>
      <c r="E4003" s="3">
        <v>1508942</v>
      </c>
      <c r="F4003" s="1">
        <v>1914.90101522842</v>
      </c>
      <c r="G4003" s="1">
        <v>3</v>
      </c>
      <c r="H4003" s="1">
        <v>1</v>
      </c>
      <c r="I4003" s="1">
        <v>1</v>
      </c>
      <c r="J4003" s="1">
        <v>1</v>
      </c>
      <c r="K4003" s="1">
        <v>1</v>
      </c>
      <c r="M4003" s="1">
        <v>788</v>
      </c>
      <c r="N4003" s="1">
        <v>884.42</v>
      </c>
      <c r="O4003" s="1">
        <v>937.20999999999901</v>
      </c>
      <c r="P4003" s="1">
        <v>52.75</v>
      </c>
      <c r="Q4003" s="1" t="s">
        <v>42</v>
      </c>
      <c r="S4003" s="1" t="s">
        <v>42</v>
      </c>
      <c r="T4003" s="1" t="s">
        <v>273</v>
      </c>
      <c r="V4003" s="5">
        <v>43650</v>
      </c>
      <c r="W4003" s="5">
        <v>42202</v>
      </c>
      <c r="X4003" s="1">
        <v>1647500</v>
      </c>
      <c r="Y4003" s="1">
        <v>1647500</v>
      </c>
      <c r="Z4003" s="5">
        <v>42202</v>
      </c>
      <c r="AA4003" s="1">
        <v>1508942</v>
      </c>
      <c r="AB4003" s="1" t="s">
        <v>2744</v>
      </c>
      <c r="AC4003" s="5">
        <v>42990</v>
      </c>
      <c r="AF4003" s="1">
        <v>10069</v>
      </c>
      <c r="AI4003" s="1" t="s">
        <v>60</v>
      </c>
      <c r="AJ4003" s="1">
        <v>2017</v>
      </c>
      <c r="AK4003" s="1" t="s">
        <v>108</v>
      </c>
      <c r="AL4003" s="1">
        <v>246</v>
      </c>
    </row>
    <row r="4004" spans="1:38" x14ac:dyDescent="0.2">
      <c r="A4004" s="2" t="str">
        <f>HYPERLINK("https://www.compass.com/listing/1-west-end-avenue-unit-19c-manhattan-ny-10069/29397341895133345/","1 W End Ave, Unit 19C")</f>
        <v>1 W End Ave, Unit 19C</v>
      </c>
      <c r="B4004" s="2" t="str">
        <f t="shared" si="670"/>
        <v>1 W End Ave</v>
      </c>
      <c r="C4004" s="1" t="s">
        <v>57</v>
      </c>
      <c r="D4004" s="1" t="s">
        <v>41</v>
      </c>
      <c r="E4004" s="3">
        <v>1712592</v>
      </c>
      <c r="F4004" s="1">
        <v>2173.3401015228401</v>
      </c>
      <c r="G4004" s="1">
        <v>3</v>
      </c>
      <c r="H4004" s="1">
        <v>1</v>
      </c>
      <c r="I4004" s="1">
        <v>1</v>
      </c>
      <c r="J4004" s="1">
        <v>1</v>
      </c>
      <c r="K4004" s="1">
        <v>1</v>
      </c>
      <c r="M4004" s="1">
        <v>788</v>
      </c>
      <c r="N4004" s="1">
        <v>884</v>
      </c>
      <c r="O4004" s="1">
        <v>937</v>
      </c>
      <c r="P4004" s="1">
        <v>53</v>
      </c>
      <c r="Q4004" s="1" t="s">
        <v>42</v>
      </c>
      <c r="S4004" s="1" t="s">
        <v>42</v>
      </c>
      <c r="T4004" s="1" t="s">
        <v>273</v>
      </c>
      <c r="U4004" s="1">
        <v>116</v>
      </c>
      <c r="V4004" s="5">
        <v>43623</v>
      </c>
      <c r="W4004" s="5">
        <v>42182</v>
      </c>
      <c r="X4004" s="1">
        <v>1602500</v>
      </c>
      <c r="Y4004" s="1">
        <v>1677500</v>
      </c>
      <c r="Z4004" s="5">
        <v>42298</v>
      </c>
      <c r="AA4004" s="1">
        <v>1712592</v>
      </c>
      <c r="AB4004" s="1" t="s">
        <v>2745</v>
      </c>
      <c r="AC4004" s="5">
        <v>43029</v>
      </c>
      <c r="AF4004" s="1">
        <v>10069</v>
      </c>
      <c r="AI4004" s="1" t="s">
        <v>60</v>
      </c>
      <c r="AJ4004" s="1">
        <v>2017</v>
      </c>
      <c r="AK4004" s="1" t="s">
        <v>108</v>
      </c>
      <c r="AL4004" s="1">
        <v>246</v>
      </c>
    </row>
    <row r="4005" spans="1:38" x14ac:dyDescent="0.2">
      <c r="A4005" s="2" t="str">
        <f>HYPERLINK("https://www.compass.com/listing/1-west-end-avenue-unit-20c-manhattan-ny-10069/29397342197141473/","1 W End Ave, Unit 20C")</f>
        <v>1 W End Ave, Unit 20C</v>
      </c>
      <c r="B4005" s="2" t="str">
        <f t="shared" si="670"/>
        <v>1 W End Ave</v>
      </c>
      <c r="C4005" s="1" t="s">
        <v>57</v>
      </c>
      <c r="D4005" s="1" t="s">
        <v>41</v>
      </c>
      <c r="E4005" s="3">
        <v>1750777</v>
      </c>
      <c r="F4005" s="1">
        <v>2221.7982233502498</v>
      </c>
      <c r="G4005" s="1">
        <v>3</v>
      </c>
      <c r="H4005" s="1">
        <v>1</v>
      </c>
      <c r="I4005" s="1">
        <v>1</v>
      </c>
      <c r="J4005" s="1">
        <v>1</v>
      </c>
      <c r="K4005" s="1">
        <v>1</v>
      </c>
      <c r="M4005" s="1">
        <v>788</v>
      </c>
      <c r="N4005" s="1">
        <v>884</v>
      </c>
      <c r="O4005" s="1">
        <v>937</v>
      </c>
      <c r="P4005" s="1">
        <v>53</v>
      </c>
      <c r="Q4005" s="1" t="s">
        <v>42</v>
      </c>
      <c r="S4005" s="1" t="s">
        <v>42</v>
      </c>
      <c r="T4005" s="1" t="s">
        <v>273</v>
      </c>
      <c r="U4005" s="1">
        <v>24</v>
      </c>
      <c r="V4005" s="5">
        <v>43670</v>
      </c>
      <c r="W4005" s="5">
        <v>42196</v>
      </c>
      <c r="X4005" s="1">
        <v>1715000</v>
      </c>
      <c r="Y4005" s="1">
        <v>1715000</v>
      </c>
      <c r="Z4005" s="5">
        <v>42220</v>
      </c>
      <c r="AA4005" s="1">
        <v>1750777</v>
      </c>
      <c r="AB4005" s="1" t="s">
        <v>2746</v>
      </c>
      <c r="AC4005" s="5">
        <v>43001</v>
      </c>
      <c r="AF4005" s="1">
        <v>10069</v>
      </c>
      <c r="AI4005" s="1" t="s">
        <v>60</v>
      </c>
      <c r="AJ4005" s="1">
        <v>2017</v>
      </c>
      <c r="AK4005" s="1" t="s">
        <v>108</v>
      </c>
      <c r="AL4005" s="1">
        <v>246</v>
      </c>
    </row>
    <row r="4006" spans="1:38" x14ac:dyDescent="0.2">
      <c r="A4006" s="2" t="str">
        <f>HYPERLINK("https://www.compass.com/listing/325-lexington-avenue-unit-5c-manhattan-ny-10016/29509811628501105/","325 Lexington Ave, Unit 5C")</f>
        <v>325 Lexington Ave, Unit 5C</v>
      </c>
      <c r="B4006" s="2" t="str">
        <f>HYPERLINK("https://www.compass.com/building/325-lex-condominium-manhattan-ny/281939882467713365/","325 Lex Condominium")</f>
        <v>325 Lex Condominium</v>
      </c>
      <c r="C4006" s="1" t="s">
        <v>59</v>
      </c>
      <c r="D4006" s="1" t="s">
        <v>41</v>
      </c>
      <c r="E4006" s="3">
        <v>850239</v>
      </c>
      <c r="F4006" s="1">
        <v>1438.6446700507599</v>
      </c>
      <c r="G4006" s="1">
        <v>2.5</v>
      </c>
      <c r="H4006" s="1" t="s">
        <v>153</v>
      </c>
      <c r="I4006" s="1">
        <v>1</v>
      </c>
      <c r="J4006" s="1">
        <v>1</v>
      </c>
      <c r="K4006" s="1">
        <v>1</v>
      </c>
      <c r="M4006" s="1">
        <v>591</v>
      </c>
      <c r="N4006" s="1">
        <v>792</v>
      </c>
      <c r="O4006" s="1">
        <v>964</v>
      </c>
      <c r="P4006" s="1">
        <v>172</v>
      </c>
      <c r="Q4006" s="1" t="s">
        <v>42</v>
      </c>
      <c r="S4006" s="1" t="s">
        <v>42</v>
      </c>
      <c r="T4006" s="1" t="s">
        <v>273</v>
      </c>
      <c r="V4006" s="5">
        <v>43654</v>
      </c>
      <c r="W4006" s="5">
        <v>41951</v>
      </c>
      <c r="X4006" s="1">
        <v>890000</v>
      </c>
      <c r="Y4006" s="1">
        <v>890000</v>
      </c>
      <c r="Z4006" s="5">
        <v>41951</v>
      </c>
      <c r="AA4006" s="1">
        <v>850239</v>
      </c>
      <c r="AB4006" s="1" t="s">
        <v>2747</v>
      </c>
      <c r="AC4006" s="5">
        <v>42038</v>
      </c>
      <c r="AF4006" s="1">
        <v>10016</v>
      </c>
      <c r="AI4006" s="1" t="s">
        <v>209</v>
      </c>
      <c r="AJ4006" s="1">
        <v>2014</v>
      </c>
      <c r="AK4006" s="1" t="s">
        <v>108</v>
      </c>
      <c r="AL4006" s="1">
        <v>125</v>
      </c>
    </row>
    <row r="4007" spans="1:38" x14ac:dyDescent="0.2">
      <c r="A4007" s="2" t="str">
        <f>HYPERLINK("https://www.compass.com/listing/416-west-52nd-street-unit-207-manhattan-ny-10019/29389256266984705/","416 W 52nd St, Unit 207")</f>
        <v>416 W 52nd St, Unit 207</v>
      </c>
      <c r="B4007" s="2" t="str">
        <f>HYPERLINK("https://www.compass.com/building/nine52-manhattan-ny/281945622951555813/","Nine52")</f>
        <v>Nine52</v>
      </c>
      <c r="C4007" s="1" t="s">
        <v>90</v>
      </c>
      <c r="D4007" s="1" t="s">
        <v>41</v>
      </c>
      <c r="E4007" s="3">
        <v>739000</v>
      </c>
      <c r="F4007" s="1">
        <v>1389.0977443608999</v>
      </c>
      <c r="G4007" s="1">
        <v>2</v>
      </c>
      <c r="H4007" s="1" t="s">
        <v>99</v>
      </c>
      <c r="I4007" s="1">
        <v>1</v>
      </c>
      <c r="J4007" s="1">
        <v>1</v>
      </c>
      <c r="K4007" s="1">
        <v>1</v>
      </c>
      <c r="M4007" s="1">
        <v>532</v>
      </c>
      <c r="N4007" s="1">
        <v>442</v>
      </c>
      <c r="O4007" s="1">
        <v>1222</v>
      </c>
      <c r="P4007" s="1">
        <v>780</v>
      </c>
      <c r="Q4007" s="1" t="s">
        <v>42</v>
      </c>
      <c r="S4007" s="1" t="s">
        <v>42</v>
      </c>
      <c r="T4007" s="1" t="s">
        <v>273</v>
      </c>
      <c r="U4007" s="1">
        <v>53</v>
      </c>
      <c r="V4007" s="5">
        <v>43675</v>
      </c>
      <c r="W4007" s="5">
        <v>42444</v>
      </c>
      <c r="X4007" s="1">
        <v>751000</v>
      </c>
      <c r="Y4007" s="1">
        <v>749000</v>
      </c>
      <c r="Z4007" s="5">
        <v>42497</v>
      </c>
      <c r="AA4007" s="1">
        <v>739000</v>
      </c>
      <c r="AB4007" s="1" t="s">
        <v>2748</v>
      </c>
      <c r="AC4007" s="5">
        <v>42657</v>
      </c>
      <c r="AF4007" s="1">
        <v>10019</v>
      </c>
      <c r="AI4007" s="1" t="s">
        <v>48</v>
      </c>
      <c r="AJ4007" s="1">
        <v>1940</v>
      </c>
      <c r="AK4007" s="1" t="s">
        <v>108</v>
      </c>
      <c r="AL4007" s="1">
        <v>155</v>
      </c>
    </row>
    <row r="4008" spans="1:38" x14ac:dyDescent="0.2">
      <c r="A4008" s="2" t="str">
        <f>HYPERLINK("https://www.compass.com/listing/325-lexington-avenue-unit-4e-manhattan-ny-10016/29379687029426273/","325 Lexington Ave, Unit 4E")</f>
        <v>325 Lexington Ave, Unit 4E</v>
      </c>
      <c r="B4008" s="2" t="str">
        <f t="shared" ref="B4008:B4011" si="671">HYPERLINK("https://www.compass.com/building/325-lex-condominium-manhattan-ny/281939882467713365/","325 Lex Condominium")</f>
        <v>325 Lex Condominium</v>
      </c>
      <c r="C4008" s="1" t="s">
        <v>59</v>
      </c>
      <c r="D4008" s="1" t="s">
        <v>41</v>
      </c>
      <c r="E4008" s="3">
        <v>850239</v>
      </c>
      <c r="F4008" s="1">
        <v>1697.08383233532</v>
      </c>
      <c r="G4008" s="1">
        <v>2</v>
      </c>
      <c r="H4008" s="1" t="s">
        <v>99</v>
      </c>
      <c r="I4008" s="1">
        <v>1</v>
      </c>
      <c r="J4008" s="1">
        <v>1</v>
      </c>
      <c r="K4008" s="1">
        <v>1</v>
      </c>
      <c r="M4008" s="1">
        <v>501</v>
      </c>
      <c r="N4008" s="1">
        <v>668</v>
      </c>
      <c r="O4008" s="1">
        <v>813</v>
      </c>
      <c r="P4008" s="1">
        <v>145</v>
      </c>
      <c r="Q4008" s="1" t="s">
        <v>42</v>
      </c>
      <c r="S4008" s="1" t="s">
        <v>42</v>
      </c>
      <c r="T4008" s="1" t="s">
        <v>273</v>
      </c>
      <c r="U4008" s="1">
        <v>175</v>
      </c>
      <c r="V4008" s="5">
        <v>43651</v>
      </c>
      <c r="W4008" s="5">
        <v>42070</v>
      </c>
      <c r="X4008" s="1">
        <v>835000</v>
      </c>
      <c r="Y4008" s="1">
        <v>835000</v>
      </c>
      <c r="Z4008" s="5">
        <v>42245</v>
      </c>
      <c r="AA4008" s="1">
        <v>850239</v>
      </c>
      <c r="AB4008" s="1" t="s">
        <v>2749</v>
      </c>
      <c r="AC4008" s="5">
        <v>42278</v>
      </c>
      <c r="AF4008" s="1">
        <v>10016</v>
      </c>
      <c r="AI4008" s="1" t="s">
        <v>205</v>
      </c>
      <c r="AJ4008" s="1">
        <v>2014</v>
      </c>
      <c r="AK4008" s="1" t="s">
        <v>108</v>
      </c>
      <c r="AL4008" s="1">
        <v>125</v>
      </c>
    </row>
    <row r="4009" spans="1:38" x14ac:dyDescent="0.2">
      <c r="A4009" s="2" t="str">
        <f>HYPERLINK("https://www.compass.com/listing/325-lexington-avenue-unit-5b-manhattan-ny-10016/29379687876731409/","325 Lexington Ave, Unit 5B")</f>
        <v>325 Lexington Ave, Unit 5B</v>
      </c>
      <c r="B4009" s="2" t="str">
        <f t="shared" si="671"/>
        <v>325 Lex Condominium</v>
      </c>
      <c r="C4009" s="1" t="s">
        <v>59</v>
      </c>
      <c r="D4009" s="1" t="s">
        <v>41</v>
      </c>
      <c r="E4009" s="3">
        <v>748414</v>
      </c>
      <c r="F4009" s="1">
        <v>1496.828</v>
      </c>
      <c r="G4009" s="1">
        <v>2</v>
      </c>
      <c r="H4009" s="1" t="s">
        <v>99</v>
      </c>
      <c r="I4009" s="1">
        <v>1</v>
      </c>
      <c r="J4009" s="1">
        <v>1</v>
      </c>
      <c r="K4009" s="1">
        <v>1</v>
      </c>
      <c r="M4009" s="1">
        <v>500</v>
      </c>
      <c r="N4009" s="1">
        <v>669</v>
      </c>
      <c r="O4009" s="1">
        <v>815</v>
      </c>
      <c r="P4009" s="1">
        <v>146</v>
      </c>
      <c r="Q4009" s="1" t="s">
        <v>42</v>
      </c>
      <c r="S4009" s="1" t="s">
        <v>42</v>
      </c>
      <c r="T4009" s="1" t="s">
        <v>273</v>
      </c>
      <c r="V4009" s="5">
        <v>43654</v>
      </c>
      <c r="W4009" s="5">
        <v>41951</v>
      </c>
      <c r="X4009" s="1">
        <v>815000</v>
      </c>
      <c r="Y4009" s="1">
        <v>815000</v>
      </c>
      <c r="Z4009" s="5">
        <v>41951</v>
      </c>
      <c r="AA4009" s="1">
        <v>748414</v>
      </c>
      <c r="AB4009" s="1" t="s">
        <v>2750</v>
      </c>
      <c r="AC4009" s="5">
        <v>42041</v>
      </c>
      <c r="AF4009" s="1">
        <v>10016</v>
      </c>
      <c r="AI4009" s="1" t="s">
        <v>60</v>
      </c>
      <c r="AJ4009" s="1">
        <v>2014</v>
      </c>
      <c r="AK4009" s="1" t="s">
        <v>108</v>
      </c>
      <c r="AL4009" s="1">
        <v>125</v>
      </c>
    </row>
    <row r="4010" spans="1:38" x14ac:dyDescent="0.2">
      <c r="A4010" s="2" t="str">
        <f>HYPERLINK("https://www.compass.com/listing/325-lexington-avenue-unit-5e-manhattan-ny-10016/29379689336349233/","325 Lexington Ave, Unit 5E")</f>
        <v>325 Lexington Ave, Unit 5E</v>
      </c>
      <c r="B4010" s="2" t="str">
        <f t="shared" si="671"/>
        <v>325 Lex Condominium</v>
      </c>
      <c r="C4010" s="1" t="s">
        <v>59</v>
      </c>
      <c r="D4010" s="1" t="s">
        <v>41</v>
      </c>
      <c r="E4010" s="3">
        <v>763688</v>
      </c>
      <c r="F4010" s="1">
        <v>1524.32734530938</v>
      </c>
      <c r="G4010" s="1">
        <v>2</v>
      </c>
      <c r="H4010" s="1" t="s">
        <v>99</v>
      </c>
      <c r="I4010" s="1">
        <v>1</v>
      </c>
      <c r="J4010" s="1">
        <v>1</v>
      </c>
      <c r="K4010" s="1">
        <v>1</v>
      </c>
      <c r="M4010" s="1">
        <v>501</v>
      </c>
      <c r="N4010" s="1">
        <v>672</v>
      </c>
      <c r="O4010" s="1">
        <v>818</v>
      </c>
      <c r="P4010" s="1">
        <v>146</v>
      </c>
      <c r="Q4010" s="1" t="s">
        <v>42</v>
      </c>
      <c r="S4010" s="1" t="s">
        <v>42</v>
      </c>
      <c r="T4010" s="1" t="s">
        <v>273</v>
      </c>
      <c r="V4010" s="5">
        <v>43655</v>
      </c>
      <c r="W4010" s="5">
        <v>41951</v>
      </c>
      <c r="X4010" s="1">
        <v>815000</v>
      </c>
      <c r="Y4010" s="1">
        <v>815000</v>
      </c>
      <c r="Z4010" s="5">
        <v>41951</v>
      </c>
      <c r="AA4010" s="1">
        <v>763688</v>
      </c>
      <c r="AB4010" s="1" t="s">
        <v>2751</v>
      </c>
      <c r="AC4010" s="5">
        <v>42040</v>
      </c>
      <c r="AF4010" s="1">
        <v>10016</v>
      </c>
      <c r="AI4010" s="1" t="s">
        <v>60</v>
      </c>
      <c r="AJ4010" s="1">
        <v>2014</v>
      </c>
      <c r="AK4010" s="1" t="s">
        <v>108</v>
      </c>
      <c r="AL4010" s="1">
        <v>125</v>
      </c>
    </row>
    <row r="4011" spans="1:38" x14ac:dyDescent="0.2">
      <c r="A4011" s="2" t="str">
        <f>HYPERLINK("https://www.compass.com/listing/325-lexington-avenue-unit-6b-manhattan-ny-10016/29379690150049809/","325 Lexington Ave, Unit 6B")</f>
        <v>325 Lexington Ave, Unit 6B</v>
      </c>
      <c r="B4011" s="2" t="str">
        <f t="shared" si="671"/>
        <v>325 Lex Condominium</v>
      </c>
      <c r="C4011" s="1" t="s">
        <v>59</v>
      </c>
      <c r="D4011" s="1" t="s">
        <v>41</v>
      </c>
      <c r="E4011" s="3">
        <v>753505</v>
      </c>
      <c r="F4011" s="1">
        <v>1510.03006012024</v>
      </c>
      <c r="G4011" s="1">
        <v>2</v>
      </c>
      <c r="H4011" s="1" t="s">
        <v>99</v>
      </c>
      <c r="I4011" s="1">
        <v>1</v>
      </c>
      <c r="J4011" s="1">
        <v>1</v>
      </c>
      <c r="K4011" s="1">
        <v>1</v>
      </c>
      <c r="M4011" s="1">
        <v>499</v>
      </c>
      <c r="N4011" s="1">
        <v>672</v>
      </c>
      <c r="O4011" s="1">
        <v>818</v>
      </c>
      <c r="P4011" s="1">
        <v>146</v>
      </c>
      <c r="Q4011" s="1" t="s">
        <v>42</v>
      </c>
      <c r="S4011" s="1" t="s">
        <v>42</v>
      </c>
      <c r="T4011" s="1" t="s">
        <v>273</v>
      </c>
      <c r="V4011" s="5">
        <v>43668</v>
      </c>
      <c r="W4011" s="5">
        <v>41951</v>
      </c>
      <c r="X4011" s="1">
        <v>820000</v>
      </c>
      <c r="Y4011" s="1">
        <v>820000</v>
      </c>
      <c r="Z4011" s="5">
        <v>41951</v>
      </c>
      <c r="AA4011" s="1">
        <v>753505</v>
      </c>
      <c r="AB4011" s="1" t="s">
        <v>2752</v>
      </c>
      <c r="AC4011" s="5">
        <v>42039</v>
      </c>
      <c r="AF4011" s="1">
        <v>10016</v>
      </c>
      <c r="AI4011" s="1" t="s">
        <v>60</v>
      </c>
      <c r="AJ4011" s="1">
        <v>2014</v>
      </c>
      <c r="AK4011" s="1" t="s">
        <v>108</v>
      </c>
      <c r="AL4011" s="1">
        <v>125</v>
      </c>
    </row>
    <row r="4012" spans="1:38" x14ac:dyDescent="0.2">
      <c r="A4012" s="2" t="str">
        <f>HYPERLINK("https://www.compass.com/listing/416-west-52nd-street-unit-th202-manhattan-ny-10019/29389251477089473/","416 W 52nd St, Unit TH202")</f>
        <v>416 W 52nd St, Unit TH202</v>
      </c>
      <c r="B4012" s="2" t="str">
        <f>HYPERLINK("https://www.compass.com/building/nine52-manhattan-ny/281945622951555813/","Nine52")</f>
        <v>Nine52</v>
      </c>
      <c r="C4012" s="1" t="s">
        <v>90</v>
      </c>
      <c r="D4012" s="1" t="s">
        <v>41</v>
      </c>
      <c r="E4012" s="3">
        <v>1097369</v>
      </c>
      <c r="F4012" s="1">
        <v>912.19368246051499</v>
      </c>
      <c r="G4012" s="1">
        <v>3</v>
      </c>
      <c r="H4012" s="1">
        <v>1</v>
      </c>
      <c r="I4012" s="1">
        <v>2</v>
      </c>
      <c r="J4012" s="1">
        <v>1.5</v>
      </c>
      <c r="K4012" s="1">
        <v>1</v>
      </c>
      <c r="L4012" s="1">
        <v>1</v>
      </c>
      <c r="M4012" s="4">
        <v>1203</v>
      </c>
      <c r="N4012" s="1">
        <v>820</v>
      </c>
      <c r="O4012" s="1">
        <v>2405</v>
      </c>
      <c r="P4012" s="1">
        <v>1585</v>
      </c>
      <c r="Q4012" s="1" t="s">
        <v>42</v>
      </c>
      <c r="S4012" s="1" t="s">
        <v>42</v>
      </c>
      <c r="T4012" s="1" t="s">
        <v>273</v>
      </c>
      <c r="U4012" s="1">
        <v>55</v>
      </c>
      <c r="V4012" s="5">
        <v>43650</v>
      </c>
      <c r="W4012" s="5">
        <v>42839</v>
      </c>
      <c r="X4012" s="1">
        <v>1075000</v>
      </c>
      <c r="Y4012" s="1">
        <v>1075000</v>
      </c>
      <c r="Z4012" s="5">
        <v>42894</v>
      </c>
      <c r="AA4012" s="1">
        <v>1097369</v>
      </c>
      <c r="AB4012" s="1" t="s">
        <v>2753</v>
      </c>
      <c r="AC4012" s="5">
        <v>42978</v>
      </c>
      <c r="AF4012" s="1">
        <v>10019</v>
      </c>
      <c r="AI4012" s="1" t="s">
        <v>48</v>
      </c>
      <c r="AJ4012" s="1">
        <v>1940</v>
      </c>
      <c r="AK4012" s="1" t="s">
        <v>108</v>
      </c>
      <c r="AL4012" s="1">
        <v>155</v>
      </c>
    </row>
    <row r="4013" spans="1:38" x14ac:dyDescent="0.2">
      <c r="A4013" s="2" t="str">
        <f>HYPERLINK("https://www.compass.com/listing/325-lexington-avenue-unit-10c-manhattan-ny-10016/29379698446322017/","325 Lexington Ave, Unit 10C")</f>
        <v>325 Lexington Ave, Unit 10C</v>
      </c>
      <c r="B4013" s="2" t="str">
        <f>HYPERLINK("https://www.compass.com/building/325-lex-condominium-manhattan-ny/281939882467713365/","325 Lex Condominium")</f>
        <v>325 Lex Condominium</v>
      </c>
      <c r="C4013" s="1" t="s">
        <v>59</v>
      </c>
      <c r="D4013" s="1" t="s">
        <v>41</v>
      </c>
      <c r="E4013" s="3">
        <v>789144</v>
      </c>
      <c r="F4013" s="1">
        <v>1526.3907156673099</v>
      </c>
      <c r="G4013" s="1">
        <v>3</v>
      </c>
      <c r="H4013" s="1">
        <v>1</v>
      </c>
      <c r="I4013" s="1">
        <v>1</v>
      </c>
      <c r="J4013" s="1">
        <v>1</v>
      </c>
      <c r="K4013" s="1">
        <v>1</v>
      </c>
      <c r="M4013" s="1">
        <v>517</v>
      </c>
      <c r="N4013" s="1">
        <v>713</v>
      </c>
      <c r="O4013" s="1">
        <v>868</v>
      </c>
      <c r="P4013" s="1">
        <v>155</v>
      </c>
      <c r="Q4013" s="1" t="s">
        <v>42</v>
      </c>
      <c r="S4013" s="1" t="s">
        <v>42</v>
      </c>
      <c r="T4013" s="1" t="s">
        <v>273</v>
      </c>
      <c r="U4013" s="1">
        <v>12</v>
      </c>
      <c r="V4013" s="5">
        <v>43654</v>
      </c>
      <c r="W4013" s="5">
        <v>41900</v>
      </c>
      <c r="X4013" s="1">
        <v>775000</v>
      </c>
      <c r="Y4013" s="1">
        <v>905000</v>
      </c>
      <c r="Z4013" s="5">
        <v>41951</v>
      </c>
      <c r="AA4013" s="1">
        <v>789144</v>
      </c>
      <c r="AB4013" s="1" t="s">
        <v>2754</v>
      </c>
      <c r="AC4013" s="5">
        <v>42039</v>
      </c>
      <c r="AF4013" s="1">
        <v>10016</v>
      </c>
      <c r="AI4013" s="1" t="s">
        <v>60</v>
      </c>
      <c r="AJ4013" s="1">
        <v>2014</v>
      </c>
      <c r="AK4013" s="1" t="s">
        <v>108</v>
      </c>
      <c r="AL4013" s="1">
        <v>125</v>
      </c>
    </row>
    <row r="4014" spans="1:38" x14ac:dyDescent="0.2">
      <c r="A4014" s="2" t="str">
        <f>HYPERLINK("https://www.compass.com/listing/305-west-150th-street-unit-704-manhattan-ny-10039/29434135084824129/","305 W 150th St, Unit 704")</f>
        <v>305 W 150th St, Unit 704</v>
      </c>
      <c r="B4014" s="2" t="str">
        <f>HYPERLINK("https://www.compass.com/building/305-w-150th-st-manhattan-ny-10039/282032234968400245/","305 W 150th St")</f>
        <v>305 W 150th St</v>
      </c>
      <c r="C4014" s="1" t="s">
        <v>84</v>
      </c>
      <c r="D4014" s="1" t="s">
        <v>41</v>
      </c>
      <c r="E4014" s="3">
        <v>525000</v>
      </c>
      <c r="F4014" s="1">
        <v>875</v>
      </c>
      <c r="G4014" s="1">
        <v>3</v>
      </c>
      <c r="H4014" s="1">
        <v>1</v>
      </c>
      <c r="I4014" s="1">
        <v>1</v>
      </c>
      <c r="J4014" s="1">
        <v>1</v>
      </c>
      <c r="K4014" s="1">
        <v>1</v>
      </c>
      <c r="M4014" s="1">
        <v>600</v>
      </c>
      <c r="N4014" s="1">
        <v>373.67</v>
      </c>
      <c r="O4014" s="1">
        <v>643.48</v>
      </c>
      <c r="P4014" s="1">
        <v>269.83333333333297</v>
      </c>
      <c r="Q4014" s="1" t="s">
        <v>42</v>
      </c>
      <c r="S4014" s="1" t="s">
        <v>42</v>
      </c>
      <c r="T4014" s="1" t="s">
        <v>273</v>
      </c>
      <c r="U4014" s="1">
        <v>131</v>
      </c>
      <c r="V4014" s="5">
        <v>43226</v>
      </c>
      <c r="W4014" s="5">
        <v>43015</v>
      </c>
      <c r="Y4014" s="1">
        <v>548500</v>
      </c>
      <c r="Z4014" s="5">
        <v>43146</v>
      </c>
      <c r="AA4014" s="1">
        <v>525000</v>
      </c>
      <c r="AB4014" s="1" t="s">
        <v>2755</v>
      </c>
      <c r="AC4014" s="5">
        <v>43210</v>
      </c>
      <c r="AF4014" s="1">
        <v>10039</v>
      </c>
      <c r="AI4014" s="1" t="s">
        <v>80</v>
      </c>
      <c r="AJ4014" s="1">
        <v>1921</v>
      </c>
      <c r="AK4014" s="1" t="s">
        <v>143</v>
      </c>
      <c r="AL4014" s="1">
        <v>84</v>
      </c>
    </row>
    <row r="4015" spans="1:38" x14ac:dyDescent="0.2">
      <c r="A4015" s="2" t="str">
        <f>HYPERLINK("https://www.compass.com/listing/325-lexington-avenue-unit-8c-manhattan-ny-10016/29379694990276737/","325 Lexington Ave, Unit 8C")</f>
        <v>325 Lexington Ave, Unit 8C</v>
      </c>
      <c r="B4015" s="2" t="str">
        <f t="shared" ref="B4015:B4020" si="672">HYPERLINK("https://www.compass.com/building/325-lex-condominium-manhattan-ny/281939882467713365/","325 Lex Condominium")</f>
        <v>325 Lex Condominium</v>
      </c>
      <c r="C4015" s="1" t="s">
        <v>59</v>
      </c>
      <c r="D4015" s="1" t="s">
        <v>41</v>
      </c>
      <c r="E4015" s="3">
        <v>865513</v>
      </c>
      <c r="F4015" s="1">
        <v>1442.5216666666599</v>
      </c>
      <c r="G4015" s="1">
        <v>2.5</v>
      </c>
      <c r="H4015" s="1" t="s">
        <v>153</v>
      </c>
      <c r="I4015" s="1">
        <v>1</v>
      </c>
      <c r="J4015" s="1">
        <v>1</v>
      </c>
      <c r="K4015" s="1">
        <v>1</v>
      </c>
      <c r="M4015" s="1">
        <v>600</v>
      </c>
      <c r="N4015" s="1">
        <v>803</v>
      </c>
      <c r="O4015" s="1">
        <v>978</v>
      </c>
      <c r="P4015" s="1">
        <v>175</v>
      </c>
      <c r="Q4015" s="1" t="s">
        <v>42</v>
      </c>
      <c r="S4015" s="1" t="s">
        <v>42</v>
      </c>
      <c r="T4015" s="1" t="s">
        <v>273</v>
      </c>
      <c r="V4015" s="5">
        <v>43654</v>
      </c>
      <c r="W4015" s="5">
        <v>41951</v>
      </c>
      <c r="X4015" s="1">
        <v>905000</v>
      </c>
      <c r="Y4015" s="1">
        <v>905000</v>
      </c>
      <c r="Z4015" s="5">
        <v>41951</v>
      </c>
      <c r="AA4015" s="1">
        <v>865513</v>
      </c>
      <c r="AB4015" s="1" t="s">
        <v>2756</v>
      </c>
      <c r="AC4015" s="5">
        <v>42042</v>
      </c>
      <c r="AF4015" s="1">
        <v>10016</v>
      </c>
      <c r="AI4015" s="1" t="s">
        <v>60</v>
      </c>
      <c r="AJ4015" s="1">
        <v>2014</v>
      </c>
      <c r="AK4015" s="1" t="s">
        <v>108</v>
      </c>
      <c r="AL4015" s="1">
        <v>125</v>
      </c>
    </row>
    <row r="4016" spans="1:38" x14ac:dyDescent="0.2">
      <c r="A4016" s="2" t="str">
        <f>HYPERLINK("https://www.compass.com/listing/325-lexington-avenue-unit-17c-manhattan-ny-10016/29379712220416641/","325 Lexington Ave, Unit 17C")</f>
        <v>325 Lexington Ave, Unit 17C</v>
      </c>
      <c r="B4016" s="2" t="str">
        <f t="shared" si="672"/>
        <v>325 Lex Condominium</v>
      </c>
      <c r="C4016" s="1" t="s">
        <v>59</v>
      </c>
      <c r="D4016" s="1" t="s">
        <v>41</v>
      </c>
      <c r="E4016" s="3">
        <v>896060</v>
      </c>
      <c r="F4016" s="1">
        <v>1733.1914893617</v>
      </c>
      <c r="G4016" s="1">
        <v>3</v>
      </c>
      <c r="H4016" s="1">
        <v>1</v>
      </c>
      <c r="I4016" s="1">
        <v>1</v>
      </c>
      <c r="J4016" s="1">
        <v>1</v>
      </c>
      <c r="K4016" s="1">
        <v>1</v>
      </c>
      <c r="M4016" s="1">
        <v>517</v>
      </c>
      <c r="N4016" s="1">
        <v>730</v>
      </c>
      <c r="O4016" s="1">
        <v>889</v>
      </c>
      <c r="P4016" s="1">
        <v>159</v>
      </c>
      <c r="Q4016" s="1" t="s">
        <v>42</v>
      </c>
      <c r="S4016" s="1" t="s">
        <v>42</v>
      </c>
      <c r="T4016" s="1" t="s">
        <v>273</v>
      </c>
      <c r="V4016" s="5">
        <v>43654</v>
      </c>
      <c r="W4016" s="5">
        <v>41951</v>
      </c>
      <c r="X4016" s="1">
        <v>975000</v>
      </c>
      <c r="Y4016" s="1">
        <v>975000</v>
      </c>
      <c r="Z4016" s="5">
        <v>41951</v>
      </c>
      <c r="AA4016" s="1">
        <v>896060</v>
      </c>
      <c r="AB4016" s="1" t="s">
        <v>2757</v>
      </c>
      <c r="AC4016" s="5">
        <v>42038</v>
      </c>
      <c r="AF4016" s="1">
        <v>10016</v>
      </c>
      <c r="AI4016" s="1" t="s">
        <v>60</v>
      </c>
      <c r="AJ4016" s="1">
        <v>2014</v>
      </c>
      <c r="AK4016" s="1" t="s">
        <v>108</v>
      </c>
      <c r="AL4016" s="1">
        <v>125</v>
      </c>
    </row>
    <row r="4017" spans="1:38" x14ac:dyDescent="0.2">
      <c r="A4017" s="2" t="str">
        <f>HYPERLINK("https://www.compass.com/listing/325-lexington-avenue-unit-3a-manhattan-ny-10016/29379684068303329/","325 Lexington Ave, Unit 3A")</f>
        <v>325 Lexington Ave, Unit 3A</v>
      </c>
      <c r="B4017" s="2" t="str">
        <f t="shared" si="672"/>
        <v>325 Lex Condominium</v>
      </c>
      <c r="C4017" s="1" t="s">
        <v>59</v>
      </c>
      <c r="D4017" s="1" t="s">
        <v>41</v>
      </c>
      <c r="E4017" s="3">
        <v>824783</v>
      </c>
      <c r="F4017" s="1">
        <v>1662.8689516129</v>
      </c>
      <c r="G4017" s="1">
        <v>2</v>
      </c>
      <c r="H4017" s="1" t="s">
        <v>99</v>
      </c>
      <c r="I4017" s="1">
        <v>1</v>
      </c>
      <c r="J4017" s="1">
        <v>1</v>
      </c>
      <c r="K4017" s="1">
        <v>1</v>
      </c>
      <c r="M4017" s="1">
        <v>496</v>
      </c>
      <c r="N4017" s="1">
        <v>658</v>
      </c>
      <c r="O4017" s="1">
        <v>801</v>
      </c>
      <c r="P4017" s="1">
        <v>143</v>
      </c>
      <c r="Q4017" s="1" t="s">
        <v>42</v>
      </c>
      <c r="S4017" s="1" t="s">
        <v>42</v>
      </c>
      <c r="T4017" s="1" t="s">
        <v>273</v>
      </c>
      <c r="U4017" s="1">
        <v>64</v>
      </c>
      <c r="V4017" s="5">
        <v>43654</v>
      </c>
      <c r="W4017" s="5">
        <v>41991</v>
      </c>
      <c r="X4017" s="1">
        <v>785000</v>
      </c>
      <c r="Y4017" s="1">
        <v>810000</v>
      </c>
      <c r="Z4017" s="5">
        <v>42055</v>
      </c>
      <c r="AA4017" s="1">
        <v>824783</v>
      </c>
      <c r="AB4017" s="1" t="s">
        <v>2758</v>
      </c>
      <c r="AC4017" s="5">
        <v>42103</v>
      </c>
      <c r="AF4017" s="1">
        <v>10016</v>
      </c>
      <c r="AI4017" s="1" t="s">
        <v>60</v>
      </c>
      <c r="AJ4017" s="1">
        <v>2014</v>
      </c>
      <c r="AK4017" s="1" t="s">
        <v>108</v>
      </c>
      <c r="AL4017" s="1">
        <v>125</v>
      </c>
    </row>
    <row r="4018" spans="1:38" x14ac:dyDescent="0.2">
      <c r="A4018" s="2" t="str">
        <f>HYPERLINK("https://www.compass.com/listing/325-lexington-avenue-unit-4a-manhattan-ny-10016/29379685267874289/","325 Lexington Ave, Unit 4A")</f>
        <v>325 Lexington Ave, Unit 4A</v>
      </c>
      <c r="B4018" s="2" t="str">
        <f t="shared" si="672"/>
        <v>325 Lex Condominium</v>
      </c>
      <c r="C4018" s="1" t="s">
        <v>59</v>
      </c>
      <c r="D4018" s="1" t="s">
        <v>41</v>
      </c>
      <c r="E4018" s="3">
        <v>733140</v>
      </c>
      <c r="F4018" s="1">
        <v>1478.10483870967</v>
      </c>
      <c r="G4018" s="1">
        <v>2</v>
      </c>
      <c r="H4018" s="1" t="s">
        <v>99</v>
      </c>
      <c r="I4018" s="1">
        <v>1</v>
      </c>
      <c r="J4018" s="1">
        <v>1</v>
      </c>
      <c r="K4018" s="1">
        <v>1</v>
      </c>
      <c r="M4018" s="1">
        <v>496</v>
      </c>
      <c r="N4018" s="1">
        <v>661</v>
      </c>
      <c r="O4018" s="1">
        <v>805</v>
      </c>
      <c r="P4018" s="1">
        <v>144</v>
      </c>
      <c r="Q4018" s="1" t="s">
        <v>42</v>
      </c>
      <c r="S4018" s="1" t="s">
        <v>42</v>
      </c>
      <c r="T4018" s="1" t="s">
        <v>273</v>
      </c>
      <c r="V4018" s="5">
        <v>43654</v>
      </c>
      <c r="W4018" s="5">
        <v>41951</v>
      </c>
      <c r="X4018" s="1">
        <v>755000</v>
      </c>
      <c r="Y4018" s="1">
        <v>755000</v>
      </c>
      <c r="Z4018" s="5">
        <v>41951</v>
      </c>
      <c r="AA4018" s="1">
        <v>733140</v>
      </c>
      <c r="AB4018" s="1" t="s">
        <v>2759</v>
      </c>
      <c r="AC4018" s="5">
        <v>42052</v>
      </c>
      <c r="AF4018" s="1">
        <v>10016</v>
      </c>
      <c r="AI4018" s="1" t="s">
        <v>60</v>
      </c>
      <c r="AJ4018" s="1">
        <v>2014</v>
      </c>
      <c r="AK4018" s="1" t="s">
        <v>108</v>
      </c>
      <c r="AL4018" s="1">
        <v>125</v>
      </c>
    </row>
    <row r="4019" spans="1:38" x14ac:dyDescent="0.2">
      <c r="A4019" s="2" t="str">
        <f>HYPERLINK("https://www.compass.com/listing/325-lexington-avenue-unit-8e-manhattan-ny-10016/29379695854242097/","325 Lexington Ave, Unit 8E")</f>
        <v>325 Lexington Ave, Unit 8E</v>
      </c>
      <c r="B4019" s="2" t="str">
        <f t="shared" si="672"/>
        <v>325 Lex Condominium</v>
      </c>
      <c r="C4019" s="1" t="s">
        <v>59</v>
      </c>
      <c r="D4019" s="1" t="s">
        <v>41</v>
      </c>
      <c r="E4019" s="3">
        <v>850239</v>
      </c>
      <c r="F4019" s="1">
        <v>1697.08383233532</v>
      </c>
      <c r="G4019" s="1">
        <v>2</v>
      </c>
      <c r="H4019" s="1" t="s">
        <v>99</v>
      </c>
      <c r="I4019" s="1">
        <v>1</v>
      </c>
      <c r="J4019" s="1">
        <v>1</v>
      </c>
      <c r="K4019" s="1">
        <v>1</v>
      </c>
      <c r="M4019" s="1">
        <v>501</v>
      </c>
      <c r="N4019" s="1">
        <v>681</v>
      </c>
      <c r="O4019" s="1">
        <v>829</v>
      </c>
      <c r="P4019" s="1">
        <v>148</v>
      </c>
      <c r="Q4019" s="1" t="s">
        <v>42</v>
      </c>
      <c r="S4019" s="1" t="s">
        <v>42</v>
      </c>
      <c r="T4019" s="1" t="s">
        <v>273</v>
      </c>
      <c r="V4019" s="5">
        <v>43655</v>
      </c>
      <c r="W4019" s="5">
        <v>42003</v>
      </c>
      <c r="X4019" s="1">
        <v>835000</v>
      </c>
      <c r="Y4019" s="1">
        <v>835000</v>
      </c>
      <c r="Z4019" s="5">
        <v>42003</v>
      </c>
      <c r="AA4019" s="1">
        <v>850238.75</v>
      </c>
      <c r="AB4019" s="1" t="s">
        <v>2760</v>
      </c>
      <c r="AC4019" s="5">
        <v>42045</v>
      </c>
      <c r="AF4019" s="1">
        <v>10016</v>
      </c>
      <c r="AI4019" s="1" t="s">
        <v>60</v>
      </c>
      <c r="AJ4019" s="1">
        <v>2014</v>
      </c>
      <c r="AK4019" s="1" t="s">
        <v>108</v>
      </c>
      <c r="AL4019" s="1">
        <v>125</v>
      </c>
    </row>
    <row r="4020" spans="1:38" x14ac:dyDescent="0.2">
      <c r="A4020" s="2" t="str">
        <f>HYPERLINK("https://www.compass.com/listing/325-lexington-avenue-unit-21b-manhattan-ny-10016/140582314383022593/","325 Lexington Ave, Unit 21B")</f>
        <v>325 Lexington Ave, Unit 21B</v>
      </c>
      <c r="B4020" s="2" t="str">
        <f t="shared" si="672"/>
        <v>325 Lex Condominium</v>
      </c>
      <c r="C4020" s="1" t="s">
        <v>59</v>
      </c>
      <c r="D4020" s="1" t="s">
        <v>41</v>
      </c>
      <c r="E4020" s="3">
        <v>1250000</v>
      </c>
      <c r="F4020" s="1">
        <v>1931.99381761978</v>
      </c>
      <c r="G4020" s="1">
        <v>3</v>
      </c>
      <c r="H4020" s="1">
        <v>1</v>
      </c>
      <c r="I4020" s="1">
        <v>1</v>
      </c>
      <c r="J4020" s="1">
        <v>1</v>
      </c>
      <c r="K4020" s="1">
        <v>1</v>
      </c>
      <c r="M4020" s="1">
        <v>647</v>
      </c>
      <c r="N4020" s="1">
        <v>980</v>
      </c>
      <c r="O4020" s="1">
        <v>1464</v>
      </c>
      <c r="P4020" s="1">
        <v>484</v>
      </c>
      <c r="Q4020" s="1" t="s">
        <v>42</v>
      </c>
      <c r="S4020" s="1" t="s">
        <v>42</v>
      </c>
      <c r="T4020" s="1" t="s">
        <v>273</v>
      </c>
      <c r="U4020" s="1">
        <v>120</v>
      </c>
      <c r="V4020" s="5">
        <v>44040</v>
      </c>
      <c r="W4020" s="5">
        <v>43446</v>
      </c>
      <c r="X4020" s="1">
        <v>1390000</v>
      </c>
      <c r="Y4020" s="1">
        <v>1299000</v>
      </c>
      <c r="Z4020" s="5">
        <v>43566</v>
      </c>
      <c r="AA4020" s="1">
        <v>1250000</v>
      </c>
      <c r="AB4020" s="1" t="s">
        <v>2761</v>
      </c>
      <c r="AC4020" s="5">
        <v>43670</v>
      </c>
      <c r="AF4020" s="1">
        <v>10016</v>
      </c>
      <c r="AI4020" s="1" t="s">
        <v>253</v>
      </c>
      <c r="AJ4020" s="1">
        <v>2014</v>
      </c>
      <c r="AK4020" s="1" t="s">
        <v>108</v>
      </c>
      <c r="AL4020" s="1">
        <v>125</v>
      </c>
    </row>
    <row r="4021" spans="1:38" x14ac:dyDescent="0.2">
      <c r="A4021" s="2" t="str">
        <f>HYPERLINK("https://www.compass.com/listing/416-west-52nd-street-unit-211-manhattan-ny-10019/29389256644482161/","416 W 52nd St, Unit 211")</f>
        <v>416 W 52nd St, Unit 211</v>
      </c>
      <c r="B4021" s="2" t="str">
        <f t="shared" ref="B4021:B4024" si="673">HYPERLINK("https://www.compass.com/building/nine52-manhattan-ny/281945622951555813/","Nine52")</f>
        <v>Nine52</v>
      </c>
      <c r="C4021" s="1" t="s">
        <v>90</v>
      </c>
      <c r="D4021" s="1" t="s">
        <v>41</v>
      </c>
      <c r="E4021" s="3">
        <v>778000</v>
      </c>
      <c r="F4021" s="1">
        <v>1364.91228070175</v>
      </c>
      <c r="G4021" s="1">
        <v>3</v>
      </c>
      <c r="H4021" s="1">
        <v>1</v>
      </c>
      <c r="I4021" s="1">
        <v>1</v>
      </c>
      <c r="J4021" s="1">
        <v>1</v>
      </c>
      <c r="K4021" s="1">
        <v>1</v>
      </c>
      <c r="M4021" s="1">
        <v>570</v>
      </c>
      <c r="N4021" s="1">
        <v>473</v>
      </c>
      <c r="O4021" s="1">
        <v>1309</v>
      </c>
      <c r="P4021" s="1">
        <v>836</v>
      </c>
      <c r="Q4021" s="1" t="s">
        <v>42</v>
      </c>
      <c r="S4021" s="1" t="s">
        <v>42</v>
      </c>
      <c r="T4021" s="1" t="s">
        <v>273</v>
      </c>
      <c r="U4021" s="1">
        <v>37</v>
      </c>
      <c r="V4021" s="5">
        <v>43675</v>
      </c>
      <c r="W4021" s="5">
        <v>42479</v>
      </c>
      <c r="X4021" s="1">
        <v>790000</v>
      </c>
      <c r="Y4021" s="1">
        <v>790000</v>
      </c>
      <c r="Z4021" s="5">
        <v>42516</v>
      </c>
      <c r="AA4021" s="1">
        <v>778000</v>
      </c>
      <c r="AB4021" s="1" t="s">
        <v>2762</v>
      </c>
      <c r="AC4021" s="5">
        <v>42650</v>
      </c>
      <c r="AF4021" s="1">
        <v>10019</v>
      </c>
      <c r="AI4021" s="1" t="s">
        <v>48</v>
      </c>
      <c r="AJ4021" s="1">
        <v>1940</v>
      </c>
      <c r="AK4021" s="1" t="s">
        <v>108</v>
      </c>
      <c r="AL4021" s="1">
        <v>155</v>
      </c>
    </row>
    <row r="4022" spans="1:38" x14ac:dyDescent="0.2">
      <c r="A4022" s="2" t="str">
        <f>HYPERLINK("https://www.compass.com/listing/416-west-52nd-street-unit-310-manhattan-ny-10019/29389260754900145/","416 W 52nd St, Unit 310")</f>
        <v>416 W 52nd St, Unit 310</v>
      </c>
      <c r="B4022" s="2" t="str">
        <f t="shared" si="673"/>
        <v>Nine52</v>
      </c>
      <c r="C4022" s="1" t="s">
        <v>90</v>
      </c>
      <c r="D4022" s="1" t="s">
        <v>41</v>
      </c>
      <c r="E4022" s="3">
        <v>943750</v>
      </c>
      <c r="F4022" s="1">
        <v>1557.3432343234299</v>
      </c>
      <c r="G4022" s="1">
        <v>3</v>
      </c>
      <c r="H4022" s="1">
        <v>1</v>
      </c>
      <c r="I4022" s="1">
        <v>1</v>
      </c>
      <c r="J4022" s="1">
        <v>1</v>
      </c>
      <c r="K4022" s="1">
        <v>1</v>
      </c>
      <c r="M4022" s="1">
        <v>606</v>
      </c>
      <c r="N4022" s="1">
        <v>503</v>
      </c>
      <c r="O4022" s="1">
        <v>1388</v>
      </c>
      <c r="P4022" s="1">
        <v>885</v>
      </c>
      <c r="Q4022" s="1" t="s">
        <v>42</v>
      </c>
      <c r="S4022" s="1" t="s">
        <v>42</v>
      </c>
      <c r="T4022" s="1" t="s">
        <v>273</v>
      </c>
      <c r="U4022" s="1">
        <v>59</v>
      </c>
      <c r="V4022" s="5">
        <v>43672</v>
      </c>
      <c r="W4022" s="5">
        <v>42591</v>
      </c>
      <c r="X4022" s="1">
        <v>949000</v>
      </c>
      <c r="Y4022" s="1">
        <v>949000</v>
      </c>
      <c r="Z4022" s="5">
        <v>42650</v>
      </c>
      <c r="AA4022" s="1">
        <v>943750</v>
      </c>
      <c r="AB4022" s="1" t="s">
        <v>2763</v>
      </c>
      <c r="AC4022" s="5">
        <v>42690</v>
      </c>
      <c r="AF4022" s="1">
        <v>10019</v>
      </c>
      <c r="AI4022" s="1" t="s">
        <v>48</v>
      </c>
      <c r="AJ4022" s="1">
        <v>1940</v>
      </c>
      <c r="AK4022" s="1" t="s">
        <v>108</v>
      </c>
      <c r="AL4022" s="1">
        <v>155</v>
      </c>
    </row>
    <row r="4023" spans="1:38" x14ac:dyDescent="0.2">
      <c r="A4023" s="2" t="str">
        <f>HYPERLINK("https://www.compass.com/listing/416-west-52nd-street-unit-621-manhattan-ny-10019/29389283899069937/","416 W 52nd St, Unit 621")</f>
        <v>416 W 52nd St, Unit 621</v>
      </c>
      <c r="B4023" s="2" t="str">
        <f t="shared" si="673"/>
        <v>Nine52</v>
      </c>
      <c r="C4023" s="1" t="s">
        <v>90</v>
      </c>
      <c r="D4023" s="1" t="s">
        <v>41</v>
      </c>
      <c r="E4023" s="3">
        <v>1152659</v>
      </c>
      <c r="F4023" s="1">
        <v>1728.1244377810999</v>
      </c>
      <c r="G4023" s="1">
        <v>2</v>
      </c>
      <c r="H4023" s="1">
        <v>1</v>
      </c>
      <c r="I4023" s="1">
        <v>1</v>
      </c>
      <c r="J4023" s="1">
        <v>1</v>
      </c>
      <c r="K4023" s="1">
        <v>1</v>
      </c>
      <c r="M4023" s="1">
        <v>667</v>
      </c>
      <c r="N4023" s="1">
        <v>521</v>
      </c>
      <c r="O4023" s="1">
        <v>1417</v>
      </c>
      <c r="P4023" s="1">
        <v>896</v>
      </c>
      <c r="Q4023" s="1" t="s">
        <v>42</v>
      </c>
      <c r="S4023" s="1" t="s">
        <v>42</v>
      </c>
      <c r="T4023" s="1" t="s">
        <v>273</v>
      </c>
      <c r="U4023" s="1">
        <v>188</v>
      </c>
      <c r="V4023" s="5">
        <v>43186</v>
      </c>
      <c r="W4023" s="5">
        <v>42972</v>
      </c>
      <c r="X4023" s="1">
        <v>1156000</v>
      </c>
      <c r="Y4023" s="1">
        <v>1156000</v>
      </c>
      <c r="Z4023" s="5">
        <v>43161</v>
      </c>
      <c r="AA4023" s="1">
        <v>1152659</v>
      </c>
      <c r="AB4023" s="1" t="s">
        <v>2764</v>
      </c>
      <c r="AC4023" s="5">
        <v>43278</v>
      </c>
      <c r="AF4023" s="1">
        <v>10019</v>
      </c>
      <c r="AI4023" s="1" t="s">
        <v>48</v>
      </c>
      <c r="AJ4023" s="1">
        <v>1940</v>
      </c>
      <c r="AK4023" s="1" t="s">
        <v>108</v>
      </c>
      <c r="AL4023" s="1">
        <v>155</v>
      </c>
    </row>
    <row r="4024" spans="1:38" x14ac:dyDescent="0.2">
      <c r="A4024" s="2" t="str">
        <f>HYPERLINK("https://www.compass.com/listing/416-west-52nd-street-unit-217-manhattan-ny-10019/29389257525275921/","416 W 52nd St, Unit 217")</f>
        <v>416 W 52nd St, Unit 217</v>
      </c>
      <c r="B4024" s="2" t="str">
        <f t="shared" si="673"/>
        <v>Nine52</v>
      </c>
      <c r="C4024" s="1" t="s">
        <v>90</v>
      </c>
      <c r="D4024" s="1" t="s">
        <v>41</v>
      </c>
      <c r="E4024" s="3">
        <v>1038000</v>
      </c>
      <c r="F4024" s="1">
        <v>1349.80494148244</v>
      </c>
      <c r="G4024" s="1">
        <v>3</v>
      </c>
      <c r="H4024" s="1">
        <v>1</v>
      </c>
      <c r="I4024" s="1">
        <v>1</v>
      </c>
      <c r="J4024" s="1">
        <v>1</v>
      </c>
      <c r="K4024" s="1">
        <v>1</v>
      </c>
      <c r="M4024" s="1">
        <v>769</v>
      </c>
      <c r="N4024" s="1">
        <v>733</v>
      </c>
      <c r="O4024" s="1">
        <v>2026</v>
      </c>
      <c r="P4024" s="1">
        <v>1293</v>
      </c>
      <c r="Q4024" s="1" t="s">
        <v>42</v>
      </c>
      <c r="S4024" s="1" t="s">
        <v>42</v>
      </c>
      <c r="T4024" s="1" t="s">
        <v>273</v>
      </c>
      <c r="U4024" s="1">
        <v>1</v>
      </c>
      <c r="V4024" s="5">
        <v>43675</v>
      </c>
      <c r="W4024" s="5">
        <v>42468</v>
      </c>
      <c r="X4024" s="1">
        <v>1038000</v>
      </c>
      <c r="Y4024" s="1">
        <v>1038000</v>
      </c>
      <c r="Z4024" s="5">
        <v>42469</v>
      </c>
      <c r="AA4024" s="1">
        <v>1038000</v>
      </c>
      <c r="AB4024" s="1" t="s">
        <v>2765</v>
      </c>
      <c r="AC4024" s="5">
        <v>42674</v>
      </c>
      <c r="AF4024" s="1">
        <v>10019</v>
      </c>
      <c r="AI4024" s="1" t="s">
        <v>238</v>
      </c>
      <c r="AJ4024" s="1">
        <v>1940</v>
      </c>
      <c r="AK4024" s="1" t="s">
        <v>108</v>
      </c>
      <c r="AL4024" s="1">
        <v>155</v>
      </c>
    </row>
    <row r="4025" spans="1:38" x14ac:dyDescent="0.2">
      <c r="A4025" s="2" t="str">
        <f>HYPERLINK("https://www.compass.com/listing/425-west-50th-street-unit-12d-manhattan-ny-10019/29389213275377985/","425 W 50th St, Unit 12D")</f>
        <v>425 W 50th St, Unit 12D</v>
      </c>
      <c r="B4025" s="2" t="str">
        <f t="shared" ref="B4025:B4026" si="674">HYPERLINK("https://www.compass.com/building/stella-tower-manhattan-ny/281945855710262181/","Stella Tower")</f>
        <v>Stella Tower</v>
      </c>
      <c r="C4025" s="1" t="s">
        <v>90</v>
      </c>
      <c r="D4025" s="1" t="s">
        <v>41</v>
      </c>
      <c r="E4025" s="3">
        <v>1344090</v>
      </c>
      <c r="F4025" s="1">
        <v>1317.73529411764</v>
      </c>
      <c r="G4025" s="1">
        <v>3</v>
      </c>
      <c r="H4025" s="1">
        <v>1</v>
      </c>
      <c r="I4025" s="1">
        <v>2</v>
      </c>
      <c r="J4025" s="1">
        <v>1.5</v>
      </c>
      <c r="M4025" s="4">
        <v>1020</v>
      </c>
      <c r="N4025" s="1">
        <v>1155</v>
      </c>
      <c r="O4025" s="1">
        <v>1862</v>
      </c>
      <c r="P4025" s="1">
        <v>707</v>
      </c>
      <c r="Q4025" s="1" t="s">
        <v>42</v>
      </c>
      <c r="S4025" s="1" t="s">
        <v>42</v>
      </c>
      <c r="T4025" s="1" t="s">
        <v>273</v>
      </c>
      <c r="U4025" s="1">
        <v>132</v>
      </c>
      <c r="V4025" s="5">
        <v>42081</v>
      </c>
      <c r="W4025" s="5">
        <v>41859</v>
      </c>
      <c r="X4025" s="1">
        <v>1320000</v>
      </c>
      <c r="Y4025" s="1">
        <v>1320000</v>
      </c>
      <c r="AA4025" s="1">
        <v>1344090</v>
      </c>
      <c r="AB4025" s="1" t="s">
        <v>2766</v>
      </c>
      <c r="AC4025" s="5">
        <v>42074</v>
      </c>
      <c r="AF4025" s="1">
        <v>10019</v>
      </c>
      <c r="AI4025" s="1" t="s">
        <v>80</v>
      </c>
      <c r="AJ4025" s="1">
        <v>1930</v>
      </c>
      <c r="AK4025" s="1" t="s">
        <v>46</v>
      </c>
      <c r="AL4025" s="1">
        <v>51</v>
      </c>
    </row>
    <row r="4026" spans="1:38" x14ac:dyDescent="0.2">
      <c r="A4026" s="2" t="str">
        <f>HYPERLINK("https://www.compass.com/listing/425-west-50th-street-unit-12j-manhattan-ny-10019/29389217108904401/","425 W 50th St, Unit 12J")</f>
        <v>425 W 50th St, Unit 12J</v>
      </c>
      <c r="B4026" s="2" t="str">
        <f t="shared" si="674"/>
        <v>Stella Tower</v>
      </c>
      <c r="C4026" s="1" t="s">
        <v>90</v>
      </c>
      <c r="D4026" s="1" t="s">
        <v>41</v>
      </c>
      <c r="E4026" s="3">
        <v>1303360</v>
      </c>
      <c r="F4026" s="1">
        <v>1412.0910075839599</v>
      </c>
      <c r="G4026" s="1">
        <v>3</v>
      </c>
      <c r="H4026" s="1">
        <v>1</v>
      </c>
      <c r="I4026" s="1">
        <v>1</v>
      </c>
      <c r="J4026" s="1">
        <v>1</v>
      </c>
      <c r="M4026" s="1">
        <v>923</v>
      </c>
      <c r="N4026" s="1">
        <v>1045</v>
      </c>
      <c r="O4026" s="1">
        <v>1685</v>
      </c>
      <c r="P4026" s="1">
        <v>640</v>
      </c>
      <c r="Q4026" s="1" t="s">
        <v>42</v>
      </c>
      <c r="S4026" s="1" t="s">
        <v>42</v>
      </c>
      <c r="T4026" s="1" t="s">
        <v>273</v>
      </c>
      <c r="U4026" s="1">
        <v>132</v>
      </c>
      <c r="V4026" s="5">
        <v>43670</v>
      </c>
      <c r="W4026" s="5">
        <v>41860</v>
      </c>
      <c r="X4026" s="1">
        <v>1280000</v>
      </c>
      <c r="Y4026" s="1">
        <v>1280000</v>
      </c>
      <c r="AA4026" s="1">
        <v>1303360</v>
      </c>
      <c r="AB4026" s="1" t="s">
        <v>2767</v>
      </c>
      <c r="AC4026" s="5">
        <v>42059</v>
      </c>
      <c r="AF4026" s="1">
        <v>10019</v>
      </c>
      <c r="AI4026" s="1" t="s">
        <v>80</v>
      </c>
      <c r="AJ4026" s="1">
        <v>1930</v>
      </c>
      <c r="AK4026" s="1" t="s">
        <v>46</v>
      </c>
      <c r="AL4026" s="1">
        <v>51</v>
      </c>
    </row>
    <row r="4027" spans="1:38" x14ac:dyDescent="0.2">
      <c r="A4027" s="2" t="str">
        <f>HYPERLINK("https://www.compass.com/listing/325-lexington-avenue-unit-4c-manhattan-ny-10016/29379686190626769/","325 Lexington Ave, Unit 4C")</f>
        <v>325 Lexington Ave, Unit 4C</v>
      </c>
      <c r="B4027" s="2" t="str">
        <f>HYPERLINK("https://www.compass.com/building/325-lex-condominium-manhattan-ny/281939882467713365/","325 Lex Condominium")</f>
        <v>325 Lex Condominium</v>
      </c>
      <c r="C4027" s="1" t="s">
        <v>59</v>
      </c>
      <c r="D4027" s="1" t="s">
        <v>41</v>
      </c>
      <c r="E4027" s="3">
        <v>896060</v>
      </c>
      <c r="F4027" s="1">
        <v>1516.1759729272401</v>
      </c>
      <c r="G4027" s="1">
        <v>2.5</v>
      </c>
      <c r="H4027" s="1" t="s">
        <v>153</v>
      </c>
      <c r="I4027" s="1">
        <v>1</v>
      </c>
      <c r="J4027" s="1">
        <v>1</v>
      </c>
      <c r="K4027" s="1">
        <v>1</v>
      </c>
      <c r="M4027" s="1">
        <v>591</v>
      </c>
      <c r="N4027" s="1">
        <v>788</v>
      </c>
      <c r="O4027" s="1">
        <v>960</v>
      </c>
      <c r="P4027" s="1">
        <v>172</v>
      </c>
      <c r="Q4027" s="1" t="s">
        <v>42</v>
      </c>
      <c r="S4027" s="1" t="s">
        <v>42</v>
      </c>
      <c r="T4027" s="1" t="s">
        <v>273</v>
      </c>
      <c r="V4027" s="5">
        <v>43654</v>
      </c>
      <c r="W4027" s="5">
        <v>41986</v>
      </c>
      <c r="X4027" s="1">
        <v>880000</v>
      </c>
      <c r="Y4027" s="1">
        <v>880000</v>
      </c>
      <c r="Z4027" s="5">
        <v>41986</v>
      </c>
      <c r="AA4027" s="1">
        <v>896060</v>
      </c>
      <c r="AB4027" s="1" t="s">
        <v>2768</v>
      </c>
      <c r="AC4027" s="5">
        <v>42048</v>
      </c>
      <c r="AF4027" s="1">
        <v>10016</v>
      </c>
      <c r="AI4027" s="1" t="s">
        <v>60</v>
      </c>
      <c r="AJ4027" s="1">
        <v>2014</v>
      </c>
      <c r="AK4027" s="1" t="s">
        <v>108</v>
      </c>
      <c r="AL4027" s="1">
        <v>125</v>
      </c>
    </row>
    <row r="4028" spans="1:38" x14ac:dyDescent="0.2">
      <c r="A4028" s="2" t="str">
        <f>HYPERLINK("https://www.compass.com/listing/416-west-52nd-street-unit-302-manhattan-ny-10019/29389258372468033/","416 W 52nd St, Unit 302")</f>
        <v>416 W 52nd St, Unit 302</v>
      </c>
      <c r="B4028" s="2" t="str">
        <f>HYPERLINK("https://www.compass.com/building/nine52-manhattan-ny/281945622951555813/","Nine52")</f>
        <v>Nine52</v>
      </c>
      <c r="C4028" s="1" t="s">
        <v>90</v>
      </c>
      <c r="D4028" s="1" t="s">
        <v>41</v>
      </c>
      <c r="E4028" s="3">
        <v>1140000</v>
      </c>
      <c r="G4028" s="1">
        <v>2</v>
      </c>
      <c r="H4028" s="1">
        <v>1</v>
      </c>
      <c r="I4028" s="1">
        <v>1</v>
      </c>
      <c r="J4028" s="1">
        <v>1</v>
      </c>
      <c r="K4028" s="1">
        <v>1</v>
      </c>
      <c r="N4028" s="1">
        <v>491</v>
      </c>
      <c r="O4028" s="1">
        <v>1441</v>
      </c>
      <c r="P4028" s="1">
        <v>950</v>
      </c>
      <c r="Q4028" s="1" t="s">
        <v>42</v>
      </c>
      <c r="S4028" s="1" t="s">
        <v>42</v>
      </c>
      <c r="T4028" s="1" t="s">
        <v>273</v>
      </c>
      <c r="U4028" s="1">
        <v>36</v>
      </c>
      <c r="V4028" s="5">
        <v>42839</v>
      </c>
      <c r="W4028" s="5">
        <v>42740</v>
      </c>
      <c r="X4028" s="1">
        <v>1180000</v>
      </c>
      <c r="Y4028" s="1">
        <v>1180000</v>
      </c>
      <c r="Z4028" s="5">
        <v>42777</v>
      </c>
      <c r="AA4028" s="1">
        <v>1140000</v>
      </c>
      <c r="AB4028" s="1" t="s">
        <v>2769</v>
      </c>
      <c r="AC4028" s="5">
        <v>42835</v>
      </c>
      <c r="AF4028" s="1">
        <v>10019</v>
      </c>
      <c r="AI4028" s="1" t="s">
        <v>48</v>
      </c>
      <c r="AJ4028" s="1">
        <v>1940</v>
      </c>
      <c r="AK4028" s="1" t="s">
        <v>108</v>
      </c>
      <c r="AL4028" s="1">
        <v>155</v>
      </c>
    </row>
    <row r="4029" spans="1:38" x14ac:dyDescent="0.2">
      <c r="A4029" s="2" t="str">
        <f>HYPERLINK("https://www.compass.com/listing/325-lexington-avenue-unit-18c-manhattan-ny-10016/29379714342790097/","325 Lexington Ave, Unit 18C")</f>
        <v>325 Lexington Ave, Unit 18C</v>
      </c>
      <c r="B4029" s="2" t="str">
        <f t="shared" ref="B4029:B4030" si="675">HYPERLINK("https://www.compass.com/building/325-lex-condominium-manhattan-ny/281939882467713365/","325 Lex Condominium")</f>
        <v>325 Lex Condominium</v>
      </c>
      <c r="C4029" s="1" t="s">
        <v>59</v>
      </c>
      <c r="D4029" s="1" t="s">
        <v>41</v>
      </c>
      <c r="E4029" s="3">
        <v>946973</v>
      </c>
      <c r="F4029" s="1">
        <v>1831.66924564796</v>
      </c>
      <c r="G4029" s="1">
        <v>3</v>
      </c>
      <c r="H4029" s="1">
        <v>1</v>
      </c>
      <c r="I4029" s="1">
        <v>1</v>
      </c>
      <c r="J4029" s="1">
        <v>1</v>
      </c>
      <c r="K4029" s="1">
        <v>1</v>
      </c>
      <c r="M4029" s="1">
        <v>517</v>
      </c>
      <c r="N4029" s="1">
        <v>734</v>
      </c>
      <c r="O4029" s="1">
        <v>894</v>
      </c>
      <c r="P4029" s="1">
        <v>160</v>
      </c>
      <c r="Q4029" s="1" t="s">
        <v>42</v>
      </c>
      <c r="S4029" s="1" t="s">
        <v>42</v>
      </c>
      <c r="T4029" s="1" t="s">
        <v>273</v>
      </c>
      <c r="V4029" s="5">
        <v>43654</v>
      </c>
      <c r="W4029" s="5">
        <v>41951</v>
      </c>
      <c r="X4029" s="1">
        <v>985000</v>
      </c>
      <c r="Y4029" s="1">
        <v>985000</v>
      </c>
      <c r="Z4029" s="5">
        <v>41951</v>
      </c>
      <c r="AA4029" s="1">
        <v>946973</v>
      </c>
      <c r="AB4029" s="1" t="s">
        <v>2770</v>
      </c>
      <c r="AC4029" s="5">
        <v>42059</v>
      </c>
      <c r="AF4029" s="1">
        <v>10016</v>
      </c>
      <c r="AI4029" s="1" t="s">
        <v>60</v>
      </c>
      <c r="AJ4029" s="1">
        <v>2014</v>
      </c>
      <c r="AK4029" s="1" t="s">
        <v>108</v>
      </c>
      <c r="AL4029" s="1">
        <v>125</v>
      </c>
    </row>
    <row r="4030" spans="1:38" x14ac:dyDescent="0.2">
      <c r="A4030" s="2" t="str">
        <f>HYPERLINK("https://www.compass.com/listing/325-lexington-avenue-unit-9c-manhattan-ny-10016/29379697154476353/","325 Lexington Ave, Unit 9C")</f>
        <v>325 Lexington Ave, Unit 9C</v>
      </c>
      <c r="B4030" s="2" t="str">
        <f t="shared" si="675"/>
        <v>325 Lex Condominium</v>
      </c>
      <c r="C4030" s="1" t="s">
        <v>59</v>
      </c>
      <c r="D4030" s="1" t="s">
        <v>41</v>
      </c>
      <c r="E4030" s="3">
        <v>890969</v>
      </c>
      <c r="F4030" s="1">
        <v>1781.9380000000001</v>
      </c>
      <c r="G4030" s="1">
        <v>2</v>
      </c>
      <c r="H4030" s="1" t="s">
        <v>99</v>
      </c>
      <c r="I4030" s="1">
        <v>1</v>
      </c>
      <c r="J4030" s="1">
        <v>1</v>
      </c>
      <c r="K4030" s="1">
        <v>1</v>
      </c>
      <c r="M4030" s="1">
        <v>500</v>
      </c>
      <c r="N4030" s="1">
        <v>683</v>
      </c>
      <c r="O4030" s="1">
        <v>832</v>
      </c>
      <c r="P4030" s="1">
        <v>149</v>
      </c>
      <c r="Q4030" s="1" t="s">
        <v>42</v>
      </c>
      <c r="S4030" s="1" t="s">
        <v>42</v>
      </c>
      <c r="T4030" s="1" t="s">
        <v>273</v>
      </c>
      <c r="V4030" s="5">
        <v>43654</v>
      </c>
      <c r="W4030" s="5">
        <v>42070</v>
      </c>
      <c r="X4030" s="1">
        <v>875000</v>
      </c>
      <c r="Y4030" s="1">
        <v>875000</v>
      </c>
      <c r="Z4030" s="5">
        <v>42070</v>
      </c>
      <c r="AA4030" s="1">
        <v>890969</v>
      </c>
      <c r="AB4030" s="1" t="s">
        <v>2771</v>
      </c>
      <c r="AC4030" s="5">
        <v>42110</v>
      </c>
      <c r="AF4030" s="1">
        <v>10016</v>
      </c>
      <c r="AI4030" s="1" t="s">
        <v>60</v>
      </c>
      <c r="AJ4030" s="1">
        <v>2014</v>
      </c>
      <c r="AK4030" s="1" t="s">
        <v>108</v>
      </c>
      <c r="AL4030" s="1">
        <v>125</v>
      </c>
    </row>
    <row r="4031" spans="1:38" x14ac:dyDescent="0.2">
      <c r="A4031" s="2" t="str">
        <f>HYPERLINK("https://www.compass.com/listing/416-west-52nd-street-unit-516-manhattan-ny-10019/29389281214705265/","416 W 52nd St, Unit 516")</f>
        <v>416 W 52nd St, Unit 516</v>
      </c>
      <c r="B4031" s="2" t="str">
        <f t="shared" ref="B4031:B4032" si="676">HYPERLINK("https://www.compass.com/building/nine52-manhattan-ny/281945622951555813/","Nine52")</f>
        <v>Nine52</v>
      </c>
      <c r="C4031" s="1" t="s">
        <v>90</v>
      </c>
      <c r="D4031" s="1" t="s">
        <v>41</v>
      </c>
      <c r="E4031" s="3">
        <v>1033252</v>
      </c>
      <c r="F4031" s="1">
        <v>1693.8557377049101</v>
      </c>
      <c r="G4031" s="1">
        <v>2</v>
      </c>
      <c r="H4031" s="1">
        <v>1</v>
      </c>
      <c r="I4031" s="1">
        <v>1</v>
      </c>
      <c r="J4031" s="1">
        <v>1</v>
      </c>
      <c r="K4031" s="1">
        <v>1</v>
      </c>
      <c r="M4031" s="1">
        <v>610</v>
      </c>
      <c r="N4031" s="1">
        <v>477</v>
      </c>
      <c r="O4031" s="1">
        <v>1296</v>
      </c>
      <c r="P4031" s="1">
        <v>819</v>
      </c>
      <c r="Q4031" s="1" t="s">
        <v>42</v>
      </c>
      <c r="S4031" s="1" t="s">
        <v>42</v>
      </c>
      <c r="T4031" s="1" t="s">
        <v>273</v>
      </c>
      <c r="U4031" s="1">
        <v>188</v>
      </c>
      <c r="V4031" s="5">
        <v>43186</v>
      </c>
      <c r="W4031" s="5">
        <v>42972</v>
      </c>
      <c r="X4031" s="1">
        <v>1085000</v>
      </c>
      <c r="Y4031" s="1">
        <v>1085000</v>
      </c>
      <c r="Z4031" s="5">
        <v>43161</v>
      </c>
      <c r="AA4031" s="1">
        <v>1033252</v>
      </c>
      <c r="AB4031" s="1" t="s">
        <v>2772</v>
      </c>
      <c r="AC4031" s="5">
        <v>43187</v>
      </c>
      <c r="AF4031" s="1">
        <v>10019</v>
      </c>
      <c r="AI4031" s="1" t="s">
        <v>48</v>
      </c>
      <c r="AJ4031" s="1">
        <v>1940</v>
      </c>
      <c r="AK4031" s="1" t="s">
        <v>108</v>
      </c>
      <c r="AL4031" s="1">
        <v>155</v>
      </c>
    </row>
    <row r="4032" spans="1:38" x14ac:dyDescent="0.2">
      <c r="A4032" s="2" t="str">
        <f>HYPERLINK("https://www.compass.com/listing/416-west-52nd-street-unit-610-manhattan-ny-10019/277083623126005601/","416 W 52nd St, Unit 610")</f>
        <v>416 W 52nd St, Unit 610</v>
      </c>
      <c r="B4032" s="2" t="str">
        <f t="shared" si="676"/>
        <v>Nine52</v>
      </c>
      <c r="C4032" s="1" t="s">
        <v>90</v>
      </c>
      <c r="D4032" s="1" t="s">
        <v>41</v>
      </c>
      <c r="E4032" s="3">
        <v>999000</v>
      </c>
      <c r="F4032" s="1">
        <v>1648.5148514851401</v>
      </c>
      <c r="G4032" s="1">
        <v>3</v>
      </c>
      <c r="H4032" s="1">
        <v>1</v>
      </c>
      <c r="I4032" s="1">
        <v>1</v>
      </c>
      <c r="J4032" s="1">
        <v>1</v>
      </c>
      <c r="M4032" s="1">
        <v>606</v>
      </c>
      <c r="N4032" s="1">
        <v>504</v>
      </c>
      <c r="O4032" s="1">
        <v>1379</v>
      </c>
      <c r="P4032" s="1">
        <v>875</v>
      </c>
      <c r="Q4032" s="1" t="s">
        <v>42</v>
      </c>
      <c r="S4032" s="1" t="s">
        <v>42</v>
      </c>
      <c r="T4032" s="1" t="s">
        <v>273</v>
      </c>
      <c r="V4032" s="5">
        <v>41640</v>
      </c>
      <c r="W4032" s="5">
        <v>42542</v>
      </c>
      <c r="X4032" s="1">
        <v>999000</v>
      </c>
      <c r="Y4032" s="1">
        <v>999000</v>
      </c>
      <c r="Z4032" s="5">
        <v>42543</v>
      </c>
      <c r="AA4032" s="1">
        <v>999000</v>
      </c>
      <c r="AB4032" s="1" t="s">
        <v>2773</v>
      </c>
      <c r="AC4032" s="5">
        <v>42634</v>
      </c>
      <c r="AF4032" s="1">
        <v>10019</v>
      </c>
      <c r="AI4032" s="1" t="s">
        <v>48</v>
      </c>
      <c r="AJ4032" s="1">
        <v>1940</v>
      </c>
      <c r="AK4032" s="1" t="s">
        <v>55</v>
      </c>
      <c r="AL4032" s="1">
        <v>155</v>
      </c>
    </row>
    <row r="4033" spans="1:38" x14ac:dyDescent="0.2">
      <c r="A4033" s="2" t="str">
        <f>HYPERLINK("https://www.compass.com/listing/1-west-end-avenue-unit-9b-manhattan-ny-10069/29397329454845713/","1 W End Ave, Unit 9B")</f>
        <v>1 W End Ave, Unit 9B</v>
      </c>
      <c r="B4033" s="2" t="str">
        <f t="shared" ref="B4033:B4042" si="677">HYPERLINK("https://www.compass.com/building/1-w-end-ave-manhattan-ny-10069/455676159137755317/","1 W End Ave")</f>
        <v>1 W End Ave</v>
      </c>
      <c r="C4033" s="1" t="s">
        <v>57</v>
      </c>
      <c r="D4033" s="1" t="s">
        <v>41</v>
      </c>
      <c r="E4033" s="3">
        <v>1450909</v>
      </c>
      <c r="F4033" s="1">
        <v>1621.12737430167</v>
      </c>
      <c r="G4033" s="1">
        <v>3</v>
      </c>
      <c r="H4033" s="1">
        <v>1</v>
      </c>
      <c r="I4033" s="1">
        <v>1</v>
      </c>
      <c r="J4033" s="1">
        <v>1.5</v>
      </c>
      <c r="K4033" s="1">
        <v>1</v>
      </c>
      <c r="L4033" s="1">
        <v>1</v>
      </c>
      <c r="M4033" s="1">
        <v>895</v>
      </c>
      <c r="N4033" s="1">
        <v>973.79</v>
      </c>
      <c r="O4033" s="1">
        <v>1031.97</v>
      </c>
      <c r="P4033" s="1">
        <v>58.1666666666666</v>
      </c>
      <c r="Q4033" s="1" t="s">
        <v>42</v>
      </c>
      <c r="S4033" s="1" t="s">
        <v>42</v>
      </c>
      <c r="T4033" s="1" t="s">
        <v>273</v>
      </c>
      <c r="V4033" s="5">
        <v>43624</v>
      </c>
      <c r="W4033" s="5">
        <v>42203</v>
      </c>
      <c r="X4033" s="1">
        <v>1640000</v>
      </c>
      <c r="Y4033" s="1">
        <v>1640000</v>
      </c>
      <c r="Z4033" s="5">
        <v>42203</v>
      </c>
      <c r="AA4033" s="1">
        <v>1450909</v>
      </c>
      <c r="AB4033" s="1" t="s">
        <v>2774</v>
      </c>
      <c r="AC4033" s="5">
        <v>43006</v>
      </c>
      <c r="AF4033" s="1">
        <v>10069</v>
      </c>
      <c r="AI4033" s="1" t="s">
        <v>60</v>
      </c>
      <c r="AJ4033" s="1">
        <v>2017</v>
      </c>
      <c r="AK4033" s="1" t="s">
        <v>108</v>
      </c>
      <c r="AL4033" s="1">
        <v>246</v>
      </c>
    </row>
    <row r="4034" spans="1:38" x14ac:dyDescent="0.2">
      <c r="A4034" s="2" t="str">
        <f>HYPERLINK("https://www.compass.com/listing/1-west-end-avenue-unit-10b-manhattan-ny-10069/29397329849186529/","1 W End Ave, Unit 10B")</f>
        <v>1 W End Ave, Unit 10B</v>
      </c>
      <c r="B4034" s="2" t="str">
        <f t="shared" si="677"/>
        <v>1 W End Ave</v>
      </c>
      <c r="C4034" s="1" t="s">
        <v>57</v>
      </c>
      <c r="D4034" s="1" t="s">
        <v>41</v>
      </c>
      <c r="E4034" s="3">
        <v>1466175</v>
      </c>
      <c r="F4034" s="1">
        <v>1638.18435754189</v>
      </c>
      <c r="G4034" s="1">
        <v>3</v>
      </c>
      <c r="H4034" s="1">
        <v>1</v>
      </c>
      <c r="I4034" s="1">
        <v>2</v>
      </c>
      <c r="J4034" s="1">
        <v>1.5</v>
      </c>
      <c r="K4034" s="1">
        <v>1</v>
      </c>
      <c r="L4034" s="1">
        <v>1</v>
      </c>
      <c r="M4034" s="1">
        <v>895</v>
      </c>
      <c r="N4034" s="1">
        <v>973.79</v>
      </c>
      <c r="O4034" s="1">
        <v>1031.97</v>
      </c>
      <c r="P4034" s="1">
        <v>58.1666666666666</v>
      </c>
      <c r="Q4034" s="1" t="s">
        <v>42</v>
      </c>
      <c r="S4034" s="1" t="s">
        <v>42</v>
      </c>
      <c r="T4034" s="1" t="s">
        <v>273</v>
      </c>
      <c r="V4034" s="5">
        <v>43640</v>
      </c>
      <c r="W4034" s="5">
        <v>42202</v>
      </c>
      <c r="X4034" s="1">
        <v>1655000</v>
      </c>
      <c r="Y4034" s="1">
        <v>1655000</v>
      </c>
      <c r="Z4034" s="5">
        <v>42202</v>
      </c>
      <c r="AA4034" s="1">
        <v>1466175</v>
      </c>
      <c r="AB4034" s="1" t="s">
        <v>2775</v>
      </c>
      <c r="AC4034" s="5">
        <v>43012</v>
      </c>
      <c r="AF4034" s="1">
        <v>10069</v>
      </c>
      <c r="AI4034" s="1" t="s">
        <v>60</v>
      </c>
      <c r="AJ4034" s="1">
        <v>2017</v>
      </c>
      <c r="AK4034" s="1" t="s">
        <v>108</v>
      </c>
      <c r="AL4034" s="1">
        <v>246</v>
      </c>
    </row>
    <row r="4035" spans="1:38" x14ac:dyDescent="0.2">
      <c r="A4035" s="2" t="str">
        <f>HYPERLINK("https://www.compass.com/listing/1-west-end-avenue-unit-11b-manhattan-ny-10069/29397330369185713/","1 W End Ave, Unit 11B")</f>
        <v>1 W End Ave, Unit 11B</v>
      </c>
      <c r="B4035" s="2" t="str">
        <f t="shared" si="677"/>
        <v>1 W End Ave</v>
      </c>
      <c r="C4035" s="1" t="s">
        <v>57</v>
      </c>
      <c r="D4035" s="1" t="s">
        <v>41</v>
      </c>
      <c r="E4035" s="3">
        <v>1481449</v>
      </c>
      <c r="F4035" s="1">
        <v>1655.2502793296001</v>
      </c>
      <c r="G4035" s="1">
        <v>3</v>
      </c>
      <c r="H4035" s="1">
        <v>1</v>
      </c>
      <c r="I4035" s="1">
        <v>1</v>
      </c>
      <c r="J4035" s="1">
        <v>1.5</v>
      </c>
      <c r="K4035" s="1">
        <v>1</v>
      </c>
      <c r="L4035" s="1">
        <v>1</v>
      </c>
      <c r="M4035" s="1">
        <v>895</v>
      </c>
      <c r="N4035" s="1">
        <v>973.79</v>
      </c>
      <c r="O4035" s="1">
        <v>1031.97</v>
      </c>
      <c r="P4035" s="1">
        <v>58.1666666666666</v>
      </c>
      <c r="Q4035" s="1" t="s">
        <v>42</v>
      </c>
      <c r="S4035" s="1" t="s">
        <v>42</v>
      </c>
      <c r="T4035" s="1" t="s">
        <v>273</v>
      </c>
      <c r="V4035" s="5">
        <v>43649</v>
      </c>
      <c r="W4035" s="5">
        <v>42202</v>
      </c>
      <c r="X4035" s="1">
        <v>1670000</v>
      </c>
      <c r="Y4035" s="1">
        <v>1670000</v>
      </c>
      <c r="Z4035" s="5">
        <v>42202</v>
      </c>
      <c r="AA4035" s="1">
        <v>1481449</v>
      </c>
      <c r="AB4035" s="1" t="s">
        <v>2776</v>
      </c>
      <c r="AC4035" s="5">
        <v>43014</v>
      </c>
      <c r="AF4035" s="1">
        <v>10069</v>
      </c>
      <c r="AI4035" s="1" t="s">
        <v>60</v>
      </c>
      <c r="AJ4035" s="1">
        <v>2017</v>
      </c>
      <c r="AK4035" s="1" t="s">
        <v>108</v>
      </c>
      <c r="AL4035" s="1">
        <v>246</v>
      </c>
    </row>
    <row r="4036" spans="1:38" x14ac:dyDescent="0.2">
      <c r="A4036" s="2" t="str">
        <f>HYPERLINK("https://www.compass.com/listing/1-west-end-avenue-unit-12b-manhattan-ny-10069/29397330780245793/","1 W End Ave, Unit 12B")</f>
        <v>1 W End Ave, Unit 12B</v>
      </c>
      <c r="B4036" s="2" t="str">
        <f t="shared" si="677"/>
        <v>1 W End Ave</v>
      </c>
      <c r="C4036" s="1" t="s">
        <v>57</v>
      </c>
      <c r="D4036" s="1" t="s">
        <v>41</v>
      </c>
      <c r="E4036" s="3">
        <v>1496730</v>
      </c>
      <c r="F4036" s="1">
        <v>1672.3240223463599</v>
      </c>
      <c r="G4036" s="1">
        <v>3</v>
      </c>
      <c r="H4036" s="1">
        <v>1</v>
      </c>
      <c r="I4036" s="1">
        <v>1</v>
      </c>
      <c r="J4036" s="1">
        <v>1.5</v>
      </c>
      <c r="K4036" s="1">
        <v>1</v>
      </c>
      <c r="L4036" s="1">
        <v>1</v>
      </c>
      <c r="M4036" s="1">
        <v>895</v>
      </c>
      <c r="N4036" s="1">
        <v>973.79</v>
      </c>
      <c r="O4036" s="1">
        <v>1031.97</v>
      </c>
      <c r="P4036" s="1">
        <v>58.1666666666666</v>
      </c>
      <c r="Q4036" s="1" t="s">
        <v>42</v>
      </c>
      <c r="S4036" s="1" t="s">
        <v>42</v>
      </c>
      <c r="T4036" s="1" t="s">
        <v>273</v>
      </c>
      <c r="V4036" s="5">
        <v>43623</v>
      </c>
      <c r="W4036" s="5">
        <v>42201</v>
      </c>
      <c r="X4036" s="1">
        <v>1685000</v>
      </c>
      <c r="Y4036" s="1">
        <v>1685000</v>
      </c>
      <c r="Z4036" s="5">
        <v>42201</v>
      </c>
      <c r="AA4036" s="1">
        <v>1496730</v>
      </c>
      <c r="AB4036" s="1" t="s">
        <v>2777</v>
      </c>
      <c r="AC4036" s="5">
        <v>43032</v>
      </c>
      <c r="AF4036" s="1">
        <v>10069</v>
      </c>
      <c r="AI4036" s="1" t="s">
        <v>60</v>
      </c>
      <c r="AJ4036" s="1">
        <v>2017</v>
      </c>
      <c r="AK4036" s="1" t="s">
        <v>108</v>
      </c>
      <c r="AL4036" s="1">
        <v>246</v>
      </c>
    </row>
    <row r="4037" spans="1:38" x14ac:dyDescent="0.2">
      <c r="A4037" s="2" t="str">
        <f>HYPERLINK("https://www.compass.com/listing/1-west-end-avenue-unit-14b-manhattan-ny-10069/29397331216529649/","1 W End Ave, Unit 14B")</f>
        <v>1 W End Ave, Unit 14B</v>
      </c>
      <c r="B4037" s="2" t="str">
        <f t="shared" si="677"/>
        <v>1 W End Ave</v>
      </c>
      <c r="C4037" s="1" t="s">
        <v>57</v>
      </c>
      <c r="D4037" s="1" t="s">
        <v>41</v>
      </c>
      <c r="E4037" s="3">
        <v>1562916</v>
      </c>
      <c r="F4037" s="1">
        <v>1746.2748603351899</v>
      </c>
      <c r="G4037" s="1">
        <v>3</v>
      </c>
      <c r="H4037" s="1">
        <v>1</v>
      </c>
      <c r="I4037" s="1">
        <v>1</v>
      </c>
      <c r="J4037" s="1">
        <v>1.5</v>
      </c>
      <c r="K4037" s="1">
        <v>1</v>
      </c>
      <c r="L4037" s="1">
        <v>1</v>
      </c>
      <c r="M4037" s="1">
        <v>895</v>
      </c>
      <c r="N4037" s="1">
        <v>973.79</v>
      </c>
      <c r="O4037" s="1">
        <v>1031.97</v>
      </c>
      <c r="P4037" s="1">
        <v>58.1666666666666</v>
      </c>
      <c r="Q4037" s="1" t="s">
        <v>42</v>
      </c>
      <c r="S4037" s="1" t="s">
        <v>42</v>
      </c>
      <c r="T4037" s="1" t="s">
        <v>273</v>
      </c>
      <c r="V4037" s="5">
        <v>43623</v>
      </c>
      <c r="W4037" s="5">
        <v>42202</v>
      </c>
      <c r="X4037" s="1">
        <v>1700000</v>
      </c>
      <c r="Y4037" s="1">
        <v>1700000</v>
      </c>
      <c r="Z4037" s="5">
        <v>42202</v>
      </c>
      <c r="AA4037" s="1">
        <v>1562916</v>
      </c>
      <c r="AB4037" s="1" t="s">
        <v>2778</v>
      </c>
      <c r="AC4037" s="5">
        <v>43070</v>
      </c>
      <c r="AF4037" s="1">
        <v>10069</v>
      </c>
      <c r="AI4037" s="1" t="s">
        <v>60</v>
      </c>
      <c r="AJ4037" s="1">
        <v>2017</v>
      </c>
      <c r="AK4037" s="1" t="s">
        <v>108</v>
      </c>
      <c r="AL4037" s="1">
        <v>246</v>
      </c>
    </row>
    <row r="4038" spans="1:38" x14ac:dyDescent="0.2">
      <c r="A4038" s="2" t="str">
        <f>HYPERLINK("https://www.compass.com/listing/1-west-end-avenue-unit-15b-manhattan-ny-10069/29397331585533889/","1 W End Ave, Unit 15B")</f>
        <v>1 W End Ave, Unit 15B</v>
      </c>
      <c r="B4038" s="2" t="str">
        <f t="shared" si="677"/>
        <v>1 W End Ave</v>
      </c>
      <c r="C4038" s="1" t="s">
        <v>57</v>
      </c>
      <c r="D4038" s="1" t="s">
        <v>41</v>
      </c>
      <c r="E4038" s="3">
        <v>1598548</v>
      </c>
      <c r="F4038" s="1">
        <v>1786.0871508379801</v>
      </c>
      <c r="G4038" s="1">
        <v>3</v>
      </c>
      <c r="H4038" s="1">
        <v>1</v>
      </c>
      <c r="I4038" s="1">
        <v>1</v>
      </c>
      <c r="J4038" s="1">
        <v>1.5</v>
      </c>
      <c r="K4038" s="1">
        <v>1</v>
      </c>
      <c r="L4038" s="1">
        <v>1</v>
      </c>
      <c r="M4038" s="1">
        <v>895</v>
      </c>
      <c r="N4038" s="1">
        <v>973.79</v>
      </c>
      <c r="O4038" s="1">
        <v>1031.97</v>
      </c>
      <c r="P4038" s="1">
        <v>58.1666666666666</v>
      </c>
      <c r="Q4038" s="1" t="s">
        <v>42</v>
      </c>
      <c r="S4038" s="1" t="s">
        <v>42</v>
      </c>
      <c r="T4038" s="1" t="s">
        <v>273</v>
      </c>
      <c r="V4038" s="5">
        <v>43650</v>
      </c>
      <c r="W4038" s="5">
        <v>42203</v>
      </c>
      <c r="X4038" s="1">
        <v>1735000</v>
      </c>
      <c r="Y4038" s="1">
        <v>1735000</v>
      </c>
      <c r="Z4038" s="5">
        <v>42203</v>
      </c>
      <c r="AA4038" s="1">
        <v>1598548</v>
      </c>
      <c r="AB4038" s="1" t="s">
        <v>2779</v>
      </c>
      <c r="AC4038" s="5">
        <v>43084</v>
      </c>
      <c r="AF4038" s="1">
        <v>10069</v>
      </c>
      <c r="AI4038" s="1" t="s">
        <v>60</v>
      </c>
      <c r="AJ4038" s="1">
        <v>2017</v>
      </c>
      <c r="AK4038" s="1" t="s">
        <v>108</v>
      </c>
      <c r="AL4038" s="1">
        <v>246</v>
      </c>
    </row>
    <row r="4039" spans="1:38" x14ac:dyDescent="0.2">
      <c r="A4039" s="2" t="str">
        <f>HYPERLINK("https://www.compass.com/listing/1-west-end-avenue-unit-16b-manhattan-ny-10069/29397331937873729/","1 W End Ave, Unit 16B")</f>
        <v>1 W End Ave, Unit 16B</v>
      </c>
      <c r="B4039" s="2" t="str">
        <f t="shared" si="677"/>
        <v>1 W End Ave</v>
      </c>
      <c r="C4039" s="1" t="s">
        <v>57</v>
      </c>
      <c r="D4039" s="1" t="s">
        <v>41</v>
      </c>
      <c r="E4039" s="3">
        <v>1634186</v>
      </c>
      <c r="F4039" s="1">
        <v>1825.9061452513899</v>
      </c>
      <c r="G4039" s="1">
        <v>3</v>
      </c>
      <c r="H4039" s="1">
        <v>1</v>
      </c>
      <c r="I4039" s="1">
        <v>1</v>
      </c>
      <c r="J4039" s="1">
        <v>1.5</v>
      </c>
      <c r="K4039" s="1">
        <v>1</v>
      </c>
      <c r="L4039" s="1">
        <v>1</v>
      </c>
      <c r="M4039" s="1">
        <v>895</v>
      </c>
      <c r="N4039" s="1">
        <v>973.79</v>
      </c>
      <c r="O4039" s="1">
        <v>1031.97</v>
      </c>
      <c r="P4039" s="1">
        <v>58.1666666666666</v>
      </c>
      <c r="Q4039" s="1" t="s">
        <v>42</v>
      </c>
      <c r="S4039" s="1" t="s">
        <v>42</v>
      </c>
      <c r="T4039" s="1" t="s">
        <v>273</v>
      </c>
      <c r="V4039" s="5">
        <v>43624</v>
      </c>
      <c r="W4039" s="5">
        <v>42203</v>
      </c>
      <c r="X4039" s="1">
        <v>1750000</v>
      </c>
      <c r="Y4039" s="1">
        <v>1750000</v>
      </c>
      <c r="Z4039" s="5">
        <v>42203</v>
      </c>
      <c r="AA4039" s="1">
        <v>1634186</v>
      </c>
      <c r="AB4039" s="1" t="s">
        <v>2780</v>
      </c>
      <c r="AC4039" s="5">
        <v>43061</v>
      </c>
      <c r="AF4039" s="1">
        <v>10069</v>
      </c>
      <c r="AI4039" s="1" t="s">
        <v>60</v>
      </c>
      <c r="AJ4039" s="1">
        <v>2017</v>
      </c>
      <c r="AK4039" s="1" t="s">
        <v>108</v>
      </c>
      <c r="AL4039" s="1">
        <v>246</v>
      </c>
    </row>
    <row r="4040" spans="1:38" x14ac:dyDescent="0.2">
      <c r="A4040" s="2" t="str">
        <f>HYPERLINK("https://www.compass.com/listing/1-west-end-avenue-unit-18b-manhattan-ny-10069/29397332751550417/","1 W End Ave, Unit 18B")</f>
        <v>1 W End Ave, Unit 18B</v>
      </c>
      <c r="B4040" s="2" t="str">
        <f t="shared" si="677"/>
        <v>1 W End Ave</v>
      </c>
      <c r="C4040" s="1" t="s">
        <v>57</v>
      </c>
      <c r="D4040" s="1" t="s">
        <v>41</v>
      </c>
      <c r="E4040" s="3">
        <v>1593464</v>
      </c>
      <c r="F4040" s="1">
        <v>1780.4067039106101</v>
      </c>
      <c r="G4040" s="1">
        <v>3</v>
      </c>
      <c r="H4040" s="1">
        <v>1</v>
      </c>
      <c r="I4040" s="1">
        <v>1</v>
      </c>
      <c r="J4040" s="1">
        <v>1.5</v>
      </c>
      <c r="K4040" s="1">
        <v>1</v>
      </c>
      <c r="L4040" s="1">
        <v>1</v>
      </c>
      <c r="M4040" s="1">
        <v>895</v>
      </c>
      <c r="N4040" s="1">
        <v>973.79</v>
      </c>
      <c r="O4040" s="1">
        <v>1031.97</v>
      </c>
      <c r="P4040" s="1">
        <v>58.1666666666666</v>
      </c>
      <c r="Q4040" s="1" t="s">
        <v>42</v>
      </c>
      <c r="S4040" s="1" t="s">
        <v>42</v>
      </c>
      <c r="T4040" s="1" t="s">
        <v>273</v>
      </c>
      <c r="V4040" s="5">
        <v>43626</v>
      </c>
      <c r="W4040" s="5">
        <v>42202</v>
      </c>
      <c r="X4040" s="1">
        <v>1780000</v>
      </c>
      <c r="Y4040" s="1">
        <v>1780000</v>
      </c>
      <c r="Z4040" s="5">
        <v>42202</v>
      </c>
      <c r="AA4040" s="1">
        <v>1593464</v>
      </c>
      <c r="AB4040" s="1" t="s">
        <v>2781</v>
      </c>
      <c r="AC4040" s="5">
        <v>43007</v>
      </c>
      <c r="AF4040" s="1">
        <v>10069</v>
      </c>
      <c r="AI4040" s="1" t="s">
        <v>60</v>
      </c>
      <c r="AJ4040" s="1">
        <v>2017</v>
      </c>
      <c r="AK4040" s="1" t="s">
        <v>108</v>
      </c>
      <c r="AL4040" s="1">
        <v>246</v>
      </c>
    </row>
    <row r="4041" spans="1:38" x14ac:dyDescent="0.2">
      <c r="A4041" s="2" t="str">
        <f>HYPERLINK("https://www.compass.com/listing/1-west-end-avenue-unit-19b-manhattan-ny-10069/29397333045170001/","1 W End Ave, Unit 19B")</f>
        <v>1 W End Ave, Unit 19B</v>
      </c>
      <c r="B4041" s="2" t="str">
        <f t="shared" si="677"/>
        <v>1 W End Ave</v>
      </c>
      <c r="C4041" s="1" t="s">
        <v>57</v>
      </c>
      <c r="D4041" s="1" t="s">
        <v>41</v>
      </c>
      <c r="E4041" s="3">
        <v>1840390</v>
      </c>
      <c r="F4041" s="1">
        <v>2056.3016759776501</v>
      </c>
      <c r="G4041" s="1">
        <v>3</v>
      </c>
      <c r="H4041" s="1">
        <v>1</v>
      </c>
      <c r="I4041" s="1">
        <v>1</v>
      </c>
      <c r="J4041" s="1">
        <v>1.5</v>
      </c>
      <c r="K4041" s="1">
        <v>1</v>
      </c>
      <c r="L4041" s="1">
        <v>1</v>
      </c>
      <c r="M4041" s="1">
        <v>895</v>
      </c>
      <c r="N4041" s="1">
        <v>974</v>
      </c>
      <c r="O4041" s="1">
        <v>1032</v>
      </c>
      <c r="P4041" s="1">
        <v>58</v>
      </c>
      <c r="Q4041" s="1" t="s">
        <v>42</v>
      </c>
      <c r="S4041" s="1" t="s">
        <v>42</v>
      </c>
      <c r="T4041" s="1" t="s">
        <v>273</v>
      </c>
      <c r="U4041" s="1">
        <v>29</v>
      </c>
      <c r="V4041" s="5">
        <v>43650</v>
      </c>
      <c r="W4041" s="5">
        <v>42191</v>
      </c>
      <c r="X4041" s="1">
        <v>1725000</v>
      </c>
      <c r="Y4041" s="1">
        <v>1802500</v>
      </c>
      <c r="Z4041" s="5">
        <v>42220</v>
      </c>
      <c r="AA4041" s="1">
        <v>1840390</v>
      </c>
      <c r="AB4041" s="1" t="s">
        <v>2782</v>
      </c>
      <c r="AC4041" s="5">
        <v>42985</v>
      </c>
      <c r="AF4041" s="1">
        <v>10069</v>
      </c>
      <c r="AI4041" s="1" t="s">
        <v>60</v>
      </c>
      <c r="AJ4041" s="1">
        <v>2017</v>
      </c>
      <c r="AK4041" s="1" t="s">
        <v>108</v>
      </c>
      <c r="AL4041" s="1">
        <v>246</v>
      </c>
    </row>
    <row r="4042" spans="1:38" x14ac:dyDescent="0.2">
      <c r="A4042" s="2" t="str">
        <f>HYPERLINK("https://www.compass.com/listing/1-west-end-avenue-unit-28h-manhattan-ny-10069/29397385918643281/","1 W End Ave, Unit 28H")</f>
        <v>1 W End Ave, Unit 28H</v>
      </c>
      <c r="B4042" s="2" t="str">
        <f t="shared" si="677"/>
        <v>1 W End Ave</v>
      </c>
      <c r="C4042" s="1" t="s">
        <v>57</v>
      </c>
      <c r="D4042" s="1" t="s">
        <v>41</v>
      </c>
      <c r="E4042" s="3">
        <v>2072191</v>
      </c>
      <c r="F4042" s="1">
        <v>2254.8324265505898</v>
      </c>
      <c r="G4042" s="1">
        <v>3</v>
      </c>
      <c r="H4042" s="1">
        <v>1</v>
      </c>
      <c r="I4042" s="1">
        <v>1</v>
      </c>
      <c r="J4042" s="1">
        <v>1.5</v>
      </c>
      <c r="K4042" s="1">
        <v>1</v>
      </c>
      <c r="L4042" s="1">
        <v>1</v>
      </c>
      <c r="M4042" s="1">
        <v>919</v>
      </c>
      <c r="N4042" s="1">
        <v>994</v>
      </c>
      <c r="O4042" s="1">
        <v>1053</v>
      </c>
      <c r="P4042" s="1">
        <v>59</v>
      </c>
      <c r="Q4042" s="1" t="s">
        <v>42</v>
      </c>
      <c r="S4042" s="1" t="s">
        <v>42</v>
      </c>
      <c r="T4042" s="1" t="s">
        <v>273</v>
      </c>
      <c r="U4042" s="1">
        <v>75</v>
      </c>
      <c r="V4042" s="5">
        <v>43626</v>
      </c>
      <c r="W4042" s="5">
        <v>42196</v>
      </c>
      <c r="X4042" s="1">
        <v>2030000</v>
      </c>
      <c r="Y4042" s="1">
        <v>2030000</v>
      </c>
      <c r="Z4042" s="5">
        <v>42271</v>
      </c>
      <c r="AA4042" s="1">
        <v>2072191</v>
      </c>
      <c r="AB4042" s="1" t="s">
        <v>2783</v>
      </c>
      <c r="AC4042" s="5">
        <v>43215</v>
      </c>
      <c r="AF4042" s="1">
        <v>10069</v>
      </c>
      <c r="AI4042" s="1" t="s">
        <v>60</v>
      </c>
      <c r="AJ4042" s="1">
        <v>2017</v>
      </c>
      <c r="AK4042" s="1" t="s">
        <v>108</v>
      </c>
      <c r="AL4042" s="1">
        <v>246</v>
      </c>
    </row>
    <row r="4043" spans="1:38" x14ac:dyDescent="0.2">
      <c r="A4043" s="2" t="str">
        <f>HYPERLINK("https://www.compass.com/listing/325-lexington-avenue-unit-3c-manhattan-ny-10016/29379684907169729/","325 Lexington Ave, Unit 3C")</f>
        <v>325 Lexington Ave, Unit 3C</v>
      </c>
      <c r="B4043" s="2" t="str">
        <f>HYPERLINK("https://www.compass.com/building/325-lex-condominium-manhattan-ny/281939882467713365/","325 Lex Condominium")</f>
        <v>325 Lex Condominium</v>
      </c>
      <c r="C4043" s="1" t="s">
        <v>59</v>
      </c>
      <c r="D4043" s="1" t="s">
        <v>41</v>
      </c>
      <c r="E4043" s="3">
        <v>931699</v>
      </c>
      <c r="F4043" s="1">
        <v>1488.3370607028701</v>
      </c>
      <c r="G4043" s="1">
        <v>2.5</v>
      </c>
      <c r="H4043" s="1" t="s">
        <v>153</v>
      </c>
      <c r="I4043" s="1">
        <v>1</v>
      </c>
      <c r="J4043" s="1">
        <v>1</v>
      </c>
      <c r="K4043" s="1">
        <v>1</v>
      </c>
      <c r="M4043" s="1">
        <v>626</v>
      </c>
      <c r="N4043" s="1">
        <v>831</v>
      </c>
      <c r="O4043" s="1">
        <v>1012</v>
      </c>
      <c r="P4043" s="1">
        <v>181</v>
      </c>
      <c r="Q4043" s="1" t="s">
        <v>42</v>
      </c>
      <c r="S4043" s="1" t="s">
        <v>42</v>
      </c>
      <c r="T4043" s="1" t="s">
        <v>273</v>
      </c>
      <c r="V4043" s="5">
        <v>43654</v>
      </c>
      <c r="Y4043" s="1">
        <v>915000</v>
      </c>
      <c r="Z4043" s="5">
        <v>42101</v>
      </c>
      <c r="AA4043" s="1">
        <v>931699</v>
      </c>
      <c r="AB4043" s="1" t="s">
        <v>2784</v>
      </c>
      <c r="AC4043" s="5">
        <v>42131</v>
      </c>
      <c r="AF4043" s="1">
        <v>10016</v>
      </c>
      <c r="AI4043" s="1" t="s">
        <v>60</v>
      </c>
      <c r="AJ4043" s="1">
        <v>2014</v>
      </c>
      <c r="AK4043" s="1" t="s">
        <v>108</v>
      </c>
      <c r="AL4043" s="1">
        <v>125</v>
      </c>
    </row>
    <row r="4044" spans="1:38" x14ac:dyDescent="0.2">
      <c r="A4044" s="2" t="str">
        <f>HYPERLINK("https://www.compass.com/listing/1-west-end-avenue-unit-9e-manhattan-ny-10069/161159078578488641/","1 W End Ave, Unit 9E")</f>
        <v>1 W End Ave, Unit 9E</v>
      </c>
      <c r="B4044" s="2" t="str">
        <f>HYPERLINK("https://www.compass.com/building/1-w-end-ave-manhattan-ny-10069/455676159137755317/","1 W End Ave")</f>
        <v>1 W End Ave</v>
      </c>
      <c r="C4044" s="1" t="s">
        <v>57</v>
      </c>
      <c r="D4044" s="1" t="s">
        <v>41</v>
      </c>
      <c r="E4044" s="3">
        <v>2050000</v>
      </c>
      <c r="F4044" s="1">
        <v>1756.64095972579</v>
      </c>
      <c r="G4044" s="1">
        <v>3</v>
      </c>
      <c r="H4044" s="1">
        <v>1</v>
      </c>
      <c r="I4044" s="1">
        <v>2</v>
      </c>
      <c r="J4044" s="1">
        <v>1.5</v>
      </c>
      <c r="K4044" s="1">
        <v>1</v>
      </c>
      <c r="L4044" s="1">
        <v>1</v>
      </c>
      <c r="M4044" s="4">
        <v>1167</v>
      </c>
      <c r="N4044" s="1">
        <v>1190</v>
      </c>
      <c r="O4044" s="1">
        <v>1261</v>
      </c>
      <c r="P4044" s="1">
        <v>71</v>
      </c>
      <c r="Q4044" s="1" t="s">
        <v>42</v>
      </c>
      <c r="S4044" s="1" t="s">
        <v>42</v>
      </c>
      <c r="T4044" s="1" t="s">
        <v>273</v>
      </c>
      <c r="U4044" s="1">
        <v>324</v>
      </c>
      <c r="V4044" s="5">
        <v>43921</v>
      </c>
      <c r="W4044" s="5">
        <v>43473</v>
      </c>
      <c r="X4044" s="1">
        <v>2350000</v>
      </c>
      <c r="Y4044" s="1">
        <v>2150000</v>
      </c>
      <c r="AA4044" s="1">
        <v>2050000</v>
      </c>
      <c r="AB4044" s="1" t="s">
        <v>2785</v>
      </c>
      <c r="AC4044" s="5">
        <v>43941</v>
      </c>
      <c r="AF4044" s="1">
        <v>10069</v>
      </c>
      <c r="AI4044" s="1" t="s">
        <v>1683</v>
      </c>
      <c r="AJ4044" s="1">
        <v>2017</v>
      </c>
      <c r="AK4044" s="1" t="s">
        <v>108</v>
      </c>
      <c r="AL4044" s="1">
        <v>246</v>
      </c>
    </row>
    <row r="4045" spans="1:38" x14ac:dyDescent="0.2">
      <c r="A4045" s="2" t="str">
        <f>HYPERLINK("https://www.compass.com/listing/325-lexington-avenue-unit-7e-manhattan-ny-10016/79394820476427713/","325 Lexington Ave, Unit 7E")</f>
        <v>325 Lexington Ave, Unit 7E</v>
      </c>
      <c r="B4045" s="2" t="str">
        <f t="shared" ref="B4045:B4046" si="678">HYPERLINK("https://www.compass.com/building/325-lex-condominium-manhattan-ny/281939882467713365/","325 Lex Condominium")</f>
        <v>325 Lex Condominium</v>
      </c>
      <c r="C4045" s="1" t="s">
        <v>59</v>
      </c>
      <c r="D4045" s="1" t="s">
        <v>41</v>
      </c>
      <c r="E4045" s="3">
        <v>882000</v>
      </c>
      <c r="F4045" s="1">
        <v>1760.47904191616</v>
      </c>
      <c r="H4045" s="1" t="s">
        <v>99</v>
      </c>
      <c r="J4045" s="1">
        <v>1</v>
      </c>
      <c r="K4045" s="1">
        <v>1</v>
      </c>
      <c r="M4045" s="1">
        <v>501</v>
      </c>
      <c r="N4045" s="1">
        <v>675</v>
      </c>
      <c r="O4045" s="1">
        <v>824</v>
      </c>
      <c r="P4045" s="1">
        <v>149</v>
      </c>
      <c r="Q4045" s="1" t="s">
        <v>42</v>
      </c>
      <c r="S4045" s="1" t="s">
        <v>42</v>
      </c>
      <c r="T4045" s="1" t="s">
        <v>273</v>
      </c>
      <c r="AA4045" s="1">
        <v>882000</v>
      </c>
      <c r="AB4045" s="1" t="s">
        <v>2786</v>
      </c>
      <c r="AC4045" s="5">
        <v>42223</v>
      </c>
      <c r="AF4045" s="1">
        <v>10016</v>
      </c>
      <c r="AI4045" s="1" t="s">
        <v>60</v>
      </c>
      <c r="AJ4045" s="1">
        <v>2014</v>
      </c>
      <c r="AK4045" s="1" t="s">
        <v>55</v>
      </c>
      <c r="AL4045" s="1">
        <v>125</v>
      </c>
    </row>
    <row r="4046" spans="1:38" x14ac:dyDescent="0.2">
      <c r="A4046" s="2" t="str">
        <f>HYPERLINK("https://www.compass.com/listing/325-lexington-avenue-unit-15c-manhattan-ny-10016/29379707455748465/","325 Lexington Ave, Unit 15C")</f>
        <v>325 Lexington Ave, Unit 15C</v>
      </c>
      <c r="B4046" s="2" t="str">
        <f t="shared" si="678"/>
        <v>325 Lex Condominium</v>
      </c>
      <c r="C4046" s="1" t="s">
        <v>59</v>
      </c>
      <c r="D4046" s="1" t="s">
        <v>41</v>
      </c>
      <c r="E4046" s="3">
        <v>995000</v>
      </c>
      <c r="F4046" s="1">
        <v>1924.56479690522</v>
      </c>
      <c r="G4046" s="1">
        <v>3</v>
      </c>
      <c r="H4046" s="1">
        <v>1</v>
      </c>
      <c r="I4046" s="1">
        <v>1</v>
      </c>
      <c r="J4046" s="1">
        <v>1</v>
      </c>
      <c r="M4046" s="1">
        <v>517</v>
      </c>
      <c r="N4046" s="1">
        <v>754</v>
      </c>
      <c r="O4046" s="1">
        <v>912</v>
      </c>
      <c r="P4046" s="1">
        <v>158</v>
      </c>
      <c r="Q4046" s="1" t="s">
        <v>42</v>
      </c>
      <c r="S4046" s="1" t="s">
        <v>42</v>
      </c>
      <c r="T4046" s="1" t="s">
        <v>273</v>
      </c>
      <c r="U4046" s="1">
        <v>26</v>
      </c>
      <c r="V4046" s="5">
        <v>43654</v>
      </c>
      <c r="W4046" s="5">
        <v>42253</v>
      </c>
      <c r="X4046" s="1">
        <v>995000</v>
      </c>
      <c r="Y4046" s="1">
        <v>995000</v>
      </c>
      <c r="Z4046" s="5">
        <v>42279</v>
      </c>
      <c r="AA4046" s="1">
        <v>995000</v>
      </c>
      <c r="AB4046" s="1" t="s">
        <v>2787</v>
      </c>
      <c r="AC4046" s="5">
        <v>42388</v>
      </c>
      <c r="AF4046" s="1">
        <v>10016</v>
      </c>
      <c r="AI4046" s="1" t="s">
        <v>209</v>
      </c>
      <c r="AJ4046" s="1">
        <v>2014</v>
      </c>
      <c r="AK4046" s="1" t="s">
        <v>108</v>
      </c>
      <c r="AL4046" s="1">
        <v>125</v>
      </c>
    </row>
    <row r="4047" spans="1:38" x14ac:dyDescent="0.2">
      <c r="A4047" s="2" t="str">
        <f>HYPERLINK("https://www.compass.com/listing/416-west-52nd-street-unit-522-manhattan-ny-10019/29514391347080177/","416 W 52nd St, Unit 522")</f>
        <v>416 W 52nd St, Unit 522</v>
      </c>
      <c r="B4047" s="2" t="str">
        <f>HYPERLINK("https://www.compass.com/building/nine52-manhattan-ny/281945622951555813/","Nine52")</f>
        <v>Nine52</v>
      </c>
      <c r="C4047" s="1" t="s">
        <v>90</v>
      </c>
      <c r="D4047" s="1" t="s">
        <v>41</v>
      </c>
      <c r="E4047" s="3">
        <v>1160000</v>
      </c>
      <c r="F4047" s="1">
        <v>1600</v>
      </c>
      <c r="G4047" s="1">
        <v>3</v>
      </c>
      <c r="H4047" s="1">
        <v>1</v>
      </c>
      <c r="I4047" s="1">
        <v>1</v>
      </c>
      <c r="J4047" s="1">
        <v>1</v>
      </c>
      <c r="M4047" s="1">
        <v>725</v>
      </c>
      <c r="N4047" s="1">
        <v>566</v>
      </c>
      <c r="O4047" s="1">
        <v>1386</v>
      </c>
      <c r="P4047" s="1">
        <v>820</v>
      </c>
      <c r="Q4047" s="1" t="s">
        <v>42</v>
      </c>
      <c r="S4047" s="1" t="s">
        <v>42</v>
      </c>
      <c r="T4047" s="1" t="s">
        <v>273</v>
      </c>
      <c r="U4047" s="1">
        <v>116</v>
      </c>
      <c r="V4047" s="5">
        <v>43648</v>
      </c>
      <c r="W4047" s="5">
        <v>43246</v>
      </c>
      <c r="X4047" s="1">
        <v>1250000</v>
      </c>
      <c r="Y4047" s="1">
        <v>1190000</v>
      </c>
      <c r="Z4047" s="5">
        <v>43362</v>
      </c>
      <c r="AA4047" s="1">
        <v>1160000</v>
      </c>
      <c r="AB4047" s="1" t="s">
        <v>2788</v>
      </c>
      <c r="AC4047" s="5">
        <v>43403</v>
      </c>
      <c r="AF4047" s="1">
        <v>10019</v>
      </c>
      <c r="AI4047" s="1" t="s">
        <v>48</v>
      </c>
      <c r="AJ4047" s="1">
        <v>1940</v>
      </c>
      <c r="AK4047" s="1" t="s">
        <v>108</v>
      </c>
      <c r="AL4047" s="1">
        <v>155</v>
      </c>
    </row>
    <row r="4048" spans="1:38" x14ac:dyDescent="0.2">
      <c r="A4048" s="2" t="str">
        <f>HYPERLINK("https://www.compass.com/listing/305-west-150th-street-unit-311-manhattan-ny-10039/803366285979204009/","305 W 150th St, Unit 311")</f>
        <v>305 W 150th St, Unit 311</v>
      </c>
      <c r="B4048" s="2" t="str">
        <f t="shared" ref="B4048:B4050" si="679">HYPERLINK("https://www.compass.com/building/305-w-150th-st-manhattan-ny-10039/282032234968400245/","305 W 150th St")</f>
        <v>305 W 150th St</v>
      </c>
      <c r="C4048" s="1" t="s">
        <v>84</v>
      </c>
      <c r="D4048" s="1" t="s">
        <v>41</v>
      </c>
      <c r="E4048" s="3">
        <v>410000</v>
      </c>
      <c r="F4048" s="1">
        <v>684.47412353923198</v>
      </c>
      <c r="G4048" s="1">
        <v>3</v>
      </c>
      <c r="H4048" s="1">
        <v>1</v>
      </c>
      <c r="I4048" s="1">
        <v>1</v>
      </c>
      <c r="J4048" s="1">
        <v>1</v>
      </c>
      <c r="K4048" s="1">
        <v>1</v>
      </c>
      <c r="M4048" s="1">
        <v>599</v>
      </c>
      <c r="N4048" s="1">
        <v>428</v>
      </c>
      <c r="O4048" s="1">
        <v>950</v>
      </c>
      <c r="P4048" s="1">
        <v>522</v>
      </c>
      <c r="Q4048" s="1" t="s">
        <v>42</v>
      </c>
      <c r="S4048" s="1" t="s">
        <v>42</v>
      </c>
      <c r="T4048" s="1" t="s">
        <v>273</v>
      </c>
      <c r="U4048" s="1">
        <v>47</v>
      </c>
      <c r="V4048" s="5">
        <v>44238</v>
      </c>
      <c r="W4048" s="5">
        <v>44130</v>
      </c>
      <c r="X4048" s="1">
        <v>438500</v>
      </c>
      <c r="Y4048" s="1">
        <v>438500</v>
      </c>
      <c r="Z4048" s="5">
        <v>44178</v>
      </c>
      <c r="AA4048" s="1">
        <v>410000</v>
      </c>
      <c r="AB4048" s="1" t="s">
        <v>2789</v>
      </c>
      <c r="AC4048" s="5">
        <v>44251</v>
      </c>
      <c r="AF4048" s="1">
        <v>10039</v>
      </c>
      <c r="AJ4048" s="1">
        <v>1921</v>
      </c>
      <c r="AK4048" s="1" t="s">
        <v>143</v>
      </c>
      <c r="AL4048" s="1">
        <v>84</v>
      </c>
    </row>
    <row r="4049" spans="1:38" x14ac:dyDescent="0.2">
      <c r="A4049" s="2" t="str">
        <f>HYPERLINK("https://www.compass.com/listing/305-west-150th-street-unit-702-manhattan-ny-10039/29434133348382241/","305 W 150th St, Unit 702")</f>
        <v>305 W 150th St, Unit 702</v>
      </c>
      <c r="B4049" s="2" t="str">
        <f t="shared" si="679"/>
        <v>305 W 150th St</v>
      </c>
      <c r="C4049" s="1" t="s">
        <v>84</v>
      </c>
      <c r="D4049" s="1" t="s">
        <v>41</v>
      </c>
      <c r="E4049" s="3">
        <v>498950</v>
      </c>
      <c r="F4049" s="1">
        <v>850</v>
      </c>
      <c r="G4049" s="1">
        <v>3</v>
      </c>
      <c r="H4049" s="1">
        <v>1</v>
      </c>
      <c r="I4049" s="1">
        <v>1</v>
      </c>
      <c r="M4049" s="1">
        <v>587</v>
      </c>
      <c r="N4049" s="1">
        <v>321</v>
      </c>
      <c r="O4049" s="1">
        <v>590</v>
      </c>
      <c r="P4049" s="1">
        <v>269</v>
      </c>
      <c r="Q4049" s="1" t="s">
        <v>42</v>
      </c>
      <c r="S4049" s="1" t="s">
        <v>42</v>
      </c>
      <c r="T4049" s="1" t="s">
        <v>273</v>
      </c>
      <c r="V4049" s="5">
        <v>43211</v>
      </c>
      <c r="W4049" s="5">
        <v>41673</v>
      </c>
      <c r="X4049" s="1">
        <v>385000</v>
      </c>
      <c r="AB4049" s="1" t="s">
        <v>275</v>
      </c>
      <c r="AF4049" s="1">
        <v>10039</v>
      </c>
      <c r="AJ4049" s="1">
        <v>1921</v>
      </c>
      <c r="AK4049" s="1" t="s">
        <v>146</v>
      </c>
      <c r="AL4049" s="1">
        <v>84</v>
      </c>
    </row>
    <row r="4050" spans="1:38" x14ac:dyDescent="0.2">
      <c r="A4050" s="2" t="str">
        <f>HYPERLINK("https://www.compass.com/listing/305-west-150th-street-unit-702-manhattan-ny-10039/29434133348382257/","305 W 150th St, Unit 702")</f>
        <v>305 W 150th St, Unit 702</v>
      </c>
      <c r="B4050" s="2" t="str">
        <f t="shared" si="679"/>
        <v>305 W 150th St</v>
      </c>
      <c r="C4050" s="1" t="s">
        <v>84</v>
      </c>
      <c r="D4050" s="1" t="s">
        <v>41</v>
      </c>
      <c r="E4050" s="3">
        <v>505935</v>
      </c>
      <c r="F4050" s="1">
        <v>861.9</v>
      </c>
      <c r="G4050" s="1">
        <v>3</v>
      </c>
      <c r="H4050" s="1">
        <v>1</v>
      </c>
      <c r="I4050" s="1">
        <v>1</v>
      </c>
      <c r="J4050" s="1">
        <v>1</v>
      </c>
      <c r="K4050" s="1">
        <v>1</v>
      </c>
      <c r="M4050" s="1">
        <v>587</v>
      </c>
      <c r="N4050" s="1">
        <v>321.25</v>
      </c>
      <c r="O4050" s="1">
        <v>591.04999999999995</v>
      </c>
      <c r="P4050" s="1">
        <v>269.83333333333297</v>
      </c>
      <c r="Q4050" s="1" t="s">
        <v>42</v>
      </c>
      <c r="S4050" s="1" t="s">
        <v>42</v>
      </c>
      <c r="T4050" s="1" t="s">
        <v>273</v>
      </c>
      <c r="U4050" s="1">
        <v>53</v>
      </c>
      <c r="V4050" s="5">
        <v>42518</v>
      </c>
      <c r="W4050" s="5">
        <v>41673</v>
      </c>
      <c r="X4050" s="1">
        <v>385000</v>
      </c>
      <c r="Y4050" s="1">
        <v>498950</v>
      </c>
      <c r="Z4050" s="5">
        <v>42437</v>
      </c>
      <c r="AA4050" s="1">
        <v>505935.3</v>
      </c>
      <c r="AB4050" s="1" t="s">
        <v>2790</v>
      </c>
      <c r="AC4050" s="5">
        <v>42500</v>
      </c>
      <c r="AF4050" s="1">
        <v>10039</v>
      </c>
      <c r="AJ4050" s="1">
        <v>1921</v>
      </c>
      <c r="AK4050" s="1" t="s">
        <v>143</v>
      </c>
      <c r="AL4050" s="1">
        <v>84</v>
      </c>
    </row>
    <row r="4051" spans="1:38" x14ac:dyDescent="0.2">
      <c r="A4051" s="2" t="str">
        <f>HYPERLINK("https://www.compass.com/listing/425-west-50th-street-unit-10j-manhattan-ny-10019/29389206354766113/","425 W 50th St, Unit 10J")</f>
        <v>425 W 50th St, Unit 10J</v>
      </c>
      <c r="B4051" s="2" t="str">
        <f t="shared" ref="B4051:B4052" si="680">HYPERLINK("https://www.compass.com/building/stella-tower-manhattan-ny/281945855710262181/","Stella Tower")</f>
        <v>Stella Tower</v>
      </c>
      <c r="C4051" s="1" t="s">
        <v>90</v>
      </c>
      <c r="D4051" s="1" t="s">
        <v>41</v>
      </c>
      <c r="E4051" s="3">
        <v>1181170</v>
      </c>
      <c r="F4051" s="1">
        <v>1132.4736337488</v>
      </c>
      <c r="G4051" s="1">
        <v>2</v>
      </c>
      <c r="H4051" s="1" t="s">
        <v>99</v>
      </c>
      <c r="I4051" s="1">
        <v>1</v>
      </c>
      <c r="J4051" s="1">
        <v>1</v>
      </c>
      <c r="M4051" s="4">
        <v>1043</v>
      </c>
      <c r="N4051" s="1">
        <v>1178</v>
      </c>
      <c r="O4051" s="1">
        <v>1899</v>
      </c>
      <c r="P4051" s="1">
        <v>721</v>
      </c>
      <c r="Q4051" s="1" t="s">
        <v>42</v>
      </c>
      <c r="S4051" s="1" t="s">
        <v>42</v>
      </c>
      <c r="T4051" s="1" t="s">
        <v>273</v>
      </c>
      <c r="U4051" s="1">
        <v>132</v>
      </c>
      <c r="V4051" s="5">
        <v>43670</v>
      </c>
      <c r="W4051" s="5">
        <v>41860</v>
      </c>
      <c r="X4051" s="1">
        <v>1160000</v>
      </c>
      <c r="Y4051" s="1">
        <v>1160000</v>
      </c>
      <c r="AA4051" s="1">
        <v>1181170</v>
      </c>
      <c r="AB4051" s="1" t="s">
        <v>2791</v>
      </c>
      <c r="AC4051" s="5">
        <v>42034</v>
      </c>
      <c r="AF4051" s="1">
        <v>10019</v>
      </c>
      <c r="AI4051" s="1" t="s">
        <v>80</v>
      </c>
      <c r="AJ4051" s="1">
        <v>1930</v>
      </c>
      <c r="AK4051" s="1" t="s">
        <v>46</v>
      </c>
      <c r="AL4051" s="1">
        <v>51</v>
      </c>
    </row>
    <row r="4052" spans="1:38" x14ac:dyDescent="0.2">
      <c r="A4052" s="2" t="str">
        <f>HYPERLINK("https://www.compass.com/listing/425-west-50th-street-unit-14c-manhattan-ny-10019/29389219315165809/","425 W 50th St, Unit 14C")</f>
        <v>425 W 50th St, Unit 14C</v>
      </c>
      <c r="B4052" s="2" t="str">
        <f t="shared" si="680"/>
        <v>Stella Tower</v>
      </c>
      <c r="C4052" s="1" t="s">
        <v>90</v>
      </c>
      <c r="D4052" s="1" t="s">
        <v>41</v>
      </c>
      <c r="E4052" s="3">
        <v>1445915</v>
      </c>
      <c r="F4052" s="1">
        <v>1575.0708061002099</v>
      </c>
      <c r="G4052" s="1">
        <v>3</v>
      </c>
      <c r="H4052" s="1">
        <v>1</v>
      </c>
      <c r="I4052" s="1">
        <v>2</v>
      </c>
      <c r="J4052" s="1">
        <v>1.5</v>
      </c>
      <c r="M4052" s="1">
        <v>918</v>
      </c>
      <c r="N4052" s="1">
        <v>1041</v>
      </c>
      <c r="O4052" s="1">
        <v>1678</v>
      </c>
      <c r="P4052" s="1">
        <v>637</v>
      </c>
      <c r="Q4052" s="1" t="s">
        <v>42</v>
      </c>
      <c r="S4052" s="1" t="s">
        <v>42</v>
      </c>
      <c r="T4052" s="1" t="s">
        <v>273</v>
      </c>
      <c r="U4052" s="1">
        <v>132</v>
      </c>
      <c r="V4052" s="5">
        <v>43670</v>
      </c>
      <c r="W4052" s="5">
        <v>41860</v>
      </c>
      <c r="X4052" s="1">
        <v>1420000</v>
      </c>
      <c r="Y4052" s="1">
        <v>1420000</v>
      </c>
      <c r="AA4052" s="1">
        <v>1445915</v>
      </c>
      <c r="AB4052" s="1" t="s">
        <v>2792</v>
      </c>
      <c r="AC4052" s="5">
        <v>42018</v>
      </c>
      <c r="AF4052" s="1">
        <v>10019</v>
      </c>
      <c r="AI4052" s="1" t="s">
        <v>80</v>
      </c>
      <c r="AJ4052" s="1">
        <v>1930</v>
      </c>
      <c r="AK4052" s="1" t="s">
        <v>46</v>
      </c>
      <c r="AL4052" s="1">
        <v>51</v>
      </c>
    </row>
    <row r="4053" spans="1:38" x14ac:dyDescent="0.2">
      <c r="A4053" s="2" t="str">
        <f>HYPERLINK("https://www.compass.com/listing/416-west-52nd-street-unit-408-manhattan-ny-10019/29389274646435185/","416 W 52nd St, Unit 408")</f>
        <v>416 W 52nd St, Unit 408</v>
      </c>
      <c r="B4053" s="2" t="str">
        <f t="shared" ref="B4053:B4056" si="681">HYPERLINK("https://www.compass.com/building/nine52-manhattan-ny/281945622951555813/","Nine52")</f>
        <v>Nine52</v>
      </c>
      <c r="C4053" s="1" t="s">
        <v>90</v>
      </c>
      <c r="D4053" s="1" t="s">
        <v>41</v>
      </c>
      <c r="E4053" s="3">
        <v>1150000</v>
      </c>
      <c r="G4053" s="1">
        <v>2</v>
      </c>
      <c r="H4053" s="1">
        <v>1</v>
      </c>
      <c r="I4053" s="1">
        <v>1</v>
      </c>
      <c r="J4053" s="1">
        <v>1</v>
      </c>
      <c r="K4053" s="1">
        <v>1</v>
      </c>
      <c r="N4053" s="1">
        <v>488</v>
      </c>
      <c r="O4053" s="1">
        <v>1432</v>
      </c>
      <c r="P4053" s="1">
        <v>944</v>
      </c>
      <c r="Q4053" s="1" t="s">
        <v>42</v>
      </c>
      <c r="S4053" s="1" t="s">
        <v>42</v>
      </c>
      <c r="T4053" s="1" t="s">
        <v>273</v>
      </c>
      <c r="V4053" s="5">
        <v>43677</v>
      </c>
      <c r="W4053" s="5">
        <v>42741</v>
      </c>
      <c r="X4053" s="1">
        <v>1150000</v>
      </c>
      <c r="Y4053" s="1">
        <v>1150000</v>
      </c>
      <c r="Z4053" s="5">
        <v>42741</v>
      </c>
      <c r="AA4053" s="1">
        <v>1150000</v>
      </c>
      <c r="AB4053" s="1" t="s">
        <v>2793</v>
      </c>
      <c r="AC4053" s="5">
        <v>42781</v>
      </c>
      <c r="AF4053" s="1">
        <v>10019</v>
      </c>
      <c r="AI4053" s="1" t="s">
        <v>48</v>
      </c>
      <c r="AJ4053" s="1">
        <v>1940</v>
      </c>
      <c r="AK4053" s="1" t="s">
        <v>108</v>
      </c>
      <c r="AL4053" s="1">
        <v>155</v>
      </c>
    </row>
    <row r="4054" spans="1:38" x14ac:dyDescent="0.2">
      <c r="A4054" s="2" t="str">
        <f>HYPERLINK("https://www.compass.com/listing/416-west-52nd-street-unit-521-manhattan-ny-10019/29389278429630081/","416 W 52nd St, Unit 521")</f>
        <v>416 W 52nd St, Unit 521</v>
      </c>
      <c r="B4054" s="2" t="str">
        <f t="shared" si="681"/>
        <v>Nine52</v>
      </c>
      <c r="C4054" s="1" t="s">
        <v>90</v>
      </c>
      <c r="D4054" s="1" t="s">
        <v>41</v>
      </c>
      <c r="E4054" s="3">
        <v>1120000</v>
      </c>
      <c r="F4054" s="1">
        <v>1679.1604197900999</v>
      </c>
      <c r="G4054" s="1">
        <v>3</v>
      </c>
      <c r="H4054" s="1">
        <v>1</v>
      </c>
      <c r="I4054" s="1">
        <v>1</v>
      </c>
      <c r="J4054" s="1">
        <v>1</v>
      </c>
      <c r="K4054" s="1">
        <v>1</v>
      </c>
      <c r="M4054" s="1">
        <v>667</v>
      </c>
      <c r="N4054" s="1">
        <v>540</v>
      </c>
      <c r="O4054" s="1">
        <v>1510</v>
      </c>
      <c r="P4054" s="1">
        <v>970</v>
      </c>
      <c r="Q4054" s="1" t="s">
        <v>42</v>
      </c>
      <c r="S4054" s="1" t="s">
        <v>42</v>
      </c>
      <c r="T4054" s="1" t="s">
        <v>273</v>
      </c>
      <c r="U4054" s="1">
        <v>1</v>
      </c>
      <c r="V4054" s="5">
        <v>43675</v>
      </c>
      <c r="W4054" s="5">
        <v>42538</v>
      </c>
      <c r="X4054" s="1">
        <v>1120000</v>
      </c>
      <c r="Y4054" s="1">
        <v>1120000</v>
      </c>
      <c r="Z4054" s="5">
        <v>42539</v>
      </c>
      <c r="AA4054" s="1">
        <v>1120000</v>
      </c>
      <c r="AB4054" s="1" t="s">
        <v>2794</v>
      </c>
      <c r="AC4054" s="5">
        <v>42654</v>
      </c>
      <c r="AF4054" s="1">
        <v>10019</v>
      </c>
      <c r="AI4054" s="1" t="s">
        <v>48</v>
      </c>
      <c r="AJ4054" s="1">
        <v>1940</v>
      </c>
      <c r="AK4054" s="1" t="s">
        <v>108</v>
      </c>
      <c r="AL4054" s="1">
        <v>155</v>
      </c>
    </row>
    <row r="4055" spans="1:38" x14ac:dyDescent="0.2">
      <c r="A4055" s="2" t="str">
        <f>HYPERLINK("https://www.compass.com/listing/416-west-52nd-street-unit-307-manhattan-ny-10019/29389260243184945/","416 W 52nd St, Unit 307")</f>
        <v>416 W 52nd St, Unit 307</v>
      </c>
      <c r="B4055" s="2" t="str">
        <f t="shared" si="681"/>
        <v>Nine52</v>
      </c>
      <c r="C4055" s="1" t="s">
        <v>90</v>
      </c>
      <c r="D4055" s="1" t="s">
        <v>41</v>
      </c>
      <c r="E4055" s="3">
        <v>1030000</v>
      </c>
      <c r="F4055" s="1">
        <v>1409.02872777017</v>
      </c>
      <c r="G4055" s="1">
        <v>2</v>
      </c>
      <c r="H4055" s="1">
        <v>1</v>
      </c>
      <c r="I4055" s="1">
        <v>1</v>
      </c>
      <c r="J4055" s="1">
        <v>1</v>
      </c>
      <c r="K4055" s="1">
        <v>1</v>
      </c>
      <c r="M4055" s="1">
        <v>731</v>
      </c>
      <c r="N4055" s="1">
        <v>498</v>
      </c>
      <c r="O4055" s="1">
        <v>1461</v>
      </c>
      <c r="P4055" s="1">
        <v>963</v>
      </c>
      <c r="Q4055" s="1" t="s">
        <v>42</v>
      </c>
      <c r="S4055" s="1" t="s">
        <v>42</v>
      </c>
      <c r="T4055" s="1" t="s">
        <v>273</v>
      </c>
      <c r="U4055" s="1">
        <v>87</v>
      </c>
      <c r="V4055" s="5">
        <v>43676</v>
      </c>
      <c r="W4055" s="5">
        <v>42724</v>
      </c>
      <c r="X4055" s="1">
        <v>1135000</v>
      </c>
      <c r="Y4055" s="1">
        <v>1172000</v>
      </c>
      <c r="Z4055" s="5">
        <v>42857</v>
      </c>
      <c r="AA4055" s="1">
        <v>1030000</v>
      </c>
      <c r="AB4055" s="1" t="s">
        <v>2795</v>
      </c>
      <c r="AC4055" s="5">
        <v>42880</v>
      </c>
      <c r="AF4055" s="1">
        <v>10019</v>
      </c>
      <c r="AI4055" s="1" t="s">
        <v>48</v>
      </c>
      <c r="AJ4055" s="1">
        <v>1940</v>
      </c>
      <c r="AK4055" s="1" t="s">
        <v>108</v>
      </c>
      <c r="AL4055" s="1">
        <v>155</v>
      </c>
    </row>
    <row r="4056" spans="1:38" x14ac:dyDescent="0.2">
      <c r="A4056" s="2" t="str">
        <f>HYPERLINK("https://www.compass.com/listing/416-west-52nd-street-unit-305-manhattan-ny-10019/29389259848863057/","416 W 52nd St, Unit 305")</f>
        <v>416 W 52nd St, Unit 305</v>
      </c>
      <c r="B4056" s="2" t="str">
        <f t="shared" si="681"/>
        <v>Nine52</v>
      </c>
      <c r="C4056" s="1" t="s">
        <v>90</v>
      </c>
      <c r="D4056" s="1" t="s">
        <v>41</v>
      </c>
      <c r="E4056" s="3">
        <v>1140000</v>
      </c>
      <c r="F4056" s="1">
        <v>1583.3333333333301</v>
      </c>
      <c r="G4056" s="1">
        <v>3</v>
      </c>
      <c r="H4056" s="1">
        <v>1</v>
      </c>
      <c r="I4056" s="1">
        <v>1</v>
      </c>
      <c r="J4056" s="1">
        <v>1</v>
      </c>
      <c r="K4056" s="1">
        <v>1</v>
      </c>
      <c r="M4056" s="1">
        <v>720</v>
      </c>
      <c r="N4056" s="1">
        <v>598</v>
      </c>
      <c r="O4056" s="1">
        <v>1642</v>
      </c>
      <c r="P4056" s="1">
        <v>1044</v>
      </c>
      <c r="Q4056" s="1" t="s">
        <v>42</v>
      </c>
      <c r="S4056" s="1" t="s">
        <v>42</v>
      </c>
      <c r="T4056" s="1" t="s">
        <v>273</v>
      </c>
      <c r="U4056" s="1">
        <v>28</v>
      </c>
      <c r="V4056" s="5">
        <v>43675</v>
      </c>
      <c r="W4056" s="5">
        <v>42518</v>
      </c>
      <c r="X4056" s="1">
        <v>1154000</v>
      </c>
      <c r="Y4056" s="1">
        <v>1154000</v>
      </c>
      <c r="Z4056" s="5">
        <v>42546</v>
      </c>
      <c r="AA4056" s="1">
        <v>1140000</v>
      </c>
      <c r="AB4056" s="1" t="s">
        <v>2796</v>
      </c>
      <c r="AC4056" s="5">
        <v>42648</v>
      </c>
      <c r="AF4056" s="1">
        <v>10019</v>
      </c>
      <c r="AI4056" s="1" t="s">
        <v>48</v>
      </c>
      <c r="AJ4056" s="1">
        <v>1940</v>
      </c>
      <c r="AK4056" s="1" t="s">
        <v>108</v>
      </c>
      <c r="AL4056" s="1">
        <v>155</v>
      </c>
    </row>
    <row r="4057" spans="1:38" x14ac:dyDescent="0.2">
      <c r="A4057" s="2" t="str">
        <f>HYPERLINK("https://www.compass.com/listing/305-west-150th-street-unit-512-manhattan-ny-10039/803299173374027689/","305 W 150th St, Unit 512")</f>
        <v>305 W 150th St, Unit 512</v>
      </c>
      <c r="B4057" s="2" t="str">
        <f>HYPERLINK("https://www.compass.com/building/305-w-150th-st-manhattan-ny-10039/282032234968400245/","305 W 150th St")</f>
        <v>305 W 150th St</v>
      </c>
      <c r="C4057" s="1" t="s">
        <v>84</v>
      </c>
      <c r="D4057" s="1" t="s">
        <v>41</v>
      </c>
      <c r="E4057" s="3">
        <v>500000</v>
      </c>
      <c r="F4057" s="1">
        <v>833.33333333333303</v>
      </c>
      <c r="G4057" s="1">
        <v>3</v>
      </c>
      <c r="H4057" s="1">
        <v>1</v>
      </c>
      <c r="I4057" s="1">
        <v>1</v>
      </c>
      <c r="M4057" s="1">
        <v>600</v>
      </c>
      <c r="N4057" s="1">
        <v>367</v>
      </c>
      <c r="O4057" s="1">
        <v>632</v>
      </c>
      <c r="P4057" s="1">
        <v>265</v>
      </c>
      <c r="Q4057" s="1" t="s">
        <v>42</v>
      </c>
      <c r="S4057" s="1" t="s">
        <v>42</v>
      </c>
      <c r="T4057" s="1" t="s">
        <v>273</v>
      </c>
      <c r="V4057" s="5">
        <v>43211</v>
      </c>
      <c r="W4057" s="5">
        <v>42125</v>
      </c>
      <c r="X4057" s="1">
        <v>500000</v>
      </c>
      <c r="AB4057" s="1" t="s">
        <v>275</v>
      </c>
      <c r="AF4057" s="1">
        <v>10039</v>
      </c>
      <c r="AJ4057" s="1">
        <v>1921</v>
      </c>
      <c r="AK4057" s="1" t="s">
        <v>146</v>
      </c>
      <c r="AL4057" s="1">
        <v>84</v>
      </c>
    </row>
    <row r="4058" spans="1:38" x14ac:dyDescent="0.2">
      <c r="A4058" s="2" t="str">
        <f>HYPERLINK("https://www.compass.com/listing/416-west-52nd-street-unit-317-manhattan-ny-10019/29389266039713153/","416 W 52nd St, Unit 317")</f>
        <v>416 W 52nd St, Unit 317</v>
      </c>
      <c r="B4058" s="2" t="str">
        <f t="shared" ref="B4058:B4059" si="682">HYPERLINK("https://www.compass.com/building/nine52-manhattan-ny/281945622951555813/","Nine52")</f>
        <v>Nine52</v>
      </c>
      <c r="C4058" s="1" t="s">
        <v>90</v>
      </c>
      <c r="D4058" s="1" t="s">
        <v>41</v>
      </c>
      <c r="E4058" s="3">
        <v>1325000</v>
      </c>
      <c r="F4058" s="1">
        <v>1602.17654171704</v>
      </c>
      <c r="G4058" s="1">
        <v>2</v>
      </c>
      <c r="H4058" s="1">
        <v>1</v>
      </c>
      <c r="I4058" s="1">
        <v>1</v>
      </c>
      <c r="J4058" s="1">
        <v>1</v>
      </c>
      <c r="K4058" s="1">
        <v>1</v>
      </c>
      <c r="M4058" s="1">
        <v>827</v>
      </c>
      <c r="N4058" s="1">
        <v>564</v>
      </c>
      <c r="O4058" s="1">
        <v>1654</v>
      </c>
      <c r="P4058" s="1">
        <v>1090</v>
      </c>
      <c r="Q4058" s="1" t="s">
        <v>42</v>
      </c>
      <c r="S4058" s="1" t="s">
        <v>42</v>
      </c>
      <c r="T4058" s="1" t="s">
        <v>273</v>
      </c>
      <c r="U4058" s="1">
        <v>52</v>
      </c>
      <c r="V4058" s="5">
        <v>43676</v>
      </c>
      <c r="W4058" s="5">
        <v>42885</v>
      </c>
      <c r="X4058" s="1">
        <v>1368000</v>
      </c>
      <c r="Y4058" s="1">
        <v>1368000</v>
      </c>
      <c r="AA4058" s="1">
        <v>1325000</v>
      </c>
      <c r="AB4058" s="1" t="s">
        <v>2797</v>
      </c>
      <c r="AC4058" s="5">
        <v>42937</v>
      </c>
      <c r="AF4058" s="1">
        <v>10019</v>
      </c>
      <c r="AI4058" s="1" t="s">
        <v>48</v>
      </c>
      <c r="AJ4058" s="1">
        <v>1940</v>
      </c>
      <c r="AK4058" s="1" t="s">
        <v>108</v>
      </c>
      <c r="AL4058" s="1">
        <v>155</v>
      </c>
    </row>
    <row r="4059" spans="1:38" x14ac:dyDescent="0.2">
      <c r="A4059" s="2" t="str">
        <f>HYPERLINK("https://www.compass.com/listing/416-west-52nd-street-unit-709-manhattan-ny-10019/29389288462462705/","416 W 52nd St, Unit 709")</f>
        <v>416 W 52nd St, Unit 709</v>
      </c>
      <c r="B4059" s="2" t="str">
        <f t="shared" si="682"/>
        <v>Nine52</v>
      </c>
      <c r="C4059" s="1" t="s">
        <v>90</v>
      </c>
      <c r="D4059" s="1" t="s">
        <v>41</v>
      </c>
      <c r="E4059" s="3">
        <v>1425000</v>
      </c>
      <c r="F4059" s="1">
        <v>1604.72972972972</v>
      </c>
      <c r="G4059" s="1">
        <v>3</v>
      </c>
      <c r="H4059" s="1">
        <v>2</v>
      </c>
      <c r="I4059" s="1">
        <v>1</v>
      </c>
      <c r="J4059" s="1">
        <v>1</v>
      </c>
      <c r="K4059" s="1">
        <v>1</v>
      </c>
      <c r="M4059" s="1">
        <v>888</v>
      </c>
      <c r="N4059" s="1">
        <v>605</v>
      </c>
      <c r="O4059" s="1">
        <v>1775</v>
      </c>
      <c r="P4059" s="1">
        <v>1170</v>
      </c>
      <c r="Q4059" s="1" t="s">
        <v>42</v>
      </c>
      <c r="S4059" s="1" t="s">
        <v>42</v>
      </c>
      <c r="T4059" s="1" t="s">
        <v>273</v>
      </c>
      <c r="U4059" s="1">
        <v>68</v>
      </c>
      <c r="V4059" s="5">
        <v>43664</v>
      </c>
      <c r="W4059" s="5">
        <v>42839</v>
      </c>
      <c r="X4059" s="1">
        <v>1425000</v>
      </c>
      <c r="Y4059" s="1">
        <v>1425000</v>
      </c>
      <c r="Z4059" s="5">
        <v>42907</v>
      </c>
      <c r="AA4059" s="1">
        <v>1425000</v>
      </c>
      <c r="AB4059" s="1" t="s">
        <v>2798</v>
      </c>
      <c r="AC4059" s="5">
        <v>42927</v>
      </c>
      <c r="AF4059" s="1">
        <v>10019</v>
      </c>
      <c r="AI4059" s="1" t="s">
        <v>48</v>
      </c>
      <c r="AJ4059" s="1">
        <v>1940</v>
      </c>
      <c r="AK4059" s="1" t="s">
        <v>108</v>
      </c>
      <c r="AL4059" s="1">
        <v>155</v>
      </c>
    </row>
    <row r="4060" spans="1:38" x14ac:dyDescent="0.2">
      <c r="A4060" s="2" t="str">
        <f>HYPERLINK("https://www.compass.com/listing/1-west-end-avenue-unit-14c-manhattan-ny-10069/516270385153600193/","1 W End Ave, Unit 14C")</f>
        <v>1 W End Ave, Unit 14C</v>
      </c>
      <c r="B4060" s="2" t="str">
        <f>HYPERLINK("https://www.compass.com/building/1-w-end-ave-manhattan-ny-10069/455676159137755317/","1 W End Ave")</f>
        <v>1 W End Ave</v>
      </c>
      <c r="C4060" s="1" t="s">
        <v>57</v>
      </c>
      <c r="D4060" s="1" t="s">
        <v>41</v>
      </c>
      <c r="E4060" s="3">
        <v>1485000</v>
      </c>
      <c r="F4060" s="1">
        <v>1884.5177664974599</v>
      </c>
      <c r="G4060" s="1">
        <v>3</v>
      </c>
      <c r="H4060" s="1">
        <v>1</v>
      </c>
      <c r="I4060" s="1">
        <v>1</v>
      </c>
      <c r="J4060" s="1">
        <v>1</v>
      </c>
      <c r="K4060" s="1">
        <v>1</v>
      </c>
      <c r="M4060" s="1">
        <v>788</v>
      </c>
      <c r="N4060" s="1">
        <v>924</v>
      </c>
      <c r="O4060" s="1">
        <v>977</v>
      </c>
      <c r="P4060" s="1">
        <v>53</v>
      </c>
      <c r="Q4060" s="1" t="s">
        <v>42</v>
      </c>
      <c r="S4060" s="1" t="s">
        <v>42</v>
      </c>
      <c r="T4060" s="1" t="s">
        <v>273</v>
      </c>
      <c r="U4060" s="1">
        <v>250</v>
      </c>
      <c r="V4060" s="5">
        <v>44412</v>
      </c>
      <c r="W4060" s="5">
        <v>43962</v>
      </c>
      <c r="X4060" s="1">
        <v>1699000</v>
      </c>
      <c r="Y4060" s="1">
        <v>1699000</v>
      </c>
      <c r="Z4060" s="5">
        <v>44350</v>
      </c>
      <c r="AA4060" s="1">
        <v>1485000</v>
      </c>
      <c r="AB4060" s="1" t="s">
        <v>2799</v>
      </c>
      <c r="AC4060" s="5">
        <v>44410</v>
      </c>
      <c r="AF4060" s="1">
        <v>10069</v>
      </c>
      <c r="AI4060" s="1" t="s">
        <v>60</v>
      </c>
      <c r="AJ4060" s="1">
        <v>2017</v>
      </c>
      <c r="AK4060" s="1" t="s">
        <v>55</v>
      </c>
      <c r="AL4060" s="1">
        <v>246</v>
      </c>
    </row>
    <row r="4061" spans="1:38" x14ac:dyDescent="0.2">
      <c r="A4061" s="2" t="str">
        <f>HYPERLINK("https://www.compass.com/listing/151-lenox-avenue-unit-2-manhattan-ny-10026/29432073030750321/","151 Lenox Ave, Unit 2")</f>
        <v>151 Lenox Ave, Unit 2</v>
      </c>
      <c r="B4061" s="2" t="str">
        <f>HYPERLINK("https://www.compass.com/building/151-lenox-ave-manhattan-ny-10026/281974820214762821/","151 Lenox Ave")</f>
        <v>151 Lenox Ave</v>
      </c>
      <c r="C4061" s="1" t="s">
        <v>85</v>
      </c>
      <c r="D4061" s="1" t="s">
        <v>41</v>
      </c>
      <c r="E4061" s="3">
        <v>1150623</v>
      </c>
      <c r="F4061" s="1">
        <v>962.05894648829405</v>
      </c>
      <c r="H4061" s="1">
        <v>2</v>
      </c>
      <c r="J4061" s="1">
        <v>2</v>
      </c>
      <c r="M4061" s="4">
        <v>1196</v>
      </c>
      <c r="N4061" s="1">
        <v>1004</v>
      </c>
      <c r="O4061" s="1">
        <v>1912</v>
      </c>
      <c r="P4061" s="1">
        <v>908</v>
      </c>
      <c r="Q4061" s="1" t="s">
        <v>42</v>
      </c>
      <c r="S4061" s="1" t="s">
        <v>42</v>
      </c>
      <c r="T4061" s="1" t="s">
        <v>273</v>
      </c>
      <c r="AA4061" s="1">
        <v>1150622.5</v>
      </c>
      <c r="AB4061" s="1" t="s">
        <v>2800</v>
      </c>
      <c r="AC4061" s="5">
        <v>42628</v>
      </c>
      <c r="AF4061" s="1">
        <v>10026</v>
      </c>
      <c r="AJ4061" s="1">
        <v>1910</v>
      </c>
      <c r="AL4061" s="1">
        <v>5</v>
      </c>
    </row>
    <row r="4062" spans="1:38" x14ac:dyDescent="0.2">
      <c r="A4062" s="2" t="str">
        <f>HYPERLINK("https://www.compass.com/listing/325-lexington-avenue-unit-14c-manhattan-ny-10016/29379704528062897/","325 Lexington Ave, Unit 14C")</f>
        <v>325 Lexington Ave, Unit 14C</v>
      </c>
      <c r="B4062" s="2" t="str">
        <f t="shared" ref="B4062:B4063" si="683">HYPERLINK("https://www.compass.com/building/325-lex-condominium-manhattan-ny/281939882467713365/","325 Lex Condominium")</f>
        <v>325 Lex Condominium</v>
      </c>
      <c r="C4062" s="1" t="s">
        <v>59</v>
      </c>
      <c r="D4062" s="1" t="s">
        <v>41</v>
      </c>
      <c r="E4062" s="3">
        <v>906243</v>
      </c>
      <c r="F4062" s="1">
        <v>1752.88781431334</v>
      </c>
      <c r="G4062" s="1">
        <v>3</v>
      </c>
      <c r="H4062" s="1">
        <v>1</v>
      </c>
      <c r="I4062" s="1">
        <v>1</v>
      </c>
      <c r="J4062" s="1">
        <v>1</v>
      </c>
      <c r="K4062" s="1">
        <v>1</v>
      </c>
      <c r="M4062" s="1">
        <v>517</v>
      </c>
      <c r="N4062" s="1">
        <v>720</v>
      </c>
      <c r="O4062" s="1">
        <v>877</v>
      </c>
      <c r="P4062" s="1">
        <v>157</v>
      </c>
      <c r="Q4062" s="1" t="s">
        <v>42</v>
      </c>
      <c r="S4062" s="1" t="s">
        <v>42</v>
      </c>
      <c r="T4062" s="1" t="s">
        <v>273</v>
      </c>
      <c r="V4062" s="5">
        <v>43654</v>
      </c>
      <c r="W4062" s="5">
        <v>41951</v>
      </c>
      <c r="X4062" s="1">
        <v>945000</v>
      </c>
      <c r="Y4062" s="1">
        <v>945000</v>
      </c>
      <c r="Z4062" s="5">
        <v>41951</v>
      </c>
      <c r="AA4062" s="1">
        <v>906243</v>
      </c>
      <c r="AB4062" s="1" t="s">
        <v>2801</v>
      </c>
      <c r="AC4062" s="5">
        <v>42047</v>
      </c>
      <c r="AF4062" s="1">
        <v>10016</v>
      </c>
      <c r="AI4062" s="1" t="s">
        <v>60</v>
      </c>
      <c r="AJ4062" s="1">
        <v>2014</v>
      </c>
      <c r="AK4062" s="1" t="s">
        <v>108</v>
      </c>
      <c r="AL4062" s="1">
        <v>125</v>
      </c>
    </row>
    <row r="4063" spans="1:38" x14ac:dyDescent="0.2">
      <c r="A4063" s="2" t="str">
        <f>HYPERLINK("https://www.compass.com/listing/325-lexington-avenue-unit-15c-manhattan-ny-10016/29379707455748449/","325 Lexington Ave, Unit 15C")</f>
        <v>325 Lexington Ave, Unit 15C</v>
      </c>
      <c r="B4063" s="2" t="str">
        <f t="shared" si="683"/>
        <v>325 Lex Condominium</v>
      </c>
      <c r="C4063" s="1" t="s">
        <v>59</v>
      </c>
      <c r="D4063" s="1" t="s">
        <v>41</v>
      </c>
      <c r="E4063" s="3">
        <v>972429</v>
      </c>
      <c r="F4063" s="1">
        <v>1880.90715667311</v>
      </c>
      <c r="G4063" s="1">
        <v>3</v>
      </c>
      <c r="H4063" s="1">
        <v>1</v>
      </c>
      <c r="I4063" s="1">
        <v>1</v>
      </c>
      <c r="J4063" s="1">
        <v>1</v>
      </c>
      <c r="K4063" s="1">
        <v>1</v>
      </c>
      <c r="M4063" s="1">
        <v>517</v>
      </c>
      <c r="N4063" s="1">
        <v>724</v>
      </c>
      <c r="O4063" s="1">
        <v>882</v>
      </c>
      <c r="P4063" s="1">
        <v>158</v>
      </c>
      <c r="Q4063" s="1" t="s">
        <v>42</v>
      </c>
      <c r="S4063" s="1" t="s">
        <v>42</v>
      </c>
      <c r="T4063" s="1" t="s">
        <v>273</v>
      </c>
      <c r="V4063" s="5">
        <v>43654</v>
      </c>
      <c r="W4063" s="5">
        <v>41986</v>
      </c>
      <c r="X4063" s="1">
        <v>955000</v>
      </c>
      <c r="Y4063" s="1">
        <v>955000</v>
      </c>
      <c r="Z4063" s="5">
        <v>41986</v>
      </c>
      <c r="AA4063" s="1">
        <v>972429</v>
      </c>
      <c r="AB4063" s="1" t="s">
        <v>2802</v>
      </c>
      <c r="AC4063" s="5">
        <v>42074</v>
      </c>
      <c r="AF4063" s="1">
        <v>10016</v>
      </c>
      <c r="AI4063" s="1" t="s">
        <v>209</v>
      </c>
      <c r="AJ4063" s="1">
        <v>2014</v>
      </c>
      <c r="AK4063" s="1" t="s">
        <v>108</v>
      </c>
      <c r="AL4063" s="1">
        <v>125</v>
      </c>
    </row>
    <row r="4064" spans="1:38" x14ac:dyDescent="0.2">
      <c r="A4064" s="2" t="str">
        <f>HYPERLINK("https://www.compass.com/listing/1-west-end-avenue-unit-17h-manhattan-ny-10069/29397381371925217/","1 W End Ave, Unit 17H")</f>
        <v>1 W End Ave, Unit 17H</v>
      </c>
      <c r="B4064" s="2" t="str">
        <f>HYPERLINK("https://www.compass.com/building/1-w-end-ave-manhattan-ny-10069/455676159137755317/","1 W End Ave")</f>
        <v>1 W End Ave</v>
      </c>
      <c r="C4064" s="1" t="s">
        <v>57</v>
      </c>
      <c r="D4064" s="1" t="s">
        <v>41</v>
      </c>
      <c r="E4064" s="3">
        <v>2793095</v>
      </c>
      <c r="F4064" s="1">
        <v>2031.3418181818099</v>
      </c>
      <c r="G4064" s="1">
        <v>4</v>
      </c>
      <c r="H4064" s="1">
        <v>2</v>
      </c>
      <c r="I4064" s="1">
        <v>2</v>
      </c>
      <c r="J4064" s="1">
        <v>2.5</v>
      </c>
      <c r="K4064" s="1">
        <v>2</v>
      </c>
      <c r="L4064" s="1">
        <v>1</v>
      </c>
      <c r="M4064" s="4">
        <v>1375</v>
      </c>
      <c r="N4064" s="1">
        <v>1594</v>
      </c>
      <c r="O4064" s="1">
        <v>1690</v>
      </c>
      <c r="P4064" s="1">
        <v>96</v>
      </c>
      <c r="Q4064" s="1" t="s">
        <v>42</v>
      </c>
      <c r="S4064" s="1" t="s">
        <v>42</v>
      </c>
      <c r="T4064" s="1" t="s">
        <v>273</v>
      </c>
      <c r="U4064" s="1">
        <v>184</v>
      </c>
      <c r="V4064" s="5">
        <v>43623</v>
      </c>
      <c r="W4064" s="5">
        <v>42227</v>
      </c>
      <c r="X4064" s="1">
        <v>2735000</v>
      </c>
      <c r="Y4064" s="1">
        <v>2735000</v>
      </c>
      <c r="Z4064" s="5">
        <v>42411</v>
      </c>
      <c r="AA4064" s="1">
        <v>2793095</v>
      </c>
      <c r="AB4064" s="1" t="s">
        <v>2803</v>
      </c>
      <c r="AC4064" s="5">
        <v>43005</v>
      </c>
      <c r="AF4064" s="1">
        <v>10069</v>
      </c>
      <c r="AI4064" s="1" t="s">
        <v>2087</v>
      </c>
      <c r="AJ4064" s="1">
        <v>2017</v>
      </c>
      <c r="AK4064" s="1" t="s">
        <v>108</v>
      </c>
      <c r="AL4064" s="1">
        <v>246</v>
      </c>
    </row>
    <row r="4065" spans="1:38" x14ac:dyDescent="0.2">
      <c r="A4065" s="2" t="str">
        <f>HYPERLINK("https://www.compass.com/listing/325-lexington-avenue-unit-21e-manhattan-ny-10016/29379722009983585/","325 Lexington Ave, Unit 21E")</f>
        <v>325 Lexington Ave, Unit 21E</v>
      </c>
      <c r="B4065" s="2" t="str">
        <f t="shared" ref="B4065:B4066" si="684">HYPERLINK("https://www.compass.com/building/325-lex-condominium-manhattan-ny/281939882467713365/","325 Lex Condominium")</f>
        <v>325 Lex Condominium</v>
      </c>
      <c r="C4065" s="1" t="s">
        <v>59</v>
      </c>
      <c r="D4065" s="1" t="s">
        <v>41</v>
      </c>
      <c r="E4065" s="3">
        <v>1303360</v>
      </c>
      <c r="F4065" s="1">
        <v>2020.7131782945701</v>
      </c>
      <c r="G4065" s="1">
        <v>3</v>
      </c>
      <c r="H4065" s="1">
        <v>1</v>
      </c>
      <c r="I4065" s="1">
        <v>1</v>
      </c>
      <c r="J4065" s="1">
        <v>1</v>
      </c>
      <c r="K4065" s="1">
        <v>1</v>
      </c>
      <c r="M4065" s="1">
        <v>645</v>
      </c>
      <c r="N4065" s="1">
        <v>928</v>
      </c>
      <c r="O4065" s="1">
        <v>1130</v>
      </c>
      <c r="P4065" s="1">
        <v>202</v>
      </c>
      <c r="Q4065" s="1" t="s">
        <v>42</v>
      </c>
      <c r="S4065" s="1" t="s">
        <v>42</v>
      </c>
      <c r="T4065" s="1" t="s">
        <v>273</v>
      </c>
      <c r="V4065" s="5">
        <v>43654</v>
      </c>
      <c r="W4065" s="5">
        <v>42028</v>
      </c>
      <c r="X4065" s="1">
        <v>1280000</v>
      </c>
      <c r="Y4065" s="1">
        <v>1280000</v>
      </c>
      <c r="Z4065" s="5">
        <v>42028</v>
      </c>
      <c r="AA4065" s="1">
        <v>1303360</v>
      </c>
      <c r="AB4065" s="1" t="s">
        <v>2804</v>
      </c>
      <c r="AC4065" s="5">
        <v>42158</v>
      </c>
      <c r="AF4065" s="1">
        <v>10016</v>
      </c>
      <c r="AI4065" s="1" t="s">
        <v>60</v>
      </c>
      <c r="AJ4065" s="1">
        <v>2014</v>
      </c>
      <c r="AK4065" s="1" t="s">
        <v>108</v>
      </c>
      <c r="AL4065" s="1">
        <v>125</v>
      </c>
    </row>
    <row r="4066" spans="1:38" x14ac:dyDescent="0.2">
      <c r="A4066" s="2" t="str">
        <f>HYPERLINK("https://www.compass.com/listing/325-lexington-avenue-unit-15b-manhattan-ny-10016/29379706600104785/","325 Lexington Ave, Unit 15B")</f>
        <v>325 Lexington Ave, Unit 15B</v>
      </c>
      <c r="B4066" s="2" t="str">
        <f t="shared" si="684"/>
        <v>325 Lex Condominium</v>
      </c>
      <c r="C4066" s="1" t="s">
        <v>59</v>
      </c>
      <c r="D4066" s="1" t="s">
        <v>41</v>
      </c>
      <c r="E4066" s="3">
        <v>1350000</v>
      </c>
      <c r="F4066" s="1">
        <v>2099.5334370139899</v>
      </c>
      <c r="G4066" s="1">
        <v>3</v>
      </c>
      <c r="H4066" s="1">
        <v>1</v>
      </c>
      <c r="I4066" s="1">
        <v>1</v>
      </c>
      <c r="J4066" s="1">
        <v>1</v>
      </c>
      <c r="M4066" s="1">
        <v>643</v>
      </c>
      <c r="N4066" s="1">
        <v>905</v>
      </c>
      <c r="O4066" s="1">
        <v>1012</v>
      </c>
      <c r="P4066" s="1">
        <v>107</v>
      </c>
      <c r="Q4066" s="1" t="s">
        <v>42</v>
      </c>
      <c r="S4066" s="1" t="s">
        <v>42</v>
      </c>
      <c r="T4066" s="1" t="s">
        <v>273</v>
      </c>
      <c r="U4066" s="1">
        <v>247</v>
      </c>
      <c r="V4066" s="5">
        <v>43664</v>
      </c>
      <c r="W4066" s="5">
        <v>42548</v>
      </c>
      <c r="X4066" s="1">
        <v>1700000</v>
      </c>
      <c r="Y4066" s="1">
        <v>1450000</v>
      </c>
      <c r="Z4066" s="5">
        <v>42795</v>
      </c>
      <c r="AA4066" s="1">
        <v>1350000</v>
      </c>
      <c r="AB4066" s="1" t="s">
        <v>2805</v>
      </c>
      <c r="AC4066" s="5">
        <v>42881</v>
      </c>
      <c r="AF4066" s="1">
        <v>10016</v>
      </c>
      <c r="AI4066" s="1" t="s">
        <v>209</v>
      </c>
      <c r="AJ4066" s="1">
        <v>2014</v>
      </c>
      <c r="AK4066" s="1" t="s">
        <v>108</v>
      </c>
      <c r="AL4066" s="1">
        <v>125</v>
      </c>
    </row>
    <row r="4067" spans="1:38" x14ac:dyDescent="0.2">
      <c r="A4067" s="2" t="str">
        <f>HYPERLINK("https://www.compass.com/listing/172-madison-avenue-unit-7c-manhattan-ny-10016/29376704392780625/","172 Madison Ave, Unit 7C")</f>
        <v>172 Madison Ave, Unit 7C</v>
      </c>
      <c r="B4067" s="2" t="str">
        <f>HYPERLINK("https://www.compass.com/building/172-madison-ave-manhattan-ny-10016/281937956250376981/","172 Madison Ave")</f>
        <v>172 Madison Ave</v>
      </c>
      <c r="C4067" s="1" t="s">
        <v>120</v>
      </c>
      <c r="D4067" s="1" t="s">
        <v>41</v>
      </c>
      <c r="E4067" s="3">
        <v>1349181</v>
      </c>
      <c r="F4067" s="1">
        <v>1514.2323232323199</v>
      </c>
      <c r="G4067" s="1">
        <v>3</v>
      </c>
      <c r="H4067" s="1">
        <v>1</v>
      </c>
      <c r="I4067" s="1">
        <v>2</v>
      </c>
      <c r="J4067" s="1">
        <v>1.5</v>
      </c>
      <c r="M4067" s="1">
        <v>891</v>
      </c>
      <c r="N4067" s="1">
        <v>1332</v>
      </c>
      <c r="O4067" s="1">
        <v>1952</v>
      </c>
      <c r="P4067" s="1">
        <v>620</v>
      </c>
      <c r="Q4067" s="1" t="s">
        <v>42</v>
      </c>
      <c r="S4067" s="1" t="s">
        <v>42</v>
      </c>
      <c r="T4067" s="1" t="s">
        <v>273</v>
      </c>
      <c r="U4067" s="1">
        <v>183</v>
      </c>
      <c r="V4067" s="5">
        <v>43649</v>
      </c>
      <c r="W4067" s="5">
        <v>42789</v>
      </c>
      <c r="X4067" s="1">
        <v>1750000</v>
      </c>
      <c r="Y4067" s="1">
        <v>1595000</v>
      </c>
      <c r="Z4067" s="5">
        <v>42972</v>
      </c>
      <c r="AA4067" s="1">
        <v>1349181</v>
      </c>
      <c r="AB4067" s="1" t="s">
        <v>2806</v>
      </c>
      <c r="AC4067" s="5">
        <v>42998</v>
      </c>
      <c r="AF4067" s="1">
        <v>10016</v>
      </c>
      <c r="AJ4067" s="1">
        <v>2016</v>
      </c>
      <c r="AK4067" s="1" t="s">
        <v>46</v>
      </c>
      <c r="AL4067" s="1">
        <v>72</v>
      </c>
    </row>
    <row r="4068" spans="1:38" x14ac:dyDescent="0.2">
      <c r="A4068" s="2" t="str">
        <f>HYPERLINK("https://www.compass.com/listing/416-west-52nd-street-unit-325-manhattan-ny-10019/70925737548422065/","416 W 52nd St, Unit 325")</f>
        <v>416 W 52nd St, Unit 325</v>
      </c>
      <c r="B4068" s="2" t="str">
        <f>HYPERLINK("https://www.compass.com/building/nine52-manhattan-ny/281945622951555813/","Nine52")</f>
        <v>Nine52</v>
      </c>
      <c r="C4068" s="1" t="s">
        <v>90</v>
      </c>
      <c r="D4068" s="1" t="s">
        <v>41</v>
      </c>
      <c r="E4068" s="3">
        <v>1395000</v>
      </c>
      <c r="F4068" s="1">
        <v>1453.125</v>
      </c>
      <c r="G4068" s="1">
        <v>5</v>
      </c>
      <c r="H4068" s="1">
        <v>2</v>
      </c>
      <c r="J4068" s="1">
        <v>2</v>
      </c>
      <c r="M4068" s="1">
        <v>960</v>
      </c>
      <c r="Q4068" s="1" t="s">
        <v>42</v>
      </c>
      <c r="S4068" s="1" t="s">
        <v>42</v>
      </c>
      <c r="T4068" s="1" t="s">
        <v>273</v>
      </c>
      <c r="U4068" s="1">
        <v>38</v>
      </c>
      <c r="V4068" s="5">
        <v>43649</v>
      </c>
      <c r="W4068" s="5">
        <v>42977</v>
      </c>
      <c r="X4068" s="1">
        <v>1395000</v>
      </c>
      <c r="Y4068" s="1">
        <v>1395000</v>
      </c>
      <c r="Z4068" s="5">
        <v>43015</v>
      </c>
      <c r="AA4068" s="1">
        <v>1395000</v>
      </c>
      <c r="AB4068" s="1" t="s">
        <v>2807</v>
      </c>
      <c r="AC4068" s="5">
        <v>43067</v>
      </c>
      <c r="AF4068" s="1">
        <v>10019</v>
      </c>
      <c r="AI4068" s="1" t="s">
        <v>48</v>
      </c>
      <c r="AJ4068" s="1">
        <v>1940</v>
      </c>
      <c r="AK4068" s="1" t="s">
        <v>55</v>
      </c>
      <c r="AL4068" s="1">
        <v>155</v>
      </c>
    </row>
    <row r="4069" spans="1:38" x14ac:dyDescent="0.2">
      <c r="A4069" s="2" t="str">
        <f>HYPERLINK("https://www.compass.com/listing/310-west-114th-street-unit-1-manhattan-ny-10026/500302848402688865/","310 W 114th St, Unit 1")</f>
        <v>310 W 114th St, Unit 1</v>
      </c>
      <c r="B4069" s="2" t="str">
        <f>HYPERLINK("https://www.compass.com/building/310-w-114th-st-manhattan-ny-10026/281976388834127397/","310 W 114th St")</f>
        <v>310 W 114th St</v>
      </c>
      <c r="C4069" s="1" t="s">
        <v>85</v>
      </c>
      <c r="D4069" s="1" t="s">
        <v>41</v>
      </c>
      <c r="E4069" s="3">
        <v>1320000</v>
      </c>
      <c r="F4069" s="1">
        <v>673.46938775510205</v>
      </c>
      <c r="G4069" s="1">
        <v>4</v>
      </c>
      <c r="H4069" s="1">
        <v>2</v>
      </c>
      <c r="J4069" s="1">
        <v>1.5</v>
      </c>
      <c r="M4069" s="4">
        <v>1960</v>
      </c>
      <c r="N4069" s="1">
        <v>603</v>
      </c>
      <c r="O4069" s="1">
        <v>1910</v>
      </c>
      <c r="P4069" s="1">
        <v>1307</v>
      </c>
      <c r="Q4069" s="1" t="s">
        <v>42</v>
      </c>
      <c r="S4069" s="1" t="s">
        <v>42</v>
      </c>
      <c r="T4069" s="1" t="s">
        <v>273</v>
      </c>
      <c r="U4069" s="1">
        <v>1</v>
      </c>
      <c r="V4069" s="5">
        <v>44248</v>
      </c>
      <c r="W4069" s="5">
        <v>43894</v>
      </c>
      <c r="X4069" s="1">
        <v>1445000</v>
      </c>
      <c r="Y4069" s="1">
        <v>1445000</v>
      </c>
      <c r="Z4069" s="5">
        <v>43895</v>
      </c>
      <c r="AA4069" s="1">
        <v>1320000</v>
      </c>
      <c r="AB4069" s="1" t="s">
        <v>2808</v>
      </c>
      <c r="AC4069" s="5">
        <v>43986</v>
      </c>
      <c r="AF4069" s="1">
        <v>10026</v>
      </c>
      <c r="AI4069" s="1" t="s">
        <v>2809</v>
      </c>
      <c r="AJ4069" s="1">
        <v>2015</v>
      </c>
      <c r="AL4069" s="1">
        <v>8</v>
      </c>
    </row>
    <row r="4070" spans="1:38" x14ac:dyDescent="0.2">
      <c r="A4070" s="2" t="str">
        <f>HYPERLINK("https://www.compass.com/listing/416-west-52nd-street-unit-309-manhattan-ny-10019/29389261199428961/","416 W 52nd St, Unit 309")</f>
        <v>416 W 52nd St, Unit 309</v>
      </c>
      <c r="B4070" s="2" t="str">
        <f t="shared" ref="B4070:B4074" si="685">HYPERLINK("https://www.compass.com/building/nine52-manhattan-ny/281945622951555813/","Nine52")</f>
        <v>Nine52</v>
      </c>
      <c r="C4070" s="1" t="s">
        <v>90</v>
      </c>
      <c r="D4070" s="1" t="s">
        <v>41</v>
      </c>
      <c r="E4070" s="3">
        <v>1098000</v>
      </c>
      <c r="F4070" s="1">
        <v>1586.70520231213</v>
      </c>
      <c r="G4070" s="1">
        <v>3</v>
      </c>
      <c r="H4070" s="1">
        <v>1</v>
      </c>
      <c r="I4070" s="1">
        <v>1</v>
      </c>
      <c r="J4070" s="1">
        <v>1</v>
      </c>
      <c r="K4070" s="1">
        <v>1</v>
      </c>
      <c r="M4070" s="1">
        <v>692</v>
      </c>
      <c r="N4070" s="1">
        <v>575</v>
      </c>
      <c r="O4070" s="1">
        <v>1575</v>
      </c>
      <c r="P4070" s="1">
        <v>1000</v>
      </c>
      <c r="Q4070" s="1" t="s">
        <v>42</v>
      </c>
      <c r="S4070" s="1" t="s">
        <v>42</v>
      </c>
      <c r="T4070" s="1" t="s">
        <v>273</v>
      </c>
      <c r="U4070" s="1">
        <v>19</v>
      </c>
      <c r="V4070" s="5">
        <v>43675</v>
      </c>
      <c r="W4070" s="5">
        <v>42553</v>
      </c>
      <c r="X4070" s="1">
        <v>1108000</v>
      </c>
      <c r="Y4070" s="1">
        <v>1108000</v>
      </c>
      <c r="Z4070" s="5">
        <v>42581</v>
      </c>
      <c r="AA4070" s="1">
        <v>1098000</v>
      </c>
      <c r="AB4070" s="1" t="s">
        <v>2810</v>
      </c>
      <c r="AC4070" s="5">
        <v>42713</v>
      </c>
      <c r="AF4070" s="1">
        <v>10019</v>
      </c>
      <c r="AI4070" s="1" t="s">
        <v>48</v>
      </c>
      <c r="AJ4070" s="1">
        <v>1940</v>
      </c>
      <c r="AK4070" s="1" t="s">
        <v>108</v>
      </c>
      <c r="AL4070" s="1">
        <v>155</v>
      </c>
    </row>
    <row r="4071" spans="1:38" x14ac:dyDescent="0.2">
      <c r="A4071" s="2" t="str">
        <f>HYPERLINK("https://www.compass.com/listing/416-west-52nd-street-unit-505-manhattan-ny-10019/29389276181483073/","416 W 52nd St, Unit 505")</f>
        <v>416 W 52nd St, Unit 505</v>
      </c>
      <c r="B4071" s="2" t="str">
        <f t="shared" si="685"/>
        <v>Nine52</v>
      </c>
      <c r="C4071" s="1" t="s">
        <v>90</v>
      </c>
      <c r="D4071" s="1" t="s">
        <v>41</v>
      </c>
      <c r="E4071" s="3">
        <v>1170000</v>
      </c>
      <c r="F4071" s="1">
        <v>1625</v>
      </c>
      <c r="G4071" s="1">
        <v>2</v>
      </c>
      <c r="H4071" s="1">
        <v>1</v>
      </c>
      <c r="I4071" s="1">
        <v>1</v>
      </c>
      <c r="J4071" s="1">
        <v>1</v>
      </c>
      <c r="K4071" s="1">
        <v>1</v>
      </c>
      <c r="M4071" s="1">
        <v>720</v>
      </c>
      <c r="N4071" s="1">
        <v>550</v>
      </c>
      <c r="O4071" s="1">
        <v>1504</v>
      </c>
      <c r="P4071" s="1">
        <v>954</v>
      </c>
      <c r="Q4071" s="1" t="s">
        <v>42</v>
      </c>
      <c r="S4071" s="1" t="s">
        <v>42</v>
      </c>
      <c r="T4071" s="1" t="s">
        <v>273</v>
      </c>
      <c r="V4071" s="5">
        <v>42810</v>
      </c>
      <c r="W4071" s="5">
        <v>42787</v>
      </c>
      <c r="X4071" s="1">
        <v>1170000</v>
      </c>
      <c r="Y4071" s="1">
        <v>1170000</v>
      </c>
      <c r="Z4071" s="5">
        <v>42787</v>
      </c>
      <c r="AA4071" s="1">
        <v>1170000</v>
      </c>
      <c r="AB4071" s="1" t="s">
        <v>275</v>
      </c>
      <c r="AC4071" s="5">
        <v>42809</v>
      </c>
      <c r="AF4071" s="1">
        <v>10019</v>
      </c>
      <c r="AI4071" s="1" t="s">
        <v>48</v>
      </c>
      <c r="AJ4071" s="1">
        <v>1940</v>
      </c>
      <c r="AK4071" s="1" t="s">
        <v>108</v>
      </c>
      <c r="AL4071" s="1">
        <v>155</v>
      </c>
    </row>
    <row r="4072" spans="1:38" x14ac:dyDescent="0.2">
      <c r="A4072" s="2" t="str">
        <f>HYPERLINK("https://www.compass.com/listing/416-west-52nd-street-unit-722-manhattan-ny-10019/29389289670422273/","416 W 52nd St, Unit 722")</f>
        <v>416 W 52nd St, Unit 722</v>
      </c>
      <c r="B4072" s="2" t="str">
        <f t="shared" si="685"/>
        <v>Nine52</v>
      </c>
      <c r="C4072" s="1" t="s">
        <v>90</v>
      </c>
      <c r="D4072" s="1" t="s">
        <v>41</v>
      </c>
      <c r="E4072" s="3">
        <v>1265000</v>
      </c>
      <c r="F4072" s="1">
        <v>1744.8275862068899</v>
      </c>
      <c r="G4072" s="1">
        <v>2</v>
      </c>
      <c r="H4072" s="1">
        <v>1</v>
      </c>
      <c r="I4072" s="1">
        <v>1</v>
      </c>
      <c r="J4072" s="1">
        <v>1</v>
      </c>
      <c r="K4072" s="1">
        <v>1</v>
      </c>
      <c r="M4072" s="1">
        <v>725</v>
      </c>
      <c r="N4072" s="1">
        <v>494</v>
      </c>
      <c r="O4072" s="1">
        <v>1449</v>
      </c>
      <c r="P4072" s="1">
        <v>955</v>
      </c>
      <c r="Q4072" s="1" t="s">
        <v>42</v>
      </c>
      <c r="S4072" s="1" t="s">
        <v>42</v>
      </c>
      <c r="T4072" s="1" t="s">
        <v>273</v>
      </c>
      <c r="V4072" s="5">
        <v>43672</v>
      </c>
      <c r="W4072" s="5">
        <v>42680</v>
      </c>
      <c r="X4072" s="1">
        <v>1265000</v>
      </c>
      <c r="Y4072" s="1">
        <v>1265000</v>
      </c>
      <c r="Z4072" s="5">
        <v>42680</v>
      </c>
      <c r="AA4072" s="1">
        <v>1265000</v>
      </c>
      <c r="AB4072" s="1" t="s">
        <v>2811</v>
      </c>
      <c r="AC4072" s="5">
        <v>42733</v>
      </c>
      <c r="AF4072" s="1">
        <v>10019</v>
      </c>
      <c r="AI4072" s="1" t="s">
        <v>48</v>
      </c>
      <c r="AJ4072" s="1">
        <v>1940</v>
      </c>
      <c r="AK4072" s="1" t="s">
        <v>108</v>
      </c>
      <c r="AL4072" s="1">
        <v>155</v>
      </c>
    </row>
    <row r="4073" spans="1:38" x14ac:dyDescent="0.2">
      <c r="A4073" s="2" t="str">
        <f>HYPERLINK("https://www.compass.com/listing/416-west-52nd-street-unit-600-manhattan-ny-10019/29389281600591313/","416 W 52nd St, Unit 600")</f>
        <v>416 W 52nd St, Unit 600</v>
      </c>
      <c r="B4073" s="2" t="str">
        <f t="shared" si="685"/>
        <v>Nine52</v>
      </c>
      <c r="C4073" s="1" t="s">
        <v>90</v>
      </c>
      <c r="D4073" s="1" t="s">
        <v>41</v>
      </c>
      <c r="E4073" s="3">
        <v>1312000</v>
      </c>
      <c r="F4073" s="1">
        <v>1812.1546961325901</v>
      </c>
      <c r="G4073" s="1">
        <v>3</v>
      </c>
      <c r="H4073" s="1">
        <v>1</v>
      </c>
      <c r="I4073" s="1">
        <v>1</v>
      </c>
      <c r="J4073" s="1">
        <v>1</v>
      </c>
      <c r="K4073" s="1">
        <v>1</v>
      </c>
      <c r="M4073" s="1">
        <v>724</v>
      </c>
      <c r="N4073" s="1">
        <v>601</v>
      </c>
      <c r="O4073" s="1">
        <v>1651</v>
      </c>
      <c r="P4073" s="1">
        <v>1050</v>
      </c>
      <c r="Q4073" s="1" t="s">
        <v>42</v>
      </c>
      <c r="S4073" s="1" t="s">
        <v>42</v>
      </c>
      <c r="T4073" s="1" t="s">
        <v>273</v>
      </c>
      <c r="U4073" s="1">
        <v>8</v>
      </c>
      <c r="V4073" s="5">
        <v>43675</v>
      </c>
      <c r="W4073" s="5">
        <v>42642</v>
      </c>
      <c r="X4073" s="1">
        <v>1312000</v>
      </c>
      <c r="Y4073" s="1">
        <v>1312000</v>
      </c>
      <c r="Z4073" s="5">
        <v>42650</v>
      </c>
      <c r="AA4073" s="1">
        <v>1312000</v>
      </c>
      <c r="AB4073" s="1" t="s">
        <v>2812</v>
      </c>
      <c r="AC4073" s="5">
        <v>42681</v>
      </c>
      <c r="AF4073" s="1">
        <v>10019</v>
      </c>
      <c r="AI4073" s="1" t="s">
        <v>48</v>
      </c>
      <c r="AJ4073" s="1">
        <v>1940</v>
      </c>
      <c r="AK4073" s="1" t="s">
        <v>108</v>
      </c>
      <c r="AL4073" s="1">
        <v>155</v>
      </c>
    </row>
    <row r="4074" spans="1:38" x14ac:dyDescent="0.2">
      <c r="A4074" s="2" t="str">
        <f>HYPERLINK("https://www.compass.com/listing/416-west-52nd-street-unit-421-manhattan-ny-10019/29389271601360337/","416 W 52nd St, Unit 421")</f>
        <v>416 W 52nd St, Unit 421</v>
      </c>
      <c r="B4074" s="2" t="str">
        <f t="shared" si="685"/>
        <v>Nine52</v>
      </c>
      <c r="C4074" s="1" t="s">
        <v>90</v>
      </c>
      <c r="D4074" s="1" t="s">
        <v>41</v>
      </c>
      <c r="E4074" s="3">
        <v>1052750</v>
      </c>
      <c r="F4074" s="1">
        <v>1578.33583208395</v>
      </c>
      <c r="G4074" s="1">
        <v>3</v>
      </c>
      <c r="H4074" s="1">
        <v>1</v>
      </c>
      <c r="I4074" s="1">
        <v>1</v>
      </c>
      <c r="J4074" s="1">
        <v>1</v>
      </c>
      <c r="K4074" s="1">
        <v>1</v>
      </c>
      <c r="M4074" s="1">
        <v>667</v>
      </c>
      <c r="N4074" s="1">
        <v>554</v>
      </c>
      <c r="O4074" s="1">
        <v>1524</v>
      </c>
      <c r="P4074" s="1">
        <v>970</v>
      </c>
      <c r="Q4074" s="1" t="s">
        <v>42</v>
      </c>
      <c r="S4074" s="1" t="s">
        <v>42</v>
      </c>
      <c r="T4074" s="1" t="s">
        <v>273</v>
      </c>
      <c r="U4074" s="1">
        <v>84</v>
      </c>
      <c r="V4074" s="5">
        <v>43677</v>
      </c>
      <c r="W4074" s="5">
        <v>42488</v>
      </c>
      <c r="X4074" s="1">
        <v>1100000</v>
      </c>
      <c r="Y4074" s="1">
        <v>1100000</v>
      </c>
      <c r="Z4074" s="5">
        <v>42584</v>
      </c>
      <c r="AA4074" s="1">
        <v>1052750</v>
      </c>
      <c r="AB4074" s="1" t="s">
        <v>2813</v>
      </c>
      <c r="AC4074" s="5">
        <v>42767</v>
      </c>
      <c r="AF4074" s="1">
        <v>10019</v>
      </c>
      <c r="AI4074" s="1" t="s">
        <v>48</v>
      </c>
      <c r="AJ4074" s="1">
        <v>1940</v>
      </c>
      <c r="AK4074" s="1" t="s">
        <v>108</v>
      </c>
      <c r="AL4074" s="1">
        <v>155</v>
      </c>
    </row>
    <row r="4075" spans="1:38" x14ac:dyDescent="0.2">
      <c r="A4075" s="2" t="str">
        <f>HYPERLINK("https://www.compass.com/listing/325-lexington-avenue-unit-10e-manhattan-ny-10016/841567114355519969/","325 Lexington Ave, Unit 10E")</f>
        <v>325 Lexington Ave, Unit 10E</v>
      </c>
      <c r="B4075" s="2" t="str">
        <f>HYPERLINK("https://www.compass.com/building/325-lex-condominium-manhattan-ny/281939882467713365/","325 Lex Condominium")</f>
        <v>325 Lex Condominium</v>
      </c>
      <c r="C4075" s="1" t="s">
        <v>59</v>
      </c>
      <c r="D4075" s="1" t="s">
        <v>41</v>
      </c>
      <c r="E4075" s="3">
        <v>980000</v>
      </c>
      <c r="F4075" s="1">
        <v>1519.37984496124</v>
      </c>
      <c r="H4075" s="1">
        <v>1</v>
      </c>
      <c r="J4075" s="1">
        <v>1</v>
      </c>
      <c r="K4075" s="1">
        <v>1</v>
      </c>
      <c r="M4075" s="1">
        <v>645</v>
      </c>
      <c r="N4075" s="1">
        <v>987</v>
      </c>
      <c r="O4075" s="1">
        <v>1440</v>
      </c>
      <c r="P4075" s="1">
        <v>453</v>
      </c>
      <c r="Q4075" s="1" t="s">
        <v>42</v>
      </c>
      <c r="S4075" s="1" t="s">
        <v>42</v>
      </c>
      <c r="T4075" s="1" t="s">
        <v>273</v>
      </c>
      <c r="AA4075" s="1">
        <v>980000</v>
      </c>
      <c r="AB4075" s="1" t="s">
        <v>2814</v>
      </c>
      <c r="AC4075" s="5">
        <v>44237</v>
      </c>
      <c r="AF4075" s="1">
        <v>10016</v>
      </c>
      <c r="AI4075" s="1" t="s">
        <v>60</v>
      </c>
      <c r="AJ4075" s="1">
        <v>2014</v>
      </c>
      <c r="AK4075" s="1" t="s">
        <v>55</v>
      </c>
      <c r="AL4075" s="1">
        <v>125</v>
      </c>
    </row>
    <row r="4076" spans="1:38" x14ac:dyDescent="0.2">
      <c r="A4076" s="2" t="str">
        <f>HYPERLINK("https://www.compass.com/listing/1-west-end-avenue-unit-8e-manhattan-ny-10069/29397357959412369/","1 W End Ave, Unit 8E")</f>
        <v>1 W End Ave, Unit 8E</v>
      </c>
      <c r="B4076" s="2" t="str">
        <f t="shared" ref="B4076:B4096" si="686">HYPERLINK("https://www.compass.com/building/1-w-end-ave-manhattan-ny-10069/455676159137755317/","1 W End Ave")</f>
        <v>1 W End Ave</v>
      </c>
      <c r="C4076" s="1" t="s">
        <v>57</v>
      </c>
      <c r="D4076" s="1" t="s">
        <v>41</v>
      </c>
      <c r="E4076" s="3">
        <v>1788015</v>
      </c>
      <c r="F4076" s="1">
        <v>1548.0649350649301</v>
      </c>
      <c r="G4076" s="1">
        <v>3</v>
      </c>
      <c r="H4076" s="1">
        <v>1</v>
      </c>
      <c r="I4076" s="1">
        <v>1</v>
      </c>
      <c r="J4076" s="1">
        <v>1.5</v>
      </c>
      <c r="K4076" s="1">
        <v>1</v>
      </c>
      <c r="L4076" s="1">
        <v>1</v>
      </c>
      <c r="M4076" s="4">
        <v>1155</v>
      </c>
      <c r="N4076" s="1">
        <v>1190</v>
      </c>
      <c r="O4076" s="1">
        <v>1261</v>
      </c>
      <c r="P4076" s="1">
        <v>71</v>
      </c>
      <c r="Q4076" s="1" t="s">
        <v>42</v>
      </c>
      <c r="S4076" s="1" t="s">
        <v>42</v>
      </c>
      <c r="T4076" s="1" t="s">
        <v>273</v>
      </c>
      <c r="V4076" s="5">
        <v>43649</v>
      </c>
      <c r="W4076" s="5">
        <v>42369</v>
      </c>
      <c r="X4076" s="1">
        <v>1750000</v>
      </c>
      <c r="Y4076" s="1">
        <v>1750000</v>
      </c>
      <c r="Z4076" s="5">
        <v>42369</v>
      </c>
      <c r="AA4076" s="1">
        <v>1788015</v>
      </c>
      <c r="AB4076" s="1" t="s">
        <v>2815</v>
      </c>
      <c r="AC4076" s="5">
        <v>43007</v>
      </c>
      <c r="AF4076" s="1">
        <v>10069</v>
      </c>
      <c r="AI4076" s="1" t="s">
        <v>60</v>
      </c>
      <c r="AJ4076" s="1">
        <v>2017</v>
      </c>
      <c r="AK4076" s="1" t="s">
        <v>108</v>
      </c>
      <c r="AL4076" s="1">
        <v>246</v>
      </c>
    </row>
    <row r="4077" spans="1:38" x14ac:dyDescent="0.2">
      <c r="A4077" s="2" t="str">
        <f>HYPERLINK("https://www.compass.com/listing/1-west-end-avenue-unit-9e-manhattan-ny-10069/29397358278085153/","1 W End Ave, Unit 9E")</f>
        <v>1 W End Ave, Unit 9E</v>
      </c>
      <c r="B4077" s="2" t="str">
        <f t="shared" si="686"/>
        <v>1 W End Ave</v>
      </c>
      <c r="C4077" s="1" t="s">
        <v>57</v>
      </c>
      <c r="D4077" s="1" t="s">
        <v>41</v>
      </c>
      <c r="E4077" s="3">
        <v>1889931</v>
      </c>
      <c r="F4077" s="1">
        <v>1619.47814910025</v>
      </c>
      <c r="G4077" s="1">
        <v>3</v>
      </c>
      <c r="H4077" s="1">
        <v>1</v>
      </c>
      <c r="I4077" s="1">
        <v>1</v>
      </c>
      <c r="J4077" s="1">
        <v>1.5</v>
      </c>
      <c r="K4077" s="1">
        <v>1</v>
      </c>
      <c r="L4077" s="1">
        <v>1</v>
      </c>
      <c r="M4077" s="4">
        <v>1167</v>
      </c>
      <c r="N4077" s="1">
        <v>1201</v>
      </c>
      <c r="O4077" s="1">
        <v>1273</v>
      </c>
      <c r="P4077" s="1">
        <v>72</v>
      </c>
      <c r="Q4077" s="1" t="s">
        <v>42</v>
      </c>
      <c r="S4077" s="1" t="s">
        <v>42</v>
      </c>
      <c r="T4077" s="1" t="s">
        <v>273</v>
      </c>
      <c r="V4077" s="5">
        <v>43650</v>
      </c>
      <c r="W4077" s="5">
        <v>42322</v>
      </c>
      <c r="X4077" s="1">
        <v>1850000</v>
      </c>
      <c r="Y4077" s="1">
        <v>1850000</v>
      </c>
      <c r="Z4077" s="5">
        <v>42322</v>
      </c>
      <c r="AA4077" s="1">
        <v>1889931</v>
      </c>
      <c r="AB4077" s="1" t="s">
        <v>2816</v>
      </c>
      <c r="AC4077" s="5">
        <v>43090</v>
      </c>
      <c r="AF4077" s="1">
        <v>10069</v>
      </c>
      <c r="AI4077" s="1" t="s">
        <v>60</v>
      </c>
      <c r="AJ4077" s="1">
        <v>2017</v>
      </c>
      <c r="AK4077" s="1" t="s">
        <v>108</v>
      </c>
      <c r="AL4077" s="1">
        <v>246</v>
      </c>
    </row>
    <row r="4078" spans="1:38" x14ac:dyDescent="0.2">
      <c r="A4078" s="2" t="str">
        <f>HYPERLINK("https://www.compass.com/listing/1-west-end-avenue-unit-10e-manhattan-ny-10069/29397358630424785/","1 W End Ave, Unit 10E")</f>
        <v>1 W End Ave, Unit 10E</v>
      </c>
      <c r="B4078" s="2" t="str">
        <f t="shared" si="686"/>
        <v>1 W End Ave</v>
      </c>
      <c r="C4078" s="1" t="s">
        <v>57</v>
      </c>
      <c r="D4078" s="1" t="s">
        <v>41</v>
      </c>
      <c r="E4078" s="3">
        <v>1828372</v>
      </c>
      <c r="F4078" s="1">
        <v>1713.5632614807801</v>
      </c>
      <c r="G4078" s="1">
        <v>3</v>
      </c>
      <c r="H4078" s="1">
        <v>1</v>
      </c>
      <c r="I4078" s="1">
        <v>1</v>
      </c>
      <c r="J4078" s="1">
        <v>1.5</v>
      </c>
      <c r="K4078" s="1">
        <v>1</v>
      </c>
      <c r="L4078" s="1">
        <v>1</v>
      </c>
      <c r="M4078" s="4">
        <v>1067</v>
      </c>
      <c r="N4078" s="1">
        <v>1117</v>
      </c>
      <c r="O4078" s="1">
        <v>1184</v>
      </c>
      <c r="P4078" s="1">
        <v>67</v>
      </c>
      <c r="Q4078" s="1" t="s">
        <v>42</v>
      </c>
      <c r="S4078" s="1" t="s">
        <v>42</v>
      </c>
      <c r="T4078" s="1" t="s">
        <v>273</v>
      </c>
      <c r="U4078" s="1">
        <v>47</v>
      </c>
      <c r="V4078" s="5">
        <v>43640</v>
      </c>
      <c r="W4078" s="5">
        <v>42180</v>
      </c>
      <c r="X4078" s="1">
        <v>1740000</v>
      </c>
      <c r="Y4078" s="1">
        <v>1790000</v>
      </c>
      <c r="Z4078" s="5">
        <v>42227</v>
      </c>
      <c r="AA4078" s="1">
        <v>1828372</v>
      </c>
      <c r="AB4078" s="1" t="s">
        <v>2817</v>
      </c>
      <c r="AC4078" s="5">
        <v>43035</v>
      </c>
      <c r="AF4078" s="1">
        <v>10069</v>
      </c>
      <c r="AI4078" s="1" t="s">
        <v>60</v>
      </c>
      <c r="AJ4078" s="1">
        <v>2017</v>
      </c>
      <c r="AK4078" s="1" t="s">
        <v>108</v>
      </c>
      <c r="AL4078" s="1">
        <v>246</v>
      </c>
    </row>
    <row r="4079" spans="1:38" x14ac:dyDescent="0.2">
      <c r="A4079" s="2" t="str">
        <f>HYPERLINK("https://www.compass.com/listing/1-west-end-avenue-unit-11e-manhattan-ny-10069/29397359058320049/","1 W End Ave, Unit 11E")</f>
        <v>1 W End Ave, Unit 11E</v>
      </c>
      <c r="B4079" s="2" t="str">
        <f t="shared" si="686"/>
        <v>1 W End Ave</v>
      </c>
      <c r="C4079" s="1" t="s">
        <v>57</v>
      </c>
      <c r="D4079" s="1" t="s">
        <v>41</v>
      </c>
      <c r="E4079" s="3">
        <v>1792733</v>
      </c>
      <c r="F4079" s="1">
        <v>1680.1621368322301</v>
      </c>
      <c r="G4079" s="1">
        <v>3</v>
      </c>
      <c r="H4079" s="1">
        <v>1</v>
      </c>
      <c r="I4079" s="1">
        <v>1</v>
      </c>
      <c r="J4079" s="1">
        <v>1.5</v>
      </c>
      <c r="K4079" s="1">
        <v>1</v>
      </c>
      <c r="L4079" s="1">
        <v>1</v>
      </c>
      <c r="M4079" s="4">
        <v>1067</v>
      </c>
      <c r="N4079" s="1">
        <v>1117</v>
      </c>
      <c r="O4079" s="1">
        <v>1184</v>
      </c>
      <c r="P4079" s="1">
        <v>67</v>
      </c>
      <c r="Q4079" s="1" t="s">
        <v>42</v>
      </c>
      <c r="S4079" s="1" t="s">
        <v>42</v>
      </c>
      <c r="T4079" s="1" t="s">
        <v>273</v>
      </c>
      <c r="U4079" s="1">
        <v>15</v>
      </c>
      <c r="V4079" s="5">
        <v>43623</v>
      </c>
      <c r="W4079" s="5">
        <v>42188</v>
      </c>
      <c r="X4079" s="1">
        <v>1805000</v>
      </c>
      <c r="Y4079" s="1">
        <v>1805000</v>
      </c>
      <c r="Z4079" s="5">
        <v>42203</v>
      </c>
      <c r="AA4079" s="1">
        <v>1792733</v>
      </c>
      <c r="AB4079" s="1" t="s">
        <v>2818</v>
      </c>
      <c r="AC4079" s="5">
        <v>43056</v>
      </c>
      <c r="AF4079" s="1">
        <v>10069</v>
      </c>
      <c r="AI4079" s="1" t="s">
        <v>60</v>
      </c>
      <c r="AJ4079" s="1">
        <v>2017</v>
      </c>
      <c r="AK4079" s="1" t="s">
        <v>108</v>
      </c>
      <c r="AL4079" s="1">
        <v>246</v>
      </c>
    </row>
    <row r="4080" spans="1:38" x14ac:dyDescent="0.2">
      <c r="A4080" s="2" t="str">
        <f>HYPERLINK("https://www.compass.com/listing/1-west-end-avenue-unit-14e-manhattan-ny-10069/29397360022933729/","1 W End Ave, Unit 14E")</f>
        <v>1 W End Ave, Unit 14E</v>
      </c>
      <c r="B4080" s="2" t="str">
        <f t="shared" si="686"/>
        <v>1 W End Ave</v>
      </c>
      <c r="C4080" s="1" t="s">
        <v>57</v>
      </c>
      <c r="D4080" s="1" t="s">
        <v>41</v>
      </c>
      <c r="E4080" s="3">
        <v>1792738</v>
      </c>
      <c r="F4080" s="1">
        <v>1680.16682286785</v>
      </c>
      <c r="G4080" s="1">
        <v>3</v>
      </c>
      <c r="H4080" s="1">
        <v>1</v>
      </c>
      <c r="I4080" s="1">
        <v>1</v>
      </c>
      <c r="J4080" s="1">
        <v>1.5</v>
      </c>
      <c r="K4080" s="1">
        <v>1</v>
      </c>
      <c r="L4080" s="1">
        <v>1</v>
      </c>
      <c r="M4080" s="4">
        <v>1067</v>
      </c>
      <c r="N4080" s="1">
        <v>1117</v>
      </c>
      <c r="O4080" s="1">
        <v>1184</v>
      </c>
      <c r="P4080" s="1">
        <v>67</v>
      </c>
      <c r="Q4080" s="1" t="s">
        <v>42</v>
      </c>
      <c r="S4080" s="1" t="s">
        <v>42</v>
      </c>
      <c r="T4080" s="1" t="s">
        <v>273</v>
      </c>
      <c r="U4080" s="1">
        <v>5</v>
      </c>
      <c r="V4080" s="5">
        <v>43649</v>
      </c>
      <c r="W4080" s="5">
        <v>42188</v>
      </c>
      <c r="X4080" s="1">
        <v>1835000</v>
      </c>
      <c r="Y4080" s="1">
        <v>1835000</v>
      </c>
      <c r="Z4080" s="5">
        <v>42193</v>
      </c>
      <c r="AA4080" s="1">
        <v>1792738</v>
      </c>
      <c r="AB4080" s="1" t="s">
        <v>2819</v>
      </c>
      <c r="AC4080" s="5">
        <v>43076</v>
      </c>
      <c r="AF4080" s="1">
        <v>10069</v>
      </c>
      <c r="AI4080" s="1" t="s">
        <v>2054</v>
      </c>
      <c r="AJ4080" s="1">
        <v>2017</v>
      </c>
      <c r="AK4080" s="1" t="s">
        <v>108</v>
      </c>
      <c r="AL4080" s="1">
        <v>246</v>
      </c>
    </row>
    <row r="4081" spans="1:38" x14ac:dyDescent="0.2">
      <c r="A4081" s="2" t="str">
        <f>HYPERLINK("https://www.compass.com/listing/1-west-end-avenue-unit-15e-manhattan-ny-10069/29397360425663169/","1 W End Ave, Unit 15E")</f>
        <v>1 W End Ave, Unit 15E</v>
      </c>
      <c r="B4081" s="2" t="str">
        <f t="shared" si="686"/>
        <v>1 W End Ave</v>
      </c>
      <c r="C4081" s="1" t="s">
        <v>57</v>
      </c>
      <c r="D4081" s="1" t="s">
        <v>41</v>
      </c>
      <c r="E4081" s="3">
        <v>1838554</v>
      </c>
      <c r="F4081" s="1">
        <v>1723.10590440487</v>
      </c>
      <c r="G4081" s="1">
        <v>3</v>
      </c>
      <c r="H4081" s="1">
        <v>1</v>
      </c>
      <c r="I4081" s="1">
        <v>1</v>
      </c>
      <c r="J4081" s="1">
        <v>1.5</v>
      </c>
      <c r="K4081" s="1">
        <v>1</v>
      </c>
      <c r="L4081" s="1">
        <v>1</v>
      </c>
      <c r="M4081" s="4">
        <v>1067</v>
      </c>
      <c r="N4081" s="1">
        <v>1117</v>
      </c>
      <c r="O4081" s="1">
        <v>1184</v>
      </c>
      <c r="P4081" s="1">
        <v>67</v>
      </c>
      <c r="Q4081" s="1" t="s">
        <v>42</v>
      </c>
      <c r="S4081" s="1" t="s">
        <v>42</v>
      </c>
      <c r="T4081" s="1" t="s">
        <v>273</v>
      </c>
      <c r="U4081" s="1">
        <v>5</v>
      </c>
      <c r="V4081" s="5">
        <v>43624</v>
      </c>
      <c r="W4081" s="5">
        <v>42188</v>
      </c>
      <c r="X4081" s="1">
        <v>1850000</v>
      </c>
      <c r="Y4081" s="1">
        <v>1850000</v>
      </c>
      <c r="Z4081" s="5">
        <v>42193</v>
      </c>
      <c r="AA4081" s="1">
        <v>1838554</v>
      </c>
      <c r="AB4081" s="1" t="s">
        <v>2820</v>
      </c>
      <c r="AC4081" s="5">
        <v>43071</v>
      </c>
      <c r="AF4081" s="1">
        <v>10069</v>
      </c>
      <c r="AI4081" s="1" t="s">
        <v>60</v>
      </c>
      <c r="AJ4081" s="1">
        <v>2017</v>
      </c>
      <c r="AK4081" s="1" t="s">
        <v>108</v>
      </c>
      <c r="AL4081" s="1">
        <v>246</v>
      </c>
    </row>
    <row r="4082" spans="1:38" x14ac:dyDescent="0.2">
      <c r="A4082" s="2" t="str">
        <f>HYPERLINK("https://www.compass.com/listing/1-west-end-avenue-unit-16e-manhattan-ny-10069/29397360769502017/","1 W End Ave, Unit 16E")</f>
        <v>1 W End Ave, Unit 16E</v>
      </c>
      <c r="B4082" s="2" t="str">
        <f t="shared" si="686"/>
        <v>1 W End Ave</v>
      </c>
      <c r="C4082" s="1" t="s">
        <v>57</v>
      </c>
      <c r="D4082" s="1" t="s">
        <v>41</v>
      </c>
      <c r="E4082" s="3">
        <v>1823281</v>
      </c>
      <c r="F4082" s="1">
        <v>1708.79194001874</v>
      </c>
      <c r="G4082" s="1">
        <v>3</v>
      </c>
      <c r="H4082" s="1">
        <v>1</v>
      </c>
      <c r="I4082" s="1">
        <v>1</v>
      </c>
      <c r="J4082" s="1">
        <v>1.5</v>
      </c>
      <c r="K4082" s="1">
        <v>1</v>
      </c>
      <c r="L4082" s="1">
        <v>1</v>
      </c>
      <c r="M4082" s="4">
        <v>1067</v>
      </c>
      <c r="N4082" s="1">
        <v>1117</v>
      </c>
      <c r="O4082" s="1">
        <v>1184</v>
      </c>
      <c r="P4082" s="1">
        <v>67</v>
      </c>
      <c r="Q4082" s="1" t="s">
        <v>42</v>
      </c>
      <c r="S4082" s="1" t="s">
        <v>42</v>
      </c>
      <c r="T4082" s="1" t="s">
        <v>273</v>
      </c>
      <c r="U4082" s="1">
        <v>5</v>
      </c>
      <c r="V4082" s="5">
        <v>43673</v>
      </c>
      <c r="W4082" s="5">
        <v>42188</v>
      </c>
      <c r="X4082" s="1">
        <v>1865000</v>
      </c>
      <c r="Y4082" s="1">
        <v>1865000</v>
      </c>
      <c r="Z4082" s="5">
        <v>42193</v>
      </c>
      <c r="AA4082" s="1">
        <v>1823281</v>
      </c>
      <c r="AB4082" s="1" t="s">
        <v>2821</v>
      </c>
      <c r="AC4082" s="5">
        <v>43067</v>
      </c>
      <c r="AF4082" s="1">
        <v>10069</v>
      </c>
      <c r="AI4082" s="1" t="s">
        <v>60</v>
      </c>
      <c r="AJ4082" s="1">
        <v>2017</v>
      </c>
      <c r="AK4082" s="1" t="s">
        <v>108</v>
      </c>
      <c r="AL4082" s="1">
        <v>246</v>
      </c>
    </row>
    <row r="4083" spans="1:38" x14ac:dyDescent="0.2">
      <c r="A4083" s="2" t="str">
        <f>HYPERLINK("https://www.compass.com/listing/1-west-end-avenue-unit-18e-manhattan-ny-10069/29397361558125265/","1 W End Ave, Unit 18E")</f>
        <v>1 W End Ave, Unit 18E</v>
      </c>
      <c r="B4083" s="2" t="str">
        <f t="shared" si="686"/>
        <v>1 W End Ave</v>
      </c>
      <c r="C4083" s="1" t="s">
        <v>57</v>
      </c>
      <c r="D4083" s="1" t="s">
        <v>41</v>
      </c>
      <c r="E4083" s="3">
        <v>1935293</v>
      </c>
      <c r="F4083" s="1">
        <v>1813.7703842549199</v>
      </c>
      <c r="G4083" s="1">
        <v>3</v>
      </c>
      <c r="H4083" s="1">
        <v>1</v>
      </c>
      <c r="I4083" s="1">
        <v>1</v>
      </c>
      <c r="J4083" s="1">
        <v>1.5</v>
      </c>
      <c r="K4083" s="1">
        <v>1</v>
      </c>
      <c r="L4083" s="1">
        <v>1</v>
      </c>
      <c r="M4083" s="4">
        <v>1067</v>
      </c>
      <c r="N4083" s="1">
        <v>1117</v>
      </c>
      <c r="O4083" s="1">
        <v>1174</v>
      </c>
      <c r="P4083" s="1">
        <v>57</v>
      </c>
      <c r="Q4083" s="1" t="s">
        <v>42</v>
      </c>
      <c r="S4083" s="1" t="s">
        <v>42</v>
      </c>
      <c r="T4083" s="1" t="s">
        <v>273</v>
      </c>
      <c r="U4083" s="1">
        <v>37</v>
      </c>
      <c r="V4083" s="5">
        <v>43628</v>
      </c>
      <c r="W4083" s="5">
        <v>42287</v>
      </c>
      <c r="X4083" s="1">
        <v>1895000</v>
      </c>
      <c r="Y4083" s="1">
        <v>1895000</v>
      </c>
      <c r="Z4083" s="5">
        <v>42324</v>
      </c>
      <c r="AA4083" s="1">
        <v>1935293</v>
      </c>
      <c r="AB4083" s="1" t="s">
        <v>2822</v>
      </c>
      <c r="AC4083" s="5">
        <v>42990</v>
      </c>
      <c r="AF4083" s="1">
        <v>10069</v>
      </c>
      <c r="AI4083" s="1" t="s">
        <v>60</v>
      </c>
      <c r="AJ4083" s="1">
        <v>2017</v>
      </c>
      <c r="AK4083" s="1" t="s">
        <v>108</v>
      </c>
      <c r="AL4083" s="1">
        <v>246</v>
      </c>
    </row>
    <row r="4084" spans="1:38" x14ac:dyDescent="0.2">
      <c r="A4084" s="2" t="str">
        <f>HYPERLINK("https://www.compass.com/listing/1-west-end-avenue-unit-20e-manhattan-ny-10069/29397362254303489/","1 W End Ave, Unit 20E")</f>
        <v>1 W End Ave, Unit 20E</v>
      </c>
      <c r="B4084" s="2" t="str">
        <f t="shared" si="686"/>
        <v>1 W End Ave</v>
      </c>
      <c r="C4084" s="1" t="s">
        <v>57</v>
      </c>
      <c r="D4084" s="1" t="s">
        <v>41</v>
      </c>
      <c r="E4084" s="3">
        <v>1988752</v>
      </c>
      <c r="F4084" s="1">
        <v>1863.8725398312999</v>
      </c>
      <c r="G4084" s="1">
        <v>3</v>
      </c>
      <c r="H4084" s="1">
        <v>1</v>
      </c>
      <c r="I4084" s="1">
        <v>1</v>
      </c>
      <c r="J4084" s="1">
        <v>1.5</v>
      </c>
      <c r="K4084" s="1">
        <v>1</v>
      </c>
      <c r="L4084" s="1">
        <v>1</v>
      </c>
      <c r="M4084" s="4">
        <v>1067</v>
      </c>
      <c r="N4084" s="1">
        <v>1117</v>
      </c>
      <c r="O4084" s="1">
        <v>1184</v>
      </c>
      <c r="P4084" s="1">
        <v>67</v>
      </c>
      <c r="Q4084" s="1" t="s">
        <v>42</v>
      </c>
      <c r="S4084" s="1" t="s">
        <v>42</v>
      </c>
      <c r="T4084" s="1" t="s">
        <v>273</v>
      </c>
      <c r="U4084" s="1">
        <v>44</v>
      </c>
      <c r="V4084" s="5">
        <v>43673</v>
      </c>
      <c r="W4084" s="5">
        <v>42227</v>
      </c>
      <c r="X4084" s="1">
        <v>1947500</v>
      </c>
      <c r="Y4084" s="1">
        <v>1947500</v>
      </c>
      <c r="Z4084" s="5">
        <v>42271</v>
      </c>
      <c r="AA4084" s="1">
        <v>1988752</v>
      </c>
      <c r="AB4084" s="1" t="s">
        <v>2823</v>
      </c>
      <c r="AC4084" s="5">
        <v>43008</v>
      </c>
      <c r="AF4084" s="1">
        <v>10069</v>
      </c>
      <c r="AI4084" s="1" t="s">
        <v>60</v>
      </c>
      <c r="AJ4084" s="1">
        <v>2017</v>
      </c>
      <c r="AK4084" s="1" t="s">
        <v>108</v>
      </c>
      <c r="AL4084" s="1">
        <v>246</v>
      </c>
    </row>
    <row r="4085" spans="1:38" x14ac:dyDescent="0.2">
      <c r="A4085" s="2" t="str">
        <f>HYPERLINK("https://www.compass.com/listing/1-west-end-avenue-unit-22h-manhattan-ny-10069/29397383536278577/","1 W End Ave, Unit 22H")</f>
        <v>1 W End Ave, Unit 22H</v>
      </c>
      <c r="B4085" s="2" t="str">
        <f t="shared" si="686"/>
        <v>1 W End Ave</v>
      </c>
      <c r="C4085" s="1" t="s">
        <v>57</v>
      </c>
      <c r="D4085" s="1" t="s">
        <v>41</v>
      </c>
      <c r="E4085" s="3">
        <v>1761635</v>
      </c>
      <c r="F4085" s="1">
        <v>1916.9042437431899</v>
      </c>
      <c r="G4085" s="1">
        <v>3</v>
      </c>
      <c r="H4085" s="1">
        <v>1</v>
      </c>
      <c r="I4085" s="1">
        <v>1</v>
      </c>
      <c r="J4085" s="1">
        <v>1.5</v>
      </c>
      <c r="K4085" s="1">
        <v>1</v>
      </c>
      <c r="L4085" s="1">
        <v>1</v>
      </c>
      <c r="M4085" s="1">
        <v>919</v>
      </c>
      <c r="N4085" s="1">
        <v>994</v>
      </c>
      <c r="O4085" s="1">
        <v>1053</v>
      </c>
      <c r="P4085" s="1">
        <v>59</v>
      </c>
      <c r="Q4085" s="1" t="s">
        <v>42</v>
      </c>
      <c r="S4085" s="1" t="s">
        <v>42</v>
      </c>
      <c r="T4085" s="1" t="s">
        <v>273</v>
      </c>
      <c r="U4085" s="1">
        <v>19</v>
      </c>
      <c r="V4085" s="5">
        <v>43654</v>
      </c>
      <c r="W4085" s="5">
        <v>42180</v>
      </c>
      <c r="X4085" s="1">
        <v>1725000</v>
      </c>
      <c r="Y4085" s="1">
        <v>1725000</v>
      </c>
      <c r="Z4085" s="5">
        <v>42199</v>
      </c>
      <c r="AA4085" s="1">
        <v>1761635</v>
      </c>
      <c r="AB4085" s="1" t="s">
        <v>2824</v>
      </c>
      <c r="AC4085" s="5">
        <v>43218</v>
      </c>
      <c r="AF4085" s="1">
        <v>10069</v>
      </c>
      <c r="AI4085" s="1" t="s">
        <v>60</v>
      </c>
      <c r="AJ4085" s="1">
        <v>2017</v>
      </c>
      <c r="AK4085" s="1" t="s">
        <v>108</v>
      </c>
      <c r="AL4085" s="1">
        <v>246</v>
      </c>
    </row>
    <row r="4086" spans="1:38" x14ac:dyDescent="0.2">
      <c r="A4086" s="2" t="str">
        <f>HYPERLINK("https://www.compass.com/listing/1-west-end-avenue-unit-23h-manhattan-ny-10069/29397383922062081/","1 W End Ave, Unit 23H")</f>
        <v>1 W End Ave, Unit 23H</v>
      </c>
      <c r="B4086" s="2" t="str">
        <f t="shared" si="686"/>
        <v>1 W End Ave</v>
      </c>
      <c r="C4086" s="1" t="s">
        <v>57</v>
      </c>
      <c r="D4086" s="1" t="s">
        <v>41</v>
      </c>
      <c r="E4086" s="3">
        <v>1725996</v>
      </c>
      <c r="F4086" s="1">
        <v>1878.1240478781201</v>
      </c>
      <c r="G4086" s="1">
        <v>3</v>
      </c>
      <c r="H4086" s="1">
        <v>1</v>
      </c>
      <c r="I4086" s="1">
        <v>1</v>
      </c>
      <c r="J4086" s="1">
        <v>1.5</v>
      </c>
      <c r="K4086" s="1">
        <v>1</v>
      </c>
      <c r="L4086" s="1">
        <v>1</v>
      </c>
      <c r="M4086" s="1">
        <v>919</v>
      </c>
      <c r="N4086" s="1">
        <v>993.82</v>
      </c>
      <c r="O4086" s="1">
        <v>1053.19</v>
      </c>
      <c r="P4086" s="1">
        <v>59.3333333333333</v>
      </c>
      <c r="Q4086" s="1" t="s">
        <v>42</v>
      </c>
      <c r="S4086" s="1" t="s">
        <v>42</v>
      </c>
      <c r="T4086" s="1" t="s">
        <v>273</v>
      </c>
      <c r="V4086" s="5">
        <v>43626</v>
      </c>
      <c r="W4086" s="5">
        <v>42203</v>
      </c>
      <c r="X4086" s="1">
        <v>1915000</v>
      </c>
      <c r="Y4086" s="1">
        <v>1915000</v>
      </c>
      <c r="Z4086" s="5">
        <v>42203</v>
      </c>
      <c r="AA4086" s="1">
        <v>1725996</v>
      </c>
      <c r="AB4086" s="1" t="s">
        <v>2825</v>
      </c>
      <c r="AC4086" s="5">
        <v>43194</v>
      </c>
      <c r="AF4086" s="1">
        <v>10069</v>
      </c>
      <c r="AI4086" s="1" t="s">
        <v>60</v>
      </c>
      <c r="AJ4086" s="1">
        <v>2017</v>
      </c>
      <c r="AK4086" s="1" t="s">
        <v>108</v>
      </c>
      <c r="AL4086" s="1">
        <v>246</v>
      </c>
    </row>
    <row r="4087" spans="1:38" x14ac:dyDescent="0.2">
      <c r="A4087" s="2" t="str">
        <f>HYPERLINK("https://www.compass.com/listing/1-west-end-avenue-unit-24h-manhattan-ny-10069/29397384274399921/","1 W End Ave, Unit 24H")</f>
        <v>1 W End Ave, Unit 24H</v>
      </c>
      <c r="B4087" s="2" t="str">
        <f t="shared" si="686"/>
        <v>1 W End Ave</v>
      </c>
      <c r="C4087" s="1" t="s">
        <v>57</v>
      </c>
      <c r="D4087" s="1" t="s">
        <v>41</v>
      </c>
      <c r="E4087" s="3">
        <v>1952765</v>
      </c>
      <c r="F4087" s="1">
        <v>2124.8803046789899</v>
      </c>
      <c r="G4087" s="1">
        <v>3</v>
      </c>
      <c r="H4087" s="1">
        <v>1</v>
      </c>
      <c r="I4087" s="1">
        <v>1</v>
      </c>
      <c r="J4087" s="1">
        <v>1.5</v>
      </c>
      <c r="K4087" s="1">
        <v>1</v>
      </c>
      <c r="L4087" s="1">
        <v>1</v>
      </c>
      <c r="M4087" s="1">
        <v>919</v>
      </c>
      <c r="N4087" s="1">
        <v>994</v>
      </c>
      <c r="O4087" s="1">
        <v>1053</v>
      </c>
      <c r="P4087" s="1">
        <v>59</v>
      </c>
      <c r="Q4087" s="1" t="s">
        <v>42</v>
      </c>
      <c r="S4087" s="1" t="s">
        <v>42</v>
      </c>
      <c r="T4087" s="1" t="s">
        <v>273</v>
      </c>
      <c r="U4087" s="1">
        <v>1</v>
      </c>
      <c r="V4087" s="5">
        <v>43626</v>
      </c>
      <c r="W4087" s="5">
        <v>42633</v>
      </c>
      <c r="X4087" s="1">
        <v>1930000</v>
      </c>
      <c r="Y4087" s="1">
        <v>1930000</v>
      </c>
      <c r="Z4087" s="5">
        <v>42634</v>
      </c>
      <c r="AA4087" s="1">
        <v>1952765</v>
      </c>
      <c r="AB4087" s="1" t="s">
        <v>2826</v>
      </c>
      <c r="AC4087" s="5">
        <v>43190</v>
      </c>
      <c r="AF4087" s="1">
        <v>10069</v>
      </c>
      <c r="AI4087" s="1" t="s">
        <v>60</v>
      </c>
      <c r="AJ4087" s="1">
        <v>2017</v>
      </c>
      <c r="AK4087" s="1" t="s">
        <v>108</v>
      </c>
      <c r="AL4087" s="1">
        <v>246</v>
      </c>
    </row>
    <row r="4088" spans="1:38" x14ac:dyDescent="0.2">
      <c r="A4088" s="2" t="str">
        <f>HYPERLINK("https://www.compass.com/listing/1-west-end-avenue-unit-25h-manhattan-ny-10069/29397384710683713/","1 W End Ave, Unit 25H")</f>
        <v>1 W End Ave, Unit 25H</v>
      </c>
      <c r="B4088" s="2" t="str">
        <f t="shared" si="686"/>
        <v>1 W End Ave</v>
      </c>
      <c r="C4088" s="1" t="s">
        <v>57</v>
      </c>
      <c r="D4088" s="1" t="s">
        <v>41</v>
      </c>
      <c r="E4088" s="3">
        <v>1960194</v>
      </c>
      <c r="F4088" s="1">
        <v>2132.96409140369</v>
      </c>
      <c r="G4088" s="1">
        <v>3</v>
      </c>
      <c r="H4088" s="1">
        <v>1</v>
      </c>
      <c r="I4088" s="1">
        <v>1</v>
      </c>
      <c r="J4088" s="1">
        <v>1.5</v>
      </c>
      <c r="K4088" s="1">
        <v>1</v>
      </c>
      <c r="L4088" s="1">
        <v>1</v>
      </c>
      <c r="M4088" s="1">
        <v>919</v>
      </c>
      <c r="N4088" s="1">
        <v>994</v>
      </c>
      <c r="O4088" s="1">
        <v>1053</v>
      </c>
      <c r="P4088" s="1">
        <v>59</v>
      </c>
      <c r="Q4088" s="1" t="s">
        <v>42</v>
      </c>
      <c r="S4088" s="1" t="s">
        <v>42</v>
      </c>
      <c r="T4088" s="1" t="s">
        <v>273</v>
      </c>
      <c r="U4088" s="1">
        <v>283</v>
      </c>
      <c r="V4088" s="5">
        <v>43624</v>
      </c>
      <c r="W4088" s="5">
        <v>42431</v>
      </c>
      <c r="X4088" s="1">
        <v>1945000</v>
      </c>
      <c r="Y4088" s="1">
        <v>1945000</v>
      </c>
      <c r="Z4088" s="5">
        <v>42714</v>
      </c>
      <c r="AA4088" s="1">
        <v>1960194</v>
      </c>
      <c r="AB4088" s="1" t="s">
        <v>2827</v>
      </c>
      <c r="AC4088" s="5">
        <v>43189</v>
      </c>
      <c r="AF4088" s="1">
        <v>10069</v>
      </c>
      <c r="AI4088" s="1" t="s">
        <v>60</v>
      </c>
      <c r="AJ4088" s="1">
        <v>2017</v>
      </c>
      <c r="AK4088" s="1" t="s">
        <v>108</v>
      </c>
      <c r="AL4088" s="1">
        <v>246</v>
      </c>
    </row>
    <row r="4089" spans="1:38" x14ac:dyDescent="0.2">
      <c r="A4089" s="2" t="str">
        <f>HYPERLINK("https://www.compass.com/listing/1-west-end-avenue-unit-27h-manhattan-ny-10069/29397385440416449/","1 W End Ave, Unit 27H")</f>
        <v>1 W End Ave, Unit 27H</v>
      </c>
      <c r="B4089" s="2" t="str">
        <f t="shared" si="686"/>
        <v>1 W End Ave</v>
      </c>
      <c r="C4089" s="1" t="s">
        <v>57</v>
      </c>
      <c r="D4089" s="1" t="s">
        <v>41</v>
      </c>
      <c r="E4089" s="3">
        <v>2031471</v>
      </c>
      <c r="F4089" s="1">
        <v>2210.52339499455</v>
      </c>
      <c r="G4089" s="1">
        <v>3</v>
      </c>
      <c r="H4089" s="1">
        <v>1</v>
      </c>
      <c r="I4089" s="1">
        <v>1</v>
      </c>
      <c r="J4089" s="1">
        <v>1.5</v>
      </c>
      <c r="K4089" s="1">
        <v>1</v>
      </c>
      <c r="L4089" s="1">
        <v>1</v>
      </c>
      <c r="M4089" s="1">
        <v>919</v>
      </c>
      <c r="N4089" s="1">
        <v>994</v>
      </c>
      <c r="O4089" s="1">
        <v>1053</v>
      </c>
      <c r="P4089" s="1">
        <v>59</v>
      </c>
      <c r="Q4089" s="1" t="s">
        <v>42</v>
      </c>
      <c r="S4089" s="1" t="s">
        <v>42</v>
      </c>
      <c r="T4089" s="1" t="s">
        <v>273</v>
      </c>
      <c r="U4089" s="1">
        <v>29</v>
      </c>
      <c r="V4089" s="5">
        <v>43626</v>
      </c>
      <c r="W4089" s="5">
        <v>42340</v>
      </c>
      <c r="X4089" s="1">
        <v>1990000</v>
      </c>
      <c r="Y4089" s="1">
        <v>1990000</v>
      </c>
      <c r="Z4089" s="5">
        <v>42369</v>
      </c>
      <c r="AA4089" s="1">
        <v>2031471</v>
      </c>
      <c r="AB4089" s="1" t="s">
        <v>2828</v>
      </c>
      <c r="AC4089" s="5">
        <v>43221</v>
      </c>
      <c r="AF4089" s="1">
        <v>10069</v>
      </c>
      <c r="AI4089" s="1" t="s">
        <v>60</v>
      </c>
      <c r="AJ4089" s="1">
        <v>2017</v>
      </c>
      <c r="AK4089" s="1" t="s">
        <v>108</v>
      </c>
      <c r="AL4089" s="1">
        <v>246</v>
      </c>
    </row>
    <row r="4090" spans="1:38" x14ac:dyDescent="0.2">
      <c r="A4090" s="2" t="str">
        <f>HYPERLINK("https://www.compass.com/listing/1-west-end-avenue-unit-9l-manhattan-ny-10069/29397395607393201/","1 W End Ave, Unit 9L")</f>
        <v>1 W End Ave, Unit 9L</v>
      </c>
      <c r="B4090" s="2" t="str">
        <f t="shared" si="686"/>
        <v>1 W End Ave</v>
      </c>
      <c r="C4090" s="1" t="s">
        <v>57</v>
      </c>
      <c r="D4090" s="1" t="s">
        <v>41</v>
      </c>
      <c r="E4090" s="3">
        <v>1512156</v>
      </c>
      <c r="F4090" s="1">
        <v>1647.22875816993</v>
      </c>
      <c r="G4090" s="1">
        <v>3</v>
      </c>
      <c r="H4090" s="1">
        <v>1</v>
      </c>
      <c r="I4090" s="1">
        <v>1</v>
      </c>
      <c r="J4090" s="1">
        <v>1.5</v>
      </c>
      <c r="K4090" s="1">
        <v>1</v>
      </c>
      <c r="L4090" s="1">
        <v>1</v>
      </c>
      <c r="M4090" s="1">
        <v>918</v>
      </c>
      <c r="N4090" s="1">
        <v>992.79</v>
      </c>
      <c r="O4090" s="1">
        <v>1052.1099999999999</v>
      </c>
      <c r="P4090" s="1">
        <v>59.3333333333333</v>
      </c>
      <c r="Q4090" s="1" t="s">
        <v>42</v>
      </c>
      <c r="S4090" s="1" t="s">
        <v>42</v>
      </c>
      <c r="T4090" s="1" t="s">
        <v>273</v>
      </c>
      <c r="V4090" s="5">
        <v>43636</v>
      </c>
      <c r="W4090" s="5">
        <v>42203</v>
      </c>
      <c r="X4090" s="1">
        <v>1625000</v>
      </c>
      <c r="Y4090" s="1">
        <v>1625000</v>
      </c>
      <c r="Z4090" s="5">
        <v>42203</v>
      </c>
      <c r="AA4090" s="1">
        <v>1512156</v>
      </c>
      <c r="AB4090" s="1" t="s">
        <v>2829</v>
      </c>
      <c r="AC4090" s="5">
        <v>43172</v>
      </c>
      <c r="AF4090" s="1">
        <v>10069</v>
      </c>
      <c r="AI4090" s="1" t="s">
        <v>60</v>
      </c>
      <c r="AJ4090" s="1">
        <v>2017</v>
      </c>
      <c r="AK4090" s="1" t="s">
        <v>108</v>
      </c>
      <c r="AL4090" s="1">
        <v>246</v>
      </c>
    </row>
    <row r="4091" spans="1:38" x14ac:dyDescent="0.2">
      <c r="A4091" s="2" t="str">
        <f>HYPERLINK("https://www.compass.com/listing/1-west-end-avenue-unit-10l-manhattan-ny-10069/29397396018451281/","1 W End Ave, Unit 10L")</f>
        <v>1 W End Ave, Unit 10L</v>
      </c>
      <c r="B4091" s="2" t="str">
        <f t="shared" si="686"/>
        <v>1 W End Ave</v>
      </c>
      <c r="C4091" s="1" t="s">
        <v>57</v>
      </c>
      <c r="D4091" s="1" t="s">
        <v>41</v>
      </c>
      <c r="E4091" s="3">
        <v>1527438</v>
      </c>
      <c r="F4091" s="1">
        <v>1662.0652883569001</v>
      </c>
      <c r="G4091" s="1">
        <v>3</v>
      </c>
      <c r="H4091" s="1">
        <v>1</v>
      </c>
      <c r="I4091" s="1">
        <v>1</v>
      </c>
      <c r="J4091" s="1">
        <v>1.5</v>
      </c>
      <c r="K4091" s="1">
        <v>1</v>
      </c>
      <c r="L4091" s="1">
        <v>1</v>
      </c>
      <c r="M4091" s="1">
        <v>919</v>
      </c>
      <c r="N4091" s="1">
        <v>993.82</v>
      </c>
      <c r="O4091" s="1">
        <v>1053.19</v>
      </c>
      <c r="P4091" s="1">
        <v>59.3333333333333</v>
      </c>
      <c r="Q4091" s="1" t="s">
        <v>42</v>
      </c>
      <c r="S4091" s="1" t="s">
        <v>42</v>
      </c>
      <c r="T4091" s="1" t="s">
        <v>273</v>
      </c>
      <c r="V4091" s="5">
        <v>43627</v>
      </c>
      <c r="W4091" s="5">
        <v>42203</v>
      </c>
      <c r="X4091" s="1">
        <v>1640000</v>
      </c>
      <c r="Y4091" s="1">
        <v>1640000</v>
      </c>
      <c r="Z4091" s="5">
        <v>42203</v>
      </c>
      <c r="AA4091" s="1">
        <v>1527438</v>
      </c>
      <c r="AB4091" s="1" t="s">
        <v>2830</v>
      </c>
      <c r="AC4091" s="5">
        <v>43179</v>
      </c>
      <c r="AF4091" s="1">
        <v>10069</v>
      </c>
      <c r="AI4091" s="1" t="s">
        <v>60</v>
      </c>
      <c r="AJ4091" s="1">
        <v>2017</v>
      </c>
      <c r="AK4091" s="1" t="s">
        <v>108</v>
      </c>
      <c r="AL4091" s="1">
        <v>246</v>
      </c>
    </row>
    <row r="4092" spans="1:38" x14ac:dyDescent="0.2">
      <c r="A4092" s="2" t="str">
        <f>HYPERLINK("https://www.compass.com/listing/1-west-end-avenue-unit-14l-manhattan-ny-10069/29397397134136161/","1 W End Ave, Unit 14L")</f>
        <v>1 W End Ave, Unit 14L</v>
      </c>
      <c r="B4092" s="2" t="str">
        <f t="shared" si="686"/>
        <v>1 W End Ave</v>
      </c>
      <c r="C4092" s="1" t="s">
        <v>57</v>
      </c>
      <c r="D4092" s="1" t="s">
        <v>41</v>
      </c>
      <c r="E4092" s="3">
        <v>1624163</v>
      </c>
      <c r="F4092" s="1">
        <v>1769.24074074074</v>
      </c>
      <c r="G4092" s="1">
        <v>3</v>
      </c>
      <c r="H4092" s="1">
        <v>1</v>
      </c>
      <c r="I4092" s="1">
        <v>1</v>
      </c>
      <c r="J4092" s="1">
        <v>1.5</v>
      </c>
      <c r="K4092" s="1">
        <v>1</v>
      </c>
      <c r="L4092" s="1">
        <v>1</v>
      </c>
      <c r="M4092" s="1">
        <v>918</v>
      </c>
      <c r="N4092" s="1">
        <v>993</v>
      </c>
      <c r="O4092" s="1">
        <v>1052</v>
      </c>
      <c r="P4092" s="1">
        <v>59</v>
      </c>
      <c r="Q4092" s="1" t="s">
        <v>42</v>
      </c>
      <c r="S4092" s="1" t="s">
        <v>42</v>
      </c>
      <c r="T4092" s="1" t="s">
        <v>273</v>
      </c>
      <c r="U4092" s="1">
        <v>8</v>
      </c>
      <c r="V4092" s="5">
        <v>43624</v>
      </c>
      <c r="W4092" s="5">
        <v>42180</v>
      </c>
      <c r="X4092" s="1">
        <v>1610000</v>
      </c>
      <c r="Y4092" s="1">
        <v>1610000</v>
      </c>
      <c r="Z4092" s="5">
        <v>42188</v>
      </c>
      <c r="AA4092" s="1">
        <v>1624163</v>
      </c>
      <c r="AB4092" s="1" t="s">
        <v>2831</v>
      </c>
      <c r="AC4092" s="5">
        <v>43187</v>
      </c>
      <c r="AF4092" s="1">
        <v>10069</v>
      </c>
      <c r="AI4092" s="1" t="s">
        <v>60</v>
      </c>
      <c r="AJ4092" s="1">
        <v>2017</v>
      </c>
      <c r="AK4092" s="1" t="s">
        <v>108</v>
      </c>
      <c r="AL4092" s="1">
        <v>246</v>
      </c>
    </row>
    <row r="4093" spans="1:38" x14ac:dyDescent="0.2">
      <c r="A4093" s="2" t="str">
        <f>HYPERLINK("https://www.compass.com/listing/1-west-end-avenue-unit-17l-manhattan-ny-10069/29397398358872945/","1 W End Ave, Unit 17L")</f>
        <v>1 W End Ave, Unit 17L</v>
      </c>
      <c r="B4093" s="2" t="str">
        <f t="shared" si="686"/>
        <v>1 W End Ave</v>
      </c>
      <c r="C4093" s="1" t="s">
        <v>57</v>
      </c>
      <c r="D4093" s="1" t="s">
        <v>41</v>
      </c>
      <c r="E4093" s="3">
        <v>1619080</v>
      </c>
      <c r="F4093" s="1">
        <v>1761.78454842219</v>
      </c>
      <c r="G4093" s="1">
        <v>3</v>
      </c>
      <c r="H4093" s="1">
        <v>1</v>
      </c>
      <c r="I4093" s="1">
        <v>1</v>
      </c>
      <c r="J4093" s="1">
        <v>1.5</v>
      </c>
      <c r="K4093" s="1">
        <v>1</v>
      </c>
      <c r="L4093" s="1">
        <v>1</v>
      </c>
      <c r="M4093" s="1">
        <v>919</v>
      </c>
      <c r="N4093" s="1">
        <v>993.82</v>
      </c>
      <c r="O4093" s="1">
        <v>1053.19</v>
      </c>
      <c r="P4093" s="1">
        <v>59.3333333333333</v>
      </c>
      <c r="Q4093" s="1" t="s">
        <v>42</v>
      </c>
      <c r="S4093" s="1" t="s">
        <v>42</v>
      </c>
      <c r="T4093" s="1" t="s">
        <v>273</v>
      </c>
      <c r="V4093" s="5">
        <v>43624</v>
      </c>
      <c r="W4093" s="5">
        <v>42203</v>
      </c>
      <c r="X4093" s="1">
        <v>1730000</v>
      </c>
      <c r="Y4093" s="1">
        <v>1730000</v>
      </c>
      <c r="Z4093" s="5">
        <v>42203</v>
      </c>
      <c r="AA4093" s="1">
        <v>1619080</v>
      </c>
      <c r="AB4093" s="1" t="s">
        <v>2832</v>
      </c>
      <c r="AC4093" s="5">
        <v>43183</v>
      </c>
      <c r="AF4093" s="1">
        <v>10069</v>
      </c>
      <c r="AI4093" s="1" t="s">
        <v>60</v>
      </c>
      <c r="AJ4093" s="1">
        <v>2017</v>
      </c>
      <c r="AK4093" s="1" t="s">
        <v>108</v>
      </c>
      <c r="AL4093" s="1">
        <v>246</v>
      </c>
    </row>
    <row r="4094" spans="1:38" x14ac:dyDescent="0.2">
      <c r="A4094" s="2" t="str">
        <f>HYPERLINK("https://www.compass.com/listing/1-west-end-avenue-unit-19l-manhattan-ny-10069/29397399105442785/","1 W End Ave, Unit 19L")</f>
        <v>1 W End Ave, Unit 19L</v>
      </c>
      <c r="B4094" s="2" t="str">
        <f t="shared" si="686"/>
        <v>1 W End Ave</v>
      </c>
      <c r="C4094" s="1" t="s">
        <v>57</v>
      </c>
      <c r="D4094" s="1" t="s">
        <v>41</v>
      </c>
      <c r="E4094" s="3">
        <v>1700532</v>
      </c>
      <c r="F4094" s="1">
        <v>1852.4313725490099</v>
      </c>
      <c r="G4094" s="1">
        <v>3</v>
      </c>
      <c r="H4094" s="1">
        <v>1</v>
      </c>
      <c r="I4094" s="1">
        <v>1</v>
      </c>
      <c r="J4094" s="1">
        <v>1.5</v>
      </c>
      <c r="K4094" s="1">
        <v>1</v>
      </c>
      <c r="L4094" s="1">
        <v>1</v>
      </c>
      <c r="M4094" s="1">
        <v>918</v>
      </c>
      <c r="N4094" s="1">
        <v>992.79</v>
      </c>
      <c r="O4094" s="1">
        <v>1052.1099999999999</v>
      </c>
      <c r="P4094" s="1">
        <v>59.3333333333333</v>
      </c>
      <c r="Q4094" s="1" t="s">
        <v>42</v>
      </c>
      <c r="S4094" s="1" t="s">
        <v>42</v>
      </c>
      <c r="T4094" s="1" t="s">
        <v>273</v>
      </c>
      <c r="V4094" s="5">
        <v>43640</v>
      </c>
      <c r="W4094" s="5">
        <v>42203</v>
      </c>
      <c r="X4094" s="1">
        <v>1760000</v>
      </c>
      <c r="Y4094" s="1">
        <v>1760000</v>
      </c>
      <c r="Z4094" s="5">
        <v>42203</v>
      </c>
      <c r="AA4094" s="1">
        <v>1700532</v>
      </c>
      <c r="AB4094" s="1" t="s">
        <v>2833</v>
      </c>
      <c r="AC4094" s="5">
        <v>43186</v>
      </c>
      <c r="AF4094" s="1">
        <v>10069</v>
      </c>
      <c r="AI4094" s="1" t="s">
        <v>60</v>
      </c>
      <c r="AJ4094" s="1">
        <v>2017</v>
      </c>
      <c r="AK4094" s="1" t="s">
        <v>108</v>
      </c>
      <c r="AL4094" s="1">
        <v>246</v>
      </c>
    </row>
    <row r="4095" spans="1:38" x14ac:dyDescent="0.2">
      <c r="A4095" s="2" t="str">
        <f>HYPERLINK("https://www.compass.com/listing/1-west-end-avenue-unit-12e-manhattan-ny-10069/783090994579495897/","1 W End Ave, Unit 12E")</f>
        <v>1 W End Ave, Unit 12E</v>
      </c>
      <c r="B4095" s="2" t="str">
        <f t="shared" si="686"/>
        <v>1 W End Ave</v>
      </c>
      <c r="C4095" s="1" t="s">
        <v>57</v>
      </c>
      <c r="D4095" s="1" t="s">
        <v>41</v>
      </c>
      <c r="E4095" s="3">
        <v>1858925</v>
      </c>
      <c r="F4095" s="1">
        <v>1742.1974039362699</v>
      </c>
      <c r="G4095" s="1">
        <v>3</v>
      </c>
      <c r="H4095" s="1">
        <v>1</v>
      </c>
      <c r="I4095" s="1">
        <v>1</v>
      </c>
      <c r="J4095" s="1">
        <v>1.5</v>
      </c>
      <c r="K4095" s="1">
        <v>1</v>
      </c>
      <c r="L4095" s="1">
        <v>1</v>
      </c>
      <c r="M4095" s="4">
        <v>1067</v>
      </c>
      <c r="N4095" s="1">
        <v>1117</v>
      </c>
      <c r="O4095" s="1">
        <v>1184</v>
      </c>
      <c r="P4095" s="1">
        <v>67</v>
      </c>
      <c r="Q4095" s="1" t="s">
        <v>42</v>
      </c>
      <c r="S4095" s="1" t="s">
        <v>42</v>
      </c>
      <c r="T4095" s="1" t="s">
        <v>273</v>
      </c>
      <c r="U4095" s="1">
        <v>10</v>
      </c>
      <c r="V4095" s="5">
        <v>43387</v>
      </c>
      <c r="W4095" s="5">
        <v>42226</v>
      </c>
      <c r="X4095" s="1">
        <v>1820000</v>
      </c>
      <c r="Y4095" s="1">
        <v>1820000</v>
      </c>
      <c r="Z4095" s="5">
        <v>42237</v>
      </c>
      <c r="AA4095" s="1">
        <v>1858924.63</v>
      </c>
      <c r="AB4095" s="1" t="s">
        <v>2834</v>
      </c>
      <c r="AC4095" s="5">
        <v>43032</v>
      </c>
      <c r="AF4095" s="1">
        <v>10069</v>
      </c>
      <c r="AI4095" s="1" t="s">
        <v>60</v>
      </c>
      <c r="AJ4095" s="1">
        <v>2017</v>
      </c>
      <c r="AK4095" s="1" t="s">
        <v>108</v>
      </c>
      <c r="AL4095" s="1">
        <v>246</v>
      </c>
    </row>
    <row r="4096" spans="1:38" x14ac:dyDescent="0.2">
      <c r="A4096" s="2" t="str">
        <f>HYPERLINK("https://www.compass.com/listing/1-west-end-avenue-unit-24h-manhattan-ny-10069/803402959312635769/","1 W End Ave, Unit 24H")</f>
        <v>1 W End Ave, Unit 24H</v>
      </c>
      <c r="B4096" s="2" t="str">
        <f t="shared" si="686"/>
        <v>1 W End Ave</v>
      </c>
      <c r="C4096" s="1" t="s">
        <v>57</v>
      </c>
      <c r="D4096" s="1" t="s">
        <v>41</v>
      </c>
      <c r="E4096" s="3">
        <v>1930000</v>
      </c>
      <c r="F4096" s="1">
        <v>2100.1088139281801</v>
      </c>
      <c r="G4096" s="1">
        <v>3</v>
      </c>
      <c r="H4096" s="1">
        <v>1</v>
      </c>
      <c r="I4096" s="1">
        <v>1</v>
      </c>
      <c r="J4096" s="1">
        <v>1</v>
      </c>
      <c r="K4096" s="1">
        <v>1</v>
      </c>
      <c r="M4096" s="1">
        <v>919</v>
      </c>
      <c r="N4096" s="1">
        <v>994</v>
      </c>
      <c r="O4096" s="1">
        <v>1053</v>
      </c>
      <c r="P4096" s="1">
        <v>59</v>
      </c>
      <c r="Q4096" s="1" t="s">
        <v>42</v>
      </c>
      <c r="S4096" s="1" t="s">
        <v>42</v>
      </c>
      <c r="T4096" s="1" t="s">
        <v>273</v>
      </c>
      <c r="U4096" s="1">
        <v>21</v>
      </c>
      <c r="V4096" s="5">
        <v>43386</v>
      </c>
      <c r="W4096" s="5">
        <v>42270</v>
      </c>
      <c r="X4096" s="1">
        <v>1930000</v>
      </c>
      <c r="Y4096" s="1">
        <v>1930000</v>
      </c>
      <c r="AB4096" s="1" t="s">
        <v>275</v>
      </c>
      <c r="AC4096" s="5">
        <v>42902</v>
      </c>
      <c r="AF4096" s="1">
        <v>10069</v>
      </c>
      <c r="AI4096" s="1" t="s">
        <v>2054</v>
      </c>
      <c r="AJ4096" s="1">
        <v>2017</v>
      </c>
      <c r="AK4096" s="1" t="s">
        <v>108</v>
      </c>
      <c r="AL4096" s="1">
        <v>246</v>
      </c>
    </row>
    <row r="4097" spans="1:38" x14ac:dyDescent="0.2">
      <c r="A4097" s="2" t="str">
        <f>HYPERLINK("https://www.compass.com/listing/416-west-52nd-street-unit-321-manhattan-ny-10019/29389263422467425/","416 W 52nd St, Unit 321")</f>
        <v>416 W 52nd St, Unit 321</v>
      </c>
      <c r="B4097" s="2" t="str">
        <f t="shared" ref="B4097:B4101" si="687">HYPERLINK("https://www.compass.com/building/nine52-manhattan-ny/281945622951555813/","Nine52")</f>
        <v>Nine52</v>
      </c>
      <c r="C4097" s="1" t="s">
        <v>90</v>
      </c>
      <c r="D4097" s="1" t="s">
        <v>41</v>
      </c>
      <c r="E4097" s="3">
        <v>1076000</v>
      </c>
      <c r="F4097" s="1">
        <v>1613.1934032983499</v>
      </c>
      <c r="G4097" s="1">
        <v>3</v>
      </c>
      <c r="H4097" s="1">
        <v>1</v>
      </c>
      <c r="I4097" s="1">
        <v>1</v>
      </c>
      <c r="J4097" s="1">
        <v>1</v>
      </c>
      <c r="K4097" s="1">
        <v>1</v>
      </c>
      <c r="M4097" s="1">
        <v>667</v>
      </c>
      <c r="N4097" s="1">
        <v>554</v>
      </c>
      <c r="O4097" s="1">
        <v>1524</v>
      </c>
      <c r="P4097" s="1">
        <v>970</v>
      </c>
      <c r="Q4097" s="1" t="s">
        <v>42</v>
      </c>
      <c r="S4097" s="1" t="s">
        <v>42</v>
      </c>
      <c r="T4097" s="1" t="s">
        <v>273</v>
      </c>
      <c r="U4097" s="1">
        <v>29</v>
      </c>
      <c r="V4097" s="5">
        <v>43672</v>
      </c>
      <c r="W4097" s="5">
        <v>42426</v>
      </c>
      <c r="X4097" s="1">
        <v>1076000</v>
      </c>
      <c r="Y4097" s="1">
        <v>1076000</v>
      </c>
      <c r="Z4097" s="5">
        <v>42455</v>
      </c>
      <c r="AA4097" s="1">
        <v>1076000</v>
      </c>
      <c r="AB4097" s="1" t="s">
        <v>2835</v>
      </c>
      <c r="AC4097" s="5">
        <v>42696</v>
      </c>
      <c r="AF4097" s="1">
        <v>10019</v>
      </c>
      <c r="AI4097" s="1" t="s">
        <v>48</v>
      </c>
      <c r="AJ4097" s="1">
        <v>1940</v>
      </c>
      <c r="AK4097" s="1" t="s">
        <v>108</v>
      </c>
      <c r="AL4097" s="1">
        <v>155</v>
      </c>
    </row>
    <row r="4098" spans="1:38" x14ac:dyDescent="0.2">
      <c r="A4098" s="2" t="str">
        <f>HYPERLINK("https://www.compass.com/listing/416-west-52nd-street-unit-325-manhattan-ny-10019/29389264328379793/","416 W 52nd St, Unit 325")</f>
        <v>416 W 52nd St, Unit 325</v>
      </c>
      <c r="B4098" s="2" t="str">
        <f t="shared" si="687"/>
        <v>Nine52</v>
      </c>
      <c r="C4098" s="1" t="s">
        <v>90</v>
      </c>
      <c r="D4098" s="1" t="s">
        <v>41</v>
      </c>
      <c r="E4098" s="3">
        <v>1395000</v>
      </c>
      <c r="F4098" s="1">
        <v>1453.125</v>
      </c>
      <c r="G4098" s="1">
        <v>5</v>
      </c>
      <c r="H4098" s="1">
        <v>2</v>
      </c>
      <c r="I4098" s="1">
        <v>2</v>
      </c>
      <c r="J4098" s="1">
        <v>2</v>
      </c>
      <c r="K4098" s="1">
        <v>2</v>
      </c>
      <c r="M4098" s="1">
        <v>960</v>
      </c>
      <c r="N4098" s="1">
        <v>655</v>
      </c>
      <c r="O4098" s="1">
        <v>1920</v>
      </c>
      <c r="P4098" s="1">
        <v>1265</v>
      </c>
      <c r="Q4098" s="1" t="s">
        <v>42</v>
      </c>
      <c r="S4098" s="1" t="s">
        <v>42</v>
      </c>
      <c r="T4098" s="1" t="s">
        <v>273</v>
      </c>
      <c r="U4098" s="1">
        <v>400</v>
      </c>
      <c r="V4098" s="5">
        <v>42960</v>
      </c>
      <c r="W4098" s="5">
        <v>42446</v>
      </c>
      <c r="X4098" s="1">
        <v>1480000</v>
      </c>
      <c r="Y4098" s="1">
        <v>1395000</v>
      </c>
      <c r="AA4098" s="1">
        <v>1395000</v>
      </c>
      <c r="AB4098" s="1" t="s">
        <v>2807</v>
      </c>
      <c r="AC4098" s="5">
        <v>43067</v>
      </c>
      <c r="AF4098" s="1">
        <v>10019</v>
      </c>
      <c r="AI4098" s="1" t="s">
        <v>48</v>
      </c>
      <c r="AJ4098" s="1">
        <v>1940</v>
      </c>
      <c r="AK4098" s="1" t="s">
        <v>108</v>
      </c>
      <c r="AL4098" s="1">
        <v>155</v>
      </c>
    </row>
    <row r="4099" spans="1:38" x14ac:dyDescent="0.2">
      <c r="A4099" s="2" t="str">
        <f>HYPERLINK("https://www.compass.com/listing/416-west-52nd-street-unit-419-manhattan-ny-10019/29389273849450001/","416 W 52nd St, Unit 419")</f>
        <v>416 W 52nd St, Unit 419</v>
      </c>
      <c r="B4099" s="2" t="str">
        <f t="shared" si="687"/>
        <v>Nine52</v>
      </c>
      <c r="C4099" s="1" t="s">
        <v>90</v>
      </c>
      <c r="D4099" s="1" t="s">
        <v>41</v>
      </c>
      <c r="E4099" s="3">
        <v>1117500</v>
      </c>
      <c r="F4099" s="1">
        <v>1480.13245033112</v>
      </c>
      <c r="G4099" s="1">
        <v>3</v>
      </c>
      <c r="H4099" s="1">
        <v>1</v>
      </c>
      <c r="I4099" s="1">
        <v>1</v>
      </c>
      <c r="J4099" s="1">
        <v>1</v>
      </c>
      <c r="K4099" s="1">
        <v>1</v>
      </c>
      <c r="M4099" s="1">
        <v>755</v>
      </c>
      <c r="N4099" s="1">
        <v>515</v>
      </c>
      <c r="O4099" s="1">
        <v>1510</v>
      </c>
      <c r="P4099" s="1">
        <v>995</v>
      </c>
      <c r="Q4099" s="1" t="s">
        <v>42</v>
      </c>
      <c r="S4099" s="1" t="s">
        <v>42</v>
      </c>
      <c r="T4099" s="1" t="s">
        <v>273</v>
      </c>
      <c r="U4099" s="1">
        <v>182</v>
      </c>
      <c r="V4099" s="5">
        <v>42783</v>
      </c>
      <c r="W4099" s="5">
        <v>42558</v>
      </c>
      <c r="X4099" s="1">
        <v>1144000</v>
      </c>
      <c r="Y4099" s="1">
        <v>1144000</v>
      </c>
      <c r="Z4099" s="5">
        <v>42740</v>
      </c>
      <c r="AA4099" s="1">
        <v>1117500</v>
      </c>
      <c r="AB4099" s="1" t="s">
        <v>2836</v>
      </c>
      <c r="AC4099" s="5">
        <v>42781</v>
      </c>
      <c r="AF4099" s="1">
        <v>10019</v>
      </c>
      <c r="AI4099" s="1" t="s">
        <v>48</v>
      </c>
      <c r="AJ4099" s="1">
        <v>1940</v>
      </c>
      <c r="AK4099" s="1" t="s">
        <v>108</v>
      </c>
      <c r="AL4099" s="1">
        <v>155</v>
      </c>
    </row>
    <row r="4100" spans="1:38" x14ac:dyDescent="0.2">
      <c r="A4100" s="2" t="str">
        <f>HYPERLINK("https://www.compass.com/listing/416-west-52nd-street-unit-322-manhattan-ny-10019/29389264781421937/","416 W 52nd St, Unit 322")</f>
        <v>416 W 52nd St, Unit 322</v>
      </c>
      <c r="B4100" s="2" t="str">
        <f t="shared" si="687"/>
        <v>Nine52</v>
      </c>
      <c r="C4100" s="1" t="s">
        <v>90</v>
      </c>
      <c r="D4100" s="1" t="s">
        <v>41</v>
      </c>
      <c r="E4100" s="3">
        <v>1150000</v>
      </c>
      <c r="F4100" s="1">
        <v>1586.2068965517201</v>
      </c>
      <c r="G4100" s="1">
        <v>3</v>
      </c>
      <c r="H4100" s="1">
        <v>1</v>
      </c>
      <c r="I4100" s="1">
        <v>1</v>
      </c>
      <c r="J4100" s="1">
        <v>1</v>
      </c>
      <c r="K4100" s="1">
        <v>1</v>
      </c>
      <c r="M4100" s="1">
        <v>725</v>
      </c>
      <c r="N4100" s="1">
        <v>602</v>
      </c>
      <c r="O4100" s="1">
        <v>1665</v>
      </c>
      <c r="P4100" s="1">
        <v>1063</v>
      </c>
      <c r="Q4100" s="1" t="s">
        <v>42</v>
      </c>
      <c r="S4100" s="1" t="s">
        <v>42</v>
      </c>
      <c r="T4100" s="1" t="s">
        <v>273</v>
      </c>
      <c r="U4100" s="1">
        <v>142</v>
      </c>
      <c r="V4100" s="5">
        <v>43675</v>
      </c>
      <c r="W4100" s="5">
        <v>42416</v>
      </c>
      <c r="X4100" s="1">
        <v>1179000</v>
      </c>
      <c r="Y4100" s="1">
        <v>1179000</v>
      </c>
      <c r="Z4100" s="5">
        <v>42558</v>
      </c>
      <c r="AA4100" s="1">
        <v>1150000</v>
      </c>
      <c r="AB4100" s="1" t="s">
        <v>2837</v>
      </c>
      <c r="AC4100" s="5">
        <v>42650</v>
      </c>
      <c r="AF4100" s="1">
        <v>10019</v>
      </c>
      <c r="AI4100" s="1" t="s">
        <v>48</v>
      </c>
      <c r="AJ4100" s="1">
        <v>1940</v>
      </c>
      <c r="AK4100" s="1" t="s">
        <v>108</v>
      </c>
      <c r="AL4100" s="1">
        <v>155</v>
      </c>
    </row>
    <row r="4101" spans="1:38" x14ac:dyDescent="0.2">
      <c r="A4101" s="2" t="str">
        <f>HYPERLINK("https://www.compass.com/listing/416-west-52nd-street-unit-300-manhattan-ny-10019/29389257902773377/","416 W 52nd St, Unit 300")</f>
        <v>416 W 52nd St, Unit 300</v>
      </c>
      <c r="B4101" s="2" t="str">
        <f t="shared" si="687"/>
        <v>Nine52</v>
      </c>
      <c r="C4101" s="1" t="s">
        <v>90</v>
      </c>
      <c r="D4101" s="1" t="s">
        <v>41</v>
      </c>
      <c r="E4101" s="3">
        <v>1172750</v>
      </c>
      <c r="F4101" s="1">
        <v>1619.8204419889501</v>
      </c>
      <c r="G4101" s="1">
        <v>3</v>
      </c>
      <c r="H4101" s="1">
        <v>1</v>
      </c>
      <c r="I4101" s="1">
        <v>1</v>
      </c>
      <c r="J4101" s="1">
        <v>1</v>
      </c>
      <c r="K4101" s="1">
        <v>1</v>
      </c>
      <c r="M4101" s="1">
        <v>724</v>
      </c>
      <c r="N4101" s="1">
        <v>494</v>
      </c>
      <c r="O4101" s="1">
        <v>1448</v>
      </c>
      <c r="P4101" s="1">
        <v>954</v>
      </c>
      <c r="Q4101" s="1" t="s">
        <v>42</v>
      </c>
      <c r="S4101" s="1" t="s">
        <v>42</v>
      </c>
      <c r="T4101" s="1" t="s">
        <v>273</v>
      </c>
      <c r="U4101" s="1">
        <v>246</v>
      </c>
      <c r="V4101" s="5">
        <v>43666</v>
      </c>
      <c r="W4101" s="5">
        <v>42416</v>
      </c>
      <c r="X4101" s="1">
        <v>1271000</v>
      </c>
      <c r="Y4101" s="1">
        <v>1189000</v>
      </c>
      <c r="Z4101" s="5">
        <v>42662</v>
      </c>
      <c r="AA4101" s="1">
        <v>1172750</v>
      </c>
      <c r="AB4101" s="1" t="s">
        <v>2838</v>
      </c>
      <c r="AC4101" s="5">
        <v>42747</v>
      </c>
      <c r="AF4101" s="1">
        <v>10019</v>
      </c>
      <c r="AI4101" s="1" t="s">
        <v>48</v>
      </c>
      <c r="AJ4101" s="1">
        <v>1940</v>
      </c>
      <c r="AK4101" s="1" t="s">
        <v>108</v>
      </c>
      <c r="AL4101" s="1">
        <v>155</v>
      </c>
    </row>
    <row r="4102" spans="1:38" x14ac:dyDescent="0.2">
      <c r="A4102" s="2" t="str">
        <f>HYPERLINK("https://www.compass.com/listing/1-west-end-avenue-unit-8g-manhattan-ny-10069/29397370844221697/","1 W End Ave, Unit 8G")</f>
        <v>1 W End Ave, Unit 8G</v>
      </c>
      <c r="B4102" s="2" t="str">
        <f>HYPERLINK("https://www.compass.com/building/1-w-end-ave-manhattan-ny-10069/455676159137755317/","1 W End Ave")</f>
        <v>1 W End Ave</v>
      </c>
      <c r="C4102" s="1" t="s">
        <v>57</v>
      </c>
      <c r="D4102" s="1" t="s">
        <v>41</v>
      </c>
      <c r="E4102" s="3">
        <v>2298442</v>
      </c>
      <c r="F4102" s="1">
        <v>1924.99329983249</v>
      </c>
      <c r="G4102" s="1">
        <v>4</v>
      </c>
      <c r="H4102" s="1">
        <v>2</v>
      </c>
      <c r="I4102" s="1">
        <v>2</v>
      </c>
      <c r="J4102" s="1">
        <v>2</v>
      </c>
      <c r="K4102" s="1">
        <v>2</v>
      </c>
      <c r="M4102" s="4">
        <v>1194</v>
      </c>
      <c r="N4102" s="1">
        <v>1443</v>
      </c>
      <c r="O4102" s="1">
        <v>1529</v>
      </c>
      <c r="P4102" s="1">
        <v>86</v>
      </c>
      <c r="Q4102" s="1" t="s">
        <v>42</v>
      </c>
      <c r="S4102" s="1" t="s">
        <v>42</v>
      </c>
      <c r="T4102" s="1" t="s">
        <v>273</v>
      </c>
      <c r="U4102" s="1">
        <v>31</v>
      </c>
      <c r="V4102" s="5">
        <v>43661</v>
      </c>
      <c r="W4102" s="5">
        <v>42494</v>
      </c>
      <c r="X4102" s="1">
        <v>2250000</v>
      </c>
      <c r="Y4102" s="1">
        <v>2250000</v>
      </c>
      <c r="Z4102" s="5">
        <v>42525</v>
      </c>
      <c r="AA4102" s="1">
        <v>2298442</v>
      </c>
      <c r="AB4102" s="1" t="s">
        <v>2839</v>
      </c>
      <c r="AC4102" s="5">
        <v>42993</v>
      </c>
      <c r="AF4102" s="1">
        <v>10069</v>
      </c>
      <c r="AI4102" s="1" t="s">
        <v>60</v>
      </c>
      <c r="AJ4102" s="1">
        <v>2017</v>
      </c>
      <c r="AK4102" s="1" t="s">
        <v>108</v>
      </c>
      <c r="AL4102" s="1">
        <v>246</v>
      </c>
    </row>
    <row r="4103" spans="1:38" x14ac:dyDescent="0.2">
      <c r="A4103" s="2" t="str">
        <f>HYPERLINK("https://www.compass.com/listing/416-west-52nd-street-unit-407-manhattan-ny-10019/29389268757622193/","416 W 52nd St, Unit 407")</f>
        <v>416 W 52nd St, Unit 407</v>
      </c>
      <c r="B4103" s="2" t="str">
        <f t="shared" ref="B4103:B4105" si="688">HYPERLINK("https://www.compass.com/building/nine52-manhattan-ny/281945622951555813/","Nine52")</f>
        <v>Nine52</v>
      </c>
      <c r="C4103" s="1" t="s">
        <v>90</v>
      </c>
      <c r="D4103" s="1" t="s">
        <v>41</v>
      </c>
      <c r="E4103" s="3">
        <v>1190000</v>
      </c>
      <c r="F4103" s="1">
        <v>1489.36170212765</v>
      </c>
      <c r="G4103" s="1">
        <v>3</v>
      </c>
      <c r="H4103" s="1">
        <v>1</v>
      </c>
      <c r="I4103" s="1">
        <v>1</v>
      </c>
      <c r="J4103" s="1">
        <v>1</v>
      </c>
      <c r="K4103" s="1">
        <v>1</v>
      </c>
      <c r="M4103" s="1">
        <v>799</v>
      </c>
      <c r="N4103" s="1">
        <v>544</v>
      </c>
      <c r="O4103" s="1">
        <v>1596</v>
      </c>
      <c r="P4103" s="1">
        <v>1052</v>
      </c>
      <c r="Q4103" s="1" t="s">
        <v>42</v>
      </c>
      <c r="S4103" s="1" t="s">
        <v>42</v>
      </c>
      <c r="T4103" s="1" t="s">
        <v>273</v>
      </c>
      <c r="U4103" s="1">
        <v>33</v>
      </c>
      <c r="V4103" s="5">
        <v>43678</v>
      </c>
      <c r="W4103" s="5">
        <v>42679</v>
      </c>
      <c r="X4103" s="1">
        <v>1197000</v>
      </c>
      <c r="Y4103" s="1">
        <v>1197000</v>
      </c>
      <c r="Z4103" s="5">
        <v>42712</v>
      </c>
      <c r="AA4103" s="1">
        <v>1190000</v>
      </c>
      <c r="AB4103" s="1" t="s">
        <v>2840</v>
      </c>
      <c r="AC4103" s="5">
        <v>42773</v>
      </c>
      <c r="AF4103" s="1">
        <v>10019</v>
      </c>
      <c r="AI4103" s="1" t="s">
        <v>48</v>
      </c>
      <c r="AJ4103" s="1">
        <v>1940</v>
      </c>
      <c r="AK4103" s="1" t="s">
        <v>108</v>
      </c>
      <c r="AL4103" s="1">
        <v>155</v>
      </c>
    </row>
    <row r="4104" spans="1:38" x14ac:dyDescent="0.2">
      <c r="A4104" s="2" t="str">
        <f>HYPERLINK("https://www.compass.com/listing/416-west-52nd-street-unit-522-manhattan-ny-10019/29514391338691553/","416 W 52nd St, Unit 522")</f>
        <v>416 W 52nd St, Unit 522</v>
      </c>
      <c r="B4104" s="2" t="str">
        <f t="shared" si="688"/>
        <v>Nine52</v>
      </c>
      <c r="C4104" s="1" t="s">
        <v>90</v>
      </c>
      <c r="D4104" s="1" t="s">
        <v>41</v>
      </c>
      <c r="E4104" s="3">
        <v>1190000</v>
      </c>
      <c r="F4104" s="1">
        <v>1641.3793103448199</v>
      </c>
      <c r="G4104" s="1">
        <v>3</v>
      </c>
      <c r="H4104" s="1">
        <v>1</v>
      </c>
      <c r="I4104" s="1">
        <v>1</v>
      </c>
      <c r="J4104" s="1">
        <v>1</v>
      </c>
      <c r="K4104" s="1">
        <v>1</v>
      </c>
      <c r="M4104" s="1">
        <v>725</v>
      </c>
      <c r="N4104" s="1">
        <v>602</v>
      </c>
      <c r="O4104" s="1">
        <v>1652</v>
      </c>
      <c r="P4104" s="1">
        <v>1050</v>
      </c>
      <c r="Q4104" s="1" t="s">
        <v>42</v>
      </c>
      <c r="S4104" s="1" t="s">
        <v>42</v>
      </c>
      <c r="T4104" s="1" t="s">
        <v>273</v>
      </c>
      <c r="U4104" s="1">
        <v>2</v>
      </c>
      <c r="V4104" s="5">
        <v>43675</v>
      </c>
      <c r="W4104" s="5">
        <v>42466</v>
      </c>
      <c r="X4104" s="1">
        <v>1229000</v>
      </c>
      <c r="Y4104" s="1">
        <v>1229000</v>
      </c>
      <c r="Z4104" s="5">
        <v>42468</v>
      </c>
      <c r="AA4104" s="1">
        <v>1190000</v>
      </c>
      <c r="AB4104" s="1" t="s">
        <v>2841</v>
      </c>
      <c r="AC4104" s="5">
        <v>42643</v>
      </c>
      <c r="AF4104" s="1">
        <v>10019</v>
      </c>
      <c r="AI4104" s="1" t="s">
        <v>48</v>
      </c>
      <c r="AJ4104" s="1">
        <v>1940</v>
      </c>
      <c r="AK4104" s="1" t="s">
        <v>108</v>
      </c>
      <c r="AL4104" s="1">
        <v>155</v>
      </c>
    </row>
    <row r="4105" spans="1:38" x14ac:dyDescent="0.2">
      <c r="A4105" s="2" t="str">
        <f>HYPERLINK("https://www.compass.com/listing/416-west-52nd-street-unit-509-manhattan-ny-10019/29389277288779361/","416 W 52nd St, Unit 509")</f>
        <v>416 W 52nd St, Unit 509</v>
      </c>
      <c r="B4105" s="2" t="str">
        <f t="shared" si="688"/>
        <v>Nine52</v>
      </c>
      <c r="C4105" s="1" t="s">
        <v>90</v>
      </c>
      <c r="D4105" s="1" t="s">
        <v>41</v>
      </c>
      <c r="E4105" s="3">
        <v>1217596</v>
      </c>
      <c r="G4105" s="1">
        <v>2</v>
      </c>
      <c r="H4105" s="1">
        <v>1</v>
      </c>
      <c r="I4105" s="1">
        <v>1</v>
      </c>
      <c r="J4105" s="1">
        <v>1</v>
      </c>
      <c r="K4105" s="1">
        <v>1</v>
      </c>
      <c r="N4105" s="1">
        <v>490</v>
      </c>
      <c r="O4105" s="1">
        <v>1410</v>
      </c>
      <c r="P4105" s="1">
        <v>920</v>
      </c>
      <c r="Q4105" s="1" t="s">
        <v>42</v>
      </c>
      <c r="S4105" s="1" t="s">
        <v>42</v>
      </c>
      <c r="T4105" s="1" t="s">
        <v>273</v>
      </c>
      <c r="V4105" s="5">
        <v>43676</v>
      </c>
      <c r="W4105" s="5">
        <v>42798</v>
      </c>
      <c r="X4105" s="1">
        <v>1125000</v>
      </c>
      <c r="Y4105" s="1">
        <v>1125000</v>
      </c>
      <c r="Z4105" s="5">
        <v>42798</v>
      </c>
      <c r="AA4105" s="1">
        <v>1217595.75</v>
      </c>
      <c r="AB4105" s="1" t="s">
        <v>2842</v>
      </c>
      <c r="AC4105" s="5">
        <v>43544</v>
      </c>
      <c r="AF4105" s="1">
        <v>10019</v>
      </c>
      <c r="AI4105" s="1" t="s">
        <v>48</v>
      </c>
      <c r="AJ4105" s="1">
        <v>1940</v>
      </c>
      <c r="AK4105" s="1" t="s">
        <v>108</v>
      </c>
      <c r="AL4105" s="1">
        <v>155</v>
      </c>
    </row>
    <row r="4106" spans="1:38" x14ac:dyDescent="0.2">
      <c r="A4106" s="2" t="str">
        <f>HYPERLINK("https://www.compass.com/listing/325-lexington-avenue-unit-3b-manhattan-ny-10016/29379684496066609/","325 Lexington Ave, Unit 3B")</f>
        <v>325 Lexington Ave, Unit 3B</v>
      </c>
      <c r="B4106" s="2" t="str">
        <f>HYPERLINK("https://www.compass.com/building/325-lex-condominium-manhattan-ny/281939882467713365/","325 Lex Condominium")</f>
        <v>325 Lex Condominium</v>
      </c>
      <c r="C4106" s="1" t="s">
        <v>59</v>
      </c>
      <c r="D4106" s="1" t="s">
        <v>41</v>
      </c>
      <c r="E4106" s="3">
        <v>738231</v>
      </c>
      <c r="F4106" s="1">
        <v>1479.4208416833601</v>
      </c>
      <c r="G4106" s="1">
        <v>2</v>
      </c>
      <c r="H4106" s="1" t="s">
        <v>99</v>
      </c>
      <c r="I4106" s="1">
        <v>1</v>
      </c>
      <c r="J4106" s="1">
        <v>1</v>
      </c>
      <c r="K4106" s="1">
        <v>1</v>
      </c>
      <c r="M4106" s="1">
        <v>499</v>
      </c>
      <c r="N4106" s="1">
        <v>665</v>
      </c>
      <c r="O4106" s="1">
        <v>810</v>
      </c>
      <c r="P4106" s="1">
        <v>145</v>
      </c>
      <c r="Q4106" s="1" t="s">
        <v>42</v>
      </c>
      <c r="S4106" s="1" t="s">
        <v>42</v>
      </c>
      <c r="T4106" s="1" t="s">
        <v>273</v>
      </c>
      <c r="U4106" s="1">
        <v>38</v>
      </c>
      <c r="V4106" s="5">
        <v>43654</v>
      </c>
      <c r="W4106" s="5">
        <v>41913</v>
      </c>
      <c r="X4106" s="1">
        <v>725000</v>
      </c>
      <c r="Y4106" s="1">
        <v>805000</v>
      </c>
      <c r="Z4106" s="5">
        <v>41951</v>
      </c>
      <c r="AA4106" s="1">
        <v>738231</v>
      </c>
      <c r="AB4106" s="1" t="s">
        <v>2843</v>
      </c>
      <c r="AC4106" s="5">
        <v>42069</v>
      </c>
      <c r="AF4106" s="1">
        <v>10016</v>
      </c>
      <c r="AI4106" s="1" t="s">
        <v>60</v>
      </c>
      <c r="AJ4106" s="1">
        <v>2014</v>
      </c>
      <c r="AK4106" s="1" t="s">
        <v>108</v>
      </c>
      <c r="AL4106" s="1">
        <v>125</v>
      </c>
    </row>
    <row r="4107" spans="1:38" x14ac:dyDescent="0.2">
      <c r="A4107" s="2" t="str">
        <f>HYPERLINK("https://www.compass.com/listing/416-west-52nd-street-unit-417-manhattan-ny-10019/29389275401399809/","416 W 52nd St, Unit 417")</f>
        <v>416 W 52nd St, Unit 417</v>
      </c>
      <c r="B4107" s="2" t="str">
        <f t="shared" ref="B4107:B4108" si="689">HYPERLINK("https://www.compass.com/building/nine52-manhattan-ny/281945622951555813/","Nine52")</f>
        <v>Nine52</v>
      </c>
      <c r="C4107" s="1" t="s">
        <v>90</v>
      </c>
      <c r="D4107" s="1" t="s">
        <v>41</v>
      </c>
      <c r="E4107" s="3">
        <v>1322000</v>
      </c>
      <c r="F4107" s="1">
        <v>1598.5489721886299</v>
      </c>
      <c r="G4107" s="1">
        <v>3</v>
      </c>
      <c r="H4107" s="1">
        <v>1</v>
      </c>
      <c r="I4107" s="1">
        <v>1</v>
      </c>
      <c r="J4107" s="1">
        <v>1</v>
      </c>
      <c r="K4107" s="1">
        <v>1</v>
      </c>
      <c r="M4107" s="1">
        <v>827</v>
      </c>
      <c r="N4107" s="1">
        <v>563</v>
      </c>
      <c r="O4107" s="1">
        <v>1652</v>
      </c>
      <c r="P4107" s="1">
        <v>1089</v>
      </c>
      <c r="Q4107" s="1" t="s">
        <v>42</v>
      </c>
      <c r="S4107" s="1" t="s">
        <v>42</v>
      </c>
      <c r="T4107" s="1" t="s">
        <v>273</v>
      </c>
      <c r="U4107" s="1">
        <v>1</v>
      </c>
      <c r="V4107" s="5">
        <v>43641</v>
      </c>
      <c r="W4107" s="5">
        <v>42881</v>
      </c>
      <c r="X4107" s="1">
        <v>1393000</v>
      </c>
      <c r="Y4107" s="1">
        <v>1393000</v>
      </c>
      <c r="Z4107" s="5">
        <v>43047</v>
      </c>
      <c r="AA4107" s="1">
        <v>1322000</v>
      </c>
      <c r="AB4107" s="1" t="s">
        <v>2844</v>
      </c>
      <c r="AC4107" s="5">
        <v>43061</v>
      </c>
      <c r="AF4107" s="1">
        <v>10019</v>
      </c>
      <c r="AI4107" s="1" t="s">
        <v>48</v>
      </c>
      <c r="AJ4107" s="1">
        <v>1940</v>
      </c>
      <c r="AK4107" s="1" t="s">
        <v>108</v>
      </c>
      <c r="AL4107" s="1">
        <v>155</v>
      </c>
    </row>
    <row r="4108" spans="1:38" x14ac:dyDescent="0.2">
      <c r="A4108" s="2" t="str">
        <f>HYPERLINK("https://www.compass.com/listing/416-west-52nd-street-unit-616-manhattan-ny-10019/29514393888828481/","416 W 52nd St, Unit 616")</f>
        <v>416 W 52nd St, Unit 616</v>
      </c>
      <c r="B4108" s="2" t="str">
        <f t="shared" si="689"/>
        <v>Nine52</v>
      </c>
      <c r="C4108" s="1" t="s">
        <v>90</v>
      </c>
      <c r="D4108" s="1" t="s">
        <v>41</v>
      </c>
      <c r="E4108" s="3">
        <v>1030000</v>
      </c>
      <c r="F4108" s="1">
        <v>1688.52459016393</v>
      </c>
      <c r="G4108" s="1">
        <v>3</v>
      </c>
      <c r="H4108" s="1">
        <v>1</v>
      </c>
      <c r="I4108" s="1">
        <v>1</v>
      </c>
      <c r="J4108" s="1">
        <v>1</v>
      </c>
      <c r="M4108" s="1">
        <v>610</v>
      </c>
      <c r="N4108" s="1">
        <v>477</v>
      </c>
      <c r="O4108" s="1">
        <v>1296</v>
      </c>
      <c r="P4108" s="1">
        <v>819</v>
      </c>
      <c r="Q4108" s="1" t="s">
        <v>42</v>
      </c>
      <c r="S4108" s="1" t="s">
        <v>42</v>
      </c>
      <c r="T4108" s="1" t="s">
        <v>273</v>
      </c>
      <c r="U4108" s="1">
        <v>44</v>
      </c>
      <c r="V4108" s="5">
        <v>43638</v>
      </c>
      <c r="W4108" s="5">
        <v>43199</v>
      </c>
      <c r="X4108" s="1">
        <v>1145000</v>
      </c>
      <c r="Y4108" s="1">
        <v>1145000</v>
      </c>
      <c r="Z4108" s="5">
        <v>43243</v>
      </c>
      <c r="AA4108" s="1">
        <v>1030000</v>
      </c>
      <c r="AB4108" s="1" t="s">
        <v>2845</v>
      </c>
      <c r="AC4108" s="5">
        <v>43404</v>
      </c>
      <c r="AF4108" s="1">
        <v>10019</v>
      </c>
      <c r="AI4108" s="1" t="s">
        <v>48</v>
      </c>
      <c r="AJ4108" s="1">
        <v>1940</v>
      </c>
      <c r="AK4108" s="1" t="s">
        <v>55</v>
      </c>
      <c r="AL4108" s="1">
        <v>155</v>
      </c>
    </row>
    <row r="4109" spans="1:38" x14ac:dyDescent="0.2">
      <c r="A4109" s="2" t="str">
        <f>HYPERLINK("https://www.compass.com/listing/325-lexington-avenue-unit-6c-manhattan-ny-10016/450673183260460777/","325 Lexington Ave, Unit 6C")</f>
        <v>325 Lexington Ave, Unit 6C</v>
      </c>
      <c r="B4109" s="2" t="str">
        <f>HYPERLINK("https://www.compass.com/building/325-lex-condominium-manhattan-ny/281939882467713365/","325 Lex Condominium")</f>
        <v>325 Lex Condominium</v>
      </c>
      <c r="C4109" s="1" t="s">
        <v>59</v>
      </c>
      <c r="D4109" s="1" t="s">
        <v>41</v>
      </c>
      <c r="E4109" s="3">
        <v>850000</v>
      </c>
      <c r="F4109" s="1">
        <v>1438.2402707275801</v>
      </c>
      <c r="G4109" s="1">
        <v>2.5</v>
      </c>
      <c r="H4109" s="1" t="s">
        <v>99</v>
      </c>
      <c r="I4109" s="1">
        <v>1</v>
      </c>
      <c r="J4109" s="1">
        <v>1</v>
      </c>
      <c r="K4109" s="1">
        <v>1</v>
      </c>
      <c r="M4109" s="1">
        <v>591</v>
      </c>
      <c r="N4109" s="1">
        <v>888</v>
      </c>
      <c r="O4109" s="1">
        <v>1300</v>
      </c>
      <c r="P4109" s="1">
        <v>412</v>
      </c>
      <c r="Q4109" s="1" t="s">
        <v>42</v>
      </c>
      <c r="S4109" s="1" t="s">
        <v>42</v>
      </c>
      <c r="T4109" s="1" t="s">
        <v>273</v>
      </c>
      <c r="V4109" s="5">
        <v>44335</v>
      </c>
      <c r="W4109" s="5">
        <v>43872</v>
      </c>
      <c r="X4109" s="1">
        <v>890000</v>
      </c>
      <c r="Y4109" s="1">
        <v>890000</v>
      </c>
      <c r="Z4109" s="5">
        <v>43872</v>
      </c>
      <c r="AA4109" s="1">
        <v>850000</v>
      </c>
      <c r="AB4109" s="1" t="s">
        <v>2846</v>
      </c>
      <c r="AC4109" s="5">
        <v>44316</v>
      </c>
      <c r="AF4109" s="1">
        <v>10016</v>
      </c>
      <c r="AI4109" s="1" t="s">
        <v>60</v>
      </c>
      <c r="AJ4109" s="1">
        <v>2014</v>
      </c>
      <c r="AK4109" s="1" t="s">
        <v>55</v>
      </c>
      <c r="AL4109" s="1">
        <v>125</v>
      </c>
    </row>
    <row r="4110" spans="1:38" x14ac:dyDescent="0.2">
      <c r="A4110" s="2" t="str">
        <f>HYPERLINK("https://www.compass.com/listing/416-west-52nd-street-unit-405-manhattan-ny-10019/29389268304580049/","416 W 52nd St, Unit 405")</f>
        <v>416 W 52nd St, Unit 405</v>
      </c>
      <c r="B4110" s="2" t="str">
        <f t="shared" ref="B4110:B4111" si="690">HYPERLINK("https://www.compass.com/building/nine52-manhattan-ny/281945622951555813/","Nine52")</f>
        <v>Nine52</v>
      </c>
      <c r="C4110" s="1" t="s">
        <v>90</v>
      </c>
      <c r="D4110" s="1" t="s">
        <v>41</v>
      </c>
      <c r="E4110" s="3">
        <v>1155000</v>
      </c>
      <c r="F4110" s="1">
        <v>1604.1666666666599</v>
      </c>
      <c r="G4110" s="1">
        <v>3</v>
      </c>
      <c r="H4110" s="1">
        <v>1</v>
      </c>
      <c r="I4110" s="1">
        <v>1</v>
      </c>
      <c r="J4110" s="1">
        <v>1</v>
      </c>
      <c r="K4110" s="1">
        <v>1</v>
      </c>
      <c r="M4110" s="1">
        <v>720</v>
      </c>
      <c r="N4110" s="1">
        <v>491</v>
      </c>
      <c r="O4110" s="1">
        <v>1440</v>
      </c>
      <c r="P4110" s="1">
        <v>949</v>
      </c>
      <c r="Q4110" s="1" t="s">
        <v>42</v>
      </c>
      <c r="S4110" s="1" t="s">
        <v>42</v>
      </c>
      <c r="T4110" s="1" t="s">
        <v>273</v>
      </c>
      <c r="U4110" s="1">
        <v>168</v>
      </c>
      <c r="V4110" s="5">
        <v>43664</v>
      </c>
      <c r="W4110" s="5">
        <v>42573</v>
      </c>
      <c r="X4110" s="1">
        <v>1179000</v>
      </c>
      <c r="Y4110" s="1">
        <v>1179000</v>
      </c>
      <c r="Z4110" s="5">
        <v>42741</v>
      </c>
      <c r="AA4110" s="1">
        <v>1155000</v>
      </c>
      <c r="AB4110" s="1" t="s">
        <v>2847</v>
      </c>
      <c r="AC4110" s="5">
        <v>42781</v>
      </c>
      <c r="AF4110" s="1">
        <v>10019</v>
      </c>
      <c r="AI4110" s="1" t="s">
        <v>48</v>
      </c>
      <c r="AJ4110" s="1">
        <v>1940</v>
      </c>
      <c r="AK4110" s="1" t="s">
        <v>108</v>
      </c>
      <c r="AL4110" s="1">
        <v>155</v>
      </c>
    </row>
    <row r="4111" spans="1:38" x14ac:dyDescent="0.2">
      <c r="A4111" s="2" t="str">
        <f>HYPERLINK("https://www.compass.com/listing/416-west-52nd-street-unit-409-manhattan-ny-10019/29389270099799489/","416 W 52nd St, Unit 409")</f>
        <v>416 W 52nd St, Unit 409</v>
      </c>
      <c r="B4111" s="2" t="str">
        <f t="shared" si="690"/>
        <v>Nine52</v>
      </c>
      <c r="C4111" s="1" t="s">
        <v>90</v>
      </c>
      <c r="D4111" s="1" t="s">
        <v>41</v>
      </c>
      <c r="E4111" s="3">
        <v>1120000</v>
      </c>
      <c r="F4111" s="1">
        <v>1618.4971098265801</v>
      </c>
      <c r="G4111" s="1">
        <v>3</v>
      </c>
      <c r="H4111" s="1">
        <v>1</v>
      </c>
      <c r="I4111" s="1">
        <v>1</v>
      </c>
      <c r="J4111" s="1">
        <v>1</v>
      </c>
      <c r="K4111" s="1">
        <v>1</v>
      </c>
      <c r="M4111" s="1">
        <v>692</v>
      </c>
      <c r="N4111" s="1">
        <v>471</v>
      </c>
      <c r="O4111" s="1">
        <v>1382</v>
      </c>
      <c r="P4111" s="1">
        <v>911</v>
      </c>
      <c r="Q4111" s="1" t="s">
        <v>42</v>
      </c>
      <c r="S4111" s="1" t="s">
        <v>42</v>
      </c>
      <c r="T4111" s="1" t="s">
        <v>273</v>
      </c>
      <c r="U4111" s="1">
        <v>91</v>
      </c>
      <c r="V4111" s="5">
        <v>43677</v>
      </c>
      <c r="W4111" s="5">
        <v>42650</v>
      </c>
      <c r="X4111" s="1">
        <v>1133000</v>
      </c>
      <c r="Y4111" s="1">
        <v>1133000</v>
      </c>
      <c r="Z4111" s="5">
        <v>42741</v>
      </c>
      <c r="AA4111" s="1">
        <v>1120000</v>
      </c>
      <c r="AB4111" s="1" t="s">
        <v>2848</v>
      </c>
      <c r="AC4111" s="5">
        <v>42781</v>
      </c>
      <c r="AF4111" s="1">
        <v>10019</v>
      </c>
      <c r="AI4111" s="1" t="s">
        <v>48</v>
      </c>
      <c r="AJ4111" s="1">
        <v>1940</v>
      </c>
      <c r="AK4111" s="1" t="s">
        <v>108</v>
      </c>
      <c r="AL4111" s="1">
        <v>155</v>
      </c>
    </row>
    <row r="4112" spans="1:38" x14ac:dyDescent="0.2">
      <c r="A4112" s="2" t="str">
        <f>HYPERLINK("https://www.compass.com/listing/325-lexington-avenue-unit-15a-manhattan-ny-10016/29509809707428465/","325 Lexington Ave, Unit 15A")</f>
        <v>325 Lexington Ave, Unit 15A</v>
      </c>
      <c r="B4112" s="2" t="str">
        <f>HYPERLINK("https://www.compass.com/building/325-lex-condominium-manhattan-ny/281939882467713365/","325 Lex Condominium")</f>
        <v>325 Lex Condominium</v>
      </c>
      <c r="C4112" s="1" t="s">
        <v>59</v>
      </c>
      <c r="D4112" s="1" t="s">
        <v>41</v>
      </c>
      <c r="E4112" s="3">
        <v>1267721</v>
      </c>
      <c r="F4112" s="1">
        <v>1971.57231726283</v>
      </c>
      <c r="G4112" s="1">
        <v>3</v>
      </c>
      <c r="H4112" s="1">
        <v>1</v>
      </c>
      <c r="I4112" s="1">
        <v>1</v>
      </c>
      <c r="J4112" s="1">
        <v>1</v>
      </c>
      <c r="K4112" s="1">
        <v>1</v>
      </c>
      <c r="M4112" s="1">
        <v>643</v>
      </c>
      <c r="N4112" s="1">
        <v>900</v>
      </c>
      <c r="O4112" s="1">
        <v>1096</v>
      </c>
      <c r="P4112" s="1">
        <v>196</v>
      </c>
      <c r="Q4112" s="1" t="s">
        <v>42</v>
      </c>
      <c r="S4112" s="1" t="s">
        <v>42</v>
      </c>
      <c r="T4112" s="1" t="s">
        <v>273</v>
      </c>
      <c r="U4112" s="1">
        <v>77</v>
      </c>
      <c r="V4112" s="5">
        <v>43654</v>
      </c>
      <c r="W4112" s="5">
        <v>42038</v>
      </c>
      <c r="X4112" s="1">
        <v>1245000</v>
      </c>
      <c r="Y4112" s="1">
        <v>1290000</v>
      </c>
      <c r="Z4112" s="5">
        <v>42115</v>
      </c>
      <c r="AA4112" s="1">
        <v>1267721</v>
      </c>
      <c r="AB4112" s="1" t="s">
        <v>2849</v>
      </c>
      <c r="AC4112" s="5">
        <v>42214</v>
      </c>
      <c r="AF4112" s="1">
        <v>10016</v>
      </c>
      <c r="AI4112" s="1" t="s">
        <v>209</v>
      </c>
      <c r="AJ4112" s="1">
        <v>2014</v>
      </c>
      <c r="AK4112" s="1" t="s">
        <v>108</v>
      </c>
      <c r="AL4112" s="1">
        <v>125</v>
      </c>
    </row>
    <row r="4113" spans="1:38" x14ac:dyDescent="0.2">
      <c r="A4113" s="2" t="str">
        <f>HYPERLINK("https://www.compass.com/listing/416-west-52nd-street-unit-426-manhattan-ny-10019/176043422405105905/","416 W 52nd St, Unit 426")</f>
        <v>416 W 52nd St, Unit 426</v>
      </c>
      <c r="B4113" s="2" t="str">
        <f>HYPERLINK("https://www.compass.com/building/nine52-manhattan-ny/281945622951555813/","Nine52")</f>
        <v>Nine52</v>
      </c>
      <c r="C4113" s="1" t="s">
        <v>90</v>
      </c>
      <c r="D4113" s="1" t="s">
        <v>41</v>
      </c>
      <c r="E4113" s="3">
        <v>1450000</v>
      </c>
      <c r="F4113" s="1">
        <v>1466.1274014155699</v>
      </c>
      <c r="G4113" s="1">
        <v>5</v>
      </c>
      <c r="H4113" s="1">
        <v>2</v>
      </c>
      <c r="I4113" s="1">
        <v>2</v>
      </c>
      <c r="J4113" s="1">
        <v>2</v>
      </c>
      <c r="K4113" s="1">
        <v>2</v>
      </c>
      <c r="M4113" s="1">
        <v>989</v>
      </c>
      <c r="N4113" s="1">
        <v>773</v>
      </c>
      <c r="O4113" s="1">
        <v>2252</v>
      </c>
      <c r="P4113" s="1">
        <v>1479</v>
      </c>
      <c r="Q4113" s="1" t="s">
        <v>42</v>
      </c>
      <c r="S4113" s="1" t="s">
        <v>42</v>
      </c>
      <c r="T4113" s="1" t="s">
        <v>273</v>
      </c>
      <c r="U4113" s="1">
        <v>129</v>
      </c>
      <c r="V4113" s="5">
        <v>43676</v>
      </c>
      <c r="W4113" s="5">
        <v>43494</v>
      </c>
      <c r="X4113" s="1">
        <v>1565000</v>
      </c>
      <c r="Y4113" s="1">
        <v>1565000</v>
      </c>
      <c r="AA4113" s="1">
        <v>1450000</v>
      </c>
      <c r="AB4113" s="1" t="s">
        <v>401</v>
      </c>
      <c r="AC4113" s="5">
        <v>43763</v>
      </c>
      <c r="AF4113" s="1">
        <v>10019</v>
      </c>
      <c r="AI4113" s="1" t="s">
        <v>2850</v>
      </c>
      <c r="AJ4113" s="1">
        <v>1940</v>
      </c>
      <c r="AK4113" s="1" t="s">
        <v>1426</v>
      </c>
      <c r="AL4113" s="1">
        <v>155</v>
      </c>
    </row>
    <row r="4114" spans="1:38" x14ac:dyDescent="0.2">
      <c r="A4114" s="2" t="str">
        <f>HYPERLINK("https://www.compass.com/listing/1-west-end-avenue-unit-8d-manhattan-ny-10069/29397348429953537/","1 W End Ave, Unit 8D")</f>
        <v>1 W End Ave, Unit 8D</v>
      </c>
      <c r="B4114" s="2" t="str">
        <f>HYPERLINK("https://www.compass.com/building/1-w-end-ave-manhattan-ny-10069/455676159137755317/","1 W End Ave")</f>
        <v>1 W End Ave</v>
      </c>
      <c r="C4114" s="1" t="s">
        <v>57</v>
      </c>
      <c r="D4114" s="1" t="s">
        <v>41</v>
      </c>
      <c r="E4114" s="3">
        <v>3594642</v>
      </c>
      <c r="F4114" s="1">
        <v>1732.3575903614401</v>
      </c>
      <c r="G4114" s="1">
        <v>5</v>
      </c>
      <c r="H4114" s="1">
        <v>3</v>
      </c>
      <c r="I4114" s="1">
        <v>2</v>
      </c>
      <c r="J4114" s="1">
        <v>2.5</v>
      </c>
      <c r="K4114" s="1">
        <v>2</v>
      </c>
      <c r="L4114" s="1">
        <v>1</v>
      </c>
      <c r="M4114" s="4">
        <v>2075</v>
      </c>
      <c r="N4114" s="1">
        <v>2398</v>
      </c>
      <c r="O4114" s="1">
        <v>2542</v>
      </c>
      <c r="P4114" s="1">
        <v>144</v>
      </c>
      <c r="Q4114" s="1" t="s">
        <v>42</v>
      </c>
      <c r="S4114" s="1" t="s">
        <v>42</v>
      </c>
      <c r="T4114" s="1" t="s">
        <v>273</v>
      </c>
      <c r="U4114" s="1">
        <v>184</v>
      </c>
      <c r="V4114" s="5">
        <v>43634</v>
      </c>
      <c r="W4114" s="5">
        <v>42494</v>
      </c>
      <c r="X4114" s="1">
        <v>3550000</v>
      </c>
      <c r="Y4114" s="1">
        <v>3550000</v>
      </c>
      <c r="Z4114" s="5">
        <v>42678</v>
      </c>
      <c r="AA4114" s="1">
        <v>3594642</v>
      </c>
      <c r="AB4114" s="1" t="s">
        <v>2851</v>
      </c>
      <c r="AC4114" s="5">
        <v>42993</v>
      </c>
      <c r="AF4114" s="1">
        <v>10069</v>
      </c>
      <c r="AI4114" s="1" t="s">
        <v>60</v>
      </c>
      <c r="AJ4114" s="1">
        <v>2017</v>
      </c>
      <c r="AK4114" s="1" t="s">
        <v>108</v>
      </c>
      <c r="AL4114" s="1">
        <v>246</v>
      </c>
    </row>
    <row r="4115" spans="1:38" x14ac:dyDescent="0.2">
      <c r="A4115" s="2" t="str">
        <f>HYPERLINK("https://www.compass.com/listing/285-west-110th-street-unit-3c-manhattan-ny-10026/306951995696963393/","285 W 110th St, Unit 3C")</f>
        <v>285 W 110th St, Unit 3C</v>
      </c>
      <c r="B4115" s="2" t="str">
        <f>HYPERLINK("https://www.compass.com/building/circa-central-park-manhattan-ny/282059072692321269/","Circa Central Park")</f>
        <v>Circa Central Park</v>
      </c>
      <c r="C4115" s="1" t="s">
        <v>85</v>
      </c>
      <c r="D4115" s="1" t="s">
        <v>41</v>
      </c>
      <c r="E4115" s="3">
        <v>1090000</v>
      </c>
      <c r="F4115" s="1">
        <v>1684.6986089644499</v>
      </c>
      <c r="G4115" s="1">
        <v>3</v>
      </c>
      <c r="H4115" s="1">
        <v>1</v>
      </c>
      <c r="I4115" s="1">
        <v>1</v>
      </c>
      <c r="J4115" s="1">
        <v>1</v>
      </c>
      <c r="K4115" s="1">
        <v>1</v>
      </c>
      <c r="M4115" s="1">
        <v>647</v>
      </c>
      <c r="N4115" s="1">
        <v>607.91</v>
      </c>
      <c r="O4115" s="1">
        <v>666.12</v>
      </c>
      <c r="P4115" s="1">
        <v>58.25</v>
      </c>
      <c r="Q4115" s="1" t="s">
        <v>42</v>
      </c>
      <c r="S4115" s="1" t="s">
        <v>42</v>
      </c>
      <c r="T4115" s="1" t="s">
        <v>273</v>
      </c>
      <c r="U4115" s="1">
        <v>235</v>
      </c>
      <c r="V4115" s="5">
        <v>44090</v>
      </c>
      <c r="W4115" s="5">
        <v>43675</v>
      </c>
      <c r="X4115" s="1">
        <v>1250000</v>
      </c>
      <c r="Y4115" s="1">
        <v>1150000</v>
      </c>
      <c r="Z4115" s="5">
        <v>44045</v>
      </c>
      <c r="AA4115" s="1">
        <v>1090000</v>
      </c>
      <c r="AB4115" s="1" t="s">
        <v>275</v>
      </c>
      <c r="AC4115" s="5">
        <v>44088</v>
      </c>
      <c r="AF4115" s="1">
        <v>10026</v>
      </c>
      <c r="AI4115" s="1" t="s">
        <v>111</v>
      </c>
      <c r="AJ4115" s="1">
        <v>2017</v>
      </c>
      <c r="AK4115" s="1" t="s">
        <v>46</v>
      </c>
      <c r="AL4115" s="1">
        <v>38</v>
      </c>
    </row>
    <row r="4116" spans="1:38" x14ac:dyDescent="0.2">
      <c r="A4116" s="2" t="str">
        <f>HYPERLINK("https://www.compass.com/listing/416-west-52nd-street-unit-700-manhattan-ny-10019/29389286331766289/","416 W 52nd St, Unit 700")</f>
        <v>416 W 52nd St, Unit 700</v>
      </c>
      <c r="B4116" s="2" t="str">
        <f>HYPERLINK("https://www.compass.com/building/nine52-manhattan-ny/281945622951555813/","Nine52")</f>
        <v>Nine52</v>
      </c>
      <c r="C4116" s="1" t="s">
        <v>90</v>
      </c>
      <c r="D4116" s="1" t="s">
        <v>41</v>
      </c>
      <c r="E4116" s="3">
        <v>1380000</v>
      </c>
      <c r="F4116" s="1">
        <v>1906.0773480662899</v>
      </c>
      <c r="G4116" s="1">
        <v>3</v>
      </c>
      <c r="H4116" s="1">
        <v>1</v>
      </c>
      <c r="I4116" s="1">
        <v>1</v>
      </c>
      <c r="J4116" s="1">
        <v>1</v>
      </c>
      <c r="K4116" s="1">
        <v>1</v>
      </c>
      <c r="M4116" s="1">
        <v>724</v>
      </c>
      <c r="N4116" s="1">
        <v>601</v>
      </c>
      <c r="O4116" s="1">
        <v>1651</v>
      </c>
      <c r="P4116" s="1">
        <v>1050</v>
      </c>
      <c r="Q4116" s="1" t="s">
        <v>42</v>
      </c>
      <c r="S4116" s="1" t="s">
        <v>42</v>
      </c>
      <c r="T4116" s="1" t="s">
        <v>273</v>
      </c>
      <c r="V4116" s="5">
        <v>43675</v>
      </c>
      <c r="W4116" s="5">
        <v>42642</v>
      </c>
      <c r="X4116" s="1">
        <v>1380000</v>
      </c>
      <c r="Y4116" s="1">
        <v>1380000</v>
      </c>
      <c r="Z4116" s="5">
        <v>42642</v>
      </c>
      <c r="AA4116" s="1">
        <v>1380000</v>
      </c>
      <c r="AB4116" s="1" t="s">
        <v>2852</v>
      </c>
      <c r="AC4116" s="5">
        <v>42674</v>
      </c>
      <c r="AF4116" s="1">
        <v>10019</v>
      </c>
      <c r="AI4116" s="1" t="s">
        <v>48</v>
      </c>
      <c r="AJ4116" s="1">
        <v>1940</v>
      </c>
      <c r="AK4116" s="1" t="s">
        <v>108</v>
      </c>
      <c r="AL4116" s="1">
        <v>155</v>
      </c>
    </row>
    <row r="4117" spans="1:38" x14ac:dyDescent="0.2">
      <c r="A4117" s="2" t="str">
        <f>HYPERLINK("https://www.compass.com/listing/305-west-150th-street-unit-704-manhattan-ny-10039/803319117230795025/","305 W 150th St, Unit 704")</f>
        <v>305 W 150th St, Unit 704</v>
      </c>
      <c r="B4117" s="2" t="str">
        <f>HYPERLINK("https://www.compass.com/building/305-w-150th-st-manhattan-ny-10039/282032234968400245/","305 W 150th St")</f>
        <v>305 W 150th St</v>
      </c>
      <c r="C4117" s="1" t="s">
        <v>84</v>
      </c>
      <c r="D4117" s="1" t="s">
        <v>41</v>
      </c>
      <c r="E4117" s="3">
        <v>525000</v>
      </c>
      <c r="F4117" s="1">
        <v>875</v>
      </c>
      <c r="G4117" s="1">
        <v>3</v>
      </c>
      <c r="H4117" s="1">
        <v>1</v>
      </c>
      <c r="I4117" s="1">
        <v>1</v>
      </c>
      <c r="J4117" s="1">
        <v>1</v>
      </c>
      <c r="K4117" s="1">
        <v>1</v>
      </c>
      <c r="M4117" s="1">
        <v>600</v>
      </c>
      <c r="N4117" s="1">
        <v>373.67</v>
      </c>
      <c r="O4117" s="1">
        <v>643.48</v>
      </c>
      <c r="P4117" s="1">
        <v>269.83333333333297</v>
      </c>
      <c r="Q4117" s="1" t="s">
        <v>42</v>
      </c>
      <c r="S4117" s="1" t="s">
        <v>42</v>
      </c>
      <c r="T4117" s="1" t="s">
        <v>273</v>
      </c>
      <c r="U4117" s="1">
        <v>131</v>
      </c>
      <c r="V4117" s="5">
        <v>43211</v>
      </c>
      <c r="W4117" s="5">
        <v>43015</v>
      </c>
      <c r="X4117" s="1">
        <v>550000</v>
      </c>
      <c r="Y4117" s="1">
        <v>548500</v>
      </c>
      <c r="Z4117" s="5">
        <v>43147</v>
      </c>
      <c r="AA4117" s="1">
        <v>525000</v>
      </c>
      <c r="AB4117" s="1" t="s">
        <v>2755</v>
      </c>
      <c r="AC4117" s="5">
        <v>43210</v>
      </c>
      <c r="AF4117" s="1">
        <v>10039</v>
      </c>
      <c r="AJ4117" s="1">
        <v>1921</v>
      </c>
      <c r="AK4117" s="1" t="s">
        <v>73</v>
      </c>
      <c r="AL4117" s="1">
        <v>84</v>
      </c>
    </row>
    <row r="4118" spans="1:38" x14ac:dyDescent="0.2">
      <c r="A4118" s="2" t="str">
        <f>HYPERLINK("https://www.compass.com/listing/325-lexington-avenue-unit-25a-manhattan-ny-10016/29379727303189649/","325 Lexington Ave, Unit 25A")</f>
        <v>325 Lexington Ave, Unit 25A</v>
      </c>
      <c r="B4118" s="2" t="str">
        <f>HYPERLINK("https://www.compass.com/building/325-lex-condominium-manhattan-ny/281939882467713365/","325 Lex Condominium")</f>
        <v>325 Lex Condominium</v>
      </c>
      <c r="C4118" s="1" t="s">
        <v>59</v>
      </c>
      <c r="D4118" s="1" t="s">
        <v>41</v>
      </c>
      <c r="E4118" s="3">
        <v>1466280</v>
      </c>
      <c r="F4118" s="1">
        <v>2280.3732503888</v>
      </c>
      <c r="G4118" s="1">
        <v>3</v>
      </c>
      <c r="H4118" s="1">
        <v>1</v>
      </c>
      <c r="I4118" s="1">
        <v>1</v>
      </c>
      <c r="J4118" s="1">
        <v>1</v>
      </c>
      <c r="K4118" s="1">
        <v>1</v>
      </c>
      <c r="M4118" s="1">
        <v>643</v>
      </c>
      <c r="N4118" s="1">
        <v>942</v>
      </c>
      <c r="O4118" s="1">
        <v>3402</v>
      </c>
      <c r="P4118" s="1">
        <v>2460</v>
      </c>
      <c r="Q4118" s="1" t="s">
        <v>42</v>
      </c>
      <c r="S4118" s="1" t="s">
        <v>42</v>
      </c>
      <c r="T4118" s="1" t="s">
        <v>273</v>
      </c>
      <c r="V4118" s="5">
        <v>43651</v>
      </c>
      <c r="W4118" s="5">
        <v>42165</v>
      </c>
      <c r="X4118" s="1">
        <v>1440000</v>
      </c>
      <c r="Y4118" s="1">
        <v>1440000</v>
      </c>
      <c r="Z4118" s="5">
        <v>42165</v>
      </c>
      <c r="AA4118" s="1">
        <v>1466280</v>
      </c>
      <c r="AB4118" s="1" t="s">
        <v>2853</v>
      </c>
      <c r="AC4118" s="5">
        <v>42184</v>
      </c>
      <c r="AF4118" s="1">
        <v>10016</v>
      </c>
      <c r="AI4118" s="1" t="s">
        <v>60</v>
      </c>
      <c r="AJ4118" s="1">
        <v>2014</v>
      </c>
      <c r="AK4118" s="1" t="s">
        <v>108</v>
      </c>
      <c r="AL4118" s="1">
        <v>125</v>
      </c>
    </row>
    <row r="4119" spans="1:38" x14ac:dyDescent="0.2">
      <c r="A4119" s="2" t="str">
        <f>HYPERLINK("https://www.compass.com/listing/305-west-150th-street-unit-406-manhattan-ny-10039/29434119607834385/","305 W 150th St, Unit 406")</f>
        <v>305 W 150th St, Unit 406</v>
      </c>
      <c r="B4119" s="2" t="str">
        <f>HYPERLINK("https://www.compass.com/building/305-w-150th-st-manhattan-ny-10039/282032234968400245/","305 W 150th St")</f>
        <v>305 W 150th St</v>
      </c>
      <c r="C4119" s="1" t="s">
        <v>84</v>
      </c>
      <c r="D4119" s="1" t="s">
        <v>41</v>
      </c>
      <c r="E4119" s="3">
        <v>486800</v>
      </c>
      <c r="F4119" s="1">
        <v>858.55379188712504</v>
      </c>
      <c r="G4119" s="1">
        <v>3</v>
      </c>
      <c r="H4119" s="1">
        <v>1</v>
      </c>
      <c r="I4119" s="1">
        <v>1</v>
      </c>
      <c r="J4119" s="1">
        <v>1</v>
      </c>
      <c r="K4119" s="1">
        <v>1</v>
      </c>
      <c r="M4119" s="1">
        <v>567</v>
      </c>
      <c r="N4119" s="1">
        <v>344</v>
      </c>
      <c r="O4119" s="1">
        <v>592.39</v>
      </c>
      <c r="P4119" s="1">
        <v>248.416666666666</v>
      </c>
      <c r="Q4119" s="1" t="s">
        <v>42</v>
      </c>
      <c r="S4119" s="1" t="s">
        <v>42</v>
      </c>
      <c r="T4119" s="1" t="s">
        <v>273</v>
      </c>
      <c r="U4119" s="1">
        <v>160</v>
      </c>
      <c r="V4119" s="5">
        <v>42826</v>
      </c>
      <c r="W4119" s="5">
        <v>42380</v>
      </c>
      <c r="X4119" s="1">
        <v>465000</v>
      </c>
      <c r="Y4119" s="1">
        <v>480000</v>
      </c>
      <c r="Z4119" s="5">
        <v>42439</v>
      </c>
      <c r="AA4119" s="1">
        <v>486800</v>
      </c>
      <c r="AB4119" s="1" t="s">
        <v>2854</v>
      </c>
      <c r="AC4119" s="5">
        <v>42682</v>
      </c>
      <c r="AF4119" s="1">
        <v>10039</v>
      </c>
      <c r="AJ4119" s="1">
        <v>1921</v>
      </c>
      <c r="AK4119" s="1" t="s">
        <v>143</v>
      </c>
      <c r="AL4119" s="1">
        <v>84</v>
      </c>
    </row>
    <row r="4120" spans="1:38" x14ac:dyDescent="0.2">
      <c r="A4120" s="2" t="str">
        <f>HYPERLINK("https://www.compass.com/listing/425-west-50th-street-unit-12f-manhattan-ny-10019/29389215364073873/","425 W 50th St, Unit 12F")</f>
        <v>425 W 50th St, Unit 12F</v>
      </c>
      <c r="B4120" s="2" t="str">
        <f t="shared" ref="B4120:B4122" si="691">HYPERLINK("https://www.compass.com/building/stella-tower-manhattan-ny/281945855710262181/","Stella Tower")</f>
        <v>Stella Tower</v>
      </c>
      <c r="C4120" s="1" t="s">
        <v>90</v>
      </c>
      <c r="D4120" s="1" t="s">
        <v>41</v>
      </c>
      <c r="E4120" s="3">
        <v>1588470</v>
      </c>
      <c r="F4120" s="1">
        <v>1444.0636363636299</v>
      </c>
      <c r="G4120" s="1">
        <v>3</v>
      </c>
      <c r="H4120" s="1">
        <v>1</v>
      </c>
      <c r="I4120" s="1">
        <v>2</v>
      </c>
      <c r="J4120" s="1">
        <v>1.5</v>
      </c>
      <c r="M4120" s="4">
        <v>1100</v>
      </c>
      <c r="N4120" s="1">
        <v>1246</v>
      </c>
      <c r="O4120" s="1">
        <v>2009</v>
      </c>
      <c r="P4120" s="1">
        <v>763</v>
      </c>
      <c r="Q4120" s="1" t="s">
        <v>42</v>
      </c>
      <c r="S4120" s="1" t="s">
        <v>42</v>
      </c>
      <c r="T4120" s="1" t="s">
        <v>273</v>
      </c>
      <c r="U4120" s="1">
        <v>132</v>
      </c>
      <c r="V4120" s="5">
        <v>42090</v>
      </c>
      <c r="W4120" s="5">
        <v>41859</v>
      </c>
      <c r="X4120" s="1">
        <v>1560000</v>
      </c>
      <c r="Y4120" s="1">
        <v>1560000</v>
      </c>
      <c r="AA4120" s="1">
        <v>1588470</v>
      </c>
      <c r="AB4120" s="1" t="s">
        <v>2855</v>
      </c>
      <c r="AC4120" s="5">
        <v>42061</v>
      </c>
      <c r="AF4120" s="1">
        <v>10019</v>
      </c>
      <c r="AI4120" s="1" t="s">
        <v>80</v>
      </c>
      <c r="AJ4120" s="1">
        <v>1930</v>
      </c>
      <c r="AK4120" s="1" t="s">
        <v>46</v>
      </c>
      <c r="AL4120" s="1">
        <v>51</v>
      </c>
    </row>
    <row r="4121" spans="1:38" x14ac:dyDescent="0.2">
      <c r="A4121" s="2" t="str">
        <f>HYPERLINK("https://www.compass.com/listing/425-west-50th-street-unit-12k-manhattan-ny-10019/29389217486449217/","425 W 50th St, Unit 12K")</f>
        <v>425 W 50th St, Unit 12K</v>
      </c>
      <c r="B4121" s="2" t="str">
        <f t="shared" si="691"/>
        <v>Stella Tower</v>
      </c>
      <c r="C4121" s="1" t="s">
        <v>90</v>
      </c>
      <c r="D4121" s="1" t="s">
        <v>41</v>
      </c>
      <c r="E4121" s="3">
        <v>1578288</v>
      </c>
      <c r="F4121" s="1">
        <v>1277.9655870445299</v>
      </c>
      <c r="G4121" s="1">
        <v>3</v>
      </c>
      <c r="H4121" s="1">
        <v>1</v>
      </c>
      <c r="I4121" s="1">
        <v>2</v>
      </c>
      <c r="J4121" s="1">
        <v>1.5</v>
      </c>
      <c r="M4121" s="4">
        <v>1235</v>
      </c>
      <c r="N4121" s="1">
        <v>1399</v>
      </c>
      <c r="O4121" s="1">
        <v>2255</v>
      </c>
      <c r="P4121" s="1">
        <v>856</v>
      </c>
      <c r="Q4121" s="1" t="s">
        <v>42</v>
      </c>
      <c r="S4121" s="1" t="s">
        <v>42</v>
      </c>
      <c r="T4121" s="1" t="s">
        <v>273</v>
      </c>
      <c r="U4121" s="1">
        <v>132</v>
      </c>
      <c r="V4121" s="5">
        <v>42063</v>
      </c>
      <c r="W4121" s="5">
        <v>41859</v>
      </c>
      <c r="X4121" s="1">
        <v>1550000</v>
      </c>
      <c r="Y4121" s="1">
        <v>1550000</v>
      </c>
      <c r="AA4121" s="1">
        <v>1578287.5</v>
      </c>
      <c r="AB4121" s="1" t="s">
        <v>2856</v>
      </c>
      <c r="AC4121" s="5">
        <v>42059</v>
      </c>
      <c r="AF4121" s="1">
        <v>10019</v>
      </c>
      <c r="AI4121" s="1" t="s">
        <v>80</v>
      </c>
      <c r="AJ4121" s="1">
        <v>1930</v>
      </c>
      <c r="AK4121" s="1" t="s">
        <v>46</v>
      </c>
      <c r="AL4121" s="1">
        <v>51</v>
      </c>
    </row>
    <row r="4122" spans="1:38" x14ac:dyDescent="0.2">
      <c r="A4122" s="2" t="str">
        <f>HYPERLINK("https://www.compass.com/listing/425-west-50th-street-unit-15c-manhattan-ny-10019/29389221865245233/","425 W 50th St, Unit 15C")</f>
        <v>425 W 50th St, Unit 15C</v>
      </c>
      <c r="B4122" s="2" t="str">
        <f t="shared" si="691"/>
        <v>Stella Tower</v>
      </c>
      <c r="C4122" s="1" t="s">
        <v>90</v>
      </c>
      <c r="D4122" s="1" t="s">
        <v>41</v>
      </c>
      <c r="E4122" s="3">
        <v>1476463</v>
      </c>
      <c r="F4122" s="1">
        <v>1626.06057268722</v>
      </c>
      <c r="G4122" s="1">
        <v>3</v>
      </c>
      <c r="H4122" s="1">
        <v>1</v>
      </c>
      <c r="I4122" s="1">
        <v>2</v>
      </c>
      <c r="J4122" s="1">
        <v>1.5</v>
      </c>
      <c r="M4122" s="1">
        <v>908</v>
      </c>
      <c r="N4122" s="1">
        <v>1031</v>
      </c>
      <c r="O4122" s="1">
        <v>1662</v>
      </c>
      <c r="P4122" s="1">
        <v>631</v>
      </c>
      <c r="Q4122" s="1" t="s">
        <v>42</v>
      </c>
      <c r="S4122" s="1" t="s">
        <v>42</v>
      </c>
      <c r="T4122" s="1" t="s">
        <v>273</v>
      </c>
      <c r="U4122" s="1">
        <v>132</v>
      </c>
      <c r="V4122" s="5">
        <v>43670</v>
      </c>
      <c r="W4122" s="5">
        <v>41860</v>
      </c>
      <c r="X4122" s="1">
        <v>1450000</v>
      </c>
      <c r="Y4122" s="1">
        <v>1450000</v>
      </c>
      <c r="AA4122" s="1">
        <v>1476463</v>
      </c>
      <c r="AB4122" s="1" t="s">
        <v>2857</v>
      </c>
      <c r="AC4122" s="5">
        <v>42013</v>
      </c>
      <c r="AF4122" s="1">
        <v>10019</v>
      </c>
      <c r="AI4122" s="1" t="s">
        <v>80</v>
      </c>
      <c r="AJ4122" s="1">
        <v>1930</v>
      </c>
      <c r="AK4122" s="1" t="s">
        <v>46</v>
      </c>
      <c r="AL4122" s="1">
        <v>51</v>
      </c>
    </row>
    <row r="4123" spans="1:38" x14ac:dyDescent="0.2">
      <c r="A4123" s="2" t="str">
        <f>HYPERLINK("https://www.compass.com/listing/416-west-52nd-street-unit-715-manhattan-ny-10019/29389288848348721/","416 W 52nd St, Unit 715")</f>
        <v>416 W 52nd St, Unit 715</v>
      </c>
      <c r="B4123" s="2" t="str">
        <f t="shared" ref="B4123:B4124" si="692">HYPERLINK("https://www.compass.com/building/nine52-manhattan-ny/281945622951555813/","Nine52")</f>
        <v>Nine52</v>
      </c>
      <c r="C4123" s="1" t="s">
        <v>90</v>
      </c>
      <c r="D4123" s="1" t="s">
        <v>41</v>
      </c>
      <c r="E4123" s="3">
        <v>1395000</v>
      </c>
      <c r="F4123" s="1">
        <v>1641.1764705882299</v>
      </c>
      <c r="G4123" s="1">
        <v>2</v>
      </c>
      <c r="H4123" s="1">
        <v>1</v>
      </c>
      <c r="I4123" s="1">
        <v>1</v>
      </c>
      <c r="J4123" s="1">
        <v>1</v>
      </c>
      <c r="K4123" s="1">
        <v>1</v>
      </c>
      <c r="M4123" s="1">
        <v>850</v>
      </c>
      <c r="N4123" s="1">
        <v>710</v>
      </c>
      <c r="O4123" s="1">
        <v>2083</v>
      </c>
      <c r="P4123" s="1">
        <v>1373</v>
      </c>
      <c r="Q4123" s="1" t="s">
        <v>42</v>
      </c>
      <c r="S4123" s="1" t="s">
        <v>42</v>
      </c>
      <c r="T4123" s="1" t="s">
        <v>273</v>
      </c>
      <c r="U4123" s="1">
        <v>48</v>
      </c>
      <c r="V4123" s="5">
        <v>43650</v>
      </c>
      <c r="W4123" s="5">
        <v>42839</v>
      </c>
      <c r="X4123" s="1">
        <v>1425000</v>
      </c>
      <c r="Y4123" s="1">
        <v>1425000</v>
      </c>
      <c r="Z4123" s="5">
        <v>42887</v>
      </c>
      <c r="AA4123" s="1">
        <v>1395000</v>
      </c>
      <c r="AB4123" s="1" t="s">
        <v>2858</v>
      </c>
      <c r="AC4123" s="5">
        <v>42962</v>
      </c>
      <c r="AF4123" s="1">
        <v>10019</v>
      </c>
      <c r="AI4123" s="1" t="s">
        <v>1382</v>
      </c>
      <c r="AJ4123" s="1">
        <v>1940</v>
      </c>
      <c r="AK4123" s="1" t="s">
        <v>108</v>
      </c>
      <c r="AL4123" s="1">
        <v>155</v>
      </c>
    </row>
    <row r="4124" spans="1:38" x14ac:dyDescent="0.2">
      <c r="A4124" s="2" t="str">
        <f>HYPERLINK("https://www.compass.com/listing/416-west-52nd-street-unit-317-manhattan-ny-10019/803299076854449489/","416 W 52nd St, Unit 317")</f>
        <v>416 W 52nd St, Unit 317</v>
      </c>
      <c r="B4124" s="2" t="str">
        <f t="shared" si="692"/>
        <v>Nine52</v>
      </c>
      <c r="C4124" s="1" t="s">
        <v>90</v>
      </c>
      <c r="D4124" s="1" t="s">
        <v>41</v>
      </c>
      <c r="E4124" s="3">
        <v>1325000</v>
      </c>
      <c r="F4124" s="1">
        <v>1602.17654171704</v>
      </c>
      <c r="G4124" s="1">
        <v>2</v>
      </c>
      <c r="H4124" s="1">
        <v>1</v>
      </c>
      <c r="I4124" s="1">
        <v>1</v>
      </c>
      <c r="J4124" s="1">
        <v>1</v>
      </c>
      <c r="K4124" s="1">
        <v>1</v>
      </c>
      <c r="M4124" s="1">
        <v>827</v>
      </c>
      <c r="N4124" s="1">
        <v>563</v>
      </c>
      <c r="O4124" s="1">
        <v>1652</v>
      </c>
      <c r="P4124" s="1">
        <v>1089</v>
      </c>
      <c r="Q4124" s="1" t="s">
        <v>42</v>
      </c>
      <c r="S4124" s="1" t="s">
        <v>42</v>
      </c>
      <c r="T4124" s="1" t="s">
        <v>273</v>
      </c>
      <c r="U4124" s="1">
        <v>80</v>
      </c>
      <c r="V4124" s="5">
        <v>42962</v>
      </c>
      <c r="W4124" s="5">
        <v>42737</v>
      </c>
      <c r="X4124" s="1">
        <v>1345000</v>
      </c>
      <c r="Y4124" s="1">
        <v>1345000</v>
      </c>
      <c r="AA4124" s="1">
        <v>1325000</v>
      </c>
      <c r="AB4124" s="1" t="s">
        <v>2797</v>
      </c>
      <c r="AC4124" s="5">
        <v>42937</v>
      </c>
      <c r="AF4124" s="1">
        <v>10019</v>
      </c>
      <c r="AI4124" s="1" t="s">
        <v>48</v>
      </c>
      <c r="AJ4124" s="1">
        <v>1940</v>
      </c>
      <c r="AK4124" s="1" t="s">
        <v>108</v>
      </c>
      <c r="AL4124" s="1">
        <v>155</v>
      </c>
    </row>
    <row r="4125" spans="1:38" x14ac:dyDescent="0.2">
      <c r="A4125" s="2" t="str">
        <f>HYPERLINK("https://www.compass.com/listing/172-madison-avenue-unit-5c-manhattan-ny-10016/29376703201598257/","172 Madison Ave, Unit 5C")</f>
        <v>172 Madison Ave, Unit 5C</v>
      </c>
      <c r="B4125" s="2" t="str">
        <f t="shared" ref="B4125:B4126" si="693">HYPERLINK("https://www.compass.com/building/172-madison-ave-manhattan-ny-10016/281937956250376981/","172 Madison Ave")</f>
        <v>172 Madison Ave</v>
      </c>
      <c r="C4125" s="1" t="s">
        <v>120</v>
      </c>
      <c r="D4125" s="1" t="s">
        <v>41</v>
      </c>
      <c r="E4125" s="3">
        <v>1445000</v>
      </c>
      <c r="F4125" s="1">
        <v>1621.77328843995</v>
      </c>
      <c r="G4125" s="1">
        <v>3</v>
      </c>
      <c r="H4125" s="1">
        <v>1</v>
      </c>
      <c r="I4125" s="1">
        <v>1</v>
      </c>
      <c r="J4125" s="1">
        <v>1.5</v>
      </c>
      <c r="K4125" s="1">
        <v>1</v>
      </c>
      <c r="L4125" s="1">
        <v>1</v>
      </c>
      <c r="M4125" s="1">
        <v>891</v>
      </c>
      <c r="N4125" s="1">
        <v>620</v>
      </c>
      <c r="O4125" s="1">
        <v>1952</v>
      </c>
      <c r="P4125" s="1">
        <v>1332</v>
      </c>
      <c r="Q4125" s="1" t="s">
        <v>42</v>
      </c>
      <c r="S4125" s="1" t="s">
        <v>42</v>
      </c>
      <c r="T4125" s="1" t="s">
        <v>273</v>
      </c>
      <c r="U4125" s="1">
        <v>256</v>
      </c>
      <c r="V4125" s="5">
        <v>43224</v>
      </c>
      <c r="W4125" s="5">
        <v>42902</v>
      </c>
      <c r="X4125" s="1">
        <v>1685000</v>
      </c>
      <c r="Y4125" s="1">
        <v>1685000</v>
      </c>
      <c r="Z4125" s="5">
        <v>43158</v>
      </c>
      <c r="AA4125" s="1">
        <v>1445000</v>
      </c>
      <c r="AB4125" s="1" t="s">
        <v>2859</v>
      </c>
      <c r="AC4125" s="5">
        <v>43220</v>
      </c>
      <c r="AF4125" s="1">
        <v>10016</v>
      </c>
      <c r="AJ4125" s="1">
        <v>2016</v>
      </c>
      <c r="AK4125" s="1" t="s">
        <v>46</v>
      </c>
      <c r="AL4125" s="1">
        <v>72</v>
      </c>
    </row>
    <row r="4126" spans="1:38" x14ac:dyDescent="0.2">
      <c r="A4126" s="2" t="str">
        <f>HYPERLINK("https://www.compass.com/listing/172-madison-avenue-unit-8c-manhattan-ny-10016/29376705248418097/","172 Madison Ave, Unit 8C")</f>
        <v>172 Madison Ave, Unit 8C</v>
      </c>
      <c r="B4126" s="2" t="str">
        <f t="shared" si="693"/>
        <v>172 Madison Ave</v>
      </c>
      <c r="C4126" s="1" t="s">
        <v>120</v>
      </c>
      <c r="D4126" s="1" t="s">
        <v>41</v>
      </c>
      <c r="E4126" s="3">
        <v>1374638</v>
      </c>
      <c r="F4126" s="1">
        <v>1542.80359147025</v>
      </c>
      <c r="G4126" s="1">
        <v>3</v>
      </c>
      <c r="H4126" s="1">
        <v>1</v>
      </c>
      <c r="I4126" s="1">
        <v>2</v>
      </c>
      <c r="J4126" s="1">
        <v>1.5</v>
      </c>
      <c r="M4126" s="1">
        <v>891</v>
      </c>
      <c r="N4126" s="1">
        <v>1332</v>
      </c>
      <c r="O4126" s="1">
        <v>1952</v>
      </c>
      <c r="P4126" s="1">
        <v>620</v>
      </c>
      <c r="Q4126" s="1" t="s">
        <v>42</v>
      </c>
      <c r="S4126" s="1" t="s">
        <v>42</v>
      </c>
      <c r="T4126" s="1" t="s">
        <v>273</v>
      </c>
      <c r="U4126" s="1">
        <v>114</v>
      </c>
      <c r="V4126" s="5">
        <v>43631</v>
      </c>
      <c r="W4126" s="5">
        <v>42789</v>
      </c>
      <c r="X4126" s="1">
        <v>1775000</v>
      </c>
      <c r="Y4126" s="1">
        <v>1775000</v>
      </c>
      <c r="Z4126" s="5">
        <v>42903</v>
      </c>
      <c r="AA4126" s="1">
        <v>1374638</v>
      </c>
      <c r="AB4126" s="1" t="s">
        <v>2860</v>
      </c>
      <c r="AC4126" s="5">
        <v>42944</v>
      </c>
      <c r="AF4126" s="1">
        <v>10016</v>
      </c>
      <c r="AI4126" s="1" t="s">
        <v>78</v>
      </c>
      <c r="AJ4126" s="1">
        <v>2016</v>
      </c>
      <c r="AK4126" s="1" t="s">
        <v>46</v>
      </c>
      <c r="AL4126" s="1">
        <v>72</v>
      </c>
    </row>
    <row r="4127" spans="1:38" x14ac:dyDescent="0.2">
      <c r="A4127" s="2" t="str">
        <f>HYPERLINK("https://www.compass.com/listing/310-west-114th-street-unit-7-manhattan-ny-10026/803340522382729641/","310 W 114th St, Unit 7")</f>
        <v>310 W 114th St, Unit 7</v>
      </c>
      <c r="B4127" s="2" t="str">
        <f>HYPERLINK("https://www.compass.com/building/310-w-114th-st-manhattan-ny-10026/281976388834127397/","310 W 114th St")</f>
        <v>310 W 114th St</v>
      </c>
      <c r="C4127" s="1" t="s">
        <v>85</v>
      </c>
      <c r="D4127" s="1" t="s">
        <v>41</v>
      </c>
      <c r="E4127" s="3">
        <v>735000</v>
      </c>
      <c r="F4127" s="1">
        <v>1068.3139534883701</v>
      </c>
      <c r="G4127" s="1">
        <v>3</v>
      </c>
      <c r="H4127" s="1">
        <v>1</v>
      </c>
      <c r="I4127" s="1">
        <v>1</v>
      </c>
      <c r="J4127" s="1">
        <v>1</v>
      </c>
      <c r="K4127" s="1">
        <v>1</v>
      </c>
      <c r="M4127" s="1">
        <v>688</v>
      </c>
      <c r="N4127" s="1">
        <v>173</v>
      </c>
      <c r="O4127" s="1">
        <v>1052</v>
      </c>
      <c r="P4127" s="1">
        <v>879</v>
      </c>
      <c r="Q4127" s="1" t="s">
        <v>42</v>
      </c>
      <c r="S4127" s="1" t="s">
        <v>42</v>
      </c>
      <c r="T4127" s="1" t="s">
        <v>273</v>
      </c>
      <c r="U4127" s="1">
        <v>2</v>
      </c>
      <c r="V4127" s="5">
        <v>44010</v>
      </c>
      <c r="W4127" s="5">
        <v>43662</v>
      </c>
      <c r="X4127" s="1">
        <v>850000</v>
      </c>
      <c r="Y4127" s="1">
        <v>850000</v>
      </c>
      <c r="Z4127" s="5">
        <v>43664</v>
      </c>
      <c r="AA4127" s="1">
        <v>735000</v>
      </c>
      <c r="AB4127" s="1" t="s">
        <v>2861</v>
      </c>
      <c r="AC4127" s="5">
        <v>43997</v>
      </c>
      <c r="AF4127" s="1">
        <v>10026</v>
      </c>
      <c r="AI4127" s="1" t="s">
        <v>2862</v>
      </c>
      <c r="AJ4127" s="1">
        <v>2015</v>
      </c>
      <c r="AL4127" s="1">
        <v>8</v>
      </c>
    </row>
    <row r="4128" spans="1:38" x14ac:dyDescent="0.2">
      <c r="A4128" s="2" t="str">
        <f>HYPERLINK("https://www.compass.com/listing/305-west-150th-street-unit-605-manhattan-ny-10039/181028239588828705/","305 W 150th St, Unit 605")</f>
        <v>305 W 150th St, Unit 605</v>
      </c>
      <c r="B4128" s="2" t="str">
        <f t="shared" ref="B4128:B4141" si="694">HYPERLINK("https://www.compass.com/building/305-w-150th-st-manhattan-ny-10039/282032234968400245/","305 W 150th St")</f>
        <v>305 W 150th St</v>
      </c>
      <c r="C4128" s="1" t="s">
        <v>84</v>
      </c>
      <c r="D4128" s="1" t="s">
        <v>41</v>
      </c>
      <c r="E4128" s="3">
        <v>392925</v>
      </c>
      <c r="F4128" s="1">
        <v>665.97457627118604</v>
      </c>
      <c r="G4128" s="1">
        <v>3</v>
      </c>
      <c r="H4128" s="1">
        <v>1</v>
      </c>
      <c r="I4128" s="1">
        <v>1</v>
      </c>
      <c r="J4128" s="1">
        <v>1</v>
      </c>
      <c r="K4128" s="1">
        <v>1</v>
      </c>
      <c r="M4128" s="1">
        <v>590</v>
      </c>
      <c r="N4128" s="1">
        <v>318.67</v>
      </c>
      <c r="O4128" s="1">
        <v>586.33000000000004</v>
      </c>
      <c r="P4128" s="1">
        <v>267.666666666666</v>
      </c>
      <c r="Q4128" s="1" t="s">
        <v>42</v>
      </c>
      <c r="S4128" s="1" t="s">
        <v>42</v>
      </c>
      <c r="T4128" s="1" t="s">
        <v>273</v>
      </c>
      <c r="U4128" s="1">
        <v>12</v>
      </c>
      <c r="V4128" s="5">
        <v>42202</v>
      </c>
      <c r="W4128" s="5">
        <v>41712</v>
      </c>
      <c r="X4128" s="1">
        <v>387500</v>
      </c>
      <c r="Y4128" s="1">
        <v>387500</v>
      </c>
      <c r="Z4128" s="5">
        <v>41725</v>
      </c>
      <c r="AA4128" s="1">
        <v>392925</v>
      </c>
      <c r="AB4128" s="1" t="s">
        <v>2863</v>
      </c>
      <c r="AC4128" s="5">
        <v>42193</v>
      </c>
      <c r="AF4128" s="1">
        <v>10039</v>
      </c>
      <c r="AJ4128" s="1">
        <v>1921</v>
      </c>
      <c r="AK4128" s="1" t="s">
        <v>143</v>
      </c>
      <c r="AL4128" s="1">
        <v>84</v>
      </c>
    </row>
    <row r="4129" spans="1:38" x14ac:dyDescent="0.2">
      <c r="A4129" s="2" t="str">
        <f>HYPERLINK("https://www.compass.com/listing/305-west-150th-street-unit-412-manhattan-ny-10039/181029610639628337/","305 W 150th St, Unit 412")</f>
        <v>305 W 150th St, Unit 412</v>
      </c>
      <c r="B4129" s="2" t="str">
        <f t="shared" si="694"/>
        <v>305 W 150th St</v>
      </c>
      <c r="C4129" s="1" t="s">
        <v>84</v>
      </c>
      <c r="D4129" s="1" t="s">
        <v>41</v>
      </c>
      <c r="E4129" s="3">
        <v>386841</v>
      </c>
      <c r="F4129" s="1">
        <v>644.73500000000001</v>
      </c>
      <c r="G4129" s="1">
        <v>3</v>
      </c>
      <c r="H4129" s="1">
        <v>1</v>
      </c>
      <c r="I4129" s="1">
        <v>1</v>
      </c>
      <c r="J4129" s="1">
        <v>1</v>
      </c>
      <c r="K4129" s="1">
        <v>1</v>
      </c>
      <c r="M4129" s="1">
        <v>600</v>
      </c>
      <c r="N4129" s="1">
        <v>316.07</v>
      </c>
      <c r="O4129" s="1">
        <v>581.57999999999902</v>
      </c>
      <c r="P4129" s="1">
        <v>265.5</v>
      </c>
      <c r="Q4129" s="1" t="s">
        <v>42</v>
      </c>
      <c r="S4129" s="1" t="s">
        <v>42</v>
      </c>
      <c r="T4129" s="1" t="s">
        <v>273</v>
      </c>
      <c r="U4129" s="1">
        <v>28</v>
      </c>
      <c r="V4129" s="5">
        <v>42221</v>
      </c>
      <c r="W4129" s="5">
        <v>41673</v>
      </c>
      <c r="X4129" s="1">
        <v>363000</v>
      </c>
      <c r="Y4129" s="1">
        <v>381500</v>
      </c>
      <c r="Z4129" s="5">
        <v>41702</v>
      </c>
      <c r="AA4129" s="1">
        <v>386841</v>
      </c>
      <c r="AB4129" s="1" t="s">
        <v>2864</v>
      </c>
      <c r="AC4129" s="5">
        <v>42213</v>
      </c>
      <c r="AF4129" s="1">
        <v>10039</v>
      </c>
      <c r="AJ4129" s="1">
        <v>1921</v>
      </c>
      <c r="AK4129" s="1" t="s">
        <v>143</v>
      </c>
      <c r="AL4129" s="1">
        <v>84</v>
      </c>
    </row>
    <row r="4130" spans="1:38" x14ac:dyDescent="0.2">
      <c r="A4130" s="2" t="str">
        <f>HYPERLINK("https://www.compass.com/listing/305-west-150th-street-unit-601-manhattan-ny-10039/181029631904802689/","305 W 150th St, Unit 601")</f>
        <v>305 W 150th St, Unit 601</v>
      </c>
      <c r="B4130" s="2" t="str">
        <f t="shared" si="694"/>
        <v>305 W 150th St</v>
      </c>
      <c r="C4130" s="1" t="s">
        <v>84</v>
      </c>
      <c r="D4130" s="1" t="s">
        <v>41</v>
      </c>
      <c r="E4130" s="3">
        <v>384306</v>
      </c>
      <c r="F4130" s="1">
        <v>666.04159445407197</v>
      </c>
      <c r="G4130" s="1">
        <v>3</v>
      </c>
      <c r="H4130" s="1">
        <v>1</v>
      </c>
      <c r="I4130" s="1">
        <v>1</v>
      </c>
      <c r="J4130" s="1">
        <v>1</v>
      </c>
      <c r="K4130" s="1">
        <v>1</v>
      </c>
      <c r="M4130" s="1">
        <v>577</v>
      </c>
      <c r="N4130" s="1">
        <v>313.57</v>
      </c>
      <c r="O4130" s="1">
        <v>576.95000000000005</v>
      </c>
      <c r="P4130" s="1">
        <v>263.416666666666</v>
      </c>
      <c r="Q4130" s="1" t="s">
        <v>42</v>
      </c>
      <c r="S4130" s="1" t="s">
        <v>42</v>
      </c>
      <c r="T4130" s="1" t="s">
        <v>273</v>
      </c>
      <c r="U4130" s="1">
        <v>11</v>
      </c>
      <c r="V4130" s="5">
        <v>42221</v>
      </c>
      <c r="W4130" s="5">
        <v>41683</v>
      </c>
      <c r="X4130" s="1">
        <v>379000</v>
      </c>
      <c r="Y4130" s="1">
        <v>379000</v>
      </c>
      <c r="Z4130" s="5">
        <v>41694</v>
      </c>
      <c r="AA4130" s="1">
        <v>384306</v>
      </c>
      <c r="AB4130" s="1" t="s">
        <v>2865</v>
      </c>
      <c r="AC4130" s="5">
        <v>42213</v>
      </c>
      <c r="AF4130" s="1">
        <v>10039</v>
      </c>
      <c r="AJ4130" s="1">
        <v>1921</v>
      </c>
      <c r="AK4130" s="1" t="s">
        <v>143</v>
      </c>
      <c r="AL4130" s="1">
        <v>84</v>
      </c>
    </row>
    <row r="4131" spans="1:38" x14ac:dyDescent="0.2">
      <c r="A4131" s="2" t="str">
        <f>HYPERLINK("https://www.compass.com/listing/305-west-150th-street-unit-306-manhattan-ny-10039/181029748774821633/","305 W 150th St, Unit 306")</f>
        <v>305 W 150th St, Unit 306</v>
      </c>
      <c r="B4131" s="2" t="str">
        <f t="shared" si="694"/>
        <v>305 W 150th St</v>
      </c>
      <c r="C4131" s="1" t="s">
        <v>84</v>
      </c>
      <c r="D4131" s="1" t="s">
        <v>41</v>
      </c>
      <c r="E4131" s="3">
        <v>393432</v>
      </c>
      <c r="F4131" s="1">
        <v>693.88359788359696</v>
      </c>
      <c r="G4131" s="1">
        <v>3</v>
      </c>
      <c r="H4131" s="1">
        <v>1</v>
      </c>
      <c r="I4131" s="1">
        <v>1</v>
      </c>
      <c r="J4131" s="1">
        <v>1</v>
      </c>
      <c r="K4131" s="1">
        <v>1</v>
      </c>
      <c r="M4131" s="1">
        <v>567</v>
      </c>
      <c r="N4131" s="1">
        <v>287.25</v>
      </c>
      <c r="O4131" s="1">
        <v>533.5</v>
      </c>
      <c r="P4131" s="1">
        <v>246.25</v>
      </c>
      <c r="Q4131" s="1" t="s">
        <v>42</v>
      </c>
      <c r="S4131" s="1" t="s">
        <v>42</v>
      </c>
      <c r="T4131" s="1" t="s">
        <v>273</v>
      </c>
      <c r="U4131" s="1">
        <v>35</v>
      </c>
      <c r="V4131" s="5">
        <v>42235</v>
      </c>
      <c r="W4131" s="5">
        <v>41814</v>
      </c>
      <c r="X4131" s="1">
        <v>388000</v>
      </c>
      <c r="Y4131" s="1">
        <v>388000</v>
      </c>
      <c r="Z4131" s="5">
        <v>41850</v>
      </c>
      <c r="AA4131" s="1">
        <v>393432</v>
      </c>
      <c r="AB4131" s="1" t="s">
        <v>2866</v>
      </c>
      <c r="AC4131" s="5">
        <v>42229</v>
      </c>
      <c r="AF4131" s="1">
        <v>10039</v>
      </c>
      <c r="AJ4131" s="1">
        <v>1921</v>
      </c>
      <c r="AK4131" s="1" t="s">
        <v>143</v>
      </c>
      <c r="AL4131" s="1">
        <v>84</v>
      </c>
    </row>
    <row r="4132" spans="1:38" x14ac:dyDescent="0.2">
      <c r="A4132" s="2" t="str">
        <f>HYPERLINK("https://www.compass.com/listing/305-west-150th-street-unit-405-manhattan-ny-10039/181031366165651185/","305 W 150th St, Unit 405")</f>
        <v>305 W 150th St, Unit 405</v>
      </c>
      <c r="B4132" s="2" t="str">
        <f t="shared" si="694"/>
        <v>305 W 150th St</v>
      </c>
      <c r="C4132" s="1" t="s">
        <v>84</v>
      </c>
      <c r="D4132" s="1" t="s">
        <v>41</v>
      </c>
      <c r="E4132" s="3">
        <v>380250</v>
      </c>
      <c r="F4132" s="1">
        <v>644.49152542372804</v>
      </c>
      <c r="G4132" s="1">
        <v>3</v>
      </c>
      <c r="H4132" s="1">
        <v>1</v>
      </c>
      <c r="I4132" s="1">
        <v>1</v>
      </c>
      <c r="J4132" s="1">
        <v>1</v>
      </c>
      <c r="K4132" s="1">
        <v>1</v>
      </c>
      <c r="M4132" s="1">
        <v>590</v>
      </c>
      <c r="N4132" s="1">
        <v>308.5</v>
      </c>
      <c r="O4132" s="1">
        <v>567.6</v>
      </c>
      <c r="P4132" s="1">
        <v>259.08333333333297</v>
      </c>
      <c r="Q4132" s="1" t="s">
        <v>42</v>
      </c>
      <c r="S4132" s="1" t="s">
        <v>42</v>
      </c>
      <c r="T4132" s="1" t="s">
        <v>273</v>
      </c>
      <c r="U4132" s="1">
        <v>11</v>
      </c>
      <c r="V4132" s="5">
        <v>42249</v>
      </c>
      <c r="W4132" s="5">
        <v>41732</v>
      </c>
      <c r="X4132" s="1">
        <v>375000</v>
      </c>
      <c r="Y4132" s="1">
        <v>380250</v>
      </c>
      <c r="Z4132" s="5">
        <v>41744</v>
      </c>
      <c r="AA4132" s="1">
        <v>380250</v>
      </c>
      <c r="AB4132" s="1" t="s">
        <v>2867</v>
      </c>
      <c r="AC4132" s="5">
        <v>42206</v>
      </c>
      <c r="AF4132" s="1">
        <v>10039</v>
      </c>
      <c r="AJ4132" s="1">
        <v>1921</v>
      </c>
      <c r="AK4132" s="1" t="s">
        <v>143</v>
      </c>
      <c r="AL4132" s="1">
        <v>84</v>
      </c>
    </row>
    <row r="4133" spans="1:38" x14ac:dyDescent="0.2">
      <c r="A4133" s="2" t="str">
        <f>HYPERLINK("https://www.compass.com/listing/305-west-150th-street-unit-306-manhattan-ny-10039/29434111227622609/","305 W 150th St, Unit 306")</f>
        <v>305 W 150th St, Unit 306</v>
      </c>
      <c r="B4133" s="2" t="str">
        <f t="shared" si="694"/>
        <v>305 W 150th St</v>
      </c>
      <c r="C4133" s="1" t="s">
        <v>84</v>
      </c>
      <c r="D4133" s="1" t="s">
        <v>41</v>
      </c>
      <c r="E4133" s="3">
        <v>388000</v>
      </c>
      <c r="F4133" s="1">
        <v>684.30335097001705</v>
      </c>
      <c r="G4133" s="1">
        <v>3</v>
      </c>
      <c r="H4133" s="1">
        <v>1</v>
      </c>
      <c r="I4133" s="1">
        <v>1</v>
      </c>
      <c r="M4133" s="1">
        <v>567</v>
      </c>
      <c r="N4133" s="1">
        <v>287</v>
      </c>
      <c r="O4133" s="1">
        <v>533</v>
      </c>
      <c r="P4133" s="1">
        <v>246</v>
      </c>
      <c r="Q4133" s="1" t="s">
        <v>42</v>
      </c>
      <c r="S4133" s="1" t="s">
        <v>42</v>
      </c>
      <c r="T4133" s="1" t="s">
        <v>273</v>
      </c>
      <c r="V4133" s="5">
        <v>43211</v>
      </c>
      <c r="W4133" s="5">
        <v>41814</v>
      </c>
      <c r="X4133" s="1">
        <v>388000</v>
      </c>
      <c r="AB4133" s="1" t="s">
        <v>275</v>
      </c>
      <c r="AF4133" s="1">
        <v>10039</v>
      </c>
      <c r="AJ4133" s="1">
        <v>1921</v>
      </c>
      <c r="AK4133" s="1" t="s">
        <v>146</v>
      </c>
      <c r="AL4133" s="1">
        <v>84</v>
      </c>
    </row>
    <row r="4134" spans="1:38" x14ac:dyDescent="0.2">
      <c r="A4134" s="2" t="str">
        <f>HYPERLINK("https://www.compass.com/listing/305-west-150th-street-unit-412-manhattan-ny-10039/29434121788880209/","305 W 150th St, Unit 412")</f>
        <v>305 W 150th St, Unit 412</v>
      </c>
      <c r="B4134" s="2" t="str">
        <f t="shared" si="694"/>
        <v>305 W 150th St</v>
      </c>
      <c r="C4134" s="1" t="s">
        <v>84</v>
      </c>
      <c r="D4134" s="1" t="s">
        <v>41</v>
      </c>
      <c r="E4134" s="3">
        <v>381500</v>
      </c>
      <c r="F4134" s="1">
        <v>635.83333333333303</v>
      </c>
      <c r="G4134" s="1">
        <v>3</v>
      </c>
      <c r="H4134" s="1">
        <v>1</v>
      </c>
      <c r="I4134" s="1">
        <v>1</v>
      </c>
      <c r="M4134" s="1">
        <v>600</v>
      </c>
      <c r="N4134" s="1">
        <v>316</v>
      </c>
      <c r="O4134" s="1">
        <v>581</v>
      </c>
      <c r="P4134" s="1">
        <v>265</v>
      </c>
      <c r="Q4134" s="1" t="s">
        <v>42</v>
      </c>
      <c r="S4134" s="1" t="s">
        <v>42</v>
      </c>
      <c r="T4134" s="1" t="s">
        <v>273</v>
      </c>
      <c r="V4134" s="5">
        <v>43267</v>
      </c>
      <c r="W4134" s="5">
        <v>41673</v>
      </c>
      <c r="X4134" s="1">
        <v>363000</v>
      </c>
      <c r="AB4134" s="1" t="s">
        <v>275</v>
      </c>
      <c r="AF4134" s="1">
        <v>10039</v>
      </c>
      <c r="AJ4134" s="1">
        <v>1921</v>
      </c>
      <c r="AK4134" s="1" t="s">
        <v>146</v>
      </c>
      <c r="AL4134" s="1">
        <v>84</v>
      </c>
    </row>
    <row r="4135" spans="1:38" x14ac:dyDescent="0.2">
      <c r="A4135" s="2" t="str">
        <f>HYPERLINK("https://www.compass.com/listing/305-west-150th-street-unit-511-manhattan-ny-10039/29434126712993201/","305 W 150th St, Unit 511")</f>
        <v>305 W 150th St, Unit 511</v>
      </c>
      <c r="B4135" s="2" t="str">
        <f t="shared" si="694"/>
        <v>305 W 150th St</v>
      </c>
      <c r="C4135" s="1" t="s">
        <v>84</v>
      </c>
      <c r="D4135" s="1" t="s">
        <v>41</v>
      </c>
      <c r="E4135" s="3">
        <v>389000</v>
      </c>
      <c r="F4135" s="1">
        <v>649.415692821368</v>
      </c>
      <c r="G4135" s="1">
        <v>3</v>
      </c>
      <c r="H4135" s="1">
        <v>1</v>
      </c>
      <c r="I4135" s="1">
        <v>1</v>
      </c>
      <c r="M4135" s="1">
        <v>599</v>
      </c>
      <c r="N4135" s="1">
        <v>313</v>
      </c>
      <c r="O4135" s="1">
        <v>576</v>
      </c>
      <c r="P4135" s="1">
        <v>263</v>
      </c>
      <c r="Q4135" s="1" t="s">
        <v>42</v>
      </c>
      <c r="S4135" s="1" t="s">
        <v>42</v>
      </c>
      <c r="T4135" s="1" t="s">
        <v>273</v>
      </c>
      <c r="V4135" s="5">
        <v>43211</v>
      </c>
      <c r="W4135" s="5">
        <v>41766</v>
      </c>
      <c r="X4135" s="1">
        <v>389000</v>
      </c>
      <c r="AB4135" s="1" t="s">
        <v>275</v>
      </c>
      <c r="AF4135" s="1">
        <v>10039</v>
      </c>
      <c r="AJ4135" s="1">
        <v>1921</v>
      </c>
      <c r="AK4135" s="1" t="s">
        <v>146</v>
      </c>
      <c r="AL4135" s="1">
        <v>84</v>
      </c>
    </row>
    <row r="4136" spans="1:38" x14ac:dyDescent="0.2">
      <c r="A4136" s="2" t="str">
        <f>HYPERLINK("https://www.compass.com/listing/305-west-150th-street-unit-511-manhattan-ny-10039/29434126712993217/","305 W 150th St, Unit 511")</f>
        <v>305 W 150th St, Unit 511</v>
      </c>
      <c r="B4136" s="2" t="str">
        <f t="shared" si="694"/>
        <v>305 W 150th St</v>
      </c>
      <c r="C4136" s="1" t="s">
        <v>84</v>
      </c>
      <c r="D4136" s="1" t="s">
        <v>41</v>
      </c>
      <c r="E4136" s="3">
        <v>394446</v>
      </c>
      <c r="F4136" s="1">
        <v>658.50751252086798</v>
      </c>
      <c r="G4136" s="1">
        <v>3</v>
      </c>
      <c r="H4136" s="1">
        <v>1</v>
      </c>
      <c r="I4136" s="1">
        <v>1</v>
      </c>
      <c r="J4136" s="1">
        <v>1</v>
      </c>
      <c r="K4136" s="1">
        <v>1</v>
      </c>
      <c r="M4136" s="1">
        <v>599</v>
      </c>
      <c r="N4136" s="1">
        <v>313.57</v>
      </c>
      <c r="O4136" s="1">
        <v>576.95000000000005</v>
      </c>
      <c r="P4136" s="1">
        <v>263.416666666666</v>
      </c>
      <c r="Q4136" s="1" t="s">
        <v>42</v>
      </c>
      <c r="S4136" s="1" t="s">
        <v>42</v>
      </c>
      <c r="T4136" s="1" t="s">
        <v>273</v>
      </c>
      <c r="U4136" s="1">
        <v>120</v>
      </c>
      <c r="V4136" s="5">
        <v>42202</v>
      </c>
      <c r="W4136" s="5">
        <v>41766</v>
      </c>
      <c r="X4136" s="1">
        <v>389000</v>
      </c>
      <c r="Y4136" s="1">
        <v>389000</v>
      </c>
      <c r="Z4136" s="5">
        <v>41886</v>
      </c>
      <c r="AA4136" s="1">
        <v>394446</v>
      </c>
      <c r="AB4136" s="1" t="s">
        <v>2868</v>
      </c>
      <c r="AC4136" s="5">
        <v>42195</v>
      </c>
      <c r="AF4136" s="1">
        <v>10039</v>
      </c>
      <c r="AJ4136" s="1">
        <v>1921</v>
      </c>
      <c r="AK4136" s="1" t="s">
        <v>143</v>
      </c>
      <c r="AL4136" s="1">
        <v>84</v>
      </c>
    </row>
    <row r="4137" spans="1:38" x14ac:dyDescent="0.2">
      <c r="A4137" s="2" t="str">
        <f>HYPERLINK("https://www.compass.com/listing/305-west-150th-street-unit-601-manhattan-ny-10039/29434127895779249/","305 W 150th St, Unit 601")</f>
        <v>305 W 150th St, Unit 601</v>
      </c>
      <c r="B4137" s="2" t="str">
        <f t="shared" si="694"/>
        <v>305 W 150th St</v>
      </c>
      <c r="C4137" s="1" t="s">
        <v>84</v>
      </c>
      <c r="D4137" s="1" t="s">
        <v>41</v>
      </c>
      <c r="E4137" s="3">
        <v>379000</v>
      </c>
      <c r="F4137" s="1">
        <v>656.84575389947997</v>
      </c>
      <c r="G4137" s="1">
        <v>3</v>
      </c>
      <c r="H4137" s="1">
        <v>1</v>
      </c>
      <c r="I4137" s="1">
        <v>1</v>
      </c>
      <c r="M4137" s="1">
        <v>577</v>
      </c>
      <c r="N4137" s="1">
        <v>313</v>
      </c>
      <c r="O4137" s="1">
        <v>576</v>
      </c>
      <c r="P4137" s="1">
        <v>263</v>
      </c>
      <c r="Q4137" s="1" t="s">
        <v>42</v>
      </c>
      <c r="S4137" s="1" t="s">
        <v>42</v>
      </c>
      <c r="T4137" s="1" t="s">
        <v>273</v>
      </c>
      <c r="V4137" s="5">
        <v>43267</v>
      </c>
      <c r="W4137" s="5">
        <v>41683</v>
      </c>
      <c r="X4137" s="1">
        <v>379000</v>
      </c>
      <c r="AB4137" s="1" t="s">
        <v>275</v>
      </c>
      <c r="AF4137" s="1">
        <v>10039</v>
      </c>
      <c r="AJ4137" s="1">
        <v>1921</v>
      </c>
      <c r="AK4137" s="1" t="s">
        <v>146</v>
      </c>
      <c r="AL4137" s="1">
        <v>84</v>
      </c>
    </row>
    <row r="4138" spans="1:38" x14ac:dyDescent="0.2">
      <c r="A4138" s="2" t="str">
        <f>HYPERLINK("https://www.compass.com/listing/305-west-150th-street-unit-605-manhattan-ny-10039/29434129565119969/","305 W 150th St, Unit 605")</f>
        <v>305 W 150th St, Unit 605</v>
      </c>
      <c r="B4138" s="2" t="str">
        <f t="shared" si="694"/>
        <v>305 W 150th St</v>
      </c>
      <c r="C4138" s="1" t="s">
        <v>84</v>
      </c>
      <c r="D4138" s="1" t="s">
        <v>41</v>
      </c>
      <c r="E4138" s="3">
        <v>387500</v>
      </c>
      <c r="F4138" s="1">
        <v>656.77966101694904</v>
      </c>
      <c r="G4138" s="1">
        <v>3</v>
      </c>
      <c r="H4138" s="1">
        <v>1</v>
      </c>
      <c r="I4138" s="1">
        <v>1</v>
      </c>
      <c r="M4138" s="1">
        <v>590</v>
      </c>
      <c r="N4138" s="1">
        <v>318</v>
      </c>
      <c r="O4138" s="1">
        <v>585</v>
      </c>
      <c r="P4138" s="1">
        <v>267</v>
      </c>
      <c r="Q4138" s="1" t="s">
        <v>42</v>
      </c>
      <c r="S4138" s="1" t="s">
        <v>42</v>
      </c>
      <c r="T4138" s="1" t="s">
        <v>273</v>
      </c>
      <c r="V4138" s="5">
        <v>43267</v>
      </c>
      <c r="W4138" s="5">
        <v>41712</v>
      </c>
      <c r="X4138" s="1">
        <v>387500</v>
      </c>
      <c r="AB4138" s="1" t="s">
        <v>275</v>
      </c>
      <c r="AF4138" s="1">
        <v>10039</v>
      </c>
      <c r="AJ4138" s="1">
        <v>1921</v>
      </c>
      <c r="AK4138" s="1" t="s">
        <v>146</v>
      </c>
      <c r="AL4138" s="1">
        <v>84</v>
      </c>
    </row>
    <row r="4139" spans="1:38" x14ac:dyDescent="0.2">
      <c r="A4139" s="2" t="str">
        <f>HYPERLINK("https://www.compass.com/listing/305-west-150th-street-unit-610-manhattan-ny-10039/29434131704207345/","305 W 150th St, Unit 610")</f>
        <v>305 W 150th St, Unit 610</v>
      </c>
      <c r="B4139" s="2" t="str">
        <f t="shared" si="694"/>
        <v>305 W 150th St</v>
      </c>
      <c r="C4139" s="1" t="s">
        <v>84</v>
      </c>
      <c r="D4139" s="1" t="s">
        <v>41</v>
      </c>
      <c r="E4139" s="3">
        <v>388869</v>
      </c>
      <c r="F4139" s="1">
        <v>665.87157534246501</v>
      </c>
      <c r="G4139" s="1">
        <v>3</v>
      </c>
      <c r="H4139" s="1">
        <v>1</v>
      </c>
      <c r="I4139" s="1">
        <v>1</v>
      </c>
      <c r="J4139" s="1">
        <v>1</v>
      </c>
      <c r="K4139" s="1">
        <v>1</v>
      </c>
      <c r="M4139" s="1">
        <v>584</v>
      </c>
      <c r="N4139" s="1">
        <v>311</v>
      </c>
      <c r="O4139" s="1">
        <v>572.23</v>
      </c>
      <c r="P4139" s="1">
        <v>261.25</v>
      </c>
      <c r="Q4139" s="1" t="s">
        <v>42</v>
      </c>
      <c r="S4139" s="1" t="s">
        <v>42</v>
      </c>
      <c r="T4139" s="1" t="s">
        <v>273</v>
      </c>
      <c r="U4139" s="1">
        <v>62</v>
      </c>
      <c r="V4139" s="5">
        <v>42826</v>
      </c>
      <c r="W4139" s="5">
        <v>41814</v>
      </c>
      <c r="X4139" s="1">
        <v>383500</v>
      </c>
      <c r="Y4139" s="1">
        <v>383500</v>
      </c>
      <c r="Z4139" s="5">
        <v>41877</v>
      </c>
      <c r="AA4139" s="1">
        <v>388869</v>
      </c>
      <c r="AB4139" s="1" t="s">
        <v>2869</v>
      </c>
      <c r="AC4139" s="5">
        <v>42496</v>
      </c>
      <c r="AF4139" s="1">
        <v>10039</v>
      </c>
      <c r="AJ4139" s="1">
        <v>1921</v>
      </c>
      <c r="AK4139" s="1" t="s">
        <v>143</v>
      </c>
      <c r="AL4139" s="1">
        <v>84</v>
      </c>
    </row>
    <row r="4140" spans="1:38" x14ac:dyDescent="0.2">
      <c r="A4140" s="2" t="str">
        <f>HYPERLINK("https://www.compass.com/listing/305-west-150th-street-unit-209-manhattan-ny-10039/803379286559708169/","305 W 150th St, Unit 209")</f>
        <v>305 W 150th St, Unit 209</v>
      </c>
      <c r="B4140" s="2" t="str">
        <f t="shared" si="694"/>
        <v>305 W 150th St</v>
      </c>
      <c r="C4140" s="1" t="s">
        <v>84</v>
      </c>
      <c r="D4140" s="1" t="s">
        <v>41</v>
      </c>
      <c r="E4140" s="3">
        <v>411500</v>
      </c>
      <c r="F4140" s="1">
        <v>702.21843003412903</v>
      </c>
      <c r="G4140" s="1">
        <v>3</v>
      </c>
      <c r="H4140" s="1">
        <v>1</v>
      </c>
      <c r="I4140" s="1">
        <v>1</v>
      </c>
      <c r="M4140" s="1">
        <v>586</v>
      </c>
      <c r="N4140" s="1">
        <v>298</v>
      </c>
      <c r="O4140" s="1">
        <v>548</v>
      </c>
      <c r="P4140" s="1">
        <v>250</v>
      </c>
      <c r="Q4140" s="1" t="s">
        <v>42</v>
      </c>
      <c r="S4140" s="1" t="s">
        <v>42</v>
      </c>
      <c r="T4140" s="1" t="s">
        <v>273</v>
      </c>
      <c r="V4140" s="5">
        <v>43211</v>
      </c>
      <c r="W4140" s="5">
        <v>41936</v>
      </c>
      <c r="X4140" s="1">
        <v>360000</v>
      </c>
      <c r="AB4140" s="1" t="s">
        <v>275</v>
      </c>
      <c r="AF4140" s="1">
        <v>10039</v>
      </c>
      <c r="AJ4140" s="1">
        <v>1921</v>
      </c>
      <c r="AK4140" s="1" t="s">
        <v>146</v>
      </c>
      <c r="AL4140" s="1">
        <v>84</v>
      </c>
    </row>
    <row r="4141" spans="1:38" x14ac:dyDescent="0.2">
      <c r="A4141" s="2" t="str">
        <f>HYPERLINK("https://www.compass.com/listing/305-west-150th-street-unit-708-manhattan-ny-10039/803394773146540585/","305 W 150th St, Unit 708")</f>
        <v>305 W 150th St, Unit 708</v>
      </c>
      <c r="B4141" s="2" t="str">
        <f t="shared" si="694"/>
        <v>305 W 150th St</v>
      </c>
      <c r="C4141" s="1" t="s">
        <v>84</v>
      </c>
      <c r="D4141" s="1" t="s">
        <v>41</v>
      </c>
      <c r="E4141" s="3">
        <v>431000</v>
      </c>
      <c r="F4141" s="1">
        <v>730.50847457627106</v>
      </c>
      <c r="G4141" s="1">
        <v>3</v>
      </c>
      <c r="H4141" s="1">
        <v>1</v>
      </c>
      <c r="I4141" s="1">
        <v>1</v>
      </c>
      <c r="M4141" s="1">
        <v>590</v>
      </c>
      <c r="N4141" s="1">
        <v>321</v>
      </c>
      <c r="O4141" s="1">
        <v>590</v>
      </c>
      <c r="P4141" s="1">
        <v>269</v>
      </c>
      <c r="Q4141" s="1" t="s">
        <v>42</v>
      </c>
      <c r="S4141" s="1" t="s">
        <v>42</v>
      </c>
      <c r="T4141" s="1" t="s">
        <v>273</v>
      </c>
      <c r="V4141" s="5">
        <v>43211</v>
      </c>
      <c r="W4141" s="5">
        <v>41937</v>
      </c>
      <c r="X4141" s="1">
        <v>431000</v>
      </c>
      <c r="AB4141" s="1" t="s">
        <v>275</v>
      </c>
      <c r="AF4141" s="1">
        <v>10039</v>
      </c>
      <c r="AJ4141" s="1">
        <v>1921</v>
      </c>
      <c r="AK4141" s="1" t="s">
        <v>146</v>
      </c>
      <c r="AL4141" s="1">
        <v>84</v>
      </c>
    </row>
    <row r="4142" spans="1:38" x14ac:dyDescent="0.2">
      <c r="A4142" s="2" t="str">
        <f>HYPERLINK("https://www.compass.com/listing/325-lexington-avenue-unit-7d-manhattan-ny-10016/29379692867953249/","325 Lexington Ave, Unit 7D")</f>
        <v>325 Lexington Ave, Unit 7D</v>
      </c>
      <c r="B4142" s="2" t="str">
        <f>HYPERLINK("https://www.compass.com/building/325-lex-condominium-manhattan-ny/281939882467713365/","325 Lex Condominium")</f>
        <v>325 Lex Condominium</v>
      </c>
      <c r="C4142" s="1" t="s">
        <v>59</v>
      </c>
      <c r="D4142" s="1" t="s">
        <v>41</v>
      </c>
      <c r="E4142" s="3">
        <v>1211718</v>
      </c>
      <c r="F4142" s="1">
        <v>1533.82025316455</v>
      </c>
      <c r="G4142" s="1">
        <v>3</v>
      </c>
      <c r="H4142" s="1">
        <v>1</v>
      </c>
      <c r="I4142" s="1">
        <v>1</v>
      </c>
      <c r="J4142" s="1">
        <v>1</v>
      </c>
      <c r="K4142" s="1">
        <v>1</v>
      </c>
      <c r="M4142" s="1">
        <v>790</v>
      </c>
      <c r="N4142" s="1">
        <v>1069</v>
      </c>
      <c r="O4142" s="1">
        <v>1302</v>
      </c>
      <c r="P4142" s="1">
        <v>233</v>
      </c>
      <c r="Q4142" s="1" t="s">
        <v>42</v>
      </c>
      <c r="S4142" s="1" t="s">
        <v>42</v>
      </c>
      <c r="T4142" s="1" t="s">
        <v>273</v>
      </c>
      <c r="U4142" s="1">
        <v>41</v>
      </c>
      <c r="V4142" s="5">
        <v>43654</v>
      </c>
      <c r="W4142" s="5">
        <v>41951</v>
      </c>
      <c r="X4142" s="1">
        <v>1190000</v>
      </c>
      <c r="Y4142" s="1">
        <v>1190000</v>
      </c>
      <c r="Z4142" s="5">
        <v>41992</v>
      </c>
      <c r="AA4142" s="1">
        <v>1211718</v>
      </c>
      <c r="AB4142" s="1" t="s">
        <v>2870</v>
      </c>
      <c r="AC4142" s="5">
        <v>42056</v>
      </c>
      <c r="AF4142" s="1">
        <v>10016</v>
      </c>
      <c r="AI4142" s="1" t="s">
        <v>60</v>
      </c>
      <c r="AJ4142" s="1">
        <v>2014</v>
      </c>
      <c r="AK4142" s="1" t="s">
        <v>108</v>
      </c>
      <c r="AL4142" s="1">
        <v>125</v>
      </c>
    </row>
    <row r="4143" spans="1:38" x14ac:dyDescent="0.2">
      <c r="A4143" s="2" t="str">
        <f>HYPERLINK("https://www.compass.com/listing/416-west-52nd-street-unit-320-manhattan-ny-10019/29389262826818929/","416 W 52nd St, Unit 320")</f>
        <v>416 W 52nd St, Unit 320</v>
      </c>
      <c r="B4143" s="2" t="str">
        <f>HYPERLINK("https://www.compass.com/building/nine52-manhattan-ny/281945622951555813/","Nine52")</f>
        <v>Nine52</v>
      </c>
      <c r="C4143" s="1" t="s">
        <v>90</v>
      </c>
      <c r="D4143" s="1" t="s">
        <v>41</v>
      </c>
      <c r="E4143" s="3">
        <v>1270000</v>
      </c>
      <c r="F4143" s="1">
        <v>1548.7804878048701</v>
      </c>
      <c r="G4143" s="1">
        <v>3</v>
      </c>
      <c r="H4143" s="1">
        <v>1</v>
      </c>
      <c r="I4143" s="1">
        <v>1</v>
      </c>
      <c r="J4143" s="1">
        <v>1</v>
      </c>
      <c r="K4143" s="1">
        <v>1</v>
      </c>
      <c r="M4143" s="1">
        <v>820</v>
      </c>
      <c r="N4143" s="1">
        <v>559</v>
      </c>
      <c r="O4143" s="1">
        <v>1639</v>
      </c>
      <c r="P4143" s="1">
        <v>1080</v>
      </c>
      <c r="Q4143" s="1" t="s">
        <v>42</v>
      </c>
      <c r="S4143" s="1" t="s">
        <v>42</v>
      </c>
      <c r="T4143" s="1" t="s">
        <v>273</v>
      </c>
      <c r="U4143" s="1">
        <v>227</v>
      </c>
      <c r="V4143" s="5">
        <v>42934</v>
      </c>
      <c r="W4143" s="5">
        <v>42570</v>
      </c>
      <c r="X4143" s="1">
        <v>1313000</v>
      </c>
      <c r="Y4143" s="1">
        <v>1290000</v>
      </c>
      <c r="AA4143" s="1">
        <v>1270000</v>
      </c>
      <c r="AB4143" s="1" t="s">
        <v>2871</v>
      </c>
      <c r="AC4143" s="5">
        <v>42998</v>
      </c>
      <c r="AF4143" s="1">
        <v>10019</v>
      </c>
      <c r="AI4143" s="1" t="s">
        <v>48</v>
      </c>
      <c r="AJ4143" s="1">
        <v>1940</v>
      </c>
      <c r="AK4143" s="1" t="s">
        <v>108</v>
      </c>
      <c r="AL4143" s="1">
        <v>155</v>
      </c>
    </row>
    <row r="4144" spans="1:38" x14ac:dyDescent="0.2">
      <c r="A4144" s="2" t="str">
        <f>HYPERLINK("https://www.compass.com/listing/305-west-150th-street-unit-108-manhattan-ny-10039/29434100985131953/","305 W 150th St, Unit 108")</f>
        <v>305 W 150th St, Unit 108</v>
      </c>
      <c r="B4144" s="2" t="str">
        <f t="shared" ref="B4144:B4148" si="695">HYPERLINK("https://www.compass.com/building/305-w-150th-st-manhattan-ny-10039/282032234968400245/","305 W 150th St")</f>
        <v>305 W 150th St</v>
      </c>
      <c r="C4144" s="1" t="s">
        <v>84</v>
      </c>
      <c r="D4144" s="1" t="s">
        <v>41</v>
      </c>
      <c r="E4144" s="3">
        <v>460000</v>
      </c>
      <c r="F4144" s="1">
        <v>779.66101694915199</v>
      </c>
      <c r="G4144" s="1">
        <v>3</v>
      </c>
      <c r="H4144" s="1">
        <v>1</v>
      </c>
      <c r="I4144" s="1">
        <v>1</v>
      </c>
      <c r="J4144" s="1">
        <v>1</v>
      </c>
      <c r="K4144" s="1">
        <v>1</v>
      </c>
      <c r="M4144" s="1">
        <v>590</v>
      </c>
      <c r="N4144" s="1">
        <v>341</v>
      </c>
      <c r="O4144" s="1">
        <v>587.25</v>
      </c>
      <c r="P4144" s="1">
        <v>246.25</v>
      </c>
      <c r="Q4144" s="1" t="s">
        <v>42</v>
      </c>
      <c r="S4144" s="1" t="s">
        <v>42</v>
      </c>
      <c r="T4144" s="1" t="s">
        <v>273</v>
      </c>
      <c r="U4144" s="1">
        <v>69</v>
      </c>
      <c r="V4144" s="5">
        <v>42826</v>
      </c>
      <c r="W4144" s="5">
        <v>42480</v>
      </c>
      <c r="Y4144" s="1">
        <v>441500</v>
      </c>
      <c r="AA4144" s="1">
        <v>460000</v>
      </c>
      <c r="AB4144" s="1" t="s">
        <v>2872</v>
      </c>
      <c r="AC4144" s="5">
        <v>42717</v>
      </c>
      <c r="AF4144" s="1">
        <v>10039</v>
      </c>
      <c r="AJ4144" s="1">
        <v>1921</v>
      </c>
      <c r="AK4144" s="1" t="s">
        <v>143</v>
      </c>
      <c r="AL4144" s="1">
        <v>84</v>
      </c>
    </row>
    <row r="4145" spans="1:38" x14ac:dyDescent="0.2">
      <c r="A4145" s="2" t="str">
        <f>HYPERLINK("https://www.compass.com/listing/305-west-150th-street-unit-506-manhattan-ny-10039/803299648194088665/","305 W 150th St, Unit 506")</f>
        <v>305 W 150th St, Unit 506</v>
      </c>
      <c r="B4145" s="2" t="str">
        <f t="shared" si="695"/>
        <v>305 W 150th St</v>
      </c>
      <c r="C4145" s="1" t="s">
        <v>84</v>
      </c>
      <c r="D4145" s="1" t="s">
        <v>41</v>
      </c>
      <c r="E4145" s="3">
        <v>458500</v>
      </c>
      <c r="F4145" s="1">
        <v>808.64197530864203</v>
      </c>
      <c r="G4145" s="1">
        <v>3</v>
      </c>
      <c r="H4145" s="1">
        <v>1</v>
      </c>
      <c r="I4145" s="1">
        <v>1</v>
      </c>
      <c r="M4145" s="1">
        <v>567</v>
      </c>
      <c r="N4145" s="1">
        <v>346</v>
      </c>
      <c r="O4145" s="1">
        <v>596</v>
      </c>
      <c r="P4145" s="1">
        <v>250</v>
      </c>
      <c r="Q4145" s="1" t="s">
        <v>42</v>
      </c>
      <c r="S4145" s="1" t="s">
        <v>42</v>
      </c>
      <c r="T4145" s="1" t="s">
        <v>273</v>
      </c>
      <c r="V4145" s="5">
        <v>43211</v>
      </c>
      <c r="W4145" s="5">
        <v>42125</v>
      </c>
      <c r="X4145" s="1">
        <v>458500</v>
      </c>
      <c r="AB4145" s="1" t="s">
        <v>275</v>
      </c>
      <c r="AF4145" s="1">
        <v>10039</v>
      </c>
      <c r="AJ4145" s="1">
        <v>1921</v>
      </c>
      <c r="AK4145" s="1" t="s">
        <v>146</v>
      </c>
      <c r="AL4145" s="1">
        <v>84</v>
      </c>
    </row>
    <row r="4146" spans="1:38" x14ac:dyDescent="0.2">
      <c r="A4146" s="2" t="str">
        <f>HYPERLINK("https://www.compass.com/listing/305-west-150th-street-unit-210-manhattan-ny-10039/803351098085668585/","305 W 150th St, Unit 210")</f>
        <v>305 W 150th St, Unit 210</v>
      </c>
      <c r="B4146" s="2" t="str">
        <f t="shared" si="695"/>
        <v>305 W 150th St</v>
      </c>
      <c r="C4146" s="1" t="s">
        <v>84</v>
      </c>
      <c r="D4146" s="1" t="s">
        <v>41</v>
      </c>
      <c r="E4146" s="3">
        <v>410000</v>
      </c>
      <c r="F4146" s="1">
        <v>702.05479452054794</v>
      </c>
      <c r="G4146" s="1">
        <v>3</v>
      </c>
      <c r="H4146" s="1">
        <v>1</v>
      </c>
      <c r="I4146" s="1">
        <v>1</v>
      </c>
      <c r="M4146" s="1">
        <v>584</v>
      </c>
      <c r="N4146" s="1">
        <v>295</v>
      </c>
      <c r="O4146" s="1">
        <v>543</v>
      </c>
      <c r="P4146" s="1">
        <v>248</v>
      </c>
      <c r="Q4146" s="1" t="s">
        <v>42</v>
      </c>
      <c r="S4146" s="1" t="s">
        <v>42</v>
      </c>
      <c r="T4146" s="1" t="s">
        <v>273</v>
      </c>
      <c r="V4146" s="5">
        <v>43267</v>
      </c>
      <c r="W4146" s="5">
        <v>42018</v>
      </c>
      <c r="X4146" s="1">
        <v>359000</v>
      </c>
      <c r="AB4146" s="1" t="s">
        <v>275</v>
      </c>
      <c r="AF4146" s="1">
        <v>10039</v>
      </c>
      <c r="AJ4146" s="1">
        <v>1921</v>
      </c>
      <c r="AK4146" s="1" t="s">
        <v>146</v>
      </c>
      <c r="AL4146" s="1">
        <v>84</v>
      </c>
    </row>
    <row r="4147" spans="1:38" x14ac:dyDescent="0.2">
      <c r="A4147" s="2" t="str">
        <f>HYPERLINK("https://www.compass.com/listing/305-west-150th-street-unit-208-manhattan-ny-10039/803352291507538857/","305 W 150th St, Unit 208")</f>
        <v>305 W 150th St, Unit 208</v>
      </c>
      <c r="B4147" s="2" t="str">
        <f t="shared" si="695"/>
        <v>305 W 150th St</v>
      </c>
      <c r="C4147" s="1" t="s">
        <v>84</v>
      </c>
      <c r="D4147" s="1" t="s">
        <v>41</v>
      </c>
      <c r="E4147" s="3">
        <v>418000</v>
      </c>
      <c r="F4147" s="1">
        <v>708.47457627118604</v>
      </c>
      <c r="G4147" s="1">
        <v>3</v>
      </c>
      <c r="H4147" s="1">
        <v>1</v>
      </c>
      <c r="I4147" s="1">
        <v>1</v>
      </c>
      <c r="M4147" s="1">
        <v>590</v>
      </c>
      <c r="N4147" s="1">
        <v>300</v>
      </c>
      <c r="O4147" s="1">
        <v>552</v>
      </c>
      <c r="P4147" s="1">
        <v>252</v>
      </c>
      <c r="Q4147" s="1" t="s">
        <v>42</v>
      </c>
      <c r="S4147" s="1" t="s">
        <v>42</v>
      </c>
      <c r="T4147" s="1" t="s">
        <v>273</v>
      </c>
      <c r="V4147" s="5">
        <v>43211</v>
      </c>
      <c r="W4147" s="5">
        <v>42019</v>
      </c>
      <c r="X4147" s="1">
        <v>414500</v>
      </c>
      <c r="AB4147" s="1" t="s">
        <v>275</v>
      </c>
      <c r="AF4147" s="1">
        <v>10039</v>
      </c>
      <c r="AJ4147" s="1">
        <v>1921</v>
      </c>
      <c r="AK4147" s="1" t="s">
        <v>146</v>
      </c>
      <c r="AL4147" s="1">
        <v>84</v>
      </c>
    </row>
    <row r="4148" spans="1:38" x14ac:dyDescent="0.2">
      <c r="A4148" s="2" t="str">
        <f>HYPERLINK("https://www.compass.com/listing/305-west-150th-street-unit-609-manhattan-ny-10039/803369691619335969/","305 W 150th St, Unit 609")</f>
        <v>305 W 150th St, Unit 609</v>
      </c>
      <c r="B4148" s="2" t="str">
        <f t="shared" si="695"/>
        <v>305 W 150th St</v>
      </c>
      <c r="C4148" s="1" t="s">
        <v>84</v>
      </c>
      <c r="D4148" s="1" t="s">
        <v>41</v>
      </c>
      <c r="E4148" s="3">
        <v>421500</v>
      </c>
      <c r="F4148" s="1">
        <v>719.28327645051195</v>
      </c>
      <c r="G4148" s="1">
        <v>3</v>
      </c>
      <c r="H4148" s="1">
        <v>1</v>
      </c>
      <c r="I4148" s="1">
        <v>1</v>
      </c>
      <c r="M4148" s="1">
        <v>586</v>
      </c>
      <c r="N4148" s="1">
        <v>313</v>
      </c>
      <c r="O4148" s="1">
        <v>576</v>
      </c>
      <c r="P4148" s="1">
        <v>263</v>
      </c>
      <c r="Q4148" s="1" t="s">
        <v>42</v>
      </c>
      <c r="S4148" s="1" t="s">
        <v>42</v>
      </c>
      <c r="T4148" s="1" t="s">
        <v>273</v>
      </c>
      <c r="V4148" s="5">
        <v>43211</v>
      </c>
      <c r="W4148" s="5">
        <v>42019</v>
      </c>
      <c r="X4148" s="1">
        <v>421500</v>
      </c>
      <c r="AB4148" s="1" t="s">
        <v>275</v>
      </c>
      <c r="AF4148" s="1">
        <v>10039</v>
      </c>
      <c r="AJ4148" s="1">
        <v>1921</v>
      </c>
      <c r="AK4148" s="1" t="s">
        <v>146</v>
      </c>
      <c r="AL4148" s="1">
        <v>84</v>
      </c>
    </row>
    <row r="4149" spans="1:38" x14ac:dyDescent="0.2">
      <c r="A4149" s="2" t="str">
        <f>HYPERLINK("https://www.compass.com/listing/172-madison-avenue-unit-6c-manhattan-ny-10016/29376704040458529/","172 Madison Ave, Unit 6C")</f>
        <v>172 Madison Ave, Unit 6C</v>
      </c>
      <c r="B4149" s="2" t="str">
        <f t="shared" ref="B4149:B4150" si="696">HYPERLINK("https://www.compass.com/building/172-madison-ave-manhattan-ny-10016/281937956250376981/","172 Madison Ave")</f>
        <v>172 Madison Ave</v>
      </c>
      <c r="C4149" s="1" t="s">
        <v>120</v>
      </c>
      <c r="D4149" s="1" t="s">
        <v>41</v>
      </c>
      <c r="E4149" s="3">
        <v>1333908</v>
      </c>
      <c r="F4149" s="1">
        <v>1497.0909090908999</v>
      </c>
      <c r="G4149" s="1">
        <v>3</v>
      </c>
      <c r="H4149" s="1">
        <v>1</v>
      </c>
      <c r="I4149" s="1">
        <v>2</v>
      </c>
      <c r="J4149" s="1">
        <v>1.5</v>
      </c>
      <c r="M4149" s="1">
        <v>891</v>
      </c>
      <c r="N4149" s="1">
        <v>1332</v>
      </c>
      <c r="O4149" s="1">
        <v>1952</v>
      </c>
      <c r="P4149" s="1">
        <v>620</v>
      </c>
      <c r="Q4149" s="1" t="s">
        <v>42</v>
      </c>
      <c r="S4149" s="1" t="s">
        <v>42</v>
      </c>
      <c r="T4149" s="1" t="s">
        <v>273</v>
      </c>
      <c r="U4149" s="1">
        <v>18</v>
      </c>
      <c r="V4149" s="5">
        <v>43662</v>
      </c>
      <c r="W4149" s="5">
        <v>42110</v>
      </c>
      <c r="X4149" s="1">
        <v>1300000</v>
      </c>
      <c r="Y4149" s="1">
        <v>1725000</v>
      </c>
      <c r="Z4149" s="5">
        <v>42128</v>
      </c>
      <c r="AA4149" s="1">
        <v>1333908</v>
      </c>
      <c r="AB4149" s="1" t="s">
        <v>2873</v>
      </c>
      <c r="AC4149" s="5">
        <v>42889</v>
      </c>
      <c r="AF4149" s="1">
        <v>10016</v>
      </c>
      <c r="AJ4149" s="1">
        <v>2016</v>
      </c>
      <c r="AK4149" s="1" t="s">
        <v>46</v>
      </c>
      <c r="AL4149" s="1">
        <v>72</v>
      </c>
    </row>
    <row r="4150" spans="1:38" x14ac:dyDescent="0.2">
      <c r="A4150" s="2" t="str">
        <f>HYPERLINK("https://www.compass.com/listing/172-madison-avenue-unit-5c-manhattan-ny-10016/783255133562274409/","172 Madison Ave, Unit 5C")</f>
        <v>172 Madison Ave, Unit 5C</v>
      </c>
      <c r="B4150" s="2" t="str">
        <f t="shared" si="696"/>
        <v>172 Madison Ave</v>
      </c>
      <c r="C4150" s="1" t="s">
        <v>120</v>
      </c>
      <c r="D4150" s="1" t="s">
        <v>41</v>
      </c>
      <c r="E4150" s="3">
        <v>1308451</v>
      </c>
      <c r="F4150" s="1">
        <v>1468.51992143658</v>
      </c>
      <c r="G4150" s="1">
        <v>3</v>
      </c>
      <c r="H4150" s="1">
        <v>1</v>
      </c>
      <c r="I4150" s="1">
        <v>2</v>
      </c>
      <c r="J4150" s="1">
        <v>1.5</v>
      </c>
      <c r="M4150" s="1">
        <v>891</v>
      </c>
      <c r="N4150" s="1">
        <v>1332</v>
      </c>
      <c r="O4150" s="1">
        <v>1952</v>
      </c>
      <c r="P4150" s="1">
        <v>620</v>
      </c>
      <c r="Q4150" s="1" t="s">
        <v>42</v>
      </c>
      <c r="S4150" s="1" t="s">
        <v>42</v>
      </c>
      <c r="T4150" s="1" t="s">
        <v>273</v>
      </c>
      <c r="V4150" s="5">
        <v>43031</v>
      </c>
      <c r="W4150" s="5">
        <v>42128</v>
      </c>
      <c r="X4150" s="1">
        <v>1325000</v>
      </c>
      <c r="Y4150" s="1">
        <v>1700000</v>
      </c>
      <c r="Z4150" s="5">
        <v>42129</v>
      </c>
      <c r="AA4150" s="1">
        <v>1308451.25</v>
      </c>
      <c r="AB4150" s="1" t="s">
        <v>2874</v>
      </c>
      <c r="AC4150" s="5">
        <v>43010</v>
      </c>
      <c r="AF4150" s="1">
        <v>10016</v>
      </c>
      <c r="AJ4150" s="1">
        <v>2016</v>
      </c>
      <c r="AK4150" s="1" t="s">
        <v>46</v>
      </c>
      <c r="AL4150" s="1">
        <v>72</v>
      </c>
    </row>
    <row r="4151" spans="1:38" x14ac:dyDescent="0.2">
      <c r="A4151" s="2" t="str">
        <f>HYPERLINK("https://www.compass.com/listing/1-west-end-avenue-unit-14h-manhattan-ny-10069/29397380214297281/","1 W End Ave, Unit 14H")</f>
        <v>1 W End Ave, Unit 14H</v>
      </c>
      <c r="B4151" s="2" t="str">
        <f t="shared" ref="B4151:B4152" si="697">HYPERLINK("https://www.compass.com/building/1-w-end-ave-manhattan-ny-10069/455676159137755317/","1 W End Ave")</f>
        <v>1 W End Ave</v>
      </c>
      <c r="C4151" s="1" t="s">
        <v>57</v>
      </c>
      <c r="D4151" s="1" t="s">
        <v>41</v>
      </c>
      <c r="E4151" s="3">
        <v>2594542</v>
      </c>
      <c r="F4151" s="1">
        <v>1886.9396363636299</v>
      </c>
      <c r="G4151" s="1">
        <v>4</v>
      </c>
      <c r="H4151" s="1">
        <v>2</v>
      </c>
      <c r="I4151" s="1">
        <v>1</v>
      </c>
      <c r="J4151" s="1">
        <v>1.5</v>
      </c>
      <c r="K4151" s="1">
        <v>1</v>
      </c>
      <c r="L4151" s="1">
        <v>1</v>
      </c>
      <c r="M4151" s="4">
        <v>1375</v>
      </c>
      <c r="N4151" s="1">
        <v>1594</v>
      </c>
      <c r="O4151" s="1">
        <v>1690</v>
      </c>
      <c r="P4151" s="1">
        <v>96</v>
      </c>
      <c r="Q4151" s="1" t="s">
        <v>42</v>
      </c>
      <c r="S4151" s="1" t="s">
        <v>42</v>
      </c>
      <c r="T4151" s="1" t="s">
        <v>273</v>
      </c>
      <c r="U4151" s="1">
        <v>1</v>
      </c>
      <c r="V4151" s="5">
        <v>43662</v>
      </c>
      <c r="W4151" s="5">
        <v>42199</v>
      </c>
      <c r="X4151" s="1">
        <v>2660000</v>
      </c>
      <c r="Y4151" s="1">
        <v>2660000</v>
      </c>
      <c r="Z4151" s="5">
        <v>42200</v>
      </c>
      <c r="AA4151" s="1">
        <v>2594542</v>
      </c>
      <c r="AB4151" s="1" t="s">
        <v>2875</v>
      </c>
      <c r="AC4151" s="5">
        <v>43061</v>
      </c>
      <c r="AF4151" s="1">
        <v>10069</v>
      </c>
      <c r="AI4151" s="1" t="s">
        <v>60</v>
      </c>
      <c r="AJ4151" s="1">
        <v>2017</v>
      </c>
      <c r="AK4151" s="1" t="s">
        <v>108</v>
      </c>
      <c r="AL4151" s="1">
        <v>246</v>
      </c>
    </row>
    <row r="4152" spans="1:38" x14ac:dyDescent="0.2">
      <c r="A4152" s="2" t="str">
        <f>HYPERLINK("https://www.compass.com/listing/1-west-end-avenue-unit-8k-manhattan-ny-10069/29397390792332145/","1 W End Ave, Unit 8K")</f>
        <v>1 W End Ave, Unit 8K</v>
      </c>
      <c r="B4152" s="2" t="str">
        <f t="shared" si="697"/>
        <v>1 W End Ave</v>
      </c>
      <c r="C4152" s="1" t="s">
        <v>57</v>
      </c>
      <c r="D4152" s="1" t="s">
        <v>41</v>
      </c>
      <c r="E4152" s="3">
        <v>2737310</v>
      </c>
      <c r="F4152" s="1">
        <v>1899.5905621096399</v>
      </c>
      <c r="G4152" s="1">
        <v>4</v>
      </c>
      <c r="H4152" s="1">
        <v>2</v>
      </c>
      <c r="I4152" s="1">
        <v>1</v>
      </c>
      <c r="J4152" s="1">
        <v>1.5</v>
      </c>
      <c r="K4152" s="1">
        <v>1</v>
      </c>
      <c r="L4152" s="1">
        <v>1</v>
      </c>
      <c r="M4152" s="4">
        <v>1441</v>
      </c>
      <c r="N4152" s="1">
        <v>1650</v>
      </c>
      <c r="O4152" s="1">
        <v>1749</v>
      </c>
      <c r="P4152" s="1">
        <v>99</v>
      </c>
      <c r="Q4152" s="1" t="s">
        <v>42</v>
      </c>
      <c r="S4152" s="1" t="s">
        <v>42</v>
      </c>
      <c r="T4152" s="1" t="s">
        <v>273</v>
      </c>
      <c r="V4152" s="5">
        <v>43624</v>
      </c>
      <c r="W4152" s="5">
        <v>42501</v>
      </c>
      <c r="X4152" s="1">
        <v>2680000</v>
      </c>
      <c r="Y4152" s="1">
        <v>2680000</v>
      </c>
      <c r="Z4152" s="5">
        <v>42501</v>
      </c>
      <c r="AA4152" s="1">
        <v>2737310</v>
      </c>
      <c r="AB4152" s="1" t="s">
        <v>2876</v>
      </c>
      <c r="AC4152" s="5">
        <v>43120</v>
      </c>
      <c r="AF4152" s="1">
        <v>10069</v>
      </c>
      <c r="AI4152" s="1" t="s">
        <v>60</v>
      </c>
      <c r="AJ4152" s="1">
        <v>2017</v>
      </c>
      <c r="AK4152" s="1" t="s">
        <v>108</v>
      </c>
      <c r="AL4152" s="1">
        <v>246</v>
      </c>
    </row>
    <row r="4153" spans="1:38" x14ac:dyDescent="0.2">
      <c r="A4153" s="2" t="str">
        <f>HYPERLINK("https://www.compass.com/listing/425-west-50th-street-unit-11e-manhattan-ny-10019/29513500451708641/","425 W 50th St, Unit 11E")</f>
        <v>425 W 50th St, Unit 11E</v>
      </c>
      <c r="B4153" s="2" t="str">
        <f>HYPERLINK("https://www.compass.com/building/stella-tower-manhattan-ny/281945855710262181/","Stella Tower")</f>
        <v>Stella Tower</v>
      </c>
      <c r="C4153" s="1" t="s">
        <v>90</v>
      </c>
      <c r="D4153" s="1" t="s">
        <v>41</v>
      </c>
      <c r="E4153" s="3">
        <v>2240150</v>
      </c>
      <c r="F4153" s="1">
        <v>2029.1213768115899</v>
      </c>
      <c r="G4153" s="1">
        <v>3</v>
      </c>
      <c r="H4153" s="1">
        <v>1</v>
      </c>
      <c r="I4153" s="1">
        <v>2</v>
      </c>
      <c r="J4153" s="1">
        <v>1.5</v>
      </c>
      <c r="M4153" s="4">
        <v>1104</v>
      </c>
      <c r="N4153" s="1">
        <v>1249</v>
      </c>
      <c r="O4153" s="1">
        <v>2014</v>
      </c>
      <c r="P4153" s="1">
        <v>765</v>
      </c>
      <c r="Q4153" s="1" t="s">
        <v>42</v>
      </c>
      <c r="S4153" s="1" t="s">
        <v>42</v>
      </c>
      <c r="T4153" s="1" t="s">
        <v>273</v>
      </c>
      <c r="V4153" s="5">
        <v>43643</v>
      </c>
      <c r="W4153" s="5">
        <v>41976</v>
      </c>
      <c r="X4153" s="1">
        <v>2200000</v>
      </c>
      <c r="Y4153" s="1">
        <v>2200000</v>
      </c>
      <c r="Z4153" s="5">
        <v>41976</v>
      </c>
      <c r="AA4153" s="1">
        <v>2240150</v>
      </c>
      <c r="AB4153" s="1" t="s">
        <v>2877</v>
      </c>
      <c r="AC4153" s="5">
        <v>41991</v>
      </c>
      <c r="AF4153" s="1">
        <v>10019</v>
      </c>
      <c r="AI4153" s="1" t="s">
        <v>80</v>
      </c>
      <c r="AJ4153" s="1">
        <v>1930</v>
      </c>
      <c r="AK4153" s="1" t="s">
        <v>46</v>
      </c>
      <c r="AL4153" s="1">
        <v>51</v>
      </c>
    </row>
    <row r="4154" spans="1:38" x14ac:dyDescent="0.2">
      <c r="A4154" s="2" t="str">
        <f>HYPERLINK("https://www.compass.com/listing/325-lexington-avenue-unit-4b-manhattan-ny-10016/29379685687248977/","325 Lexington Ave, Unit 4B")</f>
        <v>325 Lexington Ave, Unit 4B</v>
      </c>
      <c r="B4154" s="2" t="str">
        <f t="shared" ref="B4154:B4161" si="698">HYPERLINK("https://www.compass.com/building/325-lex-condominium-manhattan-ny/281939882467713365/","325 Lex Condominium")</f>
        <v>325 Lex Condominium</v>
      </c>
      <c r="C4154" s="1" t="s">
        <v>59</v>
      </c>
      <c r="D4154" s="1" t="s">
        <v>41</v>
      </c>
      <c r="E4154" s="3">
        <v>743323</v>
      </c>
      <c r="F4154" s="1">
        <v>1489.625250501</v>
      </c>
      <c r="G4154" s="1">
        <v>2</v>
      </c>
      <c r="H4154" s="1" t="s">
        <v>99</v>
      </c>
      <c r="I4154" s="1">
        <v>1</v>
      </c>
      <c r="J4154" s="1">
        <v>1</v>
      </c>
      <c r="K4154" s="1">
        <v>1</v>
      </c>
      <c r="M4154" s="1">
        <v>499</v>
      </c>
      <c r="N4154" s="1">
        <v>665</v>
      </c>
      <c r="O4154" s="1">
        <v>810</v>
      </c>
      <c r="P4154" s="1">
        <v>145</v>
      </c>
      <c r="Q4154" s="1" t="s">
        <v>42</v>
      </c>
      <c r="S4154" s="1" t="s">
        <v>42</v>
      </c>
      <c r="T4154" s="1" t="s">
        <v>273</v>
      </c>
      <c r="V4154" s="5">
        <v>43654</v>
      </c>
      <c r="W4154" s="5">
        <v>41951</v>
      </c>
      <c r="X4154" s="1">
        <v>810000</v>
      </c>
      <c r="Y4154" s="1">
        <v>810000</v>
      </c>
      <c r="Z4154" s="5">
        <v>41951</v>
      </c>
      <c r="AA4154" s="1">
        <v>743323</v>
      </c>
      <c r="AB4154" s="1" t="s">
        <v>2878</v>
      </c>
      <c r="AC4154" s="5">
        <v>42048</v>
      </c>
      <c r="AF4154" s="1">
        <v>10016</v>
      </c>
      <c r="AI4154" s="1" t="s">
        <v>60</v>
      </c>
      <c r="AJ4154" s="1">
        <v>2014</v>
      </c>
      <c r="AK4154" s="1" t="s">
        <v>108</v>
      </c>
      <c r="AL4154" s="1">
        <v>125</v>
      </c>
    </row>
    <row r="4155" spans="1:38" x14ac:dyDescent="0.2">
      <c r="A4155" s="2" t="str">
        <f>HYPERLINK("https://www.compass.com/listing/325-lexington-avenue-unit-10a-manhattan-ny-10016/29379697599133873/","325 Lexington Ave, Unit 10A")</f>
        <v>325 Lexington Ave, Unit 10A</v>
      </c>
      <c r="B4155" s="2" t="str">
        <f t="shared" si="698"/>
        <v>325 Lex Condominium</v>
      </c>
      <c r="C4155" s="1" t="s">
        <v>59</v>
      </c>
      <c r="D4155" s="1" t="s">
        <v>41</v>
      </c>
      <c r="E4155" s="3">
        <v>1186261</v>
      </c>
      <c r="F4155" s="1">
        <v>1844.8849144634501</v>
      </c>
      <c r="G4155" s="1">
        <v>3</v>
      </c>
      <c r="H4155" s="1">
        <v>1</v>
      </c>
      <c r="I4155" s="1">
        <v>1</v>
      </c>
      <c r="J4155" s="1">
        <v>1</v>
      </c>
      <c r="K4155" s="1">
        <v>1</v>
      </c>
      <c r="M4155" s="1">
        <v>643</v>
      </c>
      <c r="N4155" s="1">
        <v>883</v>
      </c>
      <c r="O4155" s="1">
        <v>1075</v>
      </c>
      <c r="P4155" s="1">
        <v>192</v>
      </c>
      <c r="Q4155" s="1" t="s">
        <v>42</v>
      </c>
      <c r="S4155" s="1" t="s">
        <v>42</v>
      </c>
      <c r="T4155" s="1" t="s">
        <v>273</v>
      </c>
      <c r="V4155" s="5">
        <v>43654</v>
      </c>
      <c r="W4155" s="5">
        <v>42056</v>
      </c>
      <c r="X4155" s="1">
        <v>1165000</v>
      </c>
      <c r="Y4155" s="1">
        <v>1165000</v>
      </c>
      <c r="Z4155" s="5">
        <v>42056</v>
      </c>
      <c r="AA4155" s="1">
        <v>1186261</v>
      </c>
      <c r="AB4155" s="1" t="s">
        <v>2879</v>
      </c>
      <c r="AC4155" s="5">
        <v>42109</v>
      </c>
      <c r="AF4155" s="1">
        <v>10016</v>
      </c>
      <c r="AI4155" s="1" t="s">
        <v>60</v>
      </c>
      <c r="AJ4155" s="1">
        <v>2014</v>
      </c>
      <c r="AK4155" s="1" t="s">
        <v>108</v>
      </c>
      <c r="AL4155" s="1">
        <v>125</v>
      </c>
    </row>
    <row r="4156" spans="1:38" x14ac:dyDescent="0.2">
      <c r="A4156" s="2" t="str">
        <f>HYPERLINK("https://www.compass.com/listing/325-lexington-avenue-unit-11a-manhattan-ny-10016/29379699822053745/","325 Lexington Ave, Unit 11A")</f>
        <v>325 Lexington Ave, Unit 11A</v>
      </c>
      <c r="B4156" s="2" t="str">
        <f t="shared" si="698"/>
        <v>325 Lex Condominium</v>
      </c>
      <c r="C4156" s="1" t="s">
        <v>59</v>
      </c>
      <c r="D4156" s="1" t="s">
        <v>41</v>
      </c>
      <c r="E4156" s="3">
        <v>1206626</v>
      </c>
      <c r="F4156" s="1">
        <v>1876.55676516329</v>
      </c>
      <c r="G4156" s="1">
        <v>3</v>
      </c>
      <c r="H4156" s="1">
        <v>1</v>
      </c>
      <c r="I4156" s="1">
        <v>1</v>
      </c>
      <c r="J4156" s="1">
        <v>1</v>
      </c>
      <c r="K4156" s="1">
        <v>1</v>
      </c>
      <c r="M4156" s="1">
        <v>643</v>
      </c>
      <c r="N4156" s="1">
        <v>887</v>
      </c>
      <c r="O4156" s="1">
        <v>1080</v>
      </c>
      <c r="P4156" s="1">
        <v>193</v>
      </c>
      <c r="Q4156" s="1" t="s">
        <v>42</v>
      </c>
      <c r="S4156" s="1" t="s">
        <v>42</v>
      </c>
      <c r="T4156" s="1" t="s">
        <v>273</v>
      </c>
      <c r="V4156" s="5">
        <v>43654</v>
      </c>
      <c r="W4156" s="5">
        <v>42063</v>
      </c>
      <c r="X4156" s="1">
        <v>1185000</v>
      </c>
      <c r="Y4156" s="1">
        <v>1185000</v>
      </c>
      <c r="Z4156" s="5">
        <v>42063</v>
      </c>
      <c r="AA4156" s="1">
        <v>1206626</v>
      </c>
      <c r="AB4156" s="1" t="s">
        <v>2880</v>
      </c>
      <c r="AC4156" s="5">
        <v>42102</v>
      </c>
      <c r="AF4156" s="1">
        <v>10016</v>
      </c>
      <c r="AI4156" s="1" t="s">
        <v>60</v>
      </c>
      <c r="AJ4156" s="1">
        <v>2014</v>
      </c>
      <c r="AK4156" s="1" t="s">
        <v>108</v>
      </c>
      <c r="AL4156" s="1">
        <v>125</v>
      </c>
    </row>
    <row r="4157" spans="1:38" x14ac:dyDescent="0.2">
      <c r="A4157" s="2" t="str">
        <f>HYPERLINK("https://www.compass.com/listing/325-lexington-avenue-unit-12a-manhattan-ny-10016/29379701835319697/","325 Lexington Ave, Unit 12A")</f>
        <v>325 Lexington Ave, Unit 12A</v>
      </c>
      <c r="B4157" s="2" t="str">
        <f t="shared" si="698"/>
        <v>325 Lex Condominium</v>
      </c>
      <c r="C4157" s="1" t="s">
        <v>59</v>
      </c>
      <c r="D4157" s="1" t="s">
        <v>41</v>
      </c>
      <c r="E4157" s="3">
        <v>1226991</v>
      </c>
      <c r="F4157" s="1">
        <v>1908.22861586314</v>
      </c>
      <c r="G4157" s="1">
        <v>3</v>
      </c>
      <c r="H4157" s="1">
        <v>1</v>
      </c>
      <c r="I4157" s="1">
        <v>1</v>
      </c>
      <c r="J4157" s="1">
        <v>1</v>
      </c>
      <c r="K4157" s="1">
        <v>1</v>
      </c>
      <c r="M4157" s="1">
        <v>643</v>
      </c>
      <c r="N4157" s="1">
        <v>891</v>
      </c>
      <c r="O4157" s="1">
        <v>1085</v>
      </c>
      <c r="P4157" s="1">
        <v>194</v>
      </c>
      <c r="Q4157" s="1" t="s">
        <v>42</v>
      </c>
      <c r="S4157" s="1" t="s">
        <v>42</v>
      </c>
      <c r="T4157" s="1" t="s">
        <v>273</v>
      </c>
      <c r="U4157" s="1">
        <v>27</v>
      </c>
      <c r="V4157" s="5">
        <v>43656</v>
      </c>
      <c r="W4157" s="5">
        <v>42011</v>
      </c>
      <c r="X4157" s="1">
        <v>1205000</v>
      </c>
      <c r="Y4157" s="1">
        <v>1205000</v>
      </c>
      <c r="Z4157" s="5">
        <v>42038</v>
      </c>
      <c r="AA4157" s="1">
        <v>1226991</v>
      </c>
      <c r="AB4157" s="1" t="s">
        <v>2881</v>
      </c>
      <c r="AC4157" s="5">
        <v>42125</v>
      </c>
      <c r="AF4157" s="1">
        <v>10016</v>
      </c>
      <c r="AI4157" s="1" t="s">
        <v>60</v>
      </c>
      <c r="AJ4157" s="1">
        <v>2014</v>
      </c>
      <c r="AK4157" s="1" t="s">
        <v>108</v>
      </c>
      <c r="AL4157" s="1">
        <v>125</v>
      </c>
    </row>
    <row r="4158" spans="1:38" x14ac:dyDescent="0.2">
      <c r="A4158" s="2" t="str">
        <f>HYPERLINK("https://www.compass.com/listing/325-lexington-avenue-unit-14e-manhattan-ny-10016/29379705341813537/","325 Lexington Ave, Unit 14E")</f>
        <v>325 Lexington Ave, Unit 14E</v>
      </c>
      <c r="B4158" s="2" t="str">
        <f t="shared" si="698"/>
        <v>325 Lex Condominium</v>
      </c>
      <c r="C4158" s="1" t="s">
        <v>59</v>
      </c>
      <c r="D4158" s="1" t="s">
        <v>41</v>
      </c>
      <c r="E4158" s="3">
        <v>1170988</v>
      </c>
      <c r="F4158" s="1">
        <v>1815.4844961240301</v>
      </c>
      <c r="G4158" s="1">
        <v>3</v>
      </c>
      <c r="H4158" s="1">
        <v>1</v>
      </c>
      <c r="I4158" s="1">
        <v>1</v>
      </c>
      <c r="J4158" s="1">
        <v>1</v>
      </c>
      <c r="K4158" s="1">
        <v>1</v>
      </c>
      <c r="M4158" s="1">
        <v>645</v>
      </c>
      <c r="N4158" s="1">
        <v>898</v>
      </c>
      <c r="O4158" s="1">
        <v>1093</v>
      </c>
      <c r="P4158" s="1">
        <v>195</v>
      </c>
      <c r="Q4158" s="1" t="s">
        <v>42</v>
      </c>
      <c r="S4158" s="1" t="s">
        <v>42</v>
      </c>
      <c r="T4158" s="1" t="s">
        <v>273</v>
      </c>
      <c r="U4158" s="1">
        <v>25</v>
      </c>
      <c r="V4158" s="5">
        <v>42282</v>
      </c>
      <c r="W4158" s="5">
        <v>42082</v>
      </c>
      <c r="X4158" s="1">
        <v>1150000</v>
      </c>
      <c r="Y4158" s="1">
        <v>1150000</v>
      </c>
      <c r="Z4158" s="5">
        <v>42108</v>
      </c>
      <c r="AA4158" s="1">
        <v>1170987.5</v>
      </c>
      <c r="AB4158" s="1" t="s">
        <v>2882</v>
      </c>
      <c r="AC4158" s="5">
        <v>42226</v>
      </c>
      <c r="AF4158" s="1">
        <v>10016</v>
      </c>
      <c r="AI4158" s="1" t="s">
        <v>2883</v>
      </c>
      <c r="AJ4158" s="1">
        <v>2014</v>
      </c>
      <c r="AK4158" s="1" t="s">
        <v>108</v>
      </c>
      <c r="AL4158" s="1">
        <v>125</v>
      </c>
    </row>
    <row r="4159" spans="1:38" x14ac:dyDescent="0.2">
      <c r="A4159" s="2" t="str">
        <f>HYPERLINK("https://www.compass.com/listing/325-lexington-avenue-unit-17e-manhattan-ny-10016/29379713017390001/","325 Lexington Ave, Unit 17E")</f>
        <v>325 Lexington Ave, Unit 17E</v>
      </c>
      <c r="B4159" s="2" t="str">
        <f t="shared" si="698"/>
        <v>325 Lex Condominium</v>
      </c>
      <c r="C4159" s="1" t="s">
        <v>59</v>
      </c>
      <c r="D4159" s="1" t="s">
        <v>41</v>
      </c>
      <c r="E4159" s="3">
        <v>1262630</v>
      </c>
      <c r="F4159" s="1">
        <v>1957.5658914728599</v>
      </c>
      <c r="G4159" s="1">
        <v>3</v>
      </c>
      <c r="H4159" s="1">
        <v>1</v>
      </c>
      <c r="I4159" s="1">
        <v>1</v>
      </c>
      <c r="J4159" s="1">
        <v>1</v>
      </c>
      <c r="K4159" s="1">
        <v>1</v>
      </c>
      <c r="M4159" s="1">
        <v>645</v>
      </c>
      <c r="N4159" s="1">
        <v>910</v>
      </c>
      <c r="O4159" s="1">
        <v>1109</v>
      </c>
      <c r="P4159" s="1">
        <v>199</v>
      </c>
      <c r="Q4159" s="1" t="s">
        <v>42</v>
      </c>
      <c r="S4159" s="1" t="s">
        <v>42</v>
      </c>
      <c r="T4159" s="1" t="s">
        <v>273</v>
      </c>
      <c r="V4159" s="5">
        <v>43654</v>
      </c>
      <c r="W4159" s="5">
        <v>42059</v>
      </c>
      <c r="X4159" s="1">
        <v>1240000</v>
      </c>
      <c r="Y4159" s="1">
        <v>1240000</v>
      </c>
      <c r="Z4159" s="5">
        <v>42059</v>
      </c>
      <c r="AA4159" s="1">
        <v>1262630</v>
      </c>
      <c r="AB4159" s="1" t="s">
        <v>2884</v>
      </c>
      <c r="AC4159" s="5">
        <v>42136</v>
      </c>
      <c r="AF4159" s="1">
        <v>10016</v>
      </c>
      <c r="AI4159" s="1" t="s">
        <v>60</v>
      </c>
      <c r="AJ4159" s="1">
        <v>2014</v>
      </c>
      <c r="AK4159" s="1" t="s">
        <v>108</v>
      </c>
      <c r="AL4159" s="1">
        <v>125</v>
      </c>
    </row>
    <row r="4160" spans="1:38" x14ac:dyDescent="0.2">
      <c r="A4160" s="2" t="str">
        <f>HYPERLINK("https://www.compass.com/listing/325-lexington-avenue-unit-15e-manhattan-ny-10016/29509810814724769/","325 Lexington Ave, Unit 15E")</f>
        <v>325 Lexington Ave, Unit 15E</v>
      </c>
      <c r="B4160" s="2" t="str">
        <f t="shared" si="698"/>
        <v>325 Lex Condominium</v>
      </c>
      <c r="C4160" s="1" t="s">
        <v>59</v>
      </c>
      <c r="D4160" s="1" t="s">
        <v>41</v>
      </c>
      <c r="E4160" s="3">
        <v>1191353</v>
      </c>
      <c r="F4160" s="1">
        <v>1847.05813953488</v>
      </c>
      <c r="G4160" s="1">
        <v>2</v>
      </c>
      <c r="H4160" s="1">
        <v>1</v>
      </c>
      <c r="I4160" s="1">
        <v>1</v>
      </c>
      <c r="J4160" s="1">
        <v>1</v>
      </c>
      <c r="K4160" s="1">
        <v>1</v>
      </c>
      <c r="M4160" s="1">
        <v>645</v>
      </c>
      <c r="N4160" s="1">
        <v>903</v>
      </c>
      <c r="O4160" s="1">
        <v>1100</v>
      </c>
      <c r="P4160" s="1">
        <v>197</v>
      </c>
      <c r="Q4160" s="1" t="s">
        <v>42</v>
      </c>
      <c r="S4160" s="1" t="s">
        <v>42</v>
      </c>
      <c r="T4160" s="1" t="s">
        <v>273</v>
      </c>
      <c r="V4160" s="5">
        <v>42164</v>
      </c>
      <c r="W4160" s="5">
        <v>42110</v>
      </c>
      <c r="X4160" s="1">
        <v>1170000</v>
      </c>
      <c r="Y4160" s="1">
        <v>1170000</v>
      </c>
      <c r="Z4160" s="5">
        <v>42111</v>
      </c>
      <c r="AA4160" s="1">
        <v>1191352.5</v>
      </c>
      <c r="AB4160" s="1" t="s">
        <v>2885</v>
      </c>
      <c r="AC4160" s="5">
        <v>42146</v>
      </c>
      <c r="AF4160" s="1">
        <v>10016</v>
      </c>
      <c r="AI4160" s="1" t="s">
        <v>60</v>
      </c>
      <c r="AJ4160" s="1">
        <v>2014</v>
      </c>
      <c r="AK4160" s="1" t="s">
        <v>108</v>
      </c>
      <c r="AL4160" s="1">
        <v>125</v>
      </c>
    </row>
    <row r="4161" spans="1:38" x14ac:dyDescent="0.2">
      <c r="A4161" s="2" t="str">
        <f>HYPERLINK("https://www.compass.com/listing/325-lexington-avenue-unit-14e-manhattan-ny-10016/803356039428726977/","325 Lexington Ave, Unit 14E")</f>
        <v>325 Lexington Ave, Unit 14E</v>
      </c>
      <c r="B4161" s="2" t="str">
        <f t="shared" si="698"/>
        <v>325 Lex Condominium</v>
      </c>
      <c r="C4161" s="1" t="s">
        <v>59</v>
      </c>
      <c r="D4161" s="1" t="s">
        <v>41</v>
      </c>
      <c r="E4161" s="3">
        <v>1170988</v>
      </c>
      <c r="F4161" s="1">
        <v>1815.4844961240301</v>
      </c>
      <c r="G4161" s="1">
        <v>3</v>
      </c>
      <c r="H4161" s="1">
        <v>1</v>
      </c>
      <c r="I4161" s="1">
        <v>1</v>
      </c>
      <c r="J4161" s="1">
        <v>1</v>
      </c>
      <c r="K4161" s="1">
        <v>1</v>
      </c>
      <c r="M4161" s="1">
        <v>645</v>
      </c>
      <c r="Q4161" s="1" t="s">
        <v>42</v>
      </c>
      <c r="S4161" s="1" t="s">
        <v>42</v>
      </c>
      <c r="T4161" s="1" t="s">
        <v>273</v>
      </c>
      <c r="U4161" s="1">
        <v>146</v>
      </c>
      <c r="V4161" s="5">
        <v>42993</v>
      </c>
      <c r="W4161" s="5">
        <v>41964</v>
      </c>
      <c r="AA4161" s="1">
        <v>1170987.5</v>
      </c>
      <c r="AB4161" s="1" t="s">
        <v>2882</v>
      </c>
      <c r="AC4161" s="5">
        <v>42226</v>
      </c>
      <c r="AF4161" s="1">
        <v>10016</v>
      </c>
      <c r="AI4161" s="1" t="s">
        <v>60</v>
      </c>
      <c r="AJ4161" s="1">
        <v>2014</v>
      </c>
      <c r="AK4161" s="1" t="s">
        <v>108</v>
      </c>
      <c r="AL4161" s="1">
        <v>125</v>
      </c>
    </row>
    <row r="4162" spans="1:38" x14ac:dyDescent="0.2">
      <c r="A4162" s="2" t="str">
        <f>HYPERLINK("https://www.compass.com/listing/305-west-150th-street-unit-407-manhattan-ny-10039/29434120253764929/","305 W 150th St, Unit 407")</f>
        <v>305 W 150th St, Unit 407</v>
      </c>
      <c r="B4162" s="2" t="str">
        <f>HYPERLINK("https://www.compass.com/building/305-w-150th-st-manhattan-ny-10039/282032234968400245/","305 W 150th St")</f>
        <v>305 W 150th St</v>
      </c>
      <c r="C4162" s="1" t="s">
        <v>84</v>
      </c>
      <c r="D4162" s="1" t="s">
        <v>41</v>
      </c>
      <c r="E4162" s="3">
        <v>468468</v>
      </c>
      <c r="F4162" s="1">
        <v>821.87368421052599</v>
      </c>
      <c r="G4162" s="1">
        <v>3</v>
      </c>
      <c r="H4162" s="1">
        <v>1</v>
      </c>
      <c r="I4162" s="1">
        <v>1</v>
      </c>
      <c r="J4162" s="1">
        <v>1</v>
      </c>
      <c r="K4162" s="1">
        <v>1</v>
      </c>
      <c r="M4162" s="1">
        <v>570</v>
      </c>
      <c r="N4162" s="1">
        <v>346.92</v>
      </c>
      <c r="O4162" s="1">
        <v>597.44000000000005</v>
      </c>
      <c r="P4162" s="1">
        <v>250.5</v>
      </c>
      <c r="Q4162" s="1" t="s">
        <v>42</v>
      </c>
      <c r="S4162" s="1" t="s">
        <v>42</v>
      </c>
      <c r="T4162" s="1" t="s">
        <v>273</v>
      </c>
      <c r="U4162" s="1">
        <v>131</v>
      </c>
      <c r="V4162" s="5">
        <v>42454</v>
      </c>
      <c r="W4162" s="5">
        <v>41733</v>
      </c>
      <c r="X4162" s="1">
        <v>362500</v>
      </c>
      <c r="Y4162" s="1">
        <v>462000</v>
      </c>
      <c r="Z4162" s="5">
        <v>42382</v>
      </c>
      <c r="AA4162" s="1">
        <v>468468</v>
      </c>
      <c r="AB4162" s="1" t="s">
        <v>2886</v>
      </c>
      <c r="AC4162" s="5">
        <v>42447</v>
      </c>
      <c r="AF4162" s="1">
        <v>10039</v>
      </c>
      <c r="AJ4162" s="1">
        <v>1921</v>
      </c>
      <c r="AK4162" s="1" t="s">
        <v>143</v>
      </c>
      <c r="AL4162" s="1">
        <v>84</v>
      </c>
    </row>
    <row r="4163" spans="1:38" x14ac:dyDescent="0.2">
      <c r="A4163" s="2" t="str">
        <f>HYPERLINK("https://www.compass.com/listing/325-lexington-avenue-unit-12e-manhattan-ny-10016/29379703085222305/","325 Lexington Ave, Unit 12E")</f>
        <v>325 Lexington Ave, Unit 12E</v>
      </c>
      <c r="B4163" s="2" t="str">
        <f t="shared" ref="B4163:B4164" si="699">HYPERLINK("https://www.compass.com/building/325-lex-condominium-manhattan-ny/281939882467713365/","325 Lex Condominium")</f>
        <v>325 Lex Condominium</v>
      </c>
      <c r="C4163" s="1" t="s">
        <v>59</v>
      </c>
      <c r="D4163" s="1" t="s">
        <v>41</v>
      </c>
      <c r="E4163" s="3">
        <v>1109893</v>
      </c>
      <c r="F4163" s="1">
        <v>1720.76434108527</v>
      </c>
      <c r="G4163" s="1">
        <v>3</v>
      </c>
      <c r="H4163" s="1">
        <v>1</v>
      </c>
      <c r="I4163" s="1">
        <v>1</v>
      </c>
      <c r="J4163" s="1">
        <v>1</v>
      </c>
      <c r="K4163" s="1">
        <v>1</v>
      </c>
      <c r="M4163" s="1">
        <v>645</v>
      </c>
      <c r="N4163" s="1">
        <v>898</v>
      </c>
      <c r="O4163" s="1">
        <v>1093</v>
      </c>
      <c r="P4163" s="1">
        <v>195</v>
      </c>
      <c r="Q4163" s="1" t="s">
        <v>42</v>
      </c>
      <c r="S4163" s="1" t="s">
        <v>42</v>
      </c>
      <c r="T4163" s="1" t="s">
        <v>273</v>
      </c>
      <c r="U4163" s="1">
        <v>76</v>
      </c>
      <c r="V4163" s="5">
        <v>43654</v>
      </c>
      <c r="W4163" s="5">
        <v>41900</v>
      </c>
      <c r="X4163" s="1">
        <v>1090000</v>
      </c>
      <c r="Y4163" s="1">
        <v>1130000</v>
      </c>
      <c r="Z4163" s="5">
        <v>41976</v>
      </c>
      <c r="AA4163" s="1">
        <v>1109893</v>
      </c>
      <c r="AB4163" s="1" t="s">
        <v>2887</v>
      </c>
      <c r="AC4163" s="5">
        <v>42097</v>
      </c>
      <c r="AF4163" s="1">
        <v>10016</v>
      </c>
      <c r="AI4163" s="1" t="s">
        <v>60</v>
      </c>
      <c r="AJ4163" s="1">
        <v>2014</v>
      </c>
      <c r="AK4163" s="1" t="s">
        <v>108</v>
      </c>
      <c r="AL4163" s="1">
        <v>125</v>
      </c>
    </row>
    <row r="4164" spans="1:38" x14ac:dyDescent="0.2">
      <c r="A4164" s="2" t="str">
        <f>HYPERLINK("https://www.compass.com/listing/325-lexington-avenue-unit-25b-manhattan-ny-10016/29379727697398673/","325 Lexington Ave, Unit 25B")</f>
        <v>325 Lexington Ave, Unit 25B</v>
      </c>
      <c r="B4164" s="2" t="str">
        <f t="shared" si="699"/>
        <v>325 Lex Condominium</v>
      </c>
      <c r="C4164" s="1" t="s">
        <v>59</v>
      </c>
      <c r="D4164" s="1" t="s">
        <v>41</v>
      </c>
      <c r="E4164" s="3">
        <v>1715751</v>
      </c>
      <c r="F4164" s="1">
        <v>2160.89546599496</v>
      </c>
      <c r="G4164" s="1">
        <v>3</v>
      </c>
      <c r="H4164" s="1">
        <v>1</v>
      </c>
      <c r="I4164" s="1">
        <v>1</v>
      </c>
      <c r="J4164" s="1">
        <v>1</v>
      </c>
      <c r="K4164" s="1">
        <v>1</v>
      </c>
      <c r="M4164" s="1">
        <v>794</v>
      </c>
      <c r="N4164" s="1">
        <v>1163</v>
      </c>
      <c r="O4164" s="1">
        <v>1416</v>
      </c>
      <c r="P4164" s="1">
        <v>253</v>
      </c>
      <c r="Q4164" s="1" t="s">
        <v>42</v>
      </c>
      <c r="S4164" s="1" t="s">
        <v>42</v>
      </c>
      <c r="T4164" s="1" t="s">
        <v>273</v>
      </c>
      <c r="V4164" s="5">
        <v>43654</v>
      </c>
      <c r="W4164" s="5">
        <v>42028</v>
      </c>
      <c r="X4164" s="1">
        <v>1685000</v>
      </c>
      <c r="Y4164" s="1">
        <v>1685000</v>
      </c>
      <c r="Z4164" s="5">
        <v>42028</v>
      </c>
      <c r="AA4164" s="1">
        <v>1715751</v>
      </c>
      <c r="AB4164" s="1" t="s">
        <v>2888</v>
      </c>
      <c r="AC4164" s="5">
        <v>42087</v>
      </c>
      <c r="AF4164" s="1">
        <v>10016</v>
      </c>
      <c r="AI4164" s="1" t="s">
        <v>60</v>
      </c>
      <c r="AJ4164" s="1">
        <v>2014</v>
      </c>
      <c r="AK4164" s="1" t="s">
        <v>108</v>
      </c>
      <c r="AL4164" s="1">
        <v>125</v>
      </c>
    </row>
    <row r="4165" spans="1:38" x14ac:dyDescent="0.2">
      <c r="A4165" s="2" t="str">
        <f>HYPERLINK("https://www.compass.com/listing/1-west-end-avenue-unit-9g-manhattan-ny-10069/29397371263668673/","1 W End Ave, Unit 9G")</f>
        <v>1 W End Ave, Unit 9G</v>
      </c>
      <c r="B4165" s="2" t="str">
        <f t="shared" ref="B4165:B4168" si="700">HYPERLINK("https://www.compass.com/building/1-w-end-ave-manhattan-ny-10069/455676159137755317/","1 W End Ave")</f>
        <v>1 W End Ave</v>
      </c>
      <c r="C4165" s="1" t="s">
        <v>57</v>
      </c>
      <c r="D4165" s="1" t="s">
        <v>41</v>
      </c>
      <c r="E4165" s="3">
        <v>2293338</v>
      </c>
      <c r="F4165" s="1">
        <v>1920.7185929648199</v>
      </c>
      <c r="G4165" s="1">
        <v>4</v>
      </c>
      <c r="H4165" s="1">
        <v>2</v>
      </c>
      <c r="I4165" s="1">
        <v>2</v>
      </c>
      <c r="J4165" s="1">
        <v>2</v>
      </c>
      <c r="K4165" s="1">
        <v>2</v>
      </c>
      <c r="M4165" s="4">
        <v>1194</v>
      </c>
      <c r="N4165" s="1">
        <v>1443</v>
      </c>
      <c r="O4165" s="1">
        <v>1529</v>
      </c>
      <c r="P4165" s="1">
        <v>86</v>
      </c>
      <c r="Q4165" s="1" t="s">
        <v>42</v>
      </c>
      <c r="S4165" s="1" t="s">
        <v>42</v>
      </c>
      <c r="T4165" s="1" t="s">
        <v>273</v>
      </c>
      <c r="U4165" s="1">
        <v>27</v>
      </c>
      <c r="V4165" s="5">
        <v>43624</v>
      </c>
      <c r="W4165" s="5">
        <v>42182</v>
      </c>
      <c r="X4165" s="1">
        <v>2245000</v>
      </c>
      <c r="Y4165" s="1">
        <v>2245000</v>
      </c>
      <c r="Z4165" s="5">
        <v>42209</v>
      </c>
      <c r="AA4165" s="1">
        <v>2293338</v>
      </c>
      <c r="AB4165" s="1" t="s">
        <v>2889</v>
      </c>
      <c r="AC4165" s="5">
        <v>43025</v>
      </c>
      <c r="AF4165" s="1">
        <v>10069</v>
      </c>
      <c r="AI4165" s="1" t="s">
        <v>60</v>
      </c>
      <c r="AJ4165" s="1">
        <v>2017</v>
      </c>
      <c r="AK4165" s="1" t="s">
        <v>108</v>
      </c>
      <c r="AL4165" s="1">
        <v>246</v>
      </c>
    </row>
    <row r="4166" spans="1:38" x14ac:dyDescent="0.2">
      <c r="A4166" s="2" t="str">
        <f>HYPERLINK("https://www.compass.com/listing/1-west-end-avenue-unit-10g-manhattan-ny-10069/29397371691563889/","1 W End Ave, Unit 10G")</f>
        <v>1 W End Ave, Unit 10G</v>
      </c>
      <c r="B4166" s="2" t="str">
        <f t="shared" si="700"/>
        <v>1 W End Ave</v>
      </c>
      <c r="C4166" s="1" t="s">
        <v>57</v>
      </c>
      <c r="D4166" s="1" t="s">
        <v>41</v>
      </c>
      <c r="E4166" s="3">
        <v>2176231</v>
      </c>
      <c r="F4166" s="1">
        <v>1822.6390284757099</v>
      </c>
      <c r="G4166" s="1">
        <v>4</v>
      </c>
      <c r="H4166" s="1">
        <v>2</v>
      </c>
      <c r="I4166" s="1">
        <v>2</v>
      </c>
      <c r="J4166" s="1">
        <v>2</v>
      </c>
      <c r="K4166" s="1">
        <v>2</v>
      </c>
      <c r="M4166" s="4">
        <v>1194</v>
      </c>
      <c r="N4166" s="1">
        <v>1443</v>
      </c>
      <c r="O4166" s="1">
        <v>1529</v>
      </c>
      <c r="P4166" s="1">
        <v>86</v>
      </c>
      <c r="Q4166" s="1" t="s">
        <v>42</v>
      </c>
      <c r="S4166" s="1" t="s">
        <v>42</v>
      </c>
      <c r="T4166" s="1" t="s">
        <v>273</v>
      </c>
      <c r="U4166" s="1">
        <v>4</v>
      </c>
      <c r="V4166" s="5">
        <v>43623</v>
      </c>
      <c r="W4166" s="5">
        <v>42188</v>
      </c>
      <c r="X4166" s="1">
        <v>2265000</v>
      </c>
      <c r="Y4166" s="1">
        <v>2265000</v>
      </c>
      <c r="Z4166" s="5">
        <v>42192</v>
      </c>
      <c r="AA4166" s="1">
        <v>2176231</v>
      </c>
      <c r="AB4166" s="1" t="s">
        <v>2890</v>
      </c>
      <c r="AC4166" s="5">
        <v>43013</v>
      </c>
      <c r="AF4166" s="1">
        <v>10069</v>
      </c>
      <c r="AI4166" s="1" t="s">
        <v>60</v>
      </c>
      <c r="AJ4166" s="1">
        <v>2017</v>
      </c>
      <c r="AK4166" s="1" t="s">
        <v>108</v>
      </c>
      <c r="AL4166" s="1">
        <v>246</v>
      </c>
    </row>
    <row r="4167" spans="1:38" x14ac:dyDescent="0.2">
      <c r="A4167" s="2" t="str">
        <f>HYPERLINK("https://www.compass.com/listing/1-west-end-avenue-unit-18g-manhattan-ny-10069/29397374333882977/","1 W End Ave, Unit 18G")</f>
        <v>1 W End Ave, Unit 18G</v>
      </c>
      <c r="B4167" s="2" t="str">
        <f t="shared" si="700"/>
        <v>1 W End Ave</v>
      </c>
      <c r="C4167" s="1" t="s">
        <v>57</v>
      </c>
      <c r="D4167" s="1" t="s">
        <v>41</v>
      </c>
      <c r="E4167" s="3">
        <v>2339159</v>
      </c>
      <c r="F4167" s="1">
        <v>1959.0946398659901</v>
      </c>
      <c r="G4167" s="1">
        <v>4</v>
      </c>
      <c r="H4167" s="1">
        <v>2</v>
      </c>
      <c r="I4167" s="1">
        <v>2</v>
      </c>
      <c r="J4167" s="1">
        <v>2</v>
      </c>
      <c r="K4167" s="1">
        <v>2</v>
      </c>
      <c r="M4167" s="4">
        <v>1194</v>
      </c>
      <c r="N4167" s="1">
        <v>1443</v>
      </c>
      <c r="O4167" s="1">
        <v>1529</v>
      </c>
      <c r="P4167" s="1">
        <v>86</v>
      </c>
      <c r="Q4167" s="1" t="s">
        <v>42</v>
      </c>
      <c r="S4167" s="1" t="s">
        <v>42</v>
      </c>
      <c r="T4167" s="1" t="s">
        <v>273</v>
      </c>
      <c r="V4167" s="5">
        <v>43624</v>
      </c>
      <c r="W4167" s="5">
        <v>42203</v>
      </c>
      <c r="X4167" s="1">
        <v>2425000</v>
      </c>
      <c r="Y4167" s="1">
        <v>2425000</v>
      </c>
      <c r="Z4167" s="5">
        <v>42203</v>
      </c>
      <c r="AA4167" s="1">
        <v>2339159</v>
      </c>
      <c r="AB4167" s="1" t="s">
        <v>2891</v>
      </c>
      <c r="AC4167" s="5">
        <v>43011</v>
      </c>
      <c r="AF4167" s="1">
        <v>10069</v>
      </c>
      <c r="AI4167" s="1" t="s">
        <v>60</v>
      </c>
      <c r="AJ4167" s="1">
        <v>2017</v>
      </c>
      <c r="AK4167" s="1" t="s">
        <v>108</v>
      </c>
      <c r="AL4167" s="1">
        <v>246</v>
      </c>
    </row>
    <row r="4168" spans="1:38" x14ac:dyDescent="0.2">
      <c r="A4168" s="2" t="str">
        <f>HYPERLINK("https://www.compass.com/listing/1-west-end-avenue-unit-19g-manhattan-ny-10069/29397374786884097/","1 W End Ave, Unit 19G")</f>
        <v>1 W End Ave, Unit 19G</v>
      </c>
      <c r="B4168" s="2" t="str">
        <f t="shared" si="700"/>
        <v>1 W End Ave</v>
      </c>
      <c r="C4168" s="1" t="s">
        <v>57</v>
      </c>
      <c r="D4168" s="1" t="s">
        <v>41</v>
      </c>
      <c r="E4168" s="3">
        <v>2410437</v>
      </c>
      <c r="F4168" s="1">
        <v>2018.7914572864299</v>
      </c>
      <c r="G4168" s="1">
        <v>4</v>
      </c>
      <c r="H4168" s="1">
        <v>2</v>
      </c>
      <c r="I4168" s="1">
        <v>2</v>
      </c>
      <c r="J4168" s="1">
        <v>2</v>
      </c>
      <c r="K4168" s="1">
        <v>2</v>
      </c>
      <c r="M4168" s="4">
        <v>1194</v>
      </c>
      <c r="N4168" s="1">
        <v>1443</v>
      </c>
      <c r="O4168" s="1">
        <v>1529</v>
      </c>
      <c r="P4168" s="1">
        <v>86</v>
      </c>
      <c r="Q4168" s="1" t="s">
        <v>42</v>
      </c>
      <c r="S4168" s="1" t="s">
        <v>42</v>
      </c>
      <c r="T4168" s="1" t="s">
        <v>273</v>
      </c>
      <c r="U4168" s="1">
        <v>13</v>
      </c>
      <c r="V4168" s="5">
        <v>43650</v>
      </c>
      <c r="W4168" s="5">
        <v>42180</v>
      </c>
      <c r="X4168" s="1">
        <v>2360000</v>
      </c>
      <c r="Y4168" s="1">
        <v>2360000</v>
      </c>
      <c r="Z4168" s="5">
        <v>42193</v>
      </c>
      <c r="AA4168" s="1">
        <v>2410437</v>
      </c>
      <c r="AB4168" s="1" t="s">
        <v>2892</v>
      </c>
      <c r="AC4168" s="5">
        <v>42979</v>
      </c>
      <c r="AF4168" s="1">
        <v>10069</v>
      </c>
      <c r="AI4168" s="1" t="s">
        <v>60</v>
      </c>
      <c r="AJ4168" s="1">
        <v>2017</v>
      </c>
      <c r="AK4168" s="1" t="s">
        <v>108</v>
      </c>
      <c r="AL4168" s="1">
        <v>246</v>
      </c>
    </row>
    <row r="4169" spans="1:38" x14ac:dyDescent="0.2">
      <c r="A4169" s="2" t="str">
        <f>HYPERLINK("https://www.compass.com/listing/325-lexington-avenue-unit-14d-manhattan-ny-10016/29379704914000177/","325 Lexington Ave, Unit 14D")</f>
        <v>325 Lexington Ave, Unit 14D</v>
      </c>
      <c r="B4169" s="2" t="str">
        <f>HYPERLINK("https://www.compass.com/building/325-lex-condominium-manhattan-ny/281939882467713365/","325 Lex Condominium")</f>
        <v>325 Lex Condominium</v>
      </c>
      <c r="C4169" s="1" t="s">
        <v>59</v>
      </c>
      <c r="D4169" s="1" t="s">
        <v>41</v>
      </c>
      <c r="E4169" s="3">
        <v>1282995</v>
      </c>
      <c r="F4169" s="1">
        <v>1701.5848806366</v>
      </c>
      <c r="G4169" s="1">
        <v>3</v>
      </c>
      <c r="H4169" s="1">
        <v>1</v>
      </c>
      <c r="I4169" s="1">
        <v>1</v>
      </c>
      <c r="J4169" s="1">
        <v>1</v>
      </c>
      <c r="K4169" s="1">
        <v>1</v>
      </c>
      <c r="M4169" s="1">
        <v>754</v>
      </c>
      <c r="N4169" s="1">
        <v>1050</v>
      </c>
      <c r="O4169" s="1">
        <v>1279</v>
      </c>
      <c r="P4169" s="1">
        <v>229</v>
      </c>
      <c r="Q4169" s="1" t="s">
        <v>42</v>
      </c>
      <c r="S4169" s="1" t="s">
        <v>42</v>
      </c>
      <c r="T4169" s="1" t="s">
        <v>273</v>
      </c>
      <c r="V4169" s="5">
        <v>43655</v>
      </c>
      <c r="W4169" s="5">
        <v>41951</v>
      </c>
      <c r="X4169" s="1">
        <v>1310000</v>
      </c>
      <c r="Y4169" s="1">
        <v>1310000</v>
      </c>
      <c r="Z4169" s="5">
        <v>41951</v>
      </c>
      <c r="AA4169" s="1">
        <v>1282995</v>
      </c>
      <c r="AB4169" s="1" t="s">
        <v>2893</v>
      </c>
      <c r="AC4169" s="5">
        <v>42041</v>
      </c>
      <c r="AF4169" s="1">
        <v>10016</v>
      </c>
      <c r="AI4169" s="1" t="s">
        <v>60</v>
      </c>
      <c r="AJ4169" s="1">
        <v>2014</v>
      </c>
      <c r="AK4169" s="1" t="s">
        <v>108</v>
      </c>
      <c r="AL4169" s="1">
        <v>125</v>
      </c>
    </row>
    <row r="4170" spans="1:38" x14ac:dyDescent="0.2">
      <c r="A4170" s="2" t="str">
        <f>HYPERLINK("https://www.compass.com/listing/1-west-end-avenue-unit-12g-manhattan-ny-10069/621907075301548049/","1 W End Ave, Unit 12G")</f>
        <v>1 W End Ave, Unit 12G</v>
      </c>
      <c r="B4170" s="2" t="str">
        <f>HYPERLINK("https://www.compass.com/building/1-w-end-ave-manhattan-ny-10069/455676159137755317/","1 W End Ave")</f>
        <v>1 W End Ave</v>
      </c>
      <c r="C4170" s="1" t="s">
        <v>57</v>
      </c>
      <c r="D4170" s="1" t="s">
        <v>41</v>
      </c>
      <c r="E4170" s="3">
        <v>2092000</v>
      </c>
      <c r="F4170" s="1">
        <v>1752.0938023450501</v>
      </c>
      <c r="G4170" s="1">
        <v>4</v>
      </c>
      <c r="H4170" s="1">
        <v>2</v>
      </c>
      <c r="I4170" s="1">
        <v>2</v>
      </c>
      <c r="J4170" s="1">
        <v>2</v>
      </c>
      <c r="M4170" s="4">
        <v>1194</v>
      </c>
      <c r="N4170" s="1">
        <v>1497</v>
      </c>
      <c r="O4170" s="1">
        <v>1583</v>
      </c>
      <c r="P4170" s="1">
        <v>86</v>
      </c>
      <c r="Q4170" s="1" t="s">
        <v>42</v>
      </c>
      <c r="S4170" s="1" t="s">
        <v>42</v>
      </c>
      <c r="T4170" s="1" t="s">
        <v>273</v>
      </c>
      <c r="U4170" s="1">
        <v>144</v>
      </c>
      <c r="V4170" s="5">
        <v>44385</v>
      </c>
      <c r="W4170" s="5">
        <v>44109</v>
      </c>
      <c r="X4170" s="1">
        <v>2620000</v>
      </c>
      <c r="Y4170" s="1">
        <v>2280000</v>
      </c>
      <c r="Z4170" s="5">
        <v>44253</v>
      </c>
      <c r="AA4170" s="1">
        <v>2092000</v>
      </c>
      <c r="AB4170" s="1" t="s">
        <v>2894</v>
      </c>
      <c r="AC4170" s="5">
        <v>44344</v>
      </c>
      <c r="AF4170" s="1">
        <v>10069</v>
      </c>
      <c r="AI4170" s="1" t="s">
        <v>60</v>
      </c>
      <c r="AJ4170" s="1">
        <v>2017</v>
      </c>
      <c r="AK4170" s="1" t="s">
        <v>55</v>
      </c>
      <c r="AL4170" s="1">
        <v>246</v>
      </c>
    </row>
    <row r="4171" spans="1:38" x14ac:dyDescent="0.2">
      <c r="A4171" s="2" t="str">
        <f>HYPERLINK("https://www.compass.com/listing/325-lexington-avenue-unit-10b-manhattan-ny-10016/29379698035335857/","325 Lexington Ave, Unit 10B")</f>
        <v>325 Lexington Ave, Unit 10B</v>
      </c>
      <c r="B4171" s="2" t="str">
        <f t="shared" ref="B4171:B4177" si="701">HYPERLINK("https://www.compass.com/building/325-lex-condominium-manhattan-ny/281939882467713365/","325 Lex Condominium")</f>
        <v>325 Lex Condominium</v>
      </c>
      <c r="C4171" s="1" t="s">
        <v>59</v>
      </c>
      <c r="D4171" s="1" t="s">
        <v>41</v>
      </c>
      <c r="E4171" s="3">
        <v>1232083</v>
      </c>
      <c r="F4171" s="1">
        <v>1904.3013910355401</v>
      </c>
      <c r="G4171" s="1">
        <v>3</v>
      </c>
      <c r="H4171" s="1">
        <v>1</v>
      </c>
      <c r="I4171" s="1">
        <v>1</v>
      </c>
      <c r="J4171" s="1">
        <v>1</v>
      </c>
      <c r="K4171" s="1">
        <v>1</v>
      </c>
      <c r="M4171" s="1">
        <v>647</v>
      </c>
      <c r="N4171" s="1">
        <v>888</v>
      </c>
      <c r="O4171" s="1">
        <v>1081</v>
      </c>
      <c r="P4171" s="1">
        <v>193</v>
      </c>
      <c r="Q4171" s="1" t="s">
        <v>42</v>
      </c>
      <c r="S4171" s="1" t="s">
        <v>42</v>
      </c>
      <c r="T4171" s="1" t="s">
        <v>273</v>
      </c>
      <c r="U4171" s="1">
        <v>7</v>
      </c>
      <c r="V4171" s="5">
        <v>43654</v>
      </c>
      <c r="W4171" s="5">
        <v>42011</v>
      </c>
      <c r="X4171" s="1">
        <v>1210000</v>
      </c>
      <c r="Y4171" s="1">
        <v>1210000</v>
      </c>
      <c r="Z4171" s="5">
        <v>42018</v>
      </c>
      <c r="AA4171" s="1">
        <v>1232082.5</v>
      </c>
      <c r="AB4171" s="1" t="s">
        <v>2895</v>
      </c>
      <c r="AC4171" s="5">
        <v>42052</v>
      </c>
      <c r="AF4171" s="1">
        <v>10016</v>
      </c>
      <c r="AI4171" s="1" t="s">
        <v>60</v>
      </c>
      <c r="AJ4171" s="1">
        <v>2014</v>
      </c>
      <c r="AK4171" s="1" t="s">
        <v>108</v>
      </c>
      <c r="AL4171" s="1">
        <v>125</v>
      </c>
    </row>
    <row r="4172" spans="1:38" x14ac:dyDescent="0.2">
      <c r="A4172" s="2" t="str">
        <f>HYPERLINK("https://www.compass.com/listing/325-lexington-avenue-unit-10e-manhattan-ny-10016/29379699293627073/","325 Lexington Ave, Unit 10E")</f>
        <v>325 Lexington Ave, Unit 10E</v>
      </c>
      <c r="B4172" s="2" t="str">
        <f t="shared" si="701"/>
        <v>325 Lex Condominium</v>
      </c>
      <c r="C4172" s="1" t="s">
        <v>59</v>
      </c>
      <c r="D4172" s="1" t="s">
        <v>41</v>
      </c>
      <c r="E4172" s="3">
        <v>1069163</v>
      </c>
      <c r="F4172" s="1">
        <v>1657.61705426356</v>
      </c>
      <c r="G4172" s="1">
        <v>3</v>
      </c>
      <c r="H4172" s="1">
        <v>1</v>
      </c>
      <c r="I4172" s="1">
        <v>1</v>
      </c>
      <c r="J4172" s="1">
        <v>1</v>
      </c>
      <c r="K4172" s="1">
        <v>1</v>
      </c>
      <c r="M4172" s="1">
        <v>645</v>
      </c>
      <c r="N4172" s="1">
        <v>886</v>
      </c>
      <c r="O4172" s="1">
        <v>1079</v>
      </c>
      <c r="P4172" s="1">
        <v>193</v>
      </c>
      <c r="Q4172" s="1" t="s">
        <v>42</v>
      </c>
      <c r="S4172" s="1" t="s">
        <v>42</v>
      </c>
      <c r="T4172" s="1" t="s">
        <v>273</v>
      </c>
      <c r="V4172" s="5">
        <v>43655</v>
      </c>
      <c r="W4172" s="5">
        <v>41952</v>
      </c>
      <c r="X4172" s="1">
        <v>1090000</v>
      </c>
      <c r="Y4172" s="1">
        <v>1090000</v>
      </c>
      <c r="Z4172" s="5">
        <v>41952</v>
      </c>
      <c r="AA4172" s="1">
        <v>1069163</v>
      </c>
      <c r="AB4172" s="1" t="s">
        <v>2896</v>
      </c>
      <c r="AC4172" s="5">
        <v>42046</v>
      </c>
      <c r="AF4172" s="1">
        <v>10016</v>
      </c>
      <c r="AI4172" s="1" t="s">
        <v>60</v>
      </c>
      <c r="AJ4172" s="1">
        <v>2014</v>
      </c>
      <c r="AK4172" s="1" t="s">
        <v>108</v>
      </c>
      <c r="AL4172" s="1">
        <v>125</v>
      </c>
    </row>
    <row r="4173" spans="1:38" x14ac:dyDescent="0.2">
      <c r="A4173" s="2" t="str">
        <f>HYPERLINK("https://www.compass.com/listing/325-lexington-avenue-unit-11b-manhattan-ny-10016/29379700216379633/","325 Lexington Ave, Unit 11B")</f>
        <v>325 Lexington Ave, Unit 11B</v>
      </c>
      <c r="B4173" s="2" t="str">
        <f t="shared" si="701"/>
        <v>325 Lex Condominium</v>
      </c>
      <c r="C4173" s="1" t="s">
        <v>59</v>
      </c>
      <c r="D4173" s="1" t="s">
        <v>41</v>
      </c>
      <c r="E4173" s="3">
        <v>1211718</v>
      </c>
      <c r="F4173" s="1">
        <v>1872.8253477588801</v>
      </c>
      <c r="G4173" s="1">
        <v>3</v>
      </c>
      <c r="H4173" s="1">
        <v>1</v>
      </c>
      <c r="I4173" s="1">
        <v>1</v>
      </c>
      <c r="J4173" s="1">
        <v>1</v>
      </c>
      <c r="K4173" s="1">
        <v>1</v>
      </c>
      <c r="M4173" s="1">
        <v>647</v>
      </c>
      <c r="N4173" s="1">
        <v>893</v>
      </c>
      <c r="O4173" s="1">
        <v>1088</v>
      </c>
      <c r="P4173" s="1">
        <v>195</v>
      </c>
      <c r="Q4173" s="1" t="s">
        <v>42</v>
      </c>
      <c r="S4173" s="1" t="s">
        <v>42</v>
      </c>
      <c r="T4173" s="1" t="s">
        <v>273</v>
      </c>
      <c r="V4173" s="5">
        <v>43654</v>
      </c>
      <c r="W4173" s="5">
        <v>41952</v>
      </c>
      <c r="X4173" s="1">
        <v>1230000</v>
      </c>
      <c r="Y4173" s="1">
        <v>1230000</v>
      </c>
      <c r="Z4173" s="5">
        <v>41952</v>
      </c>
      <c r="AA4173" s="1">
        <v>1211718</v>
      </c>
      <c r="AB4173" s="1" t="s">
        <v>2897</v>
      </c>
      <c r="AC4173" s="5">
        <v>42041</v>
      </c>
      <c r="AF4173" s="1">
        <v>10016</v>
      </c>
      <c r="AI4173" s="1" t="s">
        <v>60</v>
      </c>
      <c r="AJ4173" s="1">
        <v>2014</v>
      </c>
      <c r="AK4173" s="1" t="s">
        <v>108</v>
      </c>
      <c r="AL4173" s="1">
        <v>125</v>
      </c>
    </row>
    <row r="4174" spans="1:38" x14ac:dyDescent="0.2">
      <c r="A4174" s="2" t="str">
        <f>HYPERLINK("https://www.compass.com/listing/325-lexington-avenue-unit-16c-manhattan-ny-10016/29379709880056225/","325 Lexington Ave, Unit 16C")</f>
        <v>325 Lexington Ave, Unit 16C</v>
      </c>
      <c r="B4174" s="2" t="str">
        <f t="shared" si="701"/>
        <v>325 Lex Condominium</v>
      </c>
      <c r="C4174" s="1" t="s">
        <v>59</v>
      </c>
      <c r="D4174" s="1" t="s">
        <v>41</v>
      </c>
      <c r="E4174" s="3">
        <v>1069163</v>
      </c>
      <c r="F4174" s="1">
        <v>2068.0135396518299</v>
      </c>
      <c r="G4174" s="1">
        <v>3</v>
      </c>
      <c r="H4174" s="1">
        <v>1</v>
      </c>
      <c r="I4174" s="1">
        <v>1</v>
      </c>
      <c r="J4174" s="1">
        <v>1</v>
      </c>
      <c r="K4174" s="1">
        <v>1</v>
      </c>
      <c r="M4174" s="1">
        <v>517</v>
      </c>
      <c r="N4174" s="1">
        <v>727</v>
      </c>
      <c r="O4174" s="1">
        <v>885</v>
      </c>
      <c r="P4174" s="1">
        <v>158</v>
      </c>
      <c r="Q4174" s="1" t="s">
        <v>42</v>
      </c>
      <c r="S4174" s="1" t="s">
        <v>42</v>
      </c>
      <c r="T4174" s="1" t="s">
        <v>273</v>
      </c>
      <c r="U4174" s="1">
        <v>90</v>
      </c>
      <c r="V4174" s="5">
        <v>43654</v>
      </c>
      <c r="W4174" s="5">
        <v>41991</v>
      </c>
      <c r="X4174" s="1">
        <v>1050000</v>
      </c>
      <c r="Y4174" s="1">
        <v>1050000</v>
      </c>
      <c r="Z4174" s="5">
        <v>42081</v>
      </c>
      <c r="AA4174" s="1">
        <v>1069163</v>
      </c>
      <c r="AB4174" s="1" t="s">
        <v>2898</v>
      </c>
      <c r="AC4174" s="5">
        <v>42145</v>
      </c>
      <c r="AF4174" s="1">
        <v>10016</v>
      </c>
      <c r="AI4174" s="1" t="s">
        <v>60</v>
      </c>
      <c r="AJ4174" s="1">
        <v>2014</v>
      </c>
      <c r="AK4174" s="1" t="s">
        <v>108</v>
      </c>
      <c r="AL4174" s="1">
        <v>125</v>
      </c>
    </row>
    <row r="4175" spans="1:38" x14ac:dyDescent="0.2">
      <c r="A4175" s="2" t="str">
        <f>HYPERLINK("https://www.compass.com/listing/325-lexington-avenue-unit-16e-manhattan-ny-10016/29379710785964641/","325 Lexington Ave, Unit 16E")</f>
        <v>325 Lexington Ave, Unit 16E</v>
      </c>
      <c r="B4175" s="2" t="str">
        <f t="shared" si="701"/>
        <v>325 Lex Condominium</v>
      </c>
      <c r="C4175" s="1" t="s">
        <v>59</v>
      </c>
      <c r="D4175" s="1" t="s">
        <v>41</v>
      </c>
      <c r="E4175" s="3">
        <v>1216809</v>
      </c>
      <c r="F4175" s="1">
        <v>1886.5251937984399</v>
      </c>
      <c r="G4175" s="1">
        <v>3</v>
      </c>
      <c r="H4175" s="1">
        <v>1</v>
      </c>
      <c r="I4175" s="1">
        <v>1</v>
      </c>
      <c r="J4175" s="1">
        <v>1</v>
      </c>
      <c r="K4175" s="1">
        <v>1</v>
      </c>
      <c r="M4175" s="1">
        <v>645</v>
      </c>
      <c r="N4175" s="1">
        <v>907</v>
      </c>
      <c r="O4175" s="1">
        <v>1104</v>
      </c>
      <c r="P4175" s="1">
        <v>197</v>
      </c>
      <c r="Q4175" s="1" t="s">
        <v>42</v>
      </c>
      <c r="S4175" s="1" t="s">
        <v>42</v>
      </c>
      <c r="T4175" s="1" t="s">
        <v>273</v>
      </c>
      <c r="U4175" s="1">
        <v>35</v>
      </c>
      <c r="V4175" s="5">
        <v>42390</v>
      </c>
      <c r="W4175" s="5">
        <v>42107</v>
      </c>
      <c r="X4175" s="1">
        <v>1235000</v>
      </c>
      <c r="Y4175" s="1">
        <v>1235000</v>
      </c>
      <c r="AA4175" s="1">
        <v>1216808.75</v>
      </c>
      <c r="AB4175" s="1" t="s">
        <v>394</v>
      </c>
      <c r="AC4175" s="5">
        <v>42443</v>
      </c>
      <c r="AF4175" s="1">
        <v>10016</v>
      </c>
      <c r="AI4175" s="1" t="s">
        <v>205</v>
      </c>
      <c r="AJ4175" s="1">
        <v>2014</v>
      </c>
      <c r="AK4175" s="1" t="s">
        <v>108</v>
      </c>
      <c r="AL4175" s="1">
        <v>125</v>
      </c>
    </row>
    <row r="4176" spans="1:38" x14ac:dyDescent="0.2">
      <c r="A4176" s="2" t="str">
        <f>HYPERLINK("https://www.compass.com/listing/325-lexington-avenue-unit-20c-manhattan-ny-10016/29379719174572801/","325 Lexington Ave, Unit 20C")</f>
        <v>325 Lexington Ave, Unit 20C</v>
      </c>
      <c r="B4176" s="2" t="str">
        <f t="shared" si="701"/>
        <v>325 Lex Condominium</v>
      </c>
      <c r="C4176" s="1" t="s">
        <v>59</v>
      </c>
      <c r="D4176" s="1" t="s">
        <v>41</v>
      </c>
      <c r="E4176" s="3">
        <v>1023341</v>
      </c>
      <c r="F4176" s="1">
        <v>1979.3829787233999</v>
      </c>
      <c r="G4176" s="1">
        <v>3</v>
      </c>
      <c r="H4176" s="1">
        <v>1</v>
      </c>
      <c r="I4176" s="1">
        <v>1</v>
      </c>
      <c r="J4176" s="1">
        <v>1</v>
      </c>
      <c r="K4176" s="1">
        <v>1</v>
      </c>
      <c r="M4176" s="1">
        <v>517</v>
      </c>
      <c r="N4176" s="1">
        <v>741</v>
      </c>
      <c r="O4176" s="1">
        <v>903</v>
      </c>
      <c r="P4176" s="1">
        <v>162</v>
      </c>
      <c r="Q4176" s="1" t="s">
        <v>42</v>
      </c>
      <c r="S4176" s="1" t="s">
        <v>42</v>
      </c>
      <c r="T4176" s="1" t="s">
        <v>273</v>
      </c>
      <c r="V4176" s="5">
        <v>43654</v>
      </c>
      <c r="W4176" s="5">
        <v>41976</v>
      </c>
      <c r="X4176" s="1">
        <v>1005000</v>
      </c>
      <c r="Y4176" s="1">
        <v>1005000</v>
      </c>
      <c r="Z4176" s="5">
        <v>41976</v>
      </c>
      <c r="AA4176" s="1">
        <v>1023341</v>
      </c>
      <c r="AB4176" s="1" t="s">
        <v>2899</v>
      </c>
      <c r="AC4176" s="5">
        <v>42055</v>
      </c>
      <c r="AF4176" s="1">
        <v>10016</v>
      </c>
      <c r="AI4176" s="1" t="s">
        <v>60</v>
      </c>
      <c r="AJ4176" s="1">
        <v>2014</v>
      </c>
      <c r="AK4176" s="1" t="s">
        <v>108</v>
      </c>
      <c r="AL4176" s="1">
        <v>125</v>
      </c>
    </row>
    <row r="4177" spans="1:38" x14ac:dyDescent="0.2">
      <c r="A4177" s="2" t="str">
        <f>HYPERLINK("https://www.compass.com/listing/325-lexington-avenue-unit-5d-manhattan-ny-10016/70919296271869553/","325 Lexington Ave, Unit 5D")</f>
        <v>325 Lexington Ave, Unit 5D</v>
      </c>
      <c r="B4177" s="2" t="str">
        <f t="shared" si="701"/>
        <v>325 Lex Condominium</v>
      </c>
      <c r="C4177" s="1" t="s">
        <v>59</v>
      </c>
      <c r="D4177" s="1" t="s">
        <v>41</v>
      </c>
      <c r="E4177" s="3">
        <v>1194353</v>
      </c>
      <c r="F4177" s="1">
        <v>1511.83860759493</v>
      </c>
      <c r="G4177" s="1">
        <v>3</v>
      </c>
      <c r="H4177" s="1">
        <v>1</v>
      </c>
      <c r="I4177" s="1">
        <v>1</v>
      </c>
      <c r="J4177" s="1">
        <v>1</v>
      </c>
      <c r="K4177" s="1">
        <v>1</v>
      </c>
      <c r="M4177" s="1">
        <v>790</v>
      </c>
      <c r="N4177" s="1">
        <v>1058</v>
      </c>
      <c r="O4177" s="1">
        <v>1288</v>
      </c>
      <c r="P4177" s="1">
        <v>230</v>
      </c>
      <c r="Q4177" s="1" t="s">
        <v>42</v>
      </c>
      <c r="S4177" s="1" t="s">
        <v>42</v>
      </c>
      <c r="T4177" s="1" t="s">
        <v>273</v>
      </c>
      <c r="U4177" s="1">
        <v>173</v>
      </c>
      <c r="V4177" s="5">
        <v>42390</v>
      </c>
      <c r="W4177" s="5">
        <v>42193</v>
      </c>
      <c r="X4177" s="1">
        <v>1170000</v>
      </c>
      <c r="Y4177" s="1">
        <v>1170000</v>
      </c>
      <c r="AA4177" s="1">
        <v>1194352.5</v>
      </c>
      <c r="AB4177" s="1" t="s">
        <v>392</v>
      </c>
      <c r="AC4177" s="5">
        <v>42461</v>
      </c>
      <c r="AF4177" s="1">
        <v>10016</v>
      </c>
      <c r="AI4177" s="1" t="s">
        <v>205</v>
      </c>
      <c r="AJ4177" s="1">
        <v>2014</v>
      </c>
      <c r="AK4177" s="1" t="s">
        <v>46</v>
      </c>
      <c r="AL4177" s="1">
        <v>125</v>
      </c>
    </row>
    <row r="4178" spans="1:38" x14ac:dyDescent="0.2">
      <c r="A4178" s="2" t="str">
        <f>HYPERLINK("https://www.compass.com/listing/305-west-150th-street-unit-510-manhattan-ny-10039/29434126134171537/","305 W 150th St, Unit 510")</f>
        <v>305 W 150th St, Unit 510</v>
      </c>
      <c r="B4178" s="2" t="str">
        <f t="shared" ref="B4178:B4180" si="702">HYPERLINK("https://www.compass.com/building/305-w-150th-st-manhattan-ny-10039/282032234968400245/","305 W 150th St")</f>
        <v>305 W 150th St</v>
      </c>
      <c r="C4178" s="1" t="s">
        <v>84</v>
      </c>
      <c r="D4178" s="1" t="s">
        <v>41</v>
      </c>
      <c r="E4178" s="3">
        <v>478608</v>
      </c>
      <c r="F4178" s="1">
        <v>819.53424657534197</v>
      </c>
      <c r="G4178" s="1">
        <v>3</v>
      </c>
      <c r="H4178" s="1">
        <v>1</v>
      </c>
      <c r="I4178" s="1">
        <v>1</v>
      </c>
      <c r="M4178" s="1">
        <v>584</v>
      </c>
      <c r="N4178" s="1">
        <v>349</v>
      </c>
      <c r="O4178" s="1">
        <v>601</v>
      </c>
      <c r="P4178" s="1">
        <v>252</v>
      </c>
      <c r="Q4178" s="1" t="s">
        <v>42</v>
      </c>
      <c r="S4178" s="1" t="s">
        <v>42</v>
      </c>
      <c r="T4178" s="1" t="s">
        <v>273</v>
      </c>
      <c r="U4178" s="1">
        <v>790</v>
      </c>
      <c r="V4178" s="5">
        <v>43211</v>
      </c>
      <c r="W4178" s="5">
        <v>42124</v>
      </c>
      <c r="X4178" s="1">
        <v>472000</v>
      </c>
      <c r="Y4178" s="1">
        <v>472000</v>
      </c>
      <c r="AA4178" s="1">
        <v>478608</v>
      </c>
      <c r="AB4178" s="1" t="s">
        <v>2900</v>
      </c>
      <c r="AC4178" s="5">
        <v>42914</v>
      </c>
      <c r="AF4178" s="1">
        <v>10039</v>
      </c>
      <c r="AJ4178" s="1">
        <v>1921</v>
      </c>
      <c r="AK4178" s="1" t="s">
        <v>146</v>
      </c>
      <c r="AL4178" s="1">
        <v>84</v>
      </c>
    </row>
    <row r="4179" spans="1:38" x14ac:dyDescent="0.2">
      <c r="A4179" s="2" t="str">
        <f>HYPERLINK("https://www.compass.com/listing/305-west-150th-street-unit-706-manhattan-ny-10039/803298333565382873/","305 W 150th St, Unit 706")</f>
        <v>305 W 150th St, Unit 706</v>
      </c>
      <c r="B4179" s="2" t="str">
        <f t="shared" si="702"/>
        <v>305 W 150th St</v>
      </c>
      <c r="C4179" s="1" t="s">
        <v>84</v>
      </c>
      <c r="D4179" s="1" t="s">
        <v>41</v>
      </c>
      <c r="E4179" s="3">
        <v>474552</v>
      </c>
      <c r="F4179" s="1">
        <v>836.95238095238096</v>
      </c>
      <c r="G4179" s="1">
        <v>3</v>
      </c>
      <c r="H4179" s="1">
        <v>1</v>
      </c>
      <c r="I4179" s="1">
        <v>1</v>
      </c>
      <c r="M4179" s="1">
        <v>567</v>
      </c>
      <c r="N4179" s="1">
        <v>361</v>
      </c>
      <c r="O4179" s="1">
        <v>622</v>
      </c>
      <c r="P4179" s="1">
        <v>261</v>
      </c>
      <c r="Q4179" s="1" t="s">
        <v>42</v>
      </c>
      <c r="S4179" s="1" t="s">
        <v>42</v>
      </c>
      <c r="T4179" s="1" t="s">
        <v>273</v>
      </c>
      <c r="U4179" s="1">
        <v>82</v>
      </c>
      <c r="V4179" s="5">
        <v>43211</v>
      </c>
      <c r="W4179" s="5">
        <v>42125</v>
      </c>
      <c r="X4179" s="1">
        <v>468000</v>
      </c>
      <c r="Y4179" s="1">
        <v>468000</v>
      </c>
      <c r="AA4179" s="1">
        <v>474552</v>
      </c>
      <c r="AB4179" s="1" t="s">
        <v>2650</v>
      </c>
      <c r="AC4179" s="5">
        <v>42207</v>
      </c>
      <c r="AF4179" s="1">
        <v>10039</v>
      </c>
      <c r="AJ4179" s="1">
        <v>1921</v>
      </c>
      <c r="AK4179" s="1" t="s">
        <v>146</v>
      </c>
      <c r="AL4179" s="1">
        <v>84</v>
      </c>
    </row>
    <row r="4180" spans="1:38" x14ac:dyDescent="0.2">
      <c r="A4180" s="2" t="str">
        <f>HYPERLINK("https://www.compass.com/listing/305-west-150th-street-unit-402-manhattan-ny-10039/803299415276167137/","305 W 150th St, Unit 402")</f>
        <v>305 W 150th St, Unit 402</v>
      </c>
      <c r="B4180" s="2" t="str">
        <f t="shared" si="702"/>
        <v>305 W 150th St</v>
      </c>
      <c r="C4180" s="1" t="s">
        <v>84</v>
      </c>
      <c r="D4180" s="1" t="s">
        <v>41</v>
      </c>
      <c r="E4180" s="3">
        <v>475000</v>
      </c>
      <c r="F4180" s="1">
        <v>809.19931856899404</v>
      </c>
      <c r="G4180" s="1">
        <v>3</v>
      </c>
      <c r="H4180" s="1">
        <v>1</v>
      </c>
      <c r="I4180" s="1">
        <v>1</v>
      </c>
      <c r="M4180" s="1">
        <v>587</v>
      </c>
      <c r="N4180" s="1">
        <v>352</v>
      </c>
      <c r="O4180" s="1">
        <v>606</v>
      </c>
      <c r="P4180" s="1">
        <v>254</v>
      </c>
      <c r="Q4180" s="1" t="s">
        <v>42</v>
      </c>
      <c r="S4180" s="1" t="s">
        <v>42</v>
      </c>
      <c r="T4180" s="1" t="s">
        <v>273</v>
      </c>
      <c r="V4180" s="5">
        <v>43211</v>
      </c>
      <c r="W4180" s="5">
        <v>42125</v>
      </c>
      <c r="X4180" s="1">
        <v>475000</v>
      </c>
      <c r="AB4180" s="1" t="s">
        <v>275</v>
      </c>
      <c r="AF4180" s="1">
        <v>10039</v>
      </c>
      <c r="AJ4180" s="1">
        <v>1921</v>
      </c>
      <c r="AK4180" s="1" t="s">
        <v>146</v>
      </c>
      <c r="AL4180" s="1">
        <v>84</v>
      </c>
    </row>
    <row r="4181" spans="1:38" x14ac:dyDescent="0.2">
      <c r="A4181" s="2" t="str">
        <f>HYPERLINK("https://www.compass.com/listing/416-west-52nd-street-unit-413-manhattan-ny-10019/29389267792942337/","416 W 52nd St, Unit 413")</f>
        <v>416 W 52nd St, Unit 413</v>
      </c>
      <c r="B4181" s="2" t="str">
        <f t="shared" ref="B4181:B4182" si="703">HYPERLINK("https://www.compass.com/building/nine52-manhattan-ny/281945622951555813/","Nine52")</f>
        <v>Nine52</v>
      </c>
      <c r="C4181" s="1" t="s">
        <v>90</v>
      </c>
      <c r="D4181" s="1" t="s">
        <v>41</v>
      </c>
      <c r="E4181" s="3">
        <v>1597750</v>
      </c>
      <c r="F4181" s="1">
        <v>1291.6329830234399</v>
      </c>
      <c r="G4181" s="1">
        <v>6</v>
      </c>
      <c r="H4181" s="1">
        <v>2</v>
      </c>
      <c r="I4181" s="1">
        <v>2</v>
      </c>
      <c r="J4181" s="1">
        <v>2</v>
      </c>
      <c r="K4181" s="1">
        <v>2</v>
      </c>
      <c r="M4181" s="4">
        <v>1237</v>
      </c>
      <c r="N4181" s="1">
        <v>843</v>
      </c>
      <c r="O4181" s="1">
        <v>2473</v>
      </c>
      <c r="P4181" s="1">
        <v>1630</v>
      </c>
      <c r="Q4181" s="1" t="s">
        <v>42</v>
      </c>
      <c r="S4181" s="1" t="s">
        <v>42</v>
      </c>
      <c r="T4181" s="1" t="s">
        <v>273</v>
      </c>
      <c r="U4181" s="1">
        <v>94</v>
      </c>
      <c r="V4181" s="5">
        <v>43670</v>
      </c>
      <c r="W4181" s="5">
        <v>42839</v>
      </c>
      <c r="X4181" s="1">
        <v>1595000</v>
      </c>
      <c r="Y4181" s="1">
        <v>1595000</v>
      </c>
      <c r="Z4181" s="5">
        <v>42933</v>
      </c>
      <c r="AA4181" s="1">
        <v>1597750</v>
      </c>
      <c r="AB4181" s="1" t="s">
        <v>2901</v>
      </c>
      <c r="AC4181" s="5">
        <v>42971</v>
      </c>
      <c r="AF4181" s="1">
        <v>10019</v>
      </c>
      <c r="AI4181" s="1" t="s">
        <v>48</v>
      </c>
      <c r="AJ4181" s="1">
        <v>1940</v>
      </c>
      <c r="AK4181" s="1" t="s">
        <v>108</v>
      </c>
      <c r="AL4181" s="1">
        <v>155</v>
      </c>
    </row>
    <row r="4182" spans="1:38" x14ac:dyDescent="0.2">
      <c r="A4182" s="2" t="str">
        <f>HYPERLINK("https://www.compass.com/listing/416-west-52nd-street-unit-425-manhattan-ny-10019/29389272549215745/","416 W 52nd St, Unit 425")</f>
        <v>416 W 52nd St, Unit 425</v>
      </c>
      <c r="B4182" s="2" t="str">
        <f t="shared" si="703"/>
        <v>Nine52</v>
      </c>
      <c r="C4182" s="1" t="s">
        <v>90</v>
      </c>
      <c r="D4182" s="1" t="s">
        <v>41</v>
      </c>
      <c r="E4182" s="3">
        <v>1420000</v>
      </c>
      <c r="F4182" s="1">
        <v>1479.1666666666599</v>
      </c>
      <c r="G4182" s="1">
        <v>3</v>
      </c>
      <c r="H4182" s="1">
        <v>2</v>
      </c>
      <c r="I4182" s="1">
        <v>2</v>
      </c>
      <c r="J4182" s="1">
        <v>2</v>
      </c>
      <c r="K4182" s="1">
        <v>2</v>
      </c>
      <c r="M4182" s="1">
        <v>960</v>
      </c>
      <c r="N4182" s="1">
        <v>655</v>
      </c>
      <c r="O4182" s="1">
        <v>1920</v>
      </c>
      <c r="P4182" s="1">
        <v>1265</v>
      </c>
      <c r="Q4182" s="1" t="s">
        <v>42</v>
      </c>
      <c r="S4182" s="1" t="s">
        <v>42</v>
      </c>
      <c r="T4182" s="1" t="s">
        <v>273</v>
      </c>
      <c r="U4182" s="1">
        <v>51</v>
      </c>
      <c r="V4182" s="5">
        <v>43670</v>
      </c>
      <c r="W4182" s="5">
        <v>42788</v>
      </c>
      <c r="X4182" s="1">
        <v>1495000</v>
      </c>
      <c r="Y4182" s="1">
        <v>1499000</v>
      </c>
      <c r="Z4182" s="5">
        <v>42854</v>
      </c>
      <c r="AA4182" s="1">
        <v>1420000</v>
      </c>
      <c r="AB4182" s="1" t="s">
        <v>2902</v>
      </c>
      <c r="AC4182" s="5">
        <v>42900</v>
      </c>
      <c r="AF4182" s="1">
        <v>10019</v>
      </c>
      <c r="AI4182" s="1" t="s">
        <v>48</v>
      </c>
      <c r="AJ4182" s="1">
        <v>1940</v>
      </c>
      <c r="AK4182" s="1" t="s">
        <v>108</v>
      </c>
      <c r="AL4182" s="1">
        <v>155</v>
      </c>
    </row>
    <row r="4183" spans="1:38" x14ac:dyDescent="0.2">
      <c r="A4183" s="2" t="str">
        <f>HYPERLINK("https://www.compass.com/listing/425-west-50th-street-unit-12f-manhattan-ny-10019/29389215372462529/","425 W 50th St, Unit 12F")</f>
        <v>425 W 50th St, Unit 12F</v>
      </c>
      <c r="B4183" s="2" t="str">
        <f t="shared" ref="B4183:B4184" si="704">HYPERLINK("https://www.compass.com/building/stella-tower-manhattan-ny/281945855710262181/","Stella Tower")</f>
        <v>Stella Tower</v>
      </c>
      <c r="C4183" s="1" t="s">
        <v>90</v>
      </c>
      <c r="D4183" s="1" t="s">
        <v>41</v>
      </c>
      <c r="E4183" s="3">
        <v>2100000</v>
      </c>
      <c r="F4183" s="1">
        <v>1909.0909090908999</v>
      </c>
      <c r="G4183" s="1">
        <v>3</v>
      </c>
      <c r="H4183" s="1">
        <v>1</v>
      </c>
      <c r="I4183" s="1">
        <v>2</v>
      </c>
      <c r="J4183" s="1">
        <v>1.5</v>
      </c>
      <c r="M4183" s="4">
        <v>1100</v>
      </c>
      <c r="N4183" s="1">
        <v>1245</v>
      </c>
      <c r="O4183" s="1">
        <v>2505</v>
      </c>
      <c r="P4183" s="1">
        <v>1260</v>
      </c>
      <c r="Q4183" s="1" t="s">
        <v>42</v>
      </c>
      <c r="S4183" s="1" t="s">
        <v>42</v>
      </c>
      <c r="T4183" s="1" t="s">
        <v>273</v>
      </c>
      <c r="U4183" s="1">
        <v>115</v>
      </c>
      <c r="V4183" s="5">
        <v>43673</v>
      </c>
      <c r="W4183" s="5">
        <v>42564</v>
      </c>
      <c r="X4183" s="1">
        <v>2350000</v>
      </c>
      <c r="Y4183" s="1">
        <v>2195000</v>
      </c>
      <c r="Z4183" s="5">
        <v>42679</v>
      </c>
      <c r="AA4183" s="1">
        <v>2100000</v>
      </c>
      <c r="AB4183" s="1" t="s">
        <v>2903</v>
      </c>
      <c r="AC4183" s="5">
        <v>42723</v>
      </c>
      <c r="AF4183" s="1">
        <v>10019</v>
      </c>
      <c r="AI4183" s="1" t="s">
        <v>80</v>
      </c>
      <c r="AJ4183" s="1">
        <v>1930</v>
      </c>
      <c r="AK4183" s="1" t="s">
        <v>46</v>
      </c>
      <c r="AL4183" s="1">
        <v>51</v>
      </c>
    </row>
    <row r="4184" spans="1:38" x14ac:dyDescent="0.2">
      <c r="A4184" s="2" t="str">
        <f>HYPERLINK("https://www.compass.com/listing/425-west-50th-street-unit-15a-manhattan-ny-10019/29389221420716593/","425 W 50th St, Unit 15A")</f>
        <v>425 W 50th St, Unit 15A</v>
      </c>
      <c r="B4184" s="2" t="str">
        <f t="shared" si="704"/>
        <v>Stella Tower</v>
      </c>
      <c r="C4184" s="1" t="s">
        <v>90</v>
      </c>
      <c r="D4184" s="1" t="s">
        <v>41</v>
      </c>
      <c r="E4184" s="3">
        <v>1985588</v>
      </c>
      <c r="F4184" s="1">
        <v>2558.7474226804102</v>
      </c>
      <c r="G4184" s="1">
        <v>1</v>
      </c>
      <c r="H4184" s="1">
        <v>1</v>
      </c>
      <c r="I4184" s="1">
        <v>1</v>
      </c>
      <c r="J4184" s="1">
        <v>1</v>
      </c>
      <c r="M4184" s="1">
        <v>776</v>
      </c>
      <c r="N4184" s="1">
        <v>905</v>
      </c>
      <c r="O4184" s="1">
        <v>1459</v>
      </c>
      <c r="P4184" s="1">
        <v>554</v>
      </c>
      <c r="Q4184" s="1" t="s">
        <v>42</v>
      </c>
      <c r="S4184" s="1" t="s">
        <v>42</v>
      </c>
      <c r="T4184" s="1" t="s">
        <v>273</v>
      </c>
      <c r="V4184" s="5">
        <v>43655</v>
      </c>
      <c r="W4184" s="5">
        <v>41976</v>
      </c>
      <c r="X4184" s="1">
        <v>1950000</v>
      </c>
      <c r="Y4184" s="1">
        <v>1950000</v>
      </c>
      <c r="Z4184" s="5">
        <v>41976</v>
      </c>
      <c r="AA4184" s="1">
        <v>1985588</v>
      </c>
      <c r="AB4184" s="1" t="s">
        <v>2904</v>
      </c>
      <c r="AC4184" s="5">
        <v>42019</v>
      </c>
      <c r="AF4184" s="1">
        <v>10019</v>
      </c>
      <c r="AI4184" s="1" t="s">
        <v>152</v>
      </c>
      <c r="AJ4184" s="1">
        <v>1930</v>
      </c>
      <c r="AK4184" s="1" t="s">
        <v>46</v>
      </c>
      <c r="AL4184" s="1">
        <v>51</v>
      </c>
    </row>
    <row r="4185" spans="1:38" x14ac:dyDescent="0.2">
      <c r="A4185" s="2" t="str">
        <f>HYPERLINK("https://www.compass.com/listing/310-west-114th-street-unit-2-manhattan-ny-10026/29514231795801185/","310 W 114th St, Unit 2")</f>
        <v>310 W 114th St, Unit 2</v>
      </c>
      <c r="B4185" s="2" t="str">
        <f t="shared" ref="B4185:B4186" si="705">HYPERLINK("https://www.compass.com/building/310-w-114th-st-manhattan-ny-10026/281976388834127397/","310 W 114th St")</f>
        <v>310 W 114th St</v>
      </c>
      <c r="C4185" s="1" t="s">
        <v>85</v>
      </c>
      <c r="D4185" s="1" t="s">
        <v>41</v>
      </c>
      <c r="E4185" s="3">
        <v>685000</v>
      </c>
      <c r="F4185" s="1">
        <v>966.14950634696697</v>
      </c>
      <c r="G4185" s="1">
        <v>3</v>
      </c>
      <c r="H4185" s="1">
        <v>1</v>
      </c>
      <c r="I4185" s="1">
        <v>1</v>
      </c>
      <c r="J4185" s="1">
        <v>1</v>
      </c>
      <c r="K4185" s="1">
        <v>1</v>
      </c>
      <c r="M4185" s="1">
        <v>709</v>
      </c>
      <c r="N4185" s="1">
        <v>173</v>
      </c>
      <c r="O4185" s="1">
        <v>1054</v>
      </c>
      <c r="P4185" s="1">
        <v>881</v>
      </c>
      <c r="Q4185" s="1" t="s">
        <v>42</v>
      </c>
      <c r="S4185" s="1" t="s">
        <v>42</v>
      </c>
      <c r="T4185" s="1" t="s">
        <v>273</v>
      </c>
      <c r="U4185" s="1">
        <v>166</v>
      </c>
      <c r="V4185" s="5">
        <v>43940</v>
      </c>
      <c r="W4185" s="5">
        <v>43699</v>
      </c>
      <c r="X4185" s="1">
        <v>685000</v>
      </c>
      <c r="Y4185" s="1">
        <v>685000</v>
      </c>
      <c r="Z4185" s="5">
        <v>43865</v>
      </c>
      <c r="AA4185" s="1">
        <v>685000</v>
      </c>
      <c r="AB4185" s="1" t="s">
        <v>2905</v>
      </c>
      <c r="AC4185" s="5">
        <v>43930</v>
      </c>
      <c r="AF4185" s="1">
        <v>10026</v>
      </c>
      <c r="AI4185" s="1" t="s">
        <v>174</v>
      </c>
      <c r="AJ4185" s="1">
        <v>2015</v>
      </c>
      <c r="AL4185" s="1">
        <v>8</v>
      </c>
    </row>
    <row r="4186" spans="1:38" x14ac:dyDescent="0.2">
      <c r="A4186" s="2" t="str">
        <f>HYPERLINK("https://www.compass.com/listing/310-west-114th-street-unit-4-manhattan-ny-10026/803306306601240105/","310 W 114th St, Unit 4")</f>
        <v>310 W 114th St, Unit 4</v>
      </c>
      <c r="B4186" s="2" t="str">
        <f t="shared" si="705"/>
        <v>310 W 114th St</v>
      </c>
      <c r="C4186" s="1" t="s">
        <v>85</v>
      </c>
      <c r="D4186" s="1" t="s">
        <v>41</v>
      </c>
      <c r="E4186" s="3">
        <v>692500</v>
      </c>
      <c r="F4186" s="1">
        <v>989.28571428571399</v>
      </c>
      <c r="G4186" s="1">
        <v>3</v>
      </c>
      <c r="H4186" s="1">
        <v>1</v>
      </c>
      <c r="I4186" s="1">
        <v>1</v>
      </c>
      <c r="J4186" s="1">
        <v>1</v>
      </c>
      <c r="K4186" s="1">
        <v>1</v>
      </c>
      <c r="M4186" s="1">
        <v>700</v>
      </c>
      <c r="N4186" s="1">
        <v>173</v>
      </c>
      <c r="O4186" s="1">
        <v>1052</v>
      </c>
      <c r="P4186" s="1">
        <v>879</v>
      </c>
      <c r="Q4186" s="1" t="s">
        <v>42</v>
      </c>
      <c r="S4186" s="1" t="s">
        <v>42</v>
      </c>
      <c r="T4186" s="1" t="s">
        <v>273</v>
      </c>
      <c r="U4186" s="1">
        <v>1</v>
      </c>
      <c r="V4186" s="5">
        <v>44427</v>
      </c>
      <c r="W4186" s="5">
        <v>43483</v>
      </c>
      <c r="X4186" s="1">
        <v>800000</v>
      </c>
      <c r="Y4186" s="1">
        <v>800000</v>
      </c>
      <c r="Z4186" s="5">
        <v>43657</v>
      </c>
      <c r="AA4186" s="1">
        <v>692500</v>
      </c>
      <c r="AB4186" s="1" t="s">
        <v>2906</v>
      </c>
      <c r="AC4186" s="5">
        <v>44106</v>
      </c>
      <c r="AF4186" s="1">
        <v>10026</v>
      </c>
      <c r="AI4186" s="1" t="s">
        <v>2862</v>
      </c>
      <c r="AJ4186" s="1">
        <v>2015</v>
      </c>
      <c r="AL4186" s="1">
        <v>8</v>
      </c>
    </row>
    <row r="4187" spans="1:38" x14ac:dyDescent="0.2">
      <c r="A4187" s="2" t="str">
        <f>HYPERLINK("https://www.compass.com/listing/416-west-52nd-street-unit-204-manhattan-ny-10019/29389255805553937/","416 W 52nd St, Unit 204")</f>
        <v>416 W 52nd St, Unit 204</v>
      </c>
      <c r="B4187" s="2" t="str">
        <f t="shared" ref="B4187:B4188" si="706">HYPERLINK("https://www.compass.com/building/nine52-manhattan-ny/281945622951555813/","Nine52")</f>
        <v>Nine52</v>
      </c>
      <c r="C4187" s="1" t="s">
        <v>90</v>
      </c>
      <c r="D4187" s="1" t="s">
        <v>41</v>
      </c>
      <c r="E4187" s="3">
        <v>1321750</v>
      </c>
      <c r="F4187" s="1">
        <v>1510.57142857142</v>
      </c>
      <c r="G4187" s="1">
        <v>5</v>
      </c>
      <c r="H4187" s="1">
        <v>2</v>
      </c>
      <c r="I4187" s="1">
        <v>2</v>
      </c>
      <c r="J4187" s="1">
        <v>2</v>
      </c>
      <c r="K4187" s="1">
        <v>2</v>
      </c>
      <c r="M4187" s="1">
        <v>875</v>
      </c>
      <c r="N4187" s="1">
        <v>727</v>
      </c>
      <c r="O4187" s="1">
        <v>2010</v>
      </c>
      <c r="P4187" s="1">
        <v>1283</v>
      </c>
      <c r="Q4187" s="1" t="s">
        <v>42</v>
      </c>
      <c r="S4187" s="1" t="s">
        <v>42</v>
      </c>
      <c r="T4187" s="1" t="s">
        <v>273</v>
      </c>
      <c r="U4187" s="1">
        <v>80</v>
      </c>
      <c r="V4187" s="5">
        <v>43675</v>
      </c>
      <c r="W4187" s="5">
        <v>42417</v>
      </c>
      <c r="X4187" s="1">
        <v>1319000</v>
      </c>
      <c r="Y4187" s="1">
        <v>1319000</v>
      </c>
      <c r="Z4187" s="5">
        <v>42497</v>
      </c>
      <c r="AA4187" s="1">
        <v>1321750</v>
      </c>
      <c r="AB4187" s="1" t="s">
        <v>2907</v>
      </c>
      <c r="AC4187" s="5">
        <v>42668</v>
      </c>
      <c r="AF4187" s="1">
        <v>10019</v>
      </c>
      <c r="AI4187" s="1" t="s">
        <v>48</v>
      </c>
      <c r="AJ4187" s="1">
        <v>1940</v>
      </c>
      <c r="AK4187" s="1" t="s">
        <v>108</v>
      </c>
      <c r="AL4187" s="1">
        <v>155</v>
      </c>
    </row>
    <row r="4188" spans="1:38" x14ac:dyDescent="0.2">
      <c r="A4188" s="2" t="str">
        <f>HYPERLINK("https://www.compass.com/listing/416-west-52nd-street-unit-724-manhattan-ny-10019/29389290073085521/","416 W 52nd St, Unit 724")</f>
        <v>416 W 52nd St, Unit 724</v>
      </c>
      <c r="B4188" s="2" t="str">
        <f t="shared" si="706"/>
        <v>Nine52</v>
      </c>
      <c r="C4188" s="1" t="s">
        <v>90</v>
      </c>
      <c r="D4188" s="1" t="s">
        <v>41</v>
      </c>
      <c r="E4188" s="3">
        <v>803399</v>
      </c>
      <c r="F4188" s="1">
        <v>1809.45777027027</v>
      </c>
      <c r="H4188" s="1" t="s">
        <v>99</v>
      </c>
      <c r="J4188" s="1">
        <v>1</v>
      </c>
      <c r="K4188" s="1">
        <v>1</v>
      </c>
      <c r="M4188" s="1">
        <v>444</v>
      </c>
      <c r="N4188" s="1">
        <v>369</v>
      </c>
      <c r="O4188" s="1">
        <v>1020</v>
      </c>
      <c r="P4188" s="1">
        <v>651</v>
      </c>
      <c r="Q4188" s="1" t="s">
        <v>42</v>
      </c>
      <c r="S4188" s="1" t="s">
        <v>42</v>
      </c>
      <c r="T4188" s="1" t="s">
        <v>273</v>
      </c>
      <c r="AA4188" s="1">
        <v>803399.25</v>
      </c>
      <c r="AB4188" s="1" t="s">
        <v>2908</v>
      </c>
      <c r="AC4188" s="5">
        <v>43096</v>
      </c>
      <c r="AF4188" s="1">
        <v>10019</v>
      </c>
      <c r="AI4188" s="1" t="s">
        <v>48</v>
      </c>
      <c r="AJ4188" s="1">
        <v>1940</v>
      </c>
      <c r="AK4188" s="1" t="s">
        <v>55</v>
      </c>
      <c r="AL4188" s="1">
        <v>155</v>
      </c>
    </row>
    <row r="4189" spans="1:38" x14ac:dyDescent="0.2">
      <c r="A4189" s="2" t="str">
        <f>HYPERLINK("https://www.compass.com/listing/325-lexington-avenue-unit-14a-manhattan-ny-10016/29379703529879825/","325 Lexington Ave, Unit 14A")</f>
        <v>325 Lexington Ave, Unit 14A</v>
      </c>
      <c r="B4189" s="2" t="str">
        <f t="shared" ref="B4189:B4196" si="707">HYPERLINK("https://www.compass.com/building/325-lex-condominium-manhattan-ny/281939882467713365/","325 Lex Condominium")</f>
        <v>325 Lex Condominium</v>
      </c>
      <c r="C4189" s="1" t="s">
        <v>59</v>
      </c>
      <c r="D4189" s="1" t="s">
        <v>41</v>
      </c>
      <c r="E4189" s="3">
        <v>1303360</v>
      </c>
      <c r="F4189" s="1">
        <v>2026.9984447900399</v>
      </c>
      <c r="G4189" s="1">
        <v>3</v>
      </c>
      <c r="H4189" s="1">
        <v>1</v>
      </c>
      <c r="I4189" s="1">
        <v>1</v>
      </c>
      <c r="J4189" s="1">
        <v>1</v>
      </c>
      <c r="K4189" s="1">
        <v>1</v>
      </c>
      <c r="M4189" s="1">
        <v>643</v>
      </c>
      <c r="N4189" s="1">
        <v>896</v>
      </c>
      <c r="O4189" s="1">
        <v>1091</v>
      </c>
      <c r="P4189" s="1">
        <v>195</v>
      </c>
      <c r="Q4189" s="1" t="s">
        <v>42</v>
      </c>
      <c r="S4189" s="1" t="s">
        <v>42</v>
      </c>
      <c r="T4189" s="1" t="s">
        <v>273</v>
      </c>
      <c r="V4189" s="5">
        <v>43654</v>
      </c>
      <c r="W4189" s="5">
        <v>42133</v>
      </c>
      <c r="X4189" s="1">
        <v>1280000</v>
      </c>
      <c r="Y4189" s="1">
        <v>1280000</v>
      </c>
      <c r="Z4189" s="5">
        <v>42133</v>
      </c>
      <c r="AA4189" s="1">
        <v>1303360</v>
      </c>
      <c r="AB4189" s="1" t="s">
        <v>2909</v>
      </c>
      <c r="AC4189" s="5">
        <v>42193</v>
      </c>
      <c r="AF4189" s="1">
        <v>10016</v>
      </c>
      <c r="AI4189" s="1" t="s">
        <v>205</v>
      </c>
      <c r="AJ4189" s="1">
        <v>2014</v>
      </c>
      <c r="AK4189" s="1" t="s">
        <v>108</v>
      </c>
      <c r="AL4189" s="1">
        <v>125</v>
      </c>
    </row>
    <row r="4190" spans="1:38" x14ac:dyDescent="0.2">
      <c r="A4190" s="2" t="str">
        <f>HYPERLINK("https://www.compass.com/listing/325-lexington-avenue-unit-22d-manhattan-ny-10016/29379723712865377/","325 Lexington Ave, Unit 22D")</f>
        <v>325 Lexington Ave, Unit 22D</v>
      </c>
      <c r="B4190" s="2" t="str">
        <f t="shared" si="707"/>
        <v>325 Lex Condominium</v>
      </c>
      <c r="C4190" s="1" t="s">
        <v>59</v>
      </c>
      <c r="D4190" s="1" t="s">
        <v>41</v>
      </c>
      <c r="E4190" s="3">
        <v>1303360</v>
      </c>
      <c r="F4190" s="1">
        <v>2026.9984447900399</v>
      </c>
      <c r="G4190" s="1">
        <v>3</v>
      </c>
      <c r="H4190" s="1">
        <v>1</v>
      </c>
      <c r="I4190" s="1">
        <v>1</v>
      </c>
      <c r="J4190" s="1">
        <v>1</v>
      </c>
      <c r="K4190" s="1">
        <v>1</v>
      </c>
      <c r="M4190" s="1">
        <v>643</v>
      </c>
      <c r="N4190" s="1">
        <v>929</v>
      </c>
      <c r="O4190" s="1">
        <v>1131</v>
      </c>
      <c r="P4190" s="1">
        <v>202</v>
      </c>
      <c r="Q4190" s="1" t="s">
        <v>42</v>
      </c>
      <c r="S4190" s="1" t="s">
        <v>42</v>
      </c>
      <c r="T4190" s="1" t="s">
        <v>273</v>
      </c>
      <c r="U4190" s="1">
        <v>64</v>
      </c>
      <c r="V4190" s="5">
        <v>43654</v>
      </c>
      <c r="W4190" s="5">
        <v>41977</v>
      </c>
      <c r="X4190" s="1">
        <v>1280000</v>
      </c>
      <c r="Y4190" s="1">
        <v>1280000</v>
      </c>
      <c r="Z4190" s="5">
        <v>42041</v>
      </c>
      <c r="AA4190" s="1">
        <v>1303360</v>
      </c>
      <c r="AB4190" s="1" t="s">
        <v>2910</v>
      </c>
      <c r="AC4190" s="5">
        <v>42080</v>
      </c>
      <c r="AF4190" s="1">
        <v>10016</v>
      </c>
      <c r="AI4190" s="1" t="s">
        <v>60</v>
      </c>
      <c r="AJ4190" s="1">
        <v>2014</v>
      </c>
      <c r="AK4190" s="1" t="s">
        <v>108</v>
      </c>
      <c r="AL4190" s="1">
        <v>125</v>
      </c>
    </row>
    <row r="4191" spans="1:38" x14ac:dyDescent="0.2">
      <c r="A4191" s="2" t="str">
        <f>HYPERLINK("https://www.compass.com/listing/325-lexington-avenue-unit-6d-manhattan-ny-10016/29379690988849329/","325 Lexington Ave, Unit 6D")</f>
        <v>325 Lexington Ave, Unit 6D</v>
      </c>
      <c r="B4191" s="2" t="str">
        <f t="shared" si="707"/>
        <v>325 Lex Condominium</v>
      </c>
      <c r="C4191" s="1" t="s">
        <v>59</v>
      </c>
      <c r="D4191" s="1" t="s">
        <v>41</v>
      </c>
      <c r="E4191" s="3">
        <v>1201535</v>
      </c>
      <c r="F4191" s="1">
        <v>1520.9303797468301</v>
      </c>
      <c r="G4191" s="1">
        <v>3</v>
      </c>
      <c r="H4191" s="1">
        <v>1</v>
      </c>
      <c r="I4191" s="1">
        <v>1</v>
      </c>
      <c r="J4191" s="1">
        <v>1</v>
      </c>
      <c r="K4191" s="1">
        <v>1</v>
      </c>
      <c r="M4191" s="1">
        <v>790</v>
      </c>
      <c r="N4191" s="1">
        <v>1063</v>
      </c>
      <c r="O4191" s="1">
        <v>1294</v>
      </c>
      <c r="P4191" s="1">
        <v>231</v>
      </c>
      <c r="Q4191" s="1" t="s">
        <v>42</v>
      </c>
      <c r="S4191" s="1" t="s">
        <v>42</v>
      </c>
      <c r="T4191" s="1" t="s">
        <v>273</v>
      </c>
      <c r="V4191" s="5">
        <v>43650</v>
      </c>
      <c r="W4191" s="5">
        <v>42259</v>
      </c>
      <c r="X4191" s="1">
        <v>1180000</v>
      </c>
      <c r="Y4191" s="1">
        <v>1180000</v>
      </c>
      <c r="Z4191" s="5">
        <v>42259</v>
      </c>
      <c r="AA4191" s="1">
        <v>1201535</v>
      </c>
      <c r="AB4191" s="1" t="s">
        <v>2911</v>
      </c>
      <c r="AC4191" s="5">
        <v>42293</v>
      </c>
      <c r="AF4191" s="1">
        <v>10016</v>
      </c>
      <c r="AI4191" s="1" t="s">
        <v>60</v>
      </c>
      <c r="AJ4191" s="1">
        <v>2014</v>
      </c>
      <c r="AK4191" s="1" t="s">
        <v>108</v>
      </c>
      <c r="AL4191" s="1">
        <v>125</v>
      </c>
    </row>
    <row r="4192" spans="1:38" x14ac:dyDescent="0.2">
      <c r="A4192" s="2" t="str">
        <f>HYPERLINK("https://www.compass.com/listing/325-lexington-avenue-unit-8d-manhattan-ny-10016/29379695392924305/","325 Lexington Ave, Unit 8D")</f>
        <v>325 Lexington Ave, Unit 8D</v>
      </c>
      <c r="B4192" s="2" t="str">
        <f t="shared" si="707"/>
        <v>325 Lex Condominium</v>
      </c>
      <c r="C4192" s="1" t="s">
        <v>59</v>
      </c>
      <c r="D4192" s="1" t="s">
        <v>41</v>
      </c>
      <c r="E4192" s="3">
        <v>1221900</v>
      </c>
      <c r="F4192" s="1">
        <v>1546.7088607594901</v>
      </c>
      <c r="G4192" s="1">
        <v>3</v>
      </c>
      <c r="H4192" s="1">
        <v>1</v>
      </c>
      <c r="I4192" s="1">
        <v>1</v>
      </c>
      <c r="J4192" s="1">
        <v>1</v>
      </c>
      <c r="K4192" s="1">
        <v>1</v>
      </c>
      <c r="M4192" s="1">
        <v>790</v>
      </c>
      <c r="N4192" s="1">
        <v>1074</v>
      </c>
      <c r="O4192" s="1">
        <v>1308</v>
      </c>
      <c r="P4192" s="1">
        <v>234</v>
      </c>
      <c r="Q4192" s="1" t="s">
        <v>42</v>
      </c>
      <c r="S4192" s="1" t="s">
        <v>42</v>
      </c>
      <c r="T4192" s="1" t="s">
        <v>273</v>
      </c>
      <c r="V4192" s="5">
        <v>43654</v>
      </c>
      <c r="W4192" s="5">
        <v>41986</v>
      </c>
      <c r="X4192" s="1">
        <v>1200000</v>
      </c>
      <c r="Y4192" s="1">
        <v>1200000</v>
      </c>
      <c r="Z4192" s="5">
        <v>41986</v>
      </c>
      <c r="AA4192" s="1">
        <v>1221900</v>
      </c>
      <c r="AB4192" s="1" t="s">
        <v>2912</v>
      </c>
      <c r="AC4192" s="5">
        <v>42080</v>
      </c>
      <c r="AF4192" s="1">
        <v>10016</v>
      </c>
      <c r="AI4192" s="1" t="s">
        <v>60</v>
      </c>
      <c r="AJ4192" s="1">
        <v>2014</v>
      </c>
      <c r="AK4192" s="1" t="s">
        <v>108</v>
      </c>
      <c r="AL4192" s="1">
        <v>125</v>
      </c>
    </row>
    <row r="4193" spans="1:38" x14ac:dyDescent="0.2">
      <c r="A4193" s="2" t="str">
        <f>HYPERLINK("https://www.compass.com/listing/325-lexington-avenue-unit-19c-manhattan-ny-10016/29379716901321233/","325 Lexington Ave, Unit 19C")</f>
        <v>325 Lexington Ave, Unit 19C</v>
      </c>
      <c r="B4193" s="2" t="str">
        <f t="shared" si="707"/>
        <v>325 Lex Condominium</v>
      </c>
      <c r="C4193" s="1" t="s">
        <v>59</v>
      </c>
      <c r="D4193" s="1" t="s">
        <v>41</v>
      </c>
      <c r="E4193" s="3">
        <v>1099710</v>
      </c>
      <c r="F4193" s="1">
        <v>2127.0986460348099</v>
      </c>
      <c r="G4193" s="1">
        <v>3</v>
      </c>
      <c r="H4193" s="1">
        <v>1</v>
      </c>
      <c r="I4193" s="1">
        <v>1</v>
      </c>
      <c r="J4193" s="1">
        <v>1</v>
      </c>
      <c r="K4193" s="1">
        <v>1</v>
      </c>
      <c r="M4193" s="1">
        <v>517</v>
      </c>
      <c r="N4193" s="1">
        <v>737</v>
      </c>
      <c r="O4193" s="1">
        <v>898</v>
      </c>
      <c r="P4193" s="1">
        <v>161</v>
      </c>
      <c r="Q4193" s="1" t="s">
        <v>42</v>
      </c>
      <c r="S4193" s="1" t="s">
        <v>42</v>
      </c>
      <c r="T4193" s="1" t="s">
        <v>273</v>
      </c>
      <c r="V4193" s="5">
        <v>43656</v>
      </c>
      <c r="W4193" s="5">
        <v>42063</v>
      </c>
      <c r="X4193" s="1">
        <v>1080000</v>
      </c>
      <c r="Y4193" s="1">
        <v>1080000</v>
      </c>
      <c r="Z4193" s="5">
        <v>42063</v>
      </c>
      <c r="AA4193" s="1">
        <v>1099710</v>
      </c>
      <c r="AB4193" s="1" t="s">
        <v>2913</v>
      </c>
      <c r="AC4193" s="5">
        <v>42118</v>
      </c>
      <c r="AF4193" s="1">
        <v>10016</v>
      </c>
      <c r="AI4193" s="1" t="s">
        <v>60</v>
      </c>
      <c r="AJ4193" s="1">
        <v>2014</v>
      </c>
      <c r="AK4193" s="1" t="s">
        <v>108</v>
      </c>
      <c r="AL4193" s="1">
        <v>125</v>
      </c>
    </row>
    <row r="4194" spans="1:38" x14ac:dyDescent="0.2">
      <c r="A4194" s="2" t="str">
        <f>HYPERLINK("https://www.compass.com/listing/325-lexington-avenue-unit-21c-manhattan-ny-10016/29379721145951281/","325 Lexington Ave, Unit 21C")</f>
        <v>325 Lexington Ave, Unit 21C</v>
      </c>
      <c r="B4194" s="2" t="str">
        <f t="shared" si="707"/>
        <v>325 Lex Condominium</v>
      </c>
      <c r="C4194" s="1" t="s">
        <v>59</v>
      </c>
      <c r="D4194" s="1" t="s">
        <v>41</v>
      </c>
      <c r="E4194" s="3">
        <v>1120075</v>
      </c>
      <c r="F4194" s="1">
        <v>2166.4893617021198</v>
      </c>
      <c r="G4194" s="1">
        <v>3</v>
      </c>
      <c r="H4194" s="1">
        <v>1</v>
      </c>
      <c r="I4194" s="1">
        <v>1</v>
      </c>
      <c r="J4194" s="1">
        <v>1</v>
      </c>
      <c r="K4194" s="1">
        <v>1</v>
      </c>
      <c r="M4194" s="1">
        <v>517</v>
      </c>
      <c r="N4194" s="1">
        <v>744</v>
      </c>
      <c r="O4194" s="1">
        <v>906</v>
      </c>
      <c r="P4194" s="1">
        <v>162</v>
      </c>
      <c r="Q4194" s="1" t="s">
        <v>42</v>
      </c>
      <c r="S4194" s="1" t="s">
        <v>42</v>
      </c>
      <c r="T4194" s="1" t="s">
        <v>273</v>
      </c>
      <c r="U4194" s="1">
        <v>19</v>
      </c>
      <c r="V4194" s="5">
        <v>43654</v>
      </c>
      <c r="W4194" s="5">
        <v>42082</v>
      </c>
      <c r="X4194" s="1">
        <v>1100000</v>
      </c>
      <c r="Y4194" s="1">
        <v>1100000</v>
      </c>
      <c r="Z4194" s="5">
        <v>42101</v>
      </c>
      <c r="AA4194" s="1">
        <v>1120075</v>
      </c>
      <c r="AB4194" s="1" t="s">
        <v>2914</v>
      </c>
      <c r="AC4194" s="5">
        <v>42160</v>
      </c>
      <c r="AF4194" s="1">
        <v>10016</v>
      </c>
      <c r="AI4194" s="1" t="s">
        <v>60</v>
      </c>
      <c r="AJ4194" s="1">
        <v>2014</v>
      </c>
      <c r="AK4194" s="1" t="s">
        <v>108</v>
      </c>
      <c r="AL4194" s="1">
        <v>125</v>
      </c>
    </row>
    <row r="4195" spans="1:38" x14ac:dyDescent="0.2">
      <c r="A4195" s="2" t="str">
        <f>HYPERLINK("https://www.compass.com/listing/325-lexington-avenue-unit-15b-manhattan-ny-10016/29379706600104769/","325 Lexington Ave, Unit 15B")</f>
        <v>325 Lexington Ave, Unit 15B</v>
      </c>
      <c r="B4195" s="2" t="str">
        <f t="shared" si="707"/>
        <v>325 Lex Condominium</v>
      </c>
      <c r="C4195" s="1" t="s">
        <v>59</v>
      </c>
      <c r="D4195" s="1" t="s">
        <v>41</v>
      </c>
      <c r="E4195" s="3">
        <v>1272813</v>
      </c>
      <c r="F4195" s="1">
        <v>1979.4914463452501</v>
      </c>
      <c r="G4195" s="1">
        <v>3</v>
      </c>
      <c r="H4195" s="1">
        <v>1</v>
      </c>
      <c r="I4195" s="1">
        <v>1</v>
      </c>
      <c r="J4195" s="1">
        <v>1</v>
      </c>
      <c r="K4195" s="1">
        <v>1</v>
      </c>
      <c r="M4195" s="1">
        <v>643</v>
      </c>
      <c r="N4195" s="1">
        <v>905</v>
      </c>
      <c r="O4195" s="1">
        <v>1102</v>
      </c>
      <c r="P4195" s="1">
        <v>197</v>
      </c>
      <c r="Q4195" s="1" t="s">
        <v>42</v>
      </c>
      <c r="S4195" s="1" t="s">
        <v>42</v>
      </c>
      <c r="T4195" s="1" t="s">
        <v>273</v>
      </c>
      <c r="V4195" s="5">
        <v>43654</v>
      </c>
      <c r="W4195" s="5">
        <v>41951</v>
      </c>
      <c r="X4195" s="1">
        <v>1290000</v>
      </c>
      <c r="Y4195" s="1">
        <v>1290000</v>
      </c>
      <c r="Z4195" s="5">
        <v>41951</v>
      </c>
      <c r="AA4195" s="1">
        <v>1272813</v>
      </c>
      <c r="AB4195" s="1" t="s">
        <v>2915</v>
      </c>
      <c r="AC4195" s="5">
        <v>42041</v>
      </c>
      <c r="AF4195" s="1">
        <v>10016</v>
      </c>
      <c r="AI4195" s="1" t="s">
        <v>60</v>
      </c>
      <c r="AJ4195" s="1">
        <v>2014</v>
      </c>
      <c r="AK4195" s="1" t="s">
        <v>108</v>
      </c>
      <c r="AL4195" s="1">
        <v>125</v>
      </c>
    </row>
    <row r="4196" spans="1:38" x14ac:dyDescent="0.2">
      <c r="A4196" s="2" t="str">
        <f>HYPERLINK("https://www.compass.com/listing/325-lexington-avenue-unit-15d-manhattan-ny-10016/29379707858396001/","325 Lexington Ave, Unit 15D")</f>
        <v>325 Lexington Ave, Unit 15D</v>
      </c>
      <c r="B4196" s="2" t="str">
        <f t="shared" si="707"/>
        <v>325 Lex Condominium</v>
      </c>
      <c r="C4196" s="1" t="s">
        <v>59</v>
      </c>
      <c r="D4196" s="1" t="s">
        <v>41</v>
      </c>
      <c r="E4196" s="3">
        <v>1303360</v>
      </c>
      <c r="F4196" s="1">
        <v>1728.5941644562299</v>
      </c>
      <c r="G4196" s="1">
        <v>3</v>
      </c>
      <c r="H4196" s="1">
        <v>1</v>
      </c>
      <c r="I4196" s="1">
        <v>1</v>
      </c>
      <c r="J4196" s="1">
        <v>1</v>
      </c>
      <c r="K4196" s="1">
        <v>1</v>
      </c>
      <c r="M4196" s="1">
        <v>754</v>
      </c>
      <c r="N4196" s="1">
        <v>1059</v>
      </c>
      <c r="O4196" s="1">
        <v>1289</v>
      </c>
      <c r="P4196" s="1">
        <v>230</v>
      </c>
      <c r="Q4196" s="1" t="s">
        <v>42</v>
      </c>
      <c r="S4196" s="1" t="s">
        <v>42</v>
      </c>
      <c r="T4196" s="1" t="s">
        <v>273</v>
      </c>
      <c r="U4196" s="1">
        <v>51</v>
      </c>
      <c r="V4196" s="5">
        <v>43654</v>
      </c>
      <c r="W4196" s="5">
        <v>41900</v>
      </c>
      <c r="X4196" s="1">
        <v>1280000</v>
      </c>
      <c r="Y4196" s="1">
        <v>1330000</v>
      </c>
      <c r="Z4196" s="5">
        <v>41951</v>
      </c>
      <c r="AA4196" s="1">
        <v>1303360</v>
      </c>
      <c r="AB4196" s="1" t="s">
        <v>2916</v>
      </c>
      <c r="AC4196" s="5">
        <v>42059</v>
      </c>
      <c r="AF4196" s="1">
        <v>10016</v>
      </c>
      <c r="AI4196" s="1" t="s">
        <v>60</v>
      </c>
      <c r="AJ4196" s="1">
        <v>2014</v>
      </c>
      <c r="AK4196" s="1" t="s">
        <v>108</v>
      </c>
      <c r="AL4196" s="1">
        <v>125</v>
      </c>
    </row>
    <row r="4197" spans="1:38" x14ac:dyDescent="0.2">
      <c r="A4197" s="2" t="str">
        <f>HYPERLINK("https://www.compass.com/listing/416-west-52nd-street-unit-523-manhattan-ny-10019/29389280501683649/","416 W 52nd St, Unit 523")</f>
        <v>416 W 52nd St, Unit 523</v>
      </c>
      <c r="B4197" s="2" t="str">
        <f t="shared" ref="B4197:B4198" si="708">HYPERLINK("https://www.compass.com/building/nine52-manhattan-ny/281945622951555813/","Nine52")</f>
        <v>Nine52</v>
      </c>
      <c r="C4197" s="1" t="s">
        <v>90</v>
      </c>
      <c r="D4197" s="1" t="s">
        <v>41</v>
      </c>
      <c r="E4197" s="3">
        <v>1575000</v>
      </c>
      <c r="F4197" s="1">
        <v>1461.03896103896</v>
      </c>
      <c r="G4197" s="1">
        <v>3</v>
      </c>
      <c r="H4197" s="1">
        <v>2</v>
      </c>
      <c r="I4197" s="1">
        <v>2</v>
      </c>
      <c r="J4197" s="1">
        <v>2</v>
      </c>
      <c r="K4197" s="1">
        <v>2</v>
      </c>
      <c r="M4197" s="4">
        <v>1078</v>
      </c>
      <c r="N4197" s="1">
        <v>735</v>
      </c>
      <c r="O4197" s="1">
        <v>2155</v>
      </c>
      <c r="P4197" s="1">
        <v>1420</v>
      </c>
      <c r="Q4197" s="1" t="s">
        <v>42</v>
      </c>
      <c r="S4197" s="1" t="s">
        <v>42</v>
      </c>
      <c r="T4197" s="1" t="s">
        <v>273</v>
      </c>
      <c r="U4197" s="1">
        <v>151</v>
      </c>
      <c r="V4197" s="5">
        <v>43004</v>
      </c>
      <c r="W4197" s="5">
        <v>42762</v>
      </c>
      <c r="X4197" s="1">
        <v>1780000</v>
      </c>
      <c r="Y4197" s="1">
        <v>1625000</v>
      </c>
      <c r="AA4197" s="1">
        <v>1575000</v>
      </c>
      <c r="AB4197" s="1" t="s">
        <v>2917</v>
      </c>
      <c r="AC4197" s="5">
        <v>42997</v>
      </c>
      <c r="AF4197" s="1">
        <v>10019</v>
      </c>
      <c r="AI4197" s="1" t="s">
        <v>48</v>
      </c>
      <c r="AJ4197" s="1">
        <v>1940</v>
      </c>
      <c r="AK4197" s="1" t="s">
        <v>108</v>
      </c>
      <c r="AL4197" s="1">
        <v>155</v>
      </c>
    </row>
    <row r="4198" spans="1:38" x14ac:dyDescent="0.2">
      <c r="A4198" s="2" t="str">
        <f>HYPERLINK("https://www.compass.com/listing/416-west-52nd-street-unit-726-manhattan-ny-10019/29389289267711809/","416 W 52nd St, Unit 726")</f>
        <v>416 W 52nd St, Unit 726</v>
      </c>
      <c r="B4198" s="2" t="str">
        <f t="shared" si="708"/>
        <v>Nine52</v>
      </c>
      <c r="C4198" s="1" t="s">
        <v>90</v>
      </c>
      <c r="D4198" s="1" t="s">
        <v>41</v>
      </c>
      <c r="E4198" s="3">
        <v>1500000</v>
      </c>
      <c r="F4198" s="1">
        <v>1483.67952522255</v>
      </c>
      <c r="G4198" s="1">
        <v>4</v>
      </c>
      <c r="H4198" s="1">
        <v>2</v>
      </c>
      <c r="I4198" s="1">
        <v>2</v>
      </c>
      <c r="J4198" s="1">
        <v>2</v>
      </c>
      <c r="K4198" s="1">
        <v>2</v>
      </c>
      <c r="M4198" s="4">
        <v>1011</v>
      </c>
      <c r="N4198" s="1">
        <v>789</v>
      </c>
      <c r="O4198" s="1">
        <v>2339</v>
      </c>
      <c r="P4198" s="1">
        <v>1550</v>
      </c>
      <c r="Q4198" s="1" t="s">
        <v>42</v>
      </c>
      <c r="S4198" s="1" t="s">
        <v>42</v>
      </c>
      <c r="T4198" s="1" t="s">
        <v>273</v>
      </c>
      <c r="U4198" s="1">
        <v>149</v>
      </c>
      <c r="V4198" s="5">
        <v>44406</v>
      </c>
      <c r="W4198" s="5">
        <v>43761</v>
      </c>
      <c r="X4198" s="1">
        <v>1649000</v>
      </c>
      <c r="Y4198" s="1">
        <v>1555000</v>
      </c>
      <c r="Z4198" s="5">
        <v>43998</v>
      </c>
      <c r="AA4198" s="1">
        <v>1500000</v>
      </c>
      <c r="AB4198" s="1" t="s">
        <v>2918</v>
      </c>
      <c r="AC4198" s="5">
        <v>44159</v>
      </c>
      <c r="AF4198" s="1">
        <v>10019</v>
      </c>
      <c r="AI4198" s="1" t="s">
        <v>111</v>
      </c>
      <c r="AJ4198" s="1">
        <v>1940</v>
      </c>
      <c r="AK4198" s="1" t="s">
        <v>108</v>
      </c>
      <c r="AL4198" s="1">
        <v>155</v>
      </c>
    </row>
    <row r="4199" spans="1:38" x14ac:dyDescent="0.2">
      <c r="A4199" s="2" t="str">
        <f>HYPERLINK("https://www.compass.com/listing/425-west-50th-street-unit-10e-manhattan-ny-10019/769699880760890841/","425 W 50th St, Unit 10E")</f>
        <v>425 W 50th St, Unit 10E</v>
      </c>
      <c r="B4199" s="2" t="str">
        <f>HYPERLINK("https://www.compass.com/building/stella-tower-manhattan-ny/281945855710262181/","Stella Tower")</f>
        <v>Stella Tower</v>
      </c>
      <c r="C4199" s="1" t="s">
        <v>90</v>
      </c>
      <c r="D4199" s="1" t="s">
        <v>41</v>
      </c>
      <c r="E4199" s="3">
        <v>2950000</v>
      </c>
      <c r="F4199" s="1">
        <v>1949.7686715135401</v>
      </c>
      <c r="G4199" s="1">
        <v>4</v>
      </c>
      <c r="H4199" s="1">
        <v>1</v>
      </c>
      <c r="I4199" s="1">
        <v>2</v>
      </c>
      <c r="J4199" s="1">
        <v>2</v>
      </c>
      <c r="K4199" s="1">
        <v>2</v>
      </c>
      <c r="M4199" s="4">
        <v>1513</v>
      </c>
      <c r="N4199" s="1">
        <v>2048</v>
      </c>
      <c r="O4199" s="1">
        <v>3961</v>
      </c>
      <c r="P4199" s="1">
        <v>1913</v>
      </c>
      <c r="Q4199" s="1" t="s">
        <v>42</v>
      </c>
      <c r="S4199" s="1" t="s">
        <v>42</v>
      </c>
      <c r="T4199" s="1" t="s">
        <v>273</v>
      </c>
      <c r="U4199" s="1">
        <v>17</v>
      </c>
      <c r="V4199" s="5">
        <v>44369</v>
      </c>
      <c r="W4199" s="5">
        <v>44313</v>
      </c>
      <c r="X4199" s="1">
        <v>2999000</v>
      </c>
      <c r="Y4199" s="1">
        <v>2999000</v>
      </c>
      <c r="Z4199" s="5">
        <v>44331</v>
      </c>
      <c r="AA4199" s="1">
        <v>2950000</v>
      </c>
      <c r="AB4199" s="1" t="s">
        <v>2919</v>
      </c>
      <c r="AC4199" s="5">
        <v>44368</v>
      </c>
      <c r="AF4199" s="1">
        <v>10019</v>
      </c>
      <c r="AI4199" s="1" t="s">
        <v>80</v>
      </c>
      <c r="AJ4199" s="1">
        <v>1930</v>
      </c>
      <c r="AK4199" s="1" t="s">
        <v>46</v>
      </c>
      <c r="AL4199" s="1">
        <v>51</v>
      </c>
    </row>
    <row r="4200" spans="1:38" x14ac:dyDescent="0.2">
      <c r="A4200" s="2" t="str">
        <f>HYPERLINK("https://www.compass.com/listing/172-madison-avenue-unit-18c-manhattan-ny-10016/29376712823331297/","172 Madison Ave, Unit 18C")</f>
        <v>172 Madison Ave, Unit 18C</v>
      </c>
      <c r="B4200" s="2" t="str">
        <f t="shared" ref="B4200:B4201" si="709">HYPERLINK("https://www.compass.com/building/172-madison-ave-manhattan-ny-10016/281937956250376981/","172 Madison Ave")</f>
        <v>172 Madison Ave</v>
      </c>
      <c r="C4200" s="1" t="s">
        <v>120</v>
      </c>
      <c r="D4200" s="1" t="s">
        <v>41</v>
      </c>
      <c r="E4200" s="3">
        <v>1680113</v>
      </c>
      <c r="F4200" s="1">
        <v>1885.6481481481401</v>
      </c>
      <c r="G4200" s="1">
        <v>3</v>
      </c>
      <c r="H4200" s="1">
        <v>1</v>
      </c>
      <c r="I4200" s="1">
        <v>2</v>
      </c>
      <c r="J4200" s="1">
        <v>1.5</v>
      </c>
      <c r="K4200" s="1">
        <v>1</v>
      </c>
      <c r="L4200" s="1">
        <v>1</v>
      </c>
      <c r="M4200" s="1">
        <v>891</v>
      </c>
      <c r="N4200" s="1">
        <v>1332</v>
      </c>
      <c r="O4200" s="1">
        <v>1952</v>
      </c>
      <c r="P4200" s="1">
        <v>620</v>
      </c>
      <c r="Q4200" s="1" t="s">
        <v>42</v>
      </c>
      <c r="S4200" s="1" t="s">
        <v>42</v>
      </c>
      <c r="T4200" s="1" t="s">
        <v>273</v>
      </c>
      <c r="U4200" s="1">
        <v>112</v>
      </c>
      <c r="V4200" s="5">
        <v>44006</v>
      </c>
      <c r="W4200" s="5">
        <v>42789</v>
      </c>
      <c r="Y4200" s="1">
        <v>1850000</v>
      </c>
      <c r="Z4200" s="5">
        <v>42902</v>
      </c>
      <c r="AA4200" s="1">
        <v>1680112.5</v>
      </c>
      <c r="AB4200" s="1" t="s">
        <v>2920</v>
      </c>
      <c r="AC4200" s="5">
        <v>42954</v>
      </c>
      <c r="AF4200" s="1">
        <v>10016</v>
      </c>
      <c r="AI4200" s="1" t="s">
        <v>160</v>
      </c>
      <c r="AJ4200" s="1">
        <v>2016</v>
      </c>
      <c r="AK4200" s="1" t="s">
        <v>46</v>
      </c>
      <c r="AL4200" s="1">
        <v>72</v>
      </c>
    </row>
    <row r="4201" spans="1:38" x14ac:dyDescent="0.2">
      <c r="A4201" s="2" t="str">
        <f>HYPERLINK("https://www.compass.com/listing/172-madison-avenue-unit-23c-manhattan-ny-10016/32348958412007105/","172 Madison Ave, Unit 23C")</f>
        <v>172 Madison Ave, Unit 23C</v>
      </c>
      <c r="B4201" s="2" t="str">
        <f t="shared" si="709"/>
        <v>172 Madison Ave</v>
      </c>
      <c r="C4201" s="1" t="s">
        <v>120</v>
      </c>
      <c r="D4201" s="1" t="s">
        <v>41</v>
      </c>
      <c r="E4201" s="3">
        <v>1985588</v>
      </c>
      <c r="F4201" s="1">
        <v>2545.6256410256401</v>
      </c>
      <c r="G4201" s="1">
        <v>3</v>
      </c>
      <c r="H4201" s="1">
        <v>1</v>
      </c>
      <c r="I4201" s="1">
        <v>2</v>
      </c>
      <c r="J4201" s="1">
        <v>1.5</v>
      </c>
      <c r="K4201" s="1">
        <v>1</v>
      </c>
      <c r="L4201" s="1">
        <v>1</v>
      </c>
      <c r="M4201" s="1">
        <v>780</v>
      </c>
      <c r="N4201" s="1">
        <v>1165</v>
      </c>
      <c r="O4201" s="1">
        <v>2788</v>
      </c>
      <c r="P4201" s="1">
        <v>1623</v>
      </c>
      <c r="Q4201" s="1" t="s">
        <v>2921</v>
      </c>
      <c r="S4201" s="1" t="s">
        <v>100</v>
      </c>
      <c r="T4201" s="1" t="s">
        <v>273</v>
      </c>
      <c r="U4201" s="1">
        <v>52</v>
      </c>
      <c r="V4201" s="5">
        <v>43633</v>
      </c>
      <c r="W4201" s="5">
        <v>43297</v>
      </c>
      <c r="X4201" s="1">
        <v>2050000</v>
      </c>
      <c r="Y4201" s="1">
        <v>2050000</v>
      </c>
      <c r="Z4201" s="5">
        <v>43349</v>
      </c>
      <c r="AA4201" s="1">
        <v>1985588</v>
      </c>
      <c r="AB4201" s="1" t="s">
        <v>2922</v>
      </c>
      <c r="AC4201" s="5">
        <v>43452</v>
      </c>
      <c r="AF4201" s="1">
        <v>10016</v>
      </c>
      <c r="AJ4201" s="1">
        <v>2016</v>
      </c>
      <c r="AK4201" s="1" t="s">
        <v>46</v>
      </c>
      <c r="AL4201" s="1">
        <v>72</v>
      </c>
    </row>
    <row r="4202" spans="1:38" x14ac:dyDescent="0.2">
      <c r="A4202" s="2" t="str">
        <f>HYPERLINK("https://www.compass.com/listing/425-west-50th-street-unit-14a-manhattan-ny-10019/29389218140770753/","425 W 50th St, Unit 14A")</f>
        <v>425 W 50th St, Unit 14A</v>
      </c>
      <c r="B4202" s="2" t="str">
        <f>HYPERLINK("https://www.compass.com/building/stella-tower-manhattan-ny/281945855710262181/","Stella Tower")</f>
        <v>Stella Tower</v>
      </c>
      <c r="C4202" s="1" t="s">
        <v>90</v>
      </c>
      <c r="D4202" s="1" t="s">
        <v>41</v>
      </c>
      <c r="E4202" s="3">
        <v>2240150</v>
      </c>
      <c r="F4202" s="1">
        <v>2258.2157258064499</v>
      </c>
      <c r="G4202" s="1">
        <v>3</v>
      </c>
      <c r="H4202" s="1">
        <v>1</v>
      </c>
      <c r="I4202" s="1">
        <v>1</v>
      </c>
      <c r="J4202" s="1">
        <v>1</v>
      </c>
      <c r="M4202" s="1">
        <v>992</v>
      </c>
      <c r="N4202" s="1">
        <v>1236</v>
      </c>
      <c r="O4202" s="1">
        <v>1993</v>
      </c>
      <c r="P4202" s="1">
        <v>757</v>
      </c>
      <c r="Q4202" s="1" t="s">
        <v>42</v>
      </c>
      <c r="S4202" s="1" t="s">
        <v>42</v>
      </c>
      <c r="T4202" s="1" t="s">
        <v>273</v>
      </c>
      <c r="V4202" s="5">
        <v>43655</v>
      </c>
      <c r="W4202" s="5">
        <v>41976</v>
      </c>
      <c r="X4202" s="1">
        <v>2200000</v>
      </c>
      <c r="Y4202" s="1">
        <v>2200000</v>
      </c>
      <c r="Z4202" s="5">
        <v>41976</v>
      </c>
      <c r="AA4202" s="1">
        <v>2240150</v>
      </c>
      <c r="AB4202" s="1" t="s">
        <v>2923</v>
      </c>
      <c r="AC4202" s="5">
        <v>42039</v>
      </c>
      <c r="AF4202" s="1">
        <v>10019</v>
      </c>
      <c r="AI4202" s="1" t="s">
        <v>2924</v>
      </c>
      <c r="AJ4202" s="1">
        <v>1930</v>
      </c>
      <c r="AK4202" s="1" t="s">
        <v>46</v>
      </c>
      <c r="AL4202" s="1">
        <v>51</v>
      </c>
    </row>
    <row r="4203" spans="1:38" x14ac:dyDescent="0.2">
      <c r="A4203" s="2" t="str">
        <f>HYPERLINK("https://www.compass.com/listing/305-west-150th-street-unit-406-manhattan-ny-10039/803322775628214001/","305 W 150th St, Unit 406")</f>
        <v>305 W 150th St, Unit 406</v>
      </c>
      <c r="B4203" s="2" t="str">
        <f>HYPERLINK("https://www.compass.com/building/305-w-150th-st-manhattan-ny-10039/282032234968400245/","305 W 150th St")</f>
        <v>305 W 150th St</v>
      </c>
      <c r="C4203" s="1" t="s">
        <v>84</v>
      </c>
      <c r="D4203" s="1" t="s">
        <v>41</v>
      </c>
      <c r="E4203" s="3">
        <v>486800</v>
      </c>
      <c r="F4203" s="1">
        <v>858.55379188712504</v>
      </c>
      <c r="G4203" s="1">
        <v>3</v>
      </c>
      <c r="H4203" s="1">
        <v>1</v>
      </c>
      <c r="I4203" s="1">
        <v>1</v>
      </c>
      <c r="J4203" s="1">
        <v>1</v>
      </c>
      <c r="K4203" s="1">
        <v>1</v>
      </c>
      <c r="M4203" s="1">
        <v>567</v>
      </c>
      <c r="N4203" s="1">
        <v>344</v>
      </c>
      <c r="O4203" s="1">
        <v>566.54999999999995</v>
      </c>
      <c r="P4203" s="1">
        <v>222.583333333333</v>
      </c>
      <c r="Q4203" s="1" t="s">
        <v>42</v>
      </c>
      <c r="S4203" s="1" t="s">
        <v>42</v>
      </c>
      <c r="T4203" s="1" t="s">
        <v>273</v>
      </c>
      <c r="U4203" s="1">
        <v>54</v>
      </c>
      <c r="V4203" s="5">
        <v>42717</v>
      </c>
      <c r="W4203" s="5">
        <v>42571</v>
      </c>
      <c r="X4203" s="1">
        <v>480000</v>
      </c>
      <c r="Y4203" s="1">
        <v>480000</v>
      </c>
      <c r="Z4203" s="5">
        <v>42626</v>
      </c>
      <c r="AA4203" s="1">
        <v>486800</v>
      </c>
      <c r="AB4203" s="1" t="s">
        <v>2854</v>
      </c>
      <c r="AC4203" s="5">
        <v>42682</v>
      </c>
      <c r="AF4203" s="1">
        <v>10039</v>
      </c>
      <c r="AJ4203" s="1">
        <v>1921</v>
      </c>
      <c r="AK4203" s="1" t="s">
        <v>73</v>
      </c>
      <c r="AL4203" s="1">
        <v>84</v>
      </c>
    </row>
    <row r="4204" spans="1:38" x14ac:dyDescent="0.2">
      <c r="A4204" s="2" t="str">
        <f>HYPERLINK("https://www.compass.com/listing/325-lexington-avenue-unit-10d-manhattan-ny-10016/29379698849036497/","325 Lexington Ave, Unit 10D")</f>
        <v>325 Lexington Ave, Unit 10D</v>
      </c>
      <c r="B4204" s="2" t="str">
        <f t="shared" ref="B4204:B4206" si="710">HYPERLINK("https://www.compass.com/building/325-lex-condominium-manhattan-ny/281939882467713365/","325 Lex Condominium")</f>
        <v>325 Lex Condominium</v>
      </c>
      <c r="C4204" s="1" t="s">
        <v>59</v>
      </c>
      <c r="D4204" s="1" t="s">
        <v>41</v>
      </c>
      <c r="E4204" s="3">
        <v>1293178</v>
      </c>
      <c r="F4204" s="1">
        <v>1715.0901856763901</v>
      </c>
      <c r="G4204" s="1">
        <v>3</v>
      </c>
      <c r="H4204" s="1">
        <v>1</v>
      </c>
      <c r="I4204" s="1">
        <v>1</v>
      </c>
      <c r="J4204" s="1">
        <v>1</v>
      </c>
      <c r="K4204" s="1">
        <v>1</v>
      </c>
      <c r="M4204" s="1">
        <v>754</v>
      </c>
      <c r="N4204" s="1">
        <v>1035</v>
      </c>
      <c r="O4204" s="1">
        <v>1260</v>
      </c>
      <c r="P4204" s="1">
        <v>225</v>
      </c>
      <c r="Q4204" s="1" t="s">
        <v>42</v>
      </c>
      <c r="S4204" s="1" t="s">
        <v>42</v>
      </c>
      <c r="T4204" s="1" t="s">
        <v>273</v>
      </c>
      <c r="U4204" s="1">
        <v>58</v>
      </c>
      <c r="V4204" s="5">
        <v>43651</v>
      </c>
      <c r="W4204" s="5">
        <v>42137</v>
      </c>
      <c r="X4204" s="1">
        <v>1270000</v>
      </c>
      <c r="Y4204" s="1">
        <v>1270000</v>
      </c>
      <c r="Z4204" s="5">
        <v>42195</v>
      </c>
      <c r="AA4204" s="1">
        <v>1293178</v>
      </c>
      <c r="AB4204" s="1" t="s">
        <v>2925</v>
      </c>
      <c r="AC4204" s="5">
        <v>42221</v>
      </c>
      <c r="AF4204" s="1">
        <v>10016</v>
      </c>
      <c r="AI4204" s="1" t="s">
        <v>60</v>
      </c>
      <c r="AJ4204" s="1">
        <v>2014</v>
      </c>
      <c r="AK4204" s="1" t="s">
        <v>108</v>
      </c>
      <c r="AL4204" s="1">
        <v>125</v>
      </c>
    </row>
    <row r="4205" spans="1:38" x14ac:dyDescent="0.2">
      <c r="A4205" s="2" t="str">
        <f>HYPERLINK("https://www.compass.com/listing/325-lexington-avenue-unit-11d-manhattan-ny-10016/29379701030013313/","325 Lexington Ave, Unit 11D")</f>
        <v>325 Lexington Ave, Unit 11D</v>
      </c>
      <c r="B4205" s="2" t="str">
        <f t="shared" si="710"/>
        <v>325 Lex Condominium</v>
      </c>
      <c r="C4205" s="1" t="s">
        <v>59</v>
      </c>
      <c r="D4205" s="1" t="s">
        <v>41</v>
      </c>
      <c r="E4205" s="3">
        <v>1293178</v>
      </c>
      <c r="F4205" s="1">
        <v>1715.0901856763901</v>
      </c>
      <c r="G4205" s="1">
        <v>3</v>
      </c>
      <c r="H4205" s="1">
        <v>1</v>
      </c>
      <c r="I4205" s="1">
        <v>1</v>
      </c>
      <c r="J4205" s="1">
        <v>1</v>
      </c>
      <c r="K4205" s="1">
        <v>1</v>
      </c>
      <c r="M4205" s="1">
        <v>754</v>
      </c>
      <c r="N4205" s="1">
        <v>1040</v>
      </c>
      <c r="O4205" s="1">
        <v>1266</v>
      </c>
      <c r="P4205" s="1">
        <v>226</v>
      </c>
      <c r="Q4205" s="1" t="s">
        <v>42</v>
      </c>
      <c r="S4205" s="1" t="s">
        <v>42</v>
      </c>
      <c r="T4205" s="1" t="s">
        <v>273</v>
      </c>
      <c r="U4205" s="1">
        <v>6</v>
      </c>
      <c r="V4205" s="5">
        <v>43655</v>
      </c>
      <c r="W4205" s="5">
        <v>42005</v>
      </c>
      <c r="X4205" s="1">
        <v>1270000</v>
      </c>
      <c r="Y4205" s="1">
        <v>1270000</v>
      </c>
      <c r="Z4205" s="5">
        <v>42011</v>
      </c>
      <c r="AA4205" s="1">
        <v>1293178</v>
      </c>
      <c r="AB4205" s="1" t="s">
        <v>2926</v>
      </c>
      <c r="AC4205" s="5">
        <v>42046</v>
      </c>
      <c r="AF4205" s="1">
        <v>10016</v>
      </c>
      <c r="AI4205" s="1" t="s">
        <v>60</v>
      </c>
      <c r="AJ4205" s="1">
        <v>2014</v>
      </c>
      <c r="AK4205" s="1" t="s">
        <v>108</v>
      </c>
      <c r="AL4205" s="1">
        <v>125</v>
      </c>
    </row>
    <row r="4206" spans="1:38" x14ac:dyDescent="0.2">
      <c r="A4206" s="2" t="str">
        <f>HYPERLINK("https://www.compass.com/listing/325-lexington-avenue-unit-12b-manhattan-ny-10016/29379702221256961/","325 Lexington Ave, Unit 12B")</f>
        <v>325 Lexington Ave, Unit 12B</v>
      </c>
      <c r="B4206" s="2" t="str">
        <f t="shared" si="710"/>
        <v>325 Lex Condominium</v>
      </c>
      <c r="C4206" s="1" t="s">
        <v>59</v>
      </c>
      <c r="D4206" s="1" t="s">
        <v>41</v>
      </c>
      <c r="E4206" s="3">
        <v>1293178</v>
      </c>
      <c r="F4206" s="1">
        <v>1998.72952086553</v>
      </c>
      <c r="G4206" s="1">
        <v>3</v>
      </c>
      <c r="H4206" s="1">
        <v>1</v>
      </c>
      <c r="I4206" s="1">
        <v>1</v>
      </c>
      <c r="J4206" s="1">
        <v>1</v>
      </c>
      <c r="K4206" s="1">
        <v>1</v>
      </c>
      <c r="M4206" s="1">
        <v>647</v>
      </c>
      <c r="N4206" s="1">
        <v>897</v>
      </c>
      <c r="O4206" s="1">
        <v>1092</v>
      </c>
      <c r="P4206" s="1">
        <v>195</v>
      </c>
      <c r="Q4206" s="1" t="s">
        <v>42</v>
      </c>
      <c r="S4206" s="1" t="s">
        <v>42</v>
      </c>
      <c r="T4206" s="1" t="s">
        <v>273</v>
      </c>
      <c r="V4206" s="5">
        <v>43650</v>
      </c>
      <c r="W4206" s="5">
        <v>42234</v>
      </c>
      <c r="X4206" s="1">
        <v>1300000</v>
      </c>
      <c r="Y4206" s="1">
        <v>1300000</v>
      </c>
      <c r="Z4206" s="5">
        <v>42234</v>
      </c>
      <c r="AA4206" s="1">
        <v>1293178</v>
      </c>
      <c r="AB4206" s="1" t="s">
        <v>2927</v>
      </c>
      <c r="AC4206" s="5">
        <v>42293</v>
      </c>
      <c r="AF4206" s="1">
        <v>10016</v>
      </c>
      <c r="AI4206" s="1" t="s">
        <v>60</v>
      </c>
      <c r="AJ4206" s="1">
        <v>2014</v>
      </c>
      <c r="AK4206" s="1" t="s">
        <v>108</v>
      </c>
      <c r="AL4206" s="1">
        <v>125</v>
      </c>
    </row>
    <row r="4207" spans="1:38" x14ac:dyDescent="0.2">
      <c r="A4207" s="2" t="str">
        <f>HYPERLINK("https://www.compass.com/listing/425-west-50th-street-unit-12d-manhattan-ny-10019/29389213266989361/","425 W 50th St, Unit 12D")</f>
        <v>425 W 50th St, Unit 12D</v>
      </c>
      <c r="B4207" s="2" t="str">
        <f>HYPERLINK("https://www.compass.com/building/stella-tower-manhattan-ny/281945855710262181/","Stella Tower")</f>
        <v>Stella Tower</v>
      </c>
      <c r="C4207" s="1" t="s">
        <v>90</v>
      </c>
      <c r="D4207" s="1" t="s">
        <v>41</v>
      </c>
      <c r="E4207" s="3">
        <v>1725000</v>
      </c>
      <c r="F4207" s="1">
        <v>1691.1764705882299</v>
      </c>
      <c r="G4207" s="1">
        <v>3</v>
      </c>
      <c r="H4207" s="1">
        <v>1</v>
      </c>
      <c r="I4207" s="1">
        <v>1</v>
      </c>
      <c r="J4207" s="1">
        <v>1.5</v>
      </c>
      <c r="K4207" s="1">
        <v>1</v>
      </c>
      <c r="L4207" s="1">
        <v>1</v>
      </c>
      <c r="M4207" s="4">
        <v>1020</v>
      </c>
      <c r="N4207" s="1">
        <v>1155</v>
      </c>
      <c r="O4207" s="1">
        <v>2227</v>
      </c>
      <c r="P4207" s="1">
        <v>1072</v>
      </c>
      <c r="Q4207" s="1" t="s">
        <v>42</v>
      </c>
      <c r="S4207" s="1" t="s">
        <v>42</v>
      </c>
      <c r="T4207" s="1" t="s">
        <v>273</v>
      </c>
      <c r="U4207" s="1">
        <v>242</v>
      </c>
      <c r="V4207" s="5">
        <v>43649</v>
      </c>
      <c r="W4207" s="5">
        <v>42951</v>
      </c>
      <c r="X4207" s="1">
        <v>1925000</v>
      </c>
      <c r="Y4207" s="1">
        <v>1825000</v>
      </c>
      <c r="Z4207" s="5">
        <v>43193</v>
      </c>
      <c r="AA4207" s="1">
        <v>1725000</v>
      </c>
      <c r="AB4207" s="1" t="s">
        <v>2928</v>
      </c>
      <c r="AC4207" s="5">
        <v>43245</v>
      </c>
      <c r="AF4207" s="1">
        <v>10019</v>
      </c>
      <c r="AI4207" s="1" t="s">
        <v>80</v>
      </c>
      <c r="AJ4207" s="1">
        <v>1930</v>
      </c>
      <c r="AK4207" s="1" t="s">
        <v>46</v>
      </c>
      <c r="AL4207" s="1">
        <v>51</v>
      </c>
    </row>
    <row r="4208" spans="1:38" x14ac:dyDescent="0.2">
      <c r="A4208" s="2" t="str">
        <f>HYPERLINK("https://www.compass.com/listing/305-west-150th-street-unit-109-manhattan-ny-10039/29434101790499505/","305 W 150th St, Unit 109")</f>
        <v>305 W 150th St, Unit 109</v>
      </c>
      <c r="B4208" s="2" t="str">
        <f t="shared" ref="B4208:B4209" si="711">HYPERLINK("https://www.compass.com/building/305-w-150th-st-manhattan-ny-10039/282032234968400245/","305 W 150th St")</f>
        <v>305 W 150th St</v>
      </c>
      <c r="C4208" s="1" t="s">
        <v>84</v>
      </c>
      <c r="D4208" s="1" t="s">
        <v>41</v>
      </c>
      <c r="E4208" s="3">
        <v>455000</v>
      </c>
      <c r="F4208" s="1">
        <v>776.45051194539201</v>
      </c>
      <c r="G4208" s="1">
        <v>3</v>
      </c>
      <c r="H4208" s="1">
        <v>1</v>
      </c>
      <c r="I4208" s="1">
        <v>1</v>
      </c>
      <c r="J4208" s="1">
        <v>1</v>
      </c>
      <c r="K4208" s="1">
        <v>1</v>
      </c>
      <c r="M4208" s="1">
        <v>586</v>
      </c>
      <c r="N4208" s="1">
        <v>338.07</v>
      </c>
      <c r="O4208" s="1">
        <v>582.17999999999995</v>
      </c>
      <c r="P4208" s="1">
        <v>244.083333333333</v>
      </c>
      <c r="Q4208" s="1" t="s">
        <v>42</v>
      </c>
      <c r="S4208" s="1" t="s">
        <v>42</v>
      </c>
      <c r="T4208" s="1" t="s">
        <v>273</v>
      </c>
      <c r="U4208" s="1">
        <v>242</v>
      </c>
      <c r="V4208" s="5">
        <v>42826</v>
      </c>
      <c r="W4208" s="5">
        <v>42124</v>
      </c>
      <c r="X4208" s="1">
        <v>438000</v>
      </c>
      <c r="Y4208" s="1">
        <v>438000</v>
      </c>
      <c r="Z4208" s="5">
        <v>42492</v>
      </c>
      <c r="AA4208" s="1">
        <v>455000</v>
      </c>
      <c r="AB4208" s="1" t="s">
        <v>2929</v>
      </c>
      <c r="AC4208" s="5">
        <v>42692</v>
      </c>
      <c r="AF4208" s="1">
        <v>10039</v>
      </c>
      <c r="AJ4208" s="1">
        <v>1921</v>
      </c>
      <c r="AK4208" s="1" t="s">
        <v>143</v>
      </c>
      <c r="AL4208" s="1">
        <v>84</v>
      </c>
    </row>
    <row r="4209" spans="1:38" x14ac:dyDescent="0.2">
      <c r="A4209" s="2" t="str">
        <f>HYPERLINK("https://www.compass.com/listing/305-west-150th-street-unit-211-manhattan-ny-10039/29434108224493153/","305 W 150th St, Unit 211")</f>
        <v>305 W 150th St, Unit 211</v>
      </c>
      <c r="B4209" s="2" t="str">
        <f t="shared" si="711"/>
        <v>305 W 150th St</v>
      </c>
      <c r="C4209" s="1" t="s">
        <v>84</v>
      </c>
      <c r="D4209" s="1" t="s">
        <v>41</v>
      </c>
      <c r="E4209" s="3">
        <v>462500</v>
      </c>
      <c r="F4209" s="1">
        <v>772.12020033388899</v>
      </c>
      <c r="G4209" s="1">
        <v>3</v>
      </c>
      <c r="H4209" s="1">
        <v>1</v>
      </c>
      <c r="I4209" s="1">
        <v>1</v>
      </c>
      <c r="J4209" s="1">
        <v>1</v>
      </c>
      <c r="K4209" s="1">
        <v>1</v>
      </c>
      <c r="M4209" s="1">
        <v>599</v>
      </c>
      <c r="N4209" s="1">
        <v>349.92</v>
      </c>
      <c r="O4209" s="1">
        <v>602.6</v>
      </c>
      <c r="P4209" s="1">
        <v>252.666666666666</v>
      </c>
      <c r="Q4209" s="1" t="s">
        <v>42</v>
      </c>
      <c r="S4209" s="1" t="s">
        <v>42</v>
      </c>
      <c r="T4209" s="1" t="s">
        <v>273</v>
      </c>
      <c r="U4209" s="1">
        <v>328</v>
      </c>
      <c r="V4209" s="5">
        <v>42826</v>
      </c>
      <c r="W4209" s="5">
        <v>42124</v>
      </c>
      <c r="X4209" s="1">
        <v>462500</v>
      </c>
      <c r="Y4209" s="1">
        <v>462500</v>
      </c>
      <c r="AA4209" s="1">
        <v>462500</v>
      </c>
      <c r="AB4209" s="1" t="s">
        <v>2930</v>
      </c>
      <c r="AC4209" s="5">
        <v>42753</v>
      </c>
      <c r="AF4209" s="1">
        <v>10039</v>
      </c>
      <c r="AJ4209" s="1">
        <v>1921</v>
      </c>
      <c r="AK4209" s="1" t="s">
        <v>143</v>
      </c>
      <c r="AL4209" s="1">
        <v>84</v>
      </c>
    </row>
    <row r="4210" spans="1:38" x14ac:dyDescent="0.2">
      <c r="A4210" s="2" t="str">
        <f>HYPERLINK("https://www.compass.com/listing/325-lexington-avenue-unit-16b-manhattan-ny-10016/29379709527673425/","325 Lexington Ave, Unit 16B")</f>
        <v>325 Lexington Ave, Unit 16B</v>
      </c>
      <c r="B4210" s="2" t="str">
        <f t="shared" ref="B4210:B4211" si="712">HYPERLINK("https://www.compass.com/building/325-lex-condominium-manhattan-ny/281939882467713365/","325 Lex Condominium")</f>
        <v>325 Lex Condominium</v>
      </c>
      <c r="C4210" s="1" t="s">
        <v>59</v>
      </c>
      <c r="D4210" s="1" t="s">
        <v>41</v>
      </c>
      <c r="E4210" s="3">
        <v>998985</v>
      </c>
      <c r="F4210" s="1">
        <v>1544.0259041730999</v>
      </c>
      <c r="H4210" s="1">
        <v>1</v>
      </c>
      <c r="J4210" s="1">
        <v>1</v>
      </c>
      <c r="K4210" s="1">
        <v>1</v>
      </c>
      <c r="M4210" s="1">
        <v>647</v>
      </c>
      <c r="N4210" s="1">
        <v>909</v>
      </c>
      <c r="O4210" s="1">
        <v>1107</v>
      </c>
      <c r="P4210" s="1">
        <v>198</v>
      </c>
      <c r="Q4210" s="1" t="s">
        <v>42</v>
      </c>
      <c r="S4210" s="1" t="s">
        <v>42</v>
      </c>
      <c r="T4210" s="1" t="s">
        <v>273</v>
      </c>
      <c r="AA4210" s="1">
        <v>998984.76</v>
      </c>
      <c r="AB4210" s="1" t="s">
        <v>2931</v>
      </c>
      <c r="AC4210" s="5">
        <v>42937</v>
      </c>
      <c r="AF4210" s="1">
        <v>10016</v>
      </c>
      <c r="AI4210" s="1" t="s">
        <v>60</v>
      </c>
      <c r="AJ4210" s="1">
        <v>2014</v>
      </c>
      <c r="AK4210" s="1" t="s">
        <v>55</v>
      </c>
      <c r="AL4210" s="1">
        <v>125</v>
      </c>
    </row>
    <row r="4211" spans="1:38" x14ac:dyDescent="0.2">
      <c r="A4211" s="2" t="str">
        <f>HYPERLINK("https://www.compass.com/listing/325-lexington-avenue-unit-24a-manhattan-ny-10016/29379725776468625/","325 Lexington Ave, Unit 24A")</f>
        <v>325 Lexington Ave, Unit 24A</v>
      </c>
      <c r="B4211" s="2" t="str">
        <f t="shared" si="712"/>
        <v>325 Lex Condominium</v>
      </c>
      <c r="C4211" s="1" t="s">
        <v>59</v>
      </c>
      <c r="D4211" s="1" t="s">
        <v>41</v>
      </c>
      <c r="E4211" s="3">
        <v>1451006</v>
      </c>
      <c r="F4211" s="1">
        <v>2256.6189735614298</v>
      </c>
      <c r="G4211" s="1">
        <v>3</v>
      </c>
      <c r="H4211" s="1">
        <v>1</v>
      </c>
      <c r="I4211" s="1">
        <v>1</v>
      </c>
      <c r="J4211" s="1">
        <v>1</v>
      </c>
      <c r="K4211" s="1">
        <v>1</v>
      </c>
      <c r="M4211" s="1">
        <v>643</v>
      </c>
      <c r="N4211" s="1">
        <v>938</v>
      </c>
      <c r="O4211" s="1">
        <v>1142</v>
      </c>
      <c r="P4211" s="1">
        <v>204</v>
      </c>
      <c r="Q4211" s="1" t="s">
        <v>42</v>
      </c>
      <c r="S4211" s="1" t="s">
        <v>42</v>
      </c>
      <c r="T4211" s="1" t="s">
        <v>273</v>
      </c>
      <c r="U4211" s="1">
        <v>231</v>
      </c>
      <c r="V4211" s="5">
        <v>43675</v>
      </c>
      <c r="W4211" s="5">
        <v>42320</v>
      </c>
      <c r="X4211" s="1">
        <v>1425000</v>
      </c>
      <c r="Y4211" s="1">
        <v>1425000</v>
      </c>
      <c r="AA4211" s="1">
        <v>1451006</v>
      </c>
      <c r="AB4211" s="1" t="s">
        <v>2932</v>
      </c>
      <c r="AC4211" s="5">
        <v>42552</v>
      </c>
      <c r="AF4211" s="1">
        <v>10016</v>
      </c>
      <c r="AI4211" s="1" t="s">
        <v>204</v>
      </c>
      <c r="AJ4211" s="1">
        <v>2014</v>
      </c>
      <c r="AK4211" s="1" t="s">
        <v>108</v>
      </c>
      <c r="AL4211" s="1">
        <v>125</v>
      </c>
    </row>
    <row r="4212" spans="1:38" x14ac:dyDescent="0.2">
      <c r="A4212" s="2" t="str">
        <f>HYPERLINK("https://www.compass.com/listing/1-west-end-avenue-unit-21c-manhattan-ny-10069/29397342625036721/","1 W End Ave, Unit 21C")</f>
        <v>1 W End Ave, Unit 21C</v>
      </c>
      <c r="B4212" s="2" t="str">
        <f>HYPERLINK("https://www.compass.com/building/1-w-end-ave-manhattan-ny-10069/455676159137755317/","1 W End Ave")</f>
        <v>1 W End Ave</v>
      </c>
      <c r="C4212" s="1" t="s">
        <v>57</v>
      </c>
      <c r="D4212" s="1" t="s">
        <v>41</v>
      </c>
      <c r="E4212" s="3">
        <v>4031794</v>
      </c>
      <c r="F4212" s="1">
        <v>2002.87820168902</v>
      </c>
      <c r="G4212" s="1">
        <v>5</v>
      </c>
      <c r="H4212" s="1">
        <v>3</v>
      </c>
      <c r="I4212" s="1">
        <v>3</v>
      </c>
      <c r="J4212" s="1">
        <v>3</v>
      </c>
      <c r="M4212" s="4">
        <v>2013</v>
      </c>
      <c r="N4212" s="1">
        <v>2433</v>
      </c>
      <c r="O4212" s="1">
        <v>2433</v>
      </c>
      <c r="Q4212" s="1" t="s">
        <v>42</v>
      </c>
      <c r="S4212" s="1" t="s">
        <v>42</v>
      </c>
      <c r="T4212" s="1" t="s">
        <v>273</v>
      </c>
      <c r="U4212" s="1">
        <v>15</v>
      </c>
      <c r="V4212" s="5">
        <v>42913</v>
      </c>
      <c r="W4212" s="5">
        <v>42879</v>
      </c>
      <c r="X4212" s="1">
        <v>4080000</v>
      </c>
      <c r="Y4212" s="1">
        <v>4080000</v>
      </c>
      <c r="AA4212" s="1">
        <v>4031793.82</v>
      </c>
      <c r="AB4212" s="1" t="s">
        <v>2933</v>
      </c>
      <c r="AC4212" s="5">
        <v>42993</v>
      </c>
      <c r="AF4212" s="1">
        <v>10069</v>
      </c>
      <c r="AI4212" s="1" t="s">
        <v>76</v>
      </c>
      <c r="AJ4212" s="1">
        <v>2017</v>
      </c>
      <c r="AK4212" s="1" t="s">
        <v>55</v>
      </c>
      <c r="AL4212" s="1">
        <v>246</v>
      </c>
    </row>
    <row r="4213" spans="1:38" x14ac:dyDescent="0.2">
      <c r="A4213" s="2" t="str">
        <f>HYPERLINK("https://www.compass.com/listing/310-west-114th-street-unit-7-manhattan-ny-10026/303476459104131905/","310 W 114th St, Unit 7")</f>
        <v>310 W 114th St, Unit 7</v>
      </c>
      <c r="B4213" s="2" t="str">
        <f>HYPERLINK("https://www.compass.com/building/310-w-114th-st-manhattan-ny-10026/281976388834127397/","310 W 114th St")</f>
        <v>310 W 114th St</v>
      </c>
      <c r="C4213" s="1" t="s">
        <v>85</v>
      </c>
      <c r="D4213" s="1" t="s">
        <v>41</v>
      </c>
      <c r="E4213" s="3">
        <v>735000</v>
      </c>
      <c r="F4213" s="1">
        <v>1068.3139534883701</v>
      </c>
      <c r="G4213" s="1">
        <v>3</v>
      </c>
      <c r="H4213" s="1">
        <v>1</v>
      </c>
      <c r="I4213" s="1">
        <v>1</v>
      </c>
      <c r="J4213" s="1">
        <v>1</v>
      </c>
      <c r="K4213" s="1">
        <v>1</v>
      </c>
      <c r="M4213" s="1">
        <v>688</v>
      </c>
      <c r="N4213" s="1">
        <v>173</v>
      </c>
      <c r="O4213" s="1">
        <v>1051</v>
      </c>
      <c r="P4213" s="1">
        <v>878</v>
      </c>
      <c r="Q4213" s="1" t="s">
        <v>42</v>
      </c>
      <c r="S4213" s="1" t="s">
        <v>42</v>
      </c>
      <c r="T4213" s="1" t="s">
        <v>273</v>
      </c>
      <c r="V4213" s="5">
        <v>43999</v>
      </c>
      <c r="W4213" s="5">
        <v>43671</v>
      </c>
      <c r="X4213" s="1">
        <v>850000</v>
      </c>
      <c r="Y4213" s="1">
        <v>850000</v>
      </c>
      <c r="Z4213" s="5">
        <v>43671</v>
      </c>
      <c r="AA4213" s="1">
        <v>735000</v>
      </c>
      <c r="AB4213" s="1" t="s">
        <v>2861</v>
      </c>
      <c r="AC4213" s="5">
        <v>43997</v>
      </c>
      <c r="AF4213" s="1">
        <v>10026</v>
      </c>
      <c r="AI4213" s="1" t="s">
        <v>2862</v>
      </c>
      <c r="AJ4213" s="1">
        <v>2015</v>
      </c>
      <c r="AL4213" s="1">
        <v>8</v>
      </c>
    </row>
    <row r="4214" spans="1:38" x14ac:dyDescent="0.2">
      <c r="A4214" s="2" t="str">
        <f>HYPERLINK("https://www.compass.com/listing/1-west-end-avenue-unit-26g-manhattan-ny-10069/29397377085362721/","1 W End Ave, Unit 26G")</f>
        <v>1 W End Ave, Unit 26G</v>
      </c>
      <c r="B4214" s="2" t="str">
        <f t="shared" ref="B4214:B4215" si="713">HYPERLINK("https://www.compass.com/building/1-w-end-ave-manhattan-ny-10069/455676159137755317/","1 W End Ave")</f>
        <v>1 W End Ave</v>
      </c>
      <c r="C4214" s="1" t="s">
        <v>57</v>
      </c>
      <c r="D4214" s="1" t="s">
        <v>41</v>
      </c>
      <c r="E4214" s="3">
        <v>3490949</v>
      </c>
      <c r="F4214" s="1">
        <v>2373.18082936777</v>
      </c>
      <c r="G4214" s="1">
        <v>4</v>
      </c>
      <c r="H4214" s="1">
        <v>2</v>
      </c>
      <c r="I4214" s="1">
        <v>2</v>
      </c>
      <c r="J4214" s="1">
        <v>2.5</v>
      </c>
      <c r="K4214" s="1">
        <v>2</v>
      </c>
      <c r="L4214" s="1">
        <v>1</v>
      </c>
      <c r="M4214" s="4">
        <v>1471</v>
      </c>
      <c r="N4214" s="1">
        <v>1674</v>
      </c>
      <c r="O4214" s="1">
        <v>1774</v>
      </c>
      <c r="P4214" s="1">
        <v>100</v>
      </c>
      <c r="Q4214" s="1" t="s">
        <v>42</v>
      </c>
      <c r="S4214" s="1" t="s">
        <v>42</v>
      </c>
      <c r="T4214" s="1" t="s">
        <v>273</v>
      </c>
      <c r="V4214" s="5">
        <v>43624</v>
      </c>
      <c r="W4214" s="5">
        <v>42235</v>
      </c>
      <c r="X4214" s="1">
        <v>3420000</v>
      </c>
      <c r="Y4214" s="1">
        <v>3420000</v>
      </c>
      <c r="Z4214" s="5">
        <v>42235</v>
      </c>
      <c r="AA4214" s="1">
        <v>3490949</v>
      </c>
      <c r="AB4214" s="1" t="s">
        <v>2934</v>
      </c>
      <c r="AC4214" s="5">
        <v>43062</v>
      </c>
      <c r="AF4214" s="1">
        <v>10069</v>
      </c>
      <c r="AI4214" s="1" t="s">
        <v>60</v>
      </c>
      <c r="AJ4214" s="1">
        <v>2017</v>
      </c>
      <c r="AK4214" s="1" t="s">
        <v>108</v>
      </c>
      <c r="AL4214" s="1">
        <v>246</v>
      </c>
    </row>
    <row r="4215" spans="1:38" x14ac:dyDescent="0.2">
      <c r="A4215" s="2" t="str">
        <f>HYPERLINK("https://www.compass.com/listing/1-west-end-avenue-unit-28g-manhattan-ny-10069/29397377949373089/","1 W End Ave, Unit 28G")</f>
        <v>1 W End Ave, Unit 28G</v>
      </c>
      <c r="B4215" s="2" t="str">
        <f t="shared" si="713"/>
        <v>1 W End Ave</v>
      </c>
      <c r="C4215" s="1" t="s">
        <v>57</v>
      </c>
      <c r="D4215" s="1" t="s">
        <v>41</v>
      </c>
      <c r="E4215" s="3">
        <v>3597865</v>
      </c>
      <c r="F4215" s="1">
        <v>2445.8633582596799</v>
      </c>
      <c r="G4215" s="1">
        <v>4</v>
      </c>
      <c r="H4215" s="1">
        <v>2</v>
      </c>
      <c r="I4215" s="1">
        <v>2</v>
      </c>
      <c r="J4215" s="1">
        <v>2.5</v>
      </c>
      <c r="K4215" s="1">
        <v>2</v>
      </c>
      <c r="L4215" s="1">
        <v>1</v>
      </c>
      <c r="M4215" s="4">
        <v>1471</v>
      </c>
      <c r="N4215" s="1">
        <v>1674</v>
      </c>
      <c r="O4215" s="1">
        <v>1774</v>
      </c>
      <c r="P4215" s="1">
        <v>100</v>
      </c>
      <c r="Q4215" s="1" t="s">
        <v>42</v>
      </c>
      <c r="S4215" s="1" t="s">
        <v>42</v>
      </c>
      <c r="T4215" s="1" t="s">
        <v>273</v>
      </c>
      <c r="V4215" s="5">
        <v>43626</v>
      </c>
      <c r="W4215" s="5">
        <v>42567</v>
      </c>
      <c r="X4215" s="1">
        <v>3525000</v>
      </c>
      <c r="Y4215" s="1">
        <v>3525000</v>
      </c>
      <c r="Z4215" s="5">
        <v>42567</v>
      </c>
      <c r="AA4215" s="1">
        <v>3597865</v>
      </c>
      <c r="AB4215" s="1" t="s">
        <v>2935</v>
      </c>
      <c r="AC4215" s="5">
        <v>43089</v>
      </c>
      <c r="AF4215" s="1">
        <v>10069</v>
      </c>
      <c r="AI4215" s="1" t="s">
        <v>60</v>
      </c>
      <c r="AJ4215" s="1">
        <v>2017</v>
      </c>
      <c r="AK4215" s="1" t="s">
        <v>108</v>
      </c>
      <c r="AL4215" s="1">
        <v>246</v>
      </c>
    </row>
    <row r="4216" spans="1:38" x14ac:dyDescent="0.2">
      <c r="A4216" s="2" t="str">
        <f>HYPERLINK("https://www.compass.com/listing/305-west-150th-street-unit-211-manhattan-ny-10039/803298158142355193/","305 W 150th St, Unit 211")</f>
        <v>305 W 150th St, Unit 211</v>
      </c>
      <c r="B4216" s="2" t="str">
        <f>HYPERLINK("https://www.compass.com/building/305-w-150th-st-manhattan-ny-10039/282032234968400245/","305 W 150th St")</f>
        <v>305 W 150th St</v>
      </c>
      <c r="C4216" s="1" t="s">
        <v>84</v>
      </c>
      <c r="D4216" s="1" t="s">
        <v>41</v>
      </c>
      <c r="E4216" s="3">
        <v>462500</v>
      </c>
      <c r="F4216" s="1">
        <v>772.12020033388899</v>
      </c>
      <c r="G4216" s="1">
        <v>3</v>
      </c>
      <c r="H4216" s="1">
        <v>1</v>
      </c>
      <c r="I4216" s="1">
        <v>1</v>
      </c>
      <c r="J4216" s="1">
        <v>1</v>
      </c>
      <c r="K4216" s="1">
        <v>1</v>
      </c>
      <c r="M4216" s="1">
        <v>599</v>
      </c>
      <c r="N4216" s="1">
        <v>349.92</v>
      </c>
      <c r="O4216" s="1">
        <v>602.6</v>
      </c>
      <c r="P4216" s="1">
        <v>252.666666666666</v>
      </c>
      <c r="Q4216" s="1" t="s">
        <v>42</v>
      </c>
      <c r="S4216" s="1" t="s">
        <v>42</v>
      </c>
      <c r="T4216" s="1" t="s">
        <v>273</v>
      </c>
      <c r="U4216" s="1">
        <v>45</v>
      </c>
      <c r="V4216" s="5">
        <v>42775</v>
      </c>
      <c r="W4216" s="5">
        <v>42625</v>
      </c>
      <c r="X4216" s="1">
        <v>462500</v>
      </c>
      <c r="Y4216" s="1">
        <v>462500</v>
      </c>
      <c r="Z4216" s="5">
        <v>42671</v>
      </c>
      <c r="AA4216" s="1">
        <v>462500</v>
      </c>
      <c r="AB4216" s="1" t="s">
        <v>2930</v>
      </c>
      <c r="AC4216" s="5">
        <v>42753</v>
      </c>
      <c r="AF4216" s="1">
        <v>10039</v>
      </c>
      <c r="AJ4216" s="1">
        <v>1921</v>
      </c>
      <c r="AK4216" s="1" t="s">
        <v>73</v>
      </c>
      <c r="AL4216" s="1">
        <v>84</v>
      </c>
    </row>
    <row r="4217" spans="1:38" x14ac:dyDescent="0.2">
      <c r="A4217" s="2" t="str">
        <f>HYPERLINK("https://www.compass.com/listing/1-west-end-avenue-unit-20g-manhattan-ny-10069/29397375332219825/","1 W End Ave, Unit 20G")</f>
        <v>1 W End Ave, Unit 20G</v>
      </c>
      <c r="B4217" s="2" t="str">
        <f t="shared" ref="B4217:B4218" si="714">HYPERLINK("https://www.compass.com/building/1-w-end-ave-manhattan-ny-10069/455676159137755317/","1 W End Ave")</f>
        <v>1 W End Ave</v>
      </c>
      <c r="C4217" s="1" t="s">
        <v>57</v>
      </c>
      <c r="D4217" s="1" t="s">
        <v>41</v>
      </c>
      <c r="E4217" s="3">
        <v>2547900</v>
      </c>
      <c r="F4217" s="1">
        <v>2133.91959798994</v>
      </c>
      <c r="G4217" s="1">
        <v>4</v>
      </c>
      <c r="H4217" s="1">
        <v>2</v>
      </c>
      <c r="I4217" s="1">
        <v>2</v>
      </c>
      <c r="J4217" s="1">
        <v>2</v>
      </c>
      <c r="K4217" s="1">
        <v>2</v>
      </c>
      <c r="M4217" s="4">
        <v>1194</v>
      </c>
      <c r="N4217" s="1">
        <v>1443</v>
      </c>
      <c r="O4217" s="1">
        <v>1529</v>
      </c>
      <c r="P4217" s="1">
        <v>86</v>
      </c>
      <c r="Q4217" s="1" t="s">
        <v>42</v>
      </c>
      <c r="S4217" s="1" t="s">
        <v>42</v>
      </c>
      <c r="T4217" s="1" t="s">
        <v>273</v>
      </c>
      <c r="U4217" s="1">
        <v>63</v>
      </c>
      <c r="V4217" s="5">
        <v>43623</v>
      </c>
      <c r="W4217" s="5">
        <v>42182</v>
      </c>
      <c r="X4217" s="1">
        <v>2495000</v>
      </c>
      <c r="Y4217" s="1">
        <v>2495000</v>
      </c>
      <c r="Z4217" s="5">
        <v>42245</v>
      </c>
      <c r="AA4217" s="1">
        <v>2547900</v>
      </c>
      <c r="AB4217" s="1" t="s">
        <v>2936</v>
      </c>
      <c r="AC4217" s="5">
        <v>42986</v>
      </c>
      <c r="AF4217" s="1">
        <v>10069</v>
      </c>
      <c r="AI4217" s="1" t="s">
        <v>60</v>
      </c>
      <c r="AJ4217" s="1">
        <v>2017</v>
      </c>
      <c r="AK4217" s="1" t="s">
        <v>108</v>
      </c>
      <c r="AL4217" s="1">
        <v>246</v>
      </c>
    </row>
    <row r="4218" spans="1:38" x14ac:dyDescent="0.2">
      <c r="A4218" s="2" t="str">
        <f>HYPERLINK("https://www.compass.com/listing/1-west-end-avenue-unit-18h-manhattan-ny-10069/803442743846060705/","1 W End Ave, Unit 18H")</f>
        <v>1 W End Ave, Unit 18H</v>
      </c>
      <c r="B4218" s="2" t="str">
        <f t="shared" si="714"/>
        <v>1 W End Ave</v>
      </c>
      <c r="C4218" s="1" t="s">
        <v>57</v>
      </c>
      <c r="D4218" s="1" t="s">
        <v>41</v>
      </c>
      <c r="E4218" s="3">
        <v>2818558</v>
      </c>
      <c r="F4218" s="1">
        <v>2049.8604290909002</v>
      </c>
      <c r="G4218" s="1">
        <v>4</v>
      </c>
      <c r="H4218" s="1">
        <v>2</v>
      </c>
      <c r="I4218" s="1">
        <v>2</v>
      </c>
      <c r="J4218" s="1">
        <v>2</v>
      </c>
      <c r="K4218" s="1">
        <v>2</v>
      </c>
      <c r="M4218" s="4">
        <v>1375</v>
      </c>
      <c r="N4218" s="1">
        <v>1593.7</v>
      </c>
      <c r="O4218" s="1">
        <v>1689.22</v>
      </c>
      <c r="P4218" s="1">
        <v>95.5</v>
      </c>
      <c r="Q4218" s="1" t="s">
        <v>42</v>
      </c>
      <c r="S4218" s="1" t="s">
        <v>42</v>
      </c>
      <c r="T4218" s="1" t="s">
        <v>273</v>
      </c>
      <c r="U4218" s="1">
        <v>189</v>
      </c>
      <c r="V4218" s="5">
        <v>42998</v>
      </c>
      <c r="W4218" s="5">
        <v>42097</v>
      </c>
      <c r="X4218" s="1">
        <v>2760000</v>
      </c>
      <c r="Y4218" s="1">
        <v>2760000</v>
      </c>
      <c r="Z4218" s="5">
        <v>42203</v>
      </c>
      <c r="AA4218" s="1">
        <v>2818558.09</v>
      </c>
      <c r="AB4218" s="1" t="s">
        <v>2937</v>
      </c>
      <c r="AC4218" s="5">
        <v>42997</v>
      </c>
      <c r="AF4218" s="1">
        <v>10069</v>
      </c>
      <c r="AI4218" s="1" t="s">
        <v>76</v>
      </c>
      <c r="AJ4218" s="1">
        <v>2017</v>
      </c>
      <c r="AK4218" s="1" t="s">
        <v>108</v>
      </c>
      <c r="AL4218" s="1">
        <v>246</v>
      </c>
    </row>
    <row r="4219" spans="1:38" x14ac:dyDescent="0.2">
      <c r="A4219" s="2" t="str">
        <f>HYPERLINK("https://www.compass.com/listing/325-lexington-avenue-unit-27b-manhattan-ny-10016/29379732051086289/","325 Lexington Ave, Unit 27B")</f>
        <v>325 Lexington Ave, Unit 27B</v>
      </c>
      <c r="B4219" s="2" t="str">
        <f>HYPERLINK("https://www.compass.com/building/325-lex-condominium-manhattan-ny/281939882467713365/","325 Lex Condominium")</f>
        <v>325 Lex Condominium</v>
      </c>
      <c r="C4219" s="1" t="s">
        <v>59</v>
      </c>
      <c r="D4219" s="1" t="s">
        <v>41</v>
      </c>
      <c r="E4219" s="3">
        <v>1730000</v>
      </c>
      <c r="F4219" s="1">
        <v>2178.8413098236701</v>
      </c>
      <c r="G4219" s="1">
        <v>3</v>
      </c>
      <c r="H4219" s="1">
        <v>1</v>
      </c>
      <c r="I4219" s="1">
        <v>1</v>
      </c>
      <c r="J4219" s="1">
        <v>1</v>
      </c>
      <c r="M4219" s="1">
        <v>794</v>
      </c>
      <c r="N4219" s="1">
        <v>1173</v>
      </c>
      <c r="O4219" s="1">
        <v>1424</v>
      </c>
      <c r="P4219" s="1">
        <v>251</v>
      </c>
      <c r="Q4219" s="1" t="s">
        <v>42</v>
      </c>
      <c r="S4219" s="1" t="s">
        <v>42</v>
      </c>
      <c r="T4219" s="1" t="s">
        <v>273</v>
      </c>
      <c r="U4219" s="1">
        <v>42</v>
      </c>
      <c r="V4219" s="5">
        <v>43664</v>
      </c>
      <c r="W4219" s="5">
        <v>42690</v>
      </c>
      <c r="X4219" s="1">
        <v>1750000</v>
      </c>
      <c r="Y4219" s="1">
        <v>1750000</v>
      </c>
      <c r="Z4219" s="5">
        <v>42732</v>
      </c>
      <c r="AA4219" s="1">
        <v>1730000</v>
      </c>
      <c r="AB4219" s="1" t="s">
        <v>2938</v>
      </c>
      <c r="AC4219" s="5">
        <v>42789</v>
      </c>
      <c r="AF4219" s="1">
        <v>10016</v>
      </c>
      <c r="AI4219" s="1" t="s">
        <v>205</v>
      </c>
      <c r="AJ4219" s="1">
        <v>2014</v>
      </c>
      <c r="AK4219" s="1" t="s">
        <v>108</v>
      </c>
      <c r="AL4219" s="1">
        <v>125</v>
      </c>
    </row>
    <row r="4220" spans="1:38" x14ac:dyDescent="0.2">
      <c r="A4220" s="2" t="str">
        <f>HYPERLINK("https://www.compass.com/listing/416-west-52nd-street-unit-506-manhattan-ny-10019/109544851548245905/","416 W 52nd St, Unit 506")</f>
        <v>416 W 52nd St, Unit 506</v>
      </c>
      <c r="B4220" s="2" t="str">
        <f>HYPERLINK("https://www.compass.com/building/nine52-manhattan-ny/281945622951555813/","Nine52")</f>
        <v>Nine52</v>
      </c>
      <c r="C4220" s="1" t="s">
        <v>90</v>
      </c>
      <c r="D4220" s="1" t="s">
        <v>41</v>
      </c>
      <c r="E4220" s="3">
        <v>1936407</v>
      </c>
      <c r="F4220" s="1">
        <v>1397.11904761904</v>
      </c>
      <c r="G4220" s="1">
        <v>4</v>
      </c>
      <c r="H4220" s="1">
        <v>2</v>
      </c>
      <c r="I4220" s="1">
        <v>2</v>
      </c>
      <c r="J4220" s="1">
        <v>2</v>
      </c>
      <c r="K4220" s="1">
        <v>2</v>
      </c>
      <c r="M4220" s="4">
        <v>1386</v>
      </c>
      <c r="N4220" s="1">
        <v>1083</v>
      </c>
      <c r="O4220" s="1">
        <v>3174</v>
      </c>
      <c r="P4220" s="1">
        <v>2091</v>
      </c>
      <c r="Q4220" s="1" t="s">
        <v>42</v>
      </c>
      <c r="S4220" s="1" t="s">
        <v>42</v>
      </c>
      <c r="T4220" s="1" t="s">
        <v>273</v>
      </c>
      <c r="U4220" s="1">
        <v>37</v>
      </c>
      <c r="V4220" s="5">
        <v>43648</v>
      </c>
      <c r="W4220" s="5">
        <v>43404</v>
      </c>
      <c r="X4220" s="1">
        <v>1920000</v>
      </c>
      <c r="Y4220" s="1">
        <v>1920000</v>
      </c>
      <c r="Z4220" s="5">
        <v>43441</v>
      </c>
      <c r="AA4220" s="1">
        <v>1936407</v>
      </c>
      <c r="AB4220" s="1" t="s">
        <v>2939</v>
      </c>
      <c r="AC4220" s="5">
        <v>43470</v>
      </c>
      <c r="AF4220" s="1">
        <v>10019</v>
      </c>
      <c r="AI4220" s="1" t="s">
        <v>48</v>
      </c>
      <c r="AJ4220" s="1">
        <v>1940</v>
      </c>
      <c r="AK4220" s="1" t="s">
        <v>55</v>
      </c>
      <c r="AL4220" s="1">
        <v>155</v>
      </c>
    </row>
    <row r="4221" spans="1:38" x14ac:dyDescent="0.2">
      <c r="A4221" s="2" t="str">
        <f>HYPERLINK("https://www.compass.com/listing/305-west-150th-street-unit-403-manhattan-ny-10039/293365293995074657/","305 W 150th St, Unit 403")</f>
        <v>305 W 150th St, Unit 403</v>
      </c>
      <c r="B4221" s="2" t="str">
        <f t="shared" ref="B4221:B4222" si="715">HYPERLINK("https://www.compass.com/building/305-w-150th-st-manhattan-ny-10039/282032234968400245/","305 W 150th St")</f>
        <v>305 W 150th St</v>
      </c>
      <c r="C4221" s="1" t="s">
        <v>84</v>
      </c>
      <c r="D4221" s="1" t="s">
        <v>41</v>
      </c>
      <c r="E4221" s="3">
        <v>382785</v>
      </c>
      <c r="F4221" s="1">
        <v>644.41919191919101</v>
      </c>
      <c r="G4221" s="1">
        <v>3</v>
      </c>
      <c r="H4221" s="1">
        <v>1</v>
      </c>
      <c r="I4221" s="1">
        <v>1</v>
      </c>
      <c r="J4221" s="1">
        <v>1</v>
      </c>
      <c r="M4221" s="1">
        <v>594</v>
      </c>
      <c r="N4221" s="1">
        <v>311</v>
      </c>
      <c r="O4221" s="1">
        <v>572.23</v>
      </c>
      <c r="P4221" s="1">
        <v>261.25</v>
      </c>
      <c r="Q4221" s="1" t="s">
        <v>42</v>
      </c>
      <c r="S4221" s="1" t="s">
        <v>42</v>
      </c>
      <c r="T4221" s="1" t="s">
        <v>273</v>
      </c>
      <c r="V4221" s="5">
        <v>41640</v>
      </c>
      <c r="Y4221" s="1">
        <v>377500</v>
      </c>
      <c r="Z4221" s="5">
        <v>42105</v>
      </c>
      <c r="AA4221" s="1">
        <v>382785</v>
      </c>
      <c r="AB4221" s="1" t="s">
        <v>2940</v>
      </c>
      <c r="AC4221" s="5">
        <v>42200</v>
      </c>
      <c r="AF4221" s="1">
        <v>10039</v>
      </c>
      <c r="AJ4221" s="1">
        <v>1921</v>
      </c>
      <c r="AK4221" s="1" t="s">
        <v>73</v>
      </c>
      <c r="AL4221" s="1">
        <v>84</v>
      </c>
    </row>
    <row r="4222" spans="1:38" x14ac:dyDescent="0.2">
      <c r="A4222" s="2" t="str">
        <f>HYPERLINK("https://www.compass.com/listing/305-west-150th-street-unit-303-manhattan-ny-10039/293384494478633713/","305 W 150th St, Unit 303")</f>
        <v>305 W 150th St, Unit 303</v>
      </c>
      <c r="B4222" s="2" t="str">
        <f t="shared" si="715"/>
        <v>305 W 150th St</v>
      </c>
      <c r="C4222" s="1" t="s">
        <v>84</v>
      </c>
      <c r="D4222" s="1" t="s">
        <v>41</v>
      </c>
      <c r="E4222" s="3">
        <v>376194</v>
      </c>
      <c r="F4222" s="1">
        <v>633.32323232323199</v>
      </c>
      <c r="G4222" s="1">
        <v>3</v>
      </c>
      <c r="H4222" s="1">
        <v>1</v>
      </c>
      <c r="I4222" s="1">
        <v>1</v>
      </c>
      <c r="J4222" s="1">
        <v>1</v>
      </c>
      <c r="M4222" s="1">
        <v>594</v>
      </c>
      <c r="N4222" s="1">
        <v>308.5</v>
      </c>
      <c r="O4222" s="1">
        <v>567.6</v>
      </c>
      <c r="P4222" s="1">
        <v>259.08333333333297</v>
      </c>
      <c r="Q4222" s="1" t="s">
        <v>42</v>
      </c>
      <c r="S4222" s="1" t="s">
        <v>42</v>
      </c>
      <c r="T4222" s="1" t="s">
        <v>273</v>
      </c>
      <c r="V4222" s="5">
        <v>41640</v>
      </c>
      <c r="Y4222" s="1">
        <v>371000</v>
      </c>
      <c r="Z4222" s="5">
        <v>42105</v>
      </c>
      <c r="AA4222" s="1">
        <v>376194</v>
      </c>
      <c r="AB4222" s="1" t="s">
        <v>2941</v>
      </c>
      <c r="AC4222" s="5">
        <v>42200</v>
      </c>
      <c r="AF4222" s="1">
        <v>10039</v>
      </c>
      <c r="AI4222" s="1" t="s">
        <v>177</v>
      </c>
      <c r="AJ4222" s="1">
        <v>1921</v>
      </c>
      <c r="AK4222" s="1" t="s">
        <v>73</v>
      </c>
      <c r="AL4222" s="1">
        <v>84</v>
      </c>
    </row>
    <row r="4223" spans="1:38" x14ac:dyDescent="0.2">
      <c r="A4223" s="2" t="str">
        <f>HYPERLINK("https://www.compass.com/listing/325-lexington-avenue-unit-26d-manhattan-ny-10016/29379730708908977/","325 Lexington Ave, Unit 26D")</f>
        <v>325 Lexington Ave, Unit 26D</v>
      </c>
      <c r="B4223" s="2" t="str">
        <f>HYPERLINK("https://www.compass.com/building/325-lex-condominium-manhattan-ny/281939882467713365/","325 Lex Condominium")</f>
        <v>325 Lex Condominium</v>
      </c>
      <c r="C4223" s="1" t="s">
        <v>59</v>
      </c>
      <c r="D4223" s="1" t="s">
        <v>41</v>
      </c>
      <c r="E4223" s="3">
        <v>1313543</v>
      </c>
      <c r="F4223" s="1">
        <v>2042.8351477449401</v>
      </c>
      <c r="G4223" s="1">
        <v>3</v>
      </c>
      <c r="H4223" s="1">
        <v>1</v>
      </c>
      <c r="I4223" s="1">
        <v>1</v>
      </c>
      <c r="J4223" s="1">
        <v>1</v>
      </c>
      <c r="K4223" s="1">
        <v>1</v>
      </c>
      <c r="M4223" s="1">
        <v>643</v>
      </c>
      <c r="N4223" s="1">
        <v>946</v>
      </c>
      <c r="O4223" s="1">
        <v>1152</v>
      </c>
      <c r="P4223" s="1">
        <v>206</v>
      </c>
      <c r="Q4223" s="1" t="s">
        <v>42</v>
      </c>
      <c r="S4223" s="1" t="s">
        <v>42</v>
      </c>
      <c r="T4223" s="1" t="s">
        <v>273</v>
      </c>
      <c r="V4223" s="5">
        <v>43654</v>
      </c>
      <c r="W4223" s="5">
        <v>41951</v>
      </c>
      <c r="X4223" s="1">
        <v>1320000</v>
      </c>
      <c r="Y4223" s="1">
        <v>1320000</v>
      </c>
      <c r="Z4223" s="5">
        <v>41951</v>
      </c>
      <c r="AA4223" s="1">
        <v>1313542.5</v>
      </c>
      <c r="AB4223" s="1" t="s">
        <v>2942</v>
      </c>
      <c r="AC4223" s="5">
        <v>42053</v>
      </c>
      <c r="AF4223" s="1">
        <v>10016</v>
      </c>
      <c r="AI4223" s="1" t="s">
        <v>60</v>
      </c>
      <c r="AJ4223" s="1">
        <v>2014</v>
      </c>
      <c r="AK4223" s="1" t="s">
        <v>108</v>
      </c>
      <c r="AL4223" s="1">
        <v>125</v>
      </c>
    </row>
    <row r="4224" spans="1:38" x14ac:dyDescent="0.2">
      <c r="A4224" s="2" t="str">
        <f>HYPERLINK("https://www.compass.com/listing/416-west-52nd-street-unit-313-manhattan-ny-10019/29389259312059537/","416 W 52nd St, Unit 313")</f>
        <v>416 W 52nd St, Unit 313</v>
      </c>
      <c r="B4224" s="2" t="str">
        <f t="shared" ref="B4224:B4227" si="716">HYPERLINK("https://www.compass.com/building/nine52-manhattan-ny/281945622951555813/","Nine52")</f>
        <v>Nine52</v>
      </c>
      <c r="C4224" s="1" t="s">
        <v>90</v>
      </c>
      <c r="D4224" s="1" t="s">
        <v>41</v>
      </c>
      <c r="E4224" s="3">
        <v>1542649</v>
      </c>
      <c r="F4224" s="1">
        <v>1247.08872271624</v>
      </c>
      <c r="G4224" s="1">
        <v>4</v>
      </c>
      <c r="H4224" s="1">
        <v>2</v>
      </c>
      <c r="I4224" s="1">
        <v>2</v>
      </c>
      <c r="J4224" s="1">
        <v>2</v>
      </c>
      <c r="K4224" s="1">
        <v>2</v>
      </c>
      <c r="M4224" s="4">
        <v>1237</v>
      </c>
      <c r="N4224" s="1">
        <v>967</v>
      </c>
      <c r="O4224" s="1">
        <v>2628</v>
      </c>
      <c r="P4224" s="1">
        <v>1661</v>
      </c>
      <c r="Q4224" s="1" t="s">
        <v>42</v>
      </c>
      <c r="S4224" s="1" t="s">
        <v>42</v>
      </c>
      <c r="T4224" s="1" t="s">
        <v>273</v>
      </c>
      <c r="U4224" s="1">
        <v>208</v>
      </c>
      <c r="V4224" s="5">
        <v>43638</v>
      </c>
      <c r="W4224" s="5">
        <v>42973</v>
      </c>
      <c r="X4224" s="1">
        <v>1595000</v>
      </c>
      <c r="Y4224" s="1">
        <v>1525000</v>
      </c>
      <c r="Z4224" s="5">
        <v>43181</v>
      </c>
      <c r="AA4224" s="1">
        <v>1542648.75</v>
      </c>
      <c r="AB4224" s="1" t="s">
        <v>2943</v>
      </c>
      <c r="AC4224" s="5">
        <v>43238</v>
      </c>
      <c r="AF4224" s="1">
        <v>10019</v>
      </c>
      <c r="AI4224" s="1" t="s">
        <v>211</v>
      </c>
      <c r="AJ4224" s="1">
        <v>1940</v>
      </c>
      <c r="AK4224" s="1" t="s">
        <v>108</v>
      </c>
      <c r="AL4224" s="1">
        <v>155</v>
      </c>
    </row>
    <row r="4225" spans="1:38" x14ac:dyDescent="0.2">
      <c r="A4225" s="2" t="str">
        <f>HYPERLINK("https://www.compass.com/listing/416-west-52nd-street-unit-525-manhattan-ny-10019/29389279201449393/","416 W 52nd St, Unit 525")</f>
        <v>416 W 52nd St, Unit 525</v>
      </c>
      <c r="B4225" s="2" t="str">
        <f t="shared" si="716"/>
        <v>Nine52</v>
      </c>
      <c r="C4225" s="1" t="s">
        <v>90</v>
      </c>
      <c r="D4225" s="1" t="s">
        <v>41</v>
      </c>
      <c r="E4225" s="3">
        <v>1470000</v>
      </c>
      <c r="F4225" s="1">
        <v>1531.25</v>
      </c>
      <c r="G4225" s="1">
        <v>4</v>
      </c>
      <c r="H4225" s="1">
        <v>2</v>
      </c>
      <c r="I4225" s="1">
        <v>2</v>
      </c>
      <c r="J4225" s="1">
        <v>2</v>
      </c>
      <c r="K4225" s="1">
        <v>2</v>
      </c>
      <c r="M4225" s="1">
        <v>960</v>
      </c>
      <c r="N4225" s="1">
        <v>750</v>
      </c>
      <c r="O4225" s="1">
        <v>2039</v>
      </c>
      <c r="P4225" s="1">
        <v>1289</v>
      </c>
      <c r="Q4225" s="1" t="s">
        <v>42</v>
      </c>
      <c r="S4225" s="1" t="s">
        <v>42</v>
      </c>
      <c r="T4225" s="1" t="s">
        <v>273</v>
      </c>
      <c r="U4225" s="1">
        <v>87</v>
      </c>
      <c r="V4225" s="5">
        <v>43647</v>
      </c>
      <c r="W4225" s="5">
        <v>43019</v>
      </c>
      <c r="X4225" s="1">
        <v>1600000</v>
      </c>
      <c r="Y4225" s="1">
        <v>1550000</v>
      </c>
      <c r="Z4225" s="5">
        <v>43106</v>
      </c>
      <c r="AA4225" s="1">
        <v>1470000</v>
      </c>
      <c r="AB4225" s="1" t="s">
        <v>2944</v>
      </c>
      <c r="AC4225" s="5">
        <v>43130</v>
      </c>
      <c r="AF4225" s="1">
        <v>10019</v>
      </c>
      <c r="AI4225" s="1" t="s">
        <v>48</v>
      </c>
      <c r="AJ4225" s="1">
        <v>1940</v>
      </c>
      <c r="AK4225" s="1" t="s">
        <v>108</v>
      </c>
      <c r="AL4225" s="1">
        <v>155</v>
      </c>
    </row>
    <row r="4226" spans="1:38" x14ac:dyDescent="0.2">
      <c r="A4226" s="2" t="str">
        <f>HYPERLINK("https://www.compass.com/listing/416-west-52nd-street-unit-623-manhattan-ny-10019/29389285903937217/","416 W 52nd St, Unit 623")</f>
        <v>416 W 52nd St, Unit 623</v>
      </c>
      <c r="B4226" s="2" t="str">
        <f t="shared" si="716"/>
        <v>Nine52</v>
      </c>
      <c r="C4226" s="1" t="s">
        <v>90</v>
      </c>
      <c r="D4226" s="1" t="s">
        <v>41</v>
      </c>
      <c r="E4226" s="3">
        <v>1590000</v>
      </c>
      <c r="F4226" s="1">
        <v>1474.9536178107601</v>
      </c>
      <c r="G4226" s="1">
        <v>4</v>
      </c>
      <c r="H4226" s="1">
        <v>2</v>
      </c>
      <c r="I4226" s="1">
        <v>2</v>
      </c>
      <c r="J4226" s="1">
        <v>2</v>
      </c>
      <c r="K4226" s="1">
        <v>2</v>
      </c>
      <c r="M4226" s="4">
        <v>1078</v>
      </c>
      <c r="N4226" s="1">
        <v>842</v>
      </c>
      <c r="O4226" s="1">
        <v>2289</v>
      </c>
      <c r="P4226" s="1">
        <v>1447</v>
      </c>
      <c r="Q4226" s="1" t="s">
        <v>42</v>
      </c>
      <c r="S4226" s="1" t="s">
        <v>42</v>
      </c>
      <c r="T4226" s="1" t="s">
        <v>273</v>
      </c>
      <c r="U4226" s="1">
        <v>265</v>
      </c>
      <c r="V4226" s="5">
        <v>43638</v>
      </c>
      <c r="W4226" s="5">
        <v>42973</v>
      </c>
      <c r="X4226" s="1">
        <v>1857000</v>
      </c>
      <c r="Y4226" s="1">
        <v>1595000</v>
      </c>
      <c r="AA4226" s="1">
        <v>1590000</v>
      </c>
      <c r="AB4226" s="1" t="s">
        <v>2945</v>
      </c>
      <c r="AC4226" s="5">
        <v>43238</v>
      </c>
      <c r="AF4226" s="1">
        <v>10019</v>
      </c>
      <c r="AI4226" s="1" t="s">
        <v>48</v>
      </c>
      <c r="AJ4226" s="1">
        <v>1940</v>
      </c>
      <c r="AK4226" s="1" t="s">
        <v>108</v>
      </c>
      <c r="AL4226" s="1">
        <v>155</v>
      </c>
    </row>
    <row r="4227" spans="1:38" x14ac:dyDescent="0.2">
      <c r="A4227" s="2" t="str">
        <f>HYPERLINK("https://www.compass.com/listing/416-west-52nd-street-unit-723-manhattan-ny-10019/29514395155508353/","416 W 52nd St, Unit 723")</f>
        <v>416 W 52nd St, Unit 723</v>
      </c>
      <c r="B4227" s="2" t="str">
        <f t="shared" si="716"/>
        <v>Nine52</v>
      </c>
      <c r="C4227" s="1" t="s">
        <v>90</v>
      </c>
      <c r="D4227" s="1" t="s">
        <v>41</v>
      </c>
      <c r="E4227" s="3">
        <v>1600000</v>
      </c>
      <c r="F4227" s="1">
        <v>1484.2300556586199</v>
      </c>
      <c r="G4227" s="1">
        <v>4</v>
      </c>
      <c r="H4227" s="1">
        <v>2</v>
      </c>
      <c r="I4227" s="1">
        <v>2</v>
      </c>
      <c r="J4227" s="1">
        <v>2</v>
      </c>
      <c r="M4227" s="4">
        <v>1078</v>
      </c>
      <c r="N4227" s="1">
        <v>842</v>
      </c>
      <c r="O4227" s="1">
        <v>2289</v>
      </c>
      <c r="P4227" s="1">
        <v>1447</v>
      </c>
      <c r="Q4227" s="1" t="s">
        <v>42</v>
      </c>
      <c r="S4227" s="1" t="s">
        <v>42</v>
      </c>
      <c r="T4227" s="1" t="s">
        <v>273</v>
      </c>
      <c r="U4227" s="1">
        <v>63</v>
      </c>
      <c r="V4227" s="5">
        <v>43641</v>
      </c>
      <c r="W4227" s="5">
        <v>43199</v>
      </c>
      <c r="X4227" s="1">
        <v>1650000</v>
      </c>
      <c r="Y4227" s="1">
        <v>1650000</v>
      </c>
      <c r="Z4227" s="5">
        <v>43262</v>
      </c>
      <c r="AA4227" s="1">
        <v>1600000</v>
      </c>
      <c r="AB4227" s="1" t="s">
        <v>2946</v>
      </c>
      <c r="AC4227" s="5">
        <v>43413</v>
      </c>
      <c r="AF4227" s="1">
        <v>10019</v>
      </c>
      <c r="AI4227" s="1" t="s">
        <v>48</v>
      </c>
      <c r="AJ4227" s="1">
        <v>1940</v>
      </c>
      <c r="AK4227" s="1" t="s">
        <v>55</v>
      </c>
      <c r="AL4227" s="1">
        <v>155</v>
      </c>
    </row>
    <row r="4228" spans="1:38" x14ac:dyDescent="0.2">
      <c r="A4228" s="2" t="str">
        <f>HYPERLINK("https://www.compass.com/listing/325-lexington-avenue-unit-19a-manhattan-ny-10016/29379715819185121/","325 Lexington Ave, Unit 19A")</f>
        <v>325 Lexington Ave, Unit 19A</v>
      </c>
      <c r="B4228" s="2" t="str">
        <f t="shared" ref="B4228:B4232" si="717">HYPERLINK("https://www.compass.com/building/325-lex-condominium-manhattan-ny/281939882467713365/","325 Lex Condominium")</f>
        <v>325 Lex Condominium</v>
      </c>
      <c r="C4228" s="1" t="s">
        <v>59</v>
      </c>
      <c r="D4228" s="1" t="s">
        <v>41</v>
      </c>
      <c r="E4228" s="3">
        <v>1379729</v>
      </c>
      <c r="F4228" s="1">
        <v>2145.7682737169498</v>
      </c>
      <c r="G4228" s="1">
        <v>3</v>
      </c>
      <c r="H4228" s="1">
        <v>1</v>
      </c>
      <c r="I4228" s="1">
        <v>1</v>
      </c>
      <c r="J4228" s="1">
        <v>1</v>
      </c>
      <c r="K4228" s="1">
        <v>1</v>
      </c>
      <c r="M4228" s="1">
        <v>643</v>
      </c>
      <c r="N4228" s="1">
        <v>917</v>
      </c>
      <c r="O4228" s="1">
        <v>1116</v>
      </c>
      <c r="P4228" s="1">
        <v>199</v>
      </c>
      <c r="Q4228" s="1" t="s">
        <v>42</v>
      </c>
      <c r="S4228" s="1" t="s">
        <v>42</v>
      </c>
      <c r="T4228" s="1" t="s">
        <v>273</v>
      </c>
      <c r="U4228" s="1">
        <v>182</v>
      </c>
      <c r="V4228" s="5">
        <v>43650</v>
      </c>
      <c r="W4228" s="5">
        <v>42116</v>
      </c>
      <c r="X4228" s="1">
        <v>1355000</v>
      </c>
      <c r="Y4228" s="1">
        <v>1355000</v>
      </c>
      <c r="Z4228" s="5">
        <v>42298</v>
      </c>
      <c r="AA4228" s="1">
        <v>1379729</v>
      </c>
      <c r="AB4228" s="1" t="s">
        <v>2947</v>
      </c>
      <c r="AC4228" s="5">
        <v>42325</v>
      </c>
      <c r="AF4228" s="1">
        <v>10016</v>
      </c>
      <c r="AI4228" s="1" t="s">
        <v>205</v>
      </c>
      <c r="AJ4228" s="1">
        <v>2014</v>
      </c>
      <c r="AK4228" s="1" t="s">
        <v>108</v>
      </c>
      <c r="AL4228" s="1">
        <v>125</v>
      </c>
    </row>
    <row r="4229" spans="1:38" x14ac:dyDescent="0.2">
      <c r="A4229" s="2" t="str">
        <f>HYPERLINK("https://www.compass.com/listing/325-lexington-avenue-unit-23a-manhattan-ny-10016/29379724140628833/","325 Lexington Ave, Unit 23A")</f>
        <v>325 Lexington Ave, Unit 23A</v>
      </c>
      <c r="B4229" s="2" t="str">
        <f t="shared" si="717"/>
        <v>325 Lex Condominium</v>
      </c>
      <c r="C4229" s="1" t="s">
        <v>59</v>
      </c>
      <c r="D4229" s="1" t="s">
        <v>41</v>
      </c>
      <c r="E4229" s="3">
        <v>1400094</v>
      </c>
      <c r="F4229" s="1">
        <v>2177.4401244167898</v>
      </c>
      <c r="G4229" s="1">
        <v>3</v>
      </c>
      <c r="H4229" s="1">
        <v>1</v>
      </c>
      <c r="I4229" s="1">
        <v>1</v>
      </c>
      <c r="J4229" s="1">
        <v>1</v>
      </c>
      <c r="K4229" s="1">
        <v>1</v>
      </c>
      <c r="M4229" s="1">
        <v>643</v>
      </c>
      <c r="N4229" s="1">
        <v>934</v>
      </c>
      <c r="O4229" s="1">
        <v>1138</v>
      </c>
      <c r="P4229" s="1">
        <v>204</v>
      </c>
      <c r="Q4229" s="1" t="s">
        <v>42</v>
      </c>
      <c r="S4229" s="1" t="s">
        <v>42</v>
      </c>
      <c r="T4229" s="1" t="s">
        <v>273</v>
      </c>
      <c r="V4229" s="5">
        <v>43651</v>
      </c>
      <c r="W4229" s="5">
        <v>42076</v>
      </c>
      <c r="X4229" s="1">
        <v>1375000</v>
      </c>
      <c r="Y4229" s="1">
        <v>1375000</v>
      </c>
      <c r="Z4229" s="5">
        <v>42076</v>
      </c>
      <c r="AA4229" s="1">
        <v>1400094</v>
      </c>
      <c r="AB4229" s="1" t="s">
        <v>2948</v>
      </c>
      <c r="AC4229" s="5">
        <v>42153</v>
      </c>
      <c r="AF4229" s="1">
        <v>10016</v>
      </c>
      <c r="AI4229" s="1" t="s">
        <v>60</v>
      </c>
      <c r="AJ4229" s="1">
        <v>2014</v>
      </c>
      <c r="AK4229" s="1" t="s">
        <v>108</v>
      </c>
      <c r="AL4229" s="1">
        <v>125</v>
      </c>
    </row>
    <row r="4230" spans="1:38" x14ac:dyDescent="0.2">
      <c r="A4230" s="2" t="str">
        <f>HYPERLINK("https://www.compass.com/listing/325-lexington-avenue-unit-27a-manhattan-ny-10016/29379731161955041/","325 Lexington Ave, Unit 27A")</f>
        <v>325 Lexington Ave, Unit 27A</v>
      </c>
      <c r="B4230" s="2" t="str">
        <f t="shared" si="717"/>
        <v>325 Lex Condominium</v>
      </c>
      <c r="C4230" s="1" t="s">
        <v>59</v>
      </c>
      <c r="D4230" s="1" t="s">
        <v>41</v>
      </c>
      <c r="E4230" s="3">
        <v>1481554</v>
      </c>
      <c r="F4230" s="1">
        <v>2304.1275272161702</v>
      </c>
      <c r="G4230" s="1">
        <v>3</v>
      </c>
      <c r="H4230" s="1">
        <v>1</v>
      </c>
      <c r="I4230" s="1">
        <v>1</v>
      </c>
      <c r="J4230" s="1">
        <v>1</v>
      </c>
      <c r="K4230" s="1">
        <v>1</v>
      </c>
      <c r="M4230" s="1">
        <v>643</v>
      </c>
      <c r="N4230" s="1">
        <v>954</v>
      </c>
      <c r="O4230" s="1">
        <v>3446</v>
      </c>
      <c r="P4230" s="1">
        <v>2492</v>
      </c>
      <c r="Q4230" s="1" t="s">
        <v>42</v>
      </c>
      <c r="S4230" s="1" t="s">
        <v>42</v>
      </c>
      <c r="T4230" s="1" t="s">
        <v>273</v>
      </c>
      <c r="V4230" s="5">
        <v>43650</v>
      </c>
      <c r="W4230" s="5">
        <v>42251</v>
      </c>
      <c r="X4230" s="1">
        <v>1455000</v>
      </c>
      <c r="Y4230" s="1">
        <v>1455000</v>
      </c>
      <c r="Z4230" s="5">
        <v>42251</v>
      </c>
      <c r="AA4230" s="1">
        <v>1481554</v>
      </c>
      <c r="AB4230" s="1" t="s">
        <v>2949</v>
      </c>
      <c r="AC4230" s="5">
        <v>42298</v>
      </c>
      <c r="AF4230" s="1">
        <v>10016</v>
      </c>
      <c r="AI4230" s="1" t="s">
        <v>60</v>
      </c>
      <c r="AJ4230" s="1">
        <v>2014</v>
      </c>
      <c r="AK4230" s="1" t="s">
        <v>108</v>
      </c>
      <c r="AL4230" s="1">
        <v>125</v>
      </c>
    </row>
    <row r="4231" spans="1:38" x14ac:dyDescent="0.2">
      <c r="A4231" s="2" t="str">
        <f>HYPERLINK("https://www.compass.com/listing/325-lexington-avenue-unit-28a-manhattan-ny-10016/29379734047575025/","325 Lexington Ave, Unit 28A")</f>
        <v>325 Lexington Ave, Unit 28A</v>
      </c>
      <c r="B4231" s="2" t="str">
        <f t="shared" si="717"/>
        <v>325 Lex Condominium</v>
      </c>
      <c r="C4231" s="1" t="s">
        <v>59</v>
      </c>
      <c r="D4231" s="1" t="s">
        <v>41</v>
      </c>
      <c r="E4231" s="3">
        <v>1501919</v>
      </c>
      <c r="F4231" s="1">
        <v>2335.7993779160101</v>
      </c>
      <c r="G4231" s="1">
        <v>3</v>
      </c>
      <c r="H4231" s="1">
        <v>1</v>
      </c>
      <c r="I4231" s="1">
        <v>1</v>
      </c>
      <c r="J4231" s="1">
        <v>1</v>
      </c>
      <c r="K4231" s="1">
        <v>1</v>
      </c>
      <c r="M4231" s="1">
        <v>643</v>
      </c>
      <c r="N4231" s="1">
        <v>955</v>
      </c>
      <c r="O4231" s="1">
        <v>1163</v>
      </c>
      <c r="P4231" s="1">
        <v>208</v>
      </c>
      <c r="Q4231" s="1" t="s">
        <v>42</v>
      </c>
      <c r="S4231" s="1" t="s">
        <v>42</v>
      </c>
      <c r="T4231" s="1" t="s">
        <v>273</v>
      </c>
      <c r="V4231" s="5">
        <v>43651</v>
      </c>
      <c r="W4231" s="5">
        <v>42159</v>
      </c>
      <c r="X4231" s="1">
        <v>1475000</v>
      </c>
      <c r="Y4231" s="1">
        <v>1475000</v>
      </c>
      <c r="Z4231" s="5">
        <v>42159</v>
      </c>
      <c r="AA4231" s="1">
        <v>1501919</v>
      </c>
      <c r="AB4231" s="1" t="s">
        <v>2950</v>
      </c>
      <c r="AC4231" s="5">
        <v>42228</v>
      </c>
      <c r="AF4231" s="1">
        <v>10016</v>
      </c>
      <c r="AI4231" s="1" t="s">
        <v>60</v>
      </c>
      <c r="AJ4231" s="1">
        <v>2014</v>
      </c>
      <c r="AK4231" s="1" t="s">
        <v>108</v>
      </c>
      <c r="AL4231" s="1">
        <v>125</v>
      </c>
    </row>
    <row r="4232" spans="1:38" x14ac:dyDescent="0.2">
      <c r="A4232" s="2" t="str">
        <f>HYPERLINK("https://www.compass.com/listing/325-lexington-avenue-unit-25d-manhattan-ny-10016/70919425758461857/","325 Lexington Ave, Unit 25D")</f>
        <v>325 Lexington Ave, Unit 25D</v>
      </c>
      <c r="B4232" s="2" t="str">
        <f t="shared" si="717"/>
        <v>325 Lex Condominium</v>
      </c>
      <c r="C4232" s="1" t="s">
        <v>59</v>
      </c>
      <c r="D4232" s="1" t="s">
        <v>41</v>
      </c>
      <c r="E4232" s="3">
        <v>1456098</v>
      </c>
      <c r="F4232" s="1">
        <v>2264.5373250388802</v>
      </c>
      <c r="G4232" s="1">
        <v>3</v>
      </c>
      <c r="H4232" s="1">
        <v>1</v>
      </c>
      <c r="I4232" s="1">
        <v>1</v>
      </c>
      <c r="J4232" s="1">
        <v>1</v>
      </c>
      <c r="K4232" s="1">
        <v>1</v>
      </c>
      <c r="M4232" s="1">
        <v>643</v>
      </c>
      <c r="N4232" s="1">
        <v>942</v>
      </c>
      <c r="O4232" s="1">
        <v>1147</v>
      </c>
      <c r="P4232" s="1">
        <v>205</v>
      </c>
      <c r="Q4232" s="1" t="s">
        <v>42</v>
      </c>
      <c r="S4232" s="1" t="s">
        <v>42</v>
      </c>
      <c r="T4232" s="1" t="s">
        <v>273</v>
      </c>
      <c r="U4232" s="1">
        <v>251</v>
      </c>
      <c r="V4232" s="5">
        <v>42420</v>
      </c>
      <c r="W4232" s="5">
        <v>42115</v>
      </c>
      <c r="X4232" s="1">
        <v>1430000</v>
      </c>
      <c r="Y4232" s="1">
        <v>1430000</v>
      </c>
      <c r="AA4232" s="1">
        <v>1456097.5</v>
      </c>
      <c r="AB4232" s="1" t="s">
        <v>390</v>
      </c>
      <c r="AC4232" s="5">
        <v>42444</v>
      </c>
      <c r="AF4232" s="1">
        <v>10016</v>
      </c>
      <c r="AI4232" s="1" t="s">
        <v>205</v>
      </c>
      <c r="AJ4232" s="1">
        <v>2014</v>
      </c>
      <c r="AK4232" s="1" t="s">
        <v>108</v>
      </c>
      <c r="AL4232" s="1">
        <v>125</v>
      </c>
    </row>
    <row r="4233" spans="1:38" x14ac:dyDescent="0.2">
      <c r="A4233" s="2" t="str">
        <f>HYPERLINK("https://www.compass.com/listing/1-west-end-avenue-unit-21e-manhattan-ny-10069/29397362648644321/","1 W End Ave, Unit 21E")</f>
        <v>1 W End Ave, Unit 21E</v>
      </c>
      <c r="B4233" s="2" t="str">
        <f>HYPERLINK("https://www.compass.com/building/1-w-end-ave-manhattan-ny-10069/455676159137755317/","1 W End Ave")</f>
        <v>1 W End Ave</v>
      </c>
      <c r="C4233" s="1" t="s">
        <v>57</v>
      </c>
      <c r="D4233" s="1" t="s">
        <v>41</v>
      </c>
      <c r="E4233" s="3">
        <v>4938655</v>
      </c>
      <c r="F4233" s="1">
        <v>2010.03459503459</v>
      </c>
      <c r="G4233" s="1">
        <v>6</v>
      </c>
      <c r="H4233" s="1">
        <v>3</v>
      </c>
      <c r="I4233" s="1">
        <v>4</v>
      </c>
      <c r="J4233" s="1">
        <v>3.5</v>
      </c>
      <c r="M4233" s="4">
        <v>2457</v>
      </c>
      <c r="N4233" s="1">
        <v>2816</v>
      </c>
      <c r="O4233" s="1">
        <v>2974</v>
      </c>
      <c r="P4233" s="1">
        <v>158</v>
      </c>
      <c r="Q4233" s="1" t="s">
        <v>42</v>
      </c>
      <c r="S4233" s="1" t="s">
        <v>42</v>
      </c>
      <c r="T4233" s="1" t="s">
        <v>273</v>
      </c>
      <c r="V4233" s="5">
        <v>43649</v>
      </c>
      <c r="W4233" s="5">
        <v>42979</v>
      </c>
      <c r="X4233" s="1">
        <v>5150000</v>
      </c>
      <c r="Y4233" s="1">
        <v>5150000</v>
      </c>
      <c r="Z4233" s="5">
        <v>42979</v>
      </c>
      <c r="AA4233" s="1">
        <v>4938655</v>
      </c>
      <c r="AB4233" s="1" t="s">
        <v>2951</v>
      </c>
      <c r="AC4233" s="5">
        <v>43008</v>
      </c>
      <c r="AF4233" s="1">
        <v>10069</v>
      </c>
      <c r="AI4233" s="1" t="s">
        <v>60</v>
      </c>
      <c r="AJ4233" s="1">
        <v>2017</v>
      </c>
      <c r="AK4233" s="1" t="s">
        <v>55</v>
      </c>
      <c r="AL4233" s="1">
        <v>246</v>
      </c>
    </row>
    <row r="4234" spans="1:38" x14ac:dyDescent="0.2">
      <c r="A4234" s="2" t="str">
        <f>HYPERLINK("https://www.compass.com/listing/305-west-150th-street-unit-109-manhattan-ny-10039/803299072139832657/","305 W 150th St, Unit 109")</f>
        <v>305 W 150th St, Unit 109</v>
      </c>
      <c r="B4234" s="2" t="str">
        <f t="shared" ref="B4234:B4235" si="718">HYPERLINK("https://www.compass.com/building/305-w-150th-st-manhattan-ny-10039/282032234968400245/","305 W 150th St")</f>
        <v>305 W 150th St</v>
      </c>
      <c r="C4234" s="1" t="s">
        <v>84</v>
      </c>
      <c r="D4234" s="1" t="s">
        <v>41</v>
      </c>
      <c r="E4234" s="3">
        <v>455000</v>
      </c>
      <c r="F4234" s="1">
        <v>776.45051194539201</v>
      </c>
      <c r="G4234" s="1">
        <v>3</v>
      </c>
      <c r="H4234" s="1">
        <v>1</v>
      </c>
      <c r="I4234" s="1">
        <v>1</v>
      </c>
      <c r="J4234" s="1">
        <v>1</v>
      </c>
      <c r="K4234" s="1">
        <v>1</v>
      </c>
      <c r="M4234" s="1">
        <v>586</v>
      </c>
      <c r="N4234" s="1">
        <v>338.08</v>
      </c>
      <c r="O4234" s="1">
        <v>582.19000000000005</v>
      </c>
      <c r="P4234" s="1">
        <v>244.083333333333</v>
      </c>
      <c r="Q4234" s="1" t="s">
        <v>42</v>
      </c>
      <c r="S4234" s="1" t="s">
        <v>42</v>
      </c>
      <c r="T4234" s="1" t="s">
        <v>273</v>
      </c>
      <c r="U4234" s="1">
        <v>31</v>
      </c>
      <c r="V4234" s="5">
        <v>42711</v>
      </c>
      <c r="W4234" s="5">
        <v>42571</v>
      </c>
      <c r="X4234" s="1">
        <v>438000</v>
      </c>
      <c r="Y4234" s="1">
        <v>455000</v>
      </c>
      <c r="Z4234" s="5">
        <v>42661</v>
      </c>
      <c r="AA4234" s="1">
        <v>455000</v>
      </c>
      <c r="AB4234" s="1" t="s">
        <v>2929</v>
      </c>
      <c r="AC4234" s="5">
        <v>42692</v>
      </c>
      <c r="AF4234" s="1">
        <v>10039</v>
      </c>
      <c r="AJ4234" s="1">
        <v>1921</v>
      </c>
      <c r="AK4234" s="1" t="s">
        <v>73</v>
      </c>
      <c r="AL4234" s="1">
        <v>84</v>
      </c>
    </row>
    <row r="4235" spans="1:38" x14ac:dyDescent="0.2">
      <c r="A4235" s="2" t="str">
        <f>HYPERLINK("https://www.compass.com/listing/305-west-150th-street-unit-108-manhattan-ny-10039/803341378029287385/","305 W 150th St, Unit 108")</f>
        <v>305 W 150th St, Unit 108</v>
      </c>
      <c r="B4235" s="2" t="str">
        <f t="shared" si="718"/>
        <v>305 W 150th St</v>
      </c>
      <c r="C4235" s="1" t="s">
        <v>84</v>
      </c>
      <c r="D4235" s="1" t="s">
        <v>41</v>
      </c>
      <c r="E4235" s="3">
        <v>460000</v>
      </c>
      <c r="F4235" s="1">
        <v>779.66101694915199</v>
      </c>
      <c r="G4235" s="1">
        <v>3</v>
      </c>
      <c r="H4235" s="1">
        <v>1</v>
      </c>
      <c r="I4235" s="1">
        <v>1</v>
      </c>
      <c r="J4235" s="1">
        <v>1</v>
      </c>
      <c r="K4235" s="1">
        <v>1</v>
      </c>
      <c r="M4235" s="1">
        <v>590</v>
      </c>
      <c r="N4235" s="1">
        <v>341</v>
      </c>
      <c r="O4235" s="1">
        <v>561.63</v>
      </c>
      <c r="P4235" s="1">
        <v>220.666666666666</v>
      </c>
      <c r="Q4235" s="1" t="s">
        <v>42</v>
      </c>
      <c r="S4235" s="1" t="s">
        <v>42</v>
      </c>
      <c r="T4235" s="1" t="s">
        <v>273</v>
      </c>
      <c r="U4235" s="1">
        <v>84</v>
      </c>
      <c r="V4235" s="5">
        <v>42734</v>
      </c>
      <c r="W4235" s="5">
        <v>42571</v>
      </c>
      <c r="X4235" s="1">
        <v>460000</v>
      </c>
      <c r="Y4235" s="1">
        <v>460000</v>
      </c>
      <c r="Z4235" s="5">
        <v>42656</v>
      </c>
      <c r="AA4235" s="1">
        <v>460000</v>
      </c>
      <c r="AB4235" s="1" t="s">
        <v>2872</v>
      </c>
      <c r="AC4235" s="5">
        <v>42717</v>
      </c>
      <c r="AF4235" s="1">
        <v>10039</v>
      </c>
      <c r="AJ4235" s="1">
        <v>1921</v>
      </c>
      <c r="AK4235" s="1" t="s">
        <v>73</v>
      </c>
      <c r="AL4235" s="1">
        <v>84</v>
      </c>
    </row>
    <row r="4236" spans="1:38" x14ac:dyDescent="0.2">
      <c r="A4236" s="2" t="str">
        <f>HYPERLINK("https://www.compass.com/listing/425-west-50th-street-unit-11c-manhattan-ny-10019/29389207604668737/","425 W 50th St, Unit 11C")</f>
        <v>425 W 50th St, Unit 11C</v>
      </c>
      <c r="B4236" s="2" t="str">
        <f>HYPERLINK("https://www.compass.com/building/stella-tower-manhattan-ny/281945855710262181/","Stella Tower")</f>
        <v>Stella Tower</v>
      </c>
      <c r="C4236" s="1" t="s">
        <v>90</v>
      </c>
      <c r="D4236" s="1" t="s">
        <v>41</v>
      </c>
      <c r="E4236" s="3">
        <v>2545625</v>
      </c>
      <c r="F4236" s="1">
        <v>2072.9845276872902</v>
      </c>
      <c r="G4236" s="1">
        <v>3</v>
      </c>
      <c r="H4236" s="1">
        <v>1</v>
      </c>
      <c r="I4236" s="1">
        <v>2</v>
      </c>
      <c r="J4236" s="1">
        <v>2</v>
      </c>
      <c r="M4236" s="4">
        <v>1228</v>
      </c>
      <c r="N4236" s="1">
        <v>1388</v>
      </c>
      <c r="O4236" s="1">
        <v>2238</v>
      </c>
      <c r="P4236" s="1">
        <v>850</v>
      </c>
      <c r="Q4236" s="1" t="s">
        <v>42</v>
      </c>
      <c r="S4236" s="1" t="s">
        <v>42</v>
      </c>
      <c r="T4236" s="1" t="s">
        <v>273</v>
      </c>
      <c r="V4236" s="5">
        <v>43654</v>
      </c>
      <c r="W4236" s="5">
        <v>41976</v>
      </c>
      <c r="X4236" s="1">
        <v>2500000</v>
      </c>
      <c r="Y4236" s="1">
        <v>2500000</v>
      </c>
      <c r="Z4236" s="5">
        <v>41976</v>
      </c>
      <c r="AA4236" s="1">
        <v>2545625</v>
      </c>
      <c r="AB4236" s="1" t="s">
        <v>2952</v>
      </c>
      <c r="AC4236" s="5">
        <v>42012</v>
      </c>
      <c r="AF4236" s="1">
        <v>10019</v>
      </c>
      <c r="AI4236" s="1" t="s">
        <v>80</v>
      </c>
      <c r="AJ4236" s="1">
        <v>1930</v>
      </c>
      <c r="AK4236" s="1" t="s">
        <v>46</v>
      </c>
      <c r="AL4236" s="1">
        <v>51</v>
      </c>
    </row>
    <row r="4237" spans="1:38" x14ac:dyDescent="0.2">
      <c r="A4237" s="2" t="str">
        <f>HYPERLINK("https://www.compass.com/listing/416-west-52nd-street-unit-314-manhattan-ny-10019/29389261644082497/","416 W 52nd St, Unit 314")</f>
        <v>416 W 52nd St, Unit 314</v>
      </c>
      <c r="B4237" s="2" t="str">
        <f t="shared" ref="B4237:B4238" si="719">HYPERLINK("https://www.compass.com/building/nine52-manhattan-ny/281945622951555813/","Nine52")</f>
        <v>Nine52</v>
      </c>
      <c r="C4237" s="1" t="s">
        <v>90</v>
      </c>
      <c r="D4237" s="1" t="s">
        <v>41</v>
      </c>
      <c r="E4237" s="3">
        <v>1800000</v>
      </c>
      <c r="F4237" s="1">
        <v>1646.84354986276</v>
      </c>
      <c r="G4237" s="1">
        <v>5</v>
      </c>
      <c r="H4237" s="1">
        <v>2</v>
      </c>
      <c r="I4237" s="1">
        <v>2</v>
      </c>
      <c r="J4237" s="1">
        <v>2</v>
      </c>
      <c r="K4237" s="1">
        <v>2</v>
      </c>
      <c r="M4237" s="4">
        <v>1093</v>
      </c>
      <c r="N4237" s="1">
        <v>854</v>
      </c>
      <c r="O4237" s="1">
        <v>2322</v>
      </c>
      <c r="P4237" s="1">
        <v>1468</v>
      </c>
      <c r="Q4237" s="1" t="s">
        <v>42</v>
      </c>
      <c r="S4237" s="1" t="s">
        <v>42</v>
      </c>
      <c r="T4237" s="1" t="s">
        <v>273</v>
      </c>
      <c r="U4237" s="1">
        <v>102</v>
      </c>
      <c r="V4237" s="5">
        <v>43186</v>
      </c>
      <c r="W4237" s="5">
        <v>42972</v>
      </c>
      <c r="Y4237" s="1">
        <v>1932000</v>
      </c>
      <c r="Z4237" s="5">
        <v>43074</v>
      </c>
      <c r="AA4237" s="1">
        <v>1800000</v>
      </c>
      <c r="AB4237" s="1" t="s">
        <v>2953</v>
      </c>
      <c r="AC4237" s="5">
        <v>43188</v>
      </c>
      <c r="AF4237" s="1">
        <v>10019</v>
      </c>
      <c r="AI4237" s="1" t="s">
        <v>48</v>
      </c>
      <c r="AJ4237" s="1">
        <v>1940</v>
      </c>
      <c r="AK4237" s="1" t="s">
        <v>108</v>
      </c>
      <c r="AL4237" s="1">
        <v>155</v>
      </c>
    </row>
    <row r="4238" spans="1:38" x14ac:dyDescent="0.2">
      <c r="A4238" s="2" t="str">
        <f>HYPERLINK("https://www.compass.com/listing/416-west-52nd-street-unit-ph825-manhattan-ny-10019/480329747336007033/","416 W 52nd St, Unit PH825")</f>
        <v>416 W 52nd St, Unit PH825</v>
      </c>
      <c r="B4238" s="2" t="str">
        <f t="shared" si="719"/>
        <v>Nine52</v>
      </c>
      <c r="C4238" s="1" t="s">
        <v>90</v>
      </c>
      <c r="D4238" s="1" t="s">
        <v>41</v>
      </c>
      <c r="E4238" s="3">
        <v>940000</v>
      </c>
      <c r="F4238" s="1">
        <v>1039.82300884955</v>
      </c>
      <c r="H4238" s="1">
        <v>2</v>
      </c>
      <c r="J4238" s="1">
        <v>2</v>
      </c>
      <c r="K4238" s="1">
        <v>2</v>
      </c>
      <c r="M4238" s="1">
        <v>904</v>
      </c>
      <c r="N4238" s="1">
        <v>1161</v>
      </c>
      <c r="O4238" s="1">
        <v>3552</v>
      </c>
      <c r="P4238" s="1">
        <v>2391</v>
      </c>
      <c r="Q4238" s="1" t="s">
        <v>42</v>
      </c>
      <c r="S4238" s="1" t="s">
        <v>42</v>
      </c>
      <c r="T4238" s="1" t="s">
        <v>273</v>
      </c>
      <c r="AA4238" s="1">
        <v>940000</v>
      </c>
      <c r="AB4238" s="1" t="s">
        <v>2954</v>
      </c>
      <c r="AC4238" s="5">
        <v>43794</v>
      </c>
      <c r="AF4238" s="1">
        <v>10019</v>
      </c>
      <c r="AI4238" s="1" t="s">
        <v>48</v>
      </c>
      <c r="AJ4238" s="1">
        <v>1940</v>
      </c>
      <c r="AK4238" s="1" t="s">
        <v>55</v>
      </c>
      <c r="AL4238" s="1">
        <v>155</v>
      </c>
    </row>
    <row r="4239" spans="1:38" x14ac:dyDescent="0.2">
      <c r="A4239" s="2" t="str">
        <f>HYPERLINK("https://www.compass.com/listing/310-west-114th-street-unit-6-manhattan-ny-10026/193805614613286977/","310 W 114th St, Unit 6")</f>
        <v>310 W 114th St, Unit 6</v>
      </c>
      <c r="B4239" s="2" t="str">
        <f t="shared" ref="B4239:B4240" si="720">HYPERLINK("https://www.compass.com/building/310-w-114th-st-manhattan-ny-10026/281976388834127397/","310 W 114th St")</f>
        <v>310 W 114th St</v>
      </c>
      <c r="C4239" s="1" t="s">
        <v>85</v>
      </c>
      <c r="D4239" s="1" t="s">
        <v>41</v>
      </c>
      <c r="E4239" s="3">
        <v>1510000</v>
      </c>
      <c r="F4239" s="1">
        <v>1022.34258632362</v>
      </c>
      <c r="G4239" s="1">
        <v>5</v>
      </c>
      <c r="H4239" s="1">
        <v>3</v>
      </c>
      <c r="I4239" s="1">
        <v>3</v>
      </c>
      <c r="J4239" s="1">
        <v>2.5</v>
      </c>
      <c r="K4239" s="1">
        <v>2</v>
      </c>
      <c r="L4239" s="1">
        <v>1</v>
      </c>
      <c r="M4239" s="4">
        <v>1477</v>
      </c>
      <c r="N4239" s="1">
        <v>538</v>
      </c>
      <c r="O4239" s="1">
        <v>2358</v>
      </c>
      <c r="P4239" s="1">
        <v>1820</v>
      </c>
      <c r="Q4239" s="1" t="s">
        <v>42</v>
      </c>
      <c r="S4239" s="1" t="s">
        <v>42</v>
      </c>
      <c r="T4239" s="1" t="s">
        <v>273</v>
      </c>
      <c r="V4239" s="5">
        <v>44339</v>
      </c>
      <c r="W4239" s="5">
        <v>43671</v>
      </c>
      <c r="Y4239" s="1">
        <v>1625000</v>
      </c>
      <c r="Z4239" s="5">
        <v>43671</v>
      </c>
      <c r="AA4239" s="1">
        <v>1510000</v>
      </c>
      <c r="AB4239" s="1" t="s">
        <v>2955</v>
      </c>
      <c r="AC4239" s="5">
        <v>43909</v>
      </c>
      <c r="AF4239" s="1">
        <v>10026</v>
      </c>
      <c r="AI4239" s="1" t="s">
        <v>2862</v>
      </c>
      <c r="AJ4239" s="1">
        <v>2015</v>
      </c>
      <c r="AL4239" s="1">
        <v>8</v>
      </c>
    </row>
    <row r="4240" spans="1:38" x14ac:dyDescent="0.2">
      <c r="A4240" s="2" t="str">
        <f>HYPERLINK("https://www.compass.com/listing/310-west-114th-street-unit-6-manhattan-ny-10026/803306536776709113/","310 W 114th St, Unit 6")</f>
        <v>310 W 114th St, Unit 6</v>
      </c>
      <c r="B4240" s="2" t="str">
        <f t="shared" si="720"/>
        <v>310 W 114th St</v>
      </c>
      <c r="C4240" s="1" t="s">
        <v>85</v>
      </c>
      <c r="D4240" s="1" t="s">
        <v>41</v>
      </c>
      <c r="E4240" s="3">
        <v>1510000</v>
      </c>
      <c r="F4240" s="1">
        <v>1022.34258632362</v>
      </c>
      <c r="G4240" s="1">
        <v>7</v>
      </c>
      <c r="H4240" s="1">
        <v>3</v>
      </c>
      <c r="I4240" s="1">
        <v>3</v>
      </c>
      <c r="J4240" s="1">
        <v>2.5</v>
      </c>
      <c r="K4240" s="1">
        <v>2</v>
      </c>
      <c r="L4240" s="1">
        <v>1</v>
      </c>
      <c r="M4240" s="4">
        <v>1477</v>
      </c>
      <c r="N4240" s="1">
        <v>359</v>
      </c>
      <c r="O4240" s="1">
        <v>2179</v>
      </c>
      <c r="P4240" s="1">
        <v>1820</v>
      </c>
      <c r="Q4240" s="1" t="s">
        <v>42</v>
      </c>
      <c r="S4240" s="1" t="s">
        <v>42</v>
      </c>
      <c r="T4240" s="1" t="s">
        <v>273</v>
      </c>
      <c r="U4240" s="1">
        <v>69</v>
      </c>
      <c r="V4240" s="5">
        <v>44339</v>
      </c>
      <c r="W4240" s="5">
        <v>43518</v>
      </c>
      <c r="X4240" s="1">
        <v>1585000</v>
      </c>
      <c r="Y4240" s="1">
        <v>1625000</v>
      </c>
      <c r="Z4240" s="5">
        <v>43657</v>
      </c>
      <c r="AA4240" s="1">
        <v>1510000</v>
      </c>
      <c r="AB4240" s="1" t="s">
        <v>2955</v>
      </c>
      <c r="AC4240" s="5">
        <v>43909</v>
      </c>
      <c r="AF4240" s="1">
        <v>10026</v>
      </c>
      <c r="AI4240" s="1" t="s">
        <v>2862</v>
      </c>
      <c r="AJ4240" s="1">
        <v>2015</v>
      </c>
      <c r="AK4240" s="1" t="s">
        <v>136</v>
      </c>
      <c r="AL4240" s="1">
        <v>8</v>
      </c>
    </row>
    <row r="4241" spans="1:38" x14ac:dyDescent="0.2">
      <c r="A4241" s="2" t="str">
        <f>HYPERLINK("https://www.compass.com/listing/305-west-150th-street-unit-410-manhattan-ny-10039/29434121176504113/","305 W 150th St, Unit 410")</f>
        <v>305 W 150th St, Unit 410</v>
      </c>
      <c r="B4241" s="2" t="str">
        <f t="shared" ref="B4241:B4243" si="721">HYPERLINK("https://www.compass.com/building/305-w-150th-st-manhattan-ny-10039/282032234968400245/","305 W 150th St")</f>
        <v>305 W 150th St</v>
      </c>
      <c r="C4241" s="1" t="s">
        <v>84</v>
      </c>
      <c r="D4241" s="1" t="s">
        <v>41</v>
      </c>
      <c r="E4241" s="3">
        <v>471000</v>
      </c>
      <c r="F4241" s="1">
        <v>806.50684931506805</v>
      </c>
      <c r="G4241" s="1">
        <v>3</v>
      </c>
      <c r="H4241" s="1">
        <v>1</v>
      </c>
      <c r="I4241" s="1">
        <v>1</v>
      </c>
      <c r="J4241" s="1">
        <v>1</v>
      </c>
      <c r="K4241" s="1">
        <v>1</v>
      </c>
      <c r="M4241" s="1">
        <v>584</v>
      </c>
      <c r="N4241" s="1">
        <v>346.92</v>
      </c>
      <c r="O4241" s="1">
        <v>597.44000000000005</v>
      </c>
      <c r="P4241" s="1">
        <v>250.5</v>
      </c>
      <c r="Q4241" s="1" t="s">
        <v>42</v>
      </c>
      <c r="S4241" s="1" t="s">
        <v>42</v>
      </c>
      <c r="T4241" s="1" t="s">
        <v>273</v>
      </c>
      <c r="U4241" s="1">
        <v>195</v>
      </c>
      <c r="V4241" s="5">
        <v>42826</v>
      </c>
      <c r="W4241" s="5">
        <v>42257</v>
      </c>
      <c r="X4241" s="1">
        <v>471000</v>
      </c>
      <c r="Y4241" s="1">
        <v>471000</v>
      </c>
      <c r="Z4241" s="5">
        <v>41744</v>
      </c>
      <c r="AA4241" s="1">
        <v>471000</v>
      </c>
      <c r="AB4241" s="1" t="s">
        <v>2956</v>
      </c>
      <c r="AC4241" s="5">
        <v>42691</v>
      </c>
      <c r="AF4241" s="1">
        <v>10039</v>
      </c>
      <c r="AJ4241" s="1">
        <v>1921</v>
      </c>
      <c r="AK4241" s="1" t="s">
        <v>143</v>
      </c>
      <c r="AL4241" s="1">
        <v>84</v>
      </c>
    </row>
    <row r="4242" spans="1:38" x14ac:dyDescent="0.2">
      <c r="A4242" s="2" t="str">
        <f>HYPERLINK("https://www.compass.com/listing/305-west-150th-street-unit-409-manhattan-ny-10039/783682038274889897/","305 W 150th St, Unit 409")</f>
        <v>305 W 150th St, Unit 409</v>
      </c>
      <c r="B4242" s="2" t="str">
        <f t="shared" si="721"/>
        <v>305 W 150th St</v>
      </c>
      <c r="C4242" s="1" t="s">
        <v>84</v>
      </c>
      <c r="D4242" s="1" t="s">
        <v>41</v>
      </c>
      <c r="E4242" s="3">
        <v>481650</v>
      </c>
      <c r="F4242" s="1">
        <v>821.92832764505101</v>
      </c>
      <c r="G4242" s="1">
        <v>3</v>
      </c>
      <c r="H4242" s="1">
        <v>1</v>
      </c>
      <c r="I4242" s="1">
        <v>1</v>
      </c>
      <c r="J4242" s="1">
        <v>1</v>
      </c>
      <c r="K4242" s="1">
        <v>1</v>
      </c>
      <c r="M4242" s="1">
        <v>586</v>
      </c>
      <c r="N4242" s="1">
        <v>349.92</v>
      </c>
      <c r="O4242" s="1">
        <v>602.6</v>
      </c>
      <c r="P4242" s="1">
        <v>252.666666666666</v>
      </c>
      <c r="Q4242" s="1" t="s">
        <v>42</v>
      </c>
      <c r="S4242" s="1" t="s">
        <v>42</v>
      </c>
      <c r="T4242" s="1" t="s">
        <v>273</v>
      </c>
      <c r="U4242" s="1">
        <v>155</v>
      </c>
      <c r="V4242" s="5">
        <v>42826</v>
      </c>
      <c r="W4242" s="5">
        <v>42380</v>
      </c>
      <c r="X4242" s="1">
        <v>460000</v>
      </c>
      <c r="Y4242" s="1">
        <v>475000</v>
      </c>
      <c r="Z4242" s="5">
        <v>42425</v>
      </c>
      <c r="AA4242" s="1">
        <v>481650</v>
      </c>
      <c r="AB4242" s="1" t="s">
        <v>2676</v>
      </c>
      <c r="AC4242" s="5">
        <v>42858</v>
      </c>
      <c r="AF4242" s="1">
        <v>10039</v>
      </c>
      <c r="AJ4242" s="1">
        <v>1921</v>
      </c>
      <c r="AK4242" s="1" t="s">
        <v>143</v>
      </c>
      <c r="AL4242" s="1">
        <v>84</v>
      </c>
    </row>
    <row r="4243" spans="1:38" x14ac:dyDescent="0.2">
      <c r="A4243" s="2" t="str">
        <f>HYPERLINK("https://www.compass.com/listing/305-west-150th-street-unit-701-manhattan-ny-10039/803299844521299129/","305 W 150th St, Unit 701")</f>
        <v>305 W 150th St, Unit 701</v>
      </c>
      <c r="B4243" s="2" t="str">
        <f t="shared" si="721"/>
        <v>305 W 150th St</v>
      </c>
      <c r="C4243" s="1" t="s">
        <v>84</v>
      </c>
      <c r="D4243" s="1" t="s">
        <v>41</v>
      </c>
      <c r="E4243" s="3">
        <v>483171</v>
      </c>
      <c r="F4243" s="1">
        <v>837.38474870017296</v>
      </c>
      <c r="G4243" s="1">
        <v>3</v>
      </c>
      <c r="H4243" s="1">
        <v>1</v>
      </c>
      <c r="I4243" s="1">
        <v>1</v>
      </c>
      <c r="M4243" s="1">
        <v>577</v>
      </c>
      <c r="N4243" s="1">
        <v>367</v>
      </c>
      <c r="O4243" s="1">
        <v>632</v>
      </c>
      <c r="P4243" s="1">
        <v>265</v>
      </c>
      <c r="Q4243" s="1" t="s">
        <v>42</v>
      </c>
      <c r="S4243" s="1" t="s">
        <v>42</v>
      </c>
      <c r="T4243" s="1" t="s">
        <v>273</v>
      </c>
      <c r="U4243" s="1">
        <v>104</v>
      </c>
      <c r="V4243" s="5">
        <v>43211</v>
      </c>
      <c r="W4243" s="5">
        <v>42125</v>
      </c>
      <c r="X4243" s="1">
        <v>476500</v>
      </c>
      <c r="Y4243" s="1">
        <v>476500</v>
      </c>
      <c r="AA4243" s="1">
        <v>483171</v>
      </c>
      <c r="AB4243" s="1" t="s">
        <v>2649</v>
      </c>
      <c r="AC4243" s="5">
        <v>42229</v>
      </c>
      <c r="AF4243" s="1">
        <v>10039</v>
      </c>
      <c r="AJ4243" s="1">
        <v>1921</v>
      </c>
      <c r="AK4243" s="1" t="s">
        <v>146</v>
      </c>
      <c r="AL4243" s="1">
        <v>84</v>
      </c>
    </row>
    <row r="4244" spans="1:38" x14ac:dyDescent="0.2">
      <c r="A4244" s="2" t="str">
        <f>HYPERLINK("https://www.compass.com/listing/325-lexington-avenue-unit-30c-manhattan-ny-10016/80115003218315329/","325 Lexington Ave, Unit 30C")</f>
        <v>325 Lexington Ave, Unit 30C</v>
      </c>
      <c r="B4244" s="2" t="str">
        <f>HYPERLINK("https://www.compass.com/building/325-lex-condominium-manhattan-ny/281939882467713365/","325 Lex Condominium")</f>
        <v>325 Lex Condominium</v>
      </c>
      <c r="C4244" s="1" t="s">
        <v>59</v>
      </c>
      <c r="D4244" s="1" t="s">
        <v>41</v>
      </c>
      <c r="E4244" s="3">
        <v>600000</v>
      </c>
      <c r="F4244" s="1">
        <v>546.94621695533203</v>
      </c>
      <c r="H4244" s="1">
        <v>2</v>
      </c>
      <c r="J4244" s="1">
        <v>2</v>
      </c>
      <c r="K4244" s="1">
        <v>2</v>
      </c>
      <c r="M4244" s="4">
        <v>1097</v>
      </c>
      <c r="N4244" s="1">
        <v>1644</v>
      </c>
      <c r="O4244" s="1">
        <v>2002</v>
      </c>
      <c r="P4244" s="1">
        <v>358</v>
      </c>
      <c r="Q4244" s="1" t="s">
        <v>42</v>
      </c>
      <c r="S4244" s="1" t="s">
        <v>42</v>
      </c>
      <c r="T4244" s="1" t="s">
        <v>273</v>
      </c>
      <c r="AA4244" s="1">
        <v>600000</v>
      </c>
      <c r="AB4244" s="1" t="s">
        <v>2957</v>
      </c>
      <c r="AC4244" s="5">
        <v>43335</v>
      </c>
      <c r="AF4244" s="1">
        <v>10016</v>
      </c>
      <c r="AI4244" s="1" t="s">
        <v>60</v>
      </c>
      <c r="AJ4244" s="1">
        <v>2014</v>
      </c>
      <c r="AK4244" s="1" t="s">
        <v>55</v>
      </c>
      <c r="AL4244" s="1">
        <v>125</v>
      </c>
    </row>
    <row r="4245" spans="1:38" x14ac:dyDescent="0.2">
      <c r="A4245" s="2" t="str">
        <f>HYPERLINK("https://www.compass.com/listing/425-west-50th-street-unit-10d-manhattan-ny-10019/29389204156960881/","425 W 50th St, Unit 10D")</f>
        <v>425 W 50th St, Unit 10D</v>
      </c>
      <c r="B4245" s="2" t="str">
        <f t="shared" ref="B4245:B4247" si="722">HYPERLINK("https://www.compass.com/building/stella-tower-manhattan-ny/281945855710262181/","Stella Tower")</f>
        <v>Stella Tower</v>
      </c>
      <c r="C4245" s="1" t="s">
        <v>90</v>
      </c>
      <c r="D4245" s="1" t="s">
        <v>41</v>
      </c>
      <c r="E4245" s="3">
        <v>1934675</v>
      </c>
      <c r="F4245" s="1">
        <v>1670.70379965457</v>
      </c>
      <c r="G4245" s="1">
        <v>4</v>
      </c>
      <c r="H4245" s="1">
        <v>1</v>
      </c>
      <c r="I4245" s="1">
        <v>2</v>
      </c>
      <c r="J4245" s="1">
        <v>1.5</v>
      </c>
      <c r="M4245" s="4">
        <v>1158</v>
      </c>
      <c r="N4245" s="1">
        <v>1308</v>
      </c>
      <c r="O4245" s="1">
        <v>2109</v>
      </c>
      <c r="P4245" s="1">
        <v>801</v>
      </c>
      <c r="Q4245" s="1" t="s">
        <v>42</v>
      </c>
      <c r="S4245" s="1" t="s">
        <v>42</v>
      </c>
      <c r="T4245" s="1" t="s">
        <v>273</v>
      </c>
      <c r="V4245" s="5">
        <v>43655</v>
      </c>
      <c r="W4245" s="5">
        <v>41976</v>
      </c>
      <c r="X4245" s="1">
        <v>1900000</v>
      </c>
      <c r="Y4245" s="1">
        <v>1900000</v>
      </c>
      <c r="Z4245" s="5">
        <v>41976</v>
      </c>
      <c r="AA4245" s="1">
        <v>1934675</v>
      </c>
      <c r="AB4245" s="1" t="s">
        <v>2958</v>
      </c>
      <c r="AC4245" s="5">
        <v>42024</v>
      </c>
      <c r="AF4245" s="1">
        <v>10019</v>
      </c>
      <c r="AI4245" s="1" t="s">
        <v>80</v>
      </c>
      <c r="AJ4245" s="1">
        <v>1930</v>
      </c>
      <c r="AK4245" s="1" t="s">
        <v>46</v>
      </c>
      <c r="AL4245" s="1">
        <v>51</v>
      </c>
    </row>
    <row r="4246" spans="1:38" x14ac:dyDescent="0.2">
      <c r="A4246" s="2" t="str">
        <f>HYPERLINK("https://www.compass.com/listing/425-west-50th-street-unit-10d-manhattan-ny-10019/29389204156960897/","425 W 50th St, Unit 10D")</f>
        <v>425 W 50th St, Unit 10D</v>
      </c>
      <c r="B4246" s="2" t="str">
        <f t="shared" si="722"/>
        <v>Stella Tower</v>
      </c>
      <c r="C4246" s="1" t="s">
        <v>90</v>
      </c>
      <c r="D4246" s="1" t="s">
        <v>41</v>
      </c>
      <c r="E4246" s="3">
        <v>2500000</v>
      </c>
      <c r="F4246" s="1">
        <v>2158.89464594127</v>
      </c>
      <c r="G4246" s="1">
        <v>4</v>
      </c>
      <c r="H4246" s="1">
        <v>1</v>
      </c>
      <c r="I4246" s="1">
        <v>2</v>
      </c>
      <c r="J4246" s="1">
        <v>1.5</v>
      </c>
      <c r="M4246" s="4">
        <v>1158</v>
      </c>
      <c r="N4246" s="1">
        <v>1308</v>
      </c>
      <c r="O4246" s="1">
        <v>2109</v>
      </c>
      <c r="P4246" s="1">
        <v>801</v>
      </c>
      <c r="Q4246" s="1" t="s">
        <v>42</v>
      </c>
      <c r="S4246" s="1" t="s">
        <v>42</v>
      </c>
      <c r="T4246" s="1" t="s">
        <v>273</v>
      </c>
      <c r="V4246" s="5">
        <v>43675</v>
      </c>
      <c r="W4246" s="5">
        <v>42532</v>
      </c>
      <c r="X4246" s="1">
        <v>2500000</v>
      </c>
      <c r="Y4246" s="1">
        <v>2500000</v>
      </c>
      <c r="Z4246" s="5">
        <v>42532</v>
      </c>
      <c r="AA4246" s="1">
        <v>2500000</v>
      </c>
      <c r="AB4246" s="1" t="s">
        <v>2959</v>
      </c>
      <c r="AC4246" s="5">
        <v>42566</v>
      </c>
      <c r="AF4246" s="1">
        <v>10019</v>
      </c>
      <c r="AI4246" s="1" t="s">
        <v>80</v>
      </c>
      <c r="AJ4246" s="1">
        <v>1930</v>
      </c>
      <c r="AK4246" s="1" t="s">
        <v>46</v>
      </c>
      <c r="AL4246" s="1">
        <v>51</v>
      </c>
    </row>
    <row r="4247" spans="1:38" x14ac:dyDescent="0.2">
      <c r="A4247" s="2" t="str">
        <f>HYPERLINK("https://www.compass.com/listing/425-west-50th-street-unit-11j-manhattan-ny-10019/29389210825904385/","425 W 50th St, Unit 11J")</f>
        <v>425 W 50th St, Unit 11J</v>
      </c>
      <c r="B4247" s="2" t="str">
        <f t="shared" si="722"/>
        <v>Stella Tower</v>
      </c>
      <c r="C4247" s="1" t="s">
        <v>90</v>
      </c>
      <c r="D4247" s="1" t="s">
        <v>41</v>
      </c>
      <c r="E4247" s="3">
        <v>1985588</v>
      </c>
      <c r="F4247" s="1">
        <v>1618.24572127139</v>
      </c>
      <c r="G4247" s="1">
        <v>3</v>
      </c>
      <c r="H4247" s="1">
        <v>1</v>
      </c>
      <c r="I4247" s="1">
        <v>1</v>
      </c>
      <c r="J4247" s="1">
        <v>1</v>
      </c>
      <c r="M4247" s="4">
        <v>1227</v>
      </c>
      <c r="N4247" s="1">
        <v>1388</v>
      </c>
      <c r="O4247" s="1">
        <v>2238</v>
      </c>
      <c r="P4247" s="1">
        <v>850</v>
      </c>
      <c r="Q4247" s="1" t="s">
        <v>42</v>
      </c>
      <c r="S4247" s="1" t="s">
        <v>42</v>
      </c>
      <c r="T4247" s="1" t="s">
        <v>273</v>
      </c>
      <c r="U4247" s="1">
        <v>132</v>
      </c>
      <c r="V4247" s="5">
        <v>42035</v>
      </c>
      <c r="W4247" s="5">
        <v>41859</v>
      </c>
      <c r="X4247" s="1">
        <v>1950000</v>
      </c>
      <c r="Y4247" s="1">
        <v>1950000</v>
      </c>
      <c r="AA4247" s="1">
        <v>1985587.5</v>
      </c>
      <c r="AB4247" s="1" t="s">
        <v>2960</v>
      </c>
      <c r="AC4247" s="5">
        <v>41991</v>
      </c>
      <c r="AF4247" s="1">
        <v>10019</v>
      </c>
      <c r="AI4247" s="1" t="s">
        <v>80</v>
      </c>
      <c r="AJ4247" s="1">
        <v>1930</v>
      </c>
      <c r="AK4247" s="1" t="s">
        <v>46</v>
      </c>
      <c r="AL4247" s="1">
        <v>51</v>
      </c>
    </row>
    <row r="4248" spans="1:38" x14ac:dyDescent="0.2">
      <c r="A4248" s="2" t="str">
        <f>HYPERLINK("https://www.compass.com/listing/172-madison-avenue-unit-24b-manhattan-ny-10016/789931650710252457/","172 Madison Ave, Unit 24B")</f>
        <v>172 Madison Ave, Unit 24B</v>
      </c>
      <c r="B4248" s="2" t="str">
        <f>HYPERLINK("https://www.compass.com/building/172-madison-ave-manhattan-ny-10016/281937956250376981/","172 Madison Ave")</f>
        <v>172 Madison Ave</v>
      </c>
      <c r="C4248" s="1" t="s">
        <v>120</v>
      </c>
      <c r="D4248" s="1" t="s">
        <v>41</v>
      </c>
      <c r="E4248" s="3">
        <v>2596538</v>
      </c>
      <c r="F4248" s="1">
        <v>1759.1717479674701</v>
      </c>
      <c r="G4248" s="1">
        <v>4</v>
      </c>
      <c r="H4248" s="1">
        <v>2</v>
      </c>
      <c r="I4248" s="1">
        <v>3</v>
      </c>
      <c r="J4248" s="1">
        <v>2.5</v>
      </c>
      <c r="K4248" s="1">
        <v>2</v>
      </c>
      <c r="L4248" s="1">
        <v>1</v>
      </c>
      <c r="M4248" s="4">
        <v>1476</v>
      </c>
      <c r="N4248" s="1">
        <v>2223</v>
      </c>
      <c r="O4248" s="1">
        <v>4483</v>
      </c>
      <c r="P4248" s="1">
        <v>2260</v>
      </c>
      <c r="Q4248" s="1" t="s">
        <v>2921</v>
      </c>
      <c r="S4248" s="1" t="s">
        <v>100</v>
      </c>
      <c r="T4248" s="1" t="s">
        <v>273</v>
      </c>
      <c r="V4248" s="5">
        <v>44364</v>
      </c>
      <c r="W4248" s="5">
        <v>44341</v>
      </c>
      <c r="X4248" s="1">
        <v>2950000</v>
      </c>
      <c r="Y4248" s="1">
        <v>2950000</v>
      </c>
      <c r="Z4248" s="5">
        <v>44342</v>
      </c>
      <c r="AA4248" s="1">
        <v>2596537.5</v>
      </c>
      <c r="AB4248" s="1" t="s">
        <v>2961</v>
      </c>
      <c r="AC4248" s="5">
        <v>44356</v>
      </c>
      <c r="AF4248" s="1">
        <v>10016</v>
      </c>
      <c r="AJ4248" s="1">
        <v>2016</v>
      </c>
      <c r="AK4248" s="1" t="s">
        <v>49</v>
      </c>
      <c r="AL4248" s="1">
        <v>72</v>
      </c>
    </row>
    <row r="4249" spans="1:38" x14ac:dyDescent="0.2">
      <c r="A4249" s="2" t="str">
        <f>HYPERLINK("https://www.compass.com/listing/305-west-150th-street-unit-510-manhattan-ny-10039/803299102817038665/","305 W 150th St, Unit 510")</f>
        <v>305 W 150th St, Unit 510</v>
      </c>
      <c r="B4249" s="2" t="str">
        <f>HYPERLINK("https://www.compass.com/building/305-w-150th-st-manhattan-ny-10039/282032234968400245/","305 W 150th St")</f>
        <v>305 W 150th St</v>
      </c>
      <c r="C4249" s="1" t="s">
        <v>84</v>
      </c>
      <c r="D4249" s="1" t="s">
        <v>41</v>
      </c>
      <c r="E4249" s="3">
        <v>478608</v>
      </c>
      <c r="F4249" s="1">
        <v>819.53424657534197</v>
      </c>
      <c r="G4249" s="1">
        <v>3</v>
      </c>
      <c r="H4249" s="1">
        <v>1</v>
      </c>
      <c r="I4249" s="1">
        <v>1</v>
      </c>
      <c r="J4249" s="1">
        <v>1</v>
      </c>
      <c r="K4249" s="1">
        <v>1</v>
      </c>
      <c r="M4249" s="1">
        <v>584</v>
      </c>
      <c r="N4249" s="1">
        <v>350</v>
      </c>
      <c r="O4249" s="1">
        <v>602.67999999999995</v>
      </c>
      <c r="P4249" s="1">
        <v>252.666666666666</v>
      </c>
      <c r="Q4249" s="1" t="s">
        <v>42</v>
      </c>
      <c r="S4249" s="1" t="s">
        <v>42</v>
      </c>
      <c r="T4249" s="1" t="s">
        <v>273</v>
      </c>
      <c r="U4249" s="1">
        <v>21</v>
      </c>
      <c r="V4249" s="5">
        <v>43035</v>
      </c>
      <c r="W4249" s="5">
        <v>42807</v>
      </c>
      <c r="X4249" s="1">
        <v>472000</v>
      </c>
      <c r="Y4249" s="1">
        <v>472000</v>
      </c>
      <c r="Z4249" s="5">
        <v>42829</v>
      </c>
      <c r="AA4249" s="1">
        <v>478608</v>
      </c>
      <c r="AB4249" s="1" t="s">
        <v>2900</v>
      </c>
      <c r="AC4249" s="5">
        <v>42914</v>
      </c>
      <c r="AF4249" s="1">
        <v>10039</v>
      </c>
      <c r="AJ4249" s="1">
        <v>1921</v>
      </c>
      <c r="AK4249" s="1" t="s">
        <v>73</v>
      </c>
      <c r="AL4249" s="1">
        <v>84</v>
      </c>
    </row>
    <row r="4250" spans="1:38" x14ac:dyDescent="0.2">
      <c r="A4250" s="2" t="str">
        <f>HYPERLINK("https://www.compass.com/listing/325-lexington-avenue-unit-22a-manhattan-ny-10016/29379722412631105/","325 Lexington Ave, Unit 22A")</f>
        <v>325 Lexington Ave, Unit 22A</v>
      </c>
      <c r="B4250" s="2" t="str">
        <f>HYPERLINK("https://www.compass.com/building/325-lex-condominium-manhattan-ny/281939882467713365/","325 Lex Condominium")</f>
        <v>325 Lex Condominium</v>
      </c>
      <c r="C4250" s="1" t="s">
        <v>59</v>
      </c>
      <c r="D4250" s="1" t="s">
        <v>41</v>
      </c>
      <c r="E4250" s="3">
        <v>1389911</v>
      </c>
      <c r="F4250" s="1">
        <v>2161.6034214618899</v>
      </c>
      <c r="G4250" s="1">
        <v>3</v>
      </c>
      <c r="H4250" s="1">
        <v>1</v>
      </c>
      <c r="I4250" s="1">
        <v>1</v>
      </c>
      <c r="J4250" s="1">
        <v>1</v>
      </c>
      <c r="K4250" s="1">
        <v>1</v>
      </c>
      <c r="M4250" s="1">
        <v>643</v>
      </c>
      <c r="N4250" s="1">
        <v>933</v>
      </c>
      <c r="O4250" s="1">
        <v>1136</v>
      </c>
      <c r="P4250" s="1">
        <v>203</v>
      </c>
      <c r="Q4250" s="1" t="s">
        <v>42</v>
      </c>
      <c r="S4250" s="1" t="s">
        <v>42</v>
      </c>
      <c r="T4250" s="1" t="s">
        <v>273</v>
      </c>
      <c r="U4250" s="1">
        <v>53</v>
      </c>
      <c r="V4250" s="5">
        <v>43654</v>
      </c>
      <c r="W4250" s="5">
        <v>41905</v>
      </c>
      <c r="X4250" s="1">
        <v>1365000</v>
      </c>
      <c r="Y4250" s="1">
        <v>1365000</v>
      </c>
      <c r="Z4250" s="5">
        <v>41958</v>
      </c>
      <c r="AA4250" s="1">
        <v>1389911</v>
      </c>
      <c r="AB4250" s="1" t="s">
        <v>2962</v>
      </c>
      <c r="AC4250" s="5">
        <v>42048</v>
      </c>
      <c r="AF4250" s="1">
        <v>10016</v>
      </c>
      <c r="AI4250" s="1" t="s">
        <v>60</v>
      </c>
      <c r="AJ4250" s="1">
        <v>2014</v>
      </c>
      <c r="AK4250" s="1" t="s">
        <v>108</v>
      </c>
      <c r="AL4250" s="1">
        <v>125</v>
      </c>
    </row>
    <row r="4251" spans="1:38" x14ac:dyDescent="0.2">
      <c r="A4251" s="2" t="str">
        <f>HYPERLINK("https://www.compass.com/listing/1-west-end-avenue-unit-8h-manhattan-ny-10069/29397378326876721/","1 W End Ave, Unit 8H")</f>
        <v>1 W End Ave, Unit 8H</v>
      </c>
      <c r="B4251" s="2" t="str">
        <f t="shared" ref="B4251:B4253" si="723">HYPERLINK("https://www.compass.com/building/1-w-end-ave-manhattan-ny-10069/455676159137755317/","1 W End Ave")</f>
        <v>1 W End Ave</v>
      </c>
      <c r="C4251" s="1" t="s">
        <v>57</v>
      </c>
      <c r="D4251" s="1" t="s">
        <v>41</v>
      </c>
      <c r="E4251" s="3">
        <v>2462170</v>
      </c>
      <c r="F4251" s="1">
        <v>1790.6690909090901</v>
      </c>
      <c r="G4251" s="1">
        <v>4</v>
      </c>
      <c r="H4251" s="1">
        <v>2</v>
      </c>
      <c r="I4251" s="1">
        <v>2</v>
      </c>
      <c r="J4251" s="1">
        <v>2.5</v>
      </c>
      <c r="K4251" s="1">
        <v>2</v>
      </c>
      <c r="L4251" s="1">
        <v>1</v>
      </c>
      <c r="M4251" s="4">
        <v>1375</v>
      </c>
      <c r="N4251" s="1">
        <v>1594</v>
      </c>
      <c r="O4251" s="1">
        <v>1690</v>
      </c>
      <c r="P4251" s="1">
        <v>96</v>
      </c>
      <c r="Q4251" s="1" t="s">
        <v>42</v>
      </c>
      <c r="S4251" s="1" t="s">
        <v>42</v>
      </c>
      <c r="T4251" s="1" t="s">
        <v>273</v>
      </c>
      <c r="V4251" s="5">
        <v>43624</v>
      </c>
      <c r="W4251" s="5">
        <v>42501</v>
      </c>
      <c r="X4251" s="1">
        <v>2410000</v>
      </c>
      <c r="Y4251" s="1">
        <v>2410000</v>
      </c>
      <c r="Z4251" s="5">
        <v>42501</v>
      </c>
      <c r="AA4251" s="1">
        <v>2462170</v>
      </c>
      <c r="AB4251" s="1" t="s">
        <v>2963</v>
      </c>
      <c r="AC4251" s="5">
        <v>43015</v>
      </c>
      <c r="AF4251" s="1">
        <v>10069</v>
      </c>
      <c r="AI4251" s="1" t="s">
        <v>60</v>
      </c>
      <c r="AJ4251" s="1">
        <v>2017</v>
      </c>
      <c r="AK4251" s="1" t="s">
        <v>108</v>
      </c>
      <c r="AL4251" s="1">
        <v>246</v>
      </c>
    </row>
    <row r="4252" spans="1:38" x14ac:dyDescent="0.2">
      <c r="A4252" s="2" t="str">
        <f>HYPERLINK("https://www.compass.com/listing/1-west-end-avenue-unit-9h-manhattan-ny-10069/29397378771549169/","1 W End Ave, Unit 9H")</f>
        <v>1 W End Ave, Unit 9H</v>
      </c>
      <c r="B4252" s="2" t="str">
        <f t="shared" si="723"/>
        <v>1 W End Ave</v>
      </c>
      <c r="C4252" s="1" t="s">
        <v>57</v>
      </c>
      <c r="D4252" s="1" t="s">
        <v>41</v>
      </c>
      <c r="E4252" s="3">
        <v>2467261</v>
      </c>
      <c r="F4252" s="1">
        <v>1794.3716363636299</v>
      </c>
      <c r="G4252" s="1">
        <v>4</v>
      </c>
      <c r="H4252" s="1">
        <v>2</v>
      </c>
      <c r="I4252" s="1">
        <v>2</v>
      </c>
      <c r="J4252" s="1">
        <v>2.5</v>
      </c>
      <c r="K4252" s="1">
        <v>2</v>
      </c>
      <c r="L4252" s="1">
        <v>1</v>
      </c>
      <c r="M4252" s="4">
        <v>1375</v>
      </c>
      <c r="N4252" s="1">
        <v>1594</v>
      </c>
      <c r="O4252" s="1">
        <v>1690</v>
      </c>
      <c r="P4252" s="1">
        <v>96</v>
      </c>
      <c r="Q4252" s="1" t="s">
        <v>42</v>
      </c>
      <c r="S4252" s="1" t="s">
        <v>42</v>
      </c>
      <c r="T4252" s="1" t="s">
        <v>273</v>
      </c>
      <c r="U4252" s="1">
        <v>1</v>
      </c>
      <c r="V4252" s="5">
        <v>43624</v>
      </c>
      <c r="W4252" s="5">
        <v>42199</v>
      </c>
      <c r="X4252" s="1">
        <v>2535000</v>
      </c>
      <c r="Y4252" s="1">
        <v>2535000</v>
      </c>
      <c r="Z4252" s="5">
        <v>42200</v>
      </c>
      <c r="AA4252" s="1">
        <v>2467261</v>
      </c>
      <c r="AB4252" s="1" t="s">
        <v>2964</v>
      </c>
      <c r="AC4252" s="5">
        <v>43012</v>
      </c>
      <c r="AF4252" s="1">
        <v>10069</v>
      </c>
      <c r="AI4252" s="1" t="s">
        <v>60</v>
      </c>
      <c r="AJ4252" s="1">
        <v>2017</v>
      </c>
      <c r="AK4252" s="1" t="s">
        <v>108</v>
      </c>
      <c r="AL4252" s="1">
        <v>246</v>
      </c>
    </row>
    <row r="4253" spans="1:38" x14ac:dyDescent="0.2">
      <c r="A4253" s="2" t="str">
        <f>HYPERLINK("https://www.compass.com/listing/1-west-end-avenue-unit-10h-manhattan-ny-10069/29397379123778225/","1 W End Ave, Unit 10H")</f>
        <v>1 W End Ave, Unit 10H</v>
      </c>
      <c r="B4253" s="2" t="str">
        <f t="shared" si="723"/>
        <v>1 W End Ave</v>
      </c>
      <c r="C4253" s="1" t="s">
        <v>57</v>
      </c>
      <c r="D4253" s="1" t="s">
        <v>41</v>
      </c>
      <c r="E4253" s="3">
        <v>2426526</v>
      </c>
      <c r="F4253" s="1">
        <v>1764.74618181818</v>
      </c>
      <c r="G4253" s="1">
        <v>4</v>
      </c>
      <c r="H4253" s="1">
        <v>2</v>
      </c>
      <c r="I4253" s="1">
        <v>2</v>
      </c>
      <c r="J4253" s="1">
        <v>2.5</v>
      </c>
      <c r="K4253" s="1">
        <v>2</v>
      </c>
      <c r="L4253" s="1">
        <v>1</v>
      </c>
      <c r="M4253" s="4">
        <v>1375</v>
      </c>
      <c r="N4253" s="1">
        <v>1594</v>
      </c>
      <c r="O4253" s="1">
        <v>1690</v>
      </c>
      <c r="P4253" s="1">
        <v>96</v>
      </c>
      <c r="Q4253" s="1" t="s">
        <v>42</v>
      </c>
      <c r="S4253" s="1" t="s">
        <v>42</v>
      </c>
      <c r="T4253" s="1" t="s">
        <v>273</v>
      </c>
      <c r="U4253" s="1">
        <v>1</v>
      </c>
      <c r="V4253" s="5">
        <v>43623</v>
      </c>
      <c r="W4253" s="5">
        <v>42199</v>
      </c>
      <c r="X4253" s="1">
        <v>2560000</v>
      </c>
      <c r="Y4253" s="1">
        <v>2560000</v>
      </c>
      <c r="Z4253" s="5">
        <v>42200</v>
      </c>
      <c r="AA4253" s="1">
        <v>2426526</v>
      </c>
      <c r="AB4253" s="1" t="s">
        <v>2965</v>
      </c>
      <c r="AC4253" s="5">
        <v>43019</v>
      </c>
      <c r="AF4253" s="1">
        <v>10069</v>
      </c>
      <c r="AI4253" s="1" t="s">
        <v>60</v>
      </c>
      <c r="AJ4253" s="1">
        <v>2017</v>
      </c>
      <c r="AK4253" s="1" t="s">
        <v>108</v>
      </c>
      <c r="AL4253" s="1">
        <v>246</v>
      </c>
    </row>
    <row r="4254" spans="1:38" x14ac:dyDescent="0.2">
      <c r="A4254" s="2" t="str">
        <f>HYPERLINK("https://www.compass.com/listing/425-west-50th-street-unit-10e-manhattan-ny-10019/29389204928702721/","425 W 50th St, Unit 10E")</f>
        <v>425 W 50th St, Unit 10E</v>
      </c>
      <c r="B4254" s="2" t="str">
        <f>HYPERLINK("https://www.compass.com/building/stella-tower-manhattan-ny/281945855710262181/","Stella Tower")</f>
        <v>Stella Tower</v>
      </c>
      <c r="C4254" s="1" t="s">
        <v>90</v>
      </c>
      <c r="D4254" s="1" t="s">
        <v>41</v>
      </c>
      <c r="E4254" s="3">
        <v>2851100</v>
      </c>
      <c r="F4254" s="1">
        <v>1884.4018506278901</v>
      </c>
      <c r="G4254" s="1">
        <v>3</v>
      </c>
      <c r="H4254" s="1">
        <v>1</v>
      </c>
      <c r="I4254" s="1">
        <v>2</v>
      </c>
      <c r="J4254" s="1">
        <v>2</v>
      </c>
      <c r="K4254" s="1">
        <v>2</v>
      </c>
      <c r="M4254" s="4">
        <v>1513</v>
      </c>
      <c r="N4254" s="1">
        <v>1709</v>
      </c>
      <c r="O4254" s="1">
        <v>2756</v>
      </c>
      <c r="P4254" s="1">
        <v>1047</v>
      </c>
      <c r="Q4254" s="1" t="s">
        <v>42</v>
      </c>
      <c r="S4254" s="1" t="s">
        <v>42</v>
      </c>
      <c r="T4254" s="1" t="s">
        <v>273</v>
      </c>
      <c r="U4254" s="1">
        <v>214</v>
      </c>
      <c r="V4254" s="5">
        <v>44340</v>
      </c>
      <c r="W4254" s="5">
        <v>41859</v>
      </c>
      <c r="X4254" s="1">
        <v>2800000</v>
      </c>
      <c r="Y4254" s="1">
        <v>2800000</v>
      </c>
      <c r="Z4254" s="5">
        <v>42074</v>
      </c>
      <c r="AA4254" s="1">
        <v>2851100</v>
      </c>
      <c r="AB4254" s="1" t="s">
        <v>2966</v>
      </c>
      <c r="AC4254" s="5">
        <v>42073</v>
      </c>
      <c r="AF4254" s="1">
        <v>10019</v>
      </c>
      <c r="AI4254" s="1" t="s">
        <v>80</v>
      </c>
      <c r="AJ4254" s="1">
        <v>1930</v>
      </c>
      <c r="AK4254" s="1" t="s">
        <v>46</v>
      </c>
      <c r="AL4254" s="1">
        <v>51</v>
      </c>
    </row>
    <row r="4255" spans="1:38" x14ac:dyDescent="0.2">
      <c r="A4255" s="2" t="str">
        <f>HYPERLINK("https://www.compass.com/listing/325-lexington-avenue-unit-18b-manhattan-ny-10016/29379713914976737/","325 Lexington Ave, Unit 18B")</f>
        <v>325 Lexington Ave, Unit 18B</v>
      </c>
      <c r="B4255" s="2" t="str">
        <f t="shared" ref="B4255:B4256" si="724">HYPERLINK("https://www.compass.com/building/325-lex-condominium-manhattan-ny/281939882467713365/","325 Lex Condominium")</f>
        <v>325 Lex Condominium</v>
      </c>
      <c r="C4255" s="1" t="s">
        <v>59</v>
      </c>
      <c r="D4255" s="1" t="s">
        <v>41</v>
      </c>
      <c r="E4255" s="3">
        <v>1451006</v>
      </c>
      <c r="F4255" s="1">
        <v>2242.6676970633598</v>
      </c>
      <c r="G4255" s="1">
        <v>3</v>
      </c>
      <c r="H4255" s="1">
        <v>1</v>
      </c>
      <c r="I4255" s="1">
        <v>1</v>
      </c>
      <c r="J4255" s="1">
        <v>1</v>
      </c>
      <c r="K4255" s="1">
        <v>1</v>
      </c>
      <c r="M4255" s="1">
        <v>647</v>
      </c>
      <c r="N4255" s="1">
        <v>918</v>
      </c>
      <c r="O4255" s="1">
        <v>1118</v>
      </c>
      <c r="P4255" s="1">
        <v>200</v>
      </c>
      <c r="Q4255" s="1" t="s">
        <v>42</v>
      </c>
      <c r="S4255" s="1" t="s">
        <v>42</v>
      </c>
      <c r="T4255" s="1" t="s">
        <v>273</v>
      </c>
      <c r="U4255" s="1">
        <v>175</v>
      </c>
      <c r="V4255" s="5">
        <v>43654</v>
      </c>
      <c r="W4255" s="5">
        <v>41991</v>
      </c>
      <c r="X4255" s="1">
        <v>1380000</v>
      </c>
      <c r="Y4255" s="1">
        <v>1425000</v>
      </c>
      <c r="Z4255" s="5">
        <v>42166</v>
      </c>
      <c r="AA4255" s="1">
        <v>1451006</v>
      </c>
      <c r="AB4255" s="1" t="s">
        <v>2967</v>
      </c>
      <c r="AC4255" s="5">
        <v>42248</v>
      </c>
      <c r="AF4255" s="1">
        <v>10016</v>
      </c>
      <c r="AI4255" s="1" t="s">
        <v>60</v>
      </c>
      <c r="AJ4255" s="1">
        <v>2014</v>
      </c>
      <c r="AK4255" s="1" t="s">
        <v>108</v>
      </c>
      <c r="AL4255" s="1">
        <v>125</v>
      </c>
    </row>
    <row r="4256" spans="1:38" x14ac:dyDescent="0.2">
      <c r="A4256" s="2" t="str">
        <f>HYPERLINK("https://www.compass.com/listing/325-lexington-avenue-unit-26a-manhattan-ny-10016/29379728980855713/","325 Lexington Ave, Unit 26A")</f>
        <v>325 Lexington Ave, Unit 26A</v>
      </c>
      <c r="B4256" s="2" t="str">
        <f t="shared" si="724"/>
        <v>325 Lex Condominium</v>
      </c>
      <c r="C4256" s="1" t="s">
        <v>59</v>
      </c>
      <c r="D4256" s="1" t="s">
        <v>41</v>
      </c>
      <c r="E4256" s="3">
        <v>1430641</v>
      </c>
      <c r="F4256" s="1">
        <v>2224.9471228615798</v>
      </c>
      <c r="G4256" s="1">
        <v>3</v>
      </c>
      <c r="H4256" s="1">
        <v>1</v>
      </c>
      <c r="I4256" s="1">
        <v>1</v>
      </c>
      <c r="J4256" s="1">
        <v>1</v>
      </c>
      <c r="K4256" s="1">
        <v>1</v>
      </c>
      <c r="M4256" s="1">
        <v>643</v>
      </c>
      <c r="N4256" s="1">
        <v>946</v>
      </c>
      <c r="O4256" s="1">
        <v>1152</v>
      </c>
      <c r="P4256" s="1">
        <v>206</v>
      </c>
      <c r="Q4256" s="1" t="s">
        <v>42</v>
      </c>
      <c r="S4256" s="1" t="s">
        <v>42</v>
      </c>
      <c r="T4256" s="1" t="s">
        <v>273</v>
      </c>
      <c r="U4256" s="1">
        <v>25</v>
      </c>
      <c r="V4256" s="5">
        <v>43654</v>
      </c>
      <c r="W4256" s="5">
        <v>41965</v>
      </c>
      <c r="X4256" s="1">
        <v>1405000</v>
      </c>
      <c r="Y4256" s="1">
        <v>1405000</v>
      </c>
      <c r="Z4256" s="5">
        <v>41990</v>
      </c>
      <c r="AA4256" s="1">
        <v>1430641</v>
      </c>
      <c r="AB4256" s="1" t="s">
        <v>2968</v>
      </c>
      <c r="AC4256" s="5">
        <v>42047</v>
      </c>
      <c r="AF4256" s="1">
        <v>10016</v>
      </c>
      <c r="AI4256" s="1" t="s">
        <v>60</v>
      </c>
      <c r="AJ4256" s="1">
        <v>2014</v>
      </c>
      <c r="AK4256" s="1" t="s">
        <v>108</v>
      </c>
      <c r="AL4256" s="1">
        <v>125</v>
      </c>
    </row>
    <row r="4257" spans="1:38" x14ac:dyDescent="0.2">
      <c r="A4257" s="2" t="str">
        <f>HYPERLINK("https://www.compass.com/listing/416-west-52nd-street-unit-404-manhattan-ny-10019/29389267381890465/","416 W 52nd St, Unit 404")</f>
        <v>416 W 52nd St, Unit 404</v>
      </c>
      <c r="B4257" s="2" t="str">
        <f>HYPERLINK("https://www.compass.com/building/nine52-manhattan-ny/281945622951555813/","Nine52")</f>
        <v>Nine52</v>
      </c>
      <c r="C4257" s="1" t="s">
        <v>90</v>
      </c>
      <c r="D4257" s="1" t="s">
        <v>41</v>
      </c>
      <c r="E4257" s="3">
        <v>1462800</v>
      </c>
      <c r="F4257" s="1">
        <v>1641.75084175084</v>
      </c>
      <c r="G4257" s="1">
        <v>5</v>
      </c>
      <c r="H4257" s="1">
        <v>2</v>
      </c>
      <c r="I4257" s="1">
        <v>2</v>
      </c>
      <c r="J4257" s="1">
        <v>2</v>
      </c>
      <c r="K4257" s="1">
        <v>2</v>
      </c>
      <c r="M4257" s="1">
        <v>891</v>
      </c>
      <c r="N4257" s="1">
        <v>741</v>
      </c>
      <c r="O4257" s="1">
        <v>2048</v>
      </c>
      <c r="P4257" s="1">
        <v>1307</v>
      </c>
      <c r="Q4257" s="1" t="s">
        <v>42</v>
      </c>
      <c r="S4257" s="1" t="s">
        <v>42</v>
      </c>
      <c r="T4257" s="1" t="s">
        <v>273</v>
      </c>
      <c r="U4257" s="1">
        <v>35</v>
      </c>
      <c r="V4257" s="5">
        <v>43675</v>
      </c>
      <c r="W4257" s="5">
        <v>42441</v>
      </c>
      <c r="X4257" s="1">
        <v>1544000</v>
      </c>
      <c r="Y4257" s="1">
        <v>1490000</v>
      </c>
      <c r="Z4257" s="5">
        <v>42476</v>
      </c>
      <c r="AA4257" s="1">
        <v>1462800</v>
      </c>
      <c r="AB4257" s="1" t="s">
        <v>2969</v>
      </c>
      <c r="AC4257" s="5">
        <v>42656</v>
      </c>
      <c r="AF4257" s="1">
        <v>10019</v>
      </c>
      <c r="AI4257" s="1" t="s">
        <v>48</v>
      </c>
      <c r="AJ4257" s="1">
        <v>1940</v>
      </c>
      <c r="AK4257" s="1" t="s">
        <v>108</v>
      </c>
      <c r="AL4257" s="1">
        <v>155</v>
      </c>
    </row>
    <row r="4258" spans="1:38" x14ac:dyDescent="0.2">
      <c r="A4258" s="2" t="str">
        <f>HYPERLINK("https://www.compass.com/listing/305-west-150th-street-unit-410-manhattan-ny-10039/803351051075683225/","305 W 150th St, Unit 410")</f>
        <v>305 W 150th St, Unit 410</v>
      </c>
      <c r="B4258" s="2" t="str">
        <f>HYPERLINK("https://www.compass.com/building/305-w-150th-st-manhattan-ny-10039/282032234968400245/","305 W 150th St")</f>
        <v>305 W 150th St</v>
      </c>
      <c r="C4258" s="1" t="s">
        <v>84</v>
      </c>
      <c r="D4258" s="1" t="s">
        <v>41</v>
      </c>
      <c r="E4258" s="3">
        <v>471000</v>
      </c>
      <c r="F4258" s="1">
        <v>806.50684931506805</v>
      </c>
      <c r="G4258" s="1">
        <v>3</v>
      </c>
      <c r="H4258" s="1">
        <v>1</v>
      </c>
      <c r="I4258" s="1">
        <v>1</v>
      </c>
      <c r="J4258" s="1">
        <v>1</v>
      </c>
      <c r="K4258" s="1">
        <v>1</v>
      </c>
      <c r="M4258" s="1">
        <v>584</v>
      </c>
      <c r="N4258" s="1">
        <v>346.92</v>
      </c>
      <c r="O4258" s="1">
        <v>597.45000000000005</v>
      </c>
      <c r="P4258" s="1">
        <v>250.5</v>
      </c>
      <c r="Q4258" s="1" t="s">
        <v>42</v>
      </c>
      <c r="S4258" s="1" t="s">
        <v>42</v>
      </c>
      <c r="T4258" s="1" t="s">
        <v>273</v>
      </c>
      <c r="U4258" s="1">
        <v>87</v>
      </c>
      <c r="V4258" s="5">
        <v>42707</v>
      </c>
      <c r="W4258" s="5">
        <v>42571</v>
      </c>
      <c r="X4258" s="1">
        <v>471000</v>
      </c>
      <c r="Y4258" s="1">
        <v>471000</v>
      </c>
      <c r="Z4258" s="5">
        <v>42658</v>
      </c>
      <c r="AA4258" s="1">
        <v>471000</v>
      </c>
      <c r="AB4258" s="1" t="s">
        <v>2956</v>
      </c>
      <c r="AC4258" s="5">
        <v>42691</v>
      </c>
      <c r="AF4258" s="1">
        <v>10039</v>
      </c>
      <c r="AJ4258" s="1">
        <v>1921</v>
      </c>
      <c r="AK4258" s="1" t="s">
        <v>73</v>
      </c>
      <c r="AL4258" s="1">
        <v>84</v>
      </c>
    </row>
    <row r="4259" spans="1:38" x14ac:dyDescent="0.2">
      <c r="A4259" s="2" t="str">
        <f>HYPERLINK("https://www.compass.com/listing/325-lexington-avenue-unit-18a-manhattan-ny-10016/803307997929515913/","325 Lexington Ave, Unit 18A")</f>
        <v>325 Lexington Ave, Unit 18A</v>
      </c>
      <c r="B4259" s="2" t="str">
        <f t="shared" ref="B4259:B4260" si="725">HYPERLINK("https://www.compass.com/building/325-lex-condominium-manhattan-ny/281939882467713365/","325 Lex Condominium")</f>
        <v>325 Lex Condominium</v>
      </c>
      <c r="C4259" s="1" t="s">
        <v>59</v>
      </c>
      <c r="D4259" s="1" t="s">
        <v>41</v>
      </c>
      <c r="E4259" s="3">
        <v>1359364</v>
      </c>
      <c r="F4259" s="1">
        <v>2114.09603421461</v>
      </c>
      <c r="G4259" s="1">
        <v>3</v>
      </c>
      <c r="H4259" s="1">
        <v>1</v>
      </c>
      <c r="I4259" s="1">
        <v>1</v>
      </c>
      <c r="J4259" s="1">
        <v>1</v>
      </c>
      <c r="K4259" s="1">
        <v>1</v>
      </c>
      <c r="M4259" s="1">
        <v>643</v>
      </c>
      <c r="N4259" s="1">
        <v>913</v>
      </c>
      <c r="O4259" s="1">
        <v>1112</v>
      </c>
      <c r="P4259" s="1">
        <v>199</v>
      </c>
      <c r="Q4259" s="1" t="s">
        <v>42</v>
      </c>
      <c r="S4259" s="1" t="s">
        <v>42</v>
      </c>
      <c r="T4259" s="1" t="s">
        <v>273</v>
      </c>
      <c r="U4259" s="1">
        <v>146</v>
      </c>
      <c r="V4259" s="5">
        <v>42993</v>
      </c>
      <c r="W4259" s="5">
        <v>41964</v>
      </c>
      <c r="X4259" s="1">
        <v>1325000</v>
      </c>
      <c r="Y4259" s="1">
        <v>1325000</v>
      </c>
      <c r="AA4259" s="1">
        <v>1359363.75</v>
      </c>
      <c r="AB4259" s="1" t="s">
        <v>2970</v>
      </c>
      <c r="AC4259" s="5">
        <v>42172</v>
      </c>
      <c r="AF4259" s="1">
        <v>10016</v>
      </c>
      <c r="AI4259" s="1" t="s">
        <v>60</v>
      </c>
      <c r="AJ4259" s="1">
        <v>2014</v>
      </c>
      <c r="AK4259" s="1" t="s">
        <v>108</v>
      </c>
      <c r="AL4259" s="1">
        <v>125</v>
      </c>
    </row>
    <row r="4260" spans="1:38" x14ac:dyDescent="0.2">
      <c r="A4260" s="2" t="str">
        <f>HYPERLINK("https://www.compass.com/listing/325-lexington-avenue-unit-12c-manhattan-ny-10016/4852317044198087457/","325 Lexington Ave, Unit 12C")</f>
        <v>325 Lexington Ave, Unit 12C</v>
      </c>
      <c r="B4260" s="2" t="str">
        <f t="shared" si="725"/>
        <v>325 Lex Condominium</v>
      </c>
      <c r="C4260" s="1" t="s">
        <v>59</v>
      </c>
      <c r="D4260" s="1" t="s">
        <v>41</v>
      </c>
      <c r="E4260" s="3">
        <v>935000</v>
      </c>
      <c r="F4260" s="1">
        <v>1808.5106382978699</v>
      </c>
      <c r="G4260" s="1">
        <v>3</v>
      </c>
      <c r="H4260" s="1">
        <v>1</v>
      </c>
      <c r="I4260" s="1">
        <v>1</v>
      </c>
      <c r="J4260" s="1">
        <v>1</v>
      </c>
      <c r="K4260" s="1">
        <v>1</v>
      </c>
      <c r="M4260" s="1">
        <v>517</v>
      </c>
      <c r="N4260" s="1">
        <v>717</v>
      </c>
      <c r="O4260" s="1">
        <v>1284</v>
      </c>
      <c r="P4260" s="1">
        <v>567</v>
      </c>
      <c r="Q4260" s="1" t="s">
        <v>249</v>
      </c>
      <c r="R4260" s="1" t="s">
        <v>2971</v>
      </c>
      <c r="S4260" s="1" t="s">
        <v>1728</v>
      </c>
      <c r="T4260" s="1" t="s">
        <v>273</v>
      </c>
      <c r="V4260" s="5">
        <v>43671</v>
      </c>
      <c r="W4260" s="5">
        <v>41951</v>
      </c>
      <c r="X4260" s="1">
        <v>935000</v>
      </c>
      <c r="Y4260" s="1">
        <v>935000</v>
      </c>
      <c r="Z4260" s="5">
        <v>41951</v>
      </c>
      <c r="AA4260" s="1">
        <v>935000</v>
      </c>
      <c r="AB4260" s="1" t="s">
        <v>2972</v>
      </c>
      <c r="AC4260" s="5">
        <v>42040</v>
      </c>
      <c r="AF4260" s="1">
        <v>10016</v>
      </c>
      <c r="AG4260" s="1" t="s">
        <v>2973</v>
      </c>
      <c r="AI4260" s="1" t="s">
        <v>60</v>
      </c>
      <c r="AJ4260" s="1">
        <v>2014</v>
      </c>
      <c r="AK4260" s="1" t="s">
        <v>108</v>
      </c>
      <c r="AL4260" s="1">
        <v>125</v>
      </c>
    </row>
    <row r="4261" spans="1:38" x14ac:dyDescent="0.2">
      <c r="A4261" s="2" t="str">
        <f>HYPERLINK("https://www.compass.com/listing/310-west-114th-street-unit-4-manhattan-ny-10026/303478905700464225/","310 W 114th St, Unit 4")</f>
        <v>310 W 114th St, Unit 4</v>
      </c>
      <c r="B4261" s="2" t="str">
        <f t="shared" ref="B4261:B4262" si="726">HYPERLINK("https://www.compass.com/building/310-w-114th-st-manhattan-ny-10026/281976388834127397/","310 W 114th St")</f>
        <v>310 W 114th St</v>
      </c>
      <c r="C4261" s="1" t="s">
        <v>85</v>
      </c>
      <c r="D4261" s="1" t="s">
        <v>41</v>
      </c>
      <c r="E4261" s="3">
        <v>692500</v>
      </c>
      <c r="F4261" s="1">
        <v>1006.54069767441</v>
      </c>
      <c r="G4261" s="1">
        <v>3</v>
      </c>
      <c r="H4261" s="1">
        <v>1</v>
      </c>
      <c r="I4261" s="1">
        <v>1</v>
      </c>
      <c r="J4261" s="1">
        <v>1</v>
      </c>
      <c r="K4261" s="1">
        <v>1</v>
      </c>
      <c r="M4261" s="1">
        <v>688</v>
      </c>
      <c r="N4261" s="1">
        <v>173</v>
      </c>
      <c r="O4261" s="1">
        <v>1051</v>
      </c>
      <c r="P4261" s="1">
        <v>878</v>
      </c>
      <c r="Q4261" s="1" t="s">
        <v>42</v>
      </c>
      <c r="S4261" s="1" t="s">
        <v>42</v>
      </c>
      <c r="T4261" s="1" t="s">
        <v>273</v>
      </c>
      <c r="V4261" s="5">
        <v>44292</v>
      </c>
      <c r="W4261" s="5">
        <v>43671</v>
      </c>
      <c r="X4261" s="1">
        <v>800000</v>
      </c>
      <c r="Y4261" s="1">
        <v>800000</v>
      </c>
      <c r="Z4261" s="5">
        <v>43671</v>
      </c>
      <c r="AA4261" s="1">
        <v>692500</v>
      </c>
      <c r="AB4261" s="1" t="s">
        <v>2906</v>
      </c>
      <c r="AC4261" s="5">
        <v>44106</v>
      </c>
      <c r="AF4261" s="1">
        <v>10026</v>
      </c>
      <c r="AI4261" s="1" t="s">
        <v>2862</v>
      </c>
      <c r="AJ4261" s="1">
        <v>2015</v>
      </c>
      <c r="AL4261" s="1">
        <v>8</v>
      </c>
    </row>
    <row r="4262" spans="1:38" x14ac:dyDescent="0.2">
      <c r="A4262" s="2" t="str">
        <f>HYPERLINK("https://www.compass.com/listing/310-west-114th-street-unit-5-manhattan-ny-10026/500307279548681297/","310 W 114th St, Unit 5")</f>
        <v>310 W 114th St, Unit 5</v>
      </c>
      <c r="B4262" s="2" t="str">
        <f t="shared" si="726"/>
        <v>310 W 114th St</v>
      </c>
      <c r="C4262" s="1" t="s">
        <v>85</v>
      </c>
      <c r="D4262" s="1" t="s">
        <v>41</v>
      </c>
      <c r="E4262" s="3">
        <v>655000</v>
      </c>
      <c r="F4262" s="1">
        <v>923.83638928067705</v>
      </c>
      <c r="G4262" s="1">
        <v>2</v>
      </c>
      <c r="H4262" s="1">
        <v>1</v>
      </c>
      <c r="J4262" s="1">
        <v>1</v>
      </c>
      <c r="M4262" s="1">
        <v>709</v>
      </c>
      <c r="N4262" s="1">
        <v>173</v>
      </c>
      <c r="O4262" s="1">
        <v>1054</v>
      </c>
      <c r="P4262" s="1">
        <v>881</v>
      </c>
      <c r="Q4262" s="1" t="s">
        <v>42</v>
      </c>
      <c r="S4262" s="1" t="s">
        <v>42</v>
      </c>
      <c r="T4262" s="1" t="s">
        <v>273</v>
      </c>
      <c r="U4262" s="1">
        <v>34</v>
      </c>
      <c r="V4262" s="5">
        <v>44248</v>
      </c>
      <c r="W4262" s="5">
        <v>43875</v>
      </c>
      <c r="X4262" s="1">
        <v>800000</v>
      </c>
      <c r="Y4262" s="1">
        <v>800000</v>
      </c>
      <c r="AA4262" s="1">
        <v>655000</v>
      </c>
      <c r="AB4262" s="1" t="s">
        <v>2974</v>
      </c>
      <c r="AC4262" s="5">
        <v>43992</v>
      </c>
      <c r="AF4262" s="1">
        <v>10026</v>
      </c>
      <c r="AI4262" s="1" t="s">
        <v>78</v>
      </c>
      <c r="AJ4262" s="1">
        <v>2015</v>
      </c>
      <c r="AL4262" s="1">
        <v>8</v>
      </c>
    </row>
    <row r="4263" spans="1:38" x14ac:dyDescent="0.2">
      <c r="A4263" s="2" t="str">
        <f>HYPERLINK("https://www.compass.com/listing/425-west-50th-street-unit-11h-manhattan-ny-10019/192575170764876673/","425 W 50th St, Unit 11H")</f>
        <v>425 W 50th St, Unit 11H</v>
      </c>
      <c r="B4263" s="2" t="str">
        <f>HYPERLINK("https://www.compass.com/building/stella-tower-manhattan-ny/281945855710262181/","Stella Tower")</f>
        <v>Stella Tower</v>
      </c>
      <c r="C4263" s="1" t="s">
        <v>90</v>
      </c>
      <c r="D4263" s="1" t="s">
        <v>41</v>
      </c>
      <c r="E4263" s="3">
        <v>1832850</v>
      </c>
      <c r="F4263" s="1">
        <v>1962.3661670235499</v>
      </c>
      <c r="G4263" s="1">
        <v>3</v>
      </c>
      <c r="H4263" s="1">
        <v>1</v>
      </c>
      <c r="I4263" s="1">
        <v>1</v>
      </c>
      <c r="J4263" s="1">
        <v>1</v>
      </c>
      <c r="M4263" s="1">
        <v>934</v>
      </c>
      <c r="N4263" s="1">
        <v>1056</v>
      </c>
      <c r="O4263" s="1">
        <v>1703</v>
      </c>
      <c r="P4263" s="1">
        <v>647</v>
      </c>
      <c r="Q4263" s="1" t="s">
        <v>42</v>
      </c>
      <c r="S4263" s="1" t="s">
        <v>42</v>
      </c>
      <c r="T4263" s="1" t="s">
        <v>273</v>
      </c>
      <c r="V4263" s="5">
        <v>43654</v>
      </c>
      <c r="W4263" s="5">
        <v>41976</v>
      </c>
      <c r="X4263" s="1">
        <v>1800000</v>
      </c>
      <c r="Y4263" s="1">
        <v>1800000</v>
      </c>
      <c r="Z4263" s="5">
        <v>41976</v>
      </c>
      <c r="AA4263" s="1">
        <v>1832850</v>
      </c>
      <c r="AB4263" s="1" t="s">
        <v>2975</v>
      </c>
      <c r="AC4263" s="5">
        <v>41991</v>
      </c>
      <c r="AF4263" s="1">
        <v>10019</v>
      </c>
      <c r="AI4263" s="1" t="s">
        <v>80</v>
      </c>
      <c r="AJ4263" s="1">
        <v>1930</v>
      </c>
      <c r="AK4263" s="1" t="s">
        <v>46</v>
      </c>
      <c r="AL4263" s="1">
        <v>51</v>
      </c>
    </row>
    <row r="4264" spans="1:38" x14ac:dyDescent="0.2">
      <c r="A4264" s="2" t="str">
        <f>HYPERLINK("https://www.compass.com/listing/416-west-52nd-street-unit-422-manhattan-ny-10019/29389272951926241/","416 W 52nd St, Unit 422")</f>
        <v>416 W 52nd St, Unit 422</v>
      </c>
      <c r="B4264" s="2" t="str">
        <f>HYPERLINK("https://www.compass.com/building/nine52-manhattan-ny/281945622951555813/","Nine52")</f>
        <v>Nine52</v>
      </c>
      <c r="C4264" s="1" t="s">
        <v>90</v>
      </c>
      <c r="D4264" s="1" t="s">
        <v>41</v>
      </c>
      <c r="E4264" s="3">
        <v>1159000</v>
      </c>
      <c r="F4264" s="1">
        <v>1598.6206896551701</v>
      </c>
      <c r="G4264" s="1">
        <v>3</v>
      </c>
      <c r="H4264" s="1">
        <v>1</v>
      </c>
      <c r="I4264" s="1">
        <v>1</v>
      </c>
      <c r="J4264" s="1">
        <v>1</v>
      </c>
      <c r="K4264" s="1">
        <v>1</v>
      </c>
      <c r="M4264" s="1">
        <v>725</v>
      </c>
      <c r="N4264" s="1">
        <v>494</v>
      </c>
      <c r="O4264" s="1">
        <v>1449</v>
      </c>
      <c r="P4264" s="1">
        <v>955</v>
      </c>
      <c r="Q4264" s="1" t="s">
        <v>42</v>
      </c>
      <c r="S4264" s="1" t="s">
        <v>42</v>
      </c>
      <c r="T4264" s="1" t="s">
        <v>273</v>
      </c>
      <c r="U4264" s="1">
        <v>2</v>
      </c>
      <c r="V4264" s="5">
        <v>43643</v>
      </c>
      <c r="W4264" s="5">
        <v>43047</v>
      </c>
      <c r="X4264" s="1">
        <v>1204000</v>
      </c>
      <c r="Y4264" s="1">
        <v>1204000</v>
      </c>
      <c r="Z4264" s="5">
        <v>43049</v>
      </c>
      <c r="AA4264" s="1">
        <v>1159000</v>
      </c>
      <c r="AB4264" s="1" t="s">
        <v>2976</v>
      </c>
      <c r="AC4264" s="5">
        <v>43061</v>
      </c>
      <c r="AF4264" s="1">
        <v>10019</v>
      </c>
      <c r="AI4264" s="1" t="s">
        <v>48</v>
      </c>
      <c r="AJ4264" s="1">
        <v>1940</v>
      </c>
      <c r="AK4264" s="1" t="s">
        <v>108</v>
      </c>
      <c r="AL4264" s="1">
        <v>155</v>
      </c>
    </row>
    <row r="4265" spans="1:38" x14ac:dyDescent="0.2">
      <c r="A4265" s="2" t="str">
        <f>HYPERLINK("https://www.compass.com/listing/325-lexington-avenue-unit-28b-manhattan-ny-10016/29379734441900817/","325 Lexington Ave, Unit 28B")</f>
        <v>325 Lexington Ave, Unit 28B</v>
      </c>
      <c r="B4265" s="2" t="str">
        <f t="shared" ref="B4265:B4266" si="727">HYPERLINK("https://www.compass.com/building/325-lex-condominium-manhattan-ny/281939882467713365/","325 Lex Condominium")</f>
        <v>325 Lex Condominium</v>
      </c>
      <c r="C4265" s="1" t="s">
        <v>59</v>
      </c>
      <c r="D4265" s="1" t="s">
        <v>41</v>
      </c>
      <c r="E4265" s="3">
        <v>1883763</v>
      </c>
      <c r="F4265" s="1">
        <v>2354.7037500000001</v>
      </c>
      <c r="G4265" s="1">
        <v>3</v>
      </c>
      <c r="H4265" s="1">
        <v>1</v>
      </c>
      <c r="I4265" s="1">
        <v>1</v>
      </c>
      <c r="J4265" s="1">
        <v>1</v>
      </c>
      <c r="K4265" s="1">
        <v>1</v>
      </c>
      <c r="M4265" s="1">
        <v>800</v>
      </c>
      <c r="N4265" s="1">
        <v>1179</v>
      </c>
      <c r="O4265" s="1">
        <v>1436</v>
      </c>
      <c r="P4265" s="1">
        <v>257</v>
      </c>
      <c r="Q4265" s="1" t="s">
        <v>42</v>
      </c>
      <c r="S4265" s="1" t="s">
        <v>42</v>
      </c>
      <c r="T4265" s="1" t="s">
        <v>273</v>
      </c>
      <c r="U4265" s="1">
        <v>23</v>
      </c>
      <c r="V4265" s="5">
        <v>43654</v>
      </c>
      <c r="W4265" s="5">
        <v>42116</v>
      </c>
      <c r="X4265" s="1">
        <v>1850000</v>
      </c>
      <c r="Y4265" s="1">
        <v>1850000</v>
      </c>
      <c r="Z4265" s="5">
        <v>42139</v>
      </c>
      <c r="AA4265" s="1">
        <v>1883763</v>
      </c>
      <c r="AB4265" s="1" t="s">
        <v>2977</v>
      </c>
      <c r="AC4265" s="5">
        <v>42164</v>
      </c>
      <c r="AF4265" s="1">
        <v>10016</v>
      </c>
      <c r="AI4265" s="1" t="s">
        <v>60</v>
      </c>
      <c r="AJ4265" s="1">
        <v>2014</v>
      </c>
      <c r="AK4265" s="1" t="s">
        <v>108</v>
      </c>
      <c r="AL4265" s="1">
        <v>125</v>
      </c>
    </row>
    <row r="4266" spans="1:38" x14ac:dyDescent="0.2">
      <c r="A4266" s="2" t="str">
        <f>HYPERLINK("https://www.compass.com/listing/325-lexington-avenue-unit-27b-manhattan-ny-10016/783737946949934217/","325 Lexington Ave, Unit 27B")</f>
        <v>325 Lexington Ave, Unit 27B</v>
      </c>
      <c r="B4266" s="2" t="str">
        <f t="shared" si="727"/>
        <v>325 Lex Condominium</v>
      </c>
      <c r="C4266" s="1" t="s">
        <v>59</v>
      </c>
      <c r="D4266" s="1" t="s">
        <v>41</v>
      </c>
      <c r="E4266" s="3">
        <v>1736116</v>
      </c>
      <c r="F4266" s="1">
        <v>2186.54439546599</v>
      </c>
      <c r="G4266" s="1">
        <v>3</v>
      </c>
      <c r="H4266" s="1">
        <v>1</v>
      </c>
      <c r="I4266" s="1">
        <v>1</v>
      </c>
      <c r="J4266" s="1">
        <v>1</v>
      </c>
      <c r="K4266" s="1">
        <v>1</v>
      </c>
      <c r="M4266" s="1">
        <v>794</v>
      </c>
      <c r="N4266" s="1">
        <v>1174</v>
      </c>
      <c r="O4266" s="1">
        <v>1430</v>
      </c>
      <c r="P4266" s="1">
        <v>256</v>
      </c>
      <c r="Q4266" s="1" t="s">
        <v>42</v>
      </c>
      <c r="S4266" s="1" t="s">
        <v>42</v>
      </c>
      <c r="T4266" s="1" t="s">
        <v>273</v>
      </c>
      <c r="U4266" s="1">
        <v>44</v>
      </c>
      <c r="V4266" s="5">
        <v>42576</v>
      </c>
      <c r="W4266" s="5">
        <v>42045</v>
      </c>
      <c r="X4266" s="1">
        <v>1705000</v>
      </c>
      <c r="Y4266" s="1">
        <v>1705000</v>
      </c>
      <c r="Z4266" s="5">
        <v>42089</v>
      </c>
      <c r="AA4266" s="1">
        <v>1736116.25</v>
      </c>
      <c r="AB4266" s="1" t="s">
        <v>2978</v>
      </c>
      <c r="AC4266" s="5">
        <v>42137</v>
      </c>
      <c r="AF4266" s="1">
        <v>10016</v>
      </c>
      <c r="AI4266" s="1" t="s">
        <v>205</v>
      </c>
      <c r="AJ4266" s="1">
        <v>2014</v>
      </c>
      <c r="AK4266" s="1" t="s">
        <v>108</v>
      </c>
      <c r="AL4266" s="1">
        <v>125</v>
      </c>
    </row>
    <row r="4267" spans="1:38" x14ac:dyDescent="0.2">
      <c r="A4267" s="2" t="str">
        <f>HYPERLINK("https://www.compass.com/listing/172-madison-avenue-unit-9c-manhattan-ny-10016/29376706062187729/","172 Madison Ave, Unit 9C")</f>
        <v>172 Madison Ave, Unit 9C</v>
      </c>
      <c r="B4267" s="2" t="str">
        <f t="shared" ref="B4267:B4271" si="728">HYPERLINK("https://www.compass.com/building/172-madison-ave-manhattan-ny-10016/281937956250376981/","172 Madison Ave")</f>
        <v>172 Madison Ave</v>
      </c>
      <c r="C4267" s="1" t="s">
        <v>120</v>
      </c>
      <c r="D4267" s="1" t="s">
        <v>41</v>
      </c>
      <c r="E4267" s="3">
        <v>1425550</v>
      </c>
      <c r="F4267" s="1">
        <v>1599.94388327721</v>
      </c>
      <c r="G4267" s="1">
        <v>3</v>
      </c>
      <c r="H4267" s="1">
        <v>1</v>
      </c>
      <c r="I4267" s="1">
        <v>2</v>
      </c>
      <c r="J4267" s="1">
        <v>1.5</v>
      </c>
      <c r="M4267" s="1">
        <v>891</v>
      </c>
      <c r="N4267" s="1">
        <v>1332</v>
      </c>
      <c r="O4267" s="1">
        <v>1952</v>
      </c>
      <c r="P4267" s="1">
        <v>620</v>
      </c>
      <c r="Q4267" s="1" t="s">
        <v>42</v>
      </c>
      <c r="S4267" s="1" t="s">
        <v>42</v>
      </c>
      <c r="T4267" s="1" t="s">
        <v>273</v>
      </c>
      <c r="U4267" s="1">
        <v>2</v>
      </c>
      <c r="V4267" s="5">
        <v>43668</v>
      </c>
      <c r="W4267" s="5">
        <v>42180</v>
      </c>
      <c r="X4267" s="1">
        <v>1425000</v>
      </c>
      <c r="Y4267" s="1">
        <v>1800000</v>
      </c>
      <c r="Z4267" s="5">
        <v>42182</v>
      </c>
      <c r="AA4267" s="1">
        <v>1425550</v>
      </c>
      <c r="AB4267" s="1" t="s">
        <v>275</v>
      </c>
      <c r="AC4267" s="5">
        <v>42950</v>
      </c>
      <c r="AF4267" s="1">
        <v>10016</v>
      </c>
      <c r="AJ4267" s="1">
        <v>2016</v>
      </c>
      <c r="AK4267" s="1" t="s">
        <v>46</v>
      </c>
      <c r="AL4267" s="1">
        <v>72</v>
      </c>
    </row>
    <row r="4268" spans="1:38" x14ac:dyDescent="0.2">
      <c r="A4268" s="2" t="str">
        <f>HYPERLINK("https://www.compass.com/listing/172-madison-avenue-unit-10c-manhattan-ny-10016/29376706942917489/","172 Madison Ave, Unit 10C")</f>
        <v>172 Madison Ave, Unit 10C</v>
      </c>
      <c r="B4268" s="2" t="str">
        <f t="shared" si="728"/>
        <v>172 Madison Ave</v>
      </c>
      <c r="C4268" s="1" t="s">
        <v>120</v>
      </c>
      <c r="D4268" s="1" t="s">
        <v>41</v>
      </c>
      <c r="E4268" s="3">
        <v>1578288</v>
      </c>
      <c r="F4268" s="1">
        <v>1771.3670033670001</v>
      </c>
      <c r="G4268" s="1">
        <v>3</v>
      </c>
      <c r="H4268" s="1">
        <v>1</v>
      </c>
      <c r="I4268" s="1">
        <v>2</v>
      </c>
      <c r="J4268" s="1">
        <v>1.5</v>
      </c>
      <c r="M4268" s="1">
        <v>891</v>
      </c>
      <c r="N4268" s="1">
        <v>1332</v>
      </c>
      <c r="O4268" s="1">
        <v>1952</v>
      </c>
      <c r="P4268" s="1">
        <v>620</v>
      </c>
      <c r="Q4268" s="1" t="s">
        <v>42</v>
      </c>
      <c r="S4268" s="1" t="s">
        <v>42</v>
      </c>
      <c r="T4268" s="1" t="s">
        <v>273</v>
      </c>
      <c r="U4268" s="1">
        <v>7</v>
      </c>
      <c r="V4268" s="5">
        <v>43631</v>
      </c>
      <c r="W4268" s="5">
        <v>42293</v>
      </c>
      <c r="X4268" s="1">
        <v>1550000</v>
      </c>
      <c r="Y4268" s="1">
        <v>1825000</v>
      </c>
      <c r="Z4268" s="5">
        <v>42300</v>
      </c>
      <c r="AA4268" s="1">
        <v>1578288</v>
      </c>
      <c r="AB4268" s="1" t="s">
        <v>2979</v>
      </c>
      <c r="AC4268" s="5">
        <v>42900</v>
      </c>
      <c r="AF4268" s="1">
        <v>10016</v>
      </c>
      <c r="AJ4268" s="1">
        <v>2016</v>
      </c>
      <c r="AK4268" s="1" t="s">
        <v>46</v>
      </c>
      <c r="AL4268" s="1">
        <v>72</v>
      </c>
    </row>
    <row r="4269" spans="1:38" x14ac:dyDescent="0.2">
      <c r="A4269" s="2" t="str">
        <f>HYPERLINK("https://www.compass.com/listing/172-madison-avenue-unit-11c-manhattan-ny-10016/29376707773389185/","172 Madison Ave, Unit 11C")</f>
        <v>172 Madison Ave, Unit 11C</v>
      </c>
      <c r="B4269" s="2" t="str">
        <f t="shared" si="728"/>
        <v>172 Madison Ave</v>
      </c>
      <c r="C4269" s="1" t="s">
        <v>120</v>
      </c>
      <c r="D4269" s="1" t="s">
        <v>41</v>
      </c>
      <c r="E4269" s="3">
        <v>1570905</v>
      </c>
      <c r="F4269" s="1">
        <v>1763.0810213243501</v>
      </c>
      <c r="G4269" s="1">
        <v>3</v>
      </c>
      <c r="H4269" s="1">
        <v>1</v>
      </c>
      <c r="I4269" s="1">
        <v>2</v>
      </c>
      <c r="J4269" s="1">
        <v>1.5</v>
      </c>
      <c r="M4269" s="1">
        <v>891</v>
      </c>
      <c r="N4269" s="1">
        <v>1332</v>
      </c>
      <c r="O4269" s="1">
        <v>1952</v>
      </c>
      <c r="P4269" s="1">
        <v>620</v>
      </c>
      <c r="Q4269" s="1" t="s">
        <v>42</v>
      </c>
      <c r="S4269" s="1" t="s">
        <v>42</v>
      </c>
      <c r="T4269" s="1" t="s">
        <v>273</v>
      </c>
      <c r="V4269" s="5">
        <v>42965</v>
      </c>
      <c r="W4269" s="5">
        <v>42286</v>
      </c>
      <c r="X4269" s="1">
        <v>1575000</v>
      </c>
      <c r="Y4269" s="1">
        <v>1850000</v>
      </c>
      <c r="Z4269" s="5">
        <v>42286</v>
      </c>
      <c r="AA4269" s="1">
        <v>1570905.19</v>
      </c>
      <c r="AB4269" s="1" t="s">
        <v>2980</v>
      </c>
      <c r="AC4269" s="5">
        <v>42928</v>
      </c>
      <c r="AF4269" s="1">
        <v>10016</v>
      </c>
      <c r="AJ4269" s="1">
        <v>2016</v>
      </c>
      <c r="AK4269" s="1" t="s">
        <v>46</v>
      </c>
      <c r="AL4269" s="1">
        <v>72</v>
      </c>
    </row>
    <row r="4270" spans="1:38" x14ac:dyDescent="0.2">
      <c r="A4270" s="2" t="str">
        <f>HYPERLINK("https://www.compass.com/listing/172-madison-avenue-unit-12c-manhattan-ny-10016/29376708704599281/","172 Madison Ave, Unit 12C")</f>
        <v>172 Madison Ave, Unit 12C</v>
      </c>
      <c r="B4270" s="2" t="str">
        <f t="shared" si="728"/>
        <v>172 Madison Ave</v>
      </c>
      <c r="C4270" s="1" t="s">
        <v>120</v>
      </c>
      <c r="D4270" s="1" t="s">
        <v>41</v>
      </c>
      <c r="E4270" s="3">
        <v>1924493</v>
      </c>
      <c r="F4270" s="1">
        <v>2159.9248035914702</v>
      </c>
      <c r="G4270" s="1">
        <v>3</v>
      </c>
      <c r="H4270" s="1">
        <v>1</v>
      </c>
      <c r="I4270" s="1">
        <v>2</v>
      </c>
      <c r="J4270" s="1">
        <v>1.5</v>
      </c>
      <c r="M4270" s="1">
        <v>891</v>
      </c>
      <c r="N4270" s="1">
        <v>1331</v>
      </c>
      <c r="O4270" s="1">
        <v>1951</v>
      </c>
      <c r="P4270" s="1">
        <v>620</v>
      </c>
      <c r="Q4270" s="1" t="s">
        <v>42</v>
      </c>
      <c r="S4270" s="1" t="s">
        <v>42</v>
      </c>
      <c r="T4270" s="1" t="s">
        <v>273</v>
      </c>
      <c r="U4270" s="1">
        <v>160</v>
      </c>
      <c r="V4270" s="5">
        <v>43662</v>
      </c>
      <c r="W4270" s="5">
        <v>42403</v>
      </c>
      <c r="X4270" s="1">
        <v>1875000</v>
      </c>
      <c r="Y4270" s="1">
        <v>1875000</v>
      </c>
      <c r="Z4270" s="5">
        <v>42563</v>
      </c>
      <c r="AA4270" s="1">
        <v>1924493</v>
      </c>
      <c r="AB4270" s="1" t="s">
        <v>2981</v>
      </c>
      <c r="AC4270" s="5">
        <v>42895</v>
      </c>
      <c r="AF4270" s="1">
        <v>10016</v>
      </c>
      <c r="AJ4270" s="1">
        <v>2016</v>
      </c>
      <c r="AK4270" s="1" t="s">
        <v>46</v>
      </c>
      <c r="AL4270" s="1">
        <v>72</v>
      </c>
    </row>
    <row r="4271" spans="1:38" x14ac:dyDescent="0.2">
      <c r="A4271" s="2" t="str">
        <f>HYPERLINK("https://www.compass.com/listing/172-madison-avenue-unit-15c-manhattan-ny-10016/29376710717791169/","172 Madison Ave, Unit 15C")</f>
        <v>172 Madison Ave, Unit 15C</v>
      </c>
      <c r="B4271" s="2" t="str">
        <f t="shared" si="728"/>
        <v>172 Madison Ave</v>
      </c>
      <c r="C4271" s="1" t="s">
        <v>120</v>
      </c>
      <c r="D4271" s="1" t="s">
        <v>41</v>
      </c>
      <c r="E4271" s="3">
        <v>1685204</v>
      </c>
      <c r="F4271" s="1">
        <v>1891.3625140291799</v>
      </c>
      <c r="G4271" s="1">
        <v>3</v>
      </c>
      <c r="H4271" s="1">
        <v>1</v>
      </c>
      <c r="I4271" s="1">
        <v>2</v>
      </c>
      <c r="J4271" s="1">
        <v>1.5</v>
      </c>
      <c r="M4271" s="1">
        <v>891</v>
      </c>
      <c r="N4271" s="1">
        <v>1332</v>
      </c>
      <c r="O4271" s="1">
        <v>1952</v>
      </c>
      <c r="P4271" s="1">
        <v>620</v>
      </c>
      <c r="Q4271" s="1" t="s">
        <v>42</v>
      </c>
      <c r="S4271" s="1" t="s">
        <v>42</v>
      </c>
      <c r="T4271" s="1" t="s">
        <v>273</v>
      </c>
      <c r="U4271" s="1">
        <v>105</v>
      </c>
      <c r="V4271" s="5">
        <v>43662</v>
      </c>
      <c r="W4271" s="5">
        <v>42151</v>
      </c>
      <c r="X4271" s="1">
        <v>1655000</v>
      </c>
      <c r="Y4271" s="1">
        <v>1950000</v>
      </c>
      <c r="Z4271" s="5">
        <v>42256</v>
      </c>
      <c r="AA4271" s="1">
        <v>1685204</v>
      </c>
      <c r="AB4271" s="1" t="s">
        <v>2982</v>
      </c>
      <c r="AC4271" s="5">
        <v>42888</v>
      </c>
      <c r="AF4271" s="1">
        <v>10016</v>
      </c>
      <c r="AJ4271" s="1">
        <v>2016</v>
      </c>
      <c r="AK4271" s="1" t="s">
        <v>46</v>
      </c>
      <c r="AL4271" s="1">
        <v>72</v>
      </c>
    </row>
    <row r="4272" spans="1:38" x14ac:dyDescent="0.2">
      <c r="A4272" s="2" t="str">
        <f>HYPERLINK("https://www.compass.com/listing/325-lexington-avenue-unit-16d-manhattan-ny-10016/29379710274315153/","325 Lexington Ave, Unit 16D")</f>
        <v>325 Lexington Ave, Unit 16D</v>
      </c>
      <c r="B4272" s="2" t="str">
        <f t="shared" ref="B4272:B4273" si="729">HYPERLINK("https://www.compass.com/building/325-lex-condominium-manhattan-ny/281939882467713365/","325 Lex Condominium")</f>
        <v>325 Lex Condominium</v>
      </c>
      <c r="C4272" s="1" t="s">
        <v>59</v>
      </c>
      <c r="D4272" s="1" t="s">
        <v>41</v>
      </c>
      <c r="E4272" s="3">
        <v>1323725</v>
      </c>
      <c r="F4272" s="1">
        <v>1755.60344827586</v>
      </c>
      <c r="G4272" s="1">
        <v>3</v>
      </c>
      <c r="H4272" s="1">
        <v>1</v>
      </c>
      <c r="I4272" s="1">
        <v>1</v>
      </c>
      <c r="J4272" s="1">
        <v>1</v>
      </c>
      <c r="K4272" s="1">
        <v>1</v>
      </c>
      <c r="M4272" s="1">
        <v>754</v>
      </c>
      <c r="N4272" s="1">
        <v>1060</v>
      </c>
      <c r="O4272" s="1">
        <v>1291</v>
      </c>
      <c r="P4272" s="1">
        <v>231</v>
      </c>
      <c r="Q4272" s="1" t="s">
        <v>42</v>
      </c>
      <c r="S4272" s="1" t="s">
        <v>42</v>
      </c>
      <c r="T4272" s="1" t="s">
        <v>273</v>
      </c>
      <c r="V4272" s="5">
        <v>43654</v>
      </c>
      <c r="W4272" s="5">
        <v>41951</v>
      </c>
      <c r="X4272" s="1">
        <v>1350000</v>
      </c>
      <c r="Y4272" s="1">
        <v>1350000</v>
      </c>
      <c r="Z4272" s="5">
        <v>41951</v>
      </c>
      <c r="AA4272" s="1">
        <v>1323725</v>
      </c>
      <c r="AB4272" s="1" t="s">
        <v>2983</v>
      </c>
      <c r="AC4272" s="5">
        <v>42047</v>
      </c>
      <c r="AF4272" s="1">
        <v>10016</v>
      </c>
      <c r="AI4272" s="1" t="s">
        <v>60</v>
      </c>
      <c r="AJ4272" s="1">
        <v>2014</v>
      </c>
      <c r="AK4272" s="1" t="s">
        <v>108</v>
      </c>
      <c r="AL4272" s="1">
        <v>125</v>
      </c>
    </row>
    <row r="4273" spans="1:38" x14ac:dyDescent="0.2">
      <c r="A4273" s="2" t="str">
        <f>HYPERLINK("https://www.compass.com/listing/325-lexington-avenue-unit-23d-manhattan-ny-10016/29379725449251697/","325 Lexington Ave, Unit 23D")</f>
        <v>325 Lexington Ave, Unit 23D</v>
      </c>
      <c r="B4273" s="2" t="str">
        <f t="shared" si="729"/>
        <v>325 Lex Condominium</v>
      </c>
      <c r="C4273" s="1" t="s">
        <v>59</v>
      </c>
      <c r="D4273" s="1" t="s">
        <v>41</v>
      </c>
      <c r="E4273" s="3">
        <v>1313543</v>
      </c>
      <c r="F4273" s="1">
        <v>2042.8351477449401</v>
      </c>
      <c r="G4273" s="1">
        <v>3</v>
      </c>
      <c r="H4273" s="1">
        <v>1</v>
      </c>
      <c r="I4273" s="1">
        <v>1</v>
      </c>
      <c r="J4273" s="1">
        <v>1</v>
      </c>
      <c r="K4273" s="1">
        <v>1</v>
      </c>
      <c r="M4273" s="1">
        <v>643</v>
      </c>
      <c r="N4273" s="1">
        <v>934</v>
      </c>
      <c r="O4273" s="1">
        <v>1137</v>
      </c>
      <c r="P4273" s="1">
        <v>203</v>
      </c>
      <c r="Q4273" s="1" t="s">
        <v>42</v>
      </c>
      <c r="S4273" s="1" t="s">
        <v>42</v>
      </c>
      <c r="T4273" s="1" t="s">
        <v>273</v>
      </c>
      <c r="V4273" s="5">
        <v>43654</v>
      </c>
      <c r="W4273" s="5">
        <v>42018</v>
      </c>
      <c r="X4273" s="1">
        <v>1290000</v>
      </c>
      <c r="Y4273" s="1">
        <v>1290000</v>
      </c>
      <c r="Z4273" s="5">
        <v>42018</v>
      </c>
      <c r="AA4273" s="1">
        <v>1313543</v>
      </c>
      <c r="AB4273" s="1" t="s">
        <v>2984</v>
      </c>
      <c r="AC4273" s="5">
        <v>42083</v>
      </c>
      <c r="AF4273" s="1">
        <v>10016</v>
      </c>
      <c r="AI4273" s="1" t="s">
        <v>60</v>
      </c>
      <c r="AJ4273" s="1">
        <v>2014</v>
      </c>
      <c r="AK4273" s="1" t="s">
        <v>108</v>
      </c>
      <c r="AL4273" s="1">
        <v>125</v>
      </c>
    </row>
    <row r="4274" spans="1:38" x14ac:dyDescent="0.2">
      <c r="A4274" s="2" t="str">
        <f>HYPERLINK("https://www.compass.com/listing/416-west-52nd-street-unit-ph824-manhattan-ny-10019/29389291247490657/","416 W 52nd St, Unit PH824")</f>
        <v>416 W 52nd St, Unit PH824</v>
      </c>
      <c r="B4274" s="2" t="str">
        <f>HYPERLINK("https://www.compass.com/building/nine52-manhattan-ny/281945622951555813/","Nine52")</f>
        <v>Nine52</v>
      </c>
      <c r="C4274" s="1" t="s">
        <v>90</v>
      </c>
      <c r="D4274" s="1" t="s">
        <v>41</v>
      </c>
      <c r="E4274" s="3">
        <v>2170000</v>
      </c>
      <c r="F4274" s="1">
        <v>2092.5747348119498</v>
      </c>
      <c r="G4274" s="1">
        <v>4</v>
      </c>
      <c r="H4274" s="1">
        <v>2</v>
      </c>
      <c r="I4274" s="1">
        <v>2</v>
      </c>
      <c r="J4274" s="1">
        <v>2</v>
      </c>
      <c r="K4274" s="1">
        <v>2</v>
      </c>
      <c r="M4274" s="4">
        <v>1037</v>
      </c>
      <c r="N4274" s="1">
        <v>1297</v>
      </c>
      <c r="O4274" s="1">
        <v>3526</v>
      </c>
      <c r="P4274" s="1">
        <v>2229</v>
      </c>
      <c r="Q4274" s="1" t="s">
        <v>42</v>
      </c>
      <c r="S4274" s="1" t="s">
        <v>42</v>
      </c>
      <c r="T4274" s="1" t="s">
        <v>273</v>
      </c>
      <c r="U4274" s="1">
        <v>46</v>
      </c>
      <c r="V4274" s="5">
        <v>43649</v>
      </c>
      <c r="W4274" s="5">
        <v>42973</v>
      </c>
      <c r="X4274" s="1">
        <v>2500000</v>
      </c>
      <c r="Y4274" s="1">
        <v>2500000</v>
      </c>
      <c r="Z4274" s="5">
        <v>43043</v>
      </c>
      <c r="AA4274" s="1">
        <v>2170000</v>
      </c>
      <c r="AB4274" s="1" t="s">
        <v>2985</v>
      </c>
      <c r="AC4274" s="5">
        <v>43139</v>
      </c>
      <c r="AF4274" s="1">
        <v>10019</v>
      </c>
      <c r="AI4274" s="1" t="s">
        <v>211</v>
      </c>
      <c r="AJ4274" s="1">
        <v>1940</v>
      </c>
      <c r="AK4274" s="1" t="s">
        <v>108</v>
      </c>
      <c r="AL4274" s="1">
        <v>155</v>
      </c>
    </row>
    <row r="4275" spans="1:38" x14ac:dyDescent="0.2">
      <c r="A4275" s="2" t="str">
        <f>HYPERLINK("https://www.compass.com/listing/325-lexington-avenue-unit-16a-manhattan-ny-10016/29379708672096657/","325 Lexington Ave, Unit 16A")</f>
        <v>325 Lexington Ave, Unit 16A</v>
      </c>
      <c r="B4275" s="2" t="str">
        <f t="shared" ref="B4275:B4281" si="730">HYPERLINK("https://www.compass.com/building/325-lex-condominium-manhattan-ny/281939882467713365/","325 Lex Condominium")</f>
        <v>325 Lex Condominium</v>
      </c>
      <c r="C4275" s="1" t="s">
        <v>59</v>
      </c>
      <c r="D4275" s="1" t="s">
        <v>41</v>
      </c>
      <c r="E4275" s="3">
        <v>1323725</v>
      </c>
      <c r="F4275" s="1">
        <v>2058.6702954898901</v>
      </c>
      <c r="G4275" s="1">
        <v>3</v>
      </c>
      <c r="H4275" s="1">
        <v>1</v>
      </c>
      <c r="I4275" s="1">
        <v>1</v>
      </c>
      <c r="J4275" s="1">
        <v>1</v>
      </c>
      <c r="K4275" s="1">
        <v>1</v>
      </c>
      <c r="M4275" s="1">
        <v>643</v>
      </c>
      <c r="N4275" s="1">
        <v>904</v>
      </c>
      <c r="O4275" s="1">
        <v>1101</v>
      </c>
      <c r="P4275" s="1">
        <v>197</v>
      </c>
      <c r="Q4275" s="1" t="s">
        <v>42</v>
      </c>
      <c r="S4275" s="1" t="s">
        <v>42</v>
      </c>
      <c r="T4275" s="1" t="s">
        <v>273</v>
      </c>
      <c r="V4275" s="5">
        <v>43668</v>
      </c>
      <c r="W4275" s="5">
        <v>42125</v>
      </c>
      <c r="X4275" s="1">
        <v>1300000</v>
      </c>
      <c r="Y4275" s="1">
        <v>1300000</v>
      </c>
      <c r="Z4275" s="5">
        <v>42125</v>
      </c>
      <c r="AA4275" s="1">
        <v>1323725</v>
      </c>
      <c r="AB4275" s="1" t="s">
        <v>2986</v>
      </c>
      <c r="AC4275" s="5">
        <v>42208</v>
      </c>
      <c r="AF4275" s="1">
        <v>10016</v>
      </c>
      <c r="AI4275" s="1" t="s">
        <v>60</v>
      </c>
      <c r="AJ4275" s="1">
        <v>2014</v>
      </c>
      <c r="AK4275" s="1" t="s">
        <v>108</v>
      </c>
      <c r="AL4275" s="1">
        <v>125</v>
      </c>
    </row>
    <row r="4276" spans="1:38" x14ac:dyDescent="0.2">
      <c r="A4276" s="2" t="str">
        <f>HYPERLINK("https://www.compass.com/listing/325-lexington-avenue-unit-17a-manhattan-ny-10016/29379711306119601/","325 Lexington Ave, Unit 17A")</f>
        <v>325 Lexington Ave, Unit 17A</v>
      </c>
      <c r="B4276" s="2" t="str">
        <f t="shared" si="730"/>
        <v>325 Lex Condominium</v>
      </c>
      <c r="C4276" s="1" t="s">
        <v>59</v>
      </c>
      <c r="D4276" s="1" t="s">
        <v>41</v>
      </c>
      <c r="E4276" s="3">
        <v>1349181</v>
      </c>
      <c r="F4276" s="1">
        <v>2098.2601088646902</v>
      </c>
      <c r="G4276" s="1">
        <v>2</v>
      </c>
      <c r="H4276" s="1">
        <v>1</v>
      </c>
      <c r="I4276" s="1">
        <v>1</v>
      </c>
      <c r="J4276" s="1">
        <v>1</v>
      </c>
      <c r="K4276" s="1">
        <v>1</v>
      </c>
      <c r="M4276" s="1">
        <v>643</v>
      </c>
      <c r="N4276" s="1">
        <v>908</v>
      </c>
      <c r="O4276" s="1">
        <v>1106</v>
      </c>
      <c r="P4276" s="1">
        <v>198</v>
      </c>
      <c r="Q4276" s="1" t="s">
        <v>42</v>
      </c>
      <c r="S4276" s="1" t="s">
        <v>42</v>
      </c>
      <c r="T4276" s="1" t="s">
        <v>273</v>
      </c>
      <c r="V4276" s="5">
        <v>42574</v>
      </c>
      <c r="W4276" s="5">
        <v>42110</v>
      </c>
      <c r="X4276" s="1">
        <v>1325000</v>
      </c>
      <c r="Y4276" s="1">
        <v>1325000</v>
      </c>
      <c r="Z4276" s="5">
        <v>42111</v>
      </c>
      <c r="AA4276" s="1">
        <v>1349181.25</v>
      </c>
      <c r="AB4276" s="1" t="s">
        <v>2987</v>
      </c>
      <c r="AC4276" s="5">
        <v>42164</v>
      </c>
      <c r="AF4276" s="1">
        <v>10016</v>
      </c>
      <c r="AI4276" s="1" t="s">
        <v>60</v>
      </c>
      <c r="AJ4276" s="1">
        <v>2014</v>
      </c>
      <c r="AK4276" s="1" t="s">
        <v>108</v>
      </c>
      <c r="AL4276" s="1">
        <v>125</v>
      </c>
    </row>
    <row r="4277" spans="1:38" x14ac:dyDescent="0.2">
      <c r="A4277" s="2" t="str">
        <f>HYPERLINK("https://www.compass.com/listing/325-lexington-avenue-unit-18a-manhattan-ny-10016/29379713478707857/","325 Lexington Ave, Unit 18A")</f>
        <v>325 Lexington Ave, Unit 18A</v>
      </c>
      <c r="B4277" s="2" t="str">
        <f t="shared" si="730"/>
        <v>325 Lex Condominium</v>
      </c>
      <c r="C4277" s="1" t="s">
        <v>59</v>
      </c>
      <c r="D4277" s="1" t="s">
        <v>41</v>
      </c>
      <c r="E4277" s="3">
        <v>1359364</v>
      </c>
      <c r="F4277" s="1">
        <v>2114.09603421461</v>
      </c>
      <c r="G4277" s="1">
        <v>3</v>
      </c>
      <c r="H4277" s="1">
        <v>1</v>
      </c>
      <c r="I4277" s="1">
        <v>1</v>
      </c>
      <c r="J4277" s="1">
        <v>1</v>
      </c>
      <c r="K4277" s="1">
        <v>1</v>
      </c>
      <c r="M4277" s="1">
        <v>643</v>
      </c>
      <c r="N4277" s="1">
        <v>912</v>
      </c>
      <c r="O4277" s="1">
        <v>1111</v>
      </c>
      <c r="P4277" s="1">
        <v>199</v>
      </c>
      <c r="Q4277" s="1" t="s">
        <v>42</v>
      </c>
      <c r="S4277" s="1" t="s">
        <v>42</v>
      </c>
      <c r="T4277" s="1" t="s">
        <v>273</v>
      </c>
      <c r="U4277" s="1">
        <v>32</v>
      </c>
      <c r="V4277" s="5">
        <v>42574</v>
      </c>
      <c r="W4277" s="5">
        <v>42110</v>
      </c>
      <c r="X4277" s="1">
        <v>1335000</v>
      </c>
      <c r="Y4277" s="1">
        <v>1335000</v>
      </c>
      <c r="Z4277" s="5">
        <v>42143</v>
      </c>
      <c r="AA4277" s="1">
        <v>1359363.75</v>
      </c>
      <c r="AB4277" s="1" t="s">
        <v>2970</v>
      </c>
      <c r="AC4277" s="5">
        <v>42172</v>
      </c>
      <c r="AF4277" s="1">
        <v>10016</v>
      </c>
      <c r="AI4277" s="1" t="s">
        <v>2087</v>
      </c>
      <c r="AJ4277" s="1">
        <v>2014</v>
      </c>
      <c r="AK4277" s="1" t="s">
        <v>108</v>
      </c>
      <c r="AL4277" s="1">
        <v>125</v>
      </c>
    </row>
    <row r="4278" spans="1:38" x14ac:dyDescent="0.2">
      <c r="A4278" s="2" t="str">
        <f>HYPERLINK("https://www.compass.com/listing/325-lexington-avenue-unit-20a-manhattan-ny-10016/29379718352550433/","325 Lexington Ave, Unit 20A")</f>
        <v>325 Lexington Ave, Unit 20A</v>
      </c>
      <c r="B4278" s="2" t="str">
        <f t="shared" si="730"/>
        <v>325 Lex Condominium</v>
      </c>
      <c r="C4278" s="1" t="s">
        <v>59</v>
      </c>
      <c r="D4278" s="1" t="s">
        <v>41</v>
      </c>
      <c r="E4278" s="3">
        <v>1379729</v>
      </c>
      <c r="F4278" s="1">
        <v>2145.7682737169498</v>
      </c>
      <c r="G4278" s="1">
        <v>3</v>
      </c>
      <c r="H4278" s="1">
        <v>1</v>
      </c>
      <c r="I4278" s="1">
        <v>1</v>
      </c>
      <c r="J4278" s="1">
        <v>1</v>
      </c>
      <c r="K4278" s="1">
        <v>1</v>
      </c>
      <c r="M4278" s="1">
        <v>643</v>
      </c>
      <c r="N4278" s="1">
        <v>921</v>
      </c>
      <c r="O4278" s="1">
        <v>3326</v>
      </c>
      <c r="P4278" s="1">
        <v>2405</v>
      </c>
      <c r="Q4278" s="1" t="s">
        <v>42</v>
      </c>
      <c r="S4278" s="1" t="s">
        <v>42</v>
      </c>
      <c r="T4278" s="1" t="s">
        <v>273</v>
      </c>
      <c r="V4278" s="5">
        <v>43651</v>
      </c>
      <c r="W4278" s="5">
        <v>42188</v>
      </c>
      <c r="X4278" s="1">
        <v>1375000</v>
      </c>
      <c r="Y4278" s="1">
        <v>1375000</v>
      </c>
      <c r="Z4278" s="5">
        <v>42188</v>
      </c>
      <c r="AA4278" s="1">
        <v>1379729</v>
      </c>
      <c r="AB4278" s="1" t="s">
        <v>2988</v>
      </c>
      <c r="AC4278" s="5">
        <v>42213</v>
      </c>
      <c r="AF4278" s="1">
        <v>10016</v>
      </c>
      <c r="AI4278" s="1" t="s">
        <v>60</v>
      </c>
      <c r="AJ4278" s="1">
        <v>2014</v>
      </c>
      <c r="AK4278" s="1" t="s">
        <v>108</v>
      </c>
      <c r="AL4278" s="1">
        <v>125</v>
      </c>
    </row>
    <row r="4279" spans="1:38" x14ac:dyDescent="0.2">
      <c r="A4279" s="2" t="str">
        <f>HYPERLINK("https://www.compass.com/listing/325-lexington-avenue-unit-21a-manhattan-ny-10016/29379720424475409/","325 Lexington Ave, Unit 21A")</f>
        <v>325 Lexington Ave, Unit 21A</v>
      </c>
      <c r="B4279" s="2" t="str">
        <f t="shared" si="730"/>
        <v>325 Lex Condominium</v>
      </c>
      <c r="C4279" s="1" t="s">
        <v>59</v>
      </c>
      <c r="D4279" s="1" t="s">
        <v>41</v>
      </c>
      <c r="E4279" s="3">
        <v>1420459</v>
      </c>
      <c r="F4279" s="1">
        <v>2209.1115863141499</v>
      </c>
      <c r="G4279" s="1">
        <v>3</v>
      </c>
      <c r="H4279" s="1">
        <v>1</v>
      </c>
      <c r="I4279" s="1">
        <v>1</v>
      </c>
      <c r="J4279" s="1">
        <v>1</v>
      </c>
      <c r="K4279" s="1">
        <v>1</v>
      </c>
      <c r="M4279" s="1">
        <v>643</v>
      </c>
      <c r="N4279" s="1">
        <v>925</v>
      </c>
      <c r="O4279" s="1">
        <v>1126</v>
      </c>
      <c r="P4279" s="1">
        <v>201</v>
      </c>
      <c r="Q4279" s="1" t="s">
        <v>42</v>
      </c>
      <c r="S4279" s="1" t="s">
        <v>42</v>
      </c>
      <c r="T4279" s="1" t="s">
        <v>273</v>
      </c>
      <c r="V4279" s="5">
        <v>43606</v>
      </c>
      <c r="W4279" s="5">
        <v>42165</v>
      </c>
      <c r="X4279" s="1">
        <v>1395000</v>
      </c>
      <c r="Y4279" s="1">
        <v>1395000</v>
      </c>
      <c r="Z4279" s="5">
        <v>42166</v>
      </c>
      <c r="AA4279" s="1">
        <v>1420458.75</v>
      </c>
      <c r="AB4279" s="1" t="s">
        <v>2989</v>
      </c>
      <c r="AC4279" s="5">
        <v>42216</v>
      </c>
      <c r="AF4279" s="1">
        <v>10016</v>
      </c>
      <c r="AI4279" s="1" t="s">
        <v>60</v>
      </c>
      <c r="AJ4279" s="1">
        <v>2014</v>
      </c>
      <c r="AK4279" s="1" t="s">
        <v>108</v>
      </c>
      <c r="AL4279" s="1">
        <v>125</v>
      </c>
    </row>
    <row r="4280" spans="1:38" x14ac:dyDescent="0.2">
      <c r="A4280" s="2" t="str">
        <f>HYPERLINK("https://www.compass.com/listing/325-lexington-avenue-unit-18e-manhattan-ny-10016/784047653808246921/","325 Lexington Ave, Unit 18E")</f>
        <v>325 Lexington Ave, Unit 18E</v>
      </c>
      <c r="B4280" s="2" t="str">
        <f t="shared" si="730"/>
        <v>325 Lex Condominium</v>
      </c>
      <c r="C4280" s="1" t="s">
        <v>59</v>
      </c>
      <c r="D4280" s="1" t="s">
        <v>41</v>
      </c>
      <c r="E4280" s="3">
        <v>1316543</v>
      </c>
      <c r="F4280" s="1">
        <v>2041.1513178294499</v>
      </c>
      <c r="G4280" s="1">
        <v>3</v>
      </c>
      <c r="H4280" s="1">
        <v>1</v>
      </c>
      <c r="I4280" s="1">
        <v>1</v>
      </c>
      <c r="J4280" s="1">
        <v>1</v>
      </c>
      <c r="K4280" s="1">
        <v>1</v>
      </c>
      <c r="M4280" s="1">
        <v>645</v>
      </c>
      <c r="N4280" s="1">
        <v>915</v>
      </c>
      <c r="O4280" s="1">
        <v>1114</v>
      </c>
      <c r="P4280" s="1">
        <v>199</v>
      </c>
      <c r="Q4280" s="1" t="s">
        <v>42</v>
      </c>
      <c r="S4280" s="1" t="s">
        <v>42</v>
      </c>
      <c r="T4280" s="1" t="s">
        <v>273</v>
      </c>
      <c r="U4280" s="1">
        <v>201</v>
      </c>
      <c r="V4280" s="5">
        <v>42998</v>
      </c>
      <c r="W4280" s="5">
        <v>42165</v>
      </c>
      <c r="X4280" s="1">
        <v>1290000</v>
      </c>
      <c r="Y4280" s="1">
        <v>1290000</v>
      </c>
      <c r="AA4280" s="1">
        <v>1316542.6000000001</v>
      </c>
      <c r="AB4280" s="1" t="s">
        <v>389</v>
      </c>
      <c r="AC4280" s="5">
        <v>42467</v>
      </c>
      <c r="AF4280" s="1">
        <v>10016</v>
      </c>
      <c r="AI4280" s="1" t="s">
        <v>205</v>
      </c>
      <c r="AJ4280" s="1">
        <v>2014</v>
      </c>
      <c r="AK4280" s="1" t="s">
        <v>108</v>
      </c>
      <c r="AL4280" s="1">
        <v>125</v>
      </c>
    </row>
    <row r="4281" spans="1:38" x14ac:dyDescent="0.2">
      <c r="A4281" s="2" t="str">
        <f>HYPERLINK("https://www.compass.com/listing/325-lexington-avenue-unit-17a-manhattan-ny-10016/803311809007993257/","325 Lexington Ave, Unit 17A")</f>
        <v>325 Lexington Ave, Unit 17A</v>
      </c>
      <c r="B4281" s="2" t="str">
        <f t="shared" si="730"/>
        <v>325 Lex Condominium</v>
      </c>
      <c r="C4281" s="1" t="s">
        <v>59</v>
      </c>
      <c r="D4281" s="1" t="s">
        <v>41</v>
      </c>
      <c r="E4281" s="3">
        <v>1349181</v>
      </c>
      <c r="F4281" s="1">
        <v>2098.2601088646902</v>
      </c>
      <c r="G4281" s="1">
        <v>3</v>
      </c>
      <c r="H4281" s="1">
        <v>1</v>
      </c>
      <c r="I4281" s="1">
        <v>1</v>
      </c>
      <c r="J4281" s="1">
        <v>1</v>
      </c>
      <c r="K4281" s="1">
        <v>1</v>
      </c>
      <c r="M4281" s="1">
        <v>643</v>
      </c>
      <c r="Q4281" s="1" t="s">
        <v>42</v>
      </c>
      <c r="S4281" s="1" t="s">
        <v>42</v>
      </c>
      <c r="T4281" s="1" t="s">
        <v>273</v>
      </c>
      <c r="U4281" s="1">
        <v>122</v>
      </c>
      <c r="V4281" s="5">
        <v>42993</v>
      </c>
      <c r="W4281" s="5">
        <v>41988</v>
      </c>
      <c r="AA4281" s="1">
        <v>1349181.25</v>
      </c>
      <c r="AB4281" s="1" t="s">
        <v>2987</v>
      </c>
      <c r="AC4281" s="5">
        <v>42164</v>
      </c>
      <c r="AF4281" s="1">
        <v>10016</v>
      </c>
      <c r="AI4281" s="1" t="s">
        <v>60</v>
      </c>
      <c r="AJ4281" s="1">
        <v>2014</v>
      </c>
      <c r="AK4281" s="1" t="s">
        <v>108</v>
      </c>
      <c r="AL4281" s="1">
        <v>125</v>
      </c>
    </row>
    <row r="4282" spans="1:38" x14ac:dyDescent="0.2">
      <c r="A4282" s="2" t="str">
        <f>HYPERLINK("https://www.compass.com/listing/416-west-52nd-street-unit-326-manhattan-ny-10019/29389263791576273/","416 W 52nd St, Unit 326")</f>
        <v>416 W 52nd St, Unit 326</v>
      </c>
      <c r="B4282" s="2" t="str">
        <f t="shared" ref="B4282:B4283" si="731">HYPERLINK("https://www.compass.com/building/nine52-manhattan-ny/281945622951555813/","Nine52")</f>
        <v>Nine52</v>
      </c>
      <c r="C4282" s="1" t="s">
        <v>90</v>
      </c>
      <c r="D4282" s="1" t="s">
        <v>41</v>
      </c>
      <c r="E4282" s="3">
        <v>1440000</v>
      </c>
      <c r="F4282" s="1">
        <v>1456.0161779575301</v>
      </c>
      <c r="G4282" s="1">
        <v>5</v>
      </c>
      <c r="H4282" s="1">
        <v>2</v>
      </c>
      <c r="I4282" s="1">
        <v>2</v>
      </c>
      <c r="J4282" s="1">
        <v>2</v>
      </c>
      <c r="K4282" s="1">
        <v>2</v>
      </c>
      <c r="M4282" s="1">
        <v>989</v>
      </c>
      <c r="N4282" s="1">
        <v>674</v>
      </c>
      <c r="O4282" s="1">
        <v>1977</v>
      </c>
      <c r="P4282" s="1">
        <v>1303</v>
      </c>
      <c r="Q4282" s="1" t="s">
        <v>42</v>
      </c>
      <c r="S4282" s="1" t="s">
        <v>42</v>
      </c>
      <c r="T4282" s="1" t="s">
        <v>273</v>
      </c>
      <c r="U4282" s="1">
        <v>247</v>
      </c>
      <c r="V4282" s="5">
        <v>42787</v>
      </c>
      <c r="W4282" s="5">
        <v>42430</v>
      </c>
      <c r="X4282" s="1">
        <v>1572000</v>
      </c>
      <c r="Y4282" s="1">
        <v>1498000</v>
      </c>
      <c r="Z4282" s="5">
        <v>42678</v>
      </c>
      <c r="AA4282" s="1">
        <v>1440000</v>
      </c>
      <c r="AB4282" s="1" t="s">
        <v>2990</v>
      </c>
      <c r="AC4282" s="5">
        <v>42782</v>
      </c>
      <c r="AF4282" s="1">
        <v>10019</v>
      </c>
      <c r="AI4282" s="1" t="s">
        <v>48</v>
      </c>
      <c r="AJ4282" s="1">
        <v>1940</v>
      </c>
      <c r="AK4282" s="1" t="s">
        <v>108</v>
      </c>
      <c r="AL4282" s="1">
        <v>155</v>
      </c>
    </row>
    <row r="4283" spans="1:38" x14ac:dyDescent="0.2">
      <c r="A4283" s="2" t="str">
        <f>HYPERLINK("https://www.compass.com/listing/416-west-52nd-street-unit-603-manhattan-ny-10019/4852307710714059921/","416 W 52nd St, Unit 603")</f>
        <v>416 W 52nd St, Unit 603</v>
      </c>
      <c r="B4283" s="2" t="str">
        <f t="shared" si="731"/>
        <v>Nine52</v>
      </c>
      <c r="C4283" s="1" t="s">
        <v>90</v>
      </c>
      <c r="D4283" s="1" t="s">
        <v>41</v>
      </c>
      <c r="E4283" s="3">
        <v>2395000</v>
      </c>
      <c r="F4283" s="1">
        <v>5000</v>
      </c>
      <c r="G4283" s="1">
        <v>2</v>
      </c>
      <c r="H4283" s="1" t="s">
        <v>99</v>
      </c>
      <c r="I4283" s="1">
        <v>1</v>
      </c>
      <c r="J4283" s="1">
        <v>1</v>
      </c>
      <c r="K4283" s="1">
        <v>1</v>
      </c>
      <c r="M4283" s="1">
        <v>479</v>
      </c>
      <c r="N4283" s="1">
        <v>398</v>
      </c>
      <c r="O4283" s="1">
        <v>1098</v>
      </c>
      <c r="P4283" s="1">
        <v>700</v>
      </c>
      <c r="Q4283" s="1" t="s">
        <v>42</v>
      </c>
      <c r="S4283" s="1" t="s">
        <v>42</v>
      </c>
      <c r="T4283" s="1" t="s">
        <v>273</v>
      </c>
      <c r="V4283" s="5">
        <v>43675</v>
      </c>
      <c r="W4283" s="5">
        <v>42443</v>
      </c>
      <c r="X4283" s="1">
        <v>847000</v>
      </c>
      <c r="Y4283" s="1">
        <v>847000</v>
      </c>
      <c r="Z4283" s="5">
        <v>42443</v>
      </c>
      <c r="AA4283" s="1">
        <v>862457.75</v>
      </c>
      <c r="AB4283" s="1" t="s">
        <v>2991</v>
      </c>
      <c r="AC4283" s="5">
        <v>43461</v>
      </c>
      <c r="AF4283" s="1">
        <v>10019</v>
      </c>
      <c r="AI4283" s="1" t="s">
        <v>48</v>
      </c>
      <c r="AJ4283" s="1">
        <v>1940</v>
      </c>
      <c r="AK4283" s="1" t="s">
        <v>108</v>
      </c>
      <c r="AL4283" s="1">
        <v>155</v>
      </c>
    </row>
    <row r="4284" spans="1:38" x14ac:dyDescent="0.2">
      <c r="A4284" s="2" t="str">
        <f>HYPERLINK("https://www.compass.com/listing/425-west-50th-street-unit-11c-manhattan-ny-10019/29389207604668721/","425 W 50th St, Unit 11C")</f>
        <v>425 W 50th St, Unit 11C</v>
      </c>
      <c r="B4284" s="2" t="str">
        <f t="shared" ref="B4284:B4288" si="732">HYPERLINK("https://www.compass.com/building/stella-tower-manhattan-ny/281945855710262181/","Stella Tower")</f>
        <v>Stella Tower</v>
      </c>
      <c r="C4284" s="1" t="s">
        <v>90</v>
      </c>
      <c r="D4284" s="1" t="s">
        <v>41</v>
      </c>
      <c r="E4284" s="3">
        <v>2300000</v>
      </c>
      <c r="F4284" s="1">
        <v>1872.9641693811</v>
      </c>
      <c r="G4284" s="1">
        <v>4</v>
      </c>
      <c r="H4284" s="1">
        <v>1</v>
      </c>
      <c r="I4284" s="1">
        <v>2</v>
      </c>
      <c r="J4284" s="1">
        <v>2</v>
      </c>
      <c r="K4284" s="1">
        <v>2</v>
      </c>
      <c r="M4284" s="4">
        <v>1228</v>
      </c>
      <c r="N4284" s="1">
        <v>1388</v>
      </c>
      <c r="O4284" s="1">
        <v>2943</v>
      </c>
      <c r="P4284" s="1">
        <v>1555</v>
      </c>
      <c r="Q4284" s="1" t="s">
        <v>42</v>
      </c>
      <c r="S4284" s="1" t="s">
        <v>42</v>
      </c>
      <c r="T4284" s="1" t="s">
        <v>273</v>
      </c>
      <c r="V4284" s="5">
        <v>44064</v>
      </c>
      <c r="W4284" s="5">
        <v>42957</v>
      </c>
      <c r="X4284" s="1">
        <v>2300000</v>
      </c>
      <c r="Y4284" s="1">
        <v>2300000</v>
      </c>
      <c r="Z4284" s="5">
        <v>42957</v>
      </c>
      <c r="AA4284" s="1">
        <v>2300000</v>
      </c>
      <c r="AB4284" s="1" t="s">
        <v>2992</v>
      </c>
      <c r="AC4284" s="5">
        <v>43193</v>
      </c>
      <c r="AF4284" s="1">
        <v>10019</v>
      </c>
      <c r="AI4284" s="1" t="s">
        <v>80</v>
      </c>
      <c r="AJ4284" s="1">
        <v>1930</v>
      </c>
      <c r="AK4284" s="1" t="s">
        <v>46</v>
      </c>
      <c r="AL4284" s="1">
        <v>51</v>
      </c>
    </row>
    <row r="4285" spans="1:38" x14ac:dyDescent="0.2">
      <c r="A4285" s="2" t="str">
        <f>HYPERLINK("https://www.compass.com/listing/425-west-50th-street-unit-12e-manhattan-ny-10019/29389214189726145/","425 W 50th St, Unit 12E")</f>
        <v>425 W 50th St, Unit 12E</v>
      </c>
      <c r="B4285" s="2" t="str">
        <f t="shared" si="732"/>
        <v>Stella Tower</v>
      </c>
      <c r="C4285" s="1" t="s">
        <v>90</v>
      </c>
      <c r="D4285" s="1" t="s">
        <v>41</v>
      </c>
      <c r="E4285" s="3">
        <v>1725934</v>
      </c>
      <c r="F4285" s="1">
        <v>1224.0664893617</v>
      </c>
      <c r="G4285" s="1">
        <v>3</v>
      </c>
      <c r="H4285" s="1">
        <v>1</v>
      </c>
      <c r="I4285" s="1">
        <v>2</v>
      </c>
      <c r="J4285" s="1">
        <v>2</v>
      </c>
      <c r="M4285" s="4">
        <v>1410</v>
      </c>
      <c r="N4285" s="1">
        <v>1597</v>
      </c>
      <c r="O4285" s="1">
        <v>2575</v>
      </c>
      <c r="P4285" s="1">
        <v>978</v>
      </c>
      <c r="Q4285" s="1" t="s">
        <v>42</v>
      </c>
      <c r="S4285" s="1" t="s">
        <v>42</v>
      </c>
      <c r="T4285" s="1" t="s">
        <v>273</v>
      </c>
      <c r="U4285" s="1">
        <v>132</v>
      </c>
      <c r="V4285" s="5">
        <v>42096</v>
      </c>
      <c r="W4285" s="5">
        <v>41859</v>
      </c>
      <c r="X4285" s="1">
        <v>1695000</v>
      </c>
      <c r="Y4285" s="1">
        <v>1695000</v>
      </c>
      <c r="AA4285" s="1">
        <v>1725933.75</v>
      </c>
      <c r="AB4285" s="1" t="s">
        <v>2993</v>
      </c>
      <c r="AC4285" s="5">
        <v>42089</v>
      </c>
      <c r="AF4285" s="1">
        <v>10019</v>
      </c>
      <c r="AI4285" s="1" t="s">
        <v>80</v>
      </c>
      <c r="AJ4285" s="1">
        <v>1930</v>
      </c>
      <c r="AK4285" s="1" t="s">
        <v>46</v>
      </c>
      <c r="AL4285" s="1">
        <v>51</v>
      </c>
    </row>
    <row r="4286" spans="1:38" x14ac:dyDescent="0.2">
      <c r="A4286" s="2" t="str">
        <f>HYPERLINK("https://www.compass.com/listing/425-west-50th-street-unit-15d-manhattan-ny-10019/29389222209235617/","425 W 50th St, Unit 15D")</f>
        <v>425 W 50th St, Unit 15D</v>
      </c>
      <c r="B4286" s="2" t="str">
        <f t="shared" si="732"/>
        <v>Stella Tower</v>
      </c>
      <c r="C4286" s="1" t="s">
        <v>90</v>
      </c>
      <c r="D4286" s="1" t="s">
        <v>41</v>
      </c>
      <c r="E4286" s="3">
        <v>2306336</v>
      </c>
      <c r="F4286" s="1">
        <v>1628.7683615819201</v>
      </c>
      <c r="G4286" s="1">
        <v>3</v>
      </c>
      <c r="H4286" s="1">
        <v>1</v>
      </c>
      <c r="I4286" s="1">
        <v>2</v>
      </c>
      <c r="J4286" s="1">
        <v>2</v>
      </c>
      <c r="M4286" s="4">
        <v>1416</v>
      </c>
      <c r="N4286" s="1">
        <v>1608</v>
      </c>
      <c r="O4286" s="1">
        <v>2592</v>
      </c>
      <c r="P4286" s="1">
        <v>984</v>
      </c>
      <c r="Q4286" s="1" t="s">
        <v>42</v>
      </c>
      <c r="S4286" s="1" t="s">
        <v>42</v>
      </c>
      <c r="T4286" s="1" t="s">
        <v>273</v>
      </c>
      <c r="U4286" s="1">
        <v>132</v>
      </c>
      <c r="V4286" s="5">
        <v>43670</v>
      </c>
      <c r="W4286" s="5">
        <v>41860</v>
      </c>
      <c r="X4286" s="1">
        <v>2265000</v>
      </c>
      <c r="Y4286" s="1">
        <v>2265000</v>
      </c>
      <c r="AA4286" s="1">
        <v>2306336</v>
      </c>
      <c r="AB4286" s="1" t="s">
        <v>2994</v>
      </c>
      <c r="AC4286" s="5">
        <v>42004</v>
      </c>
      <c r="AF4286" s="1">
        <v>10019</v>
      </c>
      <c r="AI4286" s="1" t="s">
        <v>80</v>
      </c>
      <c r="AJ4286" s="1">
        <v>1930</v>
      </c>
      <c r="AK4286" s="1" t="s">
        <v>46</v>
      </c>
      <c r="AL4286" s="1">
        <v>51</v>
      </c>
    </row>
    <row r="4287" spans="1:38" x14ac:dyDescent="0.2">
      <c r="A4287" s="2" t="str">
        <f>HYPERLINK("https://www.compass.com/listing/425-west-50th-street-unit-16b-manhattan-ny-10019/29389225589844737/","425 W 50th St, Unit 16B")</f>
        <v>425 W 50th St, Unit 16B</v>
      </c>
      <c r="B4287" s="2" t="str">
        <f t="shared" si="732"/>
        <v>Stella Tower</v>
      </c>
      <c r="C4287" s="1" t="s">
        <v>90</v>
      </c>
      <c r="D4287" s="1" t="s">
        <v>41</v>
      </c>
      <c r="E4287" s="3">
        <v>2540534</v>
      </c>
      <c r="F4287" s="1">
        <v>1799.2448654390901</v>
      </c>
      <c r="G4287" s="1">
        <v>3</v>
      </c>
      <c r="H4287" s="1">
        <v>1</v>
      </c>
      <c r="I4287" s="1">
        <v>2</v>
      </c>
      <c r="J4287" s="1">
        <v>2</v>
      </c>
      <c r="M4287" s="4">
        <v>1412</v>
      </c>
      <c r="N4287" s="1">
        <v>1605</v>
      </c>
      <c r="O4287" s="1">
        <v>2588</v>
      </c>
      <c r="P4287" s="1">
        <v>983</v>
      </c>
      <c r="Q4287" s="1" t="s">
        <v>42</v>
      </c>
      <c r="S4287" s="1" t="s">
        <v>42</v>
      </c>
      <c r="T4287" s="1" t="s">
        <v>273</v>
      </c>
      <c r="U4287" s="1">
        <v>132</v>
      </c>
      <c r="V4287" s="5">
        <v>41993</v>
      </c>
      <c r="W4287" s="5">
        <v>41859</v>
      </c>
      <c r="X4287" s="1">
        <v>2495000</v>
      </c>
      <c r="Y4287" s="1">
        <v>2495000</v>
      </c>
      <c r="AA4287" s="1">
        <v>2540533.75</v>
      </c>
      <c r="AB4287" s="1" t="s">
        <v>2995</v>
      </c>
      <c r="AC4287" s="5">
        <v>42076</v>
      </c>
      <c r="AF4287" s="1">
        <v>10019</v>
      </c>
      <c r="AI4287" s="1" t="s">
        <v>80</v>
      </c>
      <c r="AJ4287" s="1">
        <v>1930</v>
      </c>
      <c r="AK4287" s="1" t="s">
        <v>46</v>
      </c>
      <c r="AL4287" s="1">
        <v>51</v>
      </c>
    </row>
    <row r="4288" spans="1:38" x14ac:dyDescent="0.2">
      <c r="A4288" s="2" t="str">
        <f>HYPERLINK("https://www.compass.com/listing/425-west-50th-street-unit-11c-manhattan-ny-10019/803355726432544217/","425 W 50th St, Unit 11C")</f>
        <v>425 W 50th St, Unit 11C</v>
      </c>
      <c r="B4288" s="2" t="str">
        <f t="shared" si="732"/>
        <v>Stella Tower</v>
      </c>
      <c r="C4288" s="1" t="s">
        <v>90</v>
      </c>
      <c r="D4288" s="1" t="s">
        <v>41</v>
      </c>
      <c r="E4288" s="3">
        <v>2300000</v>
      </c>
      <c r="F4288" s="1">
        <v>1872.9641693811</v>
      </c>
      <c r="G4288" s="1">
        <v>4</v>
      </c>
      <c r="H4288" s="1">
        <v>1</v>
      </c>
      <c r="I4288" s="1">
        <v>2</v>
      </c>
      <c r="J4288" s="1">
        <v>2</v>
      </c>
      <c r="M4288" s="4">
        <v>1228</v>
      </c>
      <c r="N4288" s="1">
        <v>1388</v>
      </c>
      <c r="O4288" s="1">
        <v>2943</v>
      </c>
      <c r="P4288" s="1">
        <v>1555</v>
      </c>
      <c r="Q4288" s="1" t="s">
        <v>42</v>
      </c>
      <c r="S4288" s="1" t="s">
        <v>42</v>
      </c>
      <c r="T4288" s="1" t="s">
        <v>273</v>
      </c>
      <c r="U4288" s="1">
        <v>1</v>
      </c>
      <c r="V4288" s="5">
        <v>43154</v>
      </c>
      <c r="W4288" s="5">
        <v>42956</v>
      </c>
      <c r="X4288" s="1">
        <v>2300000</v>
      </c>
      <c r="Y4288" s="1">
        <v>2300000</v>
      </c>
      <c r="Z4288" s="5">
        <v>42958</v>
      </c>
      <c r="AA4288" s="1">
        <v>2300000</v>
      </c>
      <c r="AB4288" s="1" t="s">
        <v>2992</v>
      </c>
      <c r="AC4288" s="5">
        <v>43193</v>
      </c>
      <c r="AF4288" s="1">
        <v>10019</v>
      </c>
      <c r="AI4288" s="1" t="s">
        <v>80</v>
      </c>
      <c r="AJ4288" s="1">
        <v>1930</v>
      </c>
      <c r="AK4288" s="1" t="s">
        <v>46</v>
      </c>
      <c r="AL4288" s="1">
        <v>51</v>
      </c>
    </row>
    <row r="4289" spans="1:38" x14ac:dyDescent="0.2">
      <c r="A4289" s="2" t="str">
        <f>HYPERLINK("https://www.compass.com/listing/305-west-150th-street-unit-311-manhattan-ny-10039/470304951405543273/","305 W 150th St, Unit 311")</f>
        <v>305 W 150th St, Unit 311</v>
      </c>
      <c r="B4289" s="2" t="str">
        <f>HYPERLINK("https://www.compass.com/building/305-w-150th-st-manhattan-ny-10039/282032234968400245/","305 W 150th St")</f>
        <v>305 W 150th St</v>
      </c>
      <c r="C4289" s="1" t="s">
        <v>84</v>
      </c>
      <c r="D4289" s="1" t="s">
        <v>41</v>
      </c>
      <c r="E4289" s="3">
        <v>410000</v>
      </c>
      <c r="F4289" s="1">
        <v>684.47412353923198</v>
      </c>
      <c r="G4289" s="1">
        <v>3</v>
      </c>
      <c r="H4289" s="1">
        <v>1</v>
      </c>
      <c r="I4289" s="1">
        <v>1</v>
      </c>
      <c r="J4289" s="1">
        <v>1</v>
      </c>
      <c r="K4289" s="1">
        <v>1</v>
      </c>
      <c r="M4289" s="1">
        <v>599</v>
      </c>
      <c r="N4289" s="1">
        <v>428</v>
      </c>
      <c r="O4289" s="1">
        <v>923</v>
      </c>
      <c r="P4289" s="1">
        <v>495</v>
      </c>
      <c r="Q4289" s="1" t="s">
        <v>42</v>
      </c>
      <c r="S4289" s="1" t="s">
        <v>42</v>
      </c>
      <c r="T4289" s="1" t="s">
        <v>273</v>
      </c>
      <c r="U4289" s="1">
        <v>117</v>
      </c>
      <c r="V4289" s="5">
        <v>44288</v>
      </c>
      <c r="W4289" s="5">
        <v>43900</v>
      </c>
      <c r="X4289" s="1">
        <v>450000</v>
      </c>
      <c r="Y4289" s="1">
        <v>450000</v>
      </c>
      <c r="AA4289" s="1">
        <v>410000</v>
      </c>
      <c r="AB4289" s="1" t="s">
        <v>2789</v>
      </c>
      <c r="AC4289" s="5">
        <v>44251</v>
      </c>
      <c r="AF4289" s="1">
        <v>10039</v>
      </c>
      <c r="AI4289" s="1" t="s">
        <v>80</v>
      </c>
      <c r="AJ4289" s="1">
        <v>1921</v>
      </c>
      <c r="AK4289" s="1" t="s">
        <v>73</v>
      </c>
      <c r="AL4289" s="1">
        <v>84</v>
      </c>
    </row>
    <row r="4290" spans="1:38" x14ac:dyDescent="0.2">
      <c r="A4290" s="2" t="str">
        <f>HYPERLINK("https://www.compass.com/listing/325-lexington-avenue-unit-21b-manhattan-ny-10016/29509810420541473/","325 Lexington Ave, Unit 21B")</f>
        <v>325 Lexington Ave, Unit 21B</v>
      </c>
      <c r="B4290" s="2" t="str">
        <f>HYPERLINK("https://www.compass.com/building/325-lex-condominium-manhattan-ny/281939882467713365/","325 Lex Condominium")</f>
        <v>325 Lex Condominium</v>
      </c>
      <c r="C4290" s="1" t="s">
        <v>59</v>
      </c>
      <c r="D4290" s="1" t="s">
        <v>41</v>
      </c>
      <c r="E4290" s="3">
        <v>1417500</v>
      </c>
      <c r="F4290" s="1">
        <v>2190.8809891808301</v>
      </c>
      <c r="G4290" s="1">
        <v>3</v>
      </c>
      <c r="H4290" s="1">
        <v>1</v>
      </c>
      <c r="I4290" s="1">
        <v>1</v>
      </c>
      <c r="J4290" s="1">
        <v>1</v>
      </c>
      <c r="K4290" s="1">
        <v>1</v>
      </c>
      <c r="M4290" s="1">
        <v>647</v>
      </c>
      <c r="N4290" s="1">
        <v>851</v>
      </c>
      <c r="O4290" s="1">
        <v>1201</v>
      </c>
      <c r="P4290" s="1">
        <v>350</v>
      </c>
      <c r="Q4290" s="1" t="s">
        <v>42</v>
      </c>
      <c r="S4290" s="1" t="s">
        <v>42</v>
      </c>
      <c r="T4290" s="1" t="s">
        <v>273</v>
      </c>
      <c r="U4290" s="1">
        <v>174</v>
      </c>
      <c r="V4290" s="5">
        <v>43341</v>
      </c>
      <c r="W4290" s="5">
        <v>43165</v>
      </c>
      <c r="X4290" s="1">
        <v>1499000</v>
      </c>
      <c r="Y4290" s="1">
        <v>1419000</v>
      </c>
      <c r="AA4290" s="1">
        <v>1417500</v>
      </c>
      <c r="AB4290" s="1" t="s">
        <v>2996</v>
      </c>
      <c r="AC4290" s="5">
        <v>43445</v>
      </c>
      <c r="AF4290" s="1">
        <v>10016</v>
      </c>
      <c r="AI4290" s="1" t="s">
        <v>2997</v>
      </c>
      <c r="AJ4290" s="1">
        <v>2014</v>
      </c>
      <c r="AK4290" s="1" t="s">
        <v>108</v>
      </c>
      <c r="AL4290" s="1">
        <v>125</v>
      </c>
    </row>
    <row r="4291" spans="1:38" x14ac:dyDescent="0.2">
      <c r="A4291" s="2" t="str">
        <f>HYPERLINK("https://www.compass.com/listing/416-west-52nd-street-unit-215-manhattan-ny-10019/4852306546450770705/","416 W 52nd St, Unit 215")</f>
        <v>416 W 52nd St, Unit 215</v>
      </c>
      <c r="B4291" s="2" t="str">
        <f t="shared" ref="B4291:B4292" si="733">HYPERLINK("https://www.compass.com/building/nine52-manhattan-ny/281945622951555813/","Nine52")</f>
        <v>Nine52</v>
      </c>
      <c r="C4291" s="1" t="s">
        <v>90</v>
      </c>
      <c r="D4291" s="1" t="s">
        <v>41</v>
      </c>
      <c r="E4291" s="3">
        <v>1499000</v>
      </c>
      <c r="F4291" s="1">
        <v>1239.8676592224899</v>
      </c>
      <c r="G4291" s="1">
        <v>4</v>
      </c>
      <c r="H4291" s="1">
        <v>1</v>
      </c>
      <c r="I4291" s="1">
        <v>2</v>
      </c>
      <c r="J4291" s="1">
        <v>1.5</v>
      </c>
      <c r="K4291" s="1">
        <v>1</v>
      </c>
      <c r="L4291" s="1">
        <v>1</v>
      </c>
      <c r="M4291" s="4">
        <v>1209</v>
      </c>
      <c r="N4291" s="1">
        <v>1004</v>
      </c>
      <c r="O4291" s="1">
        <v>2774</v>
      </c>
      <c r="P4291" s="1">
        <v>1770</v>
      </c>
      <c r="Q4291" s="1" t="s">
        <v>42</v>
      </c>
      <c r="S4291" s="1" t="s">
        <v>42</v>
      </c>
      <c r="T4291" s="1" t="s">
        <v>273</v>
      </c>
      <c r="U4291" s="1">
        <v>54</v>
      </c>
      <c r="V4291" s="5">
        <v>43605</v>
      </c>
      <c r="W4291" s="5">
        <v>42517</v>
      </c>
      <c r="X4291" s="1">
        <v>1499000</v>
      </c>
      <c r="Y4291" s="1">
        <v>1499000</v>
      </c>
      <c r="Z4291" s="5">
        <v>42581</v>
      </c>
      <c r="AA4291" s="1">
        <v>1499000</v>
      </c>
      <c r="AB4291" s="1" t="s">
        <v>275</v>
      </c>
      <c r="AC4291" s="5">
        <v>42658</v>
      </c>
      <c r="AF4291" s="1">
        <v>10019</v>
      </c>
      <c r="AI4291" s="1" t="s">
        <v>48</v>
      </c>
      <c r="AJ4291" s="1">
        <v>1940</v>
      </c>
      <c r="AK4291" s="1" t="s">
        <v>108</v>
      </c>
      <c r="AL4291" s="1">
        <v>155</v>
      </c>
    </row>
    <row r="4292" spans="1:38" x14ac:dyDescent="0.2">
      <c r="A4292" s="2" t="str">
        <f>HYPERLINK("https://www.compass.com/listing/416-west-52nd-street-unit-414-manhattan-ny-10019/29389270636680497/","416 W 52nd St, Unit 414")</f>
        <v>416 W 52nd St, Unit 414</v>
      </c>
      <c r="B4292" s="2" t="str">
        <f t="shared" si="733"/>
        <v>Nine52</v>
      </c>
      <c r="C4292" s="1" t="s">
        <v>90</v>
      </c>
      <c r="D4292" s="1" t="s">
        <v>41</v>
      </c>
      <c r="E4292" s="3">
        <v>1860000</v>
      </c>
      <c r="F4292" s="1">
        <v>1701.73833485818</v>
      </c>
      <c r="G4292" s="1">
        <v>4</v>
      </c>
      <c r="H4292" s="1">
        <v>2</v>
      </c>
      <c r="I4292" s="1">
        <v>2</v>
      </c>
      <c r="J4292" s="1">
        <v>2</v>
      </c>
      <c r="M4292" s="4">
        <v>1093</v>
      </c>
      <c r="N4292" s="1">
        <v>854</v>
      </c>
      <c r="O4292" s="1">
        <v>2322</v>
      </c>
      <c r="P4292" s="1">
        <v>1468</v>
      </c>
      <c r="Q4292" s="1" t="s">
        <v>42</v>
      </c>
      <c r="S4292" s="1" t="s">
        <v>42</v>
      </c>
      <c r="T4292" s="1" t="s">
        <v>273</v>
      </c>
      <c r="U4292" s="1">
        <v>25</v>
      </c>
      <c r="V4292" s="5">
        <v>43648</v>
      </c>
      <c r="W4292" s="5">
        <v>43231</v>
      </c>
      <c r="X4292" s="1">
        <v>1995000</v>
      </c>
      <c r="Y4292" s="1">
        <v>1995000</v>
      </c>
      <c r="Z4292" s="5">
        <v>43256</v>
      </c>
      <c r="AA4292" s="1">
        <v>1860000</v>
      </c>
      <c r="AB4292" s="1" t="s">
        <v>2998</v>
      </c>
      <c r="AC4292" s="5">
        <v>43277</v>
      </c>
      <c r="AF4292" s="1">
        <v>10019</v>
      </c>
      <c r="AI4292" s="1" t="s">
        <v>48</v>
      </c>
      <c r="AJ4292" s="1">
        <v>1940</v>
      </c>
      <c r="AK4292" s="1" t="s">
        <v>108</v>
      </c>
      <c r="AL4292" s="1">
        <v>155</v>
      </c>
    </row>
    <row r="4293" spans="1:38" x14ac:dyDescent="0.2">
      <c r="A4293" s="2" t="str">
        <f>HYPERLINK("https://www.compass.com/listing/1-west-end-avenue-unit-8b-manhattan-ny-10069/29397329085728673/","1 W End Ave, Unit 8B")</f>
        <v>1 W End Ave, Unit 8B</v>
      </c>
      <c r="B4293" s="2" t="str">
        <f>HYPERLINK("https://www.compass.com/building/1-w-end-ave-manhattan-ny-10069/455676159137755317/","1 W End Ave")</f>
        <v>1 W End Ave</v>
      </c>
      <c r="C4293" s="1" t="s">
        <v>57</v>
      </c>
      <c r="D4293" s="1" t="s">
        <v>41</v>
      </c>
      <c r="E4293" s="3">
        <v>2656434</v>
      </c>
      <c r="F4293" s="1">
        <v>1677.0419444444401</v>
      </c>
      <c r="G4293" s="1">
        <v>4</v>
      </c>
      <c r="H4293" s="1">
        <v>2</v>
      </c>
      <c r="I4293" s="1">
        <v>2</v>
      </c>
      <c r="J4293" s="1">
        <v>2.5</v>
      </c>
      <c r="K4293" s="1">
        <v>2</v>
      </c>
      <c r="L4293" s="1">
        <v>1</v>
      </c>
      <c r="M4293" s="4">
        <v>1584</v>
      </c>
      <c r="N4293" s="1">
        <v>1752</v>
      </c>
      <c r="O4293" s="1">
        <v>1857</v>
      </c>
      <c r="P4293" s="1">
        <v>105</v>
      </c>
      <c r="Q4293" s="1" t="s">
        <v>42</v>
      </c>
      <c r="S4293" s="1" t="s">
        <v>42</v>
      </c>
      <c r="T4293" s="1" t="s">
        <v>273</v>
      </c>
      <c r="V4293" s="5">
        <v>43034</v>
      </c>
      <c r="W4293" s="5">
        <v>42500</v>
      </c>
      <c r="X4293" s="1">
        <v>2600000</v>
      </c>
      <c r="Y4293" s="1">
        <v>2600000</v>
      </c>
      <c r="Z4293" s="5">
        <v>42500</v>
      </c>
      <c r="AA4293" s="1">
        <v>2656434.44</v>
      </c>
      <c r="AB4293" s="1" t="s">
        <v>2999</v>
      </c>
      <c r="AC4293" s="5">
        <v>43014</v>
      </c>
      <c r="AF4293" s="1">
        <v>10069</v>
      </c>
      <c r="AI4293" s="1" t="s">
        <v>60</v>
      </c>
      <c r="AJ4293" s="1">
        <v>2017</v>
      </c>
      <c r="AK4293" s="1" t="s">
        <v>108</v>
      </c>
      <c r="AL4293" s="1">
        <v>246</v>
      </c>
    </row>
    <row r="4294" spans="1:38" x14ac:dyDescent="0.2">
      <c r="A4294" s="2" t="str">
        <f>HYPERLINK("https://www.compass.com/listing/325-lexington-avenue-unit-9b-manhattan-ny-10016/29379696760267425/","325 Lexington Ave, Unit 9B")</f>
        <v>325 Lexington Ave, Unit 9B</v>
      </c>
      <c r="B4294" s="2" t="str">
        <f t="shared" ref="B4294:B4308" si="734">HYPERLINK("https://www.compass.com/building/325-lex-condominium-manhattan-ny/281939882467713365/","325 Lex Condominium")</f>
        <v>325 Lex Condominium</v>
      </c>
      <c r="C4294" s="1" t="s">
        <v>59</v>
      </c>
      <c r="D4294" s="1" t="s">
        <v>41</v>
      </c>
      <c r="E4294" s="3">
        <v>1349181</v>
      </c>
      <c r="F4294" s="1">
        <v>1536.6526195899701</v>
      </c>
      <c r="G4294" s="1">
        <v>3</v>
      </c>
      <c r="H4294" s="1">
        <v>1</v>
      </c>
      <c r="I4294" s="1">
        <v>1</v>
      </c>
      <c r="J4294" s="1">
        <v>1</v>
      </c>
      <c r="K4294" s="1">
        <v>1</v>
      </c>
      <c r="M4294" s="1">
        <v>878</v>
      </c>
      <c r="N4294" s="1">
        <v>1199</v>
      </c>
      <c r="O4294" s="1">
        <v>1460</v>
      </c>
      <c r="P4294" s="1">
        <v>261</v>
      </c>
      <c r="Q4294" s="1" t="s">
        <v>42</v>
      </c>
      <c r="S4294" s="1" t="s">
        <v>42</v>
      </c>
      <c r="T4294" s="1" t="s">
        <v>273</v>
      </c>
      <c r="V4294" s="5">
        <v>43668</v>
      </c>
      <c r="W4294" s="5">
        <v>42277</v>
      </c>
      <c r="X4294" s="1">
        <v>1325000</v>
      </c>
      <c r="Y4294" s="1">
        <v>1325000</v>
      </c>
      <c r="Z4294" s="5">
        <v>42277</v>
      </c>
      <c r="AA4294" s="1">
        <v>1349181</v>
      </c>
      <c r="AB4294" s="1" t="s">
        <v>3000</v>
      </c>
      <c r="AC4294" s="5">
        <v>42318</v>
      </c>
      <c r="AF4294" s="1">
        <v>10016</v>
      </c>
      <c r="AI4294" s="1" t="s">
        <v>60</v>
      </c>
      <c r="AJ4294" s="1">
        <v>2014</v>
      </c>
      <c r="AK4294" s="1" t="s">
        <v>46</v>
      </c>
      <c r="AL4294" s="1">
        <v>125</v>
      </c>
    </row>
    <row r="4295" spans="1:38" x14ac:dyDescent="0.2">
      <c r="A4295" s="2" t="str">
        <f>HYPERLINK("https://www.compass.com/listing/325-lexington-avenue-unit-12d-manhattan-ny-10016/29379702657458929/","325 Lexington Ave, Unit 12D")</f>
        <v>325 Lexington Ave, Unit 12D</v>
      </c>
      <c r="B4295" s="2" t="str">
        <f t="shared" si="734"/>
        <v>325 Lex Condominium</v>
      </c>
      <c r="C4295" s="1" t="s">
        <v>59</v>
      </c>
      <c r="D4295" s="1" t="s">
        <v>41</v>
      </c>
      <c r="E4295" s="3">
        <v>1313543</v>
      </c>
      <c r="F4295" s="1">
        <v>1742.09946949602</v>
      </c>
      <c r="G4295" s="1">
        <v>3</v>
      </c>
      <c r="H4295" s="1">
        <v>1</v>
      </c>
      <c r="I4295" s="1">
        <v>1</v>
      </c>
      <c r="J4295" s="1">
        <v>1</v>
      </c>
      <c r="K4295" s="1">
        <v>1</v>
      </c>
      <c r="M4295" s="1">
        <v>754</v>
      </c>
      <c r="N4295" s="1">
        <v>1045</v>
      </c>
      <c r="O4295" s="1">
        <v>1272</v>
      </c>
      <c r="P4295" s="1">
        <v>227</v>
      </c>
      <c r="Q4295" s="1" t="s">
        <v>42</v>
      </c>
      <c r="S4295" s="1" t="s">
        <v>42</v>
      </c>
      <c r="T4295" s="1" t="s">
        <v>273</v>
      </c>
      <c r="U4295" s="1">
        <v>55</v>
      </c>
      <c r="V4295" s="5">
        <v>43654</v>
      </c>
      <c r="W4295" s="5">
        <v>42046</v>
      </c>
      <c r="X4295" s="1">
        <v>1290000</v>
      </c>
      <c r="Y4295" s="1">
        <v>1290000</v>
      </c>
      <c r="Z4295" s="5">
        <v>42101</v>
      </c>
      <c r="AA4295" s="1">
        <v>1313543</v>
      </c>
      <c r="AB4295" s="1" t="s">
        <v>3001</v>
      </c>
      <c r="AC4295" s="5">
        <v>42160</v>
      </c>
      <c r="AF4295" s="1">
        <v>10016</v>
      </c>
      <c r="AI4295" s="1" t="s">
        <v>60</v>
      </c>
      <c r="AJ4295" s="1">
        <v>2014</v>
      </c>
      <c r="AK4295" s="1" t="s">
        <v>108</v>
      </c>
      <c r="AL4295" s="1">
        <v>125</v>
      </c>
    </row>
    <row r="4296" spans="1:38" x14ac:dyDescent="0.2">
      <c r="A4296" s="2" t="str">
        <f>HYPERLINK("https://www.compass.com/listing/325-lexington-avenue-unit-16b-manhattan-ny-10016/29379709527673409/","325 Lexington Ave, Unit 16B")</f>
        <v>325 Lexington Ave, Unit 16B</v>
      </c>
      <c r="B4296" s="2" t="str">
        <f t="shared" si="734"/>
        <v>325 Lex Condominium</v>
      </c>
      <c r="C4296" s="1" t="s">
        <v>59</v>
      </c>
      <c r="D4296" s="1" t="s">
        <v>41</v>
      </c>
      <c r="E4296" s="3">
        <v>1400094</v>
      </c>
      <c r="F4296" s="1">
        <v>2163.9783616692398</v>
      </c>
      <c r="G4296" s="1">
        <v>3</v>
      </c>
      <c r="H4296" s="1">
        <v>1</v>
      </c>
      <c r="I4296" s="1">
        <v>1</v>
      </c>
      <c r="J4296" s="1">
        <v>1</v>
      </c>
      <c r="K4296" s="1">
        <v>1</v>
      </c>
      <c r="M4296" s="1">
        <v>647</v>
      </c>
      <c r="N4296" s="1">
        <v>909</v>
      </c>
      <c r="O4296" s="1">
        <v>1107</v>
      </c>
      <c r="P4296" s="1">
        <v>198</v>
      </c>
      <c r="Q4296" s="1" t="s">
        <v>42</v>
      </c>
      <c r="S4296" s="1" t="s">
        <v>42</v>
      </c>
      <c r="T4296" s="1" t="s">
        <v>273</v>
      </c>
      <c r="V4296" s="5">
        <v>43668</v>
      </c>
      <c r="W4296" s="5">
        <v>42264</v>
      </c>
      <c r="X4296" s="1">
        <v>1375000</v>
      </c>
      <c r="Y4296" s="1">
        <v>1375000</v>
      </c>
      <c r="AA4296" s="1">
        <v>1400094</v>
      </c>
      <c r="AB4296" s="1" t="s">
        <v>275</v>
      </c>
      <c r="AC4296" s="5">
        <v>42265</v>
      </c>
      <c r="AF4296" s="1">
        <v>10016</v>
      </c>
      <c r="AI4296" s="1" t="s">
        <v>60</v>
      </c>
      <c r="AJ4296" s="1">
        <v>2014</v>
      </c>
      <c r="AK4296" s="1" t="s">
        <v>108</v>
      </c>
      <c r="AL4296" s="1">
        <v>125</v>
      </c>
    </row>
    <row r="4297" spans="1:38" x14ac:dyDescent="0.2">
      <c r="A4297" s="2" t="str">
        <f>HYPERLINK("https://www.compass.com/listing/325-lexington-avenue-unit-17b-manhattan-ny-10016/29379711784264609/","325 Lexington Ave, Unit 17B")</f>
        <v>325 Lexington Ave, Unit 17B</v>
      </c>
      <c r="B4297" s="2" t="str">
        <f t="shared" si="734"/>
        <v>325 Lex Condominium</v>
      </c>
      <c r="C4297" s="1" t="s">
        <v>59</v>
      </c>
      <c r="D4297" s="1" t="s">
        <v>41</v>
      </c>
      <c r="E4297" s="3">
        <v>1395003</v>
      </c>
      <c r="F4297" s="1">
        <v>2156.1097372488398</v>
      </c>
      <c r="G4297" s="1">
        <v>3</v>
      </c>
      <c r="H4297" s="1">
        <v>1</v>
      </c>
      <c r="I4297" s="1">
        <v>1</v>
      </c>
      <c r="J4297" s="1">
        <v>1</v>
      </c>
      <c r="K4297" s="1">
        <v>1</v>
      </c>
      <c r="M4297" s="1">
        <v>647</v>
      </c>
      <c r="N4297" s="1">
        <v>914</v>
      </c>
      <c r="O4297" s="1">
        <v>1113</v>
      </c>
      <c r="P4297" s="1">
        <v>199</v>
      </c>
      <c r="Q4297" s="1" t="s">
        <v>42</v>
      </c>
      <c r="S4297" s="1" t="s">
        <v>42</v>
      </c>
      <c r="T4297" s="1" t="s">
        <v>273</v>
      </c>
      <c r="V4297" s="5">
        <v>43654</v>
      </c>
      <c r="W4297" s="5">
        <v>42090</v>
      </c>
      <c r="X4297" s="1">
        <v>1370000</v>
      </c>
      <c r="Y4297" s="1">
        <v>1370000</v>
      </c>
      <c r="Z4297" s="5">
        <v>42090</v>
      </c>
      <c r="AA4297" s="1">
        <v>1395003</v>
      </c>
      <c r="AB4297" s="1" t="s">
        <v>3002</v>
      </c>
      <c r="AC4297" s="5">
        <v>42145</v>
      </c>
      <c r="AF4297" s="1">
        <v>10016</v>
      </c>
      <c r="AI4297" s="1" t="s">
        <v>60</v>
      </c>
      <c r="AJ4297" s="1">
        <v>2014</v>
      </c>
      <c r="AK4297" s="1" t="s">
        <v>108</v>
      </c>
      <c r="AL4297" s="1">
        <v>125</v>
      </c>
    </row>
    <row r="4298" spans="1:38" x14ac:dyDescent="0.2">
      <c r="A4298" s="2" t="str">
        <f>HYPERLINK("https://www.compass.com/listing/325-lexington-avenue-unit-17d-manhattan-ny-10016/29379712639908305/","325 Lexington Ave, Unit 17D")</f>
        <v>325 Lexington Ave, Unit 17D</v>
      </c>
      <c r="B4298" s="2" t="str">
        <f t="shared" si="734"/>
        <v>325 Lex Condominium</v>
      </c>
      <c r="C4298" s="1" t="s">
        <v>59</v>
      </c>
      <c r="D4298" s="1" t="s">
        <v>41</v>
      </c>
      <c r="E4298" s="3">
        <v>1374638</v>
      </c>
      <c r="F4298" s="1">
        <v>1823.1273209548999</v>
      </c>
      <c r="G4298" s="1">
        <v>3</v>
      </c>
      <c r="H4298" s="1">
        <v>1</v>
      </c>
      <c r="I4298" s="1">
        <v>1</v>
      </c>
      <c r="J4298" s="1">
        <v>1</v>
      </c>
      <c r="K4298" s="1">
        <v>1</v>
      </c>
      <c r="M4298" s="1">
        <v>754</v>
      </c>
      <c r="N4298" s="1">
        <v>1065</v>
      </c>
      <c r="O4298" s="1">
        <v>1297</v>
      </c>
      <c r="P4298" s="1">
        <v>232</v>
      </c>
      <c r="Q4298" s="1" t="s">
        <v>42</v>
      </c>
      <c r="S4298" s="1" t="s">
        <v>42</v>
      </c>
      <c r="T4298" s="1" t="s">
        <v>273</v>
      </c>
      <c r="V4298" s="5">
        <v>43654</v>
      </c>
      <c r="W4298" s="5">
        <v>41951</v>
      </c>
      <c r="X4298" s="1">
        <v>1375000</v>
      </c>
      <c r="Y4298" s="1">
        <v>1375000</v>
      </c>
      <c r="Z4298" s="5">
        <v>41951</v>
      </c>
      <c r="AA4298" s="1">
        <v>1374638</v>
      </c>
      <c r="AB4298" s="1" t="s">
        <v>3003</v>
      </c>
      <c r="AC4298" s="5">
        <v>42055</v>
      </c>
      <c r="AF4298" s="1">
        <v>10016</v>
      </c>
      <c r="AI4298" s="1" t="s">
        <v>60</v>
      </c>
      <c r="AJ4298" s="1">
        <v>2014</v>
      </c>
      <c r="AK4298" s="1" t="s">
        <v>108</v>
      </c>
      <c r="AL4298" s="1">
        <v>125</v>
      </c>
    </row>
    <row r="4299" spans="1:38" x14ac:dyDescent="0.2">
      <c r="A4299" s="2" t="str">
        <f>HYPERLINK("https://www.compass.com/listing/325-lexington-avenue-unit-19d-manhattan-ny-10016/29379717320745969/","325 Lexington Ave, Unit 19D")</f>
        <v>325 Lexington Ave, Unit 19D</v>
      </c>
      <c r="B4299" s="2" t="str">
        <f t="shared" si="734"/>
        <v>325 Lex Condominium</v>
      </c>
      <c r="C4299" s="1" t="s">
        <v>59</v>
      </c>
      <c r="D4299" s="1" t="s">
        <v>41</v>
      </c>
      <c r="E4299" s="3">
        <v>1461189</v>
      </c>
      <c r="F4299" s="1">
        <v>1937.9161140583501</v>
      </c>
      <c r="G4299" s="1">
        <v>2</v>
      </c>
      <c r="H4299" s="1">
        <v>1</v>
      </c>
      <c r="I4299" s="1">
        <v>1</v>
      </c>
      <c r="J4299" s="1">
        <v>1</v>
      </c>
      <c r="K4299" s="1">
        <v>1</v>
      </c>
      <c r="M4299" s="1">
        <v>754</v>
      </c>
      <c r="N4299" s="1">
        <v>1075</v>
      </c>
      <c r="O4299" s="1">
        <v>1309</v>
      </c>
      <c r="P4299" s="1">
        <v>234</v>
      </c>
      <c r="Q4299" s="1" t="s">
        <v>42</v>
      </c>
      <c r="S4299" s="1" t="s">
        <v>42</v>
      </c>
      <c r="T4299" s="1" t="s">
        <v>273</v>
      </c>
      <c r="U4299" s="1">
        <v>27</v>
      </c>
      <c r="V4299" s="5">
        <v>42574</v>
      </c>
      <c r="W4299" s="5">
        <v>42109</v>
      </c>
      <c r="X4299" s="1">
        <v>1435000</v>
      </c>
      <c r="Y4299" s="1">
        <v>1435000</v>
      </c>
      <c r="Z4299" s="5">
        <v>42137</v>
      </c>
      <c r="AA4299" s="1">
        <v>1461188.75</v>
      </c>
      <c r="AB4299" s="1" t="s">
        <v>3004</v>
      </c>
      <c r="AC4299" s="5">
        <v>42195</v>
      </c>
      <c r="AF4299" s="1">
        <v>10016</v>
      </c>
      <c r="AI4299" s="1" t="s">
        <v>60</v>
      </c>
      <c r="AJ4299" s="1">
        <v>2014</v>
      </c>
      <c r="AK4299" s="1" t="s">
        <v>108</v>
      </c>
      <c r="AL4299" s="1">
        <v>125</v>
      </c>
    </row>
    <row r="4300" spans="1:38" x14ac:dyDescent="0.2">
      <c r="A4300" s="2" t="str">
        <f>HYPERLINK("https://www.compass.com/listing/325-lexington-avenue-unit-20b-manhattan-ny-10016/29379718755197969/","325 Lexington Ave, Unit 20B")</f>
        <v>325 Lexington Ave, Unit 20B</v>
      </c>
      <c r="B4300" s="2" t="str">
        <f t="shared" si="734"/>
        <v>325 Lex Condominium</v>
      </c>
      <c r="C4300" s="1" t="s">
        <v>59</v>
      </c>
      <c r="D4300" s="1" t="s">
        <v>41</v>
      </c>
      <c r="E4300" s="3">
        <v>1425550</v>
      </c>
      <c r="F4300" s="1">
        <v>2203.3230293663</v>
      </c>
      <c r="G4300" s="1">
        <v>3</v>
      </c>
      <c r="H4300" s="1">
        <v>1</v>
      </c>
      <c r="I4300" s="1">
        <v>1</v>
      </c>
      <c r="J4300" s="1">
        <v>1</v>
      </c>
      <c r="K4300" s="1">
        <v>1</v>
      </c>
      <c r="M4300" s="1">
        <v>647</v>
      </c>
      <c r="N4300" s="1">
        <v>927</v>
      </c>
      <c r="O4300" s="1">
        <v>1129</v>
      </c>
      <c r="P4300" s="1">
        <v>202</v>
      </c>
      <c r="Q4300" s="1" t="s">
        <v>42</v>
      </c>
      <c r="S4300" s="1" t="s">
        <v>42</v>
      </c>
      <c r="T4300" s="1" t="s">
        <v>273</v>
      </c>
      <c r="V4300" s="5">
        <v>43654</v>
      </c>
      <c r="W4300" s="5">
        <v>42081</v>
      </c>
      <c r="X4300" s="1">
        <v>1400000</v>
      </c>
      <c r="Y4300" s="1">
        <v>1400000</v>
      </c>
      <c r="Z4300" s="5">
        <v>42081</v>
      </c>
      <c r="AA4300" s="1">
        <v>1425550</v>
      </c>
      <c r="AB4300" s="1" t="s">
        <v>3005</v>
      </c>
      <c r="AC4300" s="5">
        <v>42123</v>
      </c>
      <c r="AF4300" s="1">
        <v>10016</v>
      </c>
      <c r="AI4300" s="1" t="s">
        <v>60</v>
      </c>
      <c r="AJ4300" s="1">
        <v>2014</v>
      </c>
      <c r="AK4300" s="1" t="s">
        <v>108</v>
      </c>
      <c r="AL4300" s="1">
        <v>125</v>
      </c>
    </row>
    <row r="4301" spans="1:38" x14ac:dyDescent="0.2">
      <c r="A4301" s="2" t="str">
        <f>HYPERLINK("https://www.compass.com/listing/325-lexington-avenue-unit-20d-manhattan-ny-10016/29379719560510001/","325 Lexington Ave, Unit 20D")</f>
        <v>325 Lexington Ave, Unit 20D</v>
      </c>
      <c r="B4301" s="2" t="str">
        <f t="shared" si="734"/>
        <v>325 Lex Condominium</v>
      </c>
      <c r="C4301" s="1" t="s">
        <v>59</v>
      </c>
      <c r="D4301" s="1" t="s">
        <v>41</v>
      </c>
      <c r="E4301" s="3">
        <v>1481554</v>
      </c>
      <c r="F4301" s="1">
        <v>1964.9257294429699</v>
      </c>
      <c r="G4301" s="1">
        <v>3</v>
      </c>
      <c r="H4301" s="1">
        <v>1</v>
      </c>
      <c r="I4301" s="1">
        <v>1</v>
      </c>
      <c r="J4301" s="1">
        <v>1</v>
      </c>
      <c r="K4301" s="1">
        <v>1</v>
      </c>
      <c r="M4301" s="1">
        <v>754</v>
      </c>
      <c r="N4301" s="1">
        <v>1080</v>
      </c>
      <c r="O4301" s="1">
        <v>1315</v>
      </c>
      <c r="P4301" s="1">
        <v>235</v>
      </c>
      <c r="Q4301" s="1" t="s">
        <v>42</v>
      </c>
      <c r="S4301" s="1" t="s">
        <v>42</v>
      </c>
      <c r="T4301" s="1" t="s">
        <v>273</v>
      </c>
      <c r="V4301" s="5">
        <v>43654</v>
      </c>
      <c r="W4301" s="5">
        <v>42146</v>
      </c>
      <c r="X4301" s="1">
        <v>1455000</v>
      </c>
      <c r="Y4301" s="1">
        <v>1455000</v>
      </c>
      <c r="Z4301" s="5">
        <v>42146</v>
      </c>
      <c r="AA4301" s="1">
        <v>1481554</v>
      </c>
      <c r="AB4301" s="1" t="s">
        <v>3006</v>
      </c>
      <c r="AC4301" s="5">
        <v>42193</v>
      </c>
      <c r="AF4301" s="1">
        <v>10016</v>
      </c>
      <c r="AI4301" s="1" t="s">
        <v>60</v>
      </c>
      <c r="AJ4301" s="1">
        <v>2014</v>
      </c>
      <c r="AK4301" s="1" t="s">
        <v>108</v>
      </c>
      <c r="AL4301" s="1">
        <v>125</v>
      </c>
    </row>
    <row r="4302" spans="1:38" x14ac:dyDescent="0.2">
      <c r="A4302" s="2" t="str">
        <f>HYPERLINK("https://www.compass.com/listing/325-lexington-avenue-unit-21d-manhattan-ny-10016/29379721640823585/","325 Lexington Ave, Unit 21D")</f>
        <v>325 Lexington Ave, Unit 21D</v>
      </c>
      <c r="B4302" s="2" t="str">
        <f t="shared" si="734"/>
        <v>325 Lex Condominium</v>
      </c>
      <c r="C4302" s="1" t="s">
        <v>59</v>
      </c>
      <c r="D4302" s="1" t="s">
        <v>41</v>
      </c>
      <c r="E4302" s="3">
        <v>1440824</v>
      </c>
      <c r="F4302" s="1">
        <v>1910.9071618037101</v>
      </c>
      <c r="G4302" s="1">
        <v>3</v>
      </c>
      <c r="H4302" s="1">
        <v>1</v>
      </c>
      <c r="I4302" s="1">
        <v>1</v>
      </c>
      <c r="J4302" s="1">
        <v>1</v>
      </c>
      <c r="K4302" s="1">
        <v>1</v>
      </c>
      <c r="M4302" s="1">
        <v>754</v>
      </c>
      <c r="N4302" s="1">
        <v>1084</v>
      </c>
      <c r="O4302" s="1">
        <v>1321</v>
      </c>
      <c r="P4302" s="1">
        <v>237</v>
      </c>
      <c r="Q4302" s="1" t="s">
        <v>42</v>
      </c>
      <c r="S4302" s="1" t="s">
        <v>42</v>
      </c>
      <c r="T4302" s="1" t="s">
        <v>273</v>
      </c>
      <c r="U4302" s="1">
        <v>83</v>
      </c>
      <c r="V4302" s="5">
        <v>43668</v>
      </c>
      <c r="W4302" s="5">
        <v>41992</v>
      </c>
      <c r="X4302" s="1">
        <v>1415000</v>
      </c>
      <c r="Y4302" s="1">
        <v>1415000</v>
      </c>
      <c r="AA4302" s="1">
        <v>1440824</v>
      </c>
      <c r="AB4302" s="1" t="s">
        <v>3007</v>
      </c>
      <c r="AC4302" s="5">
        <v>42076</v>
      </c>
      <c r="AF4302" s="1">
        <v>10016</v>
      </c>
      <c r="AI4302" s="1" t="s">
        <v>60</v>
      </c>
      <c r="AJ4302" s="1">
        <v>2014</v>
      </c>
      <c r="AK4302" s="1" t="s">
        <v>108</v>
      </c>
      <c r="AL4302" s="1">
        <v>125</v>
      </c>
    </row>
    <row r="4303" spans="1:38" x14ac:dyDescent="0.2">
      <c r="A4303" s="2" t="str">
        <f>HYPERLINK("https://www.compass.com/listing/325-lexington-avenue-unit-21b-manhattan-ny-10016/29509810420541489/","325 Lexington Ave, Unit 21B")</f>
        <v>325 Lexington Ave, Unit 21B</v>
      </c>
      <c r="B4303" s="2" t="str">
        <f t="shared" si="734"/>
        <v>325 Lex Condominium</v>
      </c>
      <c r="C4303" s="1" t="s">
        <v>59</v>
      </c>
      <c r="D4303" s="1" t="s">
        <v>41</v>
      </c>
      <c r="E4303" s="3">
        <v>1395003</v>
      </c>
      <c r="F4303" s="1">
        <v>2156.1097372488398</v>
      </c>
      <c r="G4303" s="1">
        <v>3</v>
      </c>
      <c r="H4303" s="1">
        <v>1</v>
      </c>
      <c r="I4303" s="1">
        <v>1</v>
      </c>
      <c r="J4303" s="1">
        <v>1</v>
      </c>
      <c r="K4303" s="1">
        <v>1</v>
      </c>
      <c r="M4303" s="1">
        <v>647</v>
      </c>
      <c r="N4303" s="1">
        <v>931</v>
      </c>
      <c r="O4303" s="1">
        <v>1134</v>
      </c>
      <c r="P4303" s="1">
        <v>203</v>
      </c>
      <c r="Q4303" s="1" t="s">
        <v>42</v>
      </c>
      <c r="S4303" s="1" t="s">
        <v>42</v>
      </c>
      <c r="T4303" s="1" t="s">
        <v>273</v>
      </c>
      <c r="V4303" s="5">
        <v>43654</v>
      </c>
      <c r="W4303" s="5">
        <v>41951</v>
      </c>
      <c r="X4303" s="1">
        <v>1410000</v>
      </c>
      <c r="Y4303" s="1">
        <v>1410000</v>
      </c>
      <c r="Z4303" s="5">
        <v>41951</v>
      </c>
      <c r="AA4303" s="1">
        <v>1395003</v>
      </c>
      <c r="AB4303" s="1" t="s">
        <v>3008</v>
      </c>
      <c r="AC4303" s="5">
        <v>42054</v>
      </c>
      <c r="AF4303" s="1">
        <v>10016</v>
      </c>
      <c r="AI4303" s="1" t="s">
        <v>60</v>
      </c>
      <c r="AJ4303" s="1">
        <v>2014</v>
      </c>
      <c r="AK4303" s="1" t="s">
        <v>108</v>
      </c>
      <c r="AL4303" s="1">
        <v>125</v>
      </c>
    </row>
    <row r="4304" spans="1:38" x14ac:dyDescent="0.2">
      <c r="A4304" s="2" t="str">
        <f>HYPERLINK("https://www.compass.com/listing/325-lexington-avenue-unit-18d-manhattan-ny-10016/70926414844564353/","325 Lexington Ave, Unit 18D")</f>
        <v>325 Lexington Ave, Unit 18D</v>
      </c>
      <c r="B4304" s="2" t="str">
        <f t="shared" si="734"/>
        <v>325 Lex Condominium</v>
      </c>
      <c r="C4304" s="1" t="s">
        <v>59</v>
      </c>
      <c r="D4304" s="1" t="s">
        <v>41</v>
      </c>
      <c r="E4304" s="3">
        <v>1440824</v>
      </c>
      <c r="F4304" s="1">
        <v>1910.90683023872</v>
      </c>
      <c r="G4304" s="1">
        <v>3</v>
      </c>
      <c r="H4304" s="1">
        <v>1</v>
      </c>
      <c r="I4304" s="1">
        <v>1</v>
      </c>
      <c r="J4304" s="1">
        <v>1</v>
      </c>
      <c r="K4304" s="1">
        <v>1</v>
      </c>
      <c r="M4304" s="1">
        <v>754</v>
      </c>
      <c r="N4304" s="1">
        <v>1070</v>
      </c>
      <c r="O4304" s="1">
        <v>1303</v>
      </c>
      <c r="P4304" s="1">
        <v>233</v>
      </c>
      <c r="Q4304" s="1" t="s">
        <v>42</v>
      </c>
      <c r="S4304" s="1" t="s">
        <v>42</v>
      </c>
      <c r="T4304" s="1" t="s">
        <v>273</v>
      </c>
      <c r="U4304" s="1">
        <v>8</v>
      </c>
      <c r="V4304" s="5">
        <v>42574</v>
      </c>
      <c r="W4304" s="5">
        <v>42101</v>
      </c>
      <c r="X4304" s="1">
        <v>1415000</v>
      </c>
      <c r="Y4304" s="1">
        <v>1415000</v>
      </c>
      <c r="Z4304" s="5">
        <v>42110</v>
      </c>
      <c r="AA4304" s="1">
        <v>1440823.75</v>
      </c>
      <c r="AB4304" s="1" t="s">
        <v>3009</v>
      </c>
      <c r="AC4304" s="5">
        <v>42171</v>
      </c>
      <c r="AF4304" s="1">
        <v>10016</v>
      </c>
      <c r="AI4304" s="1" t="s">
        <v>60</v>
      </c>
      <c r="AJ4304" s="1">
        <v>2014</v>
      </c>
      <c r="AK4304" s="1" t="s">
        <v>108</v>
      </c>
      <c r="AL4304" s="1">
        <v>125</v>
      </c>
    </row>
    <row r="4305" spans="1:38" x14ac:dyDescent="0.2">
      <c r="A4305" s="2" t="str">
        <f>HYPERLINK("https://www.compass.com/listing/325-lexington-avenue-unit-14b-manhattan-ny-10016/783218028408301929/","325 Lexington Ave, Unit 14B")</f>
        <v>325 Lexington Ave, Unit 14B</v>
      </c>
      <c r="B4305" s="2" t="str">
        <f t="shared" si="734"/>
        <v>325 Lex Condominium</v>
      </c>
      <c r="C4305" s="1" t="s">
        <v>59</v>
      </c>
      <c r="D4305" s="1" t="s">
        <v>41</v>
      </c>
      <c r="E4305" s="3">
        <v>1349181</v>
      </c>
      <c r="F4305" s="1">
        <v>2085.28786707882</v>
      </c>
      <c r="G4305" s="1">
        <v>3</v>
      </c>
      <c r="H4305" s="1">
        <v>1</v>
      </c>
      <c r="I4305" s="1">
        <v>1</v>
      </c>
      <c r="J4305" s="1">
        <v>1</v>
      </c>
      <c r="K4305" s="1">
        <v>1</v>
      </c>
      <c r="M4305" s="1">
        <v>647</v>
      </c>
      <c r="N4305" s="1">
        <v>901</v>
      </c>
      <c r="O4305" s="1">
        <v>1097</v>
      </c>
      <c r="P4305" s="1">
        <v>196</v>
      </c>
      <c r="Q4305" s="1" t="s">
        <v>42</v>
      </c>
      <c r="S4305" s="1" t="s">
        <v>42</v>
      </c>
      <c r="T4305" s="1" t="s">
        <v>273</v>
      </c>
      <c r="U4305" s="1">
        <v>61</v>
      </c>
      <c r="V4305" s="5">
        <v>42349</v>
      </c>
      <c r="W4305" s="5">
        <v>42233</v>
      </c>
      <c r="X4305" s="1">
        <v>1325000</v>
      </c>
      <c r="Y4305" s="1">
        <v>1325000</v>
      </c>
      <c r="Z4305" s="5">
        <v>42295</v>
      </c>
      <c r="AA4305" s="1">
        <v>1349181.25</v>
      </c>
      <c r="AB4305" s="1" t="s">
        <v>3010</v>
      </c>
      <c r="AC4305" s="5">
        <v>42324</v>
      </c>
      <c r="AF4305" s="1">
        <v>10016</v>
      </c>
      <c r="AI4305" s="1" t="s">
        <v>60</v>
      </c>
      <c r="AJ4305" s="1">
        <v>2014</v>
      </c>
      <c r="AK4305" s="1" t="s">
        <v>108</v>
      </c>
      <c r="AL4305" s="1">
        <v>125</v>
      </c>
    </row>
    <row r="4306" spans="1:38" x14ac:dyDescent="0.2">
      <c r="A4306" s="2" t="str">
        <f>HYPERLINK("https://www.compass.com/listing/325-lexington-avenue-unit-19b-manhattan-ny-10016/783346286483573977/","325 Lexington Ave, Unit 19B")</f>
        <v>325 Lexington Ave, Unit 19B</v>
      </c>
      <c r="B4306" s="2" t="str">
        <f t="shared" si="734"/>
        <v>325 Lex Condominium</v>
      </c>
      <c r="C4306" s="1" t="s">
        <v>59</v>
      </c>
      <c r="D4306" s="1" t="s">
        <v>41</v>
      </c>
      <c r="E4306" s="3">
        <v>1471371</v>
      </c>
      <c r="F4306" s="1">
        <v>2274.14412673879</v>
      </c>
      <c r="G4306" s="1">
        <v>3</v>
      </c>
      <c r="H4306" s="1">
        <v>1</v>
      </c>
      <c r="I4306" s="1">
        <v>1</v>
      </c>
      <c r="J4306" s="1">
        <v>1</v>
      </c>
      <c r="K4306" s="1">
        <v>1</v>
      </c>
      <c r="M4306" s="1">
        <v>647</v>
      </c>
      <c r="N4306" s="1">
        <v>922</v>
      </c>
      <c r="O4306" s="1">
        <v>1123</v>
      </c>
      <c r="P4306" s="1">
        <v>201</v>
      </c>
      <c r="Q4306" s="1" t="s">
        <v>42</v>
      </c>
      <c r="S4306" s="1" t="s">
        <v>42</v>
      </c>
      <c r="T4306" s="1" t="s">
        <v>273</v>
      </c>
      <c r="U4306" s="1">
        <v>103</v>
      </c>
      <c r="V4306" s="5">
        <v>42574</v>
      </c>
      <c r="W4306" s="5">
        <v>42165</v>
      </c>
      <c r="X4306" s="1">
        <v>1445000</v>
      </c>
      <c r="Y4306" s="1">
        <v>1445000</v>
      </c>
      <c r="Z4306" s="5">
        <v>42269</v>
      </c>
      <c r="AA4306" s="1">
        <v>1471371.25</v>
      </c>
      <c r="AB4306" s="1" t="s">
        <v>3011</v>
      </c>
      <c r="AC4306" s="5">
        <v>42320</v>
      </c>
      <c r="AF4306" s="1">
        <v>10016</v>
      </c>
      <c r="AI4306" s="1" t="s">
        <v>60</v>
      </c>
      <c r="AJ4306" s="1">
        <v>2014</v>
      </c>
      <c r="AK4306" s="1" t="s">
        <v>108</v>
      </c>
      <c r="AL4306" s="1">
        <v>125</v>
      </c>
    </row>
    <row r="4307" spans="1:38" x14ac:dyDescent="0.2">
      <c r="A4307" s="2" t="str">
        <f>HYPERLINK("https://www.compass.com/listing/325-lexington-avenue-unit-18d-manhattan-ny-10016/803310036336231297/","325 Lexington Ave, Unit 18D")</f>
        <v>325 Lexington Ave, Unit 18D</v>
      </c>
      <c r="B4307" s="2" t="str">
        <f t="shared" si="734"/>
        <v>325 Lex Condominium</v>
      </c>
      <c r="C4307" s="1" t="s">
        <v>59</v>
      </c>
      <c r="D4307" s="1" t="s">
        <v>41</v>
      </c>
      <c r="E4307" s="3">
        <v>1440824</v>
      </c>
      <c r="F4307" s="1">
        <v>1910.90683023872</v>
      </c>
      <c r="G4307" s="1">
        <v>3</v>
      </c>
      <c r="H4307" s="1">
        <v>1</v>
      </c>
      <c r="I4307" s="1">
        <v>1</v>
      </c>
      <c r="J4307" s="1">
        <v>1</v>
      </c>
      <c r="K4307" s="1">
        <v>1</v>
      </c>
      <c r="M4307" s="1">
        <v>754</v>
      </c>
      <c r="Q4307" s="1" t="s">
        <v>42</v>
      </c>
      <c r="S4307" s="1" t="s">
        <v>42</v>
      </c>
      <c r="T4307" s="1" t="s">
        <v>273</v>
      </c>
      <c r="U4307" s="1">
        <v>146</v>
      </c>
      <c r="V4307" s="5">
        <v>42993</v>
      </c>
      <c r="W4307" s="5">
        <v>41964</v>
      </c>
      <c r="AA4307" s="1">
        <v>1440823.75</v>
      </c>
      <c r="AB4307" s="1" t="s">
        <v>3009</v>
      </c>
      <c r="AC4307" s="5">
        <v>42171</v>
      </c>
      <c r="AF4307" s="1">
        <v>10016</v>
      </c>
      <c r="AI4307" s="1" t="s">
        <v>60</v>
      </c>
      <c r="AJ4307" s="1">
        <v>2014</v>
      </c>
      <c r="AK4307" s="1" t="s">
        <v>108</v>
      </c>
      <c r="AL4307" s="1">
        <v>125</v>
      </c>
    </row>
    <row r="4308" spans="1:38" x14ac:dyDescent="0.2">
      <c r="A4308" s="2" t="str">
        <f>HYPERLINK("https://www.compass.com/listing/325-lexington-avenue-unit-19d-manhattan-ny-10016/803326750561989665/","325 Lexington Ave, Unit 19D")</f>
        <v>325 Lexington Ave, Unit 19D</v>
      </c>
      <c r="B4308" s="2" t="str">
        <f t="shared" si="734"/>
        <v>325 Lex Condominium</v>
      </c>
      <c r="C4308" s="1" t="s">
        <v>59</v>
      </c>
      <c r="D4308" s="1" t="s">
        <v>41</v>
      </c>
      <c r="E4308" s="3">
        <v>1461189</v>
      </c>
      <c r="F4308" s="1">
        <v>1937.9161140583501</v>
      </c>
      <c r="G4308" s="1">
        <v>3</v>
      </c>
      <c r="H4308" s="1">
        <v>1</v>
      </c>
      <c r="I4308" s="1">
        <v>1</v>
      </c>
      <c r="J4308" s="1">
        <v>1</v>
      </c>
      <c r="K4308" s="1">
        <v>1</v>
      </c>
      <c r="M4308" s="1">
        <v>754</v>
      </c>
      <c r="Q4308" s="1" t="s">
        <v>42</v>
      </c>
      <c r="S4308" s="1" t="s">
        <v>42</v>
      </c>
      <c r="T4308" s="1" t="s">
        <v>273</v>
      </c>
      <c r="U4308" s="1">
        <v>121</v>
      </c>
      <c r="V4308" s="5">
        <v>42993</v>
      </c>
      <c r="W4308" s="5">
        <v>41989</v>
      </c>
      <c r="AA4308" s="1">
        <v>1461188.75</v>
      </c>
      <c r="AB4308" s="1" t="s">
        <v>3004</v>
      </c>
      <c r="AC4308" s="5">
        <v>42195</v>
      </c>
      <c r="AF4308" s="1">
        <v>10016</v>
      </c>
      <c r="AI4308" s="1" t="s">
        <v>60</v>
      </c>
      <c r="AJ4308" s="1">
        <v>2014</v>
      </c>
      <c r="AK4308" s="1" t="s">
        <v>108</v>
      </c>
      <c r="AL4308" s="1">
        <v>125</v>
      </c>
    </row>
    <row r="4309" spans="1:38" x14ac:dyDescent="0.2">
      <c r="A4309" s="2" t="str">
        <f>HYPERLINK("https://www.compass.com/listing/1-west-end-avenue-unit-21b-manhattan-ny-10069/29397333825292273/","1 W End Ave, Unit 21B")</f>
        <v>1 W End Ave, Unit 21B</v>
      </c>
      <c r="B4309" s="2" t="str">
        <f t="shared" ref="B4309:B4316" si="735">HYPERLINK("https://www.compass.com/building/1-w-end-ave-manhattan-ny-10069/455676159137755317/","1 W End Ave")</f>
        <v>1 W End Ave</v>
      </c>
      <c r="C4309" s="1" t="s">
        <v>57</v>
      </c>
      <c r="D4309" s="1" t="s">
        <v>41</v>
      </c>
      <c r="E4309" s="3">
        <v>3396289</v>
      </c>
      <c r="F4309" s="1">
        <v>2014.40628706998</v>
      </c>
      <c r="G4309" s="1">
        <v>5</v>
      </c>
      <c r="H4309" s="1">
        <v>3</v>
      </c>
      <c r="I4309" s="1">
        <v>3</v>
      </c>
      <c r="J4309" s="1">
        <v>3</v>
      </c>
      <c r="K4309" s="1">
        <v>3</v>
      </c>
      <c r="M4309" s="4">
        <v>1686</v>
      </c>
      <c r="N4309" s="1">
        <v>2073</v>
      </c>
      <c r="O4309" s="1">
        <v>2197</v>
      </c>
      <c r="P4309" s="1">
        <v>124</v>
      </c>
      <c r="Q4309" s="1" t="s">
        <v>42</v>
      </c>
      <c r="S4309" s="1" t="s">
        <v>42</v>
      </c>
      <c r="T4309" s="1" t="s">
        <v>273</v>
      </c>
      <c r="U4309" s="1">
        <v>134</v>
      </c>
      <c r="V4309" s="5">
        <v>43673</v>
      </c>
      <c r="W4309" s="5">
        <v>42235</v>
      </c>
      <c r="X4309" s="1">
        <v>3325000</v>
      </c>
      <c r="Y4309" s="1">
        <v>3325000</v>
      </c>
      <c r="Z4309" s="5">
        <v>42369</v>
      </c>
      <c r="AA4309" s="1">
        <v>3396289</v>
      </c>
      <c r="AB4309" s="1" t="s">
        <v>3012</v>
      </c>
      <c r="AC4309" s="5">
        <v>43005</v>
      </c>
      <c r="AF4309" s="1">
        <v>10069</v>
      </c>
      <c r="AI4309" s="1" t="s">
        <v>60</v>
      </c>
      <c r="AJ4309" s="1">
        <v>2017</v>
      </c>
      <c r="AK4309" s="1" t="s">
        <v>108</v>
      </c>
      <c r="AL4309" s="1">
        <v>246</v>
      </c>
    </row>
    <row r="4310" spans="1:38" x14ac:dyDescent="0.2">
      <c r="A4310" s="2" t="str">
        <f>HYPERLINK("https://www.compass.com/listing/1-west-end-avenue-unit-22b-manhattan-ny-10069/29397334219575153/","1 W End Ave, Unit 22B")</f>
        <v>1 W End Ave, Unit 22B</v>
      </c>
      <c r="B4310" s="2" t="str">
        <f t="shared" si="735"/>
        <v>1 W End Ave</v>
      </c>
      <c r="C4310" s="1" t="s">
        <v>57</v>
      </c>
      <c r="D4310" s="1" t="s">
        <v>41</v>
      </c>
      <c r="E4310" s="3">
        <v>3431927</v>
      </c>
      <c r="F4310" s="1">
        <v>2035.5438908659501</v>
      </c>
      <c r="G4310" s="1">
        <v>5</v>
      </c>
      <c r="H4310" s="1">
        <v>3</v>
      </c>
      <c r="I4310" s="1">
        <v>3</v>
      </c>
      <c r="J4310" s="1">
        <v>3</v>
      </c>
      <c r="K4310" s="1">
        <v>3</v>
      </c>
      <c r="M4310" s="4">
        <v>1686</v>
      </c>
      <c r="N4310" s="1">
        <v>2073</v>
      </c>
      <c r="O4310" s="1">
        <v>2197</v>
      </c>
      <c r="P4310" s="1">
        <v>124</v>
      </c>
      <c r="Q4310" s="1" t="s">
        <v>42</v>
      </c>
      <c r="S4310" s="1" t="s">
        <v>42</v>
      </c>
      <c r="T4310" s="1" t="s">
        <v>273</v>
      </c>
      <c r="U4310" s="1">
        <v>23</v>
      </c>
      <c r="V4310" s="5">
        <v>43623</v>
      </c>
      <c r="W4310" s="5">
        <v>42549</v>
      </c>
      <c r="X4310" s="1">
        <v>3360000</v>
      </c>
      <c r="Y4310" s="1">
        <v>3360000</v>
      </c>
      <c r="Z4310" s="5">
        <v>42572</v>
      </c>
      <c r="AA4310" s="1">
        <v>3431927</v>
      </c>
      <c r="AB4310" s="1" t="s">
        <v>3013</v>
      </c>
      <c r="AC4310" s="5">
        <v>42997</v>
      </c>
      <c r="AF4310" s="1">
        <v>10069</v>
      </c>
      <c r="AI4310" s="1" t="s">
        <v>60</v>
      </c>
      <c r="AJ4310" s="1">
        <v>2017</v>
      </c>
      <c r="AK4310" s="1" t="s">
        <v>108</v>
      </c>
      <c r="AL4310" s="1">
        <v>246</v>
      </c>
    </row>
    <row r="4311" spans="1:38" x14ac:dyDescent="0.2">
      <c r="A4311" s="2" t="str">
        <f>HYPERLINK("https://www.compass.com/listing/1-west-end-avenue-unit-24b-manhattan-ny-10069/29397335058417681/","1 W End Ave, Unit 24B")</f>
        <v>1 W End Ave, Unit 24B</v>
      </c>
      <c r="B4311" s="2" t="str">
        <f t="shared" si="735"/>
        <v>1 W End Ave</v>
      </c>
      <c r="C4311" s="1" t="s">
        <v>57</v>
      </c>
      <c r="D4311" s="1" t="s">
        <v>41</v>
      </c>
      <c r="E4311" s="3">
        <v>3503205</v>
      </c>
      <c r="F4311" s="1">
        <v>2077.8202846975</v>
      </c>
      <c r="G4311" s="1">
        <v>5</v>
      </c>
      <c r="H4311" s="1">
        <v>3</v>
      </c>
      <c r="I4311" s="1">
        <v>3</v>
      </c>
      <c r="J4311" s="1">
        <v>3</v>
      </c>
      <c r="K4311" s="1">
        <v>3</v>
      </c>
      <c r="M4311" s="4">
        <v>1686</v>
      </c>
      <c r="N4311" s="1">
        <v>2073</v>
      </c>
      <c r="O4311" s="1">
        <v>2197</v>
      </c>
      <c r="P4311" s="1">
        <v>124</v>
      </c>
      <c r="Q4311" s="1" t="s">
        <v>42</v>
      </c>
      <c r="S4311" s="1" t="s">
        <v>42</v>
      </c>
      <c r="T4311" s="1" t="s">
        <v>273</v>
      </c>
      <c r="V4311" s="5">
        <v>43630</v>
      </c>
      <c r="W4311" s="5">
        <v>42578</v>
      </c>
      <c r="X4311" s="1">
        <v>3430000</v>
      </c>
      <c r="Y4311" s="1">
        <v>3430000</v>
      </c>
      <c r="Z4311" s="5">
        <v>42578</v>
      </c>
      <c r="AA4311" s="1">
        <v>3503205</v>
      </c>
      <c r="AB4311" s="1" t="s">
        <v>3014</v>
      </c>
      <c r="AC4311" s="5">
        <v>43025</v>
      </c>
      <c r="AF4311" s="1">
        <v>10069</v>
      </c>
      <c r="AI4311" s="1" t="s">
        <v>60</v>
      </c>
      <c r="AJ4311" s="1">
        <v>2017</v>
      </c>
      <c r="AK4311" s="1" t="s">
        <v>108</v>
      </c>
      <c r="AL4311" s="1">
        <v>246</v>
      </c>
    </row>
    <row r="4312" spans="1:38" x14ac:dyDescent="0.2">
      <c r="A4312" s="2" t="str">
        <f>HYPERLINK("https://www.compass.com/listing/1-west-end-avenue-unit-25b-manhattan-ny-10069/29397335486254977/","1 W End Ave, Unit 25B")</f>
        <v>1 W End Ave, Unit 25B</v>
      </c>
      <c r="B4312" s="2" t="str">
        <f t="shared" si="735"/>
        <v>1 W End Ave</v>
      </c>
      <c r="C4312" s="1" t="s">
        <v>57</v>
      </c>
      <c r="D4312" s="1" t="s">
        <v>41</v>
      </c>
      <c r="E4312" s="3">
        <v>3475417</v>
      </c>
      <c r="F4312" s="1">
        <v>2060.1167753408399</v>
      </c>
      <c r="G4312" s="1">
        <v>5</v>
      </c>
      <c r="H4312" s="1">
        <v>3</v>
      </c>
      <c r="I4312" s="1">
        <v>3</v>
      </c>
      <c r="J4312" s="1">
        <v>3</v>
      </c>
      <c r="K4312" s="1">
        <v>3</v>
      </c>
      <c r="M4312" s="4">
        <v>1687</v>
      </c>
      <c r="N4312" s="1">
        <v>2074</v>
      </c>
      <c r="O4312" s="1">
        <v>2198</v>
      </c>
      <c r="P4312" s="1">
        <v>124</v>
      </c>
      <c r="Q4312" s="1" t="s">
        <v>42</v>
      </c>
      <c r="S4312" s="1" t="s">
        <v>42</v>
      </c>
      <c r="T4312" s="1" t="s">
        <v>273</v>
      </c>
      <c r="U4312" s="1">
        <v>59</v>
      </c>
      <c r="V4312" s="5">
        <v>43649</v>
      </c>
      <c r="W4312" s="5">
        <v>42563</v>
      </c>
      <c r="X4312" s="1">
        <v>3465000</v>
      </c>
      <c r="Y4312" s="1">
        <v>3465000</v>
      </c>
      <c r="Z4312" s="5">
        <v>42622</v>
      </c>
      <c r="AA4312" s="1">
        <v>3475417</v>
      </c>
      <c r="AB4312" s="1" t="s">
        <v>3015</v>
      </c>
      <c r="AC4312" s="5">
        <v>43035</v>
      </c>
      <c r="AF4312" s="1">
        <v>10069</v>
      </c>
      <c r="AI4312" s="1" t="s">
        <v>60</v>
      </c>
      <c r="AJ4312" s="1">
        <v>2017</v>
      </c>
      <c r="AK4312" s="1" t="s">
        <v>108</v>
      </c>
      <c r="AL4312" s="1">
        <v>246</v>
      </c>
    </row>
    <row r="4313" spans="1:38" x14ac:dyDescent="0.2">
      <c r="A4313" s="2" t="str">
        <f>HYPERLINK("https://www.compass.com/listing/1-west-end-avenue-unit-26b-manhattan-ny-10069/29397335888984369/","1 W End Ave, Unit 26B")</f>
        <v>1 W End Ave, Unit 26B</v>
      </c>
      <c r="B4313" s="2" t="str">
        <f t="shared" si="735"/>
        <v>1 W End Ave</v>
      </c>
      <c r="C4313" s="1" t="s">
        <v>57</v>
      </c>
      <c r="D4313" s="1" t="s">
        <v>41</v>
      </c>
      <c r="E4313" s="3">
        <v>3574482</v>
      </c>
      <c r="F4313" s="1">
        <v>2118.8393598103098</v>
      </c>
      <c r="G4313" s="1">
        <v>5</v>
      </c>
      <c r="H4313" s="1">
        <v>3</v>
      </c>
      <c r="I4313" s="1">
        <v>3</v>
      </c>
      <c r="J4313" s="1">
        <v>3</v>
      </c>
      <c r="K4313" s="1">
        <v>3</v>
      </c>
      <c r="M4313" s="4">
        <v>1687</v>
      </c>
      <c r="N4313" s="1">
        <v>2074</v>
      </c>
      <c r="O4313" s="1">
        <v>2198</v>
      </c>
      <c r="P4313" s="1">
        <v>124</v>
      </c>
      <c r="Q4313" s="1" t="s">
        <v>42</v>
      </c>
      <c r="S4313" s="1" t="s">
        <v>42</v>
      </c>
      <c r="T4313" s="1" t="s">
        <v>273</v>
      </c>
      <c r="U4313" s="1">
        <v>46</v>
      </c>
      <c r="V4313" s="5">
        <v>43624</v>
      </c>
      <c r="W4313" s="5">
        <v>42203</v>
      </c>
      <c r="X4313" s="1">
        <v>3500000</v>
      </c>
      <c r="Y4313" s="1">
        <v>3500000</v>
      </c>
      <c r="Z4313" s="5">
        <v>42249</v>
      </c>
      <c r="AA4313" s="1">
        <v>3574482</v>
      </c>
      <c r="AB4313" s="1" t="s">
        <v>3016</v>
      </c>
      <c r="AC4313" s="5">
        <v>43070</v>
      </c>
      <c r="AF4313" s="1">
        <v>10069</v>
      </c>
      <c r="AI4313" s="1" t="s">
        <v>60</v>
      </c>
      <c r="AJ4313" s="1">
        <v>2017</v>
      </c>
      <c r="AK4313" s="1" t="s">
        <v>108</v>
      </c>
      <c r="AL4313" s="1">
        <v>246</v>
      </c>
    </row>
    <row r="4314" spans="1:38" x14ac:dyDescent="0.2">
      <c r="A4314" s="2" t="str">
        <f>HYPERLINK("https://www.compass.com/listing/1-west-end-avenue-unit-27b-manhattan-ny-10069/29397336232822817/","1 W End Ave, Unit 27B")</f>
        <v>1 W End Ave, Unit 27B</v>
      </c>
      <c r="B4314" s="2" t="str">
        <f t="shared" si="735"/>
        <v>1 W End Ave</v>
      </c>
      <c r="C4314" s="1" t="s">
        <v>57</v>
      </c>
      <c r="D4314" s="1" t="s">
        <v>41</v>
      </c>
      <c r="E4314" s="3">
        <v>3627941</v>
      </c>
      <c r="F4314" s="1">
        <v>2150.52815649081</v>
      </c>
      <c r="G4314" s="1">
        <v>5</v>
      </c>
      <c r="H4314" s="1">
        <v>3</v>
      </c>
      <c r="I4314" s="1">
        <v>3</v>
      </c>
      <c r="J4314" s="1">
        <v>3</v>
      </c>
      <c r="K4314" s="1">
        <v>3</v>
      </c>
      <c r="M4314" s="4">
        <v>1687</v>
      </c>
      <c r="N4314" s="1">
        <v>2074</v>
      </c>
      <c r="O4314" s="1">
        <v>2198</v>
      </c>
      <c r="P4314" s="1">
        <v>124</v>
      </c>
      <c r="Q4314" s="1" t="s">
        <v>42</v>
      </c>
      <c r="S4314" s="1" t="s">
        <v>42</v>
      </c>
      <c r="T4314" s="1" t="s">
        <v>273</v>
      </c>
      <c r="U4314" s="1">
        <v>76</v>
      </c>
      <c r="V4314" s="5">
        <v>43624</v>
      </c>
      <c r="W4314" s="5">
        <v>42602</v>
      </c>
      <c r="X4314" s="1">
        <v>3552500</v>
      </c>
      <c r="Y4314" s="1">
        <v>3552500</v>
      </c>
      <c r="Z4314" s="5">
        <v>42678</v>
      </c>
      <c r="AA4314" s="1">
        <v>3627941</v>
      </c>
      <c r="AB4314" s="1" t="s">
        <v>3017</v>
      </c>
      <c r="AC4314" s="5">
        <v>43036</v>
      </c>
      <c r="AF4314" s="1">
        <v>10069</v>
      </c>
      <c r="AI4314" s="1" t="s">
        <v>60</v>
      </c>
      <c r="AJ4314" s="1">
        <v>2017</v>
      </c>
      <c r="AK4314" s="1" t="s">
        <v>108</v>
      </c>
      <c r="AL4314" s="1">
        <v>246</v>
      </c>
    </row>
    <row r="4315" spans="1:38" x14ac:dyDescent="0.2">
      <c r="A4315" s="2" t="str">
        <f>HYPERLINK("https://www.compass.com/listing/1-west-end-avenue-unit-28b-manhattan-ny-10069/29397336585162641/","1 W End Ave, Unit 28B")</f>
        <v>1 W End Ave, Unit 28B</v>
      </c>
      <c r="B4315" s="2" t="str">
        <f t="shared" si="735"/>
        <v>1 W End Ave</v>
      </c>
      <c r="C4315" s="1" t="s">
        <v>57</v>
      </c>
      <c r="D4315" s="1" t="s">
        <v>41</v>
      </c>
      <c r="E4315" s="3">
        <v>3699218</v>
      </c>
      <c r="F4315" s="1">
        <v>2192.77889745109</v>
      </c>
      <c r="G4315" s="1">
        <v>5</v>
      </c>
      <c r="H4315" s="1">
        <v>3</v>
      </c>
      <c r="I4315" s="1">
        <v>3</v>
      </c>
      <c r="J4315" s="1">
        <v>3</v>
      </c>
      <c r="K4315" s="1">
        <v>3</v>
      </c>
      <c r="M4315" s="4">
        <v>1687</v>
      </c>
      <c r="N4315" s="1">
        <v>2074</v>
      </c>
      <c r="O4315" s="1">
        <v>2198</v>
      </c>
      <c r="P4315" s="1">
        <v>124</v>
      </c>
      <c r="Q4315" s="1" t="s">
        <v>42</v>
      </c>
      <c r="S4315" s="1" t="s">
        <v>42</v>
      </c>
      <c r="T4315" s="1" t="s">
        <v>273</v>
      </c>
      <c r="U4315" s="1">
        <v>19</v>
      </c>
      <c r="V4315" s="5">
        <v>43649</v>
      </c>
      <c r="W4315" s="5">
        <v>42667</v>
      </c>
      <c r="X4315" s="1">
        <v>3622500</v>
      </c>
      <c r="Y4315" s="1">
        <v>3622500</v>
      </c>
      <c r="Z4315" s="5">
        <v>42686</v>
      </c>
      <c r="AA4315" s="1">
        <v>3699218</v>
      </c>
      <c r="AB4315" s="1" t="s">
        <v>3018</v>
      </c>
      <c r="AC4315" s="5">
        <v>43110</v>
      </c>
      <c r="AF4315" s="1">
        <v>10069</v>
      </c>
      <c r="AI4315" s="1" t="s">
        <v>60</v>
      </c>
      <c r="AJ4315" s="1">
        <v>2017</v>
      </c>
      <c r="AK4315" s="1" t="s">
        <v>108</v>
      </c>
      <c r="AL4315" s="1">
        <v>246</v>
      </c>
    </row>
    <row r="4316" spans="1:38" x14ac:dyDescent="0.2">
      <c r="A4316" s="2" t="str">
        <f>HYPERLINK("https://www.compass.com/listing/1-west-end-avenue-unit-23b-manhattan-ny-10069/803305709592829601/","1 W End Ave, Unit 23B")</f>
        <v>1 W End Ave, Unit 23B</v>
      </c>
      <c r="B4316" s="2" t="str">
        <f t="shared" si="735"/>
        <v>1 W End Ave</v>
      </c>
      <c r="C4316" s="1" t="s">
        <v>57</v>
      </c>
      <c r="D4316" s="1" t="s">
        <v>41</v>
      </c>
      <c r="E4316" s="3">
        <v>3467566</v>
      </c>
      <c r="F4316" s="1">
        <v>2056.6821826809</v>
      </c>
      <c r="G4316" s="1">
        <v>5</v>
      </c>
      <c r="H4316" s="1">
        <v>3</v>
      </c>
      <c r="I4316" s="1">
        <v>3</v>
      </c>
      <c r="J4316" s="1">
        <v>3</v>
      </c>
      <c r="K4316" s="1">
        <v>3</v>
      </c>
      <c r="M4316" s="4">
        <v>1686</v>
      </c>
      <c r="N4316" s="1">
        <v>2074</v>
      </c>
      <c r="O4316" s="1">
        <v>2198</v>
      </c>
      <c r="P4316" s="1">
        <v>124</v>
      </c>
      <c r="Q4316" s="1" t="s">
        <v>42</v>
      </c>
      <c r="S4316" s="1" t="s">
        <v>42</v>
      </c>
      <c r="T4316" s="1" t="s">
        <v>273</v>
      </c>
      <c r="V4316" s="5">
        <v>43147</v>
      </c>
      <c r="W4316" s="5">
        <v>43146</v>
      </c>
      <c r="Y4316" s="1">
        <v>3395000</v>
      </c>
      <c r="Z4316" s="5">
        <v>42564</v>
      </c>
      <c r="AA4316" s="1">
        <v>3467566.16</v>
      </c>
      <c r="AB4316" s="1" t="s">
        <v>3019</v>
      </c>
      <c r="AC4316" s="5">
        <v>43213</v>
      </c>
      <c r="AF4316" s="1">
        <v>10069</v>
      </c>
      <c r="AI4316" s="1" t="s">
        <v>76</v>
      </c>
      <c r="AJ4316" s="1">
        <v>2017</v>
      </c>
      <c r="AK4316" s="1" t="s">
        <v>108</v>
      </c>
      <c r="AL4316" s="1">
        <v>246</v>
      </c>
    </row>
    <row r="4317" spans="1:38" x14ac:dyDescent="0.2">
      <c r="A4317" s="2" t="str">
        <f>HYPERLINK("https://www.compass.com/listing/416-west-52nd-street-unit-622-manhattan-ny-10019/29389285115418113/","416 W 52nd St, Unit 622")</f>
        <v>416 W 52nd St, Unit 622</v>
      </c>
      <c r="B4317" s="2" t="str">
        <f>HYPERLINK("https://www.compass.com/building/nine52-manhattan-ny/281945622951555813/","Nine52")</f>
        <v>Nine52</v>
      </c>
      <c r="C4317" s="1" t="s">
        <v>90</v>
      </c>
      <c r="D4317" s="1" t="s">
        <v>41</v>
      </c>
      <c r="E4317" s="3">
        <v>1255607</v>
      </c>
      <c r="G4317" s="1">
        <v>3</v>
      </c>
      <c r="H4317" s="1">
        <v>1</v>
      </c>
      <c r="I4317" s="1">
        <v>1</v>
      </c>
      <c r="J4317" s="1">
        <v>1</v>
      </c>
      <c r="K4317" s="1">
        <v>1</v>
      </c>
      <c r="N4317" s="1">
        <v>602</v>
      </c>
      <c r="O4317" s="1">
        <v>1657</v>
      </c>
      <c r="P4317" s="1">
        <v>1055</v>
      </c>
      <c r="Q4317" s="1" t="s">
        <v>42</v>
      </c>
      <c r="S4317" s="1" t="s">
        <v>42</v>
      </c>
      <c r="T4317" s="1" t="s">
        <v>273</v>
      </c>
      <c r="V4317" s="5">
        <v>43675</v>
      </c>
      <c r="W4317" s="5">
        <v>42623</v>
      </c>
      <c r="X4317" s="1">
        <v>1259000</v>
      </c>
      <c r="Y4317" s="1">
        <v>1259000</v>
      </c>
      <c r="Z4317" s="5">
        <v>42623</v>
      </c>
      <c r="AA4317" s="1">
        <v>1255607</v>
      </c>
      <c r="AB4317" s="1" t="s">
        <v>3020</v>
      </c>
      <c r="AC4317" s="5">
        <v>42661</v>
      </c>
      <c r="AF4317" s="1">
        <v>10019</v>
      </c>
      <c r="AI4317" s="1" t="s">
        <v>48</v>
      </c>
      <c r="AJ4317" s="1">
        <v>1940</v>
      </c>
      <c r="AK4317" s="1" t="s">
        <v>108</v>
      </c>
      <c r="AL4317" s="1">
        <v>155</v>
      </c>
    </row>
    <row r="4318" spans="1:38" x14ac:dyDescent="0.2">
      <c r="A4318" s="2" t="str">
        <f>HYPERLINK("https://www.compass.com/listing/305-west-150th-street-unit-107-manhattan-ny-10039/181028236954803745/","305 W 150th St, Unit 107")</f>
        <v>305 W 150th St, Unit 107</v>
      </c>
      <c r="B4318" s="2" t="str">
        <f t="shared" ref="B4318:B4326" si="736">HYPERLINK("https://www.compass.com/building/305-w-150th-st-manhattan-ny-10039/282032234968400245/","305 W 150th St")</f>
        <v>305 W 150th St</v>
      </c>
      <c r="C4318" s="1" t="s">
        <v>84</v>
      </c>
      <c r="D4318" s="1" t="s">
        <v>41</v>
      </c>
      <c r="E4318" s="3">
        <v>349323</v>
      </c>
      <c r="F4318" s="1">
        <v>612.84736842105201</v>
      </c>
      <c r="G4318" s="1">
        <v>3</v>
      </c>
      <c r="H4318" s="1">
        <v>1</v>
      </c>
      <c r="I4318" s="1">
        <v>1</v>
      </c>
      <c r="J4318" s="1">
        <v>1</v>
      </c>
      <c r="K4318" s="1">
        <v>1</v>
      </c>
      <c r="M4318" s="1">
        <v>570</v>
      </c>
      <c r="N4318" s="1">
        <v>293.17</v>
      </c>
      <c r="O4318" s="1">
        <v>539.41999999999996</v>
      </c>
      <c r="P4318" s="1">
        <v>246.25</v>
      </c>
      <c r="Q4318" s="1" t="s">
        <v>42</v>
      </c>
      <c r="S4318" s="1" t="s">
        <v>42</v>
      </c>
      <c r="T4318" s="1" t="s">
        <v>273</v>
      </c>
      <c r="U4318" s="1">
        <v>69</v>
      </c>
      <c r="V4318" s="5">
        <v>42203</v>
      </c>
      <c r="W4318" s="5">
        <v>41705</v>
      </c>
      <c r="X4318" s="1">
        <v>344500</v>
      </c>
      <c r="Y4318" s="1">
        <v>344500</v>
      </c>
      <c r="Z4318" s="5">
        <v>41775</v>
      </c>
      <c r="AA4318" s="1">
        <v>349323</v>
      </c>
      <c r="AB4318" s="1" t="s">
        <v>3021</v>
      </c>
      <c r="AC4318" s="5">
        <v>42180</v>
      </c>
      <c r="AF4318" s="1">
        <v>10039</v>
      </c>
      <c r="AJ4318" s="1">
        <v>1921</v>
      </c>
      <c r="AK4318" s="1" t="s">
        <v>143</v>
      </c>
      <c r="AL4318" s="1">
        <v>84</v>
      </c>
    </row>
    <row r="4319" spans="1:38" x14ac:dyDescent="0.2">
      <c r="A4319" s="2" t="str">
        <f>HYPERLINK("https://www.compass.com/listing/305-west-150th-street-unit-307-manhattan-ny-10039/181028314658417681/","305 W 150th St, Unit 307")</f>
        <v>305 W 150th St, Unit 307</v>
      </c>
      <c r="B4319" s="2" t="str">
        <f t="shared" si="736"/>
        <v>305 W 150th St</v>
      </c>
      <c r="C4319" s="1" t="s">
        <v>84</v>
      </c>
      <c r="D4319" s="1" t="s">
        <v>41</v>
      </c>
      <c r="E4319" s="3">
        <v>373763</v>
      </c>
      <c r="F4319" s="1">
        <v>633.49735593220305</v>
      </c>
      <c r="G4319" s="1">
        <v>3</v>
      </c>
      <c r="H4319" s="1">
        <v>1</v>
      </c>
      <c r="I4319" s="1">
        <v>1</v>
      </c>
      <c r="J4319" s="1">
        <v>1</v>
      </c>
      <c r="K4319" s="1">
        <v>1</v>
      </c>
      <c r="M4319" s="1">
        <v>590</v>
      </c>
      <c r="N4319" s="1">
        <v>299.75</v>
      </c>
      <c r="O4319" s="1">
        <v>556.70000000000005</v>
      </c>
      <c r="P4319" s="1">
        <v>256.916666666666</v>
      </c>
      <c r="Q4319" s="1" t="s">
        <v>42</v>
      </c>
      <c r="S4319" s="1" t="s">
        <v>42</v>
      </c>
      <c r="T4319" s="1" t="s">
        <v>273</v>
      </c>
      <c r="U4319" s="1">
        <v>78</v>
      </c>
      <c r="V4319" s="5">
        <v>42208</v>
      </c>
      <c r="W4319" s="5">
        <v>41814</v>
      </c>
      <c r="X4319" s="1">
        <v>368603</v>
      </c>
      <c r="Y4319" s="1">
        <v>368603</v>
      </c>
      <c r="Z4319" s="5">
        <v>41898</v>
      </c>
      <c r="AA4319" s="1">
        <v>373763.44</v>
      </c>
      <c r="AB4319" s="1" t="s">
        <v>3022</v>
      </c>
      <c r="AC4319" s="5">
        <v>42201</v>
      </c>
      <c r="AF4319" s="1">
        <v>10039</v>
      </c>
      <c r="AJ4319" s="1">
        <v>1921</v>
      </c>
      <c r="AK4319" s="1" t="s">
        <v>143</v>
      </c>
      <c r="AL4319" s="1">
        <v>84</v>
      </c>
    </row>
    <row r="4320" spans="1:38" x14ac:dyDescent="0.2">
      <c r="A4320" s="2" t="str">
        <f>HYPERLINK("https://www.compass.com/listing/305-west-150th-street-unit-204-manhattan-ny-10039/181029600967592689/","305 W 150th St, Unit 204")</f>
        <v>305 W 150th St, Unit 204</v>
      </c>
      <c r="B4320" s="2" t="str">
        <f t="shared" si="736"/>
        <v>305 W 150th St</v>
      </c>
      <c r="C4320" s="1" t="s">
        <v>84</v>
      </c>
      <c r="D4320" s="1" t="s">
        <v>41</v>
      </c>
      <c r="E4320" s="3">
        <v>370110</v>
      </c>
      <c r="F4320" s="1">
        <v>623.08080808080797</v>
      </c>
      <c r="G4320" s="1">
        <v>3</v>
      </c>
      <c r="H4320" s="1">
        <v>1</v>
      </c>
      <c r="I4320" s="1">
        <v>1</v>
      </c>
      <c r="J4320" s="1">
        <v>1</v>
      </c>
      <c r="K4320" s="1">
        <v>1</v>
      </c>
      <c r="M4320" s="1">
        <v>594</v>
      </c>
      <c r="N4320" s="1">
        <v>305.92</v>
      </c>
      <c r="O4320" s="1">
        <v>562.87</v>
      </c>
      <c r="P4320" s="1">
        <v>256.916666666666</v>
      </c>
      <c r="Q4320" s="1" t="s">
        <v>42</v>
      </c>
      <c r="S4320" s="1" t="s">
        <v>42</v>
      </c>
      <c r="T4320" s="1" t="s">
        <v>273</v>
      </c>
      <c r="U4320" s="1">
        <v>39</v>
      </c>
      <c r="V4320" s="5">
        <v>42241</v>
      </c>
      <c r="W4320" s="5">
        <v>41673</v>
      </c>
      <c r="X4320" s="1">
        <v>347490</v>
      </c>
      <c r="Y4320" s="1">
        <v>365000</v>
      </c>
      <c r="Z4320" s="5">
        <v>41712</v>
      </c>
      <c r="AA4320" s="1">
        <v>370110</v>
      </c>
      <c r="AB4320" s="1" t="s">
        <v>3023</v>
      </c>
      <c r="AC4320" s="5">
        <v>42240</v>
      </c>
      <c r="AF4320" s="1">
        <v>10039</v>
      </c>
      <c r="AJ4320" s="1">
        <v>1921</v>
      </c>
      <c r="AK4320" s="1" t="s">
        <v>143</v>
      </c>
      <c r="AL4320" s="1">
        <v>84</v>
      </c>
    </row>
    <row r="4321" spans="1:38" x14ac:dyDescent="0.2">
      <c r="A4321" s="2" t="str">
        <f>HYPERLINK("https://www.compass.com/listing/305-west-150th-street-unit-308-manhattan-ny-10039/181029657347489185/","305 W 150th St, Unit 308")</f>
        <v>305 W 150th St, Unit 308</v>
      </c>
      <c r="B4321" s="2" t="str">
        <f t="shared" si="736"/>
        <v>305 W 150th St</v>
      </c>
      <c r="C4321" s="1" t="s">
        <v>84</v>
      </c>
      <c r="D4321" s="1" t="s">
        <v>41</v>
      </c>
      <c r="E4321" s="3">
        <v>371631</v>
      </c>
      <c r="F4321" s="1">
        <v>629.88305084745696</v>
      </c>
      <c r="G4321" s="1">
        <v>3</v>
      </c>
      <c r="H4321" s="1">
        <v>1</v>
      </c>
      <c r="I4321" s="1">
        <v>1</v>
      </c>
      <c r="J4321" s="1">
        <v>1</v>
      </c>
      <c r="K4321" s="1">
        <v>1</v>
      </c>
      <c r="M4321" s="1">
        <v>590</v>
      </c>
      <c r="N4321" s="1">
        <v>303.32</v>
      </c>
      <c r="O4321" s="1">
        <v>558.14</v>
      </c>
      <c r="P4321" s="1">
        <v>254.833333333333</v>
      </c>
      <c r="Q4321" s="1" t="s">
        <v>42</v>
      </c>
      <c r="S4321" s="1" t="s">
        <v>42</v>
      </c>
      <c r="T4321" s="1" t="s">
        <v>273</v>
      </c>
      <c r="U4321" s="1">
        <v>112</v>
      </c>
      <c r="V4321" s="5">
        <v>42221</v>
      </c>
      <c r="W4321" s="5">
        <v>41705</v>
      </c>
      <c r="X4321" s="1">
        <v>366500</v>
      </c>
      <c r="Y4321" s="1">
        <v>366500</v>
      </c>
      <c r="Z4321" s="5">
        <v>41817</v>
      </c>
      <c r="AA4321" s="1">
        <v>371631</v>
      </c>
      <c r="AB4321" s="1" t="s">
        <v>3024</v>
      </c>
      <c r="AC4321" s="5">
        <v>42209</v>
      </c>
      <c r="AF4321" s="1">
        <v>10039</v>
      </c>
      <c r="AJ4321" s="1">
        <v>1921</v>
      </c>
      <c r="AK4321" s="1" t="s">
        <v>143</v>
      </c>
      <c r="AL4321" s="1">
        <v>84</v>
      </c>
    </row>
    <row r="4322" spans="1:38" x14ac:dyDescent="0.2">
      <c r="A4322" s="2" t="str">
        <f>HYPERLINK("https://www.compass.com/listing/305-west-150th-street-unit-107-manhattan-ny-10039/29434100490196417/","305 W 150th St, Unit 107")</f>
        <v>305 W 150th St, Unit 107</v>
      </c>
      <c r="B4322" s="2" t="str">
        <f t="shared" si="736"/>
        <v>305 W 150th St</v>
      </c>
      <c r="C4322" s="1" t="s">
        <v>84</v>
      </c>
      <c r="D4322" s="1" t="s">
        <v>41</v>
      </c>
      <c r="E4322" s="3">
        <v>344500</v>
      </c>
      <c r="F4322" s="1">
        <v>604.38596491227997</v>
      </c>
      <c r="G4322" s="1">
        <v>3</v>
      </c>
      <c r="H4322" s="1">
        <v>1</v>
      </c>
      <c r="I4322" s="1">
        <v>1</v>
      </c>
      <c r="M4322" s="1">
        <v>570</v>
      </c>
      <c r="N4322" s="1">
        <v>293</v>
      </c>
      <c r="O4322" s="1">
        <v>539</v>
      </c>
      <c r="P4322" s="1">
        <v>246</v>
      </c>
      <c r="Q4322" s="1" t="s">
        <v>42</v>
      </c>
      <c r="S4322" s="1" t="s">
        <v>42</v>
      </c>
      <c r="T4322" s="1" t="s">
        <v>273</v>
      </c>
      <c r="V4322" s="5">
        <v>43267</v>
      </c>
      <c r="W4322" s="5">
        <v>41705</v>
      </c>
      <c r="X4322" s="1">
        <v>344500</v>
      </c>
      <c r="AB4322" s="1" t="s">
        <v>275</v>
      </c>
      <c r="AF4322" s="1">
        <v>10039</v>
      </c>
      <c r="AJ4322" s="1">
        <v>1921</v>
      </c>
      <c r="AK4322" s="1" t="s">
        <v>146</v>
      </c>
      <c r="AL4322" s="1">
        <v>84</v>
      </c>
    </row>
    <row r="4323" spans="1:38" x14ac:dyDescent="0.2">
      <c r="A4323" s="2" t="str">
        <f>HYPERLINK("https://www.compass.com/listing/305-west-150th-street-unit-204-manhattan-ny-10039/29434104835564289/","305 W 150th St, Unit 204")</f>
        <v>305 W 150th St, Unit 204</v>
      </c>
      <c r="B4323" s="2" t="str">
        <f t="shared" si="736"/>
        <v>305 W 150th St</v>
      </c>
      <c r="C4323" s="1" t="s">
        <v>84</v>
      </c>
      <c r="D4323" s="1" t="s">
        <v>41</v>
      </c>
      <c r="E4323" s="3">
        <v>365000</v>
      </c>
      <c r="F4323" s="1">
        <v>614.47811447811398</v>
      </c>
      <c r="G4323" s="1">
        <v>3</v>
      </c>
      <c r="H4323" s="1">
        <v>1</v>
      </c>
      <c r="I4323" s="1">
        <v>1</v>
      </c>
      <c r="M4323" s="1">
        <v>594</v>
      </c>
      <c r="N4323" s="1">
        <v>305</v>
      </c>
      <c r="O4323" s="1">
        <v>561</v>
      </c>
      <c r="P4323" s="1">
        <v>256</v>
      </c>
      <c r="Q4323" s="1" t="s">
        <v>42</v>
      </c>
      <c r="S4323" s="1" t="s">
        <v>42</v>
      </c>
      <c r="T4323" s="1" t="s">
        <v>273</v>
      </c>
      <c r="V4323" s="5">
        <v>43267</v>
      </c>
      <c r="W4323" s="5">
        <v>41673</v>
      </c>
      <c r="X4323" s="1">
        <v>347490</v>
      </c>
      <c r="AB4323" s="1" t="s">
        <v>275</v>
      </c>
      <c r="AF4323" s="1">
        <v>10039</v>
      </c>
      <c r="AJ4323" s="1">
        <v>1921</v>
      </c>
      <c r="AK4323" s="1" t="s">
        <v>146</v>
      </c>
      <c r="AL4323" s="1">
        <v>84</v>
      </c>
    </row>
    <row r="4324" spans="1:38" x14ac:dyDescent="0.2">
      <c r="A4324" s="2" t="str">
        <f>HYPERLINK("https://www.compass.com/listing/305-west-150th-street-unit-307-manhattan-ny-10039/29434111739388833/","305 W 150th St, Unit 307")</f>
        <v>305 W 150th St, Unit 307</v>
      </c>
      <c r="B4324" s="2" t="str">
        <f t="shared" si="736"/>
        <v>305 W 150th St</v>
      </c>
      <c r="C4324" s="1" t="s">
        <v>84</v>
      </c>
      <c r="D4324" s="1" t="s">
        <v>41</v>
      </c>
      <c r="E4324" s="3">
        <v>368603</v>
      </c>
      <c r="F4324" s="1">
        <v>624.75084745762695</v>
      </c>
      <c r="G4324" s="1">
        <v>3</v>
      </c>
      <c r="H4324" s="1">
        <v>1</v>
      </c>
      <c r="I4324" s="1">
        <v>1</v>
      </c>
      <c r="M4324" s="1">
        <v>590</v>
      </c>
      <c r="N4324" s="1">
        <v>299</v>
      </c>
      <c r="O4324" s="1">
        <v>555</v>
      </c>
      <c r="P4324" s="1">
        <v>256</v>
      </c>
      <c r="Q4324" s="1" t="s">
        <v>42</v>
      </c>
      <c r="S4324" s="1" t="s">
        <v>42</v>
      </c>
      <c r="T4324" s="1" t="s">
        <v>273</v>
      </c>
      <c r="V4324" s="5">
        <v>43211</v>
      </c>
      <c r="W4324" s="5">
        <v>41814</v>
      </c>
      <c r="X4324" s="1">
        <v>368603</v>
      </c>
      <c r="AB4324" s="1" t="s">
        <v>275</v>
      </c>
      <c r="AF4324" s="1">
        <v>10039</v>
      </c>
      <c r="AJ4324" s="1">
        <v>1921</v>
      </c>
      <c r="AK4324" s="1" t="s">
        <v>146</v>
      </c>
      <c r="AL4324" s="1">
        <v>84</v>
      </c>
    </row>
    <row r="4325" spans="1:38" x14ac:dyDescent="0.2">
      <c r="A4325" s="2" t="str">
        <f>HYPERLINK("https://www.compass.com/listing/305-west-150th-street-unit-308-manhattan-ny-10039/29434112234247857/","305 W 150th St, Unit 308")</f>
        <v>305 W 150th St, Unit 308</v>
      </c>
      <c r="B4325" s="2" t="str">
        <f t="shared" si="736"/>
        <v>305 W 150th St</v>
      </c>
      <c r="C4325" s="1" t="s">
        <v>84</v>
      </c>
      <c r="D4325" s="1" t="s">
        <v>41</v>
      </c>
      <c r="E4325" s="3">
        <v>365500</v>
      </c>
      <c r="F4325" s="1">
        <v>619.49152542372804</v>
      </c>
      <c r="G4325" s="1">
        <v>3</v>
      </c>
      <c r="H4325" s="1">
        <v>1</v>
      </c>
      <c r="I4325" s="1">
        <v>1</v>
      </c>
      <c r="M4325" s="1">
        <v>590</v>
      </c>
      <c r="N4325" s="1">
        <v>303</v>
      </c>
      <c r="O4325" s="1">
        <v>557</v>
      </c>
      <c r="P4325" s="1">
        <v>254</v>
      </c>
      <c r="Q4325" s="1" t="s">
        <v>42</v>
      </c>
      <c r="S4325" s="1" t="s">
        <v>42</v>
      </c>
      <c r="T4325" s="1" t="s">
        <v>273</v>
      </c>
      <c r="V4325" s="5">
        <v>43267</v>
      </c>
      <c r="W4325" s="5">
        <v>41705</v>
      </c>
      <c r="X4325" s="1">
        <v>366500</v>
      </c>
      <c r="AB4325" s="1" t="s">
        <v>275</v>
      </c>
      <c r="AF4325" s="1">
        <v>10039</v>
      </c>
      <c r="AJ4325" s="1">
        <v>1921</v>
      </c>
      <c r="AK4325" s="1" t="s">
        <v>146</v>
      </c>
      <c r="AL4325" s="1">
        <v>84</v>
      </c>
    </row>
    <row r="4326" spans="1:38" x14ac:dyDescent="0.2">
      <c r="A4326" s="2" t="str">
        <f>HYPERLINK("https://www.compass.com/listing/305-west-150th-street-unit-405-manhattan-ny-10039/29434119138141169/","305 W 150th St, Unit 405")</f>
        <v>305 W 150th St, Unit 405</v>
      </c>
      <c r="B4326" s="2" t="str">
        <f t="shared" si="736"/>
        <v>305 W 150th St</v>
      </c>
      <c r="C4326" s="1" t="s">
        <v>84</v>
      </c>
      <c r="D4326" s="1" t="s">
        <v>41</v>
      </c>
      <c r="E4326" s="3">
        <v>375000</v>
      </c>
      <c r="F4326" s="1">
        <v>635.59322033898297</v>
      </c>
      <c r="G4326" s="1">
        <v>3</v>
      </c>
      <c r="H4326" s="1">
        <v>1</v>
      </c>
      <c r="I4326" s="1">
        <v>1</v>
      </c>
      <c r="M4326" s="1">
        <v>590</v>
      </c>
      <c r="N4326" s="1">
        <v>308</v>
      </c>
      <c r="O4326" s="1">
        <v>567</v>
      </c>
      <c r="P4326" s="1">
        <v>259</v>
      </c>
      <c r="Q4326" s="1" t="s">
        <v>42</v>
      </c>
      <c r="S4326" s="1" t="s">
        <v>42</v>
      </c>
      <c r="T4326" s="1" t="s">
        <v>273</v>
      </c>
      <c r="V4326" s="5">
        <v>43267</v>
      </c>
      <c r="W4326" s="5">
        <v>41732</v>
      </c>
      <c r="X4326" s="1">
        <v>375000</v>
      </c>
      <c r="AB4326" s="1" t="s">
        <v>275</v>
      </c>
      <c r="AF4326" s="1">
        <v>10039</v>
      </c>
      <c r="AJ4326" s="1">
        <v>1921</v>
      </c>
      <c r="AK4326" s="1" t="s">
        <v>146</v>
      </c>
      <c r="AL4326" s="1">
        <v>84</v>
      </c>
    </row>
    <row r="4327" spans="1:38" x14ac:dyDescent="0.2">
      <c r="A4327" s="2" t="str">
        <f>HYPERLINK("https://www.compass.com/listing/325-lexington-avenue-unit-22b-manhattan-ny-10016/29509811192267921/","325 Lexington Ave, Unit 22B")</f>
        <v>325 Lexington Ave, Unit 22B</v>
      </c>
      <c r="B4327" s="2" t="str">
        <f t="shared" ref="B4327:B4328" si="737">HYPERLINK("https://www.compass.com/building/325-lex-condominium-manhattan-ny/281939882467713365/","325 Lex Condominium")</f>
        <v>325 Lex Condominium</v>
      </c>
      <c r="C4327" s="1" t="s">
        <v>59</v>
      </c>
      <c r="D4327" s="1" t="s">
        <v>41</v>
      </c>
      <c r="E4327" s="3">
        <v>1685204</v>
      </c>
      <c r="F4327" s="1">
        <v>2122.4231738035201</v>
      </c>
      <c r="G4327" s="1">
        <v>3</v>
      </c>
      <c r="H4327" s="1">
        <v>1</v>
      </c>
      <c r="I4327" s="1">
        <v>1</v>
      </c>
      <c r="J4327" s="1">
        <v>1</v>
      </c>
      <c r="K4327" s="1">
        <v>1</v>
      </c>
      <c r="M4327" s="1">
        <v>794</v>
      </c>
      <c r="N4327" s="1">
        <v>1152</v>
      </c>
      <c r="O4327" s="1">
        <v>1403</v>
      </c>
      <c r="P4327" s="1">
        <v>251</v>
      </c>
      <c r="Q4327" s="1" t="s">
        <v>42</v>
      </c>
      <c r="S4327" s="1" t="s">
        <v>42</v>
      </c>
      <c r="T4327" s="1" t="s">
        <v>273</v>
      </c>
      <c r="U4327" s="1">
        <v>51</v>
      </c>
      <c r="V4327" s="5">
        <v>43655</v>
      </c>
      <c r="W4327" s="5">
        <v>41900</v>
      </c>
      <c r="X4327" s="1">
        <v>1655000</v>
      </c>
      <c r="Y4327" s="1">
        <v>1655000</v>
      </c>
      <c r="Z4327" s="5">
        <v>41951</v>
      </c>
      <c r="AA4327" s="1">
        <v>1685204</v>
      </c>
      <c r="AB4327" s="1" t="s">
        <v>3025</v>
      </c>
      <c r="AC4327" s="5">
        <v>42046</v>
      </c>
      <c r="AF4327" s="1">
        <v>10016</v>
      </c>
      <c r="AI4327" s="1" t="s">
        <v>209</v>
      </c>
      <c r="AJ4327" s="1">
        <v>2014</v>
      </c>
      <c r="AK4327" s="1" t="s">
        <v>108</v>
      </c>
      <c r="AL4327" s="1">
        <v>125</v>
      </c>
    </row>
    <row r="4328" spans="1:38" x14ac:dyDescent="0.2">
      <c r="A4328" s="2" t="str">
        <f>HYPERLINK("https://www.compass.com/listing/325-lexington-avenue-unit-7c-manhattan-ny-10016/29379692490471489/","325 Lexington Ave, Unit 7C")</f>
        <v>325 Lexington Ave, Unit 7C</v>
      </c>
      <c r="B4328" s="2" t="str">
        <f t="shared" si="737"/>
        <v>325 Lex Condominium</v>
      </c>
      <c r="C4328" s="1" t="s">
        <v>59</v>
      </c>
      <c r="D4328" s="1" t="s">
        <v>41</v>
      </c>
      <c r="E4328" s="3">
        <v>916425</v>
      </c>
      <c r="F4328" s="1">
        <v>1527.375</v>
      </c>
      <c r="G4328" s="1">
        <v>2</v>
      </c>
      <c r="H4328" s="1">
        <v>1</v>
      </c>
      <c r="I4328" s="1">
        <v>1</v>
      </c>
      <c r="J4328" s="1">
        <v>1</v>
      </c>
      <c r="K4328" s="1">
        <v>1</v>
      </c>
      <c r="M4328" s="1">
        <v>600</v>
      </c>
      <c r="N4328" s="1">
        <v>800</v>
      </c>
      <c r="O4328" s="1">
        <v>974</v>
      </c>
      <c r="P4328" s="1">
        <v>174</v>
      </c>
      <c r="Q4328" s="1" t="s">
        <v>42</v>
      </c>
      <c r="S4328" s="1" t="s">
        <v>42</v>
      </c>
      <c r="T4328" s="1" t="s">
        <v>273</v>
      </c>
      <c r="U4328" s="1">
        <v>1</v>
      </c>
      <c r="V4328" s="5">
        <v>42574</v>
      </c>
      <c r="W4328" s="5">
        <v>41974</v>
      </c>
      <c r="X4328" s="1">
        <v>900000</v>
      </c>
      <c r="Y4328" s="1">
        <v>900000</v>
      </c>
      <c r="Z4328" s="5">
        <v>41976</v>
      </c>
      <c r="AA4328" s="1">
        <v>916425</v>
      </c>
      <c r="AB4328" s="1" t="s">
        <v>3026</v>
      </c>
      <c r="AC4328" s="5">
        <v>42062</v>
      </c>
      <c r="AF4328" s="1">
        <v>10016</v>
      </c>
      <c r="AI4328" s="1" t="s">
        <v>60</v>
      </c>
      <c r="AJ4328" s="1">
        <v>2014</v>
      </c>
      <c r="AK4328" s="1" t="s">
        <v>108</v>
      </c>
      <c r="AL4328" s="1">
        <v>125</v>
      </c>
    </row>
    <row r="4329" spans="1:38" x14ac:dyDescent="0.2">
      <c r="A4329" s="2" t="str">
        <f>HYPERLINK("https://www.compass.com/listing/425-west-50th-street-unit-phc-manhattan-ny-10019/29513502154682385/","425 W 50th St, Unit PHC")</f>
        <v>425 W 50th St, Unit PHC</v>
      </c>
      <c r="B4329" s="2" t="str">
        <f>HYPERLINK("https://www.compass.com/building/stella-tower-manhattan-ny/281945855710262181/","Stella Tower")</f>
        <v>Stella Tower</v>
      </c>
      <c r="C4329" s="1" t="s">
        <v>90</v>
      </c>
      <c r="D4329" s="1" t="s">
        <v>41</v>
      </c>
      <c r="E4329" s="3">
        <v>3042476</v>
      </c>
      <c r="F4329" s="1">
        <v>1961.6221792392</v>
      </c>
      <c r="G4329" s="1">
        <v>4</v>
      </c>
      <c r="H4329" s="1">
        <v>2</v>
      </c>
      <c r="I4329" s="1">
        <v>3</v>
      </c>
      <c r="J4329" s="1">
        <v>2.5</v>
      </c>
      <c r="K4329" s="1">
        <v>2</v>
      </c>
      <c r="L4329" s="1">
        <v>1</v>
      </c>
      <c r="M4329" s="4">
        <v>1551</v>
      </c>
      <c r="N4329" s="1">
        <v>1765</v>
      </c>
      <c r="O4329" s="1">
        <v>3920</v>
      </c>
      <c r="P4329" s="1">
        <v>2155</v>
      </c>
      <c r="Q4329" s="1" t="s">
        <v>42</v>
      </c>
      <c r="S4329" s="1" t="s">
        <v>42</v>
      </c>
      <c r="T4329" s="1" t="s">
        <v>273</v>
      </c>
      <c r="U4329" s="1">
        <v>489</v>
      </c>
      <c r="V4329" s="5">
        <v>44064</v>
      </c>
      <c r="W4329" s="5">
        <v>42767</v>
      </c>
      <c r="X4329" s="1">
        <v>3495000</v>
      </c>
      <c r="Y4329" s="1">
        <v>2995000</v>
      </c>
      <c r="Z4329" s="5">
        <v>43256</v>
      </c>
      <c r="AA4329" s="1">
        <v>3042476</v>
      </c>
      <c r="AB4329" s="1" t="s">
        <v>3027</v>
      </c>
      <c r="AC4329" s="5">
        <v>43294</v>
      </c>
      <c r="AF4329" s="1">
        <v>10019</v>
      </c>
      <c r="AI4329" s="1" t="s">
        <v>80</v>
      </c>
      <c r="AJ4329" s="1">
        <v>1930</v>
      </c>
      <c r="AK4329" s="1" t="s">
        <v>46</v>
      </c>
      <c r="AL4329" s="1">
        <v>51</v>
      </c>
    </row>
    <row r="4330" spans="1:38" x14ac:dyDescent="0.2">
      <c r="A4330" s="2" t="str">
        <f>HYPERLINK("https://www.compass.com/listing/172-madison-avenue-unit-10c-manhattan-ny-10016/29376706942917505/","172 Madison Ave, Unit 10C")</f>
        <v>172 Madison Ave, Unit 10C</v>
      </c>
      <c r="B4330" s="2" t="str">
        <f>HYPERLINK("https://www.compass.com/building/172-madison-ave-manhattan-ny-10016/281937956250376981/","172 Madison Ave")</f>
        <v>172 Madison Ave</v>
      </c>
      <c r="C4330" s="1" t="s">
        <v>120</v>
      </c>
      <c r="D4330" s="1" t="s">
        <v>41</v>
      </c>
      <c r="E4330" s="3">
        <v>1625000</v>
      </c>
      <c r="F4330" s="1">
        <v>1823.79349046015</v>
      </c>
      <c r="G4330" s="1">
        <v>3</v>
      </c>
      <c r="H4330" s="1">
        <v>1</v>
      </c>
      <c r="J4330" s="1">
        <v>1.5</v>
      </c>
      <c r="M4330" s="1">
        <v>891</v>
      </c>
      <c r="N4330" s="1">
        <v>1332</v>
      </c>
      <c r="O4330" s="1">
        <v>1952</v>
      </c>
      <c r="P4330" s="1">
        <v>620</v>
      </c>
      <c r="Q4330" s="1" t="s">
        <v>42</v>
      </c>
      <c r="S4330" s="1" t="s">
        <v>42</v>
      </c>
      <c r="T4330" s="1" t="s">
        <v>273</v>
      </c>
      <c r="U4330" s="1">
        <v>50</v>
      </c>
      <c r="V4330" s="5">
        <v>44412</v>
      </c>
      <c r="W4330" s="5">
        <v>43175</v>
      </c>
      <c r="X4330" s="1">
        <v>1680000</v>
      </c>
      <c r="Y4330" s="1">
        <v>1680000</v>
      </c>
      <c r="Z4330" s="5">
        <v>43225</v>
      </c>
      <c r="AA4330" s="1">
        <v>1625000</v>
      </c>
      <c r="AB4330" s="1" t="s">
        <v>3028</v>
      </c>
      <c r="AC4330" s="5">
        <v>43276</v>
      </c>
      <c r="AF4330" s="1">
        <v>10016</v>
      </c>
      <c r="AJ4330" s="1">
        <v>2016</v>
      </c>
      <c r="AK4330" s="1" t="s">
        <v>49</v>
      </c>
      <c r="AL4330" s="1">
        <v>72</v>
      </c>
    </row>
    <row r="4331" spans="1:38" x14ac:dyDescent="0.2">
      <c r="A4331" s="2" t="str">
        <f>HYPERLINK("https://www.compass.com/listing/325-lexington-avenue-unit-23b-manhattan-ny-10016/29379724618840705/","325 Lexington Ave, Unit 23B")</f>
        <v>325 Lexington Ave, Unit 23B</v>
      </c>
      <c r="B4331" s="2" t="str">
        <f>HYPERLINK("https://www.compass.com/building/325-lex-condominium-manhattan-ny/281939882467713365/","325 Lex Condominium")</f>
        <v>325 Lex Condominium</v>
      </c>
      <c r="C4331" s="1" t="s">
        <v>59</v>
      </c>
      <c r="D4331" s="1" t="s">
        <v>41</v>
      </c>
      <c r="E4331" s="3">
        <v>1695386</v>
      </c>
      <c r="F4331" s="1">
        <v>2135.2468513853901</v>
      </c>
      <c r="G4331" s="1">
        <v>3</v>
      </c>
      <c r="H4331" s="1">
        <v>1</v>
      </c>
      <c r="I4331" s="1">
        <v>1</v>
      </c>
      <c r="J4331" s="1">
        <v>1</v>
      </c>
      <c r="K4331" s="1">
        <v>1</v>
      </c>
      <c r="M4331" s="1">
        <v>794</v>
      </c>
      <c r="N4331" s="1">
        <v>1153</v>
      </c>
      <c r="O4331" s="1">
        <v>1404</v>
      </c>
      <c r="P4331" s="1">
        <v>251</v>
      </c>
      <c r="Q4331" s="1" t="s">
        <v>42</v>
      </c>
      <c r="S4331" s="1" t="s">
        <v>42</v>
      </c>
      <c r="T4331" s="1" t="s">
        <v>273</v>
      </c>
      <c r="U4331" s="1">
        <v>13</v>
      </c>
      <c r="V4331" s="5">
        <v>43654</v>
      </c>
      <c r="W4331" s="5">
        <v>41951</v>
      </c>
      <c r="X4331" s="1">
        <v>1665000</v>
      </c>
      <c r="Y4331" s="1">
        <v>1665000</v>
      </c>
      <c r="Z4331" s="5">
        <v>41964</v>
      </c>
      <c r="AA4331" s="1">
        <v>1695386</v>
      </c>
      <c r="AB4331" s="1" t="s">
        <v>3029</v>
      </c>
      <c r="AC4331" s="5">
        <v>42038</v>
      </c>
      <c r="AF4331" s="1">
        <v>10016</v>
      </c>
      <c r="AI4331" s="1" t="s">
        <v>60</v>
      </c>
      <c r="AJ4331" s="1">
        <v>2014</v>
      </c>
      <c r="AK4331" s="1" t="s">
        <v>108</v>
      </c>
      <c r="AL4331" s="1">
        <v>125</v>
      </c>
    </row>
    <row r="4332" spans="1:38" x14ac:dyDescent="0.2">
      <c r="A4332" s="2" t="str">
        <f>HYPERLINK("https://www.compass.com/listing/1-west-end-avenue-unit-22d-manhattan-ny-10069/29397353463023953/","1 W End Ave, Unit 22D")</f>
        <v>1 W End Ave, Unit 22D</v>
      </c>
      <c r="B4332" s="2" t="str">
        <f t="shared" ref="B4332:B4379" si="738">HYPERLINK("https://www.compass.com/building/1-w-end-ave-manhattan-ny-10069/455676159137755317/","1 W End Ave")</f>
        <v>1 W End Ave</v>
      </c>
      <c r="C4332" s="1" t="s">
        <v>57</v>
      </c>
      <c r="D4332" s="1" t="s">
        <v>41</v>
      </c>
      <c r="E4332" s="3">
        <v>2809072</v>
      </c>
      <c r="F4332" s="1">
        <v>1776.7691334598301</v>
      </c>
      <c r="G4332" s="1">
        <v>4</v>
      </c>
      <c r="H4332" s="1">
        <v>2</v>
      </c>
      <c r="I4332" s="1">
        <v>2</v>
      </c>
      <c r="J4332" s="1">
        <v>2.5</v>
      </c>
      <c r="K4332" s="1">
        <v>2</v>
      </c>
      <c r="L4332" s="1">
        <v>1</v>
      </c>
      <c r="M4332" s="4">
        <v>1581</v>
      </c>
      <c r="N4332" s="1">
        <v>1765.76</v>
      </c>
      <c r="O4332" s="1">
        <v>1871.61</v>
      </c>
      <c r="P4332" s="1">
        <v>105.833333333333</v>
      </c>
      <c r="Q4332" s="1" t="s">
        <v>42</v>
      </c>
      <c r="S4332" s="1" t="s">
        <v>42</v>
      </c>
      <c r="T4332" s="1" t="s">
        <v>273</v>
      </c>
      <c r="V4332" s="5">
        <v>43626</v>
      </c>
      <c r="W4332" s="5">
        <v>42203</v>
      </c>
      <c r="X4332" s="1">
        <v>2750000</v>
      </c>
      <c r="Y4332" s="1">
        <v>2750000</v>
      </c>
      <c r="Z4332" s="5">
        <v>42203</v>
      </c>
      <c r="AA4332" s="1">
        <v>2809072</v>
      </c>
      <c r="AB4332" s="1" t="s">
        <v>3030</v>
      </c>
      <c r="AC4332" s="5">
        <v>43127</v>
      </c>
      <c r="AF4332" s="1">
        <v>10069</v>
      </c>
      <c r="AI4332" s="1" t="s">
        <v>60</v>
      </c>
      <c r="AJ4332" s="1">
        <v>2017</v>
      </c>
      <c r="AK4332" s="1" t="s">
        <v>108</v>
      </c>
      <c r="AL4332" s="1">
        <v>246</v>
      </c>
    </row>
    <row r="4333" spans="1:38" x14ac:dyDescent="0.2">
      <c r="A4333" s="2" t="str">
        <f>HYPERLINK("https://www.compass.com/listing/1-west-end-avenue-unit-23d-manhattan-ny-10069/29397353832140945/","1 W End Ave, Unit 23D")</f>
        <v>1 W End Ave, Unit 23D</v>
      </c>
      <c r="B4333" s="2" t="str">
        <f t="shared" si="738"/>
        <v>1 W End Ave</v>
      </c>
      <c r="C4333" s="1" t="s">
        <v>57</v>
      </c>
      <c r="D4333" s="1" t="s">
        <v>41</v>
      </c>
      <c r="E4333" s="3">
        <v>2732709</v>
      </c>
      <c r="F4333" s="1">
        <v>1728.46869070208</v>
      </c>
      <c r="G4333" s="1">
        <v>4</v>
      </c>
      <c r="H4333" s="1">
        <v>2</v>
      </c>
      <c r="I4333" s="1">
        <v>2</v>
      </c>
      <c r="J4333" s="1">
        <v>2.5</v>
      </c>
      <c r="K4333" s="1">
        <v>2</v>
      </c>
      <c r="L4333" s="1">
        <v>1</v>
      </c>
      <c r="M4333" s="4">
        <v>1581</v>
      </c>
      <c r="N4333" s="1">
        <v>1766</v>
      </c>
      <c r="O4333" s="1">
        <v>1872</v>
      </c>
      <c r="P4333" s="1">
        <v>106</v>
      </c>
      <c r="Q4333" s="1" t="s">
        <v>42</v>
      </c>
      <c r="S4333" s="1" t="s">
        <v>42</v>
      </c>
      <c r="T4333" s="1" t="s">
        <v>273</v>
      </c>
      <c r="U4333" s="1">
        <v>10</v>
      </c>
      <c r="V4333" s="5">
        <v>43673</v>
      </c>
      <c r="W4333" s="5">
        <v>42182</v>
      </c>
      <c r="X4333" s="1">
        <v>2675000</v>
      </c>
      <c r="Y4333" s="1">
        <v>2675000</v>
      </c>
      <c r="Z4333" s="5">
        <v>42192</v>
      </c>
      <c r="AA4333" s="1">
        <v>2732709</v>
      </c>
      <c r="AB4333" s="1" t="s">
        <v>3031</v>
      </c>
      <c r="AC4333" s="5">
        <v>43019</v>
      </c>
      <c r="AF4333" s="1">
        <v>10069</v>
      </c>
      <c r="AI4333" s="1" t="s">
        <v>60</v>
      </c>
      <c r="AJ4333" s="1">
        <v>2017</v>
      </c>
      <c r="AK4333" s="1" t="s">
        <v>108</v>
      </c>
      <c r="AL4333" s="1">
        <v>246</v>
      </c>
    </row>
    <row r="4334" spans="1:38" x14ac:dyDescent="0.2">
      <c r="A4334" s="2" t="str">
        <f>HYPERLINK("https://www.compass.com/listing/1-west-end-avenue-unit-24d-manhattan-ny-10069/29397354184538705/","1 W End Ave, Unit 24D")</f>
        <v>1 W End Ave, Unit 24D</v>
      </c>
      <c r="B4334" s="2" t="str">
        <f t="shared" si="738"/>
        <v>1 W End Ave</v>
      </c>
      <c r="C4334" s="1" t="s">
        <v>57</v>
      </c>
      <c r="D4334" s="1" t="s">
        <v>41</v>
      </c>
      <c r="E4334" s="3">
        <v>2828627</v>
      </c>
      <c r="F4334" s="1">
        <v>1789.1378874130201</v>
      </c>
      <c r="G4334" s="1">
        <v>4</v>
      </c>
      <c r="H4334" s="1">
        <v>2</v>
      </c>
      <c r="I4334" s="1">
        <v>2</v>
      </c>
      <c r="J4334" s="1">
        <v>2.5</v>
      </c>
      <c r="K4334" s="1">
        <v>2</v>
      </c>
      <c r="L4334" s="1">
        <v>1</v>
      </c>
      <c r="M4334" s="4">
        <v>1581</v>
      </c>
      <c r="N4334" s="1">
        <v>1766</v>
      </c>
      <c r="O4334" s="1">
        <v>1872</v>
      </c>
      <c r="P4334" s="1">
        <v>106</v>
      </c>
      <c r="Q4334" s="1" t="s">
        <v>42</v>
      </c>
      <c r="S4334" s="1" t="s">
        <v>42</v>
      </c>
      <c r="T4334" s="1" t="s">
        <v>273</v>
      </c>
      <c r="U4334" s="1">
        <v>44</v>
      </c>
      <c r="V4334" s="5">
        <v>43624</v>
      </c>
      <c r="W4334" s="5">
        <v>42397</v>
      </c>
      <c r="X4334" s="1">
        <v>2875000</v>
      </c>
      <c r="Y4334" s="1">
        <v>2875000</v>
      </c>
      <c r="Z4334" s="5">
        <v>42441</v>
      </c>
      <c r="AA4334" s="1">
        <v>2828627</v>
      </c>
      <c r="AB4334" s="1" t="s">
        <v>3032</v>
      </c>
      <c r="AC4334" s="5">
        <v>43034</v>
      </c>
      <c r="AF4334" s="1">
        <v>10069</v>
      </c>
      <c r="AI4334" s="1" t="s">
        <v>60</v>
      </c>
      <c r="AJ4334" s="1">
        <v>2017</v>
      </c>
      <c r="AK4334" s="1" t="s">
        <v>108</v>
      </c>
      <c r="AL4334" s="1">
        <v>246</v>
      </c>
    </row>
    <row r="4335" spans="1:38" x14ac:dyDescent="0.2">
      <c r="A4335" s="2" t="str">
        <f>HYPERLINK("https://www.compass.com/listing/1-west-end-avenue-unit-25d-manhattan-ny-10069/29397354494822753/","1 W End Ave, Unit 25D")</f>
        <v>1 W End Ave, Unit 25D</v>
      </c>
      <c r="B4335" s="2" t="str">
        <f t="shared" si="738"/>
        <v>1 W End Ave</v>
      </c>
      <c r="C4335" s="1" t="s">
        <v>57</v>
      </c>
      <c r="D4335" s="1" t="s">
        <v>41</v>
      </c>
      <c r="E4335" s="3">
        <v>2783624</v>
      </c>
      <c r="F4335" s="1">
        <v>1760.67299177735</v>
      </c>
      <c r="G4335" s="1">
        <v>4</v>
      </c>
      <c r="H4335" s="1">
        <v>2</v>
      </c>
      <c r="I4335" s="1">
        <v>2</v>
      </c>
      <c r="J4335" s="1">
        <v>2.5</v>
      </c>
      <c r="K4335" s="1">
        <v>2</v>
      </c>
      <c r="L4335" s="1">
        <v>1</v>
      </c>
      <c r="M4335" s="4">
        <v>1581</v>
      </c>
      <c r="N4335" s="1">
        <v>1765.76</v>
      </c>
      <c r="O4335" s="1">
        <v>1871.61</v>
      </c>
      <c r="P4335" s="1">
        <v>105.833333333333</v>
      </c>
      <c r="Q4335" s="1" t="s">
        <v>42</v>
      </c>
      <c r="S4335" s="1" t="s">
        <v>42</v>
      </c>
      <c r="T4335" s="1" t="s">
        <v>273</v>
      </c>
      <c r="V4335" s="5">
        <v>43640</v>
      </c>
      <c r="W4335" s="5">
        <v>42203</v>
      </c>
      <c r="X4335" s="1">
        <v>2825000</v>
      </c>
      <c r="Y4335" s="1">
        <v>2825000</v>
      </c>
      <c r="Z4335" s="5">
        <v>42203</v>
      </c>
      <c r="AA4335" s="1">
        <v>2783624</v>
      </c>
      <c r="AB4335" s="1" t="s">
        <v>3033</v>
      </c>
      <c r="AC4335" s="5">
        <v>43036</v>
      </c>
      <c r="AF4335" s="1">
        <v>10069</v>
      </c>
      <c r="AI4335" s="1" t="s">
        <v>60</v>
      </c>
      <c r="AJ4335" s="1">
        <v>2017</v>
      </c>
      <c r="AK4335" s="1" t="s">
        <v>108</v>
      </c>
      <c r="AL4335" s="1">
        <v>246</v>
      </c>
    </row>
    <row r="4336" spans="1:38" x14ac:dyDescent="0.2">
      <c r="A4336" s="2" t="str">
        <f>HYPERLINK("https://www.compass.com/listing/1-west-end-avenue-unit-26d-manhattan-ny-10069/29397355065266337/","1 W End Ave, Unit 26D")</f>
        <v>1 W End Ave, Unit 26D</v>
      </c>
      <c r="B4336" s="2" t="str">
        <f t="shared" si="738"/>
        <v>1 W End Ave</v>
      </c>
      <c r="C4336" s="1" t="s">
        <v>57</v>
      </c>
      <c r="D4336" s="1" t="s">
        <v>41</v>
      </c>
      <c r="E4336" s="3">
        <v>2982183</v>
      </c>
      <c r="F4336" s="1">
        <v>1886.26375711574</v>
      </c>
      <c r="G4336" s="1">
        <v>4</v>
      </c>
      <c r="H4336" s="1">
        <v>2</v>
      </c>
      <c r="I4336" s="1">
        <v>2</v>
      </c>
      <c r="J4336" s="1">
        <v>2.5</v>
      </c>
      <c r="K4336" s="1">
        <v>2</v>
      </c>
      <c r="L4336" s="1">
        <v>1</v>
      </c>
      <c r="M4336" s="4">
        <v>1581</v>
      </c>
      <c r="N4336" s="1">
        <v>1766</v>
      </c>
      <c r="O4336" s="1">
        <v>1872</v>
      </c>
      <c r="P4336" s="1">
        <v>106</v>
      </c>
      <c r="Q4336" s="1" t="s">
        <v>42</v>
      </c>
      <c r="S4336" s="1" t="s">
        <v>42</v>
      </c>
      <c r="T4336" s="1" t="s">
        <v>273</v>
      </c>
      <c r="U4336" s="1">
        <v>208</v>
      </c>
      <c r="V4336" s="5">
        <v>43633</v>
      </c>
      <c r="W4336" s="5">
        <v>42188</v>
      </c>
      <c r="X4336" s="1">
        <v>2850000</v>
      </c>
      <c r="Y4336" s="1">
        <v>2920000</v>
      </c>
      <c r="Z4336" s="5">
        <v>42396</v>
      </c>
      <c r="AA4336" s="1">
        <v>2982183</v>
      </c>
      <c r="AB4336" s="1" t="s">
        <v>3034</v>
      </c>
      <c r="AC4336" s="5">
        <v>43056</v>
      </c>
      <c r="AF4336" s="1">
        <v>10069</v>
      </c>
      <c r="AI4336" s="1" t="s">
        <v>60</v>
      </c>
      <c r="AJ4336" s="1">
        <v>2017</v>
      </c>
      <c r="AK4336" s="1" t="s">
        <v>108</v>
      </c>
      <c r="AL4336" s="1">
        <v>246</v>
      </c>
    </row>
    <row r="4337" spans="1:38" x14ac:dyDescent="0.2">
      <c r="A4337" s="2" t="str">
        <f>HYPERLINK("https://www.compass.com/listing/1-west-end-avenue-unit-27d-manhattan-ny-10069/29397355518327409/","1 W End Ave, Unit 27D")</f>
        <v>1 W End Ave, Unit 27D</v>
      </c>
      <c r="B4337" s="2" t="str">
        <f t="shared" si="738"/>
        <v>1 W End Ave</v>
      </c>
      <c r="C4337" s="1" t="s">
        <v>57</v>
      </c>
      <c r="D4337" s="1" t="s">
        <v>41</v>
      </c>
      <c r="E4337" s="3">
        <v>2971232</v>
      </c>
      <c r="F4337" s="1">
        <v>1879.3371283997401</v>
      </c>
      <c r="G4337" s="1">
        <v>4</v>
      </c>
      <c r="H4337" s="1">
        <v>2</v>
      </c>
      <c r="I4337" s="1">
        <v>2</v>
      </c>
      <c r="J4337" s="1">
        <v>2.5</v>
      </c>
      <c r="K4337" s="1">
        <v>2</v>
      </c>
      <c r="L4337" s="1">
        <v>1</v>
      </c>
      <c r="M4337" s="4">
        <v>1581</v>
      </c>
      <c r="N4337" s="1">
        <v>1766</v>
      </c>
      <c r="O4337" s="1">
        <v>1872</v>
      </c>
      <c r="P4337" s="1">
        <v>106</v>
      </c>
      <c r="Q4337" s="1" t="s">
        <v>42</v>
      </c>
      <c r="S4337" s="1" t="s">
        <v>42</v>
      </c>
      <c r="T4337" s="1" t="s">
        <v>273</v>
      </c>
      <c r="U4337" s="1">
        <v>99</v>
      </c>
      <c r="V4337" s="5">
        <v>43630</v>
      </c>
      <c r="W4337" s="5">
        <v>42369</v>
      </c>
      <c r="X4337" s="1">
        <v>2962500</v>
      </c>
      <c r="Y4337" s="1">
        <v>2962500</v>
      </c>
      <c r="Z4337" s="5">
        <v>42468</v>
      </c>
      <c r="AA4337" s="1">
        <v>2971232</v>
      </c>
      <c r="AB4337" s="1" t="s">
        <v>3035</v>
      </c>
      <c r="AC4337" s="5">
        <v>43057</v>
      </c>
      <c r="AF4337" s="1">
        <v>10069</v>
      </c>
      <c r="AI4337" s="1" t="s">
        <v>60</v>
      </c>
      <c r="AJ4337" s="1">
        <v>2017</v>
      </c>
      <c r="AK4337" s="1" t="s">
        <v>108</v>
      </c>
      <c r="AL4337" s="1">
        <v>246</v>
      </c>
    </row>
    <row r="4338" spans="1:38" x14ac:dyDescent="0.2">
      <c r="A4338" s="2" t="str">
        <f>HYPERLINK("https://www.compass.com/listing/1-west-end-avenue-unit-28d-manhattan-ny-10069/29397355912497521/","1 W End Ave, Unit 28D")</f>
        <v>1 W End Ave, Unit 28D</v>
      </c>
      <c r="B4338" s="2" t="str">
        <f t="shared" si="738"/>
        <v>1 W End Ave</v>
      </c>
      <c r="C4338" s="1" t="s">
        <v>57</v>
      </c>
      <c r="D4338" s="1" t="s">
        <v>41</v>
      </c>
      <c r="E4338" s="3">
        <v>2783623</v>
      </c>
      <c r="F4338" s="1">
        <v>1773.0082802547699</v>
      </c>
      <c r="G4338" s="1">
        <v>4</v>
      </c>
      <c r="H4338" s="1">
        <v>2</v>
      </c>
      <c r="I4338" s="1">
        <v>2</v>
      </c>
      <c r="J4338" s="1">
        <v>2.5</v>
      </c>
      <c r="K4338" s="1">
        <v>2</v>
      </c>
      <c r="L4338" s="1">
        <v>1</v>
      </c>
      <c r="M4338" s="4">
        <v>1570</v>
      </c>
      <c r="N4338" s="1">
        <v>1756.51</v>
      </c>
      <c r="O4338" s="1">
        <v>1861.81</v>
      </c>
      <c r="P4338" s="1">
        <v>105.333333333333</v>
      </c>
      <c r="Q4338" s="1" t="s">
        <v>42</v>
      </c>
      <c r="S4338" s="1" t="s">
        <v>42</v>
      </c>
      <c r="T4338" s="1" t="s">
        <v>273</v>
      </c>
      <c r="V4338" s="5">
        <v>43626</v>
      </c>
      <c r="W4338" s="5">
        <v>42203</v>
      </c>
      <c r="X4338" s="1">
        <v>2825000</v>
      </c>
      <c r="Y4338" s="1">
        <v>2825000</v>
      </c>
      <c r="Z4338" s="5">
        <v>42203</v>
      </c>
      <c r="AA4338" s="1">
        <v>2783623</v>
      </c>
      <c r="AB4338" s="1" t="s">
        <v>3036</v>
      </c>
      <c r="AC4338" s="5">
        <v>43089</v>
      </c>
      <c r="AF4338" s="1">
        <v>10069</v>
      </c>
      <c r="AI4338" s="1" t="s">
        <v>60</v>
      </c>
      <c r="AJ4338" s="1">
        <v>2017</v>
      </c>
      <c r="AK4338" s="1" t="s">
        <v>108</v>
      </c>
      <c r="AL4338" s="1">
        <v>246</v>
      </c>
    </row>
    <row r="4339" spans="1:38" x14ac:dyDescent="0.2">
      <c r="A4339" s="2" t="str">
        <f>HYPERLINK("https://www.compass.com/listing/1-west-end-avenue-unit-10f-manhattan-ny-10069/29397364242386209/","1 W End Ave, Unit 10F")</f>
        <v>1 W End Ave, Unit 10F</v>
      </c>
      <c r="B4339" s="2" t="str">
        <f t="shared" si="738"/>
        <v>1 W End Ave</v>
      </c>
      <c r="C4339" s="1" t="s">
        <v>57</v>
      </c>
      <c r="D4339" s="1" t="s">
        <v>41</v>
      </c>
      <c r="E4339" s="3">
        <v>2630986</v>
      </c>
      <c r="F4339" s="1">
        <v>1663.0758533501801</v>
      </c>
      <c r="G4339" s="1">
        <v>4</v>
      </c>
      <c r="H4339" s="1">
        <v>2</v>
      </c>
      <c r="I4339" s="1">
        <v>2</v>
      </c>
      <c r="J4339" s="1">
        <v>2.5</v>
      </c>
      <c r="K4339" s="1">
        <v>2</v>
      </c>
      <c r="L4339" s="1">
        <v>1</v>
      </c>
      <c r="M4339" s="4">
        <v>1582</v>
      </c>
      <c r="N4339" s="1">
        <v>1766</v>
      </c>
      <c r="O4339" s="1">
        <v>1872</v>
      </c>
      <c r="P4339" s="1">
        <v>106</v>
      </c>
      <c r="Q4339" s="1" t="s">
        <v>42</v>
      </c>
      <c r="S4339" s="1" t="s">
        <v>42</v>
      </c>
      <c r="T4339" s="1" t="s">
        <v>273</v>
      </c>
      <c r="U4339" s="1">
        <v>4</v>
      </c>
      <c r="V4339" s="5">
        <v>43664</v>
      </c>
      <c r="W4339" s="5">
        <v>42188</v>
      </c>
      <c r="X4339" s="1">
        <v>2725000</v>
      </c>
      <c r="Y4339" s="1">
        <v>2725000</v>
      </c>
      <c r="Z4339" s="5">
        <v>42192</v>
      </c>
      <c r="AA4339" s="1">
        <v>2630986</v>
      </c>
      <c r="AB4339" s="1" t="s">
        <v>3037</v>
      </c>
      <c r="AC4339" s="5">
        <v>43043</v>
      </c>
      <c r="AF4339" s="1">
        <v>10069</v>
      </c>
      <c r="AI4339" s="1" t="s">
        <v>60</v>
      </c>
      <c r="AJ4339" s="1">
        <v>2017</v>
      </c>
      <c r="AK4339" s="1" t="s">
        <v>108</v>
      </c>
      <c r="AL4339" s="1">
        <v>246</v>
      </c>
    </row>
    <row r="4340" spans="1:38" x14ac:dyDescent="0.2">
      <c r="A4340" s="2" t="str">
        <f>HYPERLINK("https://www.compass.com/listing/1-west-end-avenue-unit-11f-manhattan-ny-10069/29397364561170737/","1 W End Ave, Unit 11F")</f>
        <v>1 W End Ave, Unit 11F</v>
      </c>
      <c r="B4340" s="2" t="str">
        <f t="shared" si="738"/>
        <v>1 W End Ave</v>
      </c>
      <c r="C4340" s="1" t="s">
        <v>57</v>
      </c>
      <c r="D4340" s="1" t="s">
        <v>41</v>
      </c>
      <c r="E4340" s="3">
        <v>2656442</v>
      </c>
      <c r="F4340" s="1">
        <v>1679.16687737041</v>
      </c>
      <c r="G4340" s="1">
        <v>4</v>
      </c>
      <c r="H4340" s="1">
        <v>2</v>
      </c>
      <c r="I4340" s="1">
        <v>2</v>
      </c>
      <c r="J4340" s="1">
        <v>2.5</v>
      </c>
      <c r="K4340" s="1">
        <v>2</v>
      </c>
      <c r="L4340" s="1">
        <v>1</v>
      </c>
      <c r="M4340" s="4">
        <v>1582</v>
      </c>
      <c r="N4340" s="1">
        <v>1766</v>
      </c>
      <c r="O4340" s="1">
        <v>1872</v>
      </c>
      <c r="P4340" s="1">
        <v>106</v>
      </c>
      <c r="Q4340" s="1" t="s">
        <v>42</v>
      </c>
      <c r="S4340" s="1" t="s">
        <v>42</v>
      </c>
      <c r="T4340" s="1" t="s">
        <v>273</v>
      </c>
      <c r="U4340" s="1">
        <v>4</v>
      </c>
      <c r="V4340" s="5">
        <v>43636</v>
      </c>
      <c r="W4340" s="5">
        <v>42188</v>
      </c>
      <c r="X4340" s="1">
        <v>2750000</v>
      </c>
      <c r="Y4340" s="1">
        <v>2750000</v>
      </c>
      <c r="Z4340" s="5">
        <v>42192</v>
      </c>
      <c r="AA4340" s="1">
        <v>2656442</v>
      </c>
      <c r="AB4340" s="1" t="s">
        <v>3038</v>
      </c>
      <c r="AC4340" s="5">
        <v>43020</v>
      </c>
      <c r="AF4340" s="1">
        <v>10069</v>
      </c>
      <c r="AI4340" s="1" t="s">
        <v>60</v>
      </c>
      <c r="AJ4340" s="1">
        <v>2017</v>
      </c>
      <c r="AK4340" s="1" t="s">
        <v>108</v>
      </c>
      <c r="AL4340" s="1">
        <v>246</v>
      </c>
    </row>
    <row r="4341" spans="1:38" x14ac:dyDescent="0.2">
      <c r="A4341" s="2" t="str">
        <f>HYPERLINK("https://www.compass.com/listing/1-west-end-avenue-unit-12f-manhattan-ny-10069/29397364963900177/","1 W End Ave, Unit 12F")</f>
        <v>1 W End Ave, Unit 12F</v>
      </c>
      <c r="B4341" s="2" t="str">
        <f t="shared" si="738"/>
        <v>1 W End Ave</v>
      </c>
      <c r="C4341" s="1" t="s">
        <v>57</v>
      </c>
      <c r="D4341" s="1" t="s">
        <v>41</v>
      </c>
      <c r="E4341" s="3">
        <v>2834631</v>
      </c>
      <c r="F4341" s="1">
        <v>1792.9354838709601</v>
      </c>
      <c r="G4341" s="1">
        <v>4</v>
      </c>
      <c r="H4341" s="1">
        <v>2</v>
      </c>
      <c r="I4341" s="1">
        <v>2</v>
      </c>
      <c r="J4341" s="1">
        <v>2.5</v>
      </c>
      <c r="K4341" s="1">
        <v>2</v>
      </c>
      <c r="L4341" s="1">
        <v>1</v>
      </c>
      <c r="M4341" s="4">
        <v>1581</v>
      </c>
      <c r="N4341" s="1">
        <v>1766</v>
      </c>
      <c r="O4341" s="1">
        <v>1872</v>
      </c>
      <c r="P4341" s="1">
        <v>106</v>
      </c>
      <c r="Q4341" s="1" t="s">
        <v>42</v>
      </c>
      <c r="S4341" s="1" t="s">
        <v>42</v>
      </c>
      <c r="T4341" s="1" t="s">
        <v>273</v>
      </c>
      <c r="U4341" s="1">
        <v>47</v>
      </c>
      <c r="V4341" s="5">
        <v>43641</v>
      </c>
      <c r="W4341" s="5">
        <v>42182</v>
      </c>
      <c r="X4341" s="1">
        <v>2775000</v>
      </c>
      <c r="Y4341" s="1">
        <v>2775000</v>
      </c>
      <c r="Z4341" s="5">
        <v>42229</v>
      </c>
      <c r="AA4341" s="1">
        <v>2834631</v>
      </c>
      <c r="AB4341" s="1" t="s">
        <v>3039</v>
      </c>
      <c r="AC4341" s="5">
        <v>43033</v>
      </c>
      <c r="AF4341" s="1">
        <v>10069</v>
      </c>
      <c r="AI4341" s="1" t="s">
        <v>60</v>
      </c>
      <c r="AJ4341" s="1">
        <v>2017</v>
      </c>
      <c r="AK4341" s="1" t="s">
        <v>108</v>
      </c>
      <c r="AL4341" s="1">
        <v>246</v>
      </c>
    </row>
    <row r="4342" spans="1:38" x14ac:dyDescent="0.2">
      <c r="A4342" s="2" t="str">
        <f>HYPERLINK("https://www.compass.com/listing/1-west-end-avenue-unit-14f-manhattan-ny-10069/29397365307739649/","1 W End Ave, Unit 14F")</f>
        <v>1 W End Ave, Unit 14F</v>
      </c>
      <c r="B4342" s="2" t="str">
        <f t="shared" si="738"/>
        <v>1 W End Ave</v>
      </c>
      <c r="C4342" s="1" t="s">
        <v>57</v>
      </c>
      <c r="D4342" s="1" t="s">
        <v>41</v>
      </c>
      <c r="E4342" s="3">
        <v>2885543</v>
      </c>
      <c r="F4342" s="1">
        <v>1825.1378874130201</v>
      </c>
      <c r="G4342" s="1">
        <v>4</v>
      </c>
      <c r="H4342" s="1">
        <v>2</v>
      </c>
      <c r="I4342" s="1">
        <v>2</v>
      </c>
      <c r="J4342" s="1">
        <v>2.5</v>
      </c>
      <c r="K4342" s="1">
        <v>2</v>
      </c>
      <c r="L4342" s="1">
        <v>1</v>
      </c>
      <c r="M4342" s="4">
        <v>1581</v>
      </c>
      <c r="N4342" s="1">
        <v>1767</v>
      </c>
      <c r="O4342" s="1">
        <v>1873</v>
      </c>
      <c r="P4342" s="1">
        <v>106</v>
      </c>
      <c r="Q4342" s="1" t="s">
        <v>42</v>
      </c>
      <c r="S4342" s="1" t="s">
        <v>42</v>
      </c>
      <c r="T4342" s="1" t="s">
        <v>273</v>
      </c>
      <c r="U4342" s="1">
        <v>56</v>
      </c>
      <c r="V4342" s="5">
        <v>43623</v>
      </c>
      <c r="W4342" s="5">
        <v>42264</v>
      </c>
      <c r="X4342" s="1">
        <v>2825000</v>
      </c>
      <c r="Y4342" s="1">
        <v>2825000</v>
      </c>
      <c r="Z4342" s="5">
        <v>42320</v>
      </c>
      <c r="AA4342" s="1">
        <v>2885543</v>
      </c>
      <c r="AB4342" s="1" t="s">
        <v>3040</v>
      </c>
      <c r="AC4342" s="5">
        <v>43056</v>
      </c>
      <c r="AF4342" s="1">
        <v>10069</v>
      </c>
      <c r="AI4342" s="1" t="s">
        <v>60</v>
      </c>
      <c r="AJ4342" s="1">
        <v>2017</v>
      </c>
      <c r="AK4342" s="1" t="s">
        <v>108</v>
      </c>
      <c r="AL4342" s="1">
        <v>246</v>
      </c>
    </row>
    <row r="4343" spans="1:38" x14ac:dyDescent="0.2">
      <c r="A4343" s="2" t="str">
        <f>HYPERLINK("https://www.compass.com/listing/1-west-end-avenue-unit-15f-manhattan-ny-10069/29397365752353105/","1 W End Ave, Unit 15F")</f>
        <v>1 W End Ave, Unit 15F</v>
      </c>
      <c r="B4343" s="2" t="str">
        <f t="shared" si="738"/>
        <v>1 W End Ave</v>
      </c>
      <c r="C4343" s="1" t="s">
        <v>57</v>
      </c>
      <c r="D4343" s="1" t="s">
        <v>41</v>
      </c>
      <c r="E4343" s="3">
        <v>2911005</v>
      </c>
      <c r="F4343" s="1">
        <v>1840.07901390644</v>
      </c>
      <c r="G4343" s="1">
        <v>4</v>
      </c>
      <c r="H4343" s="1">
        <v>2</v>
      </c>
      <c r="I4343" s="1">
        <v>2</v>
      </c>
      <c r="J4343" s="1">
        <v>2.5</v>
      </c>
      <c r="K4343" s="1">
        <v>2</v>
      </c>
      <c r="L4343" s="1">
        <v>1</v>
      </c>
      <c r="M4343" s="4">
        <v>1582</v>
      </c>
      <c r="N4343" s="1">
        <v>1766</v>
      </c>
      <c r="O4343" s="1">
        <v>1872</v>
      </c>
      <c r="P4343" s="1">
        <v>106</v>
      </c>
      <c r="Q4343" s="1" t="s">
        <v>42</v>
      </c>
      <c r="S4343" s="1" t="s">
        <v>42</v>
      </c>
      <c r="T4343" s="1" t="s">
        <v>273</v>
      </c>
      <c r="U4343" s="1">
        <v>101</v>
      </c>
      <c r="V4343" s="5">
        <v>43673</v>
      </c>
      <c r="W4343" s="5">
        <v>42182</v>
      </c>
      <c r="X4343" s="1">
        <v>2850000</v>
      </c>
      <c r="Y4343" s="1">
        <v>2850000</v>
      </c>
      <c r="Z4343" s="5">
        <v>42283</v>
      </c>
      <c r="AA4343" s="1">
        <v>2911005</v>
      </c>
      <c r="AB4343" s="1" t="s">
        <v>3041</v>
      </c>
      <c r="AC4343" s="5">
        <v>43074</v>
      </c>
      <c r="AF4343" s="1">
        <v>10069</v>
      </c>
      <c r="AI4343" s="1" t="s">
        <v>60</v>
      </c>
      <c r="AJ4343" s="1">
        <v>2017</v>
      </c>
      <c r="AK4343" s="1" t="s">
        <v>108</v>
      </c>
      <c r="AL4343" s="1">
        <v>246</v>
      </c>
    </row>
    <row r="4344" spans="1:38" x14ac:dyDescent="0.2">
      <c r="A4344" s="2" t="str">
        <f>HYPERLINK("https://www.compass.com/listing/1-west-end-avenue-unit-16f-manhattan-ny-10069/29397366121528097/","1 W End Ave, Unit 16F")</f>
        <v>1 W End Ave, Unit 16F</v>
      </c>
      <c r="B4344" s="2" t="str">
        <f t="shared" si="738"/>
        <v>1 W End Ave</v>
      </c>
      <c r="C4344" s="1" t="s">
        <v>57</v>
      </c>
      <c r="D4344" s="1" t="s">
        <v>41</v>
      </c>
      <c r="E4344" s="3">
        <v>2916461</v>
      </c>
      <c r="F4344" s="1">
        <v>1843.5278128950599</v>
      </c>
      <c r="G4344" s="1">
        <v>4</v>
      </c>
      <c r="H4344" s="1">
        <v>2</v>
      </c>
      <c r="I4344" s="1">
        <v>2</v>
      </c>
      <c r="J4344" s="1">
        <v>2.5</v>
      </c>
      <c r="K4344" s="1">
        <v>2</v>
      </c>
      <c r="L4344" s="1">
        <v>1</v>
      </c>
      <c r="M4344" s="4">
        <v>1582</v>
      </c>
      <c r="N4344" s="1">
        <v>1767</v>
      </c>
      <c r="O4344" s="1">
        <v>1873</v>
      </c>
      <c r="P4344" s="1">
        <v>106</v>
      </c>
      <c r="Q4344" s="1" t="s">
        <v>42</v>
      </c>
      <c r="S4344" s="1" t="s">
        <v>42</v>
      </c>
      <c r="T4344" s="1" t="s">
        <v>273</v>
      </c>
      <c r="U4344" s="1">
        <v>7</v>
      </c>
      <c r="V4344" s="5">
        <v>43623</v>
      </c>
      <c r="W4344" s="5">
        <v>42273</v>
      </c>
      <c r="X4344" s="1">
        <v>2875000</v>
      </c>
      <c r="Y4344" s="1">
        <v>2875000</v>
      </c>
      <c r="Z4344" s="5">
        <v>42280</v>
      </c>
      <c r="AA4344" s="1">
        <v>2916461</v>
      </c>
      <c r="AB4344" s="1" t="s">
        <v>3042</v>
      </c>
      <c r="AC4344" s="5">
        <v>43068</v>
      </c>
      <c r="AF4344" s="1">
        <v>10069</v>
      </c>
      <c r="AI4344" s="1" t="s">
        <v>60</v>
      </c>
      <c r="AJ4344" s="1">
        <v>2017</v>
      </c>
      <c r="AK4344" s="1" t="s">
        <v>108</v>
      </c>
      <c r="AL4344" s="1">
        <v>246</v>
      </c>
    </row>
    <row r="4345" spans="1:38" x14ac:dyDescent="0.2">
      <c r="A4345" s="2" t="str">
        <f>HYPERLINK("https://www.compass.com/listing/1-west-end-avenue-unit-17f-manhattan-ny-10069/29397366524087969/","1 W End Ave, Unit 17F")</f>
        <v>1 W End Ave, Unit 17F</v>
      </c>
      <c r="B4345" s="2" t="str">
        <f t="shared" si="738"/>
        <v>1 W End Ave</v>
      </c>
      <c r="C4345" s="1" t="s">
        <v>57</v>
      </c>
      <c r="D4345" s="1" t="s">
        <v>41</v>
      </c>
      <c r="E4345" s="3">
        <v>2961916</v>
      </c>
      <c r="F4345" s="1">
        <v>1872.26042983565</v>
      </c>
      <c r="G4345" s="1">
        <v>4</v>
      </c>
      <c r="H4345" s="1">
        <v>2</v>
      </c>
      <c r="I4345" s="1">
        <v>2</v>
      </c>
      <c r="J4345" s="1">
        <v>2.5</v>
      </c>
      <c r="K4345" s="1">
        <v>2</v>
      </c>
      <c r="L4345" s="1">
        <v>1</v>
      </c>
      <c r="M4345" s="4">
        <v>1582</v>
      </c>
      <c r="N4345" s="1">
        <v>1767</v>
      </c>
      <c r="O4345" s="1">
        <v>1873</v>
      </c>
      <c r="P4345" s="1">
        <v>106</v>
      </c>
      <c r="Q4345" s="1" t="s">
        <v>42</v>
      </c>
      <c r="S4345" s="1" t="s">
        <v>42</v>
      </c>
      <c r="T4345" s="1" t="s">
        <v>273</v>
      </c>
      <c r="U4345" s="1">
        <v>44</v>
      </c>
      <c r="V4345" s="5">
        <v>43623</v>
      </c>
      <c r="W4345" s="5">
        <v>42220</v>
      </c>
      <c r="X4345" s="1">
        <v>2900000</v>
      </c>
      <c r="Y4345" s="1">
        <v>2900000</v>
      </c>
      <c r="Z4345" s="5">
        <v>42264</v>
      </c>
      <c r="AA4345" s="1">
        <v>2961916</v>
      </c>
      <c r="AB4345" s="1" t="s">
        <v>3043</v>
      </c>
      <c r="AC4345" s="5">
        <v>42978</v>
      </c>
      <c r="AF4345" s="1">
        <v>10069</v>
      </c>
      <c r="AI4345" s="1" t="s">
        <v>60</v>
      </c>
      <c r="AJ4345" s="1">
        <v>2017</v>
      </c>
      <c r="AK4345" s="1" t="s">
        <v>108</v>
      </c>
      <c r="AL4345" s="1">
        <v>246</v>
      </c>
    </row>
    <row r="4346" spans="1:38" x14ac:dyDescent="0.2">
      <c r="A4346" s="2" t="str">
        <f>HYPERLINK("https://www.compass.com/listing/1-west-end-avenue-unit-18f-manhattan-ny-10069/29397366884815201/","1 W End Ave, Unit 18F")</f>
        <v>1 W End Ave, Unit 18F</v>
      </c>
      <c r="B4346" s="2" t="str">
        <f t="shared" si="738"/>
        <v>1 W End Ave</v>
      </c>
      <c r="C4346" s="1" t="s">
        <v>57</v>
      </c>
      <c r="D4346" s="1" t="s">
        <v>41</v>
      </c>
      <c r="E4346" s="3">
        <v>2834630</v>
      </c>
      <c r="F4346" s="1">
        <v>1792.93485135989</v>
      </c>
      <c r="G4346" s="1">
        <v>4</v>
      </c>
      <c r="H4346" s="1">
        <v>2</v>
      </c>
      <c r="I4346" s="1">
        <v>2</v>
      </c>
      <c r="J4346" s="1">
        <v>2.5</v>
      </c>
      <c r="K4346" s="1">
        <v>2</v>
      </c>
      <c r="L4346" s="1">
        <v>1</v>
      </c>
      <c r="M4346" s="4">
        <v>1581</v>
      </c>
      <c r="N4346" s="1">
        <v>1766</v>
      </c>
      <c r="O4346" s="1">
        <v>1872</v>
      </c>
      <c r="P4346" s="1">
        <v>106</v>
      </c>
      <c r="Q4346" s="1" t="s">
        <v>42</v>
      </c>
      <c r="S4346" s="1" t="s">
        <v>42</v>
      </c>
      <c r="T4346" s="1" t="s">
        <v>273</v>
      </c>
      <c r="U4346" s="1">
        <v>4</v>
      </c>
      <c r="V4346" s="5">
        <v>43623</v>
      </c>
      <c r="W4346" s="5">
        <v>42188</v>
      </c>
      <c r="X4346" s="1">
        <v>2925000</v>
      </c>
      <c r="Y4346" s="1">
        <v>2925000</v>
      </c>
      <c r="Z4346" s="5">
        <v>42192</v>
      </c>
      <c r="AA4346" s="1">
        <v>2834630</v>
      </c>
      <c r="AB4346" s="1" t="s">
        <v>3044</v>
      </c>
      <c r="AC4346" s="5">
        <v>43004</v>
      </c>
      <c r="AF4346" s="1">
        <v>10069</v>
      </c>
      <c r="AI4346" s="1" t="s">
        <v>60</v>
      </c>
      <c r="AJ4346" s="1">
        <v>2017</v>
      </c>
      <c r="AK4346" s="1" t="s">
        <v>108</v>
      </c>
      <c r="AL4346" s="1">
        <v>246</v>
      </c>
    </row>
    <row r="4347" spans="1:38" x14ac:dyDescent="0.2">
      <c r="A4347" s="2" t="str">
        <f>HYPERLINK("https://www.compass.com/listing/1-west-end-avenue-unit-19f-manhattan-ny-10069/29397367262378801/","1 W End Ave, Unit 19F")</f>
        <v>1 W End Ave, Unit 19F</v>
      </c>
      <c r="B4347" s="2" t="str">
        <f t="shared" si="738"/>
        <v>1 W End Ave</v>
      </c>
      <c r="C4347" s="1" t="s">
        <v>57</v>
      </c>
      <c r="D4347" s="1" t="s">
        <v>41</v>
      </c>
      <c r="E4347" s="3">
        <v>3025552</v>
      </c>
      <c r="F4347" s="1">
        <v>1913.6951296647601</v>
      </c>
      <c r="G4347" s="1">
        <v>4</v>
      </c>
      <c r="H4347" s="1">
        <v>2</v>
      </c>
      <c r="I4347" s="1">
        <v>2</v>
      </c>
      <c r="J4347" s="1">
        <v>2.5</v>
      </c>
      <c r="K4347" s="1">
        <v>2</v>
      </c>
      <c r="L4347" s="1">
        <v>1</v>
      </c>
      <c r="M4347" s="4">
        <v>1581</v>
      </c>
      <c r="N4347" s="1">
        <v>1767</v>
      </c>
      <c r="O4347" s="1">
        <v>1873</v>
      </c>
      <c r="P4347" s="1">
        <v>106</v>
      </c>
      <c r="Q4347" s="1" t="s">
        <v>42</v>
      </c>
      <c r="S4347" s="1" t="s">
        <v>42</v>
      </c>
      <c r="T4347" s="1" t="s">
        <v>273</v>
      </c>
      <c r="U4347" s="1">
        <v>21</v>
      </c>
      <c r="V4347" s="5">
        <v>43623</v>
      </c>
      <c r="W4347" s="5">
        <v>42266</v>
      </c>
      <c r="X4347" s="1">
        <v>2962500</v>
      </c>
      <c r="Y4347" s="1">
        <v>2962500</v>
      </c>
      <c r="Z4347" s="5">
        <v>42287</v>
      </c>
      <c r="AA4347" s="1">
        <v>3025552</v>
      </c>
      <c r="AB4347" s="1" t="s">
        <v>3045</v>
      </c>
      <c r="AC4347" s="5">
        <v>42991</v>
      </c>
      <c r="AF4347" s="1">
        <v>10069</v>
      </c>
      <c r="AI4347" s="1" t="s">
        <v>60</v>
      </c>
      <c r="AJ4347" s="1">
        <v>2017</v>
      </c>
      <c r="AK4347" s="1" t="s">
        <v>108</v>
      </c>
      <c r="AL4347" s="1">
        <v>246</v>
      </c>
    </row>
    <row r="4348" spans="1:38" x14ac:dyDescent="0.2">
      <c r="A4348" s="2" t="str">
        <f>HYPERLINK("https://www.compass.com/listing/1-west-end-avenue-unit-20f-manhattan-ny-10069/29397367572664065/","1 W End Ave, Unit 20F")</f>
        <v>1 W End Ave, Unit 20F</v>
      </c>
      <c r="B4348" s="2" t="str">
        <f t="shared" si="738"/>
        <v>1 W End Ave</v>
      </c>
      <c r="C4348" s="1" t="s">
        <v>57</v>
      </c>
      <c r="D4348" s="1" t="s">
        <v>41</v>
      </c>
      <c r="E4348" s="3">
        <v>2995005</v>
      </c>
      <c r="F4348" s="1">
        <v>1894.3738140417399</v>
      </c>
      <c r="G4348" s="1">
        <v>4</v>
      </c>
      <c r="H4348" s="1">
        <v>2</v>
      </c>
      <c r="I4348" s="1">
        <v>2</v>
      </c>
      <c r="J4348" s="1">
        <v>2.5</v>
      </c>
      <c r="K4348" s="1">
        <v>2</v>
      </c>
      <c r="L4348" s="1">
        <v>1</v>
      </c>
      <c r="M4348" s="4">
        <v>1581</v>
      </c>
      <c r="N4348" s="1">
        <v>1766</v>
      </c>
      <c r="O4348" s="1">
        <v>1872</v>
      </c>
      <c r="P4348" s="1">
        <v>106</v>
      </c>
      <c r="Q4348" s="1" t="s">
        <v>42</v>
      </c>
      <c r="S4348" s="1" t="s">
        <v>42</v>
      </c>
      <c r="T4348" s="1" t="s">
        <v>273</v>
      </c>
      <c r="U4348" s="1">
        <v>4</v>
      </c>
      <c r="V4348" s="5">
        <v>43623</v>
      </c>
      <c r="W4348" s="5">
        <v>42188</v>
      </c>
      <c r="X4348" s="1">
        <v>3012500</v>
      </c>
      <c r="Y4348" s="1">
        <v>3012500</v>
      </c>
      <c r="Z4348" s="5">
        <v>42192</v>
      </c>
      <c r="AA4348" s="1">
        <v>2995005</v>
      </c>
      <c r="AB4348" s="1" t="s">
        <v>3046</v>
      </c>
      <c r="AC4348" s="5">
        <v>42991</v>
      </c>
      <c r="AF4348" s="1">
        <v>10069</v>
      </c>
      <c r="AI4348" s="1" t="s">
        <v>60</v>
      </c>
      <c r="AJ4348" s="1">
        <v>2017</v>
      </c>
      <c r="AK4348" s="1" t="s">
        <v>108</v>
      </c>
      <c r="AL4348" s="1">
        <v>246</v>
      </c>
    </row>
    <row r="4349" spans="1:38" x14ac:dyDescent="0.2">
      <c r="A4349" s="2" t="str">
        <f>HYPERLINK("https://www.compass.com/listing/1-west-end-avenue-unit-21g-manhattan-ny-10069/29397375642505841/","1 W End Ave, Unit 21G")</f>
        <v>1 W End Ave, Unit 21G</v>
      </c>
      <c r="B4349" s="2" t="str">
        <f t="shared" si="738"/>
        <v>1 W End Ave</v>
      </c>
      <c r="C4349" s="1" t="s">
        <v>57</v>
      </c>
      <c r="D4349" s="1" t="s">
        <v>41</v>
      </c>
      <c r="E4349" s="3">
        <v>3338206</v>
      </c>
      <c r="F4349" s="1">
        <v>2269.3446634942202</v>
      </c>
      <c r="G4349" s="1">
        <v>4</v>
      </c>
      <c r="H4349" s="1">
        <v>2</v>
      </c>
      <c r="I4349" s="1">
        <v>2</v>
      </c>
      <c r="J4349" s="1">
        <v>2.5</v>
      </c>
      <c r="K4349" s="1">
        <v>2</v>
      </c>
      <c r="L4349" s="1">
        <v>1</v>
      </c>
      <c r="M4349" s="4">
        <v>1471</v>
      </c>
      <c r="N4349" s="1">
        <v>1674</v>
      </c>
      <c r="O4349" s="1">
        <v>1774</v>
      </c>
      <c r="P4349" s="1">
        <v>100</v>
      </c>
      <c r="Q4349" s="1" t="s">
        <v>42</v>
      </c>
      <c r="S4349" s="1" t="s">
        <v>42</v>
      </c>
      <c r="T4349" s="1" t="s">
        <v>273</v>
      </c>
      <c r="U4349" s="1">
        <v>2</v>
      </c>
      <c r="V4349" s="5">
        <v>43649</v>
      </c>
      <c r="W4349" s="5">
        <v>42264</v>
      </c>
      <c r="X4349" s="1">
        <v>3270000</v>
      </c>
      <c r="Y4349" s="1">
        <v>3270000</v>
      </c>
      <c r="Z4349" s="5">
        <v>42266</v>
      </c>
      <c r="AA4349" s="1">
        <v>3338206</v>
      </c>
      <c r="AB4349" s="1" t="s">
        <v>3047</v>
      </c>
      <c r="AC4349" s="5">
        <v>42997</v>
      </c>
      <c r="AF4349" s="1">
        <v>10069</v>
      </c>
      <c r="AI4349" s="1" t="s">
        <v>60</v>
      </c>
      <c r="AJ4349" s="1">
        <v>2017</v>
      </c>
      <c r="AK4349" s="1" t="s">
        <v>108</v>
      </c>
      <c r="AL4349" s="1">
        <v>246</v>
      </c>
    </row>
    <row r="4350" spans="1:38" x14ac:dyDescent="0.2">
      <c r="A4350" s="2" t="str">
        <f>HYPERLINK("https://www.compass.com/listing/1-west-end-avenue-unit-24g-manhattan-ny-10069/29397376414350273/","1 W End Ave, Unit 24G")</f>
        <v>1 W End Ave, Unit 24G</v>
      </c>
      <c r="B4350" s="2" t="str">
        <f t="shared" si="738"/>
        <v>1 W End Ave</v>
      </c>
      <c r="C4350" s="1" t="s">
        <v>57</v>
      </c>
      <c r="D4350" s="1" t="s">
        <v>41</v>
      </c>
      <c r="E4350" s="3">
        <v>3368375</v>
      </c>
      <c r="F4350" s="1">
        <v>2289.8538409245398</v>
      </c>
      <c r="G4350" s="1">
        <v>4</v>
      </c>
      <c r="H4350" s="1">
        <v>2</v>
      </c>
      <c r="I4350" s="1">
        <v>2</v>
      </c>
      <c r="J4350" s="1">
        <v>2.5</v>
      </c>
      <c r="K4350" s="1">
        <v>2</v>
      </c>
      <c r="L4350" s="1">
        <v>1</v>
      </c>
      <c r="M4350" s="4">
        <v>1471</v>
      </c>
      <c r="N4350" s="1">
        <v>1674</v>
      </c>
      <c r="O4350" s="1">
        <v>1774</v>
      </c>
      <c r="P4350" s="1">
        <v>100</v>
      </c>
      <c r="Q4350" s="1" t="s">
        <v>42</v>
      </c>
      <c r="S4350" s="1" t="s">
        <v>42</v>
      </c>
      <c r="T4350" s="1" t="s">
        <v>273</v>
      </c>
      <c r="U4350" s="1">
        <v>62</v>
      </c>
      <c r="V4350" s="5">
        <v>43649</v>
      </c>
      <c r="W4350" s="5">
        <v>42411</v>
      </c>
      <c r="X4350" s="1">
        <v>3360000</v>
      </c>
      <c r="Y4350" s="1">
        <v>3360000</v>
      </c>
      <c r="Z4350" s="5">
        <v>42473</v>
      </c>
      <c r="AA4350" s="1">
        <v>3368375</v>
      </c>
      <c r="AB4350" s="1" t="s">
        <v>3048</v>
      </c>
      <c r="AC4350" s="5">
        <v>43025</v>
      </c>
      <c r="AF4350" s="1">
        <v>10069</v>
      </c>
      <c r="AI4350" s="1" t="s">
        <v>60</v>
      </c>
      <c r="AJ4350" s="1">
        <v>2017</v>
      </c>
      <c r="AK4350" s="1" t="s">
        <v>108</v>
      </c>
      <c r="AL4350" s="1">
        <v>246</v>
      </c>
    </row>
    <row r="4351" spans="1:38" x14ac:dyDescent="0.2">
      <c r="A4351" s="2" t="str">
        <f>HYPERLINK("https://www.compass.com/listing/1-west-end-avenue-unit-25g-manhattan-ny-10069/29397376733024897/","1 W End Ave, Unit 25G")</f>
        <v>1 W End Ave, Unit 25G</v>
      </c>
      <c r="B4351" s="2" t="str">
        <f t="shared" si="738"/>
        <v>1 W End Ave</v>
      </c>
      <c r="C4351" s="1" t="s">
        <v>57</v>
      </c>
      <c r="D4351" s="1" t="s">
        <v>41</v>
      </c>
      <c r="E4351" s="3">
        <v>3429467</v>
      </c>
      <c r="F4351" s="1">
        <v>2331.3847722637602</v>
      </c>
      <c r="G4351" s="1">
        <v>4</v>
      </c>
      <c r="H4351" s="1">
        <v>2</v>
      </c>
      <c r="I4351" s="1">
        <v>2</v>
      </c>
      <c r="J4351" s="1">
        <v>2.5</v>
      </c>
      <c r="K4351" s="1">
        <v>2</v>
      </c>
      <c r="L4351" s="1">
        <v>1</v>
      </c>
      <c r="M4351" s="4">
        <v>1471</v>
      </c>
      <c r="N4351" s="1">
        <v>1674</v>
      </c>
      <c r="O4351" s="1">
        <v>1774</v>
      </c>
      <c r="P4351" s="1">
        <v>100</v>
      </c>
      <c r="Q4351" s="1" t="s">
        <v>42</v>
      </c>
      <c r="S4351" s="1" t="s">
        <v>42</v>
      </c>
      <c r="T4351" s="1" t="s">
        <v>273</v>
      </c>
      <c r="U4351" s="1">
        <v>209</v>
      </c>
      <c r="V4351" s="5">
        <v>43624</v>
      </c>
      <c r="W4351" s="5">
        <v>42475</v>
      </c>
      <c r="X4351" s="1">
        <v>3390000</v>
      </c>
      <c r="Y4351" s="1">
        <v>3390000</v>
      </c>
      <c r="Z4351" s="5">
        <v>42684</v>
      </c>
      <c r="AA4351" s="1">
        <v>3429467</v>
      </c>
      <c r="AB4351" s="1" t="s">
        <v>3049</v>
      </c>
      <c r="AC4351" s="5">
        <v>43029</v>
      </c>
      <c r="AF4351" s="1">
        <v>10069</v>
      </c>
      <c r="AI4351" s="1" t="s">
        <v>60</v>
      </c>
      <c r="AJ4351" s="1">
        <v>2017</v>
      </c>
      <c r="AK4351" s="1" t="s">
        <v>108</v>
      </c>
      <c r="AL4351" s="1">
        <v>246</v>
      </c>
    </row>
    <row r="4352" spans="1:38" x14ac:dyDescent="0.2">
      <c r="A4352" s="2" t="str">
        <f>HYPERLINK("https://www.compass.com/listing/1-west-end-avenue-unit-27g-manhattan-ny-10069/29397377555200993/","1 W End Ave, Unit 27G")</f>
        <v>1 W End Ave, Unit 27G</v>
      </c>
      <c r="B4352" s="2" t="str">
        <f t="shared" si="738"/>
        <v>1 W End Ave</v>
      </c>
      <c r="C4352" s="1" t="s">
        <v>57</v>
      </c>
      <c r="D4352" s="1" t="s">
        <v>41</v>
      </c>
      <c r="E4352" s="3">
        <v>3461881</v>
      </c>
      <c r="F4352" s="1">
        <v>2353.4201223657301</v>
      </c>
      <c r="G4352" s="1">
        <v>4</v>
      </c>
      <c r="H4352" s="1">
        <v>2</v>
      </c>
      <c r="I4352" s="1">
        <v>2</v>
      </c>
      <c r="J4352" s="1">
        <v>2.5</v>
      </c>
      <c r="K4352" s="1">
        <v>2</v>
      </c>
      <c r="L4352" s="1">
        <v>1</v>
      </c>
      <c r="M4352" s="4">
        <v>1471</v>
      </c>
      <c r="N4352" s="1">
        <v>1674</v>
      </c>
      <c r="O4352" s="1">
        <v>1774</v>
      </c>
      <c r="P4352" s="1">
        <v>100</v>
      </c>
      <c r="Q4352" s="1" t="s">
        <v>42</v>
      </c>
      <c r="S4352" s="1" t="s">
        <v>42</v>
      </c>
      <c r="T4352" s="1" t="s">
        <v>273</v>
      </c>
      <c r="U4352" s="1">
        <v>177</v>
      </c>
      <c r="V4352" s="5">
        <v>43624</v>
      </c>
      <c r="W4352" s="5">
        <v>42501</v>
      </c>
      <c r="X4352" s="1">
        <v>3465000</v>
      </c>
      <c r="Y4352" s="1">
        <v>3465000</v>
      </c>
      <c r="Z4352" s="5">
        <v>42678</v>
      </c>
      <c r="AA4352" s="1">
        <v>3461881</v>
      </c>
      <c r="AB4352" s="1" t="s">
        <v>3050</v>
      </c>
      <c r="AC4352" s="5">
        <v>43057</v>
      </c>
      <c r="AF4352" s="1">
        <v>10069</v>
      </c>
      <c r="AI4352" s="1" t="s">
        <v>60</v>
      </c>
      <c r="AJ4352" s="1">
        <v>2017</v>
      </c>
      <c r="AK4352" s="1" t="s">
        <v>108</v>
      </c>
      <c r="AL4352" s="1">
        <v>246</v>
      </c>
    </row>
    <row r="4353" spans="1:38" x14ac:dyDescent="0.2">
      <c r="A4353" s="2" t="str">
        <f>HYPERLINK("https://www.compass.com/listing/1-west-end-avenue-unit-11h-manhattan-ny-10069/29397379501281857/","1 W End Ave, Unit 11H")</f>
        <v>1 W End Ave, Unit 11H</v>
      </c>
      <c r="B4353" s="2" t="str">
        <f t="shared" si="738"/>
        <v>1 W End Ave</v>
      </c>
      <c r="C4353" s="1" t="s">
        <v>57</v>
      </c>
      <c r="D4353" s="1" t="s">
        <v>41</v>
      </c>
      <c r="E4353" s="3">
        <v>2640358</v>
      </c>
      <c r="F4353" s="1">
        <v>1920.2603636363599</v>
      </c>
      <c r="G4353" s="1">
        <v>4</v>
      </c>
      <c r="H4353" s="1">
        <v>2</v>
      </c>
      <c r="I4353" s="1">
        <v>2</v>
      </c>
      <c r="J4353" s="1">
        <v>2.5</v>
      </c>
      <c r="K4353" s="1">
        <v>2</v>
      </c>
      <c r="L4353" s="1">
        <v>1</v>
      </c>
      <c r="M4353" s="4">
        <v>1375</v>
      </c>
      <c r="N4353" s="1">
        <v>1594</v>
      </c>
      <c r="O4353" s="1">
        <v>1690</v>
      </c>
      <c r="P4353" s="1">
        <v>96</v>
      </c>
      <c r="Q4353" s="1" t="s">
        <v>42</v>
      </c>
      <c r="S4353" s="1" t="s">
        <v>42</v>
      </c>
      <c r="T4353" s="1" t="s">
        <v>273</v>
      </c>
      <c r="U4353" s="1">
        <v>29</v>
      </c>
      <c r="V4353" s="5">
        <v>43623</v>
      </c>
      <c r="W4353" s="5">
        <v>42180</v>
      </c>
      <c r="X4353" s="1">
        <v>2505000</v>
      </c>
      <c r="Y4353" s="1">
        <v>2585000</v>
      </c>
      <c r="Z4353" s="5">
        <v>42209</v>
      </c>
      <c r="AA4353" s="1">
        <v>2640358</v>
      </c>
      <c r="AB4353" s="1" t="s">
        <v>3051</v>
      </c>
      <c r="AC4353" s="5">
        <v>43032</v>
      </c>
      <c r="AF4353" s="1">
        <v>10069</v>
      </c>
      <c r="AI4353" s="1" t="s">
        <v>60</v>
      </c>
      <c r="AJ4353" s="1">
        <v>2017</v>
      </c>
      <c r="AK4353" s="1" t="s">
        <v>108</v>
      </c>
      <c r="AL4353" s="1">
        <v>246</v>
      </c>
    </row>
    <row r="4354" spans="1:38" x14ac:dyDescent="0.2">
      <c r="A4354" s="2" t="str">
        <f>HYPERLINK("https://www.compass.com/listing/1-west-end-avenue-unit-12h-manhattan-ny-10069/29397379887234049/","1 W End Ave, Unit 12H")</f>
        <v>1 W End Ave, Unit 12H</v>
      </c>
      <c r="B4354" s="2" t="str">
        <f t="shared" si="738"/>
        <v>1 W End Ave</v>
      </c>
      <c r="C4354" s="1" t="s">
        <v>57</v>
      </c>
      <c r="D4354" s="1" t="s">
        <v>41</v>
      </c>
      <c r="E4354" s="3">
        <v>2543630</v>
      </c>
      <c r="F4354" s="1">
        <v>1849.9127272727201</v>
      </c>
      <c r="G4354" s="1">
        <v>4</v>
      </c>
      <c r="H4354" s="1">
        <v>2</v>
      </c>
      <c r="I4354" s="1">
        <v>2</v>
      </c>
      <c r="J4354" s="1">
        <v>2.5</v>
      </c>
      <c r="K4354" s="1">
        <v>2</v>
      </c>
      <c r="L4354" s="1">
        <v>1</v>
      </c>
      <c r="M4354" s="4">
        <v>1375</v>
      </c>
      <c r="N4354" s="1">
        <v>1594</v>
      </c>
      <c r="O4354" s="1">
        <v>1690</v>
      </c>
      <c r="P4354" s="1">
        <v>96</v>
      </c>
      <c r="Q4354" s="1" t="s">
        <v>42</v>
      </c>
      <c r="S4354" s="1" t="s">
        <v>42</v>
      </c>
      <c r="T4354" s="1" t="s">
        <v>273</v>
      </c>
      <c r="U4354" s="1">
        <v>1</v>
      </c>
      <c r="V4354" s="5">
        <v>43673</v>
      </c>
      <c r="W4354" s="5">
        <v>42199</v>
      </c>
      <c r="X4354" s="1">
        <v>2610000</v>
      </c>
      <c r="Y4354" s="1">
        <v>2610000</v>
      </c>
      <c r="Z4354" s="5">
        <v>42200</v>
      </c>
      <c r="AA4354" s="1">
        <v>2543630</v>
      </c>
      <c r="AB4354" s="1" t="s">
        <v>3052</v>
      </c>
      <c r="AC4354" s="5">
        <v>43054</v>
      </c>
      <c r="AF4354" s="1">
        <v>10069</v>
      </c>
      <c r="AI4354" s="1" t="s">
        <v>60</v>
      </c>
      <c r="AJ4354" s="1">
        <v>2017</v>
      </c>
      <c r="AK4354" s="1" t="s">
        <v>108</v>
      </c>
      <c r="AL4354" s="1">
        <v>246</v>
      </c>
    </row>
    <row r="4355" spans="1:38" x14ac:dyDescent="0.2">
      <c r="A4355" s="2" t="str">
        <f>HYPERLINK("https://www.compass.com/listing/1-west-end-avenue-unit-15h-manhattan-ny-10069/29397380558246513/","1 W End Ave, Unit 15H")</f>
        <v>1 W End Ave, Unit 15H</v>
      </c>
      <c r="B4355" s="2" t="str">
        <f t="shared" si="738"/>
        <v>1 W End Ave</v>
      </c>
      <c r="C4355" s="1" t="s">
        <v>57</v>
      </c>
      <c r="D4355" s="1" t="s">
        <v>41</v>
      </c>
      <c r="E4355" s="3">
        <v>2717682</v>
      </c>
      <c r="F4355" s="1">
        <v>1976.4960000000001</v>
      </c>
      <c r="G4355" s="1">
        <v>4</v>
      </c>
      <c r="H4355" s="1">
        <v>2</v>
      </c>
      <c r="I4355" s="1">
        <v>2</v>
      </c>
      <c r="J4355" s="1">
        <v>2.5</v>
      </c>
      <c r="K4355" s="1">
        <v>2</v>
      </c>
      <c r="L4355" s="1">
        <v>1</v>
      </c>
      <c r="M4355" s="4">
        <v>1375</v>
      </c>
      <c r="N4355" s="1">
        <v>1594</v>
      </c>
      <c r="O4355" s="1">
        <v>1690</v>
      </c>
      <c r="P4355" s="1">
        <v>96</v>
      </c>
      <c r="Q4355" s="1" t="s">
        <v>42</v>
      </c>
      <c r="S4355" s="1" t="s">
        <v>42</v>
      </c>
      <c r="T4355" s="1" t="s">
        <v>273</v>
      </c>
      <c r="U4355" s="1">
        <v>78</v>
      </c>
      <c r="V4355" s="5">
        <v>43624</v>
      </c>
      <c r="W4355" s="5">
        <v>42411</v>
      </c>
      <c r="X4355" s="1">
        <v>2685000</v>
      </c>
      <c r="Y4355" s="1">
        <v>2685000</v>
      </c>
      <c r="Z4355" s="5">
        <v>42489</v>
      </c>
      <c r="AA4355" s="1">
        <v>2717682</v>
      </c>
      <c r="AB4355" s="1" t="s">
        <v>3053</v>
      </c>
      <c r="AC4355" s="5">
        <v>43068</v>
      </c>
      <c r="AF4355" s="1">
        <v>10069</v>
      </c>
      <c r="AI4355" s="1" t="s">
        <v>60</v>
      </c>
      <c r="AJ4355" s="1">
        <v>2017</v>
      </c>
      <c r="AK4355" s="1" t="s">
        <v>108</v>
      </c>
      <c r="AL4355" s="1">
        <v>246</v>
      </c>
    </row>
    <row r="4356" spans="1:38" x14ac:dyDescent="0.2">
      <c r="A4356" s="2" t="str">
        <f>HYPERLINK("https://www.compass.com/listing/1-west-end-avenue-unit-16h-manhattan-ny-10069/29397381019696145/","1 W End Ave, Unit 16H")</f>
        <v>1 W End Ave, Unit 16H</v>
      </c>
      <c r="B4356" s="2" t="str">
        <f t="shared" si="738"/>
        <v>1 W End Ave</v>
      </c>
      <c r="C4356" s="1" t="s">
        <v>57</v>
      </c>
      <c r="D4356" s="1" t="s">
        <v>41</v>
      </c>
      <c r="E4356" s="3">
        <v>2579263</v>
      </c>
      <c r="F4356" s="1">
        <v>1875.8276363636301</v>
      </c>
      <c r="G4356" s="1">
        <v>4</v>
      </c>
      <c r="H4356" s="1">
        <v>2</v>
      </c>
      <c r="I4356" s="1">
        <v>2</v>
      </c>
      <c r="J4356" s="1">
        <v>2.5</v>
      </c>
      <c r="K4356" s="1">
        <v>2</v>
      </c>
      <c r="L4356" s="1">
        <v>1</v>
      </c>
      <c r="M4356" s="4">
        <v>1375</v>
      </c>
      <c r="N4356" s="1">
        <v>1593.7</v>
      </c>
      <c r="O4356" s="1">
        <v>1689.22</v>
      </c>
      <c r="P4356" s="1">
        <v>95.5</v>
      </c>
      <c r="Q4356" s="1" t="s">
        <v>42</v>
      </c>
      <c r="S4356" s="1" t="s">
        <v>42</v>
      </c>
      <c r="T4356" s="1" t="s">
        <v>273</v>
      </c>
      <c r="V4356" s="5">
        <v>43623</v>
      </c>
      <c r="W4356" s="5">
        <v>42202</v>
      </c>
      <c r="X4356" s="1">
        <v>2710000</v>
      </c>
      <c r="Y4356" s="1">
        <v>2710000</v>
      </c>
      <c r="Z4356" s="5">
        <v>42202</v>
      </c>
      <c r="AA4356" s="1">
        <v>2579263</v>
      </c>
      <c r="AB4356" s="1" t="s">
        <v>3054</v>
      </c>
      <c r="AC4356" s="5">
        <v>43113</v>
      </c>
      <c r="AF4356" s="1">
        <v>10069</v>
      </c>
      <c r="AI4356" s="1" t="s">
        <v>60</v>
      </c>
      <c r="AJ4356" s="1">
        <v>2017</v>
      </c>
      <c r="AK4356" s="1" t="s">
        <v>108</v>
      </c>
      <c r="AL4356" s="1">
        <v>246</v>
      </c>
    </row>
    <row r="4357" spans="1:38" x14ac:dyDescent="0.2">
      <c r="A4357" s="2" t="str">
        <f>HYPERLINK("https://www.compass.com/listing/1-west-end-avenue-unit-18h-manhattan-ny-10069/29397381883646609/","1 W End Ave, Unit 18H")</f>
        <v>1 W End Ave, Unit 18H</v>
      </c>
      <c r="B4357" s="2" t="str">
        <f t="shared" si="738"/>
        <v>1 W End Ave</v>
      </c>
      <c r="C4357" s="1" t="s">
        <v>57</v>
      </c>
      <c r="D4357" s="1" t="s">
        <v>41</v>
      </c>
      <c r="E4357" s="3">
        <v>2818558</v>
      </c>
      <c r="F4357" s="1">
        <v>2049.86036363636</v>
      </c>
      <c r="G4357" s="1">
        <v>4</v>
      </c>
      <c r="H4357" s="1">
        <v>2</v>
      </c>
      <c r="I4357" s="1">
        <v>3</v>
      </c>
      <c r="J4357" s="1">
        <v>2.5</v>
      </c>
      <c r="K4357" s="1">
        <v>2</v>
      </c>
      <c r="L4357" s="1">
        <v>1</v>
      </c>
      <c r="M4357" s="4">
        <v>1375</v>
      </c>
      <c r="N4357" s="1">
        <v>1594</v>
      </c>
      <c r="O4357" s="1">
        <v>1690</v>
      </c>
      <c r="P4357" s="1">
        <v>96</v>
      </c>
      <c r="Q4357" s="1" t="s">
        <v>42</v>
      </c>
      <c r="S4357" s="1" t="s">
        <v>42</v>
      </c>
      <c r="T4357" s="1" t="s">
        <v>273</v>
      </c>
      <c r="V4357" s="5">
        <v>43846</v>
      </c>
      <c r="W4357" s="5">
        <v>42511</v>
      </c>
      <c r="X4357" s="1">
        <v>2760000</v>
      </c>
      <c r="Y4357" s="1">
        <v>2760000</v>
      </c>
      <c r="Z4357" s="5">
        <v>42511</v>
      </c>
      <c r="AA4357" s="1">
        <v>2818558</v>
      </c>
      <c r="AB4357" s="1" t="s">
        <v>2937</v>
      </c>
      <c r="AC4357" s="5">
        <v>42998</v>
      </c>
      <c r="AF4357" s="1">
        <v>10069</v>
      </c>
      <c r="AI4357" s="1" t="s">
        <v>60</v>
      </c>
      <c r="AJ4357" s="1">
        <v>2017</v>
      </c>
      <c r="AK4357" s="1" t="s">
        <v>108</v>
      </c>
      <c r="AL4357" s="1">
        <v>246</v>
      </c>
    </row>
    <row r="4358" spans="1:38" x14ac:dyDescent="0.2">
      <c r="A4358" s="2" t="str">
        <f>HYPERLINK("https://www.compass.com/listing/1-west-end-avenue-unit-19h-manhattan-ny-10069/29397382345096225/","1 W End Ave, Unit 19H")</f>
        <v>1 W End Ave, Unit 19H</v>
      </c>
      <c r="B4358" s="2" t="str">
        <f t="shared" si="738"/>
        <v>1 W End Ave</v>
      </c>
      <c r="C4358" s="1" t="s">
        <v>57</v>
      </c>
      <c r="D4358" s="1" t="s">
        <v>41</v>
      </c>
      <c r="E4358" s="3">
        <v>2856742</v>
      </c>
      <c r="F4358" s="1">
        <v>2077.63054545454</v>
      </c>
      <c r="G4358" s="1">
        <v>4</v>
      </c>
      <c r="H4358" s="1">
        <v>2</v>
      </c>
      <c r="I4358" s="1">
        <v>2</v>
      </c>
      <c r="J4358" s="1">
        <v>2.5</v>
      </c>
      <c r="K4358" s="1">
        <v>2</v>
      </c>
      <c r="L4358" s="1">
        <v>1</v>
      </c>
      <c r="M4358" s="4">
        <v>1375</v>
      </c>
      <c r="N4358" s="1">
        <v>1594</v>
      </c>
      <c r="O4358" s="1">
        <v>1690</v>
      </c>
      <c r="P4358" s="1">
        <v>96</v>
      </c>
      <c r="Q4358" s="1" t="s">
        <v>42</v>
      </c>
      <c r="S4358" s="1" t="s">
        <v>42</v>
      </c>
      <c r="T4358" s="1" t="s">
        <v>273</v>
      </c>
      <c r="U4358" s="1">
        <v>105</v>
      </c>
      <c r="V4358" s="5">
        <v>43623</v>
      </c>
      <c r="W4358" s="5">
        <v>42411</v>
      </c>
      <c r="X4358" s="1">
        <v>2797500</v>
      </c>
      <c r="Y4358" s="1">
        <v>2797500</v>
      </c>
      <c r="Z4358" s="5">
        <v>42516</v>
      </c>
      <c r="AA4358" s="1">
        <v>2856742</v>
      </c>
      <c r="AB4358" s="1" t="s">
        <v>3055</v>
      </c>
      <c r="AC4358" s="5">
        <v>42984</v>
      </c>
      <c r="AF4358" s="1">
        <v>10069</v>
      </c>
      <c r="AI4358" s="1" t="s">
        <v>60</v>
      </c>
      <c r="AJ4358" s="1">
        <v>2017</v>
      </c>
      <c r="AK4358" s="1" t="s">
        <v>108</v>
      </c>
      <c r="AL4358" s="1">
        <v>246</v>
      </c>
    </row>
    <row r="4359" spans="1:38" x14ac:dyDescent="0.2">
      <c r="A4359" s="2" t="str">
        <f>HYPERLINK("https://www.compass.com/listing/1-west-end-avenue-unit-20h-manhattan-ny-10069/29397382722491121/","1 W End Ave, Unit 20H")</f>
        <v>1 W End Ave, Unit 20H</v>
      </c>
      <c r="B4359" s="2" t="str">
        <f t="shared" si="738"/>
        <v>1 W End Ave</v>
      </c>
      <c r="C4359" s="1" t="s">
        <v>57</v>
      </c>
      <c r="D4359" s="1" t="s">
        <v>41</v>
      </c>
      <c r="E4359" s="3">
        <v>2907654</v>
      </c>
      <c r="F4359" s="1">
        <v>2114.65745454545</v>
      </c>
      <c r="G4359" s="1">
        <v>4</v>
      </c>
      <c r="H4359" s="1">
        <v>2</v>
      </c>
      <c r="I4359" s="1">
        <v>2</v>
      </c>
      <c r="J4359" s="1">
        <v>2.5</v>
      </c>
      <c r="K4359" s="1">
        <v>2</v>
      </c>
      <c r="L4359" s="1">
        <v>1</v>
      </c>
      <c r="M4359" s="4">
        <v>1375</v>
      </c>
      <c r="N4359" s="1">
        <v>1593.7</v>
      </c>
      <c r="O4359" s="1">
        <v>1689.22</v>
      </c>
      <c r="P4359" s="1">
        <v>95.5</v>
      </c>
      <c r="Q4359" s="1" t="s">
        <v>42</v>
      </c>
      <c r="S4359" s="1" t="s">
        <v>42</v>
      </c>
      <c r="T4359" s="1" t="s">
        <v>273</v>
      </c>
      <c r="V4359" s="5">
        <v>43649</v>
      </c>
      <c r="W4359" s="5">
        <v>42203</v>
      </c>
      <c r="X4359" s="1">
        <v>2847500</v>
      </c>
      <c r="Y4359" s="1">
        <v>2847500</v>
      </c>
      <c r="Z4359" s="5">
        <v>42203</v>
      </c>
      <c r="AA4359" s="1">
        <v>2907654</v>
      </c>
      <c r="AB4359" s="1" t="s">
        <v>3056</v>
      </c>
      <c r="AC4359" s="5">
        <v>42997</v>
      </c>
      <c r="AF4359" s="1">
        <v>10069</v>
      </c>
      <c r="AI4359" s="1" t="s">
        <v>60</v>
      </c>
      <c r="AJ4359" s="1">
        <v>2017</v>
      </c>
      <c r="AK4359" s="1" t="s">
        <v>108</v>
      </c>
      <c r="AL4359" s="1">
        <v>246</v>
      </c>
    </row>
    <row r="4360" spans="1:38" x14ac:dyDescent="0.2">
      <c r="A4360" s="2" t="str">
        <f>HYPERLINK("https://www.compass.com/listing/1-west-end-avenue-unit-9j-manhattan-ny-10069/29397386707096273/","1 W End Ave, Unit 9J")</f>
        <v>1 W End Ave, Unit 9J</v>
      </c>
      <c r="B4360" s="2" t="str">
        <f t="shared" si="738"/>
        <v>1 W End Ave</v>
      </c>
      <c r="C4360" s="1" t="s">
        <v>57</v>
      </c>
      <c r="D4360" s="1" t="s">
        <v>41</v>
      </c>
      <c r="E4360" s="3">
        <v>2951323</v>
      </c>
      <c r="F4360" s="1">
        <v>1986.08546433378</v>
      </c>
      <c r="G4360" s="1">
        <v>4</v>
      </c>
      <c r="H4360" s="1">
        <v>2</v>
      </c>
      <c r="I4360" s="1">
        <v>2</v>
      </c>
      <c r="J4360" s="1">
        <v>2.5</v>
      </c>
      <c r="K4360" s="1">
        <v>2</v>
      </c>
      <c r="L4360" s="1">
        <v>1</v>
      </c>
      <c r="M4360" s="4">
        <v>1486</v>
      </c>
      <c r="N4360" s="1">
        <v>1687</v>
      </c>
      <c r="O4360" s="1">
        <v>1788</v>
      </c>
      <c r="P4360" s="1">
        <v>101</v>
      </c>
      <c r="Q4360" s="1" t="s">
        <v>42</v>
      </c>
      <c r="S4360" s="1" t="s">
        <v>42</v>
      </c>
      <c r="T4360" s="1" t="s">
        <v>273</v>
      </c>
      <c r="U4360" s="1">
        <v>202</v>
      </c>
      <c r="V4360" s="5">
        <v>43624</v>
      </c>
      <c r="W4360" s="5">
        <v>42271</v>
      </c>
      <c r="X4360" s="1">
        <v>2890000</v>
      </c>
      <c r="Y4360" s="1">
        <v>2890000</v>
      </c>
      <c r="Z4360" s="5">
        <v>42473</v>
      </c>
      <c r="AA4360" s="1">
        <v>2951323</v>
      </c>
      <c r="AB4360" s="1" t="s">
        <v>3057</v>
      </c>
      <c r="AC4360" s="5">
        <v>43119</v>
      </c>
      <c r="AF4360" s="1">
        <v>10069</v>
      </c>
      <c r="AI4360" s="1" t="s">
        <v>60</v>
      </c>
      <c r="AJ4360" s="1">
        <v>2017</v>
      </c>
      <c r="AK4360" s="1" t="s">
        <v>108</v>
      </c>
      <c r="AL4360" s="1">
        <v>246</v>
      </c>
    </row>
    <row r="4361" spans="1:38" x14ac:dyDescent="0.2">
      <c r="A4361" s="2" t="str">
        <f>HYPERLINK("https://www.compass.com/listing/1-west-end-avenue-unit-11j-manhattan-ny-10069/29397387587883825/","1 W End Ave, Unit 11J")</f>
        <v>1 W End Ave, Unit 11J</v>
      </c>
      <c r="B4361" s="2" t="str">
        <f t="shared" si="738"/>
        <v>1 W End Ave</v>
      </c>
      <c r="C4361" s="1" t="s">
        <v>57</v>
      </c>
      <c r="D4361" s="1" t="s">
        <v>41</v>
      </c>
      <c r="E4361" s="3">
        <v>2951323</v>
      </c>
      <c r="F4361" s="1">
        <v>1984.74983187626</v>
      </c>
      <c r="G4361" s="1">
        <v>4</v>
      </c>
      <c r="H4361" s="1">
        <v>2</v>
      </c>
      <c r="I4361" s="1">
        <v>2</v>
      </c>
      <c r="J4361" s="1">
        <v>2.5</v>
      </c>
      <c r="K4361" s="1">
        <v>2</v>
      </c>
      <c r="L4361" s="1">
        <v>1</v>
      </c>
      <c r="M4361" s="4">
        <v>1487</v>
      </c>
      <c r="N4361" s="1">
        <v>1687.69</v>
      </c>
      <c r="O4361" s="1">
        <v>1788.83</v>
      </c>
      <c r="P4361" s="1">
        <v>101.166666666666</v>
      </c>
      <c r="Q4361" s="1" t="s">
        <v>42</v>
      </c>
      <c r="S4361" s="1" t="s">
        <v>42</v>
      </c>
      <c r="T4361" s="1" t="s">
        <v>273</v>
      </c>
      <c r="U4361" s="1">
        <v>8</v>
      </c>
      <c r="V4361" s="5">
        <v>43640</v>
      </c>
      <c r="W4361" s="5">
        <v>42180</v>
      </c>
      <c r="X4361" s="1">
        <v>2890000</v>
      </c>
      <c r="Y4361" s="1">
        <v>2890000</v>
      </c>
      <c r="Z4361" s="5">
        <v>42188</v>
      </c>
      <c r="AA4361" s="1">
        <v>2951323</v>
      </c>
      <c r="AB4361" s="1" t="s">
        <v>3058</v>
      </c>
      <c r="AC4361" s="5">
        <v>43118</v>
      </c>
      <c r="AF4361" s="1">
        <v>10069</v>
      </c>
      <c r="AI4361" s="1" t="s">
        <v>60</v>
      </c>
      <c r="AJ4361" s="1">
        <v>2017</v>
      </c>
      <c r="AK4361" s="1" t="s">
        <v>108</v>
      </c>
      <c r="AL4361" s="1">
        <v>246</v>
      </c>
    </row>
    <row r="4362" spans="1:38" x14ac:dyDescent="0.2">
      <c r="A4362" s="2" t="str">
        <f>HYPERLINK("https://www.compass.com/listing/1-west-end-avenue-unit-12j-manhattan-ny-10069/29397387973776097/","1 W End Ave, Unit 12J")</f>
        <v>1 W End Ave, Unit 12J</v>
      </c>
      <c r="B4362" s="2" t="str">
        <f t="shared" si="738"/>
        <v>1 W End Ave</v>
      </c>
      <c r="C4362" s="1" t="s">
        <v>57</v>
      </c>
      <c r="D4362" s="1" t="s">
        <v>41</v>
      </c>
      <c r="E4362" s="3">
        <v>3042812</v>
      </c>
      <c r="F4362" s="1">
        <v>2047.65275908479</v>
      </c>
      <c r="G4362" s="1">
        <v>4</v>
      </c>
      <c r="H4362" s="1">
        <v>2</v>
      </c>
      <c r="I4362" s="1">
        <v>2</v>
      </c>
      <c r="J4362" s="1">
        <v>2.5</v>
      </c>
      <c r="K4362" s="1">
        <v>2</v>
      </c>
      <c r="L4362" s="1">
        <v>1</v>
      </c>
      <c r="M4362" s="4">
        <v>1486</v>
      </c>
      <c r="N4362" s="1">
        <v>1687</v>
      </c>
      <c r="O4362" s="1">
        <v>1788</v>
      </c>
      <c r="P4362" s="1">
        <v>101</v>
      </c>
      <c r="Q4362" s="1" t="s">
        <v>42</v>
      </c>
      <c r="S4362" s="1" t="s">
        <v>42</v>
      </c>
      <c r="T4362" s="1" t="s">
        <v>273</v>
      </c>
      <c r="U4362" s="1">
        <v>29</v>
      </c>
      <c r="V4362" s="5">
        <v>43677</v>
      </c>
      <c r="W4362" s="5">
        <v>42235</v>
      </c>
      <c r="X4362" s="1">
        <v>2980000</v>
      </c>
      <c r="Y4362" s="1">
        <v>2980000</v>
      </c>
      <c r="Z4362" s="5">
        <v>42264</v>
      </c>
      <c r="AA4362" s="1">
        <v>3042812</v>
      </c>
      <c r="AB4362" s="1" t="s">
        <v>3059</v>
      </c>
      <c r="AC4362" s="5">
        <v>43145</v>
      </c>
      <c r="AF4362" s="1">
        <v>10069</v>
      </c>
      <c r="AI4362" s="1" t="s">
        <v>60</v>
      </c>
      <c r="AJ4362" s="1">
        <v>2017</v>
      </c>
      <c r="AK4362" s="1" t="s">
        <v>108</v>
      </c>
      <c r="AL4362" s="1">
        <v>246</v>
      </c>
    </row>
    <row r="4363" spans="1:38" x14ac:dyDescent="0.2">
      <c r="A4363" s="2" t="str">
        <f>HYPERLINK("https://www.compass.com/listing/1-west-end-avenue-unit-15j-manhattan-ny-10069/29397388678402881/","1 W End Ave, Unit 15J")</f>
        <v>1 W End Ave, Unit 15J</v>
      </c>
      <c r="B4363" s="2" t="str">
        <f t="shared" si="738"/>
        <v>1 W End Ave</v>
      </c>
      <c r="C4363" s="1" t="s">
        <v>57</v>
      </c>
      <c r="D4363" s="1" t="s">
        <v>41</v>
      </c>
      <c r="E4363" s="3">
        <v>3022601</v>
      </c>
      <c r="F4363" s="1">
        <v>2032.68392737054</v>
      </c>
      <c r="G4363" s="1">
        <v>4</v>
      </c>
      <c r="H4363" s="1">
        <v>2</v>
      </c>
      <c r="I4363" s="1">
        <v>2</v>
      </c>
      <c r="J4363" s="1">
        <v>2.5</v>
      </c>
      <c r="K4363" s="1">
        <v>2</v>
      </c>
      <c r="L4363" s="1">
        <v>1</v>
      </c>
      <c r="M4363" s="4">
        <v>1487</v>
      </c>
      <c r="N4363" s="1">
        <v>1688</v>
      </c>
      <c r="O4363" s="1">
        <v>1789</v>
      </c>
      <c r="P4363" s="1">
        <v>101</v>
      </c>
      <c r="Q4363" s="1" t="s">
        <v>42</v>
      </c>
      <c r="S4363" s="1" t="s">
        <v>42</v>
      </c>
      <c r="T4363" s="1" t="s">
        <v>273</v>
      </c>
      <c r="U4363" s="1">
        <v>1</v>
      </c>
      <c r="V4363" s="5">
        <v>43630</v>
      </c>
      <c r="W4363" s="5">
        <v>42199</v>
      </c>
      <c r="X4363" s="1">
        <v>3070000</v>
      </c>
      <c r="Y4363" s="1">
        <v>3070000</v>
      </c>
      <c r="Z4363" s="5">
        <v>42200</v>
      </c>
      <c r="AA4363" s="1">
        <v>3022601</v>
      </c>
      <c r="AB4363" s="1" t="s">
        <v>3060</v>
      </c>
      <c r="AC4363" s="5">
        <v>43074</v>
      </c>
      <c r="AF4363" s="1">
        <v>10069</v>
      </c>
      <c r="AI4363" s="1" t="s">
        <v>60</v>
      </c>
      <c r="AJ4363" s="1">
        <v>2017</v>
      </c>
      <c r="AK4363" s="1" t="s">
        <v>108</v>
      </c>
      <c r="AL4363" s="1">
        <v>246</v>
      </c>
    </row>
    <row r="4364" spans="1:38" x14ac:dyDescent="0.2">
      <c r="A4364" s="2" t="str">
        <f>HYPERLINK("https://www.compass.com/listing/1-west-end-avenue-unit-17j-manhattan-ny-10069/29397389366361217/","1 W End Ave, Unit 17J")</f>
        <v>1 W End Ave, Unit 17J</v>
      </c>
      <c r="B4364" s="2" t="str">
        <f t="shared" si="738"/>
        <v>1 W End Ave</v>
      </c>
      <c r="C4364" s="1" t="s">
        <v>57</v>
      </c>
      <c r="D4364" s="1" t="s">
        <v>41</v>
      </c>
      <c r="E4364" s="3">
        <v>3126028</v>
      </c>
      <c r="F4364" s="1">
        <v>2102.23806321452</v>
      </c>
      <c r="G4364" s="1">
        <v>4</v>
      </c>
      <c r="H4364" s="1">
        <v>2</v>
      </c>
      <c r="I4364" s="1">
        <v>2</v>
      </c>
      <c r="J4364" s="1">
        <v>2.5</v>
      </c>
      <c r="K4364" s="1">
        <v>2</v>
      </c>
      <c r="L4364" s="1">
        <v>1</v>
      </c>
      <c r="M4364" s="4">
        <v>1487</v>
      </c>
      <c r="N4364" s="1">
        <v>1688</v>
      </c>
      <c r="O4364" s="1">
        <v>1794</v>
      </c>
      <c r="P4364" s="1">
        <v>106</v>
      </c>
      <c r="Q4364" s="1" t="s">
        <v>42</v>
      </c>
      <c r="S4364" s="1" t="s">
        <v>42</v>
      </c>
      <c r="T4364" s="1" t="s">
        <v>273</v>
      </c>
      <c r="U4364" s="1">
        <v>11</v>
      </c>
      <c r="V4364" s="5">
        <v>43673</v>
      </c>
      <c r="W4364" s="5">
        <v>42182</v>
      </c>
      <c r="X4364" s="1">
        <v>3130000</v>
      </c>
      <c r="Y4364" s="1">
        <v>3130000</v>
      </c>
      <c r="Z4364" s="5">
        <v>42193</v>
      </c>
      <c r="AA4364" s="1">
        <v>3126028</v>
      </c>
      <c r="AB4364" s="1" t="s">
        <v>3061</v>
      </c>
      <c r="AC4364" s="5">
        <v>43013</v>
      </c>
      <c r="AF4364" s="1">
        <v>10069</v>
      </c>
      <c r="AI4364" s="1" t="s">
        <v>60</v>
      </c>
      <c r="AJ4364" s="1">
        <v>2017</v>
      </c>
      <c r="AK4364" s="1" t="s">
        <v>108</v>
      </c>
      <c r="AL4364" s="1">
        <v>246</v>
      </c>
    </row>
    <row r="4365" spans="1:38" x14ac:dyDescent="0.2">
      <c r="A4365" s="2" t="str">
        <f>HYPERLINK("https://www.compass.com/listing/1-west-end-avenue-unit-18j-manhattan-ny-10069/29397389735367521/","1 W End Ave, Unit 18J")</f>
        <v>1 W End Ave, Unit 18J</v>
      </c>
      <c r="B4365" s="2" t="str">
        <f t="shared" si="738"/>
        <v>1 W End Ave</v>
      </c>
      <c r="C4365" s="1" t="s">
        <v>57</v>
      </c>
      <c r="D4365" s="1" t="s">
        <v>41</v>
      </c>
      <c r="E4365" s="3">
        <v>3226250</v>
      </c>
      <c r="F4365" s="1">
        <v>2171.0969044414501</v>
      </c>
      <c r="G4365" s="1">
        <v>4</v>
      </c>
      <c r="H4365" s="1">
        <v>2</v>
      </c>
      <c r="I4365" s="1">
        <v>2</v>
      </c>
      <c r="J4365" s="1">
        <v>2.5</v>
      </c>
      <c r="K4365" s="1">
        <v>2</v>
      </c>
      <c r="L4365" s="1">
        <v>1</v>
      </c>
      <c r="M4365" s="4">
        <v>1486</v>
      </c>
      <c r="N4365" s="1">
        <v>1687</v>
      </c>
      <c r="O4365" s="1">
        <v>1788</v>
      </c>
      <c r="P4365" s="1">
        <v>101</v>
      </c>
      <c r="Q4365" s="1" t="s">
        <v>42</v>
      </c>
      <c r="S4365" s="1" t="s">
        <v>42</v>
      </c>
      <c r="T4365" s="1" t="s">
        <v>273</v>
      </c>
      <c r="V4365" s="5">
        <v>43623</v>
      </c>
      <c r="W4365" s="5">
        <v>42479</v>
      </c>
      <c r="X4365" s="1">
        <v>3160000</v>
      </c>
      <c r="Y4365" s="1">
        <v>3160000</v>
      </c>
      <c r="Z4365" s="5">
        <v>42479</v>
      </c>
      <c r="AA4365" s="1">
        <v>3226250</v>
      </c>
      <c r="AB4365" s="1" t="s">
        <v>3062</v>
      </c>
      <c r="AC4365" s="5">
        <v>42990</v>
      </c>
      <c r="AF4365" s="1">
        <v>10069</v>
      </c>
      <c r="AI4365" s="1" t="s">
        <v>60</v>
      </c>
      <c r="AJ4365" s="1">
        <v>2017</v>
      </c>
      <c r="AK4365" s="1" t="s">
        <v>108</v>
      </c>
      <c r="AL4365" s="1">
        <v>246</v>
      </c>
    </row>
    <row r="4366" spans="1:38" x14ac:dyDescent="0.2">
      <c r="A4366" s="2" t="str">
        <f>HYPERLINK("https://www.compass.com/listing/1-west-end-avenue-unit-19j-manhattan-ny-10069/29397390104482561/","1 W End Ave, Unit 19J")</f>
        <v>1 W End Ave, Unit 19J</v>
      </c>
      <c r="B4366" s="2" t="str">
        <f t="shared" si="738"/>
        <v>1 W End Ave</v>
      </c>
      <c r="C4366" s="1" t="s">
        <v>57</v>
      </c>
      <c r="D4366" s="1" t="s">
        <v>41</v>
      </c>
      <c r="E4366" s="3">
        <v>3160064</v>
      </c>
      <c r="F4366" s="1">
        <v>2126.5572005383501</v>
      </c>
      <c r="G4366" s="1">
        <v>4</v>
      </c>
      <c r="H4366" s="1">
        <v>2</v>
      </c>
      <c r="I4366" s="1">
        <v>2</v>
      </c>
      <c r="J4366" s="1">
        <v>2.5</v>
      </c>
      <c r="K4366" s="1">
        <v>2</v>
      </c>
      <c r="L4366" s="1">
        <v>1</v>
      </c>
      <c r="M4366" s="4">
        <v>1486</v>
      </c>
      <c r="N4366" s="1">
        <v>1687</v>
      </c>
      <c r="O4366" s="1">
        <v>1788</v>
      </c>
      <c r="P4366" s="1">
        <v>101</v>
      </c>
      <c r="Q4366" s="1" t="s">
        <v>42</v>
      </c>
      <c r="S4366" s="1" t="s">
        <v>42</v>
      </c>
      <c r="T4366" s="1" t="s">
        <v>273</v>
      </c>
      <c r="U4366" s="1">
        <v>1</v>
      </c>
      <c r="V4366" s="5">
        <v>43623</v>
      </c>
      <c r="W4366" s="5">
        <v>42199</v>
      </c>
      <c r="X4366" s="1">
        <v>3205000</v>
      </c>
      <c r="Y4366" s="1">
        <v>3205000</v>
      </c>
      <c r="Z4366" s="5">
        <v>42200</v>
      </c>
      <c r="AA4366" s="1">
        <v>3160064</v>
      </c>
      <c r="AB4366" s="1" t="s">
        <v>3063</v>
      </c>
      <c r="AC4366" s="5">
        <v>42990</v>
      </c>
      <c r="AF4366" s="1">
        <v>10069</v>
      </c>
      <c r="AI4366" s="1" t="s">
        <v>60</v>
      </c>
      <c r="AJ4366" s="1">
        <v>2017</v>
      </c>
      <c r="AK4366" s="1" t="s">
        <v>108</v>
      </c>
      <c r="AL4366" s="1">
        <v>246</v>
      </c>
    </row>
    <row r="4367" spans="1:38" x14ac:dyDescent="0.2">
      <c r="A4367" s="2" t="str">
        <f>HYPERLINK("https://www.compass.com/listing/1-west-end-avenue-unit-20j-manhattan-ny-10069/29397390482046097/","1 W End Ave, Unit 20J")</f>
        <v>1 W End Ave, Unit 20J</v>
      </c>
      <c r="B4367" s="2" t="str">
        <f t="shared" si="738"/>
        <v>1 W End Ave</v>
      </c>
      <c r="C4367" s="1" t="s">
        <v>57</v>
      </c>
      <c r="D4367" s="1" t="s">
        <v>41</v>
      </c>
      <c r="E4367" s="3">
        <v>3139699</v>
      </c>
      <c r="F4367" s="1">
        <v>2112.85262449528</v>
      </c>
      <c r="G4367" s="1">
        <v>4</v>
      </c>
      <c r="H4367" s="1">
        <v>2</v>
      </c>
      <c r="I4367" s="1">
        <v>2</v>
      </c>
      <c r="J4367" s="1">
        <v>2.5</v>
      </c>
      <c r="K4367" s="1">
        <v>2</v>
      </c>
      <c r="L4367" s="1">
        <v>1</v>
      </c>
      <c r="M4367" s="4">
        <v>1486</v>
      </c>
      <c r="N4367" s="1">
        <v>1687</v>
      </c>
      <c r="O4367" s="1">
        <v>1788</v>
      </c>
      <c r="P4367" s="1">
        <v>101</v>
      </c>
      <c r="Q4367" s="1" t="s">
        <v>42</v>
      </c>
      <c r="S4367" s="1" t="s">
        <v>42</v>
      </c>
      <c r="T4367" s="1" t="s">
        <v>273</v>
      </c>
      <c r="U4367" s="1">
        <v>1</v>
      </c>
      <c r="V4367" s="5">
        <v>43623</v>
      </c>
      <c r="W4367" s="5">
        <v>42199</v>
      </c>
      <c r="X4367" s="1">
        <v>3265000</v>
      </c>
      <c r="Y4367" s="1">
        <v>3265000</v>
      </c>
      <c r="Z4367" s="5">
        <v>42200</v>
      </c>
      <c r="AA4367" s="1">
        <v>3139699</v>
      </c>
      <c r="AB4367" s="1" t="s">
        <v>3064</v>
      </c>
      <c r="AC4367" s="5">
        <v>42987</v>
      </c>
      <c r="AF4367" s="1">
        <v>10069</v>
      </c>
      <c r="AI4367" s="1" t="s">
        <v>60</v>
      </c>
      <c r="AJ4367" s="1">
        <v>2017</v>
      </c>
      <c r="AK4367" s="1" t="s">
        <v>108</v>
      </c>
      <c r="AL4367" s="1">
        <v>246</v>
      </c>
    </row>
    <row r="4368" spans="1:38" x14ac:dyDescent="0.2">
      <c r="A4368" s="2" t="str">
        <f>HYPERLINK("https://www.compass.com/listing/1-west-end-avenue-unit-9k-manhattan-ny-10069/29397391178224401/","1 W End Ave, Unit 9K")</f>
        <v>1 W End Ave, Unit 9K</v>
      </c>
      <c r="B4368" s="2" t="str">
        <f t="shared" si="738"/>
        <v>1 W End Ave</v>
      </c>
      <c r="C4368" s="1" t="s">
        <v>57</v>
      </c>
      <c r="D4368" s="1" t="s">
        <v>41</v>
      </c>
      <c r="E4368" s="3">
        <v>2940960</v>
      </c>
      <c r="F4368" s="1">
        <v>2039.50069348127</v>
      </c>
      <c r="G4368" s="1">
        <v>4</v>
      </c>
      <c r="H4368" s="1">
        <v>2</v>
      </c>
      <c r="I4368" s="1">
        <v>2</v>
      </c>
      <c r="J4368" s="1">
        <v>2.5</v>
      </c>
      <c r="K4368" s="1">
        <v>2</v>
      </c>
      <c r="L4368" s="1">
        <v>1</v>
      </c>
      <c r="M4368" s="4">
        <v>1442</v>
      </c>
      <c r="N4368" s="1">
        <v>1650</v>
      </c>
      <c r="O4368" s="1">
        <v>1749</v>
      </c>
      <c r="P4368" s="1">
        <v>99</v>
      </c>
      <c r="Q4368" s="1" t="s">
        <v>42</v>
      </c>
      <c r="S4368" s="1" t="s">
        <v>42</v>
      </c>
      <c r="T4368" s="1" t="s">
        <v>273</v>
      </c>
      <c r="V4368" s="5">
        <v>43648</v>
      </c>
      <c r="W4368" s="5">
        <v>42369</v>
      </c>
      <c r="X4368" s="1">
        <v>2880000</v>
      </c>
      <c r="Y4368" s="1">
        <v>2880000</v>
      </c>
      <c r="Z4368" s="5">
        <v>42369</v>
      </c>
      <c r="AA4368" s="1">
        <v>2940960</v>
      </c>
      <c r="AB4368" s="1" t="s">
        <v>3065</v>
      </c>
      <c r="AC4368" s="5">
        <v>43140</v>
      </c>
      <c r="AF4368" s="1">
        <v>10069</v>
      </c>
      <c r="AI4368" s="1" t="s">
        <v>60</v>
      </c>
      <c r="AJ4368" s="1">
        <v>2017</v>
      </c>
      <c r="AK4368" s="1" t="s">
        <v>108</v>
      </c>
      <c r="AL4368" s="1">
        <v>246</v>
      </c>
    </row>
    <row r="4369" spans="1:38" x14ac:dyDescent="0.2">
      <c r="A4369" s="2" t="str">
        <f>HYPERLINK("https://www.compass.com/listing/1-west-end-avenue-unit-10k-manhattan-ny-10069/29397391606119601/","1 W End Ave, Unit 10K")</f>
        <v>1 W End Ave, Unit 10K</v>
      </c>
      <c r="B4369" s="2" t="str">
        <f t="shared" si="738"/>
        <v>1 W End Ave</v>
      </c>
      <c r="C4369" s="1" t="s">
        <v>57</v>
      </c>
      <c r="D4369" s="1" t="s">
        <v>41</v>
      </c>
      <c r="E4369" s="3">
        <v>2971507</v>
      </c>
      <c r="F4369" s="1">
        <v>2062.1145038167901</v>
      </c>
      <c r="G4369" s="1">
        <v>4</v>
      </c>
      <c r="H4369" s="1">
        <v>2</v>
      </c>
      <c r="I4369" s="1">
        <v>2</v>
      </c>
      <c r="J4369" s="1">
        <v>2.5</v>
      </c>
      <c r="K4369" s="1">
        <v>2</v>
      </c>
      <c r="L4369" s="1">
        <v>1</v>
      </c>
      <c r="M4369" s="4">
        <v>1441</v>
      </c>
      <c r="N4369" s="1">
        <v>1649</v>
      </c>
      <c r="O4369" s="1">
        <v>1748</v>
      </c>
      <c r="P4369" s="1">
        <v>99</v>
      </c>
      <c r="Q4369" s="1" t="s">
        <v>42</v>
      </c>
      <c r="S4369" s="1" t="s">
        <v>42</v>
      </c>
      <c r="T4369" s="1" t="s">
        <v>273</v>
      </c>
      <c r="U4369" s="1">
        <v>305</v>
      </c>
      <c r="V4369" s="5">
        <v>43623</v>
      </c>
      <c r="W4369" s="5">
        <v>42182</v>
      </c>
      <c r="X4369" s="1">
        <v>2910000</v>
      </c>
      <c r="Y4369" s="1">
        <v>2910000</v>
      </c>
      <c r="Z4369" s="5">
        <v>42487</v>
      </c>
      <c r="AA4369" s="1">
        <v>2971507</v>
      </c>
      <c r="AB4369" s="1" t="s">
        <v>3066</v>
      </c>
      <c r="AC4369" s="5">
        <v>43221</v>
      </c>
      <c r="AF4369" s="1">
        <v>10069</v>
      </c>
      <c r="AI4369" s="1" t="s">
        <v>60</v>
      </c>
      <c r="AJ4369" s="1">
        <v>2017</v>
      </c>
      <c r="AK4369" s="1" t="s">
        <v>108</v>
      </c>
      <c r="AL4369" s="1">
        <v>246</v>
      </c>
    </row>
    <row r="4370" spans="1:38" x14ac:dyDescent="0.2">
      <c r="A4370" s="2" t="str">
        <f>HYPERLINK("https://www.compass.com/listing/1-west-end-avenue-unit-11k-manhattan-ny-10069/29397392042234753/","1 W End Ave, Unit 11K")</f>
        <v>1 W End Ave, Unit 11K</v>
      </c>
      <c r="B4370" s="2" t="str">
        <f t="shared" si="738"/>
        <v>1 W End Ave</v>
      </c>
      <c r="C4370" s="1" t="s">
        <v>57</v>
      </c>
      <c r="D4370" s="1" t="s">
        <v>41</v>
      </c>
      <c r="E4370" s="3">
        <v>3002055</v>
      </c>
      <c r="F4370" s="1">
        <v>2083.31367106176</v>
      </c>
      <c r="G4370" s="1">
        <v>4</v>
      </c>
      <c r="H4370" s="1">
        <v>2</v>
      </c>
      <c r="I4370" s="1">
        <v>2</v>
      </c>
      <c r="J4370" s="1">
        <v>2.5</v>
      </c>
      <c r="K4370" s="1">
        <v>2</v>
      </c>
      <c r="L4370" s="1">
        <v>1</v>
      </c>
      <c r="M4370" s="4">
        <v>1441</v>
      </c>
      <c r="N4370" s="1">
        <v>1649</v>
      </c>
      <c r="O4370" s="1">
        <v>1748</v>
      </c>
      <c r="P4370" s="1">
        <v>99</v>
      </c>
      <c r="Q4370" s="1" t="s">
        <v>42</v>
      </c>
      <c r="S4370" s="1" t="s">
        <v>42</v>
      </c>
      <c r="T4370" s="1" t="s">
        <v>273</v>
      </c>
      <c r="U4370" s="1">
        <v>1</v>
      </c>
      <c r="V4370" s="5">
        <v>43623</v>
      </c>
      <c r="W4370" s="5">
        <v>42468</v>
      </c>
      <c r="X4370" s="1">
        <v>2940000</v>
      </c>
      <c r="Y4370" s="1">
        <v>2940000</v>
      </c>
      <c r="Z4370" s="5">
        <v>42469</v>
      </c>
      <c r="AA4370" s="1">
        <v>3002055</v>
      </c>
      <c r="AB4370" s="1" t="s">
        <v>3067</v>
      </c>
      <c r="AC4370" s="5">
        <v>43097</v>
      </c>
      <c r="AF4370" s="1">
        <v>10069</v>
      </c>
      <c r="AI4370" s="1" t="s">
        <v>60</v>
      </c>
      <c r="AJ4370" s="1">
        <v>2017</v>
      </c>
      <c r="AK4370" s="1" t="s">
        <v>108</v>
      </c>
      <c r="AL4370" s="1">
        <v>246</v>
      </c>
    </row>
    <row r="4371" spans="1:38" x14ac:dyDescent="0.2">
      <c r="A4371" s="2" t="str">
        <f>HYPERLINK("https://www.compass.com/listing/1-west-end-avenue-unit-12k-manhattan-ny-10069/29397392453292833/","1 W End Ave, Unit 12K")</f>
        <v>1 W End Ave, Unit 12K</v>
      </c>
      <c r="B4371" s="2" t="str">
        <f t="shared" si="738"/>
        <v>1 W End Ave</v>
      </c>
      <c r="C4371" s="1" t="s">
        <v>57</v>
      </c>
      <c r="D4371" s="1" t="s">
        <v>41</v>
      </c>
      <c r="E4371" s="3">
        <v>2930777</v>
      </c>
      <c r="F4371" s="1">
        <v>2032.4389736477101</v>
      </c>
      <c r="G4371" s="1">
        <v>4</v>
      </c>
      <c r="H4371" s="1">
        <v>2</v>
      </c>
      <c r="I4371" s="1">
        <v>2</v>
      </c>
      <c r="J4371" s="1">
        <v>2.5</v>
      </c>
      <c r="K4371" s="1">
        <v>2</v>
      </c>
      <c r="L4371" s="1">
        <v>1</v>
      </c>
      <c r="M4371" s="4">
        <v>1442</v>
      </c>
      <c r="N4371" s="1">
        <v>1649.68</v>
      </c>
      <c r="O4371" s="1">
        <v>1748.54</v>
      </c>
      <c r="P4371" s="1">
        <v>98.8333333333333</v>
      </c>
      <c r="Q4371" s="1" t="s">
        <v>42</v>
      </c>
      <c r="S4371" s="1" t="s">
        <v>42</v>
      </c>
      <c r="T4371" s="1" t="s">
        <v>273</v>
      </c>
      <c r="V4371" s="5">
        <v>43623</v>
      </c>
      <c r="W4371" s="5">
        <v>42203</v>
      </c>
      <c r="X4371" s="1">
        <v>2970000</v>
      </c>
      <c r="Y4371" s="1">
        <v>2970000</v>
      </c>
      <c r="Z4371" s="5">
        <v>42203</v>
      </c>
      <c r="AA4371" s="1">
        <v>2930777</v>
      </c>
      <c r="AB4371" s="1" t="s">
        <v>3068</v>
      </c>
      <c r="AC4371" s="5">
        <v>43126</v>
      </c>
      <c r="AF4371" s="1">
        <v>10069</v>
      </c>
      <c r="AI4371" s="1" t="s">
        <v>60</v>
      </c>
      <c r="AJ4371" s="1">
        <v>2017</v>
      </c>
      <c r="AK4371" s="1" t="s">
        <v>108</v>
      </c>
      <c r="AL4371" s="1">
        <v>246</v>
      </c>
    </row>
    <row r="4372" spans="1:38" x14ac:dyDescent="0.2">
      <c r="A4372" s="2" t="str">
        <f>HYPERLINK("https://www.compass.com/listing/1-west-end-avenue-unit-15k-manhattan-ny-10069/29397392889576641/","1 W End Ave, Unit 15K")</f>
        <v>1 W End Ave, Unit 15K</v>
      </c>
      <c r="B4372" s="2" t="str">
        <f t="shared" si="738"/>
        <v>1 W End Ave</v>
      </c>
      <c r="C4372" s="1" t="s">
        <v>57</v>
      </c>
      <c r="D4372" s="1" t="s">
        <v>41</v>
      </c>
      <c r="E4372" s="3">
        <v>3108971</v>
      </c>
      <c r="F4372" s="1">
        <v>2157.5093684940998</v>
      </c>
      <c r="G4372" s="1">
        <v>4</v>
      </c>
      <c r="H4372" s="1">
        <v>2</v>
      </c>
      <c r="I4372" s="1">
        <v>2</v>
      </c>
      <c r="J4372" s="1">
        <v>2.5</v>
      </c>
      <c r="K4372" s="1">
        <v>2</v>
      </c>
      <c r="L4372" s="1">
        <v>1</v>
      </c>
      <c r="M4372" s="4">
        <v>1441</v>
      </c>
      <c r="N4372" s="1">
        <v>1649</v>
      </c>
      <c r="O4372" s="1">
        <v>1748</v>
      </c>
      <c r="P4372" s="1">
        <v>99</v>
      </c>
      <c r="Q4372" s="1" t="s">
        <v>42</v>
      </c>
      <c r="S4372" s="1" t="s">
        <v>42</v>
      </c>
      <c r="T4372" s="1" t="s">
        <v>273</v>
      </c>
      <c r="U4372" s="1">
        <v>58</v>
      </c>
      <c r="V4372" s="5">
        <v>43677</v>
      </c>
      <c r="W4372" s="5">
        <v>42180</v>
      </c>
      <c r="X4372" s="1">
        <v>2995000</v>
      </c>
      <c r="Y4372" s="1">
        <v>3045000</v>
      </c>
      <c r="Z4372" s="5">
        <v>42238</v>
      </c>
      <c r="AA4372" s="1">
        <v>3108971</v>
      </c>
      <c r="AB4372" s="1" t="s">
        <v>3069</v>
      </c>
      <c r="AC4372" s="5">
        <v>43133</v>
      </c>
      <c r="AF4372" s="1">
        <v>10069</v>
      </c>
      <c r="AI4372" s="1" t="s">
        <v>60</v>
      </c>
      <c r="AJ4372" s="1">
        <v>2017</v>
      </c>
      <c r="AK4372" s="1" t="s">
        <v>108</v>
      </c>
      <c r="AL4372" s="1">
        <v>246</v>
      </c>
    </row>
    <row r="4373" spans="1:38" x14ac:dyDescent="0.2">
      <c r="A4373" s="2" t="str">
        <f>HYPERLINK("https://www.compass.com/listing/1-west-end-avenue-unit-16k-manhattan-ny-10069/29397393275360145/","1 W End Ave, Unit 16K")</f>
        <v>1 W End Ave, Unit 16K</v>
      </c>
      <c r="B4373" s="2" t="str">
        <f t="shared" si="738"/>
        <v>1 W End Ave</v>
      </c>
      <c r="C4373" s="1" t="s">
        <v>57</v>
      </c>
      <c r="D4373" s="1" t="s">
        <v>41</v>
      </c>
      <c r="E4373" s="3">
        <v>3139518</v>
      </c>
      <c r="F4373" s="1">
        <v>2178.7078417765401</v>
      </c>
      <c r="G4373" s="1">
        <v>4</v>
      </c>
      <c r="H4373" s="1">
        <v>2</v>
      </c>
      <c r="I4373" s="1">
        <v>2</v>
      </c>
      <c r="J4373" s="1">
        <v>2.5</v>
      </c>
      <c r="K4373" s="1">
        <v>2</v>
      </c>
      <c r="L4373" s="1">
        <v>1</v>
      </c>
      <c r="M4373" s="4">
        <v>1441</v>
      </c>
      <c r="N4373" s="1">
        <v>1649</v>
      </c>
      <c r="O4373" s="1">
        <v>1748</v>
      </c>
      <c r="P4373" s="1">
        <v>99</v>
      </c>
      <c r="Q4373" s="1" t="s">
        <v>42</v>
      </c>
      <c r="S4373" s="1" t="s">
        <v>42</v>
      </c>
      <c r="T4373" s="1" t="s">
        <v>273</v>
      </c>
      <c r="U4373" s="1">
        <v>2</v>
      </c>
      <c r="V4373" s="5">
        <v>43623</v>
      </c>
      <c r="W4373" s="5">
        <v>42227</v>
      </c>
      <c r="X4373" s="1">
        <v>3075000</v>
      </c>
      <c r="Y4373" s="1">
        <v>3075000</v>
      </c>
      <c r="Z4373" s="5">
        <v>42229</v>
      </c>
      <c r="AA4373" s="1">
        <v>3139518</v>
      </c>
      <c r="AB4373" s="1" t="s">
        <v>3070</v>
      </c>
      <c r="AC4373" s="5">
        <v>43118</v>
      </c>
      <c r="AF4373" s="1">
        <v>10069</v>
      </c>
      <c r="AI4373" s="1" t="s">
        <v>60</v>
      </c>
      <c r="AJ4373" s="1">
        <v>2017</v>
      </c>
      <c r="AK4373" s="1" t="s">
        <v>108</v>
      </c>
      <c r="AL4373" s="1">
        <v>246</v>
      </c>
    </row>
    <row r="4374" spans="1:38" x14ac:dyDescent="0.2">
      <c r="A4374" s="2" t="str">
        <f>HYPERLINK("https://www.compass.com/listing/1-west-end-avenue-unit-17k-manhattan-ny-10069/29397393678029617/","1 W End Ave, Unit 17K")</f>
        <v>1 W End Ave, Unit 17K</v>
      </c>
      <c r="B4374" s="2" t="str">
        <f t="shared" si="738"/>
        <v>1 W End Ave</v>
      </c>
      <c r="C4374" s="1" t="s">
        <v>57</v>
      </c>
      <c r="D4374" s="1" t="s">
        <v>41</v>
      </c>
      <c r="E4374" s="3">
        <v>3170065</v>
      </c>
      <c r="F4374" s="1">
        <v>2199.90631505898</v>
      </c>
      <c r="G4374" s="1">
        <v>4</v>
      </c>
      <c r="H4374" s="1">
        <v>2</v>
      </c>
      <c r="I4374" s="1">
        <v>2</v>
      </c>
      <c r="J4374" s="1">
        <v>2.5</v>
      </c>
      <c r="K4374" s="1">
        <v>2</v>
      </c>
      <c r="L4374" s="1">
        <v>1</v>
      </c>
      <c r="M4374" s="4">
        <v>1441</v>
      </c>
      <c r="N4374" s="1">
        <v>1649</v>
      </c>
      <c r="O4374" s="1">
        <v>1748</v>
      </c>
      <c r="P4374" s="1">
        <v>99</v>
      </c>
      <c r="Q4374" s="1" t="s">
        <v>42</v>
      </c>
      <c r="S4374" s="1" t="s">
        <v>42</v>
      </c>
      <c r="T4374" s="1" t="s">
        <v>273</v>
      </c>
      <c r="V4374" s="5">
        <v>43623</v>
      </c>
      <c r="W4374" s="5">
        <v>42231</v>
      </c>
      <c r="X4374" s="1">
        <v>3105000</v>
      </c>
      <c r="Y4374" s="1">
        <v>3105000</v>
      </c>
      <c r="Z4374" s="5">
        <v>42231</v>
      </c>
      <c r="AA4374" s="1">
        <v>3170065</v>
      </c>
      <c r="AB4374" s="1" t="s">
        <v>3071</v>
      </c>
      <c r="AC4374" s="5">
        <v>42992</v>
      </c>
      <c r="AF4374" s="1">
        <v>10069</v>
      </c>
      <c r="AI4374" s="1" t="s">
        <v>60</v>
      </c>
      <c r="AJ4374" s="1">
        <v>2017</v>
      </c>
      <c r="AK4374" s="1" t="s">
        <v>108</v>
      </c>
      <c r="AL4374" s="1">
        <v>246</v>
      </c>
    </row>
    <row r="4375" spans="1:38" x14ac:dyDescent="0.2">
      <c r="A4375" s="2" t="str">
        <f>HYPERLINK("https://www.compass.com/listing/1-west-end-avenue-unit-18k-manhattan-ny-10069/29397394080758993/","1 W End Ave, Unit 18K")</f>
        <v>1 W End Ave, Unit 18K</v>
      </c>
      <c r="B4375" s="2" t="str">
        <f t="shared" si="738"/>
        <v>1 W End Ave</v>
      </c>
      <c r="C4375" s="1" t="s">
        <v>57</v>
      </c>
      <c r="D4375" s="1" t="s">
        <v>41</v>
      </c>
      <c r="E4375" s="3">
        <v>3098788</v>
      </c>
      <c r="F4375" s="1">
        <v>2148.95145631067</v>
      </c>
      <c r="G4375" s="1">
        <v>4</v>
      </c>
      <c r="H4375" s="1">
        <v>2</v>
      </c>
      <c r="I4375" s="1">
        <v>2</v>
      </c>
      <c r="J4375" s="1">
        <v>2.5</v>
      </c>
      <c r="K4375" s="1">
        <v>2</v>
      </c>
      <c r="L4375" s="1">
        <v>1</v>
      </c>
      <c r="M4375" s="4">
        <v>1442</v>
      </c>
      <c r="N4375" s="1">
        <v>1649.68</v>
      </c>
      <c r="O4375" s="1">
        <v>1748.54</v>
      </c>
      <c r="P4375" s="1">
        <v>98.8333333333333</v>
      </c>
      <c r="Q4375" s="1" t="s">
        <v>42</v>
      </c>
      <c r="S4375" s="1" t="s">
        <v>42</v>
      </c>
      <c r="T4375" s="1" t="s">
        <v>273</v>
      </c>
      <c r="V4375" s="5">
        <v>43624</v>
      </c>
      <c r="W4375" s="5">
        <v>42203</v>
      </c>
      <c r="X4375" s="1">
        <v>3135000</v>
      </c>
      <c r="Y4375" s="1">
        <v>3135000</v>
      </c>
      <c r="Z4375" s="5">
        <v>42203</v>
      </c>
      <c r="AA4375" s="1">
        <v>3098788</v>
      </c>
      <c r="AB4375" s="1" t="s">
        <v>3072</v>
      </c>
      <c r="AC4375" s="5">
        <v>42984</v>
      </c>
      <c r="AF4375" s="1">
        <v>10069</v>
      </c>
      <c r="AI4375" s="1" t="s">
        <v>60</v>
      </c>
      <c r="AJ4375" s="1">
        <v>2017</v>
      </c>
      <c r="AK4375" s="1" t="s">
        <v>108</v>
      </c>
      <c r="AL4375" s="1">
        <v>246</v>
      </c>
    </row>
    <row r="4376" spans="1:38" x14ac:dyDescent="0.2">
      <c r="A4376" s="2" t="str">
        <f>HYPERLINK("https://www.compass.com/listing/1-west-end-avenue-unit-19k-manhattan-ny-10069/29397394441376673/","1 W End Ave, Unit 19K")</f>
        <v>1 W End Ave, Unit 19K</v>
      </c>
      <c r="B4376" s="2" t="str">
        <f t="shared" si="738"/>
        <v>1 W End Ave</v>
      </c>
      <c r="C4376" s="1" t="s">
        <v>57</v>
      </c>
      <c r="D4376" s="1" t="s">
        <v>41</v>
      </c>
      <c r="E4376" s="3">
        <v>3246435</v>
      </c>
      <c r="F4376" s="1">
        <v>2251.3418862690701</v>
      </c>
      <c r="G4376" s="1">
        <v>4</v>
      </c>
      <c r="H4376" s="1">
        <v>2</v>
      </c>
      <c r="I4376" s="1">
        <v>2</v>
      </c>
      <c r="J4376" s="1">
        <v>2.5</v>
      </c>
      <c r="K4376" s="1">
        <v>2</v>
      </c>
      <c r="L4376" s="1">
        <v>1</v>
      </c>
      <c r="M4376" s="4">
        <v>1442</v>
      </c>
      <c r="N4376" s="1">
        <v>1650</v>
      </c>
      <c r="O4376" s="1">
        <v>1749</v>
      </c>
      <c r="P4376" s="1">
        <v>99</v>
      </c>
      <c r="Q4376" s="1" t="s">
        <v>42</v>
      </c>
      <c r="S4376" s="1" t="s">
        <v>42</v>
      </c>
      <c r="T4376" s="1" t="s">
        <v>273</v>
      </c>
      <c r="U4376" s="1">
        <v>71</v>
      </c>
      <c r="V4376" s="5">
        <v>43673</v>
      </c>
      <c r="W4376" s="5">
        <v>42227</v>
      </c>
      <c r="X4376" s="1">
        <v>3180000</v>
      </c>
      <c r="Y4376" s="1">
        <v>3180000</v>
      </c>
      <c r="Z4376" s="5">
        <v>42298</v>
      </c>
      <c r="AA4376" s="1">
        <v>3246435</v>
      </c>
      <c r="AB4376" s="1" t="s">
        <v>3073</v>
      </c>
      <c r="AC4376" s="5">
        <v>42984</v>
      </c>
      <c r="AF4376" s="1">
        <v>10069</v>
      </c>
      <c r="AI4376" s="1" t="s">
        <v>60</v>
      </c>
      <c r="AJ4376" s="1">
        <v>2017</v>
      </c>
      <c r="AK4376" s="1" t="s">
        <v>108</v>
      </c>
      <c r="AL4376" s="1">
        <v>246</v>
      </c>
    </row>
    <row r="4377" spans="1:38" x14ac:dyDescent="0.2">
      <c r="A4377" s="2" t="str">
        <f>HYPERLINK("https://www.compass.com/listing/1-west-end-avenue-unit-20k-manhattan-ny-10069/29397394835657537/","1 W End Ave, Unit 20K")</f>
        <v>1 W End Ave, Unit 20K</v>
      </c>
      <c r="B4377" s="2" t="str">
        <f t="shared" si="738"/>
        <v>1 W End Ave</v>
      </c>
      <c r="C4377" s="1" t="s">
        <v>57</v>
      </c>
      <c r="D4377" s="1" t="s">
        <v>41</v>
      </c>
      <c r="E4377" s="3">
        <v>3299130</v>
      </c>
      <c r="F4377" s="1">
        <v>2287.8848821081801</v>
      </c>
      <c r="G4377" s="1">
        <v>4</v>
      </c>
      <c r="H4377" s="1">
        <v>2</v>
      </c>
      <c r="I4377" s="1">
        <v>2</v>
      </c>
      <c r="J4377" s="1">
        <v>2.5</v>
      </c>
      <c r="K4377" s="1">
        <v>2</v>
      </c>
      <c r="L4377" s="1">
        <v>1</v>
      </c>
      <c r="M4377" s="4">
        <v>1442</v>
      </c>
      <c r="N4377" s="1">
        <v>1650</v>
      </c>
      <c r="O4377" s="1">
        <v>1749</v>
      </c>
      <c r="P4377" s="1">
        <v>99</v>
      </c>
      <c r="Q4377" s="1" t="s">
        <v>42</v>
      </c>
      <c r="S4377" s="1" t="s">
        <v>42</v>
      </c>
      <c r="T4377" s="1" t="s">
        <v>273</v>
      </c>
      <c r="U4377" s="1">
        <v>55</v>
      </c>
      <c r="V4377" s="5">
        <v>43670</v>
      </c>
      <c r="W4377" s="5">
        <v>42714</v>
      </c>
      <c r="X4377" s="1">
        <v>3240000</v>
      </c>
      <c r="Y4377" s="1">
        <v>3240000</v>
      </c>
      <c r="Z4377" s="5">
        <v>42769</v>
      </c>
      <c r="AA4377" s="1">
        <v>3299130</v>
      </c>
      <c r="AB4377" s="1" t="s">
        <v>3074</v>
      </c>
      <c r="AC4377" s="5">
        <v>42986</v>
      </c>
      <c r="AF4377" s="1">
        <v>10069</v>
      </c>
      <c r="AI4377" s="1" t="s">
        <v>60</v>
      </c>
      <c r="AJ4377" s="1">
        <v>2017</v>
      </c>
      <c r="AK4377" s="1" t="s">
        <v>108</v>
      </c>
      <c r="AL4377" s="1">
        <v>246</v>
      </c>
    </row>
    <row r="4378" spans="1:38" x14ac:dyDescent="0.2">
      <c r="A4378" s="2" t="str">
        <f>HYPERLINK("https://www.compass.com/listing/1-west-end-avenue-unit-14k-manhattan-ny-10069/29512725117849953/","1 W End Ave, Unit 14K")</f>
        <v>1 W End Ave, Unit 14K</v>
      </c>
      <c r="B4378" s="2" t="str">
        <f t="shared" si="738"/>
        <v>1 W End Ave</v>
      </c>
      <c r="C4378" s="1" t="s">
        <v>57</v>
      </c>
      <c r="D4378" s="1" t="s">
        <v>41</v>
      </c>
      <c r="E4378" s="3">
        <v>3063149</v>
      </c>
      <c r="F4378" s="1">
        <v>2124.2364771151101</v>
      </c>
      <c r="G4378" s="1">
        <v>4</v>
      </c>
      <c r="H4378" s="1">
        <v>2</v>
      </c>
      <c r="I4378" s="1">
        <v>3</v>
      </c>
      <c r="J4378" s="1">
        <v>2.5</v>
      </c>
      <c r="K4378" s="1">
        <v>2</v>
      </c>
      <c r="L4378" s="1">
        <v>1</v>
      </c>
      <c r="M4378" s="4">
        <v>1442</v>
      </c>
      <c r="N4378" s="1">
        <v>1650</v>
      </c>
      <c r="O4378" s="1">
        <v>1749</v>
      </c>
      <c r="P4378" s="1">
        <v>99</v>
      </c>
      <c r="Q4378" s="1" t="s">
        <v>42</v>
      </c>
      <c r="S4378" s="1" t="s">
        <v>42</v>
      </c>
      <c r="T4378" s="1" t="s">
        <v>273</v>
      </c>
      <c r="U4378" s="1">
        <v>113</v>
      </c>
      <c r="V4378" s="5">
        <v>43623</v>
      </c>
      <c r="W4378" s="5">
        <v>42374</v>
      </c>
      <c r="X4378" s="1">
        <v>3000000</v>
      </c>
      <c r="Y4378" s="1">
        <v>3000000</v>
      </c>
      <c r="Z4378" s="5">
        <v>42487</v>
      </c>
      <c r="AA4378" s="1">
        <v>3063149</v>
      </c>
      <c r="AB4378" s="1" t="s">
        <v>3075</v>
      </c>
      <c r="AC4378" s="5">
        <v>43221</v>
      </c>
      <c r="AF4378" s="1">
        <v>10069</v>
      </c>
      <c r="AI4378" s="1" t="s">
        <v>60</v>
      </c>
      <c r="AJ4378" s="1">
        <v>2017</v>
      </c>
      <c r="AK4378" s="1" t="s">
        <v>108</v>
      </c>
      <c r="AL4378" s="1">
        <v>246</v>
      </c>
    </row>
    <row r="4379" spans="1:38" x14ac:dyDescent="0.2">
      <c r="A4379" s="2" t="str">
        <f>HYPERLINK("https://www.compass.com/listing/1-west-end-avenue-unit-9f-manhattan-ny-10069/50859068364954305/","1 W End Ave, Unit 9F")</f>
        <v>1 W End Ave, Unit 9F</v>
      </c>
      <c r="B4379" s="2" t="str">
        <f t="shared" si="738"/>
        <v>1 W End Ave</v>
      </c>
      <c r="C4379" s="1" t="s">
        <v>57</v>
      </c>
      <c r="D4379" s="1" t="s">
        <v>41</v>
      </c>
      <c r="E4379" s="3">
        <v>2758262</v>
      </c>
      <c r="F4379" s="1">
        <v>1754.61959287531</v>
      </c>
      <c r="G4379" s="1">
        <v>4</v>
      </c>
      <c r="H4379" s="1">
        <v>2</v>
      </c>
      <c r="I4379" s="1">
        <v>2</v>
      </c>
      <c r="J4379" s="1">
        <v>2.5</v>
      </c>
      <c r="K4379" s="1">
        <v>2</v>
      </c>
      <c r="L4379" s="1">
        <v>1</v>
      </c>
      <c r="M4379" s="4">
        <v>1572</v>
      </c>
      <c r="N4379" s="1">
        <v>1766</v>
      </c>
      <c r="O4379" s="1">
        <v>1872</v>
      </c>
      <c r="P4379" s="1">
        <v>106</v>
      </c>
      <c r="Q4379" s="1" t="s">
        <v>42</v>
      </c>
      <c r="S4379" s="1" t="s">
        <v>42</v>
      </c>
      <c r="T4379" s="1" t="s">
        <v>273</v>
      </c>
      <c r="U4379" s="1">
        <v>4</v>
      </c>
      <c r="V4379" s="5">
        <v>43673</v>
      </c>
      <c r="W4379" s="5">
        <v>42188</v>
      </c>
      <c r="X4379" s="1">
        <v>2700000</v>
      </c>
      <c r="Y4379" s="1">
        <v>2700000</v>
      </c>
      <c r="Z4379" s="5">
        <v>42192</v>
      </c>
      <c r="AA4379" s="1">
        <v>2758262</v>
      </c>
      <c r="AB4379" s="1" t="s">
        <v>3076</v>
      </c>
      <c r="AC4379" s="5">
        <v>43028</v>
      </c>
      <c r="AF4379" s="1">
        <v>10069</v>
      </c>
      <c r="AI4379" s="1" t="s">
        <v>205</v>
      </c>
      <c r="AJ4379" s="1">
        <v>2017</v>
      </c>
      <c r="AK4379" s="1" t="s">
        <v>108</v>
      </c>
      <c r="AL4379" s="1">
        <v>246</v>
      </c>
    </row>
    <row r="4380" spans="1:38" x14ac:dyDescent="0.2">
      <c r="A4380" s="2" t="str">
        <f>HYPERLINK("https://www.compass.com/listing/416-west-52nd-street-unit-414-manhattan-ny-10019/29389270611514657/","416 W 52nd St, Unit 414")</f>
        <v>416 W 52nd St, Unit 414</v>
      </c>
      <c r="B4380" s="2" t="str">
        <f>HYPERLINK("https://www.compass.com/building/nine52-manhattan-ny/281945622951555813/","Nine52")</f>
        <v>Nine52</v>
      </c>
      <c r="C4380" s="1" t="s">
        <v>90</v>
      </c>
      <c r="D4380" s="1" t="s">
        <v>41</v>
      </c>
      <c r="E4380" s="3">
        <v>1860000</v>
      </c>
      <c r="F4380" s="1">
        <v>1701.73833485818</v>
      </c>
      <c r="G4380" s="1">
        <v>3</v>
      </c>
      <c r="H4380" s="1">
        <v>2</v>
      </c>
      <c r="I4380" s="1">
        <v>2</v>
      </c>
      <c r="J4380" s="1">
        <v>2</v>
      </c>
      <c r="K4380" s="1">
        <v>2</v>
      </c>
      <c r="M4380" s="4">
        <v>1093</v>
      </c>
      <c r="N4380" s="1">
        <v>854</v>
      </c>
      <c r="O4380" s="1">
        <v>2322</v>
      </c>
      <c r="P4380" s="1">
        <v>1468</v>
      </c>
      <c r="Q4380" s="1" t="s">
        <v>42</v>
      </c>
      <c r="S4380" s="1" t="s">
        <v>42</v>
      </c>
      <c r="T4380" s="1" t="s">
        <v>273</v>
      </c>
      <c r="U4380" s="1">
        <v>111</v>
      </c>
      <c r="V4380" s="5">
        <v>43186</v>
      </c>
      <c r="W4380" s="5">
        <v>43074</v>
      </c>
      <c r="X4380" s="1">
        <v>1995000</v>
      </c>
      <c r="Y4380" s="1">
        <v>1995000</v>
      </c>
      <c r="AA4380" s="1">
        <v>1860000</v>
      </c>
      <c r="AB4380" s="1" t="s">
        <v>2998</v>
      </c>
      <c r="AC4380" s="5">
        <v>43277</v>
      </c>
      <c r="AF4380" s="1">
        <v>10019</v>
      </c>
      <c r="AI4380" s="1" t="s">
        <v>61</v>
      </c>
      <c r="AJ4380" s="1">
        <v>1940</v>
      </c>
      <c r="AK4380" s="1" t="s">
        <v>108</v>
      </c>
      <c r="AL4380" s="1">
        <v>155</v>
      </c>
    </row>
    <row r="4381" spans="1:38" x14ac:dyDescent="0.2">
      <c r="A4381" s="2" t="str">
        <f>HYPERLINK("https://www.compass.com/listing/425-west-50th-street-unit-15g-manhattan-ny-10019/29389224356729425/","425 W 50th St, Unit 15G")</f>
        <v>425 W 50th St, Unit 15G</v>
      </c>
      <c r="B4381" s="2" t="str">
        <f t="shared" ref="B4381:B4382" si="739">HYPERLINK("https://www.compass.com/building/stella-tower-manhattan-ny/281945855710262181/","Stella Tower")</f>
        <v>Stella Tower</v>
      </c>
      <c r="C4381" s="1" t="s">
        <v>90</v>
      </c>
      <c r="D4381" s="1" t="s">
        <v>41</v>
      </c>
      <c r="E4381" s="3">
        <v>1807394</v>
      </c>
      <c r="F4381" s="1">
        <v>1309.7057971014401</v>
      </c>
      <c r="G4381" s="1">
        <v>3</v>
      </c>
      <c r="H4381" s="1">
        <v>1</v>
      </c>
      <c r="I4381" s="1">
        <v>2</v>
      </c>
      <c r="J4381" s="1">
        <v>2</v>
      </c>
      <c r="M4381" s="4">
        <v>1380</v>
      </c>
      <c r="N4381" s="1">
        <v>1567</v>
      </c>
      <c r="O4381" s="1">
        <v>2526</v>
      </c>
      <c r="P4381" s="1">
        <v>959</v>
      </c>
      <c r="Q4381" s="1" t="s">
        <v>42</v>
      </c>
      <c r="S4381" s="1" t="s">
        <v>42</v>
      </c>
      <c r="T4381" s="1" t="s">
        <v>273</v>
      </c>
      <c r="U4381" s="1">
        <v>132</v>
      </c>
      <c r="V4381" s="5">
        <v>43670</v>
      </c>
      <c r="W4381" s="5">
        <v>41860</v>
      </c>
      <c r="X4381" s="1">
        <v>1775000</v>
      </c>
      <c r="Y4381" s="1">
        <v>1775000</v>
      </c>
      <c r="AA4381" s="1">
        <v>1807394</v>
      </c>
      <c r="AB4381" s="1" t="s">
        <v>3077</v>
      </c>
      <c r="AC4381" s="5">
        <v>42082</v>
      </c>
      <c r="AF4381" s="1">
        <v>10019</v>
      </c>
      <c r="AI4381" s="1" t="s">
        <v>80</v>
      </c>
      <c r="AJ4381" s="1">
        <v>1930</v>
      </c>
      <c r="AK4381" s="1" t="s">
        <v>46</v>
      </c>
      <c r="AL4381" s="1">
        <v>51</v>
      </c>
    </row>
    <row r="4382" spans="1:38" x14ac:dyDescent="0.2">
      <c r="A4382" s="2" t="str">
        <f>HYPERLINK("https://www.compass.com/listing/425-west-50th-street-unit-16e-manhattan-ny-10019/29389227150125857/","425 W 50th St, Unit 16E")</f>
        <v>425 W 50th St, Unit 16E</v>
      </c>
      <c r="B4382" s="2" t="str">
        <f t="shared" si="739"/>
        <v>Stella Tower</v>
      </c>
      <c r="C4382" s="1" t="s">
        <v>90</v>
      </c>
      <c r="D4382" s="1" t="s">
        <v>41</v>
      </c>
      <c r="E4382" s="3">
        <v>2087413</v>
      </c>
      <c r="F4382" s="1">
        <v>1540.5261992619901</v>
      </c>
      <c r="G4382" s="1">
        <v>3</v>
      </c>
      <c r="H4382" s="1">
        <v>1</v>
      </c>
      <c r="I4382" s="1">
        <v>2</v>
      </c>
      <c r="J4382" s="1">
        <v>2</v>
      </c>
      <c r="M4382" s="4">
        <v>1355</v>
      </c>
      <c r="N4382" s="1">
        <v>1540</v>
      </c>
      <c r="O4382" s="1">
        <v>2483</v>
      </c>
      <c r="P4382" s="1">
        <v>943</v>
      </c>
      <c r="Q4382" s="1" t="s">
        <v>42</v>
      </c>
      <c r="S4382" s="1" t="s">
        <v>42</v>
      </c>
      <c r="T4382" s="1" t="s">
        <v>273</v>
      </c>
      <c r="U4382" s="1">
        <v>132</v>
      </c>
      <c r="V4382" s="5">
        <v>43670</v>
      </c>
      <c r="W4382" s="5">
        <v>41860</v>
      </c>
      <c r="X4382" s="1">
        <v>2050000</v>
      </c>
      <c r="Y4382" s="1">
        <v>2050000</v>
      </c>
      <c r="AA4382" s="1">
        <v>2087413</v>
      </c>
      <c r="AB4382" s="1" t="s">
        <v>3078</v>
      </c>
      <c r="AC4382" s="5">
        <v>42080</v>
      </c>
      <c r="AF4382" s="1">
        <v>10019</v>
      </c>
      <c r="AI4382" s="1" t="s">
        <v>80</v>
      </c>
      <c r="AJ4382" s="1">
        <v>1930</v>
      </c>
      <c r="AK4382" s="1" t="s">
        <v>46</v>
      </c>
      <c r="AL4382" s="1">
        <v>51</v>
      </c>
    </row>
    <row r="4383" spans="1:38" x14ac:dyDescent="0.2">
      <c r="A4383" s="2" t="str">
        <f>HYPERLINK("https://www.compass.com/listing/416-west-52nd-street-unit-510-manhattan-ny-10019/277083527311282593/","416 W 52nd St, Unit 510")</f>
        <v>416 W 52nd St, Unit 510</v>
      </c>
      <c r="B4383" s="2" t="str">
        <f>HYPERLINK("https://www.compass.com/building/nine52-manhattan-ny/281945622951555813/","Nine52")</f>
        <v>Nine52</v>
      </c>
      <c r="C4383" s="1" t="s">
        <v>90</v>
      </c>
      <c r="D4383" s="1" t="s">
        <v>41</v>
      </c>
      <c r="E4383" s="3">
        <v>1040654</v>
      </c>
      <c r="F4383" s="1">
        <v>1717.2500495049501</v>
      </c>
      <c r="H4383" s="1">
        <v>1</v>
      </c>
      <c r="J4383" s="1">
        <v>1</v>
      </c>
      <c r="K4383" s="1">
        <v>1</v>
      </c>
      <c r="M4383" s="1">
        <v>606</v>
      </c>
      <c r="N4383" s="1">
        <v>503</v>
      </c>
      <c r="O4383" s="1">
        <v>1382</v>
      </c>
      <c r="P4383" s="1">
        <v>879</v>
      </c>
      <c r="Q4383" s="1" t="s">
        <v>42</v>
      </c>
      <c r="S4383" s="1" t="s">
        <v>42</v>
      </c>
      <c r="T4383" s="1" t="s">
        <v>273</v>
      </c>
      <c r="AA4383" s="1">
        <v>1040653.53</v>
      </c>
      <c r="AB4383" s="1" t="s">
        <v>3079</v>
      </c>
      <c r="AC4383" s="5">
        <v>43542</v>
      </c>
      <c r="AF4383" s="1">
        <v>10019</v>
      </c>
      <c r="AI4383" s="1" t="s">
        <v>48</v>
      </c>
      <c r="AJ4383" s="1">
        <v>1940</v>
      </c>
      <c r="AK4383" s="1" t="s">
        <v>55</v>
      </c>
      <c r="AL4383" s="1">
        <v>155</v>
      </c>
    </row>
    <row r="4384" spans="1:38" x14ac:dyDescent="0.2">
      <c r="A4384" s="2" t="str">
        <f>HYPERLINK("https://www.compass.com/listing/325-lexington-avenue-unit-24b-manhattan-ny-10016/29379726153950337/","325 Lexington Ave, Unit 24B")</f>
        <v>325 Lexington Ave, Unit 24B</v>
      </c>
      <c r="B4384" s="2" t="str">
        <f t="shared" ref="B4384:B4385" si="740">HYPERLINK("https://www.compass.com/building/325-lex-condominium-manhattan-ny/281939882467713365/","325 Lex Condominium")</f>
        <v>325 Lex Condominium</v>
      </c>
      <c r="C4384" s="1" t="s">
        <v>59</v>
      </c>
      <c r="D4384" s="1" t="s">
        <v>41</v>
      </c>
      <c r="E4384" s="3">
        <v>1781938</v>
      </c>
      <c r="F4384" s="1">
        <v>2244.2544080604498</v>
      </c>
      <c r="G4384" s="1">
        <v>3</v>
      </c>
      <c r="H4384" s="1">
        <v>1</v>
      </c>
      <c r="I4384" s="1">
        <v>1</v>
      </c>
      <c r="J4384" s="1">
        <v>1</v>
      </c>
      <c r="K4384" s="1">
        <v>1</v>
      </c>
      <c r="M4384" s="1">
        <v>794</v>
      </c>
      <c r="N4384" s="1">
        <v>1158</v>
      </c>
      <c r="O4384" s="1">
        <v>1410</v>
      </c>
      <c r="P4384" s="1">
        <v>252</v>
      </c>
      <c r="Q4384" s="1" t="s">
        <v>42</v>
      </c>
      <c r="S4384" s="1" t="s">
        <v>42</v>
      </c>
      <c r="T4384" s="1" t="s">
        <v>273</v>
      </c>
      <c r="U4384" s="1">
        <v>12</v>
      </c>
      <c r="V4384" s="5">
        <v>43654</v>
      </c>
      <c r="W4384" s="5">
        <v>42104</v>
      </c>
      <c r="X4384" s="1">
        <v>1750000</v>
      </c>
      <c r="Y4384" s="1">
        <v>1750000</v>
      </c>
      <c r="Z4384" s="5">
        <v>42116</v>
      </c>
      <c r="AA4384" s="1">
        <v>1781938</v>
      </c>
      <c r="AB4384" s="1" t="s">
        <v>3080</v>
      </c>
      <c r="AC4384" s="5">
        <v>42158</v>
      </c>
      <c r="AF4384" s="1">
        <v>10016</v>
      </c>
      <c r="AI4384" s="1" t="s">
        <v>60</v>
      </c>
      <c r="AJ4384" s="1">
        <v>2014</v>
      </c>
      <c r="AK4384" s="1" t="s">
        <v>108</v>
      </c>
      <c r="AL4384" s="1">
        <v>125</v>
      </c>
    </row>
    <row r="4385" spans="1:38" x14ac:dyDescent="0.2">
      <c r="A4385" s="2" t="str">
        <f>HYPERLINK("https://www.compass.com/listing/325-lexington-avenue-unit-26b-manhattan-ny-10016/29379729836554961/","325 Lexington Ave, Unit 26B")</f>
        <v>325 Lexington Ave, Unit 26B</v>
      </c>
      <c r="B4385" s="2" t="str">
        <f t="shared" si="740"/>
        <v>325 Lex Condominium</v>
      </c>
      <c r="C4385" s="1" t="s">
        <v>59</v>
      </c>
      <c r="D4385" s="1" t="s">
        <v>41</v>
      </c>
      <c r="E4385" s="3">
        <v>1725934</v>
      </c>
      <c r="F4385" s="1">
        <v>2173.7204030226699</v>
      </c>
      <c r="G4385" s="1">
        <v>3</v>
      </c>
      <c r="H4385" s="1">
        <v>1</v>
      </c>
      <c r="I4385" s="1">
        <v>1</v>
      </c>
      <c r="J4385" s="1">
        <v>1</v>
      </c>
      <c r="K4385" s="1">
        <v>1</v>
      </c>
      <c r="M4385" s="1">
        <v>794</v>
      </c>
      <c r="N4385" s="1">
        <v>1169</v>
      </c>
      <c r="O4385" s="1">
        <v>1424</v>
      </c>
      <c r="P4385" s="1">
        <v>255</v>
      </c>
      <c r="Q4385" s="1" t="s">
        <v>42</v>
      </c>
      <c r="S4385" s="1" t="s">
        <v>42</v>
      </c>
      <c r="T4385" s="1" t="s">
        <v>273</v>
      </c>
      <c r="U4385" s="1">
        <v>27</v>
      </c>
      <c r="V4385" s="5">
        <v>43654</v>
      </c>
      <c r="W4385" s="5">
        <v>42046</v>
      </c>
      <c r="X4385" s="1">
        <v>1695000</v>
      </c>
      <c r="Y4385" s="1">
        <v>1695000</v>
      </c>
      <c r="Z4385" s="5">
        <v>42073</v>
      </c>
      <c r="AA4385" s="1">
        <v>1725934</v>
      </c>
      <c r="AB4385" s="1" t="s">
        <v>3081</v>
      </c>
      <c r="AC4385" s="5">
        <v>42143</v>
      </c>
      <c r="AF4385" s="1">
        <v>10016</v>
      </c>
      <c r="AI4385" s="1" t="s">
        <v>60</v>
      </c>
      <c r="AJ4385" s="1">
        <v>2014</v>
      </c>
      <c r="AK4385" s="1" t="s">
        <v>108</v>
      </c>
      <c r="AL4385" s="1">
        <v>125</v>
      </c>
    </row>
    <row r="4386" spans="1:38" x14ac:dyDescent="0.2">
      <c r="A4386" s="2" t="str">
        <f>HYPERLINK("https://www.compass.com/listing/310-west-114th-street-unit-3-manhattan-ny-10026/801897283968957161/","310 W 114th St, Unit 3")</f>
        <v>310 W 114th St, Unit 3</v>
      </c>
      <c r="B4386" s="2" t="str">
        <f>HYPERLINK("https://www.compass.com/building/310-w-114th-st-manhattan-ny-10026/281976388834127397/","310 W 114th St")</f>
        <v>310 W 114th St</v>
      </c>
      <c r="C4386" s="1" t="s">
        <v>85</v>
      </c>
      <c r="D4386" s="1" t="s">
        <v>41</v>
      </c>
      <c r="E4386" s="3">
        <v>1430000</v>
      </c>
      <c r="F4386" s="1">
        <v>969.49152542372804</v>
      </c>
      <c r="G4386" s="1">
        <v>6</v>
      </c>
      <c r="H4386" s="1">
        <v>3</v>
      </c>
      <c r="I4386" s="1">
        <v>3</v>
      </c>
      <c r="J4386" s="1">
        <v>2.5</v>
      </c>
      <c r="K4386" s="1">
        <v>2</v>
      </c>
      <c r="L4386" s="1">
        <v>1</v>
      </c>
      <c r="M4386" s="4">
        <v>1475</v>
      </c>
      <c r="N4386" s="1">
        <v>349</v>
      </c>
      <c r="O4386" s="1">
        <v>2118</v>
      </c>
      <c r="P4386" s="1">
        <v>1769</v>
      </c>
      <c r="Q4386" s="1" t="s">
        <v>42</v>
      </c>
      <c r="S4386" s="1" t="s">
        <v>42</v>
      </c>
      <c r="T4386" s="1" t="s">
        <v>273</v>
      </c>
      <c r="U4386" s="1">
        <v>139</v>
      </c>
      <c r="V4386" s="5">
        <v>43804</v>
      </c>
      <c r="W4386" s="5">
        <v>43663</v>
      </c>
      <c r="X4386" s="1">
        <v>1575000</v>
      </c>
      <c r="Y4386" s="1">
        <v>1400000</v>
      </c>
      <c r="AA4386" s="1">
        <v>1430000</v>
      </c>
      <c r="AB4386" s="1" t="s">
        <v>3082</v>
      </c>
      <c r="AC4386" s="5">
        <v>43907</v>
      </c>
      <c r="AF4386" s="1">
        <v>10026</v>
      </c>
      <c r="AI4386" s="1" t="s">
        <v>2862</v>
      </c>
      <c r="AJ4386" s="1">
        <v>2015</v>
      </c>
      <c r="AL4386" s="1">
        <v>8</v>
      </c>
    </row>
    <row r="4387" spans="1:38" x14ac:dyDescent="0.2">
      <c r="A4387" s="2" t="str">
        <f>HYPERLINK("https://www.compass.com/listing/425-west-50th-street-unit-11h-manhattan-ny-10019/29389210414852465/","425 W 50th St, Unit 11H")</f>
        <v>425 W 50th St, Unit 11H</v>
      </c>
      <c r="B4387" s="2" t="str">
        <f>HYPERLINK("https://www.compass.com/building/stella-tower-manhattan-ny/281945855710262181/","Stella Tower")</f>
        <v>Stella Tower</v>
      </c>
      <c r="C4387" s="1" t="s">
        <v>90</v>
      </c>
      <c r="D4387" s="1" t="s">
        <v>41</v>
      </c>
      <c r="E4387" s="3">
        <v>1640000</v>
      </c>
      <c r="F4387" s="1">
        <v>1755.88865096359</v>
      </c>
      <c r="G4387" s="1">
        <v>3</v>
      </c>
      <c r="H4387" s="1">
        <v>1</v>
      </c>
      <c r="I4387" s="1">
        <v>1</v>
      </c>
      <c r="J4387" s="1">
        <v>1</v>
      </c>
      <c r="K4387" s="1">
        <v>1</v>
      </c>
      <c r="M4387" s="1">
        <v>934</v>
      </c>
      <c r="N4387" s="1">
        <v>1056</v>
      </c>
      <c r="O4387" s="1">
        <v>2244.92</v>
      </c>
      <c r="P4387" s="1">
        <v>1188.9166666666599</v>
      </c>
      <c r="Q4387" s="1" t="s">
        <v>42</v>
      </c>
      <c r="S4387" s="1" t="s">
        <v>42</v>
      </c>
      <c r="T4387" s="1" t="s">
        <v>273</v>
      </c>
      <c r="U4387" s="1">
        <v>111</v>
      </c>
      <c r="V4387" s="5">
        <v>43649</v>
      </c>
      <c r="W4387" s="5">
        <v>42790</v>
      </c>
      <c r="X4387" s="1">
        <v>1950000</v>
      </c>
      <c r="Y4387" s="1">
        <v>1695000</v>
      </c>
      <c r="Z4387" s="5">
        <v>42901</v>
      </c>
      <c r="AA4387" s="1">
        <v>1640000</v>
      </c>
      <c r="AB4387" s="1" t="s">
        <v>3083</v>
      </c>
      <c r="AC4387" s="5">
        <v>42998</v>
      </c>
      <c r="AF4387" s="1">
        <v>10019</v>
      </c>
      <c r="AI4387" s="1" t="s">
        <v>80</v>
      </c>
      <c r="AJ4387" s="1">
        <v>1930</v>
      </c>
      <c r="AK4387" s="1" t="s">
        <v>46</v>
      </c>
      <c r="AL4387" s="1">
        <v>51</v>
      </c>
    </row>
    <row r="4388" spans="1:38" x14ac:dyDescent="0.2">
      <c r="A4388" s="2" t="str">
        <f>HYPERLINK("https://www.compass.com/listing/416-west-52nd-street-unit-214-manhattan-ny-10019/4852261578042520257/","416 W 52nd St, Unit 214")</f>
        <v>416 W 52nd St, Unit 214</v>
      </c>
      <c r="B4388" s="2" t="str">
        <f>HYPERLINK("https://www.compass.com/building/nine52-manhattan-ny/281945622951555813/","Nine52")</f>
        <v>Nine52</v>
      </c>
      <c r="C4388" s="1" t="s">
        <v>90</v>
      </c>
      <c r="D4388" s="1" t="s">
        <v>41</v>
      </c>
      <c r="E4388" s="3">
        <v>1796000</v>
      </c>
      <c r="F4388" s="1">
        <v>1210.24258760107</v>
      </c>
      <c r="G4388" s="1">
        <v>5</v>
      </c>
      <c r="H4388" s="1">
        <v>2</v>
      </c>
      <c r="I4388" s="1">
        <v>3</v>
      </c>
      <c r="J4388" s="1">
        <v>2.5</v>
      </c>
      <c r="K4388" s="1">
        <v>2</v>
      </c>
      <c r="L4388" s="1">
        <v>1</v>
      </c>
      <c r="M4388" s="4">
        <v>1484</v>
      </c>
      <c r="N4388" s="1">
        <v>1233</v>
      </c>
      <c r="O4388" s="1">
        <v>3403</v>
      </c>
      <c r="P4388" s="1">
        <v>2170</v>
      </c>
      <c r="Q4388" s="1" t="s">
        <v>42</v>
      </c>
      <c r="S4388" s="1" t="s">
        <v>42</v>
      </c>
      <c r="T4388" s="1" t="s">
        <v>273</v>
      </c>
      <c r="U4388" s="1">
        <v>4</v>
      </c>
      <c r="V4388" s="5">
        <v>43673</v>
      </c>
      <c r="W4388" s="5">
        <v>42447</v>
      </c>
      <c r="X4388" s="1">
        <v>1796000</v>
      </c>
      <c r="Y4388" s="1">
        <v>1796000</v>
      </c>
      <c r="Z4388" s="5">
        <v>42451</v>
      </c>
      <c r="AA4388" s="1">
        <v>1796000</v>
      </c>
      <c r="AB4388" s="1" t="s">
        <v>275</v>
      </c>
      <c r="AC4388" s="5">
        <v>42640</v>
      </c>
      <c r="AF4388" s="1">
        <v>10019</v>
      </c>
      <c r="AI4388" s="1" t="s">
        <v>48</v>
      </c>
      <c r="AJ4388" s="1">
        <v>1940</v>
      </c>
      <c r="AK4388" s="1" t="s">
        <v>108</v>
      </c>
      <c r="AL4388" s="1">
        <v>155</v>
      </c>
    </row>
    <row r="4389" spans="1:38" x14ac:dyDescent="0.2">
      <c r="A4389" s="2" t="str">
        <f>HYPERLINK("https://www.compass.com/listing/425-west-50th-street-unit-16c-manhattan-ny-10019/29389226076394097/","425 W 50th St, Unit 16C")</f>
        <v>425 W 50th St, Unit 16C</v>
      </c>
      <c r="B4389" s="2" t="str">
        <f>HYPERLINK("https://www.compass.com/building/stella-tower-manhattan-ny/281945855710262181/","Stella Tower")</f>
        <v>Stella Tower</v>
      </c>
      <c r="C4389" s="1" t="s">
        <v>90</v>
      </c>
      <c r="D4389" s="1" t="s">
        <v>41</v>
      </c>
      <c r="E4389" s="3">
        <v>3515962</v>
      </c>
      <c r="F4389" s="1">
        <v>2035.87840185292</v>
      </c>
      <c r="G4389" s="1">
        <v>4</v>
      </c>
      <c r="H4389" s="1">
        <v>2</v>
      </c>
      <c r="I4389" s="1">
        <v>3</v>
      </c>
      <c r="J4389" s="1">
        <v>0.5</v>
      </c>
      <c r="L4389" s="1">
        <v>1</v>
      </c>
      <c r="M4389" s="4">
        <v>1727</v>
      </c>
      <c r="N4389" s="1">
        <v>1963</v>
      </c>
      <c r="O4389" s="1">
        <v>3959</v>
      </c>
      <c r="P4389" s="1">
        <v>1996</v>
      </c>
      <c r="Q4389" s="1" t="s">
        <v>42</v>
      </c>
      <c r="S4389" s="1" t="s">
        <v>42</v>
      </c>
      <c r="T4389" s="1" t="s">
        <v>273</v>
      </c>
      <c r="U4389" s="1">
        <v>400</v>
      </c>
      <c r="V4389" s="5">
        <v>43694</v>
      </c>
      <c r="W4389" s="5">
        <v>42355</v>
      </c>
      <c r="X4389" s="1">
        <v>4350000</v>
      </c>
      <c r="Y4389" s="1">
        <v>3495000</v>
      </c>
      <c r="Z4389" s="5">
        <v>42755</v>
      </c>
      <c r="AA4389" s="1">
        <v>3515962</v>
      </c>
      <c r="AB4389" s="1" t="s">
        <v>3084</v>
      </c>
      <c r="AC4389" s="5">
        <v>42826</v>
      </c>
      <c r="AF4389" s="1">
        <v>10019</v>
      </c>
      <c r="AI4389" s="1" t="s">
        <v>80</v>
      </c>
      <c r="AJ4389" s="1">
        <v>1930</v>
      </c>
      <c r="AK4389" s="1" t="s">
        <v>46</v>
      </c>
      <c r="AL4389" s="1">
        <v>51</v>
      </c>
    </row>
    <row r="4390" spans="1:38" x14ac:dyDescent="0.2">
      <c r="A4390" s="2" t="str">
        <f>HYPERLINK("https://www.compass.com/listing/416-west-52nd-street-unit-626-manhattan-ny-10019/29389284335210209/","416 W 52nd St, Unit 626")</f>
        <v>416 W 52nd St, Unit 626</v>
      </c>
      <c r="B4390" s="2" t="str">
        <f>HYPERLINK("https://www.compass.com/building/nine52-manhattan-ny/281945622951555813/","Nine52")</f>
        <v>Nine52</v>
      </c>
      <c r="C4390" s="1" t="s">
        <v>90</v>
      </c>
      <c r="D4390" s="1" t="s">
        <v>41</v>
      </c>
      <c r="E4390" s="3">
        <v>1652000</v>
      </c>
      <c r="F4390" s="1">
        <v>1670.3741152679399</v>
      </c>
      <c r="G4390" s="1">
        <v>4</v>
      </c>
      <c r="H4390" s="1">
        <v>2</v>
      </c>
      <c r="I4390" s="1">
        <v>2</v>
      </c>
      <c r="J4390" s="1">
        <v>2</v>
      </c>
      <c r="K4390" s="1">
        <v>2</v>
      </c>
      <c r="M4390" s="1">
        <v>989</v>
      </c>
      <c r="N4390" s="1">
        <v>822</v>
      </c>
      <c r="O4390" s="1">
        <v>2272</v>
      </c>
      <c r="P4390" s="1">
        <v>1450</v>
      </c>
      <c r="Q4390" s="1" t="s">
        <v>42</v>
      </c>
      <c r="S4390" s="1" t="s">
        <v>42</v>
      </c>
      <c r="T4390" s="1" t="s">
        <v>273</v>
      </c>
      <c r="U4390" s="1">
        <v>1</v>
      </c>
      <c r="V4390" s="5">
        <v>43675</v>
      </c>
      <c r="W4390" s="5">
        <v>42433</v>
      </c>
      <c r="X4390" s="1">
        <v>1652000</v>
      </c>
      <c r="Y4390" s="1">
        <v>1652000</v>
      </c>
      <c r="Z4390" s="5">
        <v>42434</v>
      </c>
      <c r="AA4390" s="1">
        <v>1652000</v>
      </c>
      <c r="AB4390" s="1" t="s">
        <v>3085</v>
      </c>
      <c r="AC4390" s="5">
        <v>42635</v>
      </c>
      <c r="AF4390" s="1">
        <v>10019</v>
      </c>
      <c r="AI4390" s="1" t="s">
        <v>48</v>
      </c>
      <c r="AJ4390" s="1">
        <v>1940</v>
      </c>
      <c r="AK4390" s="1" t="s">
        <v>108</v>
      </c>
      <c r="AL4390" s="1">
        <v>155</v>
      </c>
    </row>
    <row r="4391" spans="1:38" x14ac:dyDescent="0.2">
      <c r="A4391" s="2" t="str">
        <f>HYPERLINK("https://www.compass.com/listing/1-west-end-avenue-unit-23b-manhattan-ny-10069/29397334630693153/","1 W End Ave, Unit 23B")</f>
        <v>1 W End Ave, Unit 23B</v>
      </c>
      <c r="B4391" s="2" t="str">
        <f>HYPERLINK("https://www.compass.com/building/1-w-end-ave-manhattan-ny-10069/455676159137755317/","1 W End Ave")</f>
        <v>1 W End Ave</v>
      </c>
      <c r="C4391" s="1" t="s">
        <v>57</v>
      </c>
      <c r="D4391" s="1" t="s">
        <v>41</v>
      </c>
      <c r="E4391" s="3">
        <v>3467566</v>
      </c>
      <c r="F4391" s="1">
        <v>2056.6820877817299</v>
      </c>
      <c r="G4391" s="1">
        <v>5</v>
      </c>
      <c r="H4391" s="1">
        <v>3</v>
      </c>
      <c r="I4391" s="1">
        <v>3</v>
      </c>
      <c r="J4391" s="1">
        <v>3</v>
      </c>
      <c r="M4391" s="4">
        <v>1686</v>
      </c>
      <c r="N4391" s="1">
        <v>2149</v>
      </c>
      <c r="O4391" s="1">
        <v>2270</v>
      </c>
      <c r="P4391" s="1">
        <v>121</v>
      </c>
      <c r="Q4391" s="1" t="s">
        <v>42</v>
      </c>
      <c r="S4391" s="1" t="s">
        <v>42</v>
      </c>
      <c r="T4391" s="1" t="s">
        <v>273</v>
      </c>
      <c r="U4391" s="1">
        <v>15</v>
      </c>
      <c r="V4391" s="5">
        <v>43623</v>
      </c>
      <c r="W4391" s="5">
        <v>43147</v>
      </c>
      <c r="X4391" s="1">
        <v>3395000</v>
      </c>
      <c r="Y4391" s="1">
        <v>3395000</v>
      </c>
      <c r="Z4391" s="5">
        <v>43162</v>
      </c>
      <c r="AA4391" s="1">
        <v>3467566</v>
      </c>
      <c r="AB4391" s="1" t="s">
        <v>3019</v>
      </c>
      <c r="AC4391" s="5">
        <v>43214</v>
      </c>
      <c r="AF4391" s="1">
        <v>10069</v>
      </c>
      <c r="AI4391" s="1" t="s">
        <v>1683</v>
      </c>
      <c r="AJ4391" s="1">
        <v>2017</v>
      </c>
      <c r="AK4391" s="1" t="s">
        <v>55</v>
      </c>
      <c r="AL4391" s="1">
        <v>246</v>
      </c>
    </row>
    <row r="4392" spans="1:38" x14ac:dyDescent="0.2">
      <c r="A4392" s="2" t="str">
        <f>HYPERLINK("https://www.compass.com/listing/325-lexington-avenue-unit-16b-manhattan-ny-10016/841241850686179273/","325 Lexington Ave, Unit 16B")</f>
        <v>325 Lexington Ave, Unit 16B</v>
      </c>
      <c r="B4392" s="2" t="str">
        <f>HYPERLINK("https://www.compass.com/building/325-lex-condominium-manhattan-ny/281939882467713365/","325 Lex Condominium")</f>
        <v>325 Lex Condominium</v>
      </c>
      <c r="C4392" s="1" t="s">
        <v>59</v>
      </c>
      <c r="D4392" s="1" t="s">
        <v>41</v>
      </c>
      <c r="E4392" s="3">
        <v>1400094</v>
      </c>
      <c r="F4392" s="1">
        <v>2163.9779752704699</v>
      </c>
      <c r="H4392" s="1">
        <v>1</v>
      </c>
      <c r="J4392" s="1">
        <v>1</v>
      </c>
      <c r="K4392" s="1">
        <v>1</v>
      </c>
      <c r="M4392" s="1">
        <v>647</v>
      </c>
      <c r="N4392" s="1">
        <v>909</v>
      </c>
      <c r="O4392" s="1">
        <v>1107</v>
      </c>
      <c r="P4392" s="1">
        <v>198</v>
      </c>
      <c r="Q4392" s="1" t="s">
        <v>42</v>
      </c>
      <c r="S4392" s="1" t="s">
        <v>42</v>
      </c>
      <c r="T4392" s="1" t="s">
        <v>273</v>
      </c>
      <c r="AA4392" s="1">
        <v>1400093.75</v>
      </c>
      <c r="AB4392" s="1" t="s">
        <v>3086</v>
      </c>
      <c r="AC4392" s="5">
        <v>42264</v>
      </c>
      <c r="AF4392" s="1">
        <v>10016</v>
      </c>
      <c r="AI4392" s="1" t="s">
        <v>60</v>
      </c>
      <c r="AJ4392" s="1">
        <v>2014</v>
      </c>
      <c r="AK4392" s="1" t="s">
        <v>55</v>
      </c>
      <c r="AL4392" s="1">
        <v>125</v>
      </c>
    </row>
    <row r="4393" spans="1:38" x14ac:dyDescent="0.2">
      <c r="A4393" s="2" t="str">
        <f>HYPERLINK("https://www.compass.com/listing/425-west-50th-street-unit-10b-manhattan-ny-10019/29389202638622817/","425 W 50th St, Unit 10B")</f>
        <v>425 W 50th St, Unit 10B</v>
      </c>
      <c r="B4393" s="2" t="str">
        <f t="shared" ref="B4393:B4395" si="741">HYPERLINK("https://www.compass.com/building/stella-tower-manhattan-ny/281945855710262181/","Stella Tower")</f>
        <v>Stella Tower</v>
      </c>
      <c r="C4393" s="1" t="s">
        <v>90</v>
      </c>
      <c r="D4393" s="1" t="s">
        <v>41</v>
      </c>
      <c r="E4393" s="3">
        <v>1934675</v>
      </c>
      <c r="F4393" s="1">
        <v>1664.9526678141101</v>
      </c>
      <c r="G4393" s="1">
        <v>3</v>
      </c>
      <c r="H4393" s="1">
        <v>1</v>
      </c>
      <c r="I4393" s="1">
        <v>2</v>
      </c>
      <c r="J4393" s="1">
        <v>2</v>
      </c>
      <c r="M4393" s="4">
        <v>1162</v>
      </c>
      <c r="N4393" s="1">
        <v>1313</v>
      </c>
      <c r="O4393" s="1">
        <v>2117</v>
      </c>
      <c r="P4393" s="1">
        <v>804</v>
      </c>
      <c r="Q4393" s="1" t="s">
        <v>42</v>
      </c>
      <c r="S4393" s="1" t="s">
        <v>42</v>
      </c>
      <c r="T4393" s="1" t="s">
        <v>273</v>
      </c>
      <c r="U4393" s="1">
        <v>132</v>
      </c>
      <c r="V4393" s="5">
        <v>43670</v>
      </c>
      <c r="W4393" s="5">
        <v>41860</v>
      </c>
      <c r="X4393" s="1">
        <v>1900000</v>
      </c>
      <c r="Y4393" s="1">
        <v>1900000</v>
      </c>
      <c r="AA4393" s="1">
        <v>1934675</v>
      </c>
      <c r="AB4393" s="1" t="s">
        <v>3087</v>
      </c>
      <c r="AC4393" s="5">
        <v>42024</v>
      </c>
      <c r="AF4393" s="1">
        <v>10019</v>
      </c>
      <c r="AI4393" s="1" t="s">
        <v>80</v>
      </c>
      <c r="AJ4393" s="1">
        <v>1930</v>
      </c>
      <c r="AK4393" s="1" t="s">
        <v>46</v>
      </c>
      <c r="AL4393" s="1">
        <v>51</v>
      </c>
    </row>
    <row r="4394" spans="1:38" x14ac:dyDescent="0.2">
      <c r="A4394" s="2" t="str">
        <f>HYPERLINK("https://www.compass.com/listing/425-west-50th-street-unit-14g-manhattan-ny-10019/29513501760382225/","425 W 50th St, Unit 14G")</f>
        <v>425 W 50th St, Unit 14G</v>
      </c>
      <c r="B4394" s="2" t="str">
        <f t="shared" si="741"/>
        <v>Stella Tower</v>
      </c>
      <c r="C4394" s="1" t="s">
        <v>90</v>
      </c>
      <c r="D4394" s="1" t="s">
        <v>41</v>
      </c>
      <c r="E4394" s="3">
        <v>2418344</v>
      </c>
      <c r="F4394" s="1">
        <v>1752.4231884057899</v>
      </c>
      <c r="G4394" s="1">
        <v>3</v>
      </c>
      <c r="H4394" s="1">
        <v>1</v>
      </c>
      <c r="I4394" s="1">
        <v>2</v>
      </c>
      <c r="J4394" s="1">
        <v>2</v>
      </c>
      <c r="M4394" s="4">
        <v>1380</v>
      </c>
      <c r="N4394" s="1">
        <v>1638</v>
      </c>
      <c r="O4394" s="1">
        <v>2641</v>
      </c>
      <c r="P4394" s="1">
        <v>1003</v>
      </c>
      <c r="Q4394" s="1" t="s">
        <v>42</v>
      </c>
      <c r="S4394" s="1" t="s">
        <v>42</v>
      </c>
      <c r="T4394" s="1" t="s">
        <v>273</v>
      </c>
      <c r="U4394" s="1">
        <v>132</v>
      </c>
      <c r="V4394" s="5">
        <v>43670</v>
      </c>
      <c r="W4394" s="5">
        <v>41860</v>
      </c>
      <c r="X4394" s="1">
        <v>2375000</v>
      </c>
      <c r="Y4394" s="1">
        <v>2375000</v>
      </c>
      <c r="AA4394" s="1">
        <v>2418344</v>
      </c>
      <c r="AB4394" s="1" t="s">
        <v>3088</v>
      </c>
      <c r="AC4394" s="5">
        <v>42003</v>
      </c>
      <c r="AF4394" s="1">
        <v>10019</v>
      </c>
      <c r="AI4394" s="1" t="s">
        <v>80</v>
      </c>
      <c r="AJ4394" s="1">
        <v>1930</v>
      </c>
      <c r="AK4394" s="1" t="s">
        <v>46</v>
      </c>
      <c r="AL4394" s="1">
        <v>51</v>
      </c>
    </row>
    <row r="4395" spans="1:38" x14ac:dyDescent="0.2">
      <c r="A4395" s="2" t="str">
        <f>HYPERLINK("https://www.compass.com/listing/425-west-50th-street-unit-11e-manhattan-ny-10019/29513500451708657/","425 W 50th St, Unit 11E")</f>
        <v>425 W 50th St, Unit 11E</v>
      </c>
      <c r="B4395" s="2" t="str">
        <f t="shared" si="741"/>
        <v>Stella Tower</v>
      </c>
      <c r="C4395" s="1" t="s">
        <v>90</v>
      </c>
      <c r="D4395" s="1" t="s">
        <v>41</v>
      </c>
      <c r="E4395" s="3">
        <v>2400000</v>
      </c>
      <c r="F4395" s="1">
        <v>2173.9130434782601</v>
      </c>
      <c r="G4395" s="1">
        <v>3</v>
      </c>
      <c r="H4395" s="1">
        <v>1</v>
      </c>
      <c r="I4395" s="1">
        <v>2</v>
      </c>
      <c r="J4395" s="1">
        <v>1.5</v>
      </c>
      <c r="K4395" s="1">
        <v>1</v>
      </c>
      <c r="L4395" s="1">
        <v>1</v>
      </c>
      <c r="M4395" s="4">
        <v>1104</v>
      </c>
      <c r="N4395" s="1">
        <v>1386</v>
      </c>
      <c r="O4395" s="1">
        <v>2903.39</v>
      </c>
      <c r="P4395" s="1">
        <v>1517.4166666666599</v>
      </c>
      <c r="Q4395" s="1" t="s">
        <v>42</v>
      </c>
      <c r="S4395" s="1" t="s">
        <v>42</v>
      </c>
      <c r="T4395" s="1" t="s">
        <v>273</v>
      </c>
      <c r="U4395" s="1">
        <v>141</v>
      </c>
      <c r="V4395" s="5">
        <v>43643</v>
      </c>
      <c r="W4395" s="5">
        <v>43260</v>
      </c>
      <c r="X4395" s="1">
        <v>2495000</v>
      </c>
      <c r="Y4395" s="1">
        <v>2495000</v>
      </c>
      <c r="Z4395" s="5">
        <v>43401</v>
      </c>
      <c r="AA4395" s="1">
        <v>2400000</v>
      </c>
      <c r="AB4395" s="1" t="s">
        <v>3089</v>
      </c>
      <c r="AC4395" s="5">
        <v>43479</v>
      </c>
      <c r="AF4395" s="1">
        <v>10019</v>
      </c>
      <c r="AI4395" s="1" t="s">
        <v>80</v>
      </c>
      <c r="AJ4395" s="1">
        <v>1930</v>
      </c>
      <c r="AK4395" s="1" t="s">
        <v>46</v>
      </c>
      <c r="AL4395" s="1">
        <v>51</v>
      </c>
    </row>
    <row r="4396" spans="1:38" x14ac:dyDescent="0.2">
      <c r="A4396" s="2" t="str">
        <f>HYPERLINK("https://www.compass.com/listing/285-west-110th-street-unit-2e-manhattan-ny-10026/4852275175137220593/","285 W 110th St, Unit 2E")</f>
        <v>285 W 110th St, Unit 2E</v>
      </c>
      <c r="B4396" s="2" t="str">
        <f>HYPERLINK("https://www.compass.com/building/circa-central-park-manhattan-ny/282059072692321269/","Circa Central Park")</f>
        <v>Circa Central Park</v>
      </c>
      <c r="C4396" s="1" t="s">
        <v>85</v>
      </c>
      <c r="D4396" s="1" t="s">
        <v>41</v>
      </c>
      <c r="E4396" s="3">
        <v>1985587</v>
      </c>
      <c r="F4396" s="1">
        <v>1903.7267497603</v>
      </c>
      <c r="G4396" s="1">
        <v>4</v>
      </c>
      <c r="H4396" s="1">
        <v>2</v>
      </c>
      <c r="I4396" s="1">
        <v>2</v>
      </c>
      <c r="J4396" s="1">
        <v>2</v>
      </c>
      <c r="K4396" s="1">
        <v>2</v>
      </c>
      <c r="M4396" s="4">
        <v>1043</v>
      </c>
      <c r="N4396" s="1">
        <v>1171</v>
      </c>
      <c r="O4396" s="1">
        <v>1277</v>
      </c>
      <c r="P4396" s="1">
        <v>106</v>
      </c>
      <c r="Q4396" s="1" t="s">
        <v>42</v>
      </c>
      <c r="S4396" s="1" t="s">
        <v>42</v>
      </c>
      <c r="T4396" s="1" t="s">
        <v>273</v>
      </c>
      <c r="V4396" s="5">
        <v>43673</v>
      </c>
      <c r="W4396" s="5">
        <v>42649</v>
      </c>
      <c r="X4396" s="1">
        <v>1950000</v>
      </c>
      <c r="Y4396" s="1">
        <v>1950000</v>
      </c>
      <c r="Z4396" s="5">
        <v>42649</v>
      </c>
      <c r="AA4396" s="1">
        <v>1985587</v>
      </c>
      <c r="AB4396" s="1" t="s">
        <v>275</v>
      </c>
      <c r="AC4396" s="5">
        <v>42928</v>
      </c>
      <c r="AF4396" s="1">
        <v>10026</v>
      </c>
      <c r="AI4396" s="1" t="s">
        <v>48</v>
      </c>
      <c r="AJ4396" s="1">
        <v>2017</v>
      </c>
      <c r="AK4396" s="1" t="s">
        <v>46</v>
      </c>
      <c r="AL4396" s="1">
        <v>38</v>
      </c>
    </row>
    <row r="4397" spans="1:38" x14ac:dyDescent="0.2">
      <c r="A4397" s="2" t="str">
        <f>HYPERLINK("https://www.compass.com/listing/305-west-150th-street-unit-203-manhattan-ny-10039/803334855995620777/","305 W 150th St, Unit 203")</f>
        <v>305 W 150th St, Unit 203</v>
      </c>
      <c r="B4397" s="2" t="str">
        <f>HYPERLINK("https://www.compass.com/building/305-w-150th-st-manhattan-ny-10039/282032234968400245/","305 W 150th St")</f>
        <v>305 W 150th St</v>
      </c>
      <c r="C4397" s="1" t="s">
        <v>84</v>
      </c>
      <c r="D4397" s="1" t="s">
        <v>41</v>
      </c>
      <c r="E4397" s="3">
        <v>490000</v>
      </c>
      <c r="F4397" s="1">
        <v>824.91582491582403</v>
      </c>
      <c r="G4397" s="1">
        <v>3</v>
      </c>
      <c r="H4397" s="1">
        <v>1</v>
      </c>
      <c r="I4397" s="1">
        <v>1</v>
      </c>
      <c r="J4397" s="1">
        <v>1</v>
      </c>
      <c r="K4397" s="1">
        <v>1</v>
      </c>
      <c r="M4397" s="1">
        <v>594</v>
      </c>
      <c r="N4397" s="1">
        <v>381.87</v>
      </c>
      <c r="O4397" s="1">
        <v>728.79</v>
      </c>
      <c r="P4397" s="1">
        <v>346.916666666666</v>
      </c>
      <c r="Q4397" s="1" t="s">
        <v>42</v>
      </c>
      <c r="S4397" s="1" t="s">
        <v>42</v>
      </c>
      <c r="T4397" s="1" t="s">
        <v>273</v>
      </c>
      <c r="U4397" s="1">
        <v>169</v>
      </c>
      <c r="V4397" s="5">
        <v>43259</v>
      </c>
      <c r="W4397" s="5">
        <v>42983</v>
      </c>
      <c r="X4397" s="1">
        <v>515000</v>
      </c>
      <c r="Y4397" s="1">
        <v>499000</v>
      </c>
      <c r="Z4397" s="5">
        <v>43183</v>
      </c>
      <c r="AA4397" s="1">
        <v>490000</v>
      </c>
      <c r="AB4397" s="1" t="s">
        <v>2627</v>
      </c>
      <c r="AC4397" s="5">
        <v>43236</v>
      </c>
      <c r="AF4397" s="1">
        <v>10039</v>
      </c>
      <c r="AI4397" s="1" t="s">
        <v>80</v>
      </c>
      <c r="AJ4397" s="1">
        <v>1921</v>
      </c>
      <c r="AK4397" s="1" t="s">
        <v>73</v>
      </c>
      <c r="AL4397" s="1">
        <v>84</v>
      </c>
    </row>
    <row r="4398" spans="1:38" x14ac:dyDescent="0.2">
      <c r="A4398" s="2" t="str">
        <f>HYPERLINK("https://www.compass.com/listing/416-west-52nd-street-unit-307-manhattan-ny-10019/277083301758470849/","416 W 52nd St, Unit 307")</f>
        <v>416 W 52nd St, Unit 307</v>
      </c>
      <c r="B4398" s="2" t="str">
        <f t="shared" ref="B4398:B4401" si="742">HYPERLINK("https://www.compass.com/building/nine52-manhattan-ny/281945622951555813/","Nine52")</f>
        <v>Nine52</v>
      </c>
      <c r="C4398" s="1" t="s">
        <v>90</v>
      </c>
      <c r="D4398" s="1" t="s">
        <v>41</v>
      </c>
      <c r="E4398" s="3">
        <v>1121629</v>
      </c>
      <c r="F4398" s="1">
        <v>1534.3758002735899</v>
      </c>
      <c r="H4398" s="1">
        <v>1</v>
      </c>
      <c r="J4398" s="1">
        <v>1</v>
      </c>
      <c r="K4398" s="1">
        <v>1</v>
      </c>
      <c r="M4398" s="1">
        <v>731</v>
      </c>
      <c r="N4398" s="1">
        <v>498</v>
      </c>
      <c r="O4398" s="1">
        <v>1461</v>
      </c>
      <c r="P4398" s="1">
        <v>963</v>
      </c>
      <c r="Q4398" s="1" t="s">
        <v>42</v>
      </c>
      <c r="S4398" s="1" t="s">
        <v>42</v>
      </c>
      <c r="T4398" s="1" t="s">
        <v>273</v>
      </c>
      <c r="AA4398" s="1">
        <v>1121628.71</v>
      </c>
      <c r="AB4398" s="1" t="s">
        <v>3090</v>
      </c>
      <c r="AC4398" s="5">
        <v>43549</v>
      </c>
      <c r="AF4398" s="1">
        <v>10019</v>
      </c>
      <c r="AI4398" s="1" t="s">
        <v>48</v>
      </c>
      <c r="AJ4398" s="1">
        <v>1940</v>
      </c>
      <c r="AK4398" s="1" t="s">
        <v>55</v>
      </c>
      <c r="AL4398" s="1">
        <v>155</v>
      </c>
    </row>
    <row r="4399" spans="1:38" x14ac:dyDescent="0.2">
      <c r="A4399" s="2" t="str">
        <f>HYPERLINK("https://www.compass.com/listing/416-west-52nd-street-unit-621-manhattan-ny-10019/483845121604444193/","416 W 52nd St, Unit 621")</f>
        <v>416 W 52nd St, Unit 621</v>
      </c>
      <c r="B4399" s="2" t="str">
        <f t="shared" si="742"/>
        <v>Nine52</v>
      </c>
      <c r="C4399" s="1" t="s">
        <v>90</v>
      </c>
      <c r="D4399" s="1" t="s">
        <v>41</v>
      </c>
      <c r="E4399" s="3">
        <v>1130404</v>
      </c>
      <c r="F4399" s="1">
        <v>1694.7586206896499</v>
      </c>
      <c r="H4399" s="1">
        <v>1</v>
      </c>
      <c r="J4399" s="1">
        <v>1</v>
      </c>
      <c r="K4399" s="1">
        <v>1</v>
      </c>
      <c r="M4399" s="1">
        <v>667</v>
      </c>
      <c r="N4399" s="1">
        <v>521</v>
      </c>
      <c r="O4399" s="1">
        <v>1417</v>
      </c>
      <c r="P4399" s="1">
        <v>896</v>
      </c>
      <c r="Q4399" s="1" t="s">
        <v>42</v>
      </c>
      <c r="S4399" s="1" t="s">
        <v>42</v>
      </c>
      <c r="T4399" s="1" t="s">
        <v>273</v>
      </c>
      <c r="AA4399" s="1">
        <v>1130404</v>
      </c>
      <c r="AB4399" s="1" t="s">
        <v>3091</v>
      </c>
      <c r="AC4399" s="5">
        <v>43187</v>
      </c>
      <c r="AF4399" s="1">
        <v>10019</v>
      </c>
      <c r="AI4399" s="1" t="s">
        <v>48</v>
      </c>
      <c r="AJ4399" s="1">
        <v>1940</v>
      </c>
      <c r="AK4399" s="1" t="s">
        <v>55</v>
      </c>
      <c r="AL4399" s="1">
        <v>155</v>
      </c>
    </row>
    <row r="4400" spans="1:38" x14ac:dyDescent="0.2">
      <c r="A4400" s="2" t="str">
        <f>HYPERLINK("https://www.compass.com/listing/416-west-52nd-street-unit-505-manhattan-ny-10019/79404742236809697/","416 W 52nd St, Unit 505")</f>
        <v>416 W 52nd St, Unit 505</v>
      </c>
      <c r="B4400" s="2" t="str">
        <f t="shared" si="742"/>
        <v>Nine52</v>
      </c>
      <c r="C4400" s="1" t="s">
        <v>90</v>
      </c>
      <c r="D4400" s="1" t="s">
        <v>41</v>
      </c>
      <c r="E4400" s="3">
        <v>1170000</v>
      </c>
      <c r="F4400" s="1">
        <v>1625</v>
      </c>
      <c r="H4400" s="1">
        <v>1</v>
      </c>
      <c r="J4400" s="1">
        <v>1</v>
      </c>
      <c r="K4400" s="1">
        <v>1</v>
      </c>
      <c r="M4400" s="1">
        <v>720</v>
      </c>
      <c r="N4400" s="1">
        <v>550</v>
      </c>
      <c r="O4400" s="1">
        <v>1504</v>
      </c>
      <c r="P4400" s="1">
        <v>954</v>
      </c>
      <c r="Q4400" s="1" t="s">
        <v>42</v>
      </c>
      <c r="S4400" s="1" t="s">
        <v>42</v>
      </c>
      <c r="T4400" s="1" t="s">
        <v>273</v>
      </c>
      <c r="AA4400" s="1">
        <v>1170000</v>
      </c>
      <c r="AB4400" s="1" t="s">
        <v>3092</v>
      </c>
      <c r="AC4400" s="5">
        <v>42781</v>
      </c>
      <c r="AF4400" s="1">
        <v>10019</v>
      </c>
      <c r="AI4400" s="1" t="s">
        <v>48</v>
      </c>
      <c r="AJ4400" s="1">
        <v>1940</v>
      </c>
      <c r="AK4400" s="1" t="s">
        <v>55</v>
      </c>
      <c r="AL4400" s="1">
        <v>155</v>
      </c>
    </row>
    <row r="4401" spans="1:38" x14ac:dyDescent="0.2">
      <c r="A4401" s="2" t="str">
        <f>HYPERLINK("https://www.compass.com/listing/416-west-52nd-street-unit-509-manhattan-ny-10019/79404743570598401/","416 W 52nd St, Unit 509")</f>
        <v>416 W 52nd St, Unit 509</v>
      </c>
      <c r="B4401" s="2" t="str">
        <f t="shared" si="742"/>
        <v>Nine52</v>
      </c>
      <c r="C4401" s="1" t="s">
        <v>90</v>
      </c>
      <c r="D4401" s="1" t="s">
        <v>41</v>
      </c>
      <c r="E4401" s="3">
        <v>1125000</v>
      </c>
      <c r="F4401" s="1">
        <v>1625.7225433526</v>
      </c>
      <c r="H4401" s="1">
        <v>1</v>
      </c>
      <c r="J4401" s="1">
        <v>1</v>
      </c>
      <c r="K4401" s="1">
        <v>1</v>
      </c>
      <c r="M4401" s="1">
        <v>692</v>
      </c>
      <c r="N4401" s="1">
        <v>490</v>
      </c>
      <c r="O4401" s="1">
        <v>1410</v>
      </c>
      <c r="P4401" s="1">
        <v>920</v>
      </c>
      <c r="Q4401" s="1" t="s">
        <v>42</v>
      </c>
      <c r="S4401" s="1" t="s">
        <v>42</v>
      </c>
      <c r="T4401" s="1" t="s">
        <v>273</v>
      </c>
      <c r="AA4401" s="1">
        <v>1125000</v>
      </c>
      <c r="AB4401" s="1" t="s">
        <v>3093</v>
      </c>
      <c r="AC4401" s="5">
        <v>42781</v>
      </c>
      <c r="AF4401" s="1">
        <v>10019</v>
      </c>
      <c r="AI4401" s="1" t="s">
        <v>48</v>
      </c>
      <c r="AJ4401" s="1">
        <v>1940</v>
      </c>
      <c r="AK4401" s="1" t="s">
        <v>55</v>
      </c>
      <c r="AL4401" s="1">
        <v>155</v>
      </c>
    </row>
    <row r="4402" spans="1:38" x14ac:dyDescent="0.2">
      <c r="A4402" s="2" t="str">
        <f>HYPERLINK("https://www.compass.com/listing/425-west-50th-street-unit-11d-manhattan-ny-10019/29389208015720641/","425 W 50th St, Unit 11D")</f>
        <v>425 W 50th St, Unit 11D</v>
      </c>
      <c r="B4402" s="2" t="str">
        <f t="shared" ref="B4402:B4403" si="743">HYPERLINK("https://www.compass.com/building/stella-tower-manhattan-ny/281945855710262181/","Stella Tower")</f>
        <v>Stella Tower</v>
      </c>
      <c r="C4402" s="1" t="s">
        <v>90</v>
      </c>
      <c r="D4402" s="1" t="s">
        <v>41</v>
      </c>
      <c r="E4402" s="3">
        <v>3719612</v>
      </c>
      <c r="F4402" s="1">
        <v>2038.14356164383</v>
      </c>
      <c r="G4402" s="1">
        <v>6</v>
      </c>
      <c r="H4402" s="1">
        <v>2</v>
      </c>
      <c r="I4402" s="1">
        <v>3</v>
      </c>
      <c r="M4402" s="4">
        <v>1825</v>
      </c>
      <c r="N4402" s="1">
        <v>2064</v>
      </c>
      <c r="O4402" s="1">
        <v>4163</v>
      </c>
      <c r="P4402" s="1">
        <v>2099</v>
      </c>
      <c r="Q4402" s="1" t="s">
        <v>42</v>
      </c>
      <c r="S4402" s="1" t="s">
        <v>42</v>
      </c>
      <c r="T4402" s="1" t="s">
        <v>273</v>
      </c>
      <c r="U4402" s="1">
        <v>2</v>
      </c>
      <c r="V4402" s="5">
        <v>43649</v>
      </c>
      <c r="W4402" s="5">
        <v>42717</v>
      </c>
      <c r="X4402" s="1">
        <v>3995000</v>
      </c>
      <c r="Y4402" s="1">
        <v>4000000</v>
      </c>
      <c r="Z4402" s="5">
        <v>42719</v>
      </c>
      <c r="AA4402" s="1">
        <v>3719612</v>
      </c>
      <c r="AB4402" s="1" t="s">
        <v>3094</v>
      </c>
      <c r="AC4402" s="5">
        <v>42775</v>
      </c>
      <c r="AF4402" s="1">
        <v>10019</v>
      </c>
      <c r="AI4402" s="1" t="s">
        <v>80</v>
      </c>
      <c r="AJ4402" s="1">
        <v>1930</v>
      </c>
      <c r="AK4402" s="1" t="s">
        <v>46</v>
      </c>
      <c r="AL4402" s="1">
        <v>51</v>
      </c>
    </row>
    <row r="4403" spans="1:38" x14ac:dyDescent="0.2">
      <c r="A4403" s="2" t="str">
        <f>HYPERLINK("https://www.compass.com/listing/425-west-50th-street-unit-12h-manhattan-ny-10019/29389216588878241/","425 W 50th St, Unit 12H")</f>
        <v>425 W 50th St, Unit 12H</v>
      </c>
      <c r="B4403" s="2" t="str">
        <f t="shared" si="743"/>
        <v>Stella Tower</v>
      </c>
      <c r="C4403" s="1" t="s">
        <v>90</v>
      </c>
      <c r="D4403" s="1" t="s">
        <v>41</v>
      </c>
      <c r="E4403" s="3">
        <v>3974175</v>
      </c>
      <c r="F4403" s="1">
        <v>2147.0421393841102</v>
      </c>
      <c r="G4403" s="1">
        <v>4</v>
      </c>
      <c r="H4403" s="1">
        <v>2</v>
      </c>
      <c r="I4403" s="1">
        <v>3</v>
      </c>
      <c r="J4403" s="1">
        <v>0.5</v>
      </c>
      <c r="L4403" s="1">
        <v>1</v>
      </c>
      <c r="M4403" s="4">
        <v>1851</v>
      </c>
      <c r="N4403" s="1">
        <v>2096</v>
      </c>
      <c r="O4403" s="1">
        <v>3379</v>
      </c>
      <c r="P4403" s="1">
        <v>1283</v>
      </c>
      <c r="Q4403" s="1" t="s">
        <v>42</v>
      </c>
      <c r="S4403" s="1" t="s">
        <v>42</v>
      </c>
      <c r="T4403" s="1" t="s">
        <v>273</v>
      </c>
      <c r="U4403" s="1">
        <v>176</v>
      </c>
      <c r="V4403" s="5">
        <v>43656</v>
      </c>
      <c r="W4403" s="5">
        <v>42290</v>
      </c>
      <c r="X4403" s="1">
        <v>3995000</v>
      </c>
      <c r="Y4403" s="1">
        <v>3995000</v>
      </c>
      <c r="Z4403" s="5">
        <v>42466</v>
      </c>
      <c r="AA4403" s="1">
        <v>3974175</v>
      </c>
      <c r="AB4403" s="1" t="s">
        <v>3095</v>
      </c>
      <c r="AC4403" s="5">
        <v>42480</v>
      </c>
      <c r="AF4403" s="1">
        <v>10019</v>
      </c>
      <c r="AI4403" s="1" t="s">
        <v>80</v>
      </c>
      <c r="AJ4403" s="1">
        <v>1930</v>
      </c>
      <c r="AK4403" s="1" t="s">
        <v>46</v>
      </c>
      <c r="AL4403" s="1">
        <v>51</v>
      </c>
    </row>
    <row r="4404" spans="1:38" x14ac:dyDescent="0.2">
      <c r="A4404" s="2" t="str">
        <f>HYPERLINK("https://www.compass.com/listing/310-west-114th-street-unit-3-manhattan-ny-10026/4843715824982172145/","310 W 114th St, Unit 3")</f>
        <v>310 W 114th St, Unit 3</v>
      </c>
      <c r="B4404" s="2" t="str">
        <f>HYPERLINK("https://www.compass.com/building/310-w-114th-st-manhattan-ny-10026/281976388834127397/","310 W 114th St")</f>
        <v>310 W 114th St</v>
      </c>
      <c r="C4404" s="1" t="s">
        <v>85</v>
      </c>
      <c r="D4404" s="1" t="s">
        <v>41</v>
      </c>
      <c r="E4404" s="3">
        <v>1430000</v>
      </c>
      <c r="F4404" s="1">
        <v>969.49152542372804</v>
      </c>
      <c r="G4404" s="1">
        <v>5</v>
      </c>
      <c r="H4404" s="1">
        <v>3</v>
      </c>
      <c r="I4404" s="1">
        <v>3</v>
      </c>
      <c r="J4404" s="1">
        <v>2.5</v>
      </c>
      <c r="K4404" s="1">
        <v>2</v>
      </c>
      <c r="L4404" s="1">
        <v>1</v>
      </c>
      <c r="M4404" s="4">
        <v>1475</v>
      </c>
      <c r="N4404" s="1">
        <v>349</v>
      </c>
      <c r="O4404" s="1">
        <v>2118</v>
      </c>
      <c r="P4404" s="1">
        <v>1769</v>
      </c>
      <c r="Q4404" s="1" t="s">
        <v>42</v>
      </c>
      <c r="S4404" s="1" t="s">
        <v>42</v>
      </c>
      <c r="T4404" s="1" t="s">
        <v>273</v>
      </c>
      <c r="U4404" s="1">
        <v>222</v>
      </c>
      <c r="V4404" s="5">
        <v>43916</v>
      </c>
      <c r="W4404" s="5">
        <v>43664</v>
      </c>
      <c r="X4404" s="1">
        <v>1445000</v>
      </c>
      <c r="Y4404" s="1">
        <v>1445000</v>
      </c>
      <c r="Z4404" s="5">
        <v>43887</v>
      </c>
      <c r="AA4404" s="1">
        <v>1430000</v>
      </c>
      <c r="AB4404" s="1" t="s">
        <v>3082</v>
      </c>
      <c r="AC4404" s="5">
        <v>43907</v>
      </c>
      <c r="AF4404" s="1">
        <v>10026</v>
      </c>
      <c r="AI4404" s="1" t="s">
        <v>3096</v>
      </c>
      <c r="AJ4404" s="1">
        <v>2015</v>
      </c>
      <c r="AL4404" s="1">
        <v>8</v>
      </c>
    </row>
    <row r="4405" spans="1:38" x14ac:dyDescent="0.2">
      <c r="A4405" s="2" t="str">
        <f>HYPERLINK("https://www.compass.com/listing/416-west-52nd-street-unit-ph720-manhattan-ny-10019/4828852429749488897/","416 W 52nd St, Unit PH720")</f>
        <v>416 W 52nd St, Unit PH720</v>
      </c>
      <c r="B4405" s="2" t="str">
        <f>HYPERLINK("https://www.compass.com/building/nine52-manhattan-ny/281945622951555813/","Nine52")</f>
        <v>Nine52</v>
      </c>
      <c r="C4405" s="1" t="s">
        <v>90</v>
      </c>
      <c r="D4405" s="1" t="s">
        <v>41</v>
      </c>
      <c r="E4405" s="3">
        <v>2120710</v>
      </c>
      <c r="F4405" s="1">
        <v>1696.568</v>
      </c>
      <c r="G4405" s="1">
        <v>4</v>
      </c>
      <c r="H4405" s="1">
        <v>2</v>
      </c>
      <c r="I4405" s="1">
        <v>1</v>
      </c>
      <c r="J4405" s="1">
        <v>1</v>
      </c>
      <c r="K4405" s="1">
        <v>1</v>
      </c>
      <c r="M4405" s="4">
        <v>1250</v>
      </c>
      <c r="N4405" s="1">
        <v>1281</v>
      </c>
      <c r="O4405" s="1">
        <v>3482</v>
      </c>
      <c r="P4405" s="1">
        <v>2201</v>
      </c>
      <c r="Q4405" s="1" t="s">
        <v>42</v>
      </c>
      <c r="S4405" s="1" t="s">
        <v>42</v>
      </c>
      <c r="T4405" s="1" t="s">
        <v>273</v>
      </c>
      <c r="U4405" s="1">
        <v>246</v>
      </c>
      <c r="V4405" s="5">
        <v>43806</v>
      </c>
      <c r="W4405" s="5">
        <v>42970</v>
      </c>
      <c r="X4405" s="1">
        <v>2319000</v>
      </c>
      <c r="Y4405" s="1">
        <v>1995000</v>
      </c>
      <c r="Z4405" s="5">
        <v>43216</v>
      </c>
      <c r="AA4405" s="1">
        <v>2120710</v>
      </c>
      <c r="AB4405" s="1" t="s">
        <v>3097</v>
      </c>
      <c r="AC4405" s="5">
        <v>43297</v>
      </c>
      <c r="AF4405" s="1">
        <v>10019</v>
      </c>
      <c r="AI4405" s="1" t="s">
        <v>3098</v>
      </c>
      <c r="AJ4405" s="1">
        <v>1940</v>
      </c>
      <c r="AK4405" s="1" t="s">
        <v>108</v>
      </c>
      <c r="AL4405" s="1">
        <v>155</v>
      </c>
    </row>
    <row r="4406" spans="1:38" x14ac:dyDescent="0.2">
      <c r="A4406" s="2" t="str">
        <f>HYPERLINK("https://www.compass.com/listing/1-west-end-avenue-unit-9f-manhattan-ny-10069/803375401921447729/","1 W End Ave, Unit 9F")</f>
        <v>1 W End Ave, Unit 9F</v>
      </c>
      <c r="B4406" s="2" t="str">
        <f>HYPERLINK("https://www.compass.com/building/1-w-end-ave-manhattan-ny-10069/455676159137755317/","1 W End Ave")</f>
        <v>1 W End Ave</v>
      </c>
      <c r="C4406" s="1" t="s">
        <v>57</v>
      </c>
      <c r="D4406" s="1" t="s">
        <v>41</v>
      </c>
      <c r="E4406" s="3">
        <v>2758262</v>
      </c>
      <c r="F4406" s="1">
        <v>1754.6196374045801</v>
      </c>
      <c r="G4406" s="1">
        <v>4</v>
      </c>
      <c r="H4406" s="1">
        <v>2</v>
      </c>
      <c r="I4406" s="1">
        <v>3</v>
      </c>
      <c r="J4406" s="1">
        <v>2.5</v>
      </c>
      <c r="M4406" s="4">
        <v>1572</v>
      </c>
      <c r="N4406" s="1">
        <v>1820</v>
      </c>
      <c r="O4406" s="1">
        <v>1922</v>
      </c>
      <c r="P4406" s="1">
        <v>102</v>
      </c>
      <c r="Q4406" s="1" t="s">
        <v>42</v>
      </c>
      <c r="S4406" s="1" t="s">
        <v>42</v>
      </c>
      <c r="T4406" s="1" t="s">
        <v>273</v>
      </c>
      <c r="U4406" s="1">
        <v>35</v>
      </c>
      <c r="V4406" s="5">
        <v>43353</v>
      </c>
      <c r="W4406" s="5">
        <v>42866</v>
      </c>
      <c r="X4406" s="1">
        <v>2700000</v>
      </c>
      <c r="Y4406" s="1">
        <v>2700000</v>
      </c>
      <c r="Z4406" s="5">
        <v>42902</v>
      </c>
      <c r="AA4406" s="1">
        <v>2758262.07</v>
      </c>
      <c r="AB4406" s="1" t="s">
        <v>3076</v>
      </c>
      <c r="AC4406" s="5">
        <v>43027</v>
      </c>
      <c r="AF4406" s="1">
        <v>10069</v>
      </c>
      <c r="AI4406" s="1" t="s">
        <v>76</v>
      </c>
      <c r="AJ4406" s="1">
        <v>2017</v>
      </c>
      <c r="AK4406" s="1" t="s">
        <v>55</v>
      </c>
      <c r="AL4406" s="1">
        <v>246</v>
      </c>
    </row>
    <row r="4407" spans="1:38" x14ac:dyDescent="0.2">
      <c r="A4407" s="2" t="str">
        <f>HYPERLINK("https://www.compass.com/listing/416-west-52nd-street-unit-400-manhattan-ny-10019/29389266576594161/","416 W 52nd St, Unit 400")</f>
        <v>416 W 52nd St, Unit 400</v>
      </c>
      <c r="B4407" s="2" t="str">
        <f t="shared" ref="B4407:B4410" si="744">HYPERLINK("https://www.compass.com/building/nine52-manhattan-ny/281945622951555813/","Nine52")</f>
        <v>Nine52</v>
      </c>
      <c r="C4407" s="1" t="s">
        <v>90</v>
      </c>
      <c r="D4407" s="1" t="s">
        <v>41</v>
      </c>
      <c r="E4407" s="3">
        <v>1176000</v>
      </c>
      <c r="F4407" s="1">
        <v>1624.3093922651899</v>
      </c>
      <c r="G4407" s="1">
        <v>3</v>
      </c>
      <c r="H4407" s="1">
        <v>1</v>
      </c>
      <c r="I4407" s="1">
        <v>1</v>
      </c>
      <c r="J4407" s="1">
        <v>1</v>
      </c>
      <c r="K4407" s="1">
        <v>1</v>
      </c>
      <c r="M4407" s="1">
        <v>724</v>
      </c>
      <c r="N4407" s="1">
        <v>494</v>
      </c>
      <c r="O4407" s="1">
        <v>1448</v>
      </c>
      <c r="P4407" s="1">
        <v>954</v>
      </c>
      <c r="Q4407" s="1" t="s">
        <v>42</v>
      </c>
      <c r="S4407" s="1" t="s">
        <v>42</v>
      </c>
      <c r="T4407" s="1" t="s">
        <v>273</v>
      </c>
      <c r="U4407" s="1">
        <v>2</v>
      </c>
      <c r="V4407" s="5">
        <v>43641</v>
      </c>
      <c r="W4407" s="5">
        <v>43047</v>
      </c>
      <c r="X4407" s="1">
        <v>1296000</v>
      </c>
      <c r="Y4407" s="1">
        <v>1296000</v>
      </c>
      <c r="Z4407" s="5">
        <v>43049</v>
      </c>
      <c r="AA4407" s="1">
        <v>1176000</v>
      </c>
      <c r="AB4407" s="1" t="s">
        <v>3099</v>
      </c>
      <c r="AC4407" s="5">
        <v>43068</v>
      </c>
      <c r="AF4407" s="1">
        <v>10019</v>
      </c>
      <c r="AI4407" s="1" t="s">
        <v>48</v>
      </c>
      <c r="AJ4407" s="1">
        <v>1940</v>
      </c>
      <c r="AK4407" s="1" t="s">
        <v>108</v>
      </c>
      <c r="AL4407" s="1">
        <v>155</v>
      </c>
    </row>
    <row r="4408" spans="1:38" x14ac:dyDescent="0.2">
      <c r="A4408" s="2" t="str">
        <f>HYPERLINK("https://www.compass.com/listing/416-west-52nd-street-unit-516-manhattan-ny-10019/106205490257653777/","416 W 52nd St, Unit 516")</f>
        <v>416 W 52nd St, Unit 516</v>
      </c>
      <c r="B4408" s="2" t="str">
        <f t="shared" si="744"/>
        <v>Nine52</v>
      </c>
      <c r="C4408" s="1" t="s">
        <v>90</v>
      </c>
      <c r="D4408" s="1" t="s">
        <v>41</v>
      </c>
      <c r="E4408" s="3">
        <v>1054907</v>
      </c>
      <c r="F4408" s="1">
        <v>1729.3557377049101</v>
      </c>
      <c r="H4408" s="1">
        <v>1</v>
      </c>
      <c r="J4408" s="1">
        <v>1</v>
      </c>
      <c r="K4408" s="1">
        <v>1</v>
      </c>
      <c r="M4408" s="1">
        <v>610</v>
      </c>
      <c r="N4408" s="1">
        <v>477</v>
      </c>
      <c r="O4408" s="1">
        <v>1296</v>
      </c>
      <c r="P4408" s="1">
        <v>819</v>
      </c>
      <c r="Q4408" s="1" t="s">
        <v>42</v>
      </c>
      <c r="S4408" s="1" t="s">
        <v>42</v>
      </c>
      <c r="T4408" s="1" t="s">
        <v>273</v>
      </c>
      <c r="AA4408" s="1">
        <v>1054907</v>
      </c>
      <c r="AB4408" s="1" t="s">
        <v>3100</v>
      </c>
      <c r="AC4408" s="5">
        <v>43391</v>
      </c>
      <c r="AF4408" s="1">
        <v>10019</v>
      </c>
      <c r="AI4408" s="1" t="s">
        <v>48</v>
      </c>
      <c r="AJ4408" s="1">
        <v>1940</v>
      </c>
      <c r="AK4408" s="1" t="s">
        <v>55</v>
      </c>
      <c r="AL4408" s="1">
        <v>155</v>
      </c>
    </row>
    <row r="4409" spans="1:38" x14ac:dyDescent="0.2">
      <c r="A4409" s="2" t="str">
        <f>HYPERLINK("https://www.compass.com/listing/416-west-52nd-street-unit-610-manhattan-ny-10019/277083635104904401/","416 W 52nd St, Unit 610")</f>
        <v>416 W 52nd St, Unit 610</v>
      </c>
      <c r="B4409" s="2" t="str">
        <f t="shared" si="744"/>
        <v>Nine52</v>
      </c>
      <c r="C4409" s="1" t="s">
        <v>90</v>
      </c>
      <c r="D4409" s="1" t="s">
        <v>41</v>
      </c>
      <c r="E4409" s="3">
        <v>1072643</v>
      </c>
      <c r="F4409" s="1">
        <v>1770.0383003300301</v>
      </c>
      <c r="H4409" s="1">
        <v>1</v>
      </c>
      <c r="J4409" s="1">
        <v>1</v>
      </c>
      <c r="M4409" s="1">
        <v>606</v>
      </c>
      <c r="N4409" s="1">
        <v>473</v>
      </c>
      <c r="O4409" s="1">
        <v>1322</v>
      </c>
      <c r="P4409" s="1">
        <v>849</v>
      </c>
      <c r="Q4409" s="1" t="s">
        <v>42</v>
      </c>
      <c r="S4409" s="1" t="s">
        <v>42</v>
      </c>
      <c r="T4409" s="1" t="s">
        <v>273</v>
      </c>
      <c r="AA4409" s="1">
        <v>1072643.21</v>
      </c>
      <c r="AB4409" s="1" t="s">
        <v>3101</v>
      </c>
      <c r="AC4409" s="5">
        <v>43539</v>
      </c>
      <c r="AF4409" s="1">
        <v>10019</v>
      </c>
      <c r="AI4409" s="1" t="s">
        <v>48</v>
      </c>
      <c r="AJ4409" s="1">
        <v>1940</v>
      </c>
      <c r="AK4409" s="1" t="s">
        <v>55</v>
      </c>
      <c r="AL4409" s="1">
        <v>155</v>
      </c>
    </row>
    <row r="4410" spans="1:38" x14ac:dyDescent="0.2">
      <c r="A4410" s="2" t="str">
        <f>HYPERLINK("https://www.compass.com/listing/416-west-52nd-street-unit-716-manhattan-ny-10019/483845143456507697/","416 W 52nd St, Unit 716")</f>
        <v>416 W 52nd St, Unit 716</v>
      </c>
      <c r="B4410" s="2" t="str">
        <f t="shared" si="744"/>
        <v>Nine52</v>
      </c>
      <c r="C4410" s="1" t="s">
        <v>90</v>
      </c>
      <c r="D4410" s="1" t="s">
        <v>41</v>
      </c>
      <c r="E4410" s="3">
        <v>1077780</v>
      </c>
      <c r="F4410" s="1">
        <v>1900.8465608465599</v>
      </c>
      <c r="H4410" s="1">
        <v>1</v>
      </c>
      <c r="J4410" s="1">
        <v>1</v>
      </c>
      <c r="K4410" s="1">
        <v>1</v>
      </c>
      <c r="M4410" s="1">
        <v>567</v>
      </c>
      <c r="N4410" s="1">
        <v>443</v>
      </c>
      <c r="O4410" s="1">
        <v>1204</v>
      </c>
      <c r="P4410" s="1">
        <v>761</v>
      </c>
      <c r="Q4410" s="1" t="s">
        <v>42</v>
      </c>
      <c r="S4410" s="1" t="s">
        <v>42</v>
      </c>
      <c r="T4410" s="1" t="s">
        <v>273</v>
      </c>
      <c r="AA4410" s="1">
        <v>1077780</v>
      </c>
      <c r="AB4410" s="1" t="s">
        <v>3102</v>
      </c>
      <c r="AC4410" s="5">
        <v>43187</v>
      </c>
      <c r="AF4410" s="1">
        <v>10019</v>
      </c>
      <c r="AI4410" s="1" t="s">
        <v>48</v>
      </c>
      <c r="AJ4410" s="1">
        <v>1940</v>
      </c>
      <c r="AK4410" s="1" t="s">
        <v>55</v>
      </c>
      <c r="AL4410" s="1">
        <v>155</v>
      </c>
    </row>
    <row r="4411" spans="1:38" x14ac:dyDescent="0.2">
      <c r="A4411" s="2" t="str">
        <f>HYPERLINK("https://www.compass.com/listing/1-west-end-avenue-unit-9d-manhattan-ny-10069/29397348765403377/","1 W End Ave, Unit 9D")</f>
        <v>1 W End Ave, Unit 9D</v>
      </c>
      <c r="B4411" s="2" t="str">
        <f>HYPERLINK("https://www.compass.com/building/1-w-end-ave-manhattan-ny-10069/455676159137755317/","1 W End Ave")</f>
        <v>1 W End Ave</v>
      </c>
      <c r="C4411" s="1" t="s">
        <v>57</v>
      </c>
      <c r="D4411" s="1" t="s">
        <v>41</v>
      </c>
      <c r="E4411" s="3">
        <v>3661972</v>
      </c>
      <c r="F4411" s="1">
        <v>1914.2561421850401</v>
      </c>
      <c r="G4411" s="1">
        <v>5</v>
      </c>
      <c r="H4411" s="1">
        <v>3</v>
      </c>
      <c r="I4411" s="1">
        <v>2</v>
      </c>
      <c r="J4411" s="1">
        <v>2.5</v>
      </c>
      <c r="K4411" s="1">
        <v>2</v>
      </c>
      <c r="L4411" s="1">
        <v>1</v>
      </c>
      <c r="M4411" s="4">
        <v>1913</v>
      </c>
      <c r="N4411" s="1">
        <v>2262</v>
      </c>
      <c r="O4411" s="1">
        <v>2398</v>
      </c>
      <c r="P4411" s="1">
        <v>136</v>
      </c>
      <c r="Q4411" s="1" t="s">
        <v>42</v>
      </c>
      <c r="S4411" s="1" t="s">
        <v>42</v>
      </c>
      <c r="T4411" s="1" t="s">
        <v>273</v>
      </c>
      <c r="V4411" s="5">
        <v>43670</v>
      </c>
      <c r="W4411" s="5">
        <v>42369</v>
      </c>
      <c r="X4411" s="1">
        <v>3585000</v>
      </c>
      <c r="Y4411" s="1">
        <v>3585000</v>
      </c>
      <c r="Z4411" s="5">
        <v>42369</v>
      </c>
      <c r="AA4411" s="1">
        <v>3661972</v>
      </c>
      <c r="AB4411" s="1" t="s">
        <v>3103</v>
      </c>
      <c r="AC4411" s="5">
        <v>43007</v>
      </c>
      <c r="AF4411" s="1">
        <v>10069</v>
      </c>
      <c r="AI4411" s="1" t="s">
        <v>60</v>
      </c>
      <c r="AJ4411" s="1">
        <v>2017</v>
      </c>
      <c r="AK4411" s="1" t="s">
        <v>108</v>
      </c>
      <c r="AL4411" s="1">
        <v>246</v>
      </c>
    </row>
    <row r="4412" spans="1:38" x14ac:dyDescent="0.2">
      <c r="A4412" s="2" t="str">
        <f>HYPERLINK("https://www.compass.com/listing/425-west-50th-street-unit-11g-manhattan-ny-10019/29389209408229601/","425 W 50th St, Unit 11G")</f>
        <v>425 W 50th St, Unit 11G</v>
      </c>
      <c r="B4412" s="2" t="str">
        <f>HYPERLINK("https://www.compass.com/building/stella-tower-manhattan-ny/281945855710262181/","Stella Tower")</f>
        <v>Stella Tower</v>
      </c>
      <c r="C4412" s="1" t="s">
        <v>90</v>
      </c>
      <c r="D4412" s="1" t="s">
        <v>41</v>
      </c>
      <c r="E4412" s="3">
        <v>3923262</v>
      </c>
      <c r="F4412" s="1">
        <v>2086.8414893617</v>
      </c>
      <c r="G4412" s="1">
        <v>4</v>
      </c>
      <c r="H4412" s="1">
        <v>2</v>
      </c>
      <c r="I4412" s="1">
        <v>3</v>
      </c>
      <c r="J4412" s="1">
        <v>0.5</v>
      </c>
      <c r="L4412" s="1">
        <v>1</v>
      </c>
      <c r="M4412" s="4">
        <v>1880</v>
      </c>
      <c r="N4412" s="1">
        <v>2126</v>
      </c>
      <c r="O4412" s="1">
        <v>3428</v>
      </c>
      <c r="P4412" s="1">
        <v>1302</v>
      </c>
      <c r="Q4412" s="1" t="s">
        <v>42</v>
      </c>
      <c r="S4412" s="1" t="s">
        <v>42</v>
      </c>
      <c r="T4412" s="1" t="s">
        <v>273</v>
      </c>
      <c r="U4412" s="1">
        <v>7</v>
      </c>
      <c r="V4412" s="5">
        <v>43661</v>
      </c>
      <c r="W4412" s="5">
        <v>42462</v>
      </c>
      <c r="X4412" s="1">
        <v>4250000</v>
      </c>
      <c r="Y4412" s="1">
        <v>4250000</v>
      </c>
      <c r="Z4412" s="5">
        <v>42469</v>
      </c>
      <c r="AA4412" s="1">
        <v>3923262</v>
      </c>
      <c r="AB4412" s="1" t="s">
        <v>3104</v>
      </c>
      <c r="AC4412" s="5">
        <v>42536</v>
      </c>
      <c r="AF4412" s="1">
        <v>10019</v>
      </c>
      <c r="AI4412" s="1" t="s">
        <v>80</v>
      </c>
      <c r="AJ4412" s="1">
        <v>1930</v>
      </c>
      <c r="AK4412" s="1" t="s">
        <v>46</v>
      </c>
      <c r="AL4412" s="1">
        <v>51</v>
      </c>
    </row>
    <row r="4413" spans="1:38" x14ac:dyDescent="0.2">
      <c r="A4413" s="2" t="str">
        <f>HYPERLINK("https://www.compass.com/listing/1-west-end-avenue-unit-11d-manhattan-ny-10069/29397349562415633/","1 W End Ave, Unit 11D")</f>
        <v>1 W End Ave, Unit 11D</v>
      </c>
      <c r="B4413" s="2" t="str">
        <f>HYPERLINK("https://www.compass.com/building/1-w-end-ave-manhattan-ny-10069/455676159137755317/","1 W End Ave")</f>
        <v>1 W End Ave</v>
      </c>
      <c r="C4413" s="1" t="s">
        <v>57</v>
      </c>
      <c r="D4413" s="1" t="s">
        <v>41</v>
      </c>
      <c r="E4413" s="3">
        <v>3678609</v>
      </c>
      <c r="F4413" s="1">
        <v>1826.51886792452</v>
      </c>
      <c r="G4413" s="1">
        <v>5</v>
      </c>
      <c r="H4413" s="1">
        <v>3</v>
      </c>
      <c r="I4413" s="1">
        <v>3</v>
      </c>
      <c r="J4413" s="1">
        <v>3.5</v>
      </c>
      <c r="K4413" s="1">
        <v>3</v>
      </c>
      <c r="L4413" s="1">
        <v>1</v>
      </c>
      <c r="M4413" s="4">
        <v>2014</v>
      </c>
      <c r="N4413" s="1">
        <v>2346</v>
      </c>
      <c r="O4413" s="1">
        <v>2487</v>
      </c>
      <c r="P4413" s="1">
        <v>141</v>
      </c>
      <c r="Q4413" s="1" t="s">
        <v>42</v>
      </c>
      <c r="S4413" s="1" t="s">
        <v>42</v>
      </c>
      <c r="T4413" s="1" t="s">
        <v>273</v>
      </c>
      <c r="U4413" s="1">
        <v>37</v>
      </c>
      <c r="V4413" s="5">
        <v>43630</v>
      </c>
      <c r="W4413" s="5">
        <v>42472</v>
      </c>
      <c r="X4413" s="1">
        <v>3780000</v>
      </c>
      <c r="Y4413" s="1">
        <v>3780000</v>
      </c>
      <c r="Z4413" s="5">
        <v>42509</v>
      </c>
      <c r="AA4413" s="1">
        <v>3678609</v>
      </c>
      <c r="AB4413" s="1" t="s">
        <v>3105</v>
      </c>
      <c r="AC4413" s="5">
        <v>43042</v>
      </c>
      <c r="AF4413" s="1">
        <v>10069</v>
      </c>
      <c r="AI4413" s="1" t="s">
        <v>60</v>
      </c>
      <c r="AJ4413" s="1">
        <v>2017</v>
      </c>
      <c r="AK4413" s="1" t="s">
        <v>108</v>
      </c>
      <c r="AL4413" s="1">
        <v>246</v>
      </c>
    </row>
    <row r="4414" spans="1:38" x14ac:dyDescent="0.2">
      <c r="A4414" s="2" t="str">
        <f>HYPERLINK("https://www.compass.com/listing/425-west-50th-street-unit-15b-manhattan-ny-10019/4852316821698648065/","425 W 50th St, Unit 15B")</f>
        <v>425 W 50th St, Unit 15B</v>
      </c>
      <c r="B4414" s="2" t="str">
        <f>HYPERLINK("https://www.compass.com/building/stella-tower-manhattan-ny/281945855710262181/","Stella Tower")</f>
        <v>Stella Tower</v>
      </c>
      <c r="C4414" s="1" t="s">
        <v>90</v>
      </c>
      <c r="D4414" s="1" t="s">
        <v>41</v>
      </c>
      <c r="E4414" s="3">
        <v>3462050</v>
      </c>
      <c r="F4414" s="1">
        <v>2485.3194544149301</v>
      </c>
      <c r="G4414" s="1">
        <v>4</v>
      </c>
      <c r="H4414" s="1">
        <v>2</v>
      </c>
      <c r="I4414" s="1">
        <v>3</v>
      </c>
      <c r="J4414" s="1">
        <v>2.5</v>
      </c>
      <c r="M4414" s="4">
        <v>1393</v>
      </c>
      <c r="N4414" s="1">
        <v>1623</v>
      </c>
      <c r="O4414" s="1">
        <v>2617</v>
      </c>
      <c r="P4414" s="1">
        <v>994</v>
      </c>
      <c r="Q4414" s="1" t="s">
        <v>42</v>
      </c>
      <c r="S4414" s="1" t="s">
        <v>42</v>
      </c>
      <c r="T4414" s="1" t="s">
        <v>273</v>
      </c>
      <c r="V4414" s="5">
        <v>43654</v>
      </c>
      <c r="W4414" s="5">
        <v>41976</v>
      </c>
      <c r="X4414" s="1">
        <v>3400000</v>
      </c>
      <c r="Y4414" s="1">
        <v>3400000</v>
      </c>
      <c r="Z4414" s="5">
        <v>41976</v>
      </c>
      <c r="AA4414" s="1">
        <v>3462050</v>
      </c>
      <c r="AB4414" s="1" t="s">
        <v>275</v>
      </c>
      <c r="AC4414" s="5">
        <v>42012</v>
      </c>
      <c r="AF4414" s="1">
        <v>10019</v>
      </c>
      <c r="AI4414" s="1" t="s">
        <v>3106</v>
      </c>
      <c r="AJ4414" s="1">
        <v>1930</v>
      </c>
      <c r="AK4414" s="1" t="s">
        <v>46</v>
      </c>
      <c r="AL4414" s="1">
        <v>51</v>
      </c>
    </row>
    <row r="4415" spans="1:38" x14ac:dyDescent="0.2">
      <c r="A4415" s="2" t="str">
        <f>HYPERLINK("https://www.compass.com/listing/305-west-150th-street-unit-105-manhattan-ny-10039/293365214311634721/","305 W 150th St, Unit 105")</f>
        <v>305 W 150th St, Unit 105</v>
      </c>
      <c r="B4415" s="2" t="str">
        <f t="shared" ref="B4415:B4416" si="745">HYPERLINK("https://www.compass.com/building/305-w-150th-st-manhattan-ny-10039/282032234968400245/","305 W 150th St")</f>
        <v>305 W 150th St</v>
      </c>
      <c r="C4415" s="1" t="s">
        <v>84</v>
      </c>
      <c r="D4415" s="1" t="s">
        <v>41</v>
      </c>
      <c r="E4415" s="3">
        <v>361491</v>
      </c>
      <c r="F4415" s="1">
        <v>612.69661016949101</v>
      </c>
      <c r="G4415" s="1">
        <v>3</v>
      </c>
      <c r="H4415" s="1">
        <v>1</v>
      </c>
      <c r="I4415" s="1">
        <v>1</v>
      </c>
      <c r="J4415" s="1">
        <v>1</v>
      </c>
      <c r="M4415" s="1">
        <v>590</v>
      </c>
      <c r="N4415" s="1">
        <v>300.82</v>
      </c>
      <c r="O4415" s="1">
        <v>553.49</v>
      </c>
      <c r="P4415" s="1">
        <v>252.666666666666</v>
      </c>
      <c r="Q4415" s="1" t="s">
        <v>42</v>
      </c>
      <c r="S4415" s="1" t="s">
        <v>42</v>
      </c>
      <c r="T4415" s="1" t="s">
        <v>273</v>
      </c>
      <c r="V4415" s="5">
        <v>41640</v>
      </c>
      <c r="Y4415" s="1">
        <v>356500</v>
      </c>
      <c r="Z4415" s="5">
        <v>42105</v>
      </c>
      <c r="AA4415" s="1">
        <v>361491</v>
      </c>
      <c r="AB4415" s="1" t="s">
        <v>3107</v>
      </c>
      <c r="AC4415" s="5">
        <v>42181</v>
      </c>
      <c r="AF4415" s="1">
        <v>10039</v>
      </c>
      <c r="AJ4415" s="1">
        <v>1921</v>
      </c>
      <c r="AK4415" s="1" t="s">
        <v>73</v>
      </c>
      <c r="AL4415" s="1">
        <v>84</v>
      </c>
    </row>
    <row r="4416" spans="1:38" x14ac:dyDescent="0.2">
      <c r="A4416" s="2" t="str">
        <f>HYPERLINK("https://www.compass.com/listing/305-west-150th-street-unit-202-manhattan-ny-10039/293384346218289969/","305 W 150th St, Unit 202")</f>
        <v>305 W 150th St, Unit 202</v>
      </c>
      <c r="B4416" s="2" t="str">
        <f t="shared" si="745"/>
        <v>305 W 150th St</v>
      </c>
      <c r="C4416" s="1" t="s">
        <v>84</v>
      </c>
      <c r="D4416" s="1" t="s">
        <v>41</v>
      </c>
      <c r="E4416" s="3">
        <v>366054</v>
      </c>
      <c r="F4416" s="1">
        <v>623.60136286200998</v>
      </c>
      <c r="G4416" s="1">
        <v>3</v>
      </c>
      <c r="H4416" s="1">
        <v>1</v>
      </c>
      <c r="I4416" s="1">
        <v>1</v>
      </c>
      <c r="J4416" s="1">
        <v>1</v>
      </c>
      <c r="M4416" s="1">
        <v>587</v>
      </c>
      <c r="N4416" s="1">
        <v>300.82</v>
      </c>
      <c r="O4416" s="1">
        <v>553.49</v>
      </c>
      <c r="P4416" s="1">
        <v>252.666666666666</v>
      </c>
      <c r="Q4416" s="1" t="s">
        <v>42</v>
      </c>
      <c r="S4416" s="1" t="s">
        <v>42</v>
      </c>
      <c r="T4416" s="1" t="s">
        <v>273</v>
      </c>
      <c r="V4416" s="5">
        <v>41640</v>
      </c>
      <c r="Y4416" s="1">
        <v>361000</v>
      </c>
      <c r="Z4416" s="5">
        <v>42105</v>
      </c>
      <c r="AA4416" s="1">
        <v>366054</v>
      </c>
      <c r="AB4416" s="1" t="s">
        <v>3108</v>
      </c>
      <c r="AC4416" s="5">
        <v>42174</v>
      </c>
      <c r="AF4416" s="1">
        <v>10039</v>
      </c>
      <c r="AI4416" s="1" t="s">
        <v>177</v>
      </c>
      <c r="AJ4416" s="1">
        <v>1921</v>
      </c>
      <c r="AK4416" s="1" t="s">
        <v>73</v>
      </c>
      <c r="AL4416" s="1">
        <v>84</v>
      </c>
    </row>
    <row r="4417" spans="1:38" x14ac:dyDescent="0.2">
      <c r="A4417" s="2" t="str">
        <f>HYPERLINK("https://www.compass.com/listing/425-west-50th-street-unit-10c-manhattan-ny-10019/29389203125094545/","425 W 50th St, Unit 10C")</f>
        <v>425 W 50th St, Unit 10C</v>
      </c>
      <c r="B4417" s="2" t="str">
        <f t="shared" ref="B4417:B4418" si="746">HYPERLINK("https://www.compass.com/building/stella-tower-manhattan-ny/281945855710262181/","Stella Tower")</f>
        <v>Stella Tower</v>
      </c>
      <c r="C4417" s="1" t="s">
        <v>90</v>
      </c>
      <c r="D4417" s="1" t="s">
        <v>41</v>
      </c>
      <c r="E4417" s="3">
        <v>4734863</v>
      </c>
      <c r="F4417" s="1">
        <v>2685.6849120816701</v>
      </c>
      <c r="G4417" s="1">
        <v>4</v>
      </c>
      <c r="H4417" s="1">
        <v>2</v>
      </c>
      <c r="I4417" s="1">
        <v>3</v>
      </c>
      <c r="J4417" s="1">
        <v>0.5</v>
      </c>
      <c r="L4417" s="1">
        <v>1</v>
      </c>
      <c r="M4417" s="4">
        <v>1763</v>
      </c>
      <c r="N4417" s="1">
        <v>2088</v>
      </c>
      <c r="O4417" s="1">
        <v>3367</v>
      </c>
      <c r="P4417" s="1">
        <v>1279</v>
      </c>
      <c r="Q4417" s="1" t="s">
        <v>42</v>
      </c>
      <c r="S4417" s="1" t="s">
        <v>42</v>
      </c>
      <c r="T4417" s="1" t="s">
        <v>273</v>
      </c>
      <c r="U4417" s="1">
        <v>149</v>
      </c>
      <c r="V4417" s="5">
        <v>43267</v>
      </c>
      <c r="W4417" s="5">
        <v>42261</v>
      </c>
      <c r="X4417" s="1">
        <v>4995000</v>
      </c>
      <c r="Y4417" s="1">
        <v>4995000</v>
      </c>
      <c r="AA4417" s="1">
        <v>4734862.5</v>
      </c>
      <c r="AB4417" s="1" t="s">
        <v>3109</v>
      </c>
      <c r="AC4417" s="5">
        <v>42410</v>
      </c>
      <c r="AF4417" s="1">
        <v>10019</v>
      </c>
      <c r="AI4417" s="1" t="s">
        <v>152</v>
      </c>
      <c r="AJ4417" s="1">
        <v>1930</v>
      </c>
      <c r="AK4417" s="1" t="s">
        <v>46</v>
      </c>
      <c r="AL4417" s="1">
        <v>51</v>
      </c>
    </row>
    <row r="4418" spans="1:38" x14ac:dyDescent="0.2">
      <c r="A4418" s="2" t="str">
        <f>HYPERLINK("https://www.compass.com/listing/425-west-50th-street-unit-12a-manhattan-ny-10019/29389211253655857/","425 W 50th St, Unit 12A")</f>
        <v>425 W 50th St, Unit 12A</v>
      </c>
      <c r="B4418" s="2" t="str">
        <f t="shared" si="746"/>
        <v>Stella Tower</v>
      </c>
      <c r="C4418" s="1" t="s">
        <v>90</v>
      </c>
      <c r="D4418" s="1" t="s">
        <v>41</v>
      </c>
      <c r="E4418" s="3">
        <v>3767525</v>
      </c>
      <c r="F4418" s="1">
        <v>2086.1157253599099</v>
      </c>
      <c r="G4418" s="1">
        <v>4</v>
      </c>
      <c r="H4418" s="1">
        <v>2</v>
      </c>
      <c r="I4418" s="1">
        <v>2</v>
      </c>
      <c r="J4418" s="1">
        <v>2</v>
      </c>
      <c r="M4418" s="4">
        <v>1806</v>
      </c>
      <c r="N4418" s="1">
        <v>2045</v>
      </c>
      <c r="O4418" s="1">
        <v>3297</v>
      </c>
      <c r="P4418" s="1">
        <v>1252</v>
      </c>
      <c r="Q4418" s="1" t="s">
        <v>42</v>
      </c>
      <c r="S4418" s="1" t="s">
        <v>42</v>
      </c>
      <c r="T4418" s="1" t="s">
        <v>273</v>
      </c>
      <c r="U4418" s="1">
        <v>132</v>
      </c>
      <c r="V4418" s="5">
        <v>43670</v>
      </c>
      <c r="W4418" s="5">
        <v>41860</v>
      </c>
      <c r="X4418" s="1">
        <v>3700000</v>
      </c>
      <c r="Y4418" s="1">
        <v>3700000</v>
      </c>
      <c r="AA4418" s="1">
        <v>3767525</v>
      </c>
      <c r="AB4418" s="1" t="s">
        <v>3110</v>
      </c>
      <c r="AC4418" s="5">
        <v>42053</v>
      </c>
      <c r="AF4418" s="1">
        <v>10019</v>
      </c>
      <c r="AI4418" s="1" t="s">
        <v>80</v>
      </c>
      <c r="AJ4418" s="1">
        <v>1930</v>
      </c>
      <c r="AK4418" s="1" t="s">
        <v>46</v>
      </c>
      <c r="AL4418" s="1">
        <v>51</v>
      </c>
    </row>
    <row r="4419" spans="1:38" x14ac:dyDescent="0.2">
      <c r="A4419" s="2" t="str">
        <f>HYPERLINK("https://www.compass.com/listing/416-west-52nd-street-unit-412-manhattan-ny-10019/29389269235782929/","416 W 52nd St, Unit 412")</f>
        <v>416 W 52nd St, Unit 412</v>
      </c>
      <c r="B4419" s="2" t="str">
        <f>HYPERLINK("https://www.compass.com/building/nine52-manhattan-ny/281945622951555813/","Nine52")</f>
        <v>Nine52</v>
      </c>
      <c r="C4419" s="1" t="s">
        <v>90</v>
      </c>
      <c r="D4419" s="1" t="s">
        <v>41</v>
      </c>
      <c r="E4419" s="3">
        <v>2553771</v>
      </c>
      <c r="F4419" s="1">
        <v>1323.88335925349</v>
      </c>
      <c r="G4419" s="1">
        <v>5</v>
      </c>
      <c r="H4419" s="1">
        <v>3</v>
      </c>
      <c r="I4419" s="1">
        <v>3</v>
      </c>
      <c r="J4419" s="1">
        <v>2</v>
      </c>
      <c r="K4419" s="1">
        <v>2</v>
      </c>
      <c r="M4419" s="4">
        <v>1929</v>
      </c>
      <c r="N4419" s="1">
        <v>1315</v>
      </c>
      <c r="O4419" s="1">
        <v>3857</v>
      </c>
      <c r="P4419" s="1">
        <v>2542</v>
      </c>
      <c r="Q4419" s="1" t="s">
        <v>42</v>
      </c>
      <c r="S4419" s="1" t="s">
        <v>42</v>
      </c>
      <c r="T4419" s="1" t="s">
        <v>273</v>
      </c>
      <c r="U4419" s="1">
        <v>131</v>
      </c>
      <c r="V4419" s="5">
        <v>43806</v>
      </c>
      <c r="W4419" s="5">
        <v>42839</v>
      </c>
      <c r="X4419" s="1">
        <v>2525000</v>
      </c>
      <c r="Y4419" s="1">
        <v>2525000</v>
      </c>
      <c r="Z4419" s="5">
        <v>43046</v>
      </c>
      <c r="AA4419" s="1">
        <v>2553771</v>
      </c>
      <c r="AB4419" s="1" t="s">
        <v>3111</v>
      </c>
      <c r="AC4419" s="5">
        <v>43119</v>
      </c>
      <c r="AF4419" s="1">
        <v>10019</v>
      </c>
      <c r="AI4419" s="1" t="s">
        <v>48</v>
      </c>
      <c r="AJ4419" s="1">
        <v>1940</v>
      </c>
      <c r="AK4419" s="1" t="s">
        <v>108</v>
      </c>
      <c r="AL4419" s="1">
        <v>155</v>
      </c>
    </row>
    <row r="4420" spans="1:38" x14ac:dyDescent="0.2">
      <c r="A4420" s="2" t="str">
        <f>HYPERLINK("https://www.compass.com/listing/70-west-139th-street-unit-1g-manhattan-ny-10037/29676889077471777/","70 W 139th St, Unit 1G")</f>
        <v>70 W 139th St, Unit 1G</v>
      </c>
      <c r="B4420" s="2" t="str">
        <f>HYPERLINK("https://www.compass.com/building/70-w-139th-st-manhattan-ny-10037/292920118235647477/","70 W 139th St")</f>
        <v>70 W 139th St</v>
      </c>
      <c r="C4420" s="1" t="s">
        <v>85</v>
      </c>
      <c r="D4420" s="1" t="s">
        <v>41</v>
      </c>
      <c r="E4420" s="3">
        <v>595000</v>
      </c>
      <c r="F4420" s="1">
        <v>873.71512481644595</v>
      </c>
      <c r="G4420" s="1">
        <v>3</v>
      </c>
      <c r="H4420" s="1">
        <v>1</v>
      </c>
      <c r="I4420" s="1">
        <v>1</v>
      </c>
      <c r="J4420" s="1">
        <v>1</v>
      </c>
      <c r="K4420" s="1">
        <v>1</v>
      </c>
      <c r="M4420" s="1">
        <v>681</v>
      </c>
      <c r="N4420" s="1">
        <v>482</v>
      </c>
      <c r="O4420" s="1">
        <v>513</v>
      </c>
      <c r="P4420" s="1">
        <v>31</v>
      </c>
      <c r="Q4420" s="1" t="s">
        <v>42</v>
      </c>
      <c r="S4420" s="1" t="s">
        <v>42</v>
      </c>
      <c r="T4420" s="1" t="s">
        <v>273</v>
      </c>
      <c r="U4420" s="1">
        <v>303</v>
      </c>
      <c r="V4420" s="5">
        <v>43638</v>
      </c>
      <c r="W4420" s="5">
        <v>43178</v>
      </c>
      <c r="X4420" s="1">
        <v>595000</v>
      </c>
      <c r="Y4420" s="1">
        <v>595000</v>
      </c>
      <c r="Z4420" s="5">
        <v>43543</v>
      </c>
      <c r="AA4420" s="1">
        <v>595000</v>
      </c>
      <c r="AB4420" s="1" t="s">
        <v>3112</v>
      </c>
      <c r="AC4420" s="5">
        <v>43571</v>
      </c>
      <c r="AF4420" s="1">
        <v>10037</v>
      </c>
      <c r="AI4420" s="1" t="s">
        <v>110</v>
      </c>
      <c r="AJ4420" s="1">
        <v>2018</v>
      </c>
      <c r="AK4420" s="1" t="s">
        <v>108</v>
      </c>
      <c r="AL4420" s="1">
        <v>64</v>
      </c>
    </row>
    <row r="4421" spans="1:38" x14ac:dyDescent="0.2">
      <c r="A4421" s="2" t="str">
        <f>HYPERLINK("https://www.compass.com/listing/416-west-52nd-street-unit-420-manhattan-ny-10019/114906260683483697/","416 W 52nd St, Unit 420")</f>
        <v>416 W 52nd St, Unit 420</v>
      </c>
      <c r="B4421" s="2" t="str">
        <f t="shared" ref="B4421:B4439" si="747">HYPERLINK("https://www.compass.com/building/nine52-manhattan-ny/281945622951555813/","Nine52")</f>
        <v>Nine52</v>
      </c>
      <c r="C4421" s="1" t="s">
        <v>90</v>
      </c>
      <c r="D4421" s="1" t="s">
        <v>41</v>
      </c>
      <c r="E4421" s="3">
        <v>1350200</v>
      </c>
      <c r="F4421" s="1">
        <v>1646.5847560975601</v>
      </c>
      <c r="H4421" s="1">
        <v>1</v>
      </c>
      <c r="J4421" s="1">
        <v>1</v>
      </c>
      <c r="K4421" s="1">
        <v>1</v>
      </c>
      <c r="M4421" s="1">
        <v>820</v>
      </c>
      <c r="N4421" s="1">
        <v>559</v>
      </c>
      <c r="O4421" s="1">
        <v>1640</v>
      </c>
      <c r="P4421" s="1">
        <v>1081</v>
      </c>
      <c r="Q4421" s="1" t="s">
        <v>42</v>
      </c>
      <c r="S4421" s="1" t="s">
        <v>42</v>
      </c>
      <c r="T4421" s="1" t="s">
        <v>273</v>
      </c>
      <c r="AA4421" s="1">
        <v>1350199.5</v>
      </c>
      <c r="AB4421" s="1" t="s">
        <v>3113</v>
      </c>
      <c r="AC4421" s="5">
        <v>43404</v>
      </c>
      <c r="AF4421" s="1">
        <v>10019</v>
      </c>
      <c r="AI4421" s="1" t="s">
        <v>48</v>
      </c>
      <c r="AJ4421" s="1">
        <v>1940</v>
      </c>
      <c r="AK4421" s="1" t="s">
        <v>55</v>
      </c>
      <c r="AL4421" s="1">
        <v>155</v>
      </c>
    </row>
    <row r="4422" spans="1:38" x14ac:dyDescent="0.2">
      <c r="A4422" s="2" t="str">
        <f>HYPERLINK("https://www.compass.com/listing/416-west-52nd-street-unit-420-manhattan-ny-10019/29389271265758705/","416 W 52nd St, Unit 420")</f>
        <v>416 W 52nd St, Unit 420</v>
      </c>
      <c r="B4422" s="2" t="str">
        <f t="shared" si="747"/>
        <v>Nine52</v>
      </c>
      <c r="C4422" s="1" t="s">
        <v>90</v>
      </c>
      <c r="D4422" s="1" t="s">
        <v>41</v>
      </c>
      <c r="E4422" s="3">
        <v>1311000</v>
      </c>
      <c r="F4422" s="1">
        <v>1598.7804878048701</v>
      </c>
      <c r="G4422" s="1">
        <v>3</v>
      </c>
      <c r="H4422" s="1">
        <v>1</v>
      </c>
      <c r="I4422" s="1">
        <v>1</v>
      </c>
      <c r="J4422" s="1">
        <v>1</v>
      </c>
      <c r="K4422" s="1">
        <v>1</v>
      </c>
      <c r="M4422" s="1">
        <v>820</v>
      </c>
      <c r="N4422" s="1">
        <v>559</v>
      </c>
      <c r="O4422" s="1">
        <v>1640</v>
      </c>
      <c r="P4422" s="1">
        <v>1081</v>
      </c>
      <c r="Q4422" s="1" t="s">
        <v>42</v>
      </c>
      <c r="S4422" s="1" t="s">
        <v>42</v>
      </c>
      <c r="T4422" s="1" t="s">
        <v>273</v>
      </c>
      <c r="U4422" s="1">
        <v>2</v>
      </c>
      <c r="V4422" s="5">
        <v>43643</v>
      </c>
      <c r="W4422" s="5">
        <v>43047</v>
      </c>
      <c r="X4422" s="1">
        <v>1338000</v>
      </c>
      <c r="Y4422" s="1">
        <v>1338000</v>
      </c>
      <c r="Z4422" s="5">
        <v>43049</v>
      </c>
      <c r="AA4422" s="1">
        <v>1311000</v>
      </c>
      <c r="AB4422" s="1" t="s">
        <v>3114</v>
      </c>
      <c r="AC4422" s="5">
        <v>43061</v>
      </c>
      <c r="AF4422" s="1">
        <v>10019</v>
      </c>
      <c r="AI4422" s="1" t="s">
        <v>48</v>
      </c>
      <c r="AJ4422" s="1">
        <v>1940</v>
      </c>
      <c r="AK4422" s="1" t="s">
        <v>108</v>
      </c>
      <c r="AL4422" s="1">
        <v>155</v>
      </c>
    </row>
    <row r="4423" spans="1:38" x14ac:dyDescent="0.2">
      <c r="A4423" s="2" t="str">
        <f>HYPERLINK("https://www.compass.com/listing/416-west-52nd-street-unit-417-manhattan-ny-10019/29389275401399825/","416 W 52nd St, Unit 417")</f>
        <v>416 W 52nd St, Unit 417</v>
      </c>
      <c r="B4423" s="2" t="str">
        <f t="shared" si="747"/>
        <v>Nine52</v>
      </c>
      <c r="C4423" s="1" t="s">
        <v>90</v>
      </c>
      <c r="D4423" s="1" t="s">
        <v>41</v>
      </c>
      <c r="E4423" s="3">
        <v>1361400</v>
      </c>
      <c r="F4423" s="1">
        <v>1646.19135429262</v>
      </c>
      <c r="H4423" s="1">
        <v>1</v>
      </c>
      <c r="J4423" s="1">
        <v>1</v>
      </c>
      <c r="K4423" s="1">
        <v>1</v>
      </c>
      <c r="M4423" s="1">
        <v>827</v>
      </c>
      <c r="N4423" s="1">
        <v>563</v>
      </c>
      <c r="O4423" s="1">
        <v>1652</v>
      </c>
      <c r="P4423" s="1">
        <v>1089</v>
      </c>
      <c r="Q4423" s="1" t="s">
        <v>42</v>
      </c>
      <c r="S4423" s="1" t="s">
        <v>42</v>
      </c>
      <c r="T4423" s="1" t="s">
        <v>273</v>
      </c>
      <c r="AA4423" s="1">
        <v>1361400.25</v>
      </c>
      <c r="AB4423" s="1" t="s">
        <v>3115</v>
      </c>
      <c r="AC4423" s="5">
        <v>43278</v>
      </c>
      <c r="AF4423" s="1">
        <v>10019</v>
      </c>
      <c r="AI4423" s="1" t="s">
        <v>48</v>
      </c>
      <c r="AJ4423" s="1">
        <v>1940</v>
      </c>
      <c r="AK4423" s="1" t="s">
        <v>55</v>
      </c>
      <c r="AL4423" s="1">
        <v>155</v>
      </c>
    </row>
    <row r="4424" spans="1:38" x14ac:dyDescent="0.2">
      <c r="A4424" s="2" t="str">
        <f>HYPERLINK("https://www.compass.com/listing/416-west-52nd-street-unit-520-manhattan-ny-10019/29389278035432865/","416 W 52nd St, Unit 520")</f>
        <v>416 W 52nd St, Unit 520</v>
      </c>
      <c r="B4424" s="2" t="str">
        <f t="shared" si="747"/>
        <v>Nine52</v>
      </c>
      <c r="C4424" s="1" t="s">
        <v>90</v>
      </c>
      <c r="D4424" s="1" t="s">
        <v>41</v>
      </c>
      <c r="E4424" s="3">
        <v>1331000</v>
      </c>
      <c r="G4424" s="1">
        <v>3</v>
      </c>
      <c r="H4424" s="1">
        <v>1</v>
      </c>
      <c r="I4424" s="1">
        <v>1</v>
      </c>
      <c r="J4424" s="1">
        <v>1</v>
      </c>
      <c r="K4424" s="1">
        <v>1</v>
      </c>
      <c r="N4424" s="1">
        <v>494</v>
      </c>
      <c r="O4424" s="1">
        <v>1448</v>
      </c>
      <c r="P4424" s="1">
        <v>954</v>
      </c>
      <c r="Q4424" s="1" t="s">
        <v>42</v>
      </c>
      <c r="S4424" s="1" t="s">
        <v>42</v>
      </c>
      <c r="T4424" s="1" t="s">
        <v>273</v>
      </c>
      <c r="U4424" s="1">
        <v>2</v>
      </c>
      <c r="V4424" s="5">
        <v>43649</v>
      </c>
      <c r="W4424" s="5">
        <v>43047</v>
      </c>
      <c r="X4424" s="1">
        <v>1363000</v>
      </c>
      <c r="Y4424" s="1">
        <v>1363000</v>
      </c>
      <c r="Z4424" s="5">
        <v>43049</v>
      </c>
      <c r="AA4424" s="1">
        <v>1331000</v>
      </c>
      <c r="AB4424" s="1" t="s">
        <v>3116</v>
      </c>
      <c r="AC4424" s="5">
        <v>43068</v>
      </c>
      <c r="AF4424" s="1">
        <v>10019</v>
      </c>
      <c r="AI4424" s="1" t="s">
        <v>48</v>
      </c>
      <c r="AJ4424" s="1">
        <v>1940</v>
      </c>
      <c r="AK4424" s="1" t="s">
        <v>108</v>
      </c>
      <c r="AL4424" s="1">
        <v>155</v>
      </c>
    </row>
    <row r="4425" spans="1:38" x14ac:dyDescent="0.2">
      <c r="A4425" s="2" t="str">
        <f>HYPERLINK("https://www.compass.com/listing/416-west-52nd-street-unit-602-manhattan-ny-10019/64900838316877313/","416 W 52nd St, Unit 602")</f>
        <v>416 W 52nd St, Unit 602</v>
      </c>
      <c r="B4425" s="2" t="str">
        <f t="shared" si="747"/>
        <v>Nine52</v>
      </c>
      <c r="C4425" s="1" t="s">
        <v>90</v>
      </c>
      <c r="D4425" s="1" t="s">
        <v>41</v>
      </c>
      <c r="E4425" s="3">
        <v>1318634</v>
      </c>
      <c r="F4425" s="1">
        <v>1828.89563106796</v>
      </c>
      <c r="H4425" s="1">
        <v>1</v>
      </c>
      <c r="J4425" s="1">
        <v>1</v>
      </c>
      <c r="K4425" s="1">
        <v>1</v>
      </c>
      <c r="M4425" s="1">
        <v>721</v>
      </c>
      <c r="N4425" s="1">
        <v>492</v>
      </c>
      <c r="O4425" s="1">
        <v>1442</v>
      </c>
      <c r="P4425" s="1">
        <v>950</v>
      </c>
      <c r="Q4425" s="1" t="s">
        <v>42</v>
      </c>
      <c r="S4425" s="1" t="s">
        <v>42</v>
      </c>
      <c r="T4425" s="1" t="s">
        <v>273</v>
      </c>
      <c r="AA4425" s="1">
        <v>1318633.75</v>
      </c>
      <c r="AB4425" s="1" t="s">
        <v>3117</v>
      </c>
      <c r="AC4425" s="5">
        <v>43278</v>
      </c>
      <c r="AF4425" s="1">
        <v>10019</v>
      </c>
      <c r="AI4425" s="1" t="s">
        <v>48</v>
      </c>
      <c r="AJ4425" s="1">
        <v>1940</v>
      </c>
      <c r="AK4425" s="1" t="s">
        <v>55</v>
      </c>
      <c r="AL4425" s="1">
        <v>155</v>
      </c>
    </row>
    <row r="4426" spans="1:38" x14ac:dyDescent="0.2">
      <c r="A4426" s="2" t="str">
        <f>HYPERLINK("https://www.compass.com/listing/416-west-52nd-street-unit-402-manhattan-ny-10019/135934655336592401/","416 W 52nd St, Unit 402")</f>
        <v>416 W 52nd St, Unit 402</v>
      </c>
      <c r="B4426" s="2" t="str">
        <f t="shared" si="747"/>
        <v>Nine52</v>
      </c>
      <c r="C4426" s="1" t="s">
        <v>90</v>
      </c>
      <c r="D4426" s="1" t="s">
        <v>41</v>
      </c>
      <c r="E4426" s="3">
        <v>1208663</v>
      </c>
      <c r="F4426" s="1">
        <v>1676.36997226074</v>
      </c>
      <c r="H4426" s="1">
        <v>1</v>
      </c>
      <c r="J4426" s="1">
        <v>1</v>
      </c>
      <c r="K4426" s="1">
        <v>1</v>
      </c>
      <c r="M4426" s="1">
        <v>721</v>
      </c>
      <c r="N4426" s="1">
        <v>492</v>
      </c>
      <c r="O4426" s="1">
        <v>1442</v>
      </c>
      <c r="P4426" s="1">
        <v>950</v>
      </c>
      <c r="Q4426" s="1" t="s">
        <v>42</v>
      </c>
      <c r="S4426" s="1" t="s">
        <v>42</v>
      </c>
      <c r="T4426" s="1" t="s">
        <v>273</v>
      </c>
      <c r="AA4426" s="1">
        <v>1208662.75</v>
      </c>
      <c r="AB4426" s="1" t="s">
        <v>3118</v>
      </c>
      <c r="AC4426" s="5">
        <v>43434</v>
      </c>
      <c r="AF4426" s="1">
        <v>10019</v>
      </c>
      <c r="AI4426" s="1" t="s">
        <v>48</v>
      </c>
      <c r="AJ4426" s="1">
        <v>1940</v>
      </c>
      <c r="AK4426" s="1" t="s">
        <v>55</v>
      </c>
      <c r="AL4426" s="1">
        <v>155</v>
      </c>
    </row>
    <row r="4427" spans="1:38" x14ac:dyDescent="0.2">
      <c r="A4427" s="2" t="str">
        <f>HYPERLINK("https://www.compass.com/listing/416-west-52nd-street-unit-502-manhattan-ny-10019/135934664664765073/","416 W 52nd St, Unit 502")</f>
        <v>416 W 52nd St, Unit 502</v>
      </c>
      <c r="B4427" s="2" t="str">
        <f t="shared" si="747"/>
        <v>Nine52</v>
      </c>
      <c r="C4427" s="1" t="s">
        <v>90</v>
      </c>
      <c r="D4427" s="1" t="s">
        <v>41</v>
      </c>
      <c r="E4427" s="3">
        <v>1244302</v>
      </c>
      <c r="F4427" s="1">
        <v>1725.79958391123</v>
      </c>
      <c r="H4427" s="1">
        <v>1</v>
      </c>
      <c r="J4427" s="1">
        <v>1</v>
      </c>
      <c r="K4427" s="1">
        <v>1</v>
      </c>
      <c r="M4427" s="1">
        <v>721</v>
      </c>
      <c r="N4427" s="1">
        <v>492</v>
      </c>
      <c r="O4427" s="1">
        <v>1442</v>
      </c>
      <c r="P4427" s="1">
        <v>950</v>
      </c>
      <c r="Q4427" s="1" t="s">
        <v>42</v>
      </c>
      <c r="S4427" s="1" t="s">
        <v>42</v>
      </c>
      <c r="T4427" s="1" t="s">
        <v>273</v>
      </c>
      <c r="AA4427" s="1">
        <v>1244301.5</v>
      </c>
      <c r="AB4427" s="1" t="s">
        <v>3119</v>
      </c>
      <c r="AC4427" s="5">
        <v>43434</v>
      </c>
      <c r="AF4427" s="1">
        <v>10019</v>
      </c>
      <c r="AI4427" s="1" t="s">
        <v>48</v>
      </c>
      <c r="AJ4427" s="1">
        <v>1940</v>
      </c>
      <c r="AK4427" s="1" t="s">
        <v>55</v>
      </c>
      <c r="AL4427" s="1">
        <v>155</v>
      </c>
    </row>
    <row r="4428" spans="1:38" x14ac:dyDescent="0.2">
      <c r="A4428" s="2" t="str">
        <f>HYPERLINK("https://www.compass.com/listing/416-west-52nd-street-unit-422-manhattan-ny-10019/137384787609513185/","416 W 52nd St, Unit 422")</f>
        <v>416 W 52nd St, Unit 422</v>
      </c>
      <c r="B4428" s="2" t="str">
        <f t="shared" si="747"/>
        <v>Nine52</v>
      </c>
      <c r="C4428" s="1" t="s">
        <v>90</v>
      </c>
      <c r="D4428" s="1" t="s">
        <v>41</v>
      </c>
      <c r="E4428" s="3">
        <v>1195426</v>
      </c>
      <c r="F4428" s="1">
        <v>1648.8627586206801</v>
      </c>
      <c r="H4428" s="1">
        <v>1</v>
      </c>
      <c r="J4428" s="1">
        <v>1</v>
      </c>
      <c r="K4428" s="1">
        <v>1</v>
      </c>
      <c r="M4428" s="1">
        <v>725</v>
      </c>
      <c r="N4428" s="1">
        <v>494</v>
      </c>
      <c r="O4428" s="1">
        <v>1449</v>
      </c>
      <c r="P4428" s="1">
        <v>955</v>
      </c>
      <c r="Q4428" s="1" t="s">
        <v>42</v>
      </c>
      <c r="S4428" s="1" t="s">
        <v>42</v>
      </c>
      <c r="T4428" s="1" t="s">
        <v>273</v>
      </c>
      <c r="AA4428" s="1">
        <v>1195425.5</v>
      </c>
      <c r="AB4428" s="1" t="s">
        <v>3120</v>
      </c>
      <c r="AC4428" s="5">
        <v>43434</v>
      </c>
      <c r="AF4428" s="1">
        <v>10019</v>
      </c>
      <c r="AI4428" s="1" t="s">
        <v>48</v>
      </c>
      <c r="AJ4428" s="1">
        <v>1940</v>
      </c>
      <c r="AK4428" s="1" t="s">
        <v>55</v>
      </c>
      <c r="AL4428" s="1">
        <v>155</v>
      </c>
    </row>
    <row r="4429" spans="1:38" x14ac:dyDescent="0.2">
      <c r="A4429" s="2" t="str">
        <f>HYPERLINK("https://www.compass.com/listing/416-west-52nd-street-unit-405-manhattan-ny-10019/277083403168259505/","416 W 52nd St, Unit 405")</f>
        <v>416 W 52nd St, Unit 405</v>
      </c>
      <c r="B4429" s="2" t="str">
        <f t="shared" si="747"/>
        <v>Nine52</v>
      </c>
      <c r="C4429" s="1" t="s">
        <v>90</v>
      </c>
      <c r="D4429" s="1" t="s">
        <v>41</v>
      </c>
      <c r="E4429" s="3">
        <v>1232000</v>
      </c>
      <c r="F4429" s="1">
        <v>1711.1111111111099</v>
      </c>
      <c r="H4429" s="1">
        <v>1</v>
      </c>
      <c r="J4429" s="1">
        <v>1</v>
      </c>
      <c r="K4429" s="1">
        <v>1</v>
      </c>
      <c r="M4429" s="1">
        <v>720</v>
      </c>
      <c r="N4429" s="1">
        <v>491</v>
      </c>
      <c r="O4429" s="1">
        <v>1440</v>
      </c>
      <c r="P4429" s="1">
        <v>949</v>
      </c>
      <c r="Q4429" s="1" t="s">
        <v>42</v>
      </c>
      <c r="S4429" s="1" t="s">
        <v>42</v>
      </c>
      <c r="T4429" s="1" t="s">
        <v>273</v>
      </c>
      <c r="AA4429" s="1">
        <v>1232000</v>
      </c>
      <c r="AB4429" s="1" t="s">
        <v>3121</v>
      </c>
      <c r="AC4429" s="5">
        <v>43523</v>
      </c>
      <c r="AF4429" s="1">
        <v>10019</v>
      </c>
      <c r="AI4429" s="1" t="s">
        <v>48</v>
      </c>
      <c r="AJ4429" s="1">
        <v>1940</v>
      </c>
      <c r="AK4429" s="1" t="s">
        <v>55</v>
      </c>
      <c r="AL4429" s="1">
        <v>155</v>
      </c>
    </row>
    <row r="4430" spans="1:38" x14ac:dyDescent="0.2">
      <c r="A4430" s="2" t="str">
        <f>HYPERLINK("https://www.compass.com/listing/416-west-52nd-street-unit-409-manhattan-ny-10019/277083417051443217/","416 W 52nd St, Unit 409")</f>
        <v>416 W 52nd St, Unit 409</v>
      </c>
      <c r="B4430" s="2" t="str">
        <f t="shared" si="747"/>
        <v>Nine52</v>
      </c>
      <c r="C4430" s="1" t="s">
        <v>90</v>
      </c>
      <c r="D4430" s="1" t="s">
        <v>41</v>
      </c>
      <c r="E4430" s="3">
        <v>1195000</v>
      </c>
      <c r="F4430" s="1">
        <v>1726.87861271676</v>
      </c>
      <c r="H4430" s="1">
        <v>1</v>
      </c>
      <c r="J4430" s="1">
        <v>1</v>
      </c>
      <c r="K4430" s="1">
        <v>1</v>
      </c>
      <c r="M4430" s="1">
        <v>692</v>
      </c>
      <c r="N4430" s="1">
        <v>471</v>
      </c>
      <c r="O4430" s="1">
        <v>1382</v>
      </c>
      <c r="P4430" s="1">
        <v>911</v>
      </c>
      <c r="Q4430" s="1" t="s">
        <v>42</v>
      </c>
      <c r="S4430" s="1" t="s">
        <v>42</v>
      </c>
      <c r="T4430" s="1" t="s">
        <v>273</v>
      </c>
      <c r="AA4430" s="1">
        <v>1195000</v>
      </c>
      <c r="AB4430" s="1" t="s">
        <v>3122</v>
      </c>
      <c r="AC4430" s="5">
        <v>43187</v>
      </c>
      <c r="AF4430" s="1">
        <v>10019</v>
      </c>
      <c r="AI4430" s="1" t="s">
        <v>48</v>
      </c>
      <c r="AJ4430" s="1">
        <v>1940</v>
      </c>
      <c r="AK4430" s="1" t="s">
        <v>55</v>
      </c>
      <c r="AL4430" s="1">
        <v>155</v>
      </c>
    </row>
    <row r="4431" spans="1:38" x14ac:dyDescent="0.2">
      <c r="A4431" s="2" t="str">
        <f>HYPERLINK("https://www.compass.com/listing/416-west-52nd-street-unit-419-manhattan-ny-10019/277083467274112849/","416 W 52nd St, Unit 419")</f>
        <v>416 W 52nd St, Unit 419</v>
      </c>
      <c r="B4431" s="2" t="str">
        <f t="shared" si="747"/>
        <v>Nine52</v>
      </c>
      <c r="C4431" s="1" t="s">
        <v>90</v>
      </c>
      <c r="D4431" s="1" t="s">
        <v>41</v>
      </c>
      <c r="E4431" s="3">
        <v>1208598</v>
      </c>
      <c r="F4431" s="1">
        <v>1600.7918410596001</v>
      </c>
      <c r="H4431" s="1">
        <v>1</v>
      </c>
      <c r="J4431" s="1">
        <v>1</v>
      </c>
      <c r="K4431" s="1">
        <v>1</v>
      </c>
      <c r="M4431" s="1">
        <v>755</v>
      </c>
      <c r="N4431" s="1">
        <v>515</v>
      </c>
      <c r="O4431" s="1">
        <v>1510</v>
      </c>
      <c r="P4431" s="1">
        <v>995</v>
      </c>
      <c r="Q4431" s="1" t="s">
        <v>42</v>
      </c>
      <c r="S4431" s="1" t="s">
        <v>42</v>
      </c>
      <c r="T4431" s="1" t="s">
        <v>273</v>
      </c>
      <c r="AA4431" s="1">
        <v>1208597.8400000001</v>
      </c>
      <c r="AB4431" s="1" t="s">
        <v>3123</v>
      </c>
      <c r="AC4431" s="5">
        <v>43461</v>
      </c>
      <c r="AF4431" s="1">
        <v>10019</v>
      </c>
      <c r="AI4431" s="1" t="s">
        <v>48</v>
      </c>
      <c r="AJ4431" s="1">
        <v>1940</v>
      </c>
      <c r="AK4431" s="1" t="s">
        <v>55</v>
      </c>
      <c r="AL4431" s="1">
        <v>155</v>
      </c>
    </row>
    <row r="4432" spans="1:38" x14ac:dyDescent="0.2">
      <c r="A4432" s="2" t="str">
        <f>HYPERLINK("https://www.compass.com/listing/416-west-52nd-street-unit-408-manhattan-ny-10019/277083479345321233/","416 W 52nd St, Unit 408")</f>
        <v>416 W 52nd St, Unit 408</v>
      </c>
      <c r="B4432" s="2" t="str">
        <f t="shared" si="747"/>
        <v>Nine52</v>
      </c>
      <c r="C4432" s="1" t="s">
        <v>90</v>
      </c>
      <c r="D4432" s="1" t="s">
        <v>41</v>
      </c>
      <c r="E4432" s="3">
        <v>1229000</v>
      </c>
      <c r="F4432" s="1">
        <v>1714.0864714086399</v>
      </c>
      <c r="H4432" s="1">
        <v>1</v>
      </c>
      <c r="J4432" s="1">
        <v>1</v>
      </c>
      <c r="K4432" s="1">
        <v>1</v>
      </c>
      <c r="M4432" s="1">
        <v>717</v>
      </c>
      <c r="N4432" s="1">
        <v>488</v>
      </c>
      <c r="O4432" s="1">
        <v>1432</v>
      </c>
      <c r="P4432" s="1">
        <v>944</v>
      </c>
      <c r="Q4432" s="1" t="s">
        <v>42</v>
      </c>
      <c r="S4432" s="1" t="s">
        <v>42</v>
      </c>
      <c r="T4432" s="1" t="s">
        <v>273</v>
      </c>
      <c r="AA4432" s="1">
        <v>1229000</v>
      </c>
      <c r="AB4432" s="1" t="s">
        <v>3124</v>
      </c>
      <c r="AC4432" s="5">
        <v>43515</v>
      </c>
      <c r="AF4432" s="1">
        <v>10019</v>
      </c>
      <c r="AI4432" s="1" t="s">
        <v>48</v>
      </c>
      <c r="AJ4432" s="1">
        <v>1940</v>
      </c>
      <c r="AK4432" s="1" t="s">
        <v>55</v>
      </c>
      <c r="AL4432" s="1">
        <v>155</v>
      </c>
    </row>
    <row r="4433" spans="1:38" x14ac:dyDescent="0.2">
      <c r="A4433" s="2" t="str">
        <f>HYPERLINK("https://www.compass.com/listing/416-west-52nd-street-unit-505-manhattan-ny-10019/277083503345130465/","416 W 52nd St, Unit 505")</f>
        <v>416 W 52nd St, Unit 505</v>
      </c>
      <c r="B4433" s="2" t="str">
        <f t="shared" si="747"/>
        <v>Nine52</v>
      </c>
      <c r="C4433" s="1" t="s">
        <v>90</v>
      </c>
      <c r="D4433" s="1" t="s">
        <v>41</v>
      </c>
      <c r="E4433" s="3">
        <v>1249000</v>
      </c>
      <c r="F4433" s="1">
        <v>1734.7222222222199</v>
      </c>
      <c r="H4433" s="1">
        <v>1</v>
      </c>
      <c r="J4433" s="1">
        <v>1</v>
      </c>
      <c r="K4433" s="1">
        <v>1</v>
      </c>
      <c r="M4433" s="1">
        <v>720</v>
      </c>
      <c r="N4433" s="1">
        <v>550</v>
      </c>
      <c r="O4433" s="1">
        <v>1504</v>
      </c>
      <c r="P4433" s="1">
        <v>954</v>
      </c>
      <c r="Q4433" s="1" t="s">
        <v>42</v>
      </c>
      <c r="S4433" s="1" t="s">
        <v>42</v>
      </c>
      <c r="T4433" s="1" t="s">
        <v>273</v>
      </c>
      <c r="AA4433" s="1">
        <v>1249000</v>
      </c>
      <c r="AB4433" s="1" t="s">
        <v>3125</v>
      </c>
      <c r="AC4433" s="5">
        <v>43517</v>
      </c>
      <c r="AF4433" s="1">
        <v>10019</v>
      </c>
      <c r="AI4433" s="1" t="s">
        <v>48</v>
      </c>
      <c r="AJ4433" s="1">
        <v>1940</v>
      </c>
      <c r="AK4433" s="1" t="s">
        <v>55</v>
      </c>
      <c r="AL4433" s="1">
        <v>155</v>
      </c>
    </row>
    <row r="4434" spans="1:38" x14ac:dyDescent="0.2">
      <c r="A4434" s="2" t="str">
        <f>HYPERLINK("https://www.compass.com/listing/416-west-52nd-street-unit-507-manhattan-ny-10019/277083515114348785/","416 W 52nd St, Unit 507")</f>
        <v>416 W 52nd St, Unit 507</v>
      </c>
      <c r="B4434" s="2" t="str">
        <f t="shared" si="747"/>
        <v>Nine52</v>
      </c>
      <c r="C4434" s="1" t="s">
        <v>90</v>
      </c>
      <c r="D4434" s="1" t="s">
        <v>41</v>
      </c>
      <c r="E4434" s="3">
        <v>1268000</v>
      </c>
      <c r="F4434" s="1">
        <v>1627.7278562259301</v>
      </c>
      <c r="H4434" s="1">
        <v>1</v>
      </c>
      <c r="J4434" s="1">
        <v>1</v>
      </c>
      <c r="K4434" s="1">
        <v>1</v>
      </c>
      <c r="M4434" s="1">
        <v>779</v>
      </c>
      <c r="N4434" s="1">
        <v>531</v>
      </c>
      <c r="O4434" s="1">
        <v>1557</v>
      </c>
      <c r="P4434" s="1">
        <v>1026</v>
      </c>
      <c r="Q4434" s="1" t="s">
        <v>42</v>
      </c>
      <c r="S4434" s="1" t="s">
        <v>42</v>
      </c>
      <c r="T4434" s="1" t="s">
        <v>273</v>
      </c>
      <c r="AA4434" s="1">
        <v>1268000</v>
      </c>
      <c r="AB4434" s="1" t="s">
        <v>3126</v>
      </c>
      <c r="AC4434" s="5">
        <v>43521</v>
      </c>
      <c r="AF4434" s="1">
        <v>10019</v>
      </c>
      <c r="AI4434" s="1" t="s">
        <v>48</v>
      </c>
      <c r="AJ4434" s="1">
        <v>1940</v>
      </c>
      <c r="AK4434" s="1" t="s">
        <v>55</v>
      </c>
      <c r="AL4434" s="1">
        <v>155</v>
      </c>
    </row>
    <row r="4435" spans="1:38" x14ac:dyDescent="0.2">
      <c r="A4435" s="2" t="str">
        <f>HYPERLINK("https://www.compass.com/listing/416-west-52nd-street-unit-th210-manhattan-ny-10019/29389252987049025/","416 W 52nd St, Unit TH210")</f>
        <v>416 W 52nd St, Unit TH210</v>
      </c>
      <c r="B4435" s="2" t="str">
        <f t="shared" si="747"/>
        <v>Nine52</v>
      </c>
      <c r="C4435" s="1" t="s">
        <v>90</v>
      </c>
      <c r="D4435" s="1" t="s">
        <v>41</v>
      </c>
      <c r="E4435" s="3">
        <v>1200000</v>
      </c>
      <c r="F4435" s="1">
        <v>1127.8195488721799</v>
      </c>
      <c r="G4435" s="1">
        <v>2</v>
      </c>
      <c r="H4435" s="1">
        <v>1</v>
      </c>
      <c r="I4435" s="1">
        <v>2</v>
      </c>
      <c r="J4435" s="1">
        <v>1.5</v>
      </c>
      <c r="K4435" s="1">
        <v>1</v>
      </c>
      <c r="L4435" s="1">
        <v>1</v>
      </c>
      <c r="M4435" s="4">
        <v>1064</v>
      </c>
      <c r="N4435" s="1">
        <v>725</v>
      </c>
      <c r="O4435" s="1">
        <v>2127</v>
      </c>
      <c r="P4435" s="1">
        <v>1402</v>
      </c>
      <c r="Q4435" s="1" t="s">
        <v>42</v>
      </c>
      <c r="S4435" s="1" t="s">
        <v>42</v>
      </c>
      <c r="T4435" s="1" t="s">
        <v>273</v>
      </c>
      <c r="V4435" s="5">
        <v>43662</v>
      </c>
      <c r="W4435" s="5">
        <v>42857</v>
      </c>
      <c r="X4435" s="1">
        <v>1329000</v>
      </c>
      <c r="Y4435" s="1">
        <v>1329000</v>
      </c>
      <c r="Z4435" s="5">
        <v>42857</v>
      </c>
      <c r="AA4435" s="1">
        <v>1200000</v>
      </c>
      <c r="AB4435" s="1" t="s">
        <v>3127</v>
      </c>
      <c r="AC4435" s="5">
        <v>42915</v>
      </c>
      <c r="AF4435" s="1">
        <v>10019</v>
      </c>
      <c r="AI4435" s="1" t="s">
        <v>48</v>
      </c>
      <c r="AJ4435" s="1">
        <v>1940</v>
      </c>
      <c r="AK4435" s="1" t="s">
        <v>108</v>
      </c>
      <c r="AL4435" s="1">
        <v>155</v>
      </c>
    </row>
    <row r="4436" spans="1:38" x14ac:dyDescent="0.2">
      <c r="A4436" s="2" t="str">
        <f>HYPERLINK("https://www.compass.com/listing/416-west-52nd-street-unit-500-manhattan-ny-10019/29389275770508673/","416 W 52nd St, Unit 500")</f>
        <v>416 W 52nd St, Unit 500</v>
      </c>
      <c r="B4436" s="2" t="str">
        <f t="shared" si="747"/>
        <v>Nine52</v>
      </c>
      <c r="C4436" s="1" t="s">
        <v>90</v>
      </c>
      <c r="D4436" s="1" t="s">
        <v>41</v>
      </c>
      <c r="E4436" s="3">
        <v>1212000</v>
      </c>
      <c r="G4436" s="1">
        <v>3</v>
      </c>
      <c r="H4436" s="1">
        <v>1</v>
      </c>
      <c r="I4436" s="1">
        <v>1</v>
      </c>
      <c r="J4436" s="1">
        <v>1</v>
      </c>
      <c r="K4436" s="1">
        <v>1</v>
      </c>
      <c r="N4436" s="1">
        <v>494</v>
      </c>
      <c r="O4436" s="1">
        <v>1448</v>
      </c>
      <c r="P4436" s="1">
        <v>954</v>
      </c>
      <c r="Q4436" s="1" t="s">
        <v>42</v>
      </c>
      <c r="S4436" s="1" t="s">
        <v>42</v>
      </c>
      <c r="T4436" s="1" t="s">
        <v>273</v>
      </c>
      <c r="V4436" s="5">
        <v>43650</v>
      </c>
      <c r="W4436" s="5">
        <v>42887</v>
      </c>
      <c r="X4436" s="1">
        <v>1321000</v>
      </c>
      <c r="Y4436" s="1">
        <v>1321000</v>
      </c>
      <c r="Z4436" s="5">
        <v>42887</v>
      </c>
      <c r="AA4436" s="1">
        <v>1212000</v>
      </c>
      <c r="AB4436" s="1" t="s">
        <v>3128</v>
      </c>
      <c r="AC4436" s="5">
        <v>42976</v>
      </c>
      <c r="AF4436" s="1">
        <v>10019</v>
      </c>
      <c r="AI4436" s="1" t="s">
        <v>48</v>
      </c>
      <c r="AJ4436" s="1">
        <v>1940</v>
      </c>
      <c r="AK4436" s="1" t="s">
        <v>108</v>
      </c>
      <c r="AL4436" s="1">
        <v>155</v>
      </c>
    </row>
    <row r="4437" spans="1:38" x14ac:dyDescent="0.2">
      <c r="A4437" s="2" t="str">
        <f>HYPERLINK("https://www.compass.com/listing/416-west-52nd-street-unit-507-manhattan-ny-10019/29389276533861921/","416 W 52nd St, Unit 507")</f>
        <v>416 W 52nd St, Unit 507</v>
      </c>
      <c r="B4437" s="2" t="str">
        <f t="shared" si="747"/>
        <v>Nine52</v>
      </c>
      <c r="C4437" s="1" t="s">
        <v>90</v>
      </c>
      <c r="D4437" s="1" t="s">
        <v>41</v>
      </c>
      <c r="E4437" s="3">
        <v>1180000</v>
      </c>
      <c r="F4437" s="1">
        <v>1514.7625160462101</v>
      </c>
      <c r="G4437" s="1">
        <v>3</v>
      </c>
      <c r="H4437" s="1">
        <v>1</v>
      </c>
      <c r="I4437" s="1">
        <v>1</v>
      </c>
      <c r="J4437" s="1">
        <v>1</v>
      </c>
      <c r="K4437" s="1">
        <v>1</v>
      </c>
      <c r="M4437" s="1">
        <v>779</v>
      </c>
      <c r="N4437" s="1">
        <v>531</v>
      </c>
      <c r="O4437" s="1">
        <v>1557</v>
      </c>
      <c r="P4437" s="1">
        <v>1026</v>
      </c>
      <c r="Q4437" s="1" t="s">
        <v>42</v>
      </c>
      <c r="S4437" s="1" t="s">
        <v>42</v>
      </c>
      <c r="T4437" s="1" t="s">
        <v>273</v>
      </c>
      <c r="V4437" s="5">
        <v>43664</v>
      </c>
      <c r="W4437" s="5">
        <v>42857</v>
      </c>
      <c r="X4437" s="1">
        <v>1222000</v>
      </c>
      <c r="Y4437" s="1">
        <v>1222000</v>
      </c>
      <c r="Z4437" s="5">
        <v>42857</v>
      </c>
      <c r="AA4437" s="1">
        <v>1180000</v>
      </c>
      <c r="AB4437" s="1" t="s">
        <v>3129</v>
      </c>
      <c r="AC4437" s="5">
        <v>42880</v>
      </c>
      <c r="AF4437" s="1">
        <v>10019</v>
      </c>
      <c r="AI4437" s="1" t="s">
        <v>48</v>
      </c>
      <c r="AJ4437" s="1">
        <v>1940</v>
      </c>
      <c r="AK4437" s="1" t="s">
        <v>108</v>
      </c>
      <c r="AL4437" s="1">
        <v>155</v>
      </c>
    </row>
    <row r="4438" spans="1:38" x14ac:dyDescent="0.2">
      <c r="A4438" s="2" t="str">
        <f>HYPERLINK("https://www.compass.com/listing/416-west-52nd-street-unit-602-manhattan-ny-10019/29389282070286017/","416 W 52nd St, Unit 602")</f>
        <v>416 W 52nd St, Unit 602</v>
      </c>
      <c r="B4438" s="2" t="str">
        <f t="shared" si="747"/>
        <v>Nine52</v>
      </c>
      <c r="C4438" s="1" t="s">
        <v>90</v>
      </c>
      <c r="D4438" s="1" t="s">
        <v>41</v>
      </c>
      <c r="E4438" s="3">
        <v>1280000</v>
      </c>
      <c r="F4438" s="1">
        <v>1775.3120665741999</v>
      </c>
      <c r="G4438" s="1">
        <v>3</v>
      </c>
      <c r="H4438" s="1">
        <v>1</v>
      </c>
      <c r="I4438" s="1">
        <v>1</v>
      </c>
      <c r="J4438" s="1">
        <v>1</v>
      </c>
      <c r="K4438" s="1">
        <v>1</v>
      </c>
      <c r="M4438" s="1">
        <v>721</v>
      </c>
      <c r="N4438" s="1">
        <v>492</v>
      </c>
      <c r="O4438" s="1">
        <v>1442</v>
      </c>
      <c r="P4438" s="1">
        <v>950</v>
      </c>
      <c r="Q4438" s="1" t="s">
        <v>42</v>
      </c>
      <c r="S4438" s="1" t="s">
        <v>42</v>
      </c>
      <c r="T4438" s="1" t="s">
        <v>273</v>
      </c>
      <c r="U4438" s="1">
        <v>2</v>
      </c>
      <c r="V4438" s="5">
        <v>43641</v>
      </c>
      <c r="W4438" s="5">
        <v>43047</v>
      </c>
      <c r="X4438" s="1">
        <v>1345000</v>
      </c>
      <c r="Y4438" s="1">
        <v>1345000</v>
      </c>
      <c r="Z4438" s="5">
        <v>43049</v>
      </c>
      <c r="AA4438" s="1">
        <v>1280000</v>
      </c>
      <c r="AB4438" s="1" t="s">
        <v>3130</v>
      </c>
      <c r="AC4438" s="5">
        <v>43061</v>
      </c>
      <c r="AF4438" s="1">
        <v>10019</v>
      </c>
      <c r="AI4438" s="1" t="s">
        <v>48</v>
      </c>
      <c r="AJ4438" s="1">
        <v>1940</v>
      </c>
      <c r="AK4438" s="1" t="s">
        <v>108</v>
      </c>
      <c r="AL4438" s="1">
        <v>155</v>
      </c>
    </row>
    <row r="4439" spans="1:38" x14ac:dyDescent="0.2">
      <c r="A4439" s="2" t="str">
        <f>HYPERLINK("https://www.compass.com/listing/416-west-52nd-street-unit-702-manhattan-ny-10019/29389286843404049/","416 W 52nd St, Unit 702")</f>
        <v>416 W 52nd St, Unit 702</v>
      </c>
      <c r="B4439" s="2" t="str">
        <f t="shared" si="747"/>
        <v>Nine52</v>
      </c>
      <c r="C4439" s="1" t="s">
        <v>90</v>
      </c>
      <c r="D4439" s="1" t="s">
        <v>41</v>
      </c>
      <c r="E4439" s="3">
        <v>1258557</v>
      </c>
      <c r="F4439" s="1">
        <v>1745.57142857142</v>
      </c>
      <c r="H4439" s="1">
        <v>1</v>
      </c>
      <c r="J4439" s="1">
        <v>1</v>
      </c>
      <c r="K4439" s="1">
        <v>1</v>
      </c>
      <c r="M4439" s="1">
        <v>721</v>
      </c>
      <c r="N4439" s="1">
        <v>563</v>
      </c>
      <c r="O4439" s="1">
        <v>1730</v>
      </c>
      <c r="P4439" s="1">
        <v>1167</v>
      </c>
      <c r="Q4439" s="1" t="s">
        <v>42</v>
      </c>
      <c r="S4439" s="1" t="s">
        <v>42</v>
      </c>
      <c r="T4439" s="1" t="s">
        <v>273</v>
      </c>
      <c r="AA4439" s="1">
        <v>1258557</v>
      </c>
      <c r="AB4439" s="1" t="s">
        <v>3131</v>
      </c>
      <c r="AC4439" s="5">
        <v>43019</v>
      </c>
      <c r="AF4439" s="1">
        <v>10019</v>
      </c>
      <c r="AI4439" s="1" t="s">
        <v>48</v>
      </c>
      <c r="AJ4439" s="1">
        <v>1940</v>
      </c>
      <c r="AK4439" s="1" t="s">
        <v>55</v>
      </c>
      <c r="AL4439" s="1">
        <v>155</v>
      </c>
    </row>
    <row r="4440" spans="1:38" x14ac:dyDescent="0.2">
      <c r="A4440" s="2" t="str">
        <f>HYPERLINK("https://www.compass.com/listing/172-madison-avenue-unit-17c-manhattan-ny-10016/29376711984470993/","172 Madison Ave, Unit 17C")</f>
        <v>172 Madison Ave, Unit 17C</v>
      </c>
      <c r="B4440" s="2" t="str">
        <f t="shared" ref="B4440:B4442" si="748">HYPERLINK("https://www.compass.com/building/172-madison-ave-manhattan-ny-10016/281937956250376981/","172 Madison Ave")</f>
        <v>172 Madison Ave</v>
      </c>
      <c r="C4440" s="1" t="s">
        <v>120</v>
      </c>
      <c r="D4440" s="1" t="s">
        <v>41</v>
      </c>
      <c r="E4440" s="3">
        <v>1741208</v>
      </c>
      <c r="F4440" s="1">
        <v>1954.21717171717</v>
      </c>
      <c r="H4440" s="1">
        <v>1</v>
      </c>
      <c r="J4440" s="1">
        <v>1.5</v>
      </c>
      <c r="K4440" s="1">
        <v>1</v>
      </c>
      <c r="L4440" s="1">
        <v>1</v>
      </c>
      <c r="M4440" s="1">
        <v>891</v>
      </c>
      <c r="N4440" s="1">
        <v>935</v>
      </c>
      <c r="O4440" s="1">
        <v>3093</v>
      </c>
      <c r="P4440" s="1">
        <v>2158</v>
      </c>
      <c r="Q4440" s="1" t="s">
        <v>42</v>
      </c>
      <c r="S4440" s="1" t="s">
        <v>42</v>
      </c>
      <c r="T4440" s="1" t="s">
        <v>273</v>
      </c>
      <c r="AA4440" s="1">
        <v>1741207.5</v>
      </c>
      <c r="AB4440" s="1" t="s">
        <v>3132</v>
      </c>
      <c r="AC4440" s="5">
        <v>42922</v>
      </c>
      <c r="AF4440" s="1">
        <v>10016</v>
      </c>
      <c r="AJ4440" s="1">
        <v>2016</v>
      </c>
      <c r="AK4440" s="1" t="s">
        <v>49</v>
      </c>
      <c r="AL4440" s="1">
        <v>72</v>
      </c>
    </row>
    <row r="4441" spans="1:38" x14ac:dyDescent="0.2">
      <c r="A4441" s="2" t="str">
        <f>HYPERLINK("https://www.compass.com/listing/172-madison-avenue-unit-20c-manhattan-ny-10016/29376714610179425/","172 Madison Ave, Unit 20C")</f>
        <v>172 Madison Ave, Unit 20C</v>
      </c>
      <c r="B4441" s="2" t="str">
        <f t="shared" si="748"/>
        <v>172 Madison Ave</v>
      </c>
      <c r="C4441" s="1" t="s">
        <v>120</v>
      </c>
      <c r="D4441" s="1" t="s">
        <v>41</v>
      </c>
      <c r="E4441" s="3">
        <v>1827759</v>
      </c>
      <c r="F4441" s="1">
        <v>2051.35662177328</v>
      </c>
      <c r="H4441" s="1">
        <v>1</v>
      </c>
      <c r="J4441" s="1">
        <v>1.5</v>
      </c>
      <c r="K4441" s="1">
        <v>1</v>
      </c>
      <c r="L4441" s="1">
        <v>1</v>
      </c>
      <c r="M4441" s="1">
        <v>891</v>
      </c>
      <c r="N4441" s="1">
        <v>1165</v>
      </c>
      <c r="O4441" s="1">
        <v>2788</v>
      </c>
      <c r="P4441" s="1">
        <v>1623</v>
      </c>
      <c r="Q4441" s="1" t="s">
        <v>42</v>
      </c>
      <c r="S4441" s="1" t="s">
        <v>42</v>
      </c>
      <c r="T4441" s="1" t="s">
        <v>273</v>
      </c>
      <c r="AA4441" s="1">
        <v>1827758.75</v>
      </c>
      <c r="AB4441" s="1" t="s">
        <v>3133</v>
      </c>
      <c r="AC4441" s="5">
        <v>42936</v>
      </c>
      <c r="AF4441" s="1">
        <v>10016</v>
      </c>
      <c r="AJ4441" s="1">
        <v>2016</v>
      </c>
      <c r="AK4441" s="1" t="s">
        <v>49</v>
      </c>
      <c r="AL4441" s="1">
        <v>72</v>
      </c>
    </row>
    <row r="4442" spans="1:38" x14ac:dyDescent="0.2">
      <c r="A4442" s="2" t="str">
        <f>HYPERLINK("https://www.compass.com/listing/172-madison-avenue-unit-9c-manhattan-ny-10016/483801230587004673/","172 Madison Ave, Unit 9C")</f>
        <v>172 Madison Ave, Unit 9C</v>
      </c>
      <c r="B4442" s="2" t="str">
        <f t="shared" si="748"/>
        <v>172 Madison Ave</v>
      </c>
      <c r="C4442" s="1" t="s">
        <v>120</v>
      </c>
      <c r="D4442" s="1" t="s">
        <v>41</v>
      </c>
      <c r="E4442" s="3">
        <v>1425550</v>
      </c>
      <c r="F4442" s="1">
        <v>1599.94388327721</v>
      </c>
      <c r="H4442" s="1">
        <v>1</v>
      </c>
      <c r="J4442" s="1">
        <v>1.5</v>
      </c>
      <c r="M4442" s="1">
        <v>891</v>
      </c>
      <c r="N4442" s="1">
        <v>1332</v>
      </c>
      <c r="O4442" s="1">
        <v>1952</v>
      </c>
      <c r="P4442" s="1">
        <v>620</v>
      </c>
      <c r="Q4442" s="1" t="s">
        <v>42</v>
      </c>
      <c r="S4442" s="1" t="s">
        <v>42</v>
      </c>
      <c r="T4442" s="1" t="s">
        <v>273</v>
      </c>
      <c r="AA4442" s="1">
        <v>1425550</v>
      </c>
      <c r="AB4442" s="1" t="s">
        <v>3134</v>
      </c>
      <c r="AC4442" s="5">
        <v>42949</v>
      </c>
      <c r="AF4442" s="1">
        <v>10016</v>
      </c>
      <c r="AJ4442" s="1">
        <v>2016</v>
      </c>
      <c r="AK4442" s="1" t="s">
        <v>49</v>
      </c>
      <c r="AL4442" s="1">
        <v>72</v>
      </c>
    </row>
    <row r="4443" spans="1:38" x14ac:dyDescent="0.2">
      <c r="A4443" s="2" t="str">
        <f>HYPERLINK("https://www.compass.com/listing/425-west-50th-street-unit-12g-manhattan-ny-10019/29389215909390849/","425 W 50th St, Unit 12G")</f>
        <v>425 W 50th St, Unit 12G</v>
      </c>
      <c r="B4443" s="2" t="str">
        <f t="shared" ref="B4443:B4445" si="749">HYPERLINK("https://www.compass.com/building/stella-tower-manhattan-ny/281945855710262181/","Stella Tower")</f>
        <v>Stella Tower</v>
      </c>
      <c r="C4443" s="1" t="s">
        <v>90</v>
      </c>
      <c r="D4443" s="1" t="s">
        <v>41</v>
      </c>
      <c r="E4443" s="3">
        <v>3665700</v>
      </c>
      <c r="F4443" s="1">
        <v>2292.49530956848</v>
      </c>
      <c r="G4443" s="1">
        <v>4</v>
      </c>
      <c r="H4443" s="1">
        <v>2</v>
      </c>
      <c r="I4443" s="1">
        <v>3</v>
      </c>
      <c r="J4443" s="1">
        <v>2.5</v>
      </c>
      <c r="M4443" s="4">
        <v>1599</v>
      </c>
      <c r="N4443" s="1">
        <v>1811</v>
      </c>
      <c r="O4443" s="1">
        <v>2920</v>
      </c>
      <c r="P4443" s="1">
        <v>1109</v>
      </c>
      <c r="Q4443" s="1" t="s">
        <v>42</v>
      </c>
      <c r="S4443" s="1" t="s">
        <v>42</v>
      </c>
      <c r="T4443" s="1" t="s">
        <v>273</v>
      </c>
      <c r="U4443" s="1">
        <v>132</v>
      </c>
      <c r="V4443" s="5">
        <v>42081</v>
      </c>
      <c r="W4443" s="5">
        <v>41859</v>
      </c>
      <c r="X4443" s="1">
        <v>3600000</v>
      </c>
      <c r="Y4443" s="1">
        <v>3600000</v>
      </c>
      <c r="AA4443" s="1">
        <v>3665700</v>
      </c>
      <c r="AB4443" s="1" t="s">
        <v>3135</v>
      </c>
      <c r="AC4443" s="5">
        <v>42074</v>
      </c>
      <c r="AF4443" s="1">
        <v>10019</v>
      </c>
      <c r="AI4443" s="1" t="s">
        <v>80</v>
      </c>
      <c r="AJ4443" s="1">
        <v>1930</v>
      </c>
      <c r="AK4443" s="1" t="s">
        <v>46</v>
      </c>
      <c r="AL4443" s="1">
        <v>51</v>
      </c>
    </row>
    <row r="4444" spans="1:38" x14ac:dyDescent="0.2">
      <c r="A4444" s="2" t="str">
        <f>HYPERLINK("https://www.compass.com/listing/425-west-50th-street-unit-11b-manhattan-ny-10019/4852271140795585489/","425 W 50th St, Unit 11B")</f>
        <v>425 W 50th St, Unit 11B</v>
      </c>
      <c r="B4444" s="2" t="str">
        <f t="shared" si="749"/>
        <v>Stella Tower</v>
      </c>
      <c r="C4444" s="1" t="s">
        <v>90</v>
      </c>
      <c r="D4444" s="1" t="s">
        <v>41</v>
      </c>
      <c r="E4444" s="3">
        <v>5498550</v>
      </c>
      <c r="F4444" s="1">
        <v>3082.1468609865401</v>
      </c>
      <c r="G4444" s="1">
        <v>4</v>
      </c>
      <c r="H4444" s="1">
        <v>2</v>
      </c>
      <c r="I4444" s="1">
        <v>3</v>
      </c>
      <c r="J4444" s="1">
        <v>2.5</v>
      </c>
      <c r="M4444" s="4">
        <v>1784</v>
      </c>
      <c r="N4444" s="1">
        <v>2121</v>
      </c>
      <c r="O4444" s="1">
        <v>3420</v>
      </c>
      <c r="P4444" s="1">
        <v>1299</v>
      </c>
      <c r="Q4444" s="1" t="s">
        <v>42</v>
      </c>
      <c r="S4444" s="1" t="s">
        <v>42</v>
      </c>
      <c r="T4444" s="1" t="s">
        <v>273</v>
      </c>
      <c r="U4444" s="1">
        <v>8</v>
      </c>
      <c r="V4444" s="5">
        <v>43654</v>
      </c>
      <c r="W4444" s="5">
        <v>41781</v>
      </c>
      <c r="X4444" s="1">
        <v>5400000</v>
      </c>
      <c r="Y4444" s="1">
        <v>5400000</v>
      </c>
      <c r="Z4444" s="5">
        <v>41789</v>
      </c>
      <c r="AA4444" s="1">
        <v>5498550</v>
      </c>
      <c r="AB4444" s="1" t="s">
        <v>275</v>
      </c>
      <c r="AC4444" s="5">
        <v>42010</v>
      </c>
      <c r="AF4444" s="1">
        <v>10019</v>
      </c>
      <c r="AI4444" s="1" t="s">
        <v>152</v>
      </c>
      <c r="AJ4444" s="1">
        <v>1930</v>
      </c>
      <c r="AK4444" s="1" t="s">
        <v>46</v>
      </c>
      <c r="AL4444" s="1">
        <v>51</v>
      </c>
    </row>
    <row r="4445" spans="1:38" x14ac:dyDescent="0.2">
      <c r="A4445" s="2" t="str">
        <f>HYPERLINK("https://www.compass.com/listing/425-west-50th-street-unit-11f-manhattan-ny-10019/50847446535867729/","425 W 50th St, Unit 11F")</f>
        <v>425 W 50th St, Unit 11F</v>
      </c>
      <c r="B4445" s="2" t="str">
        <f t="shared" si="749"/>
        <v>Stella Tower</v>
      </c>
      <c r="C4445" s="1" t="s">
        <v>90</v>
      </c>
      <c r="D4445" s="1" t="s">
        <v>41</v>
      </c>
      <c r="E4445" s="3">
        <v>4480300</v>
      </c>
      <c r="F4445" s="1">
        <v>2478.0420353982299</v>
      </c>
      <c r="G4445" s="1">
        <v>5</v>
      </c>
      <c r="H4445" s="1">
        <v>2</v>
      </c>
      <c r="I4445" s="1">
        <v>3</v>
      </c>
      <c r="J4445" s="1">
        <v>2.5</v>
      </c>
      <c r="M4445" s="4">
        <v>1808</v>
      </c>
      <c r="N4445" s="1">
        <v>2046</v>
      </c>
      <c r="O4445" s="1">
        <v>3298</v>
      </c>
      <c r="P4445" s="1">
        <v>1252</v>
      </c>
      <c r="Q4445" s="1" t="s">
        <v>42</v>
      </c>
      <c r="S4445" s="1" t="s">
        <v>42</v>
      </c>
      <c r="T4445" s="1" t="s">
        <v>273</v>
      </c>
      <c r="V4445" s="5">
        <v>43641</v>
      </c>
      <c r="W4445" s="5">
        <v>41976</v>
      </c>
      <c r="X4445" s="1">
        <v>4400000</v>
      </c>
      <c r="Y4445" s="1">
        <v>4400000</v>
      </c>
      <c r="Z4445" s="5">
        <v>41976</v>
      </c>
      <c r="AA4445" s="1">
        <v>4480300</v>
      </c>
      <c r="AB4445" s="1" t="s">
        <v>275</v>
      </c>
      <c r="AC4445" s="5">
        <v>42011</v>
      </c>
      <c r="AF4445" s="1">
        <v>10019</v>
      </c>
      <c r="AI4445" s="1" t="s">
        <v>80</v>
      </c>
      <c r="AJ4445" s="1">
        <v>1930</v>
      </c>
      <c r="AK4445" s="1" t="s">
        <v>46</v>
      </c>
      <c r="AL4445" s="1">
        <v>51</v>
      </c>
    </row>
    <row r="4446" spans="1:38" x14ac:dyDescent="0.2">
      <c r="A4446" s="2" t="str">
        <f>HYPERLINK("https://www.compass.com/listing/416-west-52nd-street-unit-ph823-manhattan-ny-10019/29389291733962593/","416 W 52nd St, Unit PH823")</f>
        <v>416 W 52nd St, Unit PH823</v>
      </c>
      <c r="B4446" s="2" t="str">
        <f>HYPERLINK("https://www.compass.com/building/nine52-manhattan-ny/281945622951555813/","Nine52")</f>
        <v>Nine52</v>
      </c>
      <c r="C4446" s="1" t="s">
        <v>90</v>
      </c>
      <c r="D4446" s="1" t="s">
        <v>41</v>
      </c>
      <c r="E4446" s="3">
        <v>2020000</v>
      </c>
      <c r="F4446" s="1">
        <v>1891.3857677902599</v>
      </c>
      <c r="G4446" s="1">
        <v>5</v>
      </c>
      <c r="H4446" s="1">
        <v>2</v>
      </c>
      <c r="I4446" s="1">
        <v>2</v>
      </c>
      <c r="J4446" s="1">
        <v>2</v>
      </c>
      <c r="K4446" s="1">
        <v>2</v>
      </c>
      <c r="M4446" s="4">
        <v>1068</v>
      </c>
      <c r="N4446" s="1">
        <v>1089</v>
      </c>
      <c r="O4446" s="1">
        <v>3011</v>
      </c>
      <c r="P4446" s="1">
        <v>1922</v>
      </c>
      <c r="Q4446" s="1" t="s">
        <v>42</v>
      </c>
      <c r="S4446" s="1" t="s">
        <v>42</v>
      </c>
      <c r="T4446" s="1" t="s">
        <v>273</v>
      </c>
      <c r="U4446" s="1">
        <v>72</v>
      </c>
      <c r="V4446" s="5">
        <v>43675</v>
      </c>
      <c r="W4446" s="5">
        <v>42416</v>
      </c>
      <c r="X4446" s="1">
        <v>2101000</v>
      </c>
      <c r="Y4446" s="1">
        <v>2101000</v>
      </c>
      <c r="Z4446" s="5">
        <v>42488</v>
      </c>
      <c r="AA4446" s="1">
        <v>2020000</v>
      </c>
      <c r="AB4446" s="1" t="s">
        <v>3136</v>
      </c>
      <c r="AC4446" s="5">
        <v>42650</v>
      </c>
      <c r="AF4446" s="1">
        <v>10019</v>
      </c>
      <c r="AI4446" s="1" t="s">
        <v>211</v>
      </c>
      <c r="AJ4446" s="1">
        <v>1940</v>
      </c>
      <c r="AK4446" s="1" t="s">
        <v>108</v>
      </c>
      <c r="AL4446" s="1">
        <v>155</v>
      </c>
    </row>
    <row r="4447" spans="1:38" x14ac:dyDescent="0.2">
      <c r="A4447" s="2" t="str">
        <f>HYPERLINK("https://www.compass.com/listing/70-west-139th-street-unit-2b-manhattan-ny-10037/29515138914641713/","70 W 139th St, Unit 2B")</f>
        <v>70 W 139th St, Unit 2B</v>
      </c>
      <c r="B4447" s="2" t="str">
        <f t="shared" ref="B4447:B4449" si="750">HYPERLINK("https://www.compass.com/building/70-w-139th-st-manhattan-ny-10037/292920118235647477/","70 W 139th St")</f>
        <v>70 W 139th St</v>
      </c>
      <c r="C4447" s="1" t="s">
        <v>85</v>
      </c>
      <c r="D4447" s="1" t="s">
        <v>41</v>
      </c>
      <c r="E4447" s="3">
        <v>870000</v>
      </c>
      <c r="F4447" s="1">
        <v>865.67164179104395</v>
      </c>
      <c r="G4447" s="1">
        <v>4</v>
      </c>
      <c r="H4447" s="1">
        <v>2</v>
      </c>
      <c r="I4447" s="1">
        <v>2</v>
      </c>
      <c r="J4447" s="1">
        <v>2</v>
      </c>
      <c r="M4447" s="4">
        <v>1005</v>
      </c>
      <c r="N4447" s="1">
        <v>710</v>
      </c>
      <c r="O4447" s="1">
        <v>710</v>
      </c>
      <c r="Q4447" s="1" t="s">
        <v>42</v>
      </c>
      <c r="S4447" s="1" t="s">
        <v>42</v>
      </c>
      <c r="T4447" s="1" t="s">
        <v>273</v>
      </c>
      <c r="U4447" s="1">
        <v>152</v>
      </c>
      <c r="V4447" s="5">
        <v>43648</v>
      </c>
      <c r="W4447" s="5">
        <v>43068</v>
      </c>
      <c r="X4447" s="1">
        <v>949000</v>
      </c>
      <c r="Y4447" s="1">
        <v>895000</v>
      </c>
      <c r="Z4447" s="5">
        <v>43220</v>
      </c>
      <c r="AA4447" s="1">
        <v>870000</v>
      </c>
      <c r="AB4447" s="1" t="s">
        <v>3137</v>
      </c>
      <c r="AC4447" s="5">
        <v>43462</v>
      </c>
      <c r="AF4447" s="1">
        <v>10037</v>
      </c>
      <c r="AI4447" s="1" t="s">
        <v>111</v>
      </c>
      <c r="AJ4447" s="1">
        <v>2018</v>
      </c>
      <c r="AK4447" s="1" t="s">
        <v>257</v>
      </c>
      <c r="AL4447" s="1">
        <v>64</v>
      </c>
    </row>
    <row r="4448" spans="1:38" x14ac:dyDescent="0.2">
      <c r="A4448" s="2" t="str">
        <f>HYPERLINK("https://www.compass.com/listing/70-west-139th-street-unit-1b-manhattan-ny-10037/29676887366195617/","70 W 139th St, Unit 1B")</f>
        <v>70 W 139th St, Unit 1B</v>
      </c>
      <c r="B4448" s="2" t="str">
        <f t="shared" si="750"/>
        <v>70 W 139th St</v>
      </c>
      <c r="C4448" s="1" t="s">
        <v>85</v>
      </c>
      <c r="D4448" s="1" t="s">
        <v>41</v>
      </c>
      <c r="E4448" s="3">
        <v>895000</v>
      </c>
      <c r="F4448" s="1">
        <v>886.13861386138603</v>
      </c>
      <c r="G4448" s="1">
        <v>5</v>
      </c>
      <c r="H4448" s="1">
        <v>2</v>
      </c>
      <c r="I4448" s="1">
        <v>2</v>
      </c>
      <c r="J4448" s="1">
        <v>2</v>
      </c>
      <c r="M4448" s="4">
        <v>1010</v>
      </c>
      <c r="N4448" s="1">
        <v>747</v>
      </c>
      <c r="O4448" s="1">
        <v>747</v>
      </c>
      <c r="Q4448" s="1" t="s">
        <v>42</v>
      </c>
      <c r="S4448" s="1" t="s">
        <v>42</v>
      </c>
      <c r="T4448" s="1" t="s">
        <v>273</v>
      </c>
      <c r="U4448" s="1">
        <v>210</v>
      </c>
      <c r="V4448" s="5">
        <v>43647</v>
      </c>
      <c r="W4448" s="5">
        <v>43118</v>
      </c>
      <c r="X4448" s="1">
        <v>1100000</v>
      </c>
      <c r="Y4448" s="1">
        <v>895000</v>
      </c>
      <c r="Z4448" s="5">
        <v>43328</v>
      </c>
      <c r="AA4448" s="1">
        <v>895000</v>
      </c>
      <c r="AB4448" s="1" t="s">
        <v>3138</v>
      </c>
      <c r="AC4448" s="5">
        <v>43446</v>
      </c>
      <c r="AF4448" s="1">
        <v>10037</v>
      </c>
      <c r="AI4448" s="1" t="s">
        <v>225</v>
      </c>
      <c r="AJ4448" s="1">
        <v>2018</v>
      </c>
      <c r="AK4448" s="1" t="s">
        <v>257</v>
      </c>
      <c r="AL4448" s="1">
        <v>64</v>
      </c>
    </row>
    <row r="4449" spans="1:38" x14ac:dyDescent="0.2">
      <c r="A4449" s="2" t="str">
        <f>HYPERLINK("https://www.compass.com/listing/70-west-139th-street-unit-8b-manhattan-ny-10037/90444403205757729/","70 W 139th St, Unit 8B")</f>
        <v>70 W 139th St, Unit 8B</v>
      </c>
      <c r="B4449" s="2" t="str">
        <f t="shared" si="750"/>
        <v>70 W 139th St</v>
      </c>
      <c r="C4449" s="1" t="s">
        <v>85</v>
      </c>
      <c r="D4449" s="1" t="s">
        <v>41</v>
      </c>
      <c r="E4449" s="3">
        <v>985000</v>
      </c>
      <c r="F4449" s="1">
        <v>980.09950248756195</v>
      </c>
      <c r="G4449" s="1">
        <v>4</v>
      </c>
      <c r="H4449" s="1">
        <v>2</v>
      </c>
      <c r="I4449" s="1">
        <v>2</v>
      </c>
      <c r="J4449" s="1">
        <v>2</v>
      </c>
      <c r="M4449" s="4">
        <v>1005</v>
      </c>
      <c r="N4449" s="1">
        <v>699</v>
      </c>
      <c r="O4449" s="1">
        <v>729</v>
      </c>
      <c r="P4449" s="1">
        <v>30</v>
      </c>
      <c r="Q4449" s="1" t="s">
        <v>42</v>
      </c>
      <c r="S4449" s="1" t="s">
        <v>42</v>
      </c>
      <c r="T4449" s="1" t="s">
        <v>273</v>
      </c>
      <c r="U4449" s="1">
        <v>52</v>
      </c>
      <c r="V4449" s="5">
        <v>43641</v>
      </c>
      <c r="W4449" s="5">
        <v>43377</v>
      </c>
      <c r="X4449" s="1">
        <v>995000</v>
      </c>
      <c r="Y4449" s="1">
        <v>995000</v>
      </c>
      <c r="Z4449" s="5">
        <v>43429</v>
      </c>
      <c r="AA4449" s="1">
        <v>985000</v>
      </c>
      <c r="AB4449" s="1" t="s">
        <v>3139</v>
      </c>
      <c r="AC4449" s="5">
        <v>43496</v>
      </c>
      <c r="AF4449" s="1">
        <v>10037</v>
      </c>
      <c r="AI4449" s="1" t="s">
        <v>111</v>
      </c>
      <c r="AJ4449" s="1">
        <v>2018</v>
      </c>
      <c r="AK4449" s="1" t="s">
        <v>108</v>
      </c>
      <c r="AL4449" s="1">
        <v>64</v>
      </c>
    </row>
    <row r="4450" spans="1:38" x14ac:dyDescent="0.2">
      <c r="A4450" s="2" t="str">
        <f>HYPERLINK("https://www.compass.com/listing/425-west-50th-street-unit-12c-manhattan-ny-10019/29389212470004033/","425 W 50th St, Unit 12C")</f>
        <v>425 W 50th St, Unit 12C</v>
      </c>
      <c r="B4450" s="2" t="str">
        <f>HYPERLINK("https://www.compass.com/building/stella-tower-manhattan-ny/281945855710262181/","Stella Tower")</f>
        <v>Stella Tower</v>
      </c>
      <c r="C4450" s="1" t="s">
        <v>90</v>
      </c>
      <c r="D4450" s="1" t="s">
        <v>41</v>
      </c>
      <c r="E4450" s="3">
        <v>3767525</v>
      </c>
      <c r="F4450" s="1">
        <v>2247.9266109785199</v>
      </c>
      <c r="G4450" s="1">
        <v>4</v>
      </c>
      <c r="H4450" s="1">
        <v>2</v>
      </c>
      <c r="I4450" s="1">
        <v>2</v>
      </c>
      <c r="J4450" s="1">
        <v>2</v>
      </c>
      <c r="M4450" s="4">
        <v>1676</v>
      </c>
      <c r="N4450" s="1">
        <v>1898</v>
      </c>
      <c r="O4450" s="1">
        <v>3060</v>
      </c>
      <c r="P4450" s="1">
        <v>1162</v>
      </c>
      <c r="Q4450" s="1" t="s">
        <v>42</v>
      </c>
      <c r="S4450" s="1" t="s">
        <v>42</v>
      </c>
      <c r="T4450" s="1" t="s">
        <v>273</v>
      </c>
      <c r="U4450" s="1">
        <v>132</v>
      </c>
      <c r="V4450" s="5">
        <v>43670</v>
      </c>
      <c r="W4450" s="5">
        <v>41860</v>
      </c>
      <c r="X4450" s="1">
        <v>3700000</v>
      </c>
      <c r="Y4450" s="1">
        <v>3700000</v>
      </c>
      <c r="AA4450" s="1">
        <v>3767525</v>
      </c>
      <c r="AB4450" s="1" t="s">
        <v>3140</v>
      </c>
      <c r="AC4450" s="5">
        <v>42076</v>
      </c>
      <c r="AF4450" s="1">
        <v>10019</v>
      </c>
      <c r="AI4450" s="1" t="s">
        <v>80</v>
      </c>
      <c r="AJ4450" s="1">
        <v>1930</v>
      </c>
      <c r="AK4450" s="1" t="s">
        <v>46</v>
      </c>
      <c r="AL4450" s="1">
        <v>51</v>
      </c>
    </row>
    <row r="4451" spans="1:38" x14ac:dyDescent="0.2">
      <c r="A4451" s="2" t="str">
        <f>HYPERLINK("https://www.compass.com/listing/172-madison-avenue-unit-5a-manhattan-ny-10016/29511873640549761/","172 Madison Ave, Unit 5A")</f>
        <v>172 Madison Ave, Unit 5A</v>
      </c>
      <c r="B4451" s="2" t="str">
        <f t="shared" ref="B4451:B4452" si="751">HYPERLINK("https://www.compass.com/building/172-madison-ave-manhattan-ny-10016/281937956250376981/","172 Madison Ave")</f>
        <v>172 Madison Ave</v>
      </c>
      <c r="C4451" s="1" t="s">
        <v>120</v>
      </c>
      <c r="D4451" s="1" t="s">
        <v>41</v>
      </c>
      <c r="E4451" s="3">
        <v>2750000</v>
      </c>
      <c r="F4451" s="1">
        <v>1859.3644354293399</v>
      </c>
      <c r="G4451" s="1">
        <v>4</v>
      </c>
      <c r="H4451" s="1">
        <v>2</v>
      </c>
      <c r="I4451" s="1">
        <v>2</v>
      </c>
      <c r="J4451" s="1">
        <v>2.5</v>
      </c>
      <c r="K4451" s="1">
        <v>2</v>
      </c>
      <c r="L4451" s="1">
        <v>1</v>
      </c>
      <c r="M4451" s="4">
        <v>1479</v>
      </c>
      <c r="N4451" s="1">
        <v>2211</v>
      </c>
      <c r="O4451" s="1">
        <v>5292</v>
      </c>
      <c r="P4451" s="1">
        <v>3081</v>
      </c>
      <c r="Q4451" s="1" t="s">
        <v>42</v>
      </c>
      <c r="S4451" s="1" t="s">
        <v>42</v>
      </c>
      <c r="T4451" s="1" t="s">
        <v>273</v>
      </c>
      <c r="V4451" s="5">
        <v>43684</v>
      </c>
      <c r="W4451" s="5">
        <v>43266</v>
      </c>
      <c r="X4451" s="1">
        <v>3375000</v>
      </c>
      <c r="Y4451" s="1">
        <v>3375000</v>
      </c>
      <c r="Z4451" s="5">
        <v>43266</v>
      </c>
      <c r="AA4451" s="1">
        <v>2750000</v>
      </c>
      <c r="AB4451" s="1" t="s">
        <v>3141</v>
      </c>
      <c r="AC4451" s="5">
        <v>43313</v>
      </c>
      <c r="AF4451" s="1">
        <v>10016</v>
      </c>
      <c r="AJ4451" s="1">
        <v>2016</v>
      </c>
      <c r="AK4451" s="1" t="s">
        <v>46</v>
      </c>
      <c r="AL4451" s="1">
        <v>72</v>
      </c>
    </row>
    <row r="4452" spans="1:38" x14ac:dyDescent="0.2">
      <c r="A4452" s="2" t="str">
        <f>HYPERLINK("https://www.compass.com/listing/172-madison-avenue-unit-10a-manhattan-ny-10016/803417060763693793/","172 Madison Ave, Unit 10A")</f>
        <v>172 Madison Ave, Unit 10A</v>
      </c>
      <c r="B4452" s="2" t="str">
        <f t="shared" si="751"/>
        <v>172 Madison Ave</v>
      </c>
      <c r="C4452" s="1" t="s">
        <v>120</v>
      </c>
      <c r="D4452" s="1" t="s">
        <v>41</v>
      </c>
      <c r="E4452" s="3">
        <v>2752941</v>
      </c>
      <c r="F4452" s="1">
        <v>1861.35273833671</v>
      </c>
      <c r="G4452" s="1">
        <v>4</v>
      </c>
      <c r="H4452" s="1">
        <v>2</v>
      </c>
      <c r="I4452" s="1">
        <v>3</v>
      </c>
      <c r="J4452" s="1">
        <v>2.5</v>
      </c>
      <c r="K4452" s="1">
        <v>2</v>
      </c>
      <c r="L4452" s="1">
        <v>1</v>
      </c>
      <c r="M4452" s="4">
        <v>1479</v>
      </c>
      <c r="N4452" s="1">
        <v>2210.52</v>
      </c>
      <c r="O4452" s="1">
        <v>5290.52</v>
      </c>
      <c r="P4452" s="1">
        <v>3080</v>
      </c>
      <c r="Q4452" s="1" t="s">
        <v>2921</v>
      </c>
      <c r="S4452" s="1" t="s">
        <v>100</v>
      </c>
      <c r="T4452" s="1" t="s">
        <v>273</v>
      </c>
      <c r="V4452" s="5">
        <v>43622</v>
      </c>
      <c r="W4452" s="5">
        <v>43348</v>
      </c>
      <c r="X4452" s="1">
        <v>3500000</v>
      </c>
      <c r="Y4452" s="1">
        <v>3500000</v>
      </c>
      <c r="Z4452" s="5">
        <v>43349</v>
      </c>
      <c r="AA4452" s="1">
        <v>2752940.7</v>
      </c>
      <c r="AB4452" s="1" t="s">
        <v>3142</v>
      </c>
      <c r="AC4452" s="5">
        <v>43656</v>
      </c>
      <c r="AF4452" s="1">
        <v>10016</v>
      </c>
      <c r="AJ4452" s="1">
        <v>2016</v>
      </c>
      <c r="AK4452" s="1" t="s">
        <v>46</v>
      </c>
      <c r="AL4452" s="1">
        <v>72</v>
      </c>
    </row>
    <row r="4453" spans="1:38" x14ac:dyDescent="0.2">
      <c r="A4453" s="2" t="str">
        <f>HYPERLINK("https://www.compass.com/listing/1-west-end-avenue-unit-37d-manhattan-ny-10069/594776095776473833/","1 W End Ave, Unit 37D")</f>
        <v>1 W End Ave, Unit 37D</v>
      </c>
      <c r="B4453" s="2" t="str">
        <f>HYPERLINK("https://www.compass.com/building/1-w-end-ave-manhattan-ny-10069/455676159137755317/","1 W End Ave")</f>
        <v>1 W End Ave</v>
      </c>
      <c r="C4453" s="1" t="s">
        <v>57</v>
      </c>
      <c r="D4453" s="1" t="s">
        <v>41</v>
      </c>
      <c r="E4453" s="3">
        <v>5350000</v>
      </c>
      <c r="F4453" s="1">
        <v>2153.7842190016099</v>
      </c>
      <c r="G4453" s="1">
        <v>6.5</v>
      </c>
      <c r="H4453" s="1">
        <v>3</v>
      </c>
      <c r="I4453" s="1">
        <v>4</v>
      </c>
      <c r="J4453" s="1">
        <v>3.5</v>
      </c>
      <c r="K4453" s="1">
        <v>3</v>
      </c>
      <c r="L4453" s="1">
        <v>1</v>
      </c>
      <c r="M4453" s="4">
        <v>2484</v>
      </c>
      <c r="N4453" s="1">
        <v>2840</v>
      </c>
      <c r="O4453" s="1">
        <v>3000</v>
      </c>
      <c r="P4453" s="1">
        <v>160</v>
      </c>
      <c r="Q4453" s="1" t="s">
        <v>42</v>
      </c>
      <c r="S4453" s="1" t="s">
        <v>42</v>
      </c>
      <c r="T4453" s="1" t="s">
        <v>273</v>
      </c>
      <c r="U4453" s="1">
        <v>3</v>
      </c>
      <c r="V4453" s="5">
        <v>44345</v>
      </c>
      <c r="W4453" s="5">
        <v>44235</v>
      </c>
      <c r="Y4453" s="1">
        <v>5750000</v>
      </c>
      <c r="Z4453" s="5">
        <v>44238</v>
      </c>
      <c r="AA4453" s="1">
        <v>5350000</v>
      </c>
      <c r="AB4453" s="1" t="s">
        <v>3143</v>
      </c>
      <c r="AC4453" s="5">
        <v>44330</v>
      </c>
      <c r="AF4453" s="1">
        <v>10069</v>
      </c>
      <c r="AI4453" s="1" t="s">
        <v>2054</v>
      </c>
      <c r="AJ4453" s="1">
        <v>2017</v>
      </c>
      <c r="AK4453" s="1" t="s">
        <v>55</v>
      </c>
      <c r="AL4453" s="1">
        <v>246</v>
      </c>
    </row>
    <row r="4454" spans="1:38" x14ac:dyDescent="0.2">
      <c r="A4454" s="2" t="str">
        <f>HYPERLINK("https://www.compass.com/listing/425-west-50th-street-unit-15f-manhattan-ny-10019/29389223845014209/","425 W 50th St, Unit 15F")</f>
        <v>425 W 50th St, Unit 15F</v>
      </c>
      <c r="B4454" s="2" t="str">
        <f>HYPERLINK("https://www.compass.com/building/stella-tower-manhattan-ny/281945855710262181/","Stella Tower")</f>
        <v>Stella Tower</v>
      </c>
      <c r="C4454" s="1" t="s">
        <v>90</v>
      </c>
      <c r="D4454" s="1" t="s">
        <v>41</v>
      </c>
      <c r="E4454" s="3">
        <v>5595283</v>
      </c>
      <c r="F4454" s="1">
        <v>2544.46703046839</v>
      </c>
      <c r="G4454" s="1">
        <v>5</v>
      </c>
      <c r="H4454" s="1">
        <v>3</v>
      </c>
      <c r="I4454" s="1">
        <v>4</v>
      </c>
      <c r="J4454" s="1">
        <v>0.5</v>
      </c>
      <c r="L4454" s="1">
        <v>1</v>
      </c>
      <c r="M4454" s="4">
        <v>2199</v>
      </c>
      <c r="N4454" s="1">
        <v>2497</v>
      </c>
      <c r="O4454" s="1">
        <v>4026</v>
      </c>
      <c r="P4454" s="1">
        <v>1529</v>
      </c>
      <c r="Q4454" s="1" t="s">
        <v>42</v>
      </c>
      <c r="S4454" s="1" t="s">
        <v>42</v>
      </c>
      <c r="T4454" s="1" t="s">
        <v>273</v>
      </c>
      <c r="U4454" s="1">
        <v>11</v>
      </c>
      <c r="V4454" s="5">
        <v>43661</v>
      </c>
      <c r="W4454" s="5">
        <v>42262</v>
      </c>
      <c r="X4454" s="1">
        <v>5495000</v>
      </c>
      <c r="Y4454" s="1">
        <v>5495000</v>
      </c>
      <c r="Z4454" s="5">
        <v>42273</v>
      </c>
      <c r="AA4454" s="1">
        <v>5595283</v>
      </c>
      <c r="AB4454" s="1" t="s">
        <v>3144</v>
      </c>
      <c r="AC4454" s="5">
        <v>42328</v>
      </c>
      <c r="AF4454" s="1">
        <v>10019</v>
      </c>
      <c r="AI4454" s="1" t="s">
        <v>80</v>
      </c>
      <c r="AJ4454" s="1">
        <v>1930</v>
      </c>
      <c r="AK4454" s="1" t="s">
        <v>46</v>
      </c>
      <c r="AL4454" s="1">
        <v>51</v>
      </c>
    </row>
    <row r="4455" spans="1:38" x14ac:dyDescent="0.2">
      <c r="A4455" s="2" t="str">
        <f>HYPERLINK("https://www.compass.com/listing/53-west-53rd-street-unit-55a-manhattan-ny-10019/801886905792580425/","53 W 53rd St, Unit 55A")</f>
        <v>53 W 53rd St, Unit 55A</v>
      </c>
      <c r="B4455" s="2" t="str">
        <f>HYPERLINK("https://www.compass.com/building/53-west-53-manhattan-ny/281946357818781477/","53 West 53")</f>
        <v>53 West 53</v>
      </c>
      <c r="C4455" s="1" t="s">
        <v>139</v>
      </c>
      <c r="D4455" s="1" t="s">
        <v>41</v>
      </c>
      <c r="E4455" s="3">
        <v>19725000</v>
      </c>
      <c r="F4455" s="1">
        <v>5128.7051482059196</v>
      </c>
      <c r="G4455" s="1">
        <v>5.5</v>
      </c>
      <c r="H4455" s="1">
        <v>3</v>
      </c>
      <c r="I4455" s="1">
        <v>4</v>
      </c>
      <c r="J4455" s="1">
        <v>3.5</v>
      </c>
      <c r="K4455" s="1">
        <v>3</v>
      </c>
      <c r="L4455" s="1">
        <v>1</v>
      </c>
      <c r="M4455" s="4">
        <v>3846</v>
      </c>
      <c r="N4455" s="1">
        <v>9223</v>
      </c>
      <c r="O4455" s="1">
        <v>13062</v>
      </c>
      <c r="P4455" s="1">
        <v>3839</v>
      </c>
      <c r="Q4455" s="1" t="s">
        <v>42</v>
      </c>
      <c r="S4455" s="1" t="s">
        <v>42</v>
      </c>
      <c r="T4455" s="1" t="s">
        <v>273</v>
      </c>
      <c r="U4455" s="1">
        <v>1</v>
      </c>
      <c r="V4455" s="5">
        <v>44415</v>
      </c>
      <c r="W4455" s="5">
        <v>44357</v>
      </c>
      <c r="X4455" s="1">
        <v>1</v>
      </c>
      <c r="Y4455" s="1">
        <v>19725000</v>
      </c>
      <c r="Z4455" s="5">
        <v>44358</v>
      </c>
      <c r="AA4455" s="1">
        <v>19725000</v>
      </c>
      <c r="AB4455" s="1" t="s">
        <v>275</v>
      </c>
      <c r="AC4455" s="5">
        <v>44408</v>
      </c>
      <c r="AF4455" s="1">
        <v>10019</v>
      </c>
      <c r="AJ4455" s="1">
        <v>2018</v>
      </c>
      <c r="AK4455" s="1" t="s">
        <v>49</v>
      </c>
      <c r="AL4455" s="1">
        <v>145</v>
      </c>
    </row>
    <row r="4456" spans="1:38" x14ac:dyDescent="0.2">
      <c r="A4456" s="2" t="str">
        <f>HYPERLINK("https://www.compass.com/listing/425-west-50th-street-unit-14e-manhattan-ny-10019/29389220657285665/","425 W 50th St, Unit 14E")</f>
        <v>425 W 50th St, Unit 14E</v>
      </c>
      <c r="B4456" s="2" t="str">
        <f>HYPERLINK("https://www.compass.com/building/stella-tower-manhattan-ny/281945855710262181/","Stella Tower")</f>
        <v>Stella Tower</v>
      </c>
      <c r="C4456" s="1" t="s">
        <v>90</v>
      </c>
      <c r="D4456" s="1" t="s">
        <v>41</v>
      </c>
      <c r="E4456" s="3">
        <v>5345813</v>
      </c>
      <c r="F4456" s="1">
        <v>3095.4331210190999</v>
      </c>
      <c r="G4456" s="1">
        <v>4</v>
      </c>
      <c r="H4456" s="1">
        <v>2</v>
      </c>
      <c r="I4456" s="1">
        <v>3</v>
      </c>
      <c r="J4456" s="1">
        <v>2.5</v>
      </c>
      <c r="M4456" s="4">
        <v>1727</v>
      </c>
      <c r="N4456" s="1">
        <v>2069</v>
      </c>
      <c r="O4456" s="1">
        <v>3336</v>
      </c>
      <c r="P4456" s="1">
        <v>1267</v>
      </c>
      <c r="Q4456" s="1" t="s">
        <v>42</v>
      </c>
      <c r="S4456" s="1" t="s">
        <v>42</v>
      </c>
      <c r="T4456" s="1" t="s">
        <v>273</v>
      </c>
      <c r="V4456" s="5">
        <v>43655</v>
      </c>
      <c r="W4456" s="5">
        <v>41976</v>
      </c>
      <c r="X4456" s="1">
        <v>5250000</v>
      </c>
      <c r="Y4456" s="1">
        <v>5250000</v>
      </c>
      <c r="Z4456" s="5">
        <v>41976</v>
      </c>
      <c r="AA4456" s="1">
        <v>5345813</v>
      </c>
      <c r="AB4456" s="1" t="s">
        <v>3145</v>
      </c>
      <c r="AC4456" s="5">
        <v>42018</v>
      </c>
      <c r="AF4456" s="1">
        <v>10019</v>
      </c>
      <c r="AI4456" s="1" t="s">
        <v>152</v>
      </c>
      <c r="AJ4456" s="1">
        <v>1930</v>
      </c>
      <c r="AK4456" s="1" t="s">
        <v>46</v>
      </c>
      <c r="AL4456" s="1">
        <v>51</v>
      </c>
    </row>
    <row r="4457" spans="1:38" x14ac:dyDescent="0.2">
      <c r="A4457" s="2" t="str">
        <f>HYPERLINK("https://www.compass.com/listing/1-west-end-avenue-unit-9a-manhattan-ny-10069/29397322416803473/","1 W End Ave, Unit 9A")</f>
        <v>1 W End Ave, Unit 9A</v>
      </c>
      <c r="B4457" s="2" t="str">
        <f t="shared" ref="B4457:B4459" si="752">HYPERLINK("https://www.compass.com/building/1-w-end-ave-manhattan-ny-10069/455676159137755317/","1 W End Ave")</f>
        <v>1 W End Ave</v>
      </c>
      <c r="C4457" s="1" t="s">
        <v>57</v>
      </c>
      <c r="D4457" s="1" t="s">
        <v>41</v>
      </c>
      <c r="E4457" s="3">
        <v>4314768</v>
      </c>
      <c r="F4457" s="1">
        <v>1585.7287761852201</v>
      </c>
      <c r="G4457" s="1">
        <v>6</v>
      </c>
      <c r="H4457" s="1">
        <v>3</v>
      </c>
      <c r="I4457" s="1">
        <v>4</v>
      </c>
      <c r="J4457" s="1">
        <v>3.5</v>
      </c>
      <c r="M4457" s="4">
        <v>2721</v>
      </c>
      <c r="N4457" s="1">
        <v>3046</v>
      </c>
      <c r="O4457" s="1">
        <v>3217</v>
      </c>
      <c r="P4457" s="1">
        <v>171</v>
      </c>
      <c r="Q4457" s="1" t="s">
        <v>42</v>
      </c>
      <c r="S4457" s="1" t="s">
        <v>42</v>
      </c>
      <c r="T4457" s="1" t="s">
        <v>273</v>
      </c>
      <c r="U4457" s="1">
        <v>22</v>
      </c>
      <c r="V4457" s="5">
        <v>43630</v>
      </c>
      <c r="W4457" s="5">
        <v>42999</v>
      </c>
      <c r="X4457" s="1">
        <v>4815000</v>
      </c>
      <c r="Y4457" s="1">
        <v>4815000</v>
      </c>
      <c r="Z4457" s="5">
        <v>43021</v>
      </c>
      <c r="AA4457" s="1">
        <v>4314768</v>
      </c>
      <c r="AB4457" s="1" t="s">
        <v>3146</v>
      </c>
      <c r="AC4457" s="5">
        <v>43074</v>
      </c>
      <c r="AF4457" s="1">
        <v>10069</v>
      </c>
      <c r="AI4457" s="1" t="s">
        <v>60</v>
      </c>
      <c r="AJ4457" s="1">
        <v>2017</v>
      </c>
      <c r="AK4457" s="1" t="s">
        <v>55</v>
      </c>
      <c r="AL4457" s="1">
        <v>246</v>
      </c>
    </row>
    <row r="4458" spans="1:38" x14ac:dyDescent="0.2">
      <c r="A4458" s="2" t="str">
        <f>HYPERLINK("https://www.compass.com/listing/1-west-end-avenue-unit-14a-manhattan-ny-10069/29397324304316545/","1 W End Ave, Unit 14A")</f>
        <v>1 W End Ave, Unit 14A</v>
      </c>
      <c r="B4458" s="2" t="str">
        <f t="shared" si="752"/>
        <v>1 W End Ave</v>
      </c>
      <c r="C4458" s="1" t="s">
        <v>57</v>
      </c>
      <c r="D4458" s="1" t="s">
        <v>41</v>
      </c>
      <c r="E4458" s="3">
        <v>4641606</v>
      </c>
      <c r="F4458" s="1">
        <v>1705.84564498346</v>
      </c>
      <c r="G4458" s="1">
        <v>6</v>
      </c>
      <c r="H4458" s="1">
        <v>3</v>
      </c>
      <c r="I4458" s="1">
        <v>4</v>
      </c>
      <c r="J4458" s="1">
        <v>3.5</v>
      </c>
      <c r="M4458" s="4">
        <v>2721</v>
      </c>
      <c r="N4458" s="1">
        <v>3046</v>
      </c>
      <c r="O4458" s="1">
        <v>3217</v>
      </c>
      <c r="P4458" s="1">
        <v>171</v>
      </c>
      <c r="Q4458" s="1" t="s">
        <v>42</v>
      </c>
      <c r="S4458" s="1" t="s">
        <v>42</v>
      </c>
      <c r="T4458" s="1" t="s">
        <v>273</v>
      </c>
      <c r="U4458" s="1">
        <v>88</v>
      </c>
      <c r="V4458" s="5">
        <v>43673</v>
      </c>
      <c r="W4458" s="5">
        <v>42910</v>
      </c>
      <c r="X4458" s="1">
        <v>4975000</v>
      </c>
      <c r="Y4458" s="1">
        <v>4975000</v>
      </c>
      <c r="Z4458" s="5">
        <v>42998</v>
      </c>
      <c r="AA4458" s="1">
        <v>4641606</v>
      </c>
      <c r="AB4458" s="1" t="s">
        <v>3147</v>
      </c>
      <c r="AC4458" s="5">
        <v>43055</v>
      </c>
      <c r="AF4458" s="1">
        <v>10069</v>
      </c>
      <c r="AI4458" s="1" t="s">
        <v>60</v>
      </c>
      <c r="AJ4458" s="1">
        <v>2017</v>
      </c>
      <c r="AK4458" s="1" t="s">
        <v>55</v>
      </c>
      <c r="AL4458" s="1">
        <v>246</v>
      </c>
    </row>
    <row r="4459" spans="1:38" x14ac:dyDescent="0.2">
      <c r="A4459" s="2" t="str">
        <f>HYPERLINK("https://www.compass.com/listing/1-west-end-avenue-unit-15a-manhattan-ny-10069/29397324673320769/","1 W End Ave, Unit 15A")</f>
        <v>1 W End Ave, Unit 15A</v>
      </c>
      <c r="B4459" s="2" t="str">
        <f t="shared" si="752"/>
        <v>1 W End Ave</v>
      </c>
      <c r="C4459" s="1" t="s">
        <v>57</v>
      </c>
      <c r="D4459" s="1" t="s">
        <v>41</v>
      </c>
      <c r="E4459" s="3">
        <v>4639755</v>
      </c>
      <c r="F4459" s="1">
        <v>1705.16538037486</v>
      </c>
      <c r="G4459" s="1">
        <v>4</v>
      </c>
      <c r="H4459" s="1">
        <v>3</v>
      </c>
      <c r="I4459" s="1">
        <v>4</v>
      </c>
      <c r="J4459" s="1">
        <v>3.5</v>
      </c>
      <c r="K4459" s="1">
        <v>3</v>
      </c>
      <c r="L4459" s="1">
        <v>1</v>
      </c>
      <c r="M4459" s="4">
        <v>2721</v>
      </c>
      <c r="N4459" s="1">
        <v>3043</v>
      </c>
      <c r="O4459" s="1">
        <v>3214</v>
      </c>
      <c r="P4459" s="1">
        <v>171</v>
      </c>
      <c r="Q4459" s="1" t="s">
        <v>42</v>
      </c>
      <c r="S4459" s="1" t="s">
        <v>42</v>
      </c>
      <c r="T4459" s="1" t="s">
        <v>273</v>
      </c>
      <c r="U4459" s="1">
        <v>51</v>
      </c>
      <c r="V4459" s="5">
        <v>43654</v>
      </c>
      <c r="W4459" s="5">
        <v>43034</v>
      </c>
      <c r="X4459" s="1">
        <v>4995000</v>
      </c>
      <c r="Y4459" s="1">
        <v>4995000</v>
      </c>
      <c r="Z4459" s="5">
        <v>43085</v>
      </c>
      <c r="AA4459" s="1">
        <v>4639755</v>
      </c>
      <c r="AB4459" s="1" t="s">
        <v>3148</v>
      </c>
      <c r="AC4459" s="5">
        <v>43152</v>
      </c>
      <c r="AF4459" s="1">
        <v>10069</v>
      </c>
      <c r="AI4459" s="1" t="s">
        <v>60</v>
      </c>
      <c r="AJ4459" s="1">
        <v>2017</v>
      </c>
      <c r="AK4459" s="1" t="s">
        <v>55</v>
      </c>
      <c r="AL4459" s="1">
        <v>246</v>
      </c>
    </row>
    <row r="4460" spans="1:38" x14ac:dyDescent="0.2">
      <c r="A4460" s="2" t="str">
        <f>HYPERLINK("https://www.compass.com/listing/325-lexington-avenue-unit-15e-manhattan-ny-10016/803323148988134041/","325 Lexington Ave, Unit 15E")</f>
        <v>325 Lexington Ave, Unit 15E</v>
      </c>
      <c r="B4460" s="2" t="str">
        <f>HYPERLINK("https://www.compass.com/building/325-lex-condominium-manhattan-ny/281939882467713365/","325 Lex Condominium")</f>
        <v>325 Lex Condominium</v>
      </c>
      <c r="C4460" s="1" t="s">
        <v>59</v>
      </c>
      <c r="D4460" s="1" t="s">
        <v>41</v>
      </c>
      <c r="E4460" s="3">
        <v>1191353</v>
      </c>
      <c r="F4460" s="1">
        <v>1847.05813953488</v>
      </c>
      <c r="G4460" s="1">
        <v>3</v>
      </c>
      <c r="H4460" s="1">
        <v>1</v>
      </c>
      <c r="I4460" s="1">
        <v>1</v>
      </c>
      <c r="J4460" s="1">
        <v>1</v>
      </c>
      <c r="K4460" s="1">
        <v>1</v>
      </c>
      <c r="M4460" s="1">
        <v>645</v>
      </c>
      <c r="Q4460" s="1" t="s">
        <v>42</v>
      </c>
      <c r="S4460" s="1" t="s">
        <v>42</v>
      </c>
      <c r="T4460" s="1" t="s">
        <v>273</v>
      </c>
      <c r="U4460" s="1">
        <v>125</v>
      </c>
      <c r="V4460" s="5">
        <v>42993</v>
      </c>
      <c r="W4460" s="5">
        <v>41985</v>
      </c>
      <c r="AA4460" s="1">
        <v>1191352.5</v>
      </c>
      <c r="AB4460" s="1" t="s">
        <v>2885</v>
      </c>
      <c r="AC4460" s="5">
        <v>42146</v>
      </c>
      <c r="AF4460" s="1">
        <v>10016</v>
      </c>
      <c r="AI4460" s="1" t="s">
        <v>60</v>
      </c>
      <c r="AJ4460" s="1">
        <v>2014</v>
      </c>
      <c r="AK4460" s="1" t="s">
        <v>108</v>
      </c>
      <c r="AL4460" s="1">
        <v>125</v>
      </c>
    </row>
    <row r="4461" spans="1:38" x14ac:dyDescent="0.2">
      <c r="A4461" s="2" t="str">
        <f>HYPERLINK("https://www.compass.com/listing/1-west-end-avenue-unit-10d-manhattan-ny-10069/29397349109354577/","1 W End Ave, Unit 10D")</f>
        <v>1 W End Ave, Unit 10D</v>
      </c>
      <c r="B4461" s="2" t="str">
        <f>HYPERLINK("https://www.compass.com/building/1-w-end-ave-manhattan-ny-10069/455676159137755317/","1 W End Ave")</f>
        <v>1 W End Ave</v>
      </c>
      <c r="C4461" s="1" t="s">
        <v>57</v>
      </c>
      <c r="D4461" s="1" t="s">
        <v>41</v>
      </c>
      <c r="E4461" s="3">
        <v>3761794</v>
      </c>
      <c r="F4461" s="1">
        <v>1867.8222442899701</v>
      </c>
      <c r="G4461" s="1">
        <v>5</v>
      </c>
      <c r="H4461" s="1">
        <v>3</v>
      </c>
      <c r="I4461" s="1">
        <v>3</v>
      </c>
      <c r="J4461" s="1">
        <v>3.5</v>
      </c>
      <c r="K4461" s="1">
        <v>3</v>
      </c>
      <c r="L4461" s="1">
        <v>1</v>
      </c>
      <c r="M4461" s="4">
        <v>2014</v>
      </c>
      <c r="N4461" s="1">
        <v>2347</v>
      </c>
      <c r="O4461" s="1">
        <v>2488</v>
      </c>
      <c r="P4461" s="1">
        <v>141</v>
      </c>
      <c r="Q4461" s="1" t="s">
        <v>42</v>
      </c>
      <c r="S4461" s="1" t="s">
        <v>42</v>
      </c>
      <c r="T4461" s="1" t="s">
        <v>273</v>
      </c>
      <c r="U4461" s="1">
        <v>104</v>
      </c>
      <c r="V4461" s="5">
        <v>43630</v>
      </c>
      <c r="W4461" s="5">
        <v>42369</v>
      </c>
      <c r="X4461" s="1">
        <v>3750000</v>
      </c>
      <c r="Y4461" s="1">
        <v>3750000</v>
      </c>
      <c r="Z4461" s="5">
        <v>42473</v>
      </c>
      <c r="AA4461" s="1">
        <v>3761794</v>
      </c>
      <c r="AB4461" s="1" t="s">
        <v>3149</v>
      </c>
      <c r="AC4461" s="5">
        <v>43025</v>
      </c>
      <c r="AF4461" s="1">
        <v>10069</v>
      </c>
      <c r="AI4461" s="1" t="s">
        <v>60</v>
      </c>
      <c r="AJ4461" s="1">
        <v>2017</v>
      </c>
      <c r="AK4461" s="1" t="s">
        <v>108</v>
      </c>
      <c r="AL4461" s="1">
        <v>246</v>
      </c>
    </row>
    <row r="4462" spans="1:38" x14ac:dyDescent="0.2">
      <c r="A4462" s="2" t="str">
        <f>HYPERLINK("https://www.compass.com/listing/425-west-50th-street-unit-16c-manhattan-ny-10019/29389226076394113/","425 W 50th St, Unit 16C")</f>
        <v>425 W 50th St, Unit 16C</v>
      </c>
      <c r="B4462" s="2" t="str">
        <f>HYPERLINK("https://www.compass.com/building/stella-tower-manhattan-ny/281945855710262181/","Stella Tower")</f>
        <v>Stella Tower</v>
      </c>
      <c r="C4462" s="1" t="s">
        <v>90</v>
      </c>
      <c r="D4462" s="1" t="s">
        <v>41</v>
      </c>
      <c r="E4462" s="3">
        <v>3515963</v>
      </c>
      <c r="F4462" s="1">
        <v>2035.8789808917099</v>
      </c>
      <c r="G4462" s="1">
        <v>4</v>
      </c>
      <c r="H4462" s="1">
        <v>2</v>
      </c>
      <c r="I4462" s="1">
        <v>3</v>
      </c>
      <c r="J4462" s="1">
        <v>2.5</v>
      </c>
      <c r="M4462" s="4">
        <v>1727</v>
      </c>
      <c r="N4462" s="1">
        <v>1963</v>
      </c>
      <c r="O4462" s="1">
        <v>3959</v>
      </c>
      <c r="P4462" s="1">
        <v>1996</v>
      </c>
      <c r="Q4462" s="1" t="s">
        <v>42</v>
      </c>
      <c r="S4462" s="1" t="s">
        <v>42</v>
      </c>
      <c r="T4462" s="1" t="s">
        <v>273</v>
      </c>
      <c r="U4462" s="1">
        <v>400</v>
      </c>
      <c r="V4462" s="5">
        <v>43682</v>
      </c>
      <c r="W4462" s="5">
        <v>42355</v>
      </c>
      <c r="X4462" s="1">
        <v>4350000</v>
      </c>
      <c r="Y4462" s="1">
        <v>3495000</v>
      </c>
      <c r="Z4462" s="5">
        <v>42755</v>
      </c>
      <c r="AA4462" s="1">
        <v>3515963</v>
      </c>
      <c r="AB4462" s="1" t="s">
        <v>3084</v>
      </c>
      <c r="AC4462" s="5">
        <v>42826</v>
      </c>
      <c r="AF4462" s="1">
        <v>10019</v>
      </c>
      <c r="AI4462" s="1" t="s">
        <v>80</v>
      </c>
      <c r="AJ4462" s="1">
        <v>1930</v>
      </c>
      <c r="AK4462" s="1" t="s">
        <v>46</v>
      </c>
      <c r="AL4462" s="1">
        <v>51</v>
      </c>
    </row>
    <row r="4463" spans="1:38" x14ac:dyDescent="0.2">
      <c r="A4463" s="2" t="str">
        <f>HYPERLINK("https://www.compass.com/listing/285-west-110th-street-unit-3d-manhattan-ny-10026/4852274417478148033/","285 W 110th St, Unit 3D")</f>
        <v>285 W 110th St, Unit 3D</v>
      </c>
      <c r="B4463" s="2" t="str">
        <f>HYPERLINK("https://www.compass.com/building/circa-central-park-manhattan-ny/282059072692321269/","Circa Central Park")</f>
        <v>Circa Central Park</v>
      </c>
      <c r="C4463" s="1" t="s">
        <v>85</v>
      </c>
      <c r="D4463" s="1" t="s">
        <v>41</v>
      </c>
      <c r="E4463" s="3">
        <v>1033778</v>
      </c>
      <c r="F4463" s="1">
        <v>1578.2870229007599</v>
      </c>
      <c r="G4463" s="1">
        <v>3</v>
      </c>
      <c r="H4463" s="1">
        <v>1</v>
      </c>
      <c r="I4463" s="1">
        <v>1</v>
      </c>
      <c r="J4463" s="1">
        <v>1</v>
      </c>
      <c r="K4463" s="1">
        <v>1</v>
      </c>
      <c r="M4463" s="1">
        <v>655</v>
      </c>
      <c r="N4463" s="1">
        <v>633</v>
      </c>
      <c r="O4463" s="1">
        <v>696</v>
      </c>
      <c r="P4463" s="1">
        <v>63</v>
      </c>
      <c r="Q4463" s="1" t="s">
        <v>42</v>
      </c>
      <c r="S4463" s="1" t="s">
        <v>42</v>
      </c>
      <c r="T4463" s="1" t="s">
        <v>273</v>
      </c>
      <c r="V4463" s="5">
        <v>43664</v>
      </c>
      <c r="W4463" s="5">
        <v>42649</v>
      </c>
      <c r="X4463" s="1">
        <v>1075000</v>
      </c>
      <c r="Y4463" s="1">
        <v>1075000</v>
      </c>
      <c r="Z4463" s="5">
        <v>42649</v>
      </c>
      <c r="AA4463" s="1">
        <v>1033778</v>
      </c>
      <c r="AB4463" s="1" t="s">
        <v>275</v>
      </c>
      <c r="AC4463" s="5">
        <v>42924</v>
      </c>
      <c r="AF4463" s="1">
        <v>10026</v>
      </c>
      <c r="AI4463" s="1" t="s">
        <v>48</v>
      </c>
      <c r="AJ4463" s="1">
        <v>2017</v>
      </c>
      <c r="AK4463" s="1" t="s">
        <v>46</v>
      </c>
      <c r="AL4463" s="1">
        <v>38</v>
      </c>
    </row>
    <row r="4464" spans="1:38" x14ac:dyDescent="0.2">
      <c r="A4464" s="2" t="str">
        <f>HYPERLINK("https://www.compass.com/listing/425-west-50th-street-unit-10f-manhattan-ny-10019/29389205448806545/","425 W 50th St, Unit 10F")</f>
        <v>425 W 50th St, Unit 10F</v>
      </c>
      <c r="B4464" s="2" t="str">
        <f t="shared" ref="B4464:B4468" si="753">HYPERLINK("https://www.compass.com/building/stella-tower-manhattan-ny/281945855710262181/","Stella Tower")</f>
        <v>Stella Tower</v>
      </c>
      <c r="C4464" s="1" t="s">
        <v>90</v>
      </c>
      <c r="D4464" s="1" t="s">
        <v>41</v>
      </c>
      <c r="E4464" s="3">
        <v>4582125</v>
      </c>
      <c r="F4464" s="1">
        <v>2516.2685337726498</v>
      </c>
      <c r="G4464" s="1">
        <v>5</v>
      </c>
      <c r="H4464" s="1">
        <v>2</v>
      </c>
      <c r="I4464" s="1">
        <v>3</v>
      </c>
      <c r="J4464" s="1">
        <v>2.5</v>
      </c>
      <c r="M4464" s="4">
        <v>1821</v>
      </c>
      <c r="N4464" s="1">
        <v>2057</v>
      </c>
      <c r="O4464" s="1">
        <v>3317</v>
      </c>
      <c r="P4464" s="1">
        <v>1260</v>
      </c>
      <c r="Q4464" s="1" t="s">
        <v>42</v>
      </c>
      <c r="S4464" s="1" t="s">
        <v>42</v>
      </c>
      <c r="T4464" s="1" t="s">
        <v>273</v>
      </c>
      <c r="U4464" s="1">
        <v>91</v>
      </c>
      <c r="V4464" s="5">
        <v>43654</v>
      </c>
      <c r="W4464" s="5">
        <v>41976</v>
      </c>
      <c r="X4464" s="1">
        <v>4500000</v>
      </c>
      <c r="Y4464" s="1">
        <v>4500000</v>
      </c>
      <c r="Z4464" s="5">
        <v>42067</v>
      </c>
      <c r="AA4464" s="1">
        <v>4582125</v>
      </c>
      <c r="AB4464" s="1" t="s">
        <v>3150</v>
      </c>
      <c r="AC4464" s="5">
        <v>42088</v>
      </c>
      <c r="AF4464" s="1">
        <v>10019</v>
      </c>
      <c r="AI4464" s="1" t="s">
        <v>80</v>
      </c>
      <c r="AJ4464" s="1">
        <v>1930</v>
      </c>
      <c r="AK4464" s="1" t="s">
        <v>46</v>
      </c>
      <c r="AL4464" s="1">
        <v>51</v>
      </c>
    </row>
    <row r="4465" spans="1:38" x14ac:dyDescent="0.2">
      <c r="A4465" s="2" t="str">
        <f>HYPERLINK("https://www.compass.com/listing/425-west-50th-street-unit-14b-manhattan-ny-10019/29389218702739937/","425 W 50th St, Unit 14B")</f>
        <v>425 W 50th St, Unit 14B</v>
      </c>
      <c r="B4465" s="2" t="str">
        <f t="shared" si="753"/>
        <v>Stella Tower</v>
      </c>
      <c r="C4465" s="1" t="s">
        <v>90</v>
      </c>
      <c r="D4465" s="1" t="s">
        <v>41</v>
      </c>
      <c r="E4465" s="3">
        <v>4073000</v>
      </c>
      <c r="F4465" s="1">
        <v>2602.5559105431298</v>
      </c>
      <c r="G4465" s="1">
        <v>5</v>
      </c>
      <c r="H4465" s="1">
        <v>2</v>
      </c>
      <c r="I4465" s="1">
        <v>3</v>
      </c>
      <c r="J4465" s="1">
        <v>2.5</v>
      </c>
      <c r="K4465" s="1">
        <v>2</v>
      </c>
      <c r="L4465" s="1">
        <v>1</v>
      </c>
      <c r="M4465" s="4">
        <v>1565</v>
      </c>
      <c r="N4465" s="1">
        <v>1940</v>
      </c>
      <c r="O4465" s="1">
        <v>3128</v>
      </c>
      <c r="P4465" s="1">
        <v>1188</v>
      </c>
      <c r="Q4465" s="1" t="s">
        <v>42</v>
      </c>
      <c r="S4465" s="1" t="s">
        <v>42</v>
      </c>
      <c r="T4465" s="1" t="s">
        <v>273</v>
      </c>
      <c r="V4465" s="5">
        <v>44225</v>
      </c>
      <c r="W4465" s="5">
        <v>41976</v>
      </c>
      <c r="X4465" s="1">
        <v>4000000</v>
      </c>
      <c r="Y4465" s="1">
        <v>4000000</v>
      </c>
      <c r="Z4465" s="5">
        <v>41976</v>
      </c>
      <c r="AA4465" s="1">
        <v>4073000</v>
      </c>
      <c r="AB4465" s="1" t="s">
        <v>3151</v>
      </c>
      <c r="AC4465" s="5">
        <v>42073</v>
      </c>
      <c r="AF4465" s="1">
        <v>10019</v>
      </c>
      <c r="AI4465" s="1" t="s">
        <v>1612</v>
      </c>
      <c r="AJ4465" s="1">
        <v>1930</v>
      </c>
      <c r="AK4465" s="1" t="s">
        <v>46</v>
      </c>
      <c r="AL4465" s="1">
        <v>51</v>
      </c>
    </row>
    <row r="4466" spans="1:38" x14ac:dyDescent="0.2">
      <c r="A4466" s="2" t="str">
        <f>HYPERLINK("https://www.compass.com/listing/425-west-50th-street-unit-15e-manhattan-ny-10019/29389222544790081/","425 W 50th St, Unit 15E")</f>
        <v>425 W 50th St, Unit 15E</v>
      </c>
      <c r="B4466" s="2" t="str">
        <f t="shared" si="753"/>
        <v>Stella Tower</v>
      </c>
      <c r="C4466" s="1" t="s">
        <v>90</v>
      </c>
      <c r="D4466" s="1" t="s">
        <v>41</v>
      </c>
      <c r="E4466" s="3">
        <v>4073000</v>
      </c>
      <c r="F4466" s="1">
        <v>2358.4250144759699</v>
      </c>
      <c r="G4466" s="1">
        <v>4</v>
      </c>
      <c r="H4466" s="1">
        <v>2</v>
      </c>
      <c r="I4466" s="1">
        <v>3</v>
      </c>
      <c r="J4466" s="1">
        <v>2.5</v>
      </c>
      <c r="K4466" s="1">
        <v>2</v>
      </c>
      <c r="L4466" s="1">
        <v>1</v>
      </c>
      <c r="M4466" s="4">
        <v>1727</v>
      </c>
      <c r="N4466" s="1">
        <v>1961</v>
      </c>
      <c r="O4466" s="1">
        <v>3162</v>
      </c>
      <c r="P4466" s="1">
        <v>1201</v>
      </c>
      <c r="Q4466" s="1" t="s">
        <v>42</v>
      </c>
      <c r="S4466" s="1" t="s">
        <v>42</v>
      </c>
      <c r="T4466" s="1" t="s">
        <v>273</v>
      </c>
      <c r="V4466" s="5">
        <v>44352</v>
      </c>
      <c r="W4466" s="5">
        <v>41976</v>
      </c>
      <c r="X4466" s="1">
        <v>4000000</v>
      </c>
      <c r="Y4466" s="1">
        <v>4000000</v>
      </c>
      <c r="Z4466" s="5">
        <v>41976</v>
      </c>
      <c r="AA4466" s="1">
        <v>4073000</v>
      </c>
      <c r="AB4466" s="1" t="s">
        <v>3152</v>
      </c>
      <c r="AC4466" s="5">
        <v>42003</v>
      </c>
      <c r="AF4466" s="1">
        <v>10019</v>
      </c>
      <c r="AI4466" s="1" t="s">
        <v>80</v>
      </c>
      <c r="AJ4466" s="1">
        <v>1930</v>
      </c>
      <c r="AK4466" s="1" t="s">
        <v>46</v>
      </c>
      <c r="AL4466" s="1">
        <v>51</v>
      </c>
    </row>
    <row r="4467" spans="1:38" x14ac:dyDescent="0.2">
      <c r="A4467" s="2" t="str">
        <f>HYPERLINK("https://www.compass.com/listing/425-west-50th-street-unit-16a-manhattan-ny-10019/29389224893532817/","425 W 50th St, Unit 16A")</f>
        <v>425 W 50th St, Unit 16A</v>
      </c>
      <c r="B4467" s="2" t="str">
        <f t="shared" si="753"/>
        <v>Stella Tower</v>
      </c>
      <c r="C4467" s="1" t="s">
        <v>90</v>
      </c>
      <c r="D4467" s="1" t="s">
        <v>41</v>
      </c>
      <c r="E4467" s="3">
        <v>5905850</v>
      </c>
      <c r="F4467" s="1">
        <v>2593.6978480456701</v>
      </c>
      <c r="G4467" s="1">
        <v>4</v>
      </c>
      <c r="H4467" s="1">
        <v>2</v>
      </c>
      <c r="I4467" s="1">
        <v>3</v>
      </c>
      <c r="J4467" s="1">
        <v>2.5</v>
      </c>
      <c r="M4467" s="4">
        <v>2277</v>
      </c>
      <c r="N4467" s="1">
        <v>2794</v>
      </c>
      <c r="O4467" s="1">
        <v>4505</v>
      </c>
      <c r="P4467" s="1">
        <v>1711</v>
      </c>
      <c r="Q4467" s="1" t="s">
        <v>42</v>
      </c>
      <c r="S4467" s="1" t="s">
        <v>42</v>
      </c>
      <c r="T4467" s="1" t="s">
        <v>273</v>
      </c>
      <c r="V4467" s="5">
        <v>43654</v>
      </c>
      <c r="W4467" s="5">
        <v>41976</v>
      </c>
      <c r="X4467" s="1">
        <v>5800000</v>
      </c>
      <c r="Y4467" s="1">
        <v>5800000</v>
      </c>
      <c r="Z4467" s="5">
        <v>41976</v>
      </c>
      <c r="AA4467" s="1">
        <v>5905850</v>
      </c>
      <c r="AB4467" s="1" t="s">
        <v>3153</v>
      </c>
      <c r="AC4467" s="5">
        <v>42034</v>
      </c>
      <c r="AF4467" s="1">
        <v>10019</v>
      </c>
      <c r="AI4467" s="1" t="s">
        <v>152</v>
      </c>
      <c r="AJ4467" s="1">
        <v>1930</v>
      </c>
      <c r="AK4467" s="1" t="s">
        <v>46</v>
      </c>
      <c r="AL4467" s="1">
        <v>51</v>
      </c>
    </row>
    <row r="4468" spans="1:38" x14ac:dyDescent="0.2">
      <c r="A4468" s="2" t="str">
        <f>HYPERLINK("https://www.compass.com/listing/425-west-50th-street-unit-10g-manhattan-ny-10019/4852318249213244417/","425 W 50th St, Unit 10G")</f>
        <v>425 W 50th St, Unit 10G</v>
      </c>
      <c r="B4468" s="2" t="str">
        <f t="shared" si="753"/>
        <v>Stella Tower</v>
      </c>
      <c r="C4468" s="1" t="s">
        <v>90</v>
      </c>
      <c r="D4468" s="1" t="s">
        <v>41</v>
      </c>
      <c r="E4468" s="3">
        <v>4429387</v>
      </c>
      <c r="F4468" s="1">
        <v>2352.3032395114101</v>
      </c>
      <c r="G4468" s="1">
        <v>4</v>
      </c>
      <c r="H4468" s="1">
        <v>2</v>
      </c>
      <c r="I4468" s="1">
        <v>3</v>
      </c>
      <c r="J4468" s="1">
        <v>2.5</v>
      </c>
      <c r="M4468" s="4">
        <v>1883</v>
      </c>
      <c r="N4468" s="1">
        <v>2127</v>
      </c>
      <c r="O4468" s="1">
        <v>3429</v>
      </c>
      <c r="P4468" s="1">
        <v>1302</v>
      </c>
      <c r="Q4468" s="1" t="s">
        <v>42</v>
      </c>
      <c r="S4468" s="1" t="s">
        <v>42</v>
      </c>
      <c r="T4468" s="1" t="s">
        <v>273</v>
      </c>
      <c r="V4468" s="5">
        <v>43654</v>
      </c>
      <c r="W4468" s="5">
        <v>41976</v>
      </c>
      <c r="X4468" s="1">
        <v>4350000</v>
      </c>
      <c r="Y4468" s="1">
        <v>4350000</v>
      </c>
      <c r="Z4468" s="5">
        <v>41976</v>
      </c>
      <c r="AA4468" s="1">
        <v>4429387</v>
      </c>
      <c r="AB4468" s="1" t="s">
        <v>275</v>
      </c>
      <c r="AC4468" s="5">
        <v>42017</v>
      </c>
      <c r="AF4468" s="1">
        <v>10019</v>
      </c>
      <c r="AI4468" s="1" t="s">
        <v>80</v>
      </c>
      <c r="AJ4468" s="1">
        <v>1930</v>
      </c>
      <c r="AK4468" s="1" t="s">
        <v>46</v>
      </c>
      <c r="AL4468" s="1">
        <v>51</v>
      </c>
    </row>
    <row r="4469" spans="1:38" x14ac:dyDescent="0.2">
      <c r="A4469" s="2" t="str">
        <f>HYPERLINK("https://www.compass.com/listing/172-madison-avenue-unit-7a-manhattan-ny-10016/70927076412185009/","172 Madison Ave, Unit 7A")</f>
        <v>172 Madison Ave, Unit 7A</v>
      </c>
      <c r="B4469" s="2" t="str">
        <f>HYPERLINK("https://www.compass.com/building/172-madison-ave-manhattan-ny-10016/281937956250376981/","172 Madison Ave")</f>
        <v>172 Madison Ave</v>
      </c>
      <c r="C4469" s="1" t="s">
        <v>120</v>
      </c>
      <c r="D4469" s="1" t="s">
        <v>41</v>
      </c>
      <c r="E4469" s="3">
        <v>2600000</v>
      </c>
      <c r="F4469" s="1">
        <v>1757.9445571331901</v>
      </c>
      <c r="G4469" s="1">
        <v>4</v>
      </c>
      <c r="H4469" s="1">
        <v>2</v>
      </c>
      <c r="I4469" s="1">
        <v>3</v>
      </c>
      <c r="J4469" s="1">
        <v>2.5</v>
      </c>
      <c r="K4469" s="1">
        <v>2</v>
      </c>
      <c r="L4469" s="1">
        <v>1</v>
      </c>
      <c r="M4469" s="4">
        <v>1479</v>
      </c>
      <c r="N4469" s="1">
        <v>2211</v>
      </c>
      <c r="O4469" s="1">
        <v>5798</v>
      </c>
      <c r="P4469" s="1">
        <v>3587</v>
      </c>
      <c r="Q4469" s="1" t="s">
        <v>3154</v>
      </c>
      <c r="S4469" s="1" t="s">
        <v>100</v>
      </c>
      <c r="T4469" s="1" t="s">
        <v>273</v>
      </c>
      <c r="U4469" s="1">
        <v>347</v>
      </c>
      <c r="V4469" s="5">
        <v>43659</v>
      </c>
      <c r="W4469" s="5">
        <v>43174</v>
      </c>
      <c r="X4469" s="1">
        <v>3425000</v>
      </c>
      <c r="Y4469" s="1">
        <v>2725000</v>
      </c>
      <c r="AA4469" s="1">
        <v>2600000</v>
      </c>
      <c r="AB4469" s="1" t="s">
        <v>3155</v>
      </c>
      <c r="AC4469" s="5">
        <v>43682</v>
      </c>
      <c r="AF4469" s="1">
        <v>10016</v>
      </c>
      <c r="AI4469" s="1" t="s">
        <v>160</v>
      </c>
      <c r="AJ4469" s="1">
        <v>2016</v>
      </c>
      <c r="AK4469" s="1" t="s">
        <v>46</v>
      </c>
      <c r="AL4469" s="1">
        <v>72</v>
      </c>
    </row>
    <row r="4470" spans="1:38" x14ac:dyDescent="0.2">
      <c r="A4470" s="2" t="str">
        <f>HYPERLINK("https://www.compass.com/listing/1-west-end-avenue-unit-28f-manhattan-ny-10069/29397369644743505/","1 W End Ave, Unit 28F")</f>
        <v>1 W End Ave, Unit 28F</v>
      </c>
      <c r="B4470" s="2" t="str">
        <f>HYPERLINK("https://www.compass.com/building/1-w-end-ave-manhattan-ny-10069/455676159137755317/","1 W End Ave")</f>
        <v>1 W End Ave</v>
      </c>
      <c r="C4470" s="1" t="s">
        <v>57</v>
      </c>
      <c r="D4470" s="1" t="s">
        <v>41</v>
      </c>
      <c r="E4470" s="3">
        <v>6298800</v>
      </c>
      <c r="F4470" s="1">
        <v>2221.7989417989402</v>
      </c>
      <c r="G4470" s="1">
        <v>7</v>
      </c>
      <c r="H4470" s="1">
        <v>4</v>
      </c>
      <c r="I4470" s="1">
        <v>5</v>
      </c>
      <c r="J4470" s="1">
        <v>4.5</v>
      </c>
      <c r="M4470" s="4">
        <v>2835</v>
      </c>
      <c r="N4470" s="1">
        <v>3373</v>
      </c>
      <c r="O4470" s="1">
        <v>3563</v>
      </c>
      <c r="P4470" s="1">
        <v>190</v>
      </c>
      <c r="Q4470" s="1" t="s">
        <v>42</v>
      </c>
      <c r="S4470" s="1" t="s">
        <v>42</v>
      </c>
      <c r="T4470" s="1" t="s">
        <v>273</v>
      </c>
      <c r="V4470" s="5">
        <v>43626</v>
      </c>
      <c r="W4470" s="5">
        <v>43034</v>
      </c>
      <c r="X4470" s="1">
        <v>6675000</v>
      </c>
      <c r="Y4470" s="1">
        <v>6675000</v>
      </c>
      <c r="Z4470" s="5">
        <v>43034</v>
      </c>
      <c r="AA4470" s="1">
        <v>6298800</v>
      </c>
      <c r="AB4470" s="1" t="s">
        <v>3156</v>
      </c>
      <c r="AC4470" s="5">
        <v>43099</v>
      </c>
      <c r="AF4470" s="1">
        <v>10069</v>
      </c>
      <c r="AI4470" s="1" t="s">
        <v>60</v>
      </c>
      <c r="AJ4470" s="1">
        <v>2017</v>
      </c>
      <c r="AK4470" s="1" t="s">
        <v>55</v>
      </c>
      <c r="AL4470" s="1">
        <v>246</v>
      </c>
    </row>
    <row r="4471" spans="1:38" x14ac:dyDescent="0.2">
      <c r="A4471" s="2" t="str">
        <f>HYPERLINK("https://www.compass.com/listing/285-west-110th-street-unit-3b-manhattan-ny-10026/25002999097163985/","285 W 110th St, Unit 3B")</f>
        <v>285 W 110th St, Unit 3B</v>
      </c>
      <c r="B4471" s="2" t="str">
        <f t="shared" ref="B4471:B4473" si="754">HYPERLINK("https://www.compass.com/building/circa-central-park-manhattan-ny/282059072692321269/","Circa Central Park")</f>
        <v>Circa Central Park</v>
      </c>
      <c r="C4471" s="1" t="s">
        <v>85</v>
      </c>
      <c r="D4471" s="1" t="s">
        <v>41</v>
      </c>
      <c r="E4471" s="3">
        <v>1810957</v>
      </c>
      <c r="F4471" s="1">
        <v>1549.1505560307901</v>
      </c>
      <c r="G4471" s="1">
        <v>3</v>
      </c>
      <c r="H4471" s="1">
        <v>2</v>
      </c>
      <c r="I4471" s="1">
        <v>2</v>
      </c>
      <c r="J4471" s="1">
        <v>2</v>
      </c>
      <c r="K4471" s="1">
        <v>2</v>
      </c>
      <c r="M4471" s="4">
        <v>1169</v>
      </c>
      <c r="N4471" s="1">
        <v>1094</v>
      </c>
      <c r="O4471" s="1">
        <v>1204</v>
      </c>
      <c r="P4471" s="1">
        <v>110</v>
      </c>
      <c r="Q4471" s="1" t="s">
        <v>42</v>
      </c>
      <c r="S4471" s="1" t="s">
        <v>42</v>
      </c>
      <c r="T4471" s="1" t="s">
        <v>273</v>
      </c>
      <c r="V4471" s="5">
        <v>43650</v>
      </c>
      <c r="W4471" s="5">
        <v>42649</v>
      </c>
      <c r="X4471" s="1">
        <v>1753500</v>
      </c>
      <c r="Y4471" s="1">
        <v>1753500</v>
      </c>
      <c r="Z4471" s="5">
        <v>42649</v>
      </c>
      <c r="AA4471" s="1">
        <v>1810957</v>
      </c>
      <c r="AB4471" s="1" t="s">
        <v>275</v>
      </c>
      <c r="AC4471" s="5">
        <v>42970</v>
      </c>
      <c r="AF4471" s="1">
        <v>10026</v>
      </c>
      <c r="AI4471" s="1" t="s">
        <v>118</v>
      </c>
      <c r="AJ4471" s="1">
        <v>2017</v>
      </c>
      <c r="AK4471" s="1" t="s">
        <v>46</v>
      </c>
      <c r="AL4471" s="1">
        <v>38</v>
      </c>
    </row>
    <row r="4472" spans="1:38" x14ac:dyDescent="0.2">
      <c r="A4472" s="2" t="str">
        <f>HYPERLINK("https://www.compass.com/listing/285-west-110th-street-unit-4b-manhattan-ny-10026/4852274788153954225/","285 W 110th St, Unit 4B")</f>
        <v>285 W 110th St, Unit 4B</v>
      </c>
      <c r="B4472" s="2" t="str">
        <f t="shared" si="754"/>
        <v>Circa Central Park</v>
      </c>
      <c r="C4472" s="1" t="s">
        <v>85</v>
      </c>
      <c r="D4472" s="1" t="s">
        <v>41</v>
      </c>
      <c r="E4472" s="3">
        <v>2026317</v>
      </c>
      <c r="F4472" s="1">
        <v>1733.37639007698</v>
      </c>
      <c r="G4472" s="1">
        <v>3</v>
      </c>
      <c r="H4472" s="1">
        <v>2</v>
      </c>
      <c r="I4472" s="1">
        <v>2</v>
      </c>
      <c r="J4472" s="1">
        <v>2</v>
      </c>
      <c r="K4472" s="1">
        <v>2</v>
      </c>
      <c r="M4472" s="4">
        <v>1169</v>
      </c>
      <c r="N4472" s="1">
        <v>1112</v>
      </c>
      <c r="O4472" s="1">
        <v>1226</v>
      </c>
      <c r="P4472" s="1">
        <v>114</v>
      </c>
      <c r="Q4472" s="1" t="s">
        <v>42</v>
      </c>
      <c r="S4472" s="1" t="s">
        <v>42</v>
      </c>
      <c r="T4472" s="1" t="s">
        <v>273</v>
      </c>
      <c r="V4472" s="5">
        <v>43673</v>
      </c>
      <c r="W4472" s="5">
        <v>42649</v>
      </c>
      <c r="X4472" s="1">
        <v>1990000</v>
      </c>
      <c r="Y4472" s="1">
        <v>1990000</v>
      </c>
      <c r="Z4472" s="5">
        <v>42649</v>
      </c>
      <c r="AA4472" s="1">
        <v>2026317</v>
      </c>
      <c r="AB4472" s="1" t="s">
        <v>275</v>
      </c>
      <c r="AC4472" s="5">
        <v>42929</v>
      </c>
      <c r="AF4472" s="1">
        <v>10026</v>
      </c>
      <c r="AI4472" s="1" t="s">
        <v>48</v>
      </c>
      <c r="AJ4472" s="1">
        <v>2017</v>
      </c>
      <c r="AK4472" s="1" t="s">
        <v>46</v>
      </c>
      <c r="AL4472" s="1">
        <v>38</v>
      </c>
    </row>
    <row r="4473" spans="1:38" x14ac:dyDescent="0.2">
      <c r="A4473" s="2" t="str">
        <f>HYPERLINK("https://www.compass.com/listing/285-west-110th-street-unit-5b-manhattan-ny-10026/4852274789655515313/","285 W 110th St, Unit 5B")</f>
        <v>285 W 110th St, Unit 5B</v>
      </c>
      <c r="B4473" s="2" t="str">
        <f t="shared" si="754"/>
        <v>Circa Central Park</v>
      </c>
      <c r="C4473" s="1" t="s">
        <v>85</v>
      </c>
      <c r="D4473" s="1" t="s">
        <v>41</v>
      </c>
      <c r="E4473" s="3">
        <v>2100000</v>
      </c>
      <c r="F4473" s="1">
        <v>1796.4071856287401</v>
      </c>
      <c r="G4473" s="1">
        <v>3</v>
      </c>
      <c r="H4473" s="1">
        <v>2</v>
      </c>
      <c r="I4473" s="1">
        <v>2</v>
      </c>
      <c r="J4473" s="1">
        <v>2</v>
      </c>
      <c r="K4473" s="1">
        <v>2</v>
      </c>
      <c r="M4473" s="4">
        <v>1169</v>
      </c>
      <c r="N4473" s="1">
        <v>1131</v>
      </c>
      <c r="O4473" s="1">
        <v>1248</v>
      </c>
      <c r="P4473" s="1">
        <v>117</v>
      </c>
      <c r="Q4473" s="1" t="s">
        <v>42</v>
      </c>
      <c r="S4473" s="1" t="s">
        <v>42</v>
      </c>
      <c r="T4473" s="1" t="s">
        <v>273</v>
      </c>
      <c r="U4473" s="1">
        <v>3</v>
      </c>
      <c r="V4473" s="5">
        <v>43664</v>
      </c>
      <c r="W4473" s="5">
        <v>42987</v>
      </c>
      <c r="X4473" s="1">
        <v>2100000</v>
      </c>
      <c r="Y4473" s="1">
        <v>2100000</v>
      </c>
      <c r="AA4473" s="1">
        <v>2100000</v>
      </c>
      <c r="AB4473" s="1" t="s">
        <v>275</v>
      </c>
      <c r="AC4473" s="5">
        <v>42990</v>
      </c>
      <c r="AF4473" s="1">
        <v>10026</v>
      </c>
      <c r="AI4473" s="1" t="s">
        <v>118</v>
      </c>
      <c r="AJ4473" s="1">
        <v>2017</v>
      </c>
      <c r="AK4473" s="1" t="s">
        <v>46</v>
      </c>
      <c r="AL4473" s="1">
        <v>38</v>
      </c>
    </row>
    <row r="4474" spans="1:38" x14ac:dyDescent="0.2">
      <c r="A4474" s="2" t="str">
        <f>HYPERLINK("https://www.compass.com/listing/1-west-end-avenue-unit-23b-manhattan-ny-10069/608733036878044833/","1 W End Ave, Unit 23B")</f>
        <v>1 W End Ave, Unit 23B</v>
      </c>
      <c r="B4474" s="2" t="str">
        <f>HYPERLINK("https://www.compass.com/building/1-w-end-ave-manhattan-ny-10069/455676159137755317/","1 W End Ave")</f>
        <v>1 W End Ave</v>
      </c>
      <c r="C4474" s="1" t="s">
        <v>57</v>
      </c>
      <c r="D4474" s="1" t="s">
        <v>41</v>
      </c>
      <c r="E4474" s="3">
        <v>3475000</v>
      </c>
      <c r="F4474" s="1">
        <v>2061.0913404507701</v>
      </c>
      <c r="G4474" s="1">
        <v>5</v>
      </c>
      <c r="H4474" s="1">
        <v>3</v>
      </c>
      <c r="I4474" s="1">
        <v>3</v>
      </c>
      <c r="J4474" s="1">
        <v>3</v>
      </c>
      <c r="K4474" s="1">
        <v>3</v>
      </c>
      <c r="M4474" s="4">
        <v>1686</v>
      </c>
      <c r="N4474" s="1">
        <v>2153.7399999999998</v>
      </c>
      <c r="O4474" s="1">
        <v>2278.0133333333301</v>
      </c>
      <c r="P4474" s="1">
        <v>124.25</v>
      </c>
      <c r="Q4474" s="1" t="s">
        <v>129</v>
      </c>
      <c r="S4474" s="1" t="s">
        <v>42</v>
      </c>
      <c r="T4474" s="1" t="s">
        <v>273</v>
      </c>
      <c r="U4474" s="1">
        <v>274</v>
      </c>
      <c r="V4474" s="5">
        <v>44399</v>
      </c>
      <c r="W4474" s="5">
        <v>44091</v>
      </c>
      <c r="X4474" s="1">
        <v>3995000</v>
      </c>
      <c r="Y4474" s="1">
        <v>3695000</v>
      </c>
      <c r="Z4474" s="5">
        <v>44365</v>
      </c>
      <c r="AA4474" s="1">
        <v>3475000</v>
      </c>
      <c r="AB4474" s="1" t="s">
        <v>3157</v>
      </c>
      <c r="AC4474" s="5">
        <v>44398</v>
      </c>
      <c r="AF4474" s="1">
        <v>10069</v>
      </c>
      <c r="AI4474" s="1" t="s">
        <v>3158</v>
      </c>
      <c r="AJ4474" s="1">
        <v>2017</v>
      </c>
      <c r="AK4474" s="1" t="s">
        <v>55</v>
      </c>
      <c r="AL4474" s="1">
        <v>246</v>
      </c>
    </row>
    <row r="4475" spans="1:38" x14ac:dyDescent="0.2">
      <c r="A4475" s="2" t="str">
        <f>HYPERLINK("https://www.compass.com/listing/172-madison-avenue-unit-23a-manhattan-ny-10016/29511870058614001/","172 Madison Ave, Unit 23A")</f>
        <v>172 Madison Ave, Unit 23A</v>
      </c>
      <c r="B4475" s="2" t="str">
        <f t="shared" ref="B4475:B4476" si="755">HYPERLINK("https://www.compass.com/building/172-madison-ave-manhattan-ny-10016/281937956250376981/","172 Madison Ave")</f>
        <v>172 Madison Ave</v>
      </c>
      <c r="C4475" s="1" t="s">
        <v>120</v>
      </c>
      <c r="D4475" s="1" t="s">
        <v>41</v>
      </c>
      <c r="E4475" s="3">
        <v>3579149</v>
      </c>
      <c r="F4475" s="1">
        <v>2454.8347050754401</v>
      </c>
      <c r="G4475" s="1">
        <v>5</v>
      </c>
      <c r="H4475" s="1">
        <v>2</v>
      </c>
      <c r="I4475" s="1">
        <v>2</v>
      </c>
      <c r="J4475" s="1">
        <v>2.5</v>
      </c>
      <c r="K4475" s="1">
        <v>2</v>
      </c>
      <c r="L4475" s="1">
        <v>1</v>
      </c>
      <c r="M4475" s="4">
        <v>1458</v>
      </c>
      <c r="N4475" s="1">
        <v>2200</v>
      </c>
      <c r="O4475" s="1">
        <v>5281</v>
      </c>
      <c r="P4475" s="1">
        <v>3081</v>
      </c>
      <c r="Q4475" s="1" t="s">
        <v>2921</v>
      </c>
      <c r="S4475" s="1" t="s">
        <v>100</v>
      </c>
      <c r="T4475" s="1" t="s">
        <v>273</v>
      </c>
      <c r="V4475" s="5">
        <v>43648</v>
      </c>
      <c r="W4475" s="5">
        <v>43267</v>
      </c>
      <c r="X4475" s="1">
        <v>3800000</v>
      </c>
      <c r="Y4475" s="1">
        <v>3800000</v>
      </c>
      <c r="Z4475" s="5">
        <v>43267</v>
      </c>
      <c r="AA4475" s="1">
        <v>3579149</v>
      </c>
      <c r="AB4475" s="1" t="s">
        <v>3159</v>
      </c>
      <c r="AC4475" s="5">
        <v>43371</v>
      </c>
      <c r="AF4475" s="1">
        <v>10016</v>
      </c>
      <c r="AJ4475" s="1">
        <v>2016</v>
      </c>
      <c r="AK4475" s="1" t="s">
        <v>46</v>
      </c>
      <c r="AL4475" s="1">
        <v>72</v>
      </c>
    </row>
    <row r="4476" spans="1:38" x14ac:dyDescent="0.2">
      <c r="A4476" s="2" t="str">
        <f>HYPERLINK("https://www.compass.com/listing/172-madison-avenue-unit-14a-manhattan-ny-10016/167815877641673825/","172 Madison Ave, Unit 14A")</f>
        <v>172 Madison Ave, Unit 14A</v>
      </c>
      <c r="B4476" s="2" t="str">
        <f t="shared" si="755"/>
        <v>172 Madison Ave</v>
      </c>
      <c r="C4476" s="1" t="s">
        <v>120</v>
      </c>
      <c r="D4476" s="1" t="s">
        <v>41</v>
      </c>
      <c r="E4476" s="3">
        <v>3543510</v>
      </c>
      <c r="F4476" s="1">
        <v>2395.8823529411702</v>
      </c>
      <c r="G4476" s="1">
        <v>7</v>
      </c>
      <c r="H4476" s="1">
        <v>2</v>
      </c>
      <c r="I4476" s="1">
        <v>3</v>
      </c>
      <c r="J4476" s="1">
        <v>2.5</v>
      </c>
      <c r="M4476" s="4">
        <v>1479</v>
      </c>
      <c r="N4476" s="1">
        <v>2346</v>
      </c>
      <c r="O4476" s="1">
        <v>4274</v>
      </c>
      <c r="P4476" s="1">
        <v>1928</v>
      </c>
      <c r="Q4476" s="1" t="s">
        <v>42</v>
      </c>
      <c r="S4476" s="1" t="s">
        <v>42</v>
      </c>
      <c r="T4476" s="1" t="s">
        <v>273</v>
      </c>
      <c r="U4476" s="1">
        <v>177</v>
      </c>
      <c r="V4476" s="5">
        <v>41640</v>
      </c>
      <c r="W4476" s="5">
        <v>42677</v>
      </c>
      <c r="X4476" s="1">
        <v>3480000</v>
      </c>
      <c r="Y4476" s="1">
        <v>3480000</v>
      </c>
      <c r="AA4476" s="1">
        <v>3543510</v>
      </c>
      <c r="AB4476" s="1" t="s">
        <v>3160</v>
      </c>
      <c r="AC4476" s="5">
        <v>42874</v>
      </c>
      <c r="AF4476" s="1">
        <v>10016</v>
      </c>
      <c r="AJ4476" s="1">
        <v>2016</v>
      </c>
      <c r="AK4476" s="1" t="s">
        <v>49</v>
      </c>
      <c r="AL4476" s="1">
        <v>72</v>
      </c>
    </row>
    <row r="4477" spans="1:38" x14ac:dyDescent="0.2">
      <c r="A4477" s="2" t="str">
        <f>HYPERLINK("https://www.compass.com/listing/425-west-50th-street-unit-12h-manhattan-ny-10019/29389216588878257/","425 W 50th St, Unit 12H")</f>
        <v>425 W 50th St, Unit 12H</v>
      </c>
      <c r="B4477" s="2" t="str">
        <f>HYPERLINK("https://www.compass.com/building/stella-tower-manhattan-ny/281945855710262181/","Stella Tower")</f>
        <v>Stella Tower</v>
      </c>
      <c r="C4477" s="1" t="s">
        <v>90</v>
      </c>
      <c r="D4477" s="1" t="s">
        <v>41</v>
      </c>
      <c r="E4477" s="3">
        <v>3974175</v>
      </c>
      <c r="F4477" s="1">
        <v>2147.0421393841102</v>
      </c>
      <c r="G4477" s="1">
        <v>4</v>
      </c>
      <c r="H4477" s="1">
        <v>2</v>
      </c>
      <c r="I4477" s="1">
        <v>3</v>
      </c>
      <c r="J4477" s="1">
        <v>2.5</v>
      </c>
      <c r="M4477" s="4">
        <v>1851</v>
      </c>
      <c r="N4477" s="1">
        <v>2096</v>
      </c>
      <c r="O4477" s="1">
        <v>3379</v>
      </c>
      <c r="P4477" s="1">
        <v>1283</v>
      </c>
      <c r="Q4477" s="1" t="s">
        <v>42</v>
      </c>
      <c r="S4477" s="1" t="s">
        <v>42</v>
      </c>
      <c r="T4477" s="1" t="s">
        <v>273</v>
      </c>
      <c r="U4477" s="1">
        <v>176</v>
      </c>
      <c r="V4477" s="5">
        <v>43634</v>
      </c>
      <c r="W4477" s="5">
        <v>42290</v>
      </c>
      <c r="X4477" s="1">
        <v>3995000</v>
      </c>
      <c r="Y4477" s="1">
        <v>3995000</v>
      </c>
      <c r="Z4477" s="5">
        <v>42466</v>
      </c>
      <c r="AA4477" s="1">
        <v>3974175</v>
      </c>
      <c r="AB4477" s="1" t="s">
        <v>3095</v>
      </c>
      <c r="AC4477" s="5">
        <v>42480</v>
      </c>
      <c r="AF4477" s="1">
        <v>10019</v>
      </c>
      <c r="AI4477" s="1" t="s">
        <v>80</v>
      </c>
      <c r="AJ4477" s="1">
        <v>1930</v>
      </c>
      <c r="AK4477" s="1" t="s">
        <v>46</v>
      </c>
      <c r="AL4477" s="1">
        <v>51</v>
      </c>
    </row>
    <row r="4478" spans="1:38" x14ac:dyDescent="0.2">
      <c r="A4478" s="2" t="str">
        <f>HYPERLINK("https://www.compass.com/listing/416-west-52nd-street-unit-315-manhattan-ny-10019/29389262256460993/","416 W 52nd St, Unit 315")</f>
        <v>416 W 52nd St, Unit 315</v>
      </c>
      <c r="B4478" s="2" t="str">
        <f>HYPERLINK("https://www.compass.com/building/nine52-manhattan-ny/281945622951555813/","Nine52")</f>
        <v>Nine52</v>
      </c>
      <c r="C4478" s="1" t="s">
        <v>90</v>
      </c>
      <c r="D4478" s="1" t="s">
        <v>41</v>
      </c>
      <c r="E4478" s="3">
        <v>1740000</v>
      </c>
      <c r="F4478" s="1">
        <v>1681.15942028985</v>
      </c>
      <c r="G4478" s="1">
        <v>5</v>
      </c>
      <c r="H4478" s="1">
        <v>2</v>
      </c>
      <c r="I4478" s="1">
        <v>2</v>
      </c>
      <c r="J4478" s="1">
        <v>2</v>
      </c>
      <c r="K4478" s="1">
        <v>2</v>
      </c>
      <c r="M4478" s="4">
        <v>1035</v>
      </c>
      <c r="N4478" s="1">
        <v>706</v>
      </c>
      <c r="O4478" s="1">
        <v>2070</v>
      </c>
      <c r="P4478" s="1">
        <v>1364</v>
      </c>
      <c r="Q4478" s="1" t="s">
        <v>42</v>
      </c>
      <c r="S4478" s="1" t="s">
        <v>42</v>
      </c>
      <c r="T4478" s="1" t="s">
        <v>273</v>
      </c>
      <c r="U4478" s="1">
        <v>211</v>
      </c>
      <c r="V4478" s="5">
        <v>43666</v>
      </c>
      <c r="W4478" s="5">
        <v>42474</v>
      </c>
      <c r="X4478" s="1">
        <v>1749000</v>
      </c>
      <c r="Y4478" s="1">
        <v>1749000</v>
      </c>
      <c r="Z4478" s="5">
        <v>42685</v>
      </c>
      <c r="AA4478" s="1">
        <v>1740000</v>
      </c>
      <c r="AB4478" s="1" t="s">
        <v>3161</v>
      </c>
      <c r="AC4478" s="5">
        <v>42754</v>
      </c>
      <c r="AF4478" s="1">
        <v>10019</v>
      </c>
      <c r="AI4478" s="1" t="s">
        <v>48</v>
      </c>
      <c r="AJ4478" s="1">
        <v>1940</v>
      </c>
      <c r="AK4478" s="1" t="s">
        <v>108</v>
      </c>
      <c r="AL4478" s="1">
        <v>155</v>
      </c>
    </row>
    <row r="4479" spans="1:38" x14ac:dyDescent="0.2">
      <c r="A4479" s="2" t="str">
        <f>HYPERLINK("https://www.compass.com/listing/1-west-end-avenue-unit-8a-manhattan-ny-10069/29397322047686433/","1 W End Ave, Unit 8A")</f>
        <v>1 W End Ave, Unit 8A</v>
      </c>
      <c r="B4479" s="2" t="str">
        <f t="shared" ref="B4479:B4505" si="756">HYPERLINK("https://www.compass.com/building/1-w-end-ave-manhattan-ny-10069/455676159137755317/","1 W End Ave")</f>
        <v>1 W End Ave</v>
      </c>
      <c r="C4479" s="1" t="s">
        <v>57</v>
      </c>
      <c r="D4479" s="1" t="s">
        <v>41</v>
      </c>
      <c r="E4479" s="3">
        <v>4444425</v>
      </c>
      <c r="F4479" s="1">
        <v>1617.3309497816499</v>
      </c>
      <c r="G4479" s="1">
        <v>5</v>
      </c>
      <c r="H4479" s="1">
        <v>3</v>
      </c>
      <c r="I4479" s="1">
        <v>3</v>
      </c>
      <c r="J4479" s="1">
        <v>3.5</v>
      </c>
      <c r="K4479" s="1">
        <v>3</v>
      </c>
      <c r="L4479" s="1">
        <v>1</v>
      </c>
      <c r="M4479" s="4">
        <v>2748</v>
      </c>
      <c r="N4479" s="1">
        <v>2960</v>
      </c>
      <c r="O4479" s="1">
        <v>3138</v>
      </c>
      <c r="P4479" s="1">
        <v>178</v>
      </c>
      <c r="Q4479" s="1" t="s">
        <v>42</v>
      </c>
      <c r="S4479" s="1" t="s">
        <v>42</v>
      </c>
      <c r="T4479" s="1" t="s">
        <v>273</v>
      </c>
      <c r="V4479" s="5">
        <v>43000</v>
      </c>
      <c r="W4479" s="5">
        <v>42633</v>
      </c>
      <c r="X4479" s="1">
        <v>4775000</v>
      </c>
      <c r="Y4479" s="1">
        <v>4775000</v>
      </c>
      <c r="Z4479" s="5">
        <v>42634</v>
      </c>
      <c r="AA4479" s="1">
        <v>4444425.45</v>
      </c>
      <c r="AB4479" s="1" t="s">
        <v>3162</v>
      </c>
      <c r="AC4479" s="5">
        <v>42990</v>
      </c>
      <c r="AF4479" s="1">
        <v>10069</v>
      </c>
      <c r="AI4479" s="1" t="s">
        <v>60</v>
      </c>
      <c r="AJ4479" s="1">
        <v>2017</v>
      </c>
      <c r="AK4479" s="1" t="s">
        <v>108</v>
      </c>
      <c r="AL4479" s="1">
        <v>246</v>
      </c>
    </row>
    <row r="4480" spans="1:38" x14ac:dyDescent="0.2">
      <c r="A4480" s="2" t="str">
        <f>HYPERLINK("https://www.compass.com/listing/1-west-end-avenue-unit-11a-manhattan-ny-10069/29397323230480177/","1 W End Ave, Unit 11A")</f>
        <v>1 W End Ave, Unit 11A</v>
      </c>
      <c r="B4480" s="2" t="str">
        <f t="shared" si="756"/>
        <v>1 W End Ave</v>
      </c>
      <c r="C4480" s="1" t="s">
        <v>57</v>
      </c>
      <c r="D4480" s="1" t="s">
        <v>41</v>
      </c>
      <c r="E4480" s="3">
        <v>4802755</v>
      </c>
      <c r="F4480" s="1">
        <v>1747.72743813682</v>
      </c>
      <c r="G4480" s="1">
        <v>5</v>
      </c>
      <c r="H4480" s="1">
        <v>3</v>
      </c>
      <c r="I4480" s="1">
        <v>3</v>
      </c>
      <c r="J4480" s="1">
        <v>3.5</v>
      </c>
      <c r="K4480" s="1">
        <v>3</v>
      </c>
      <c r="L4480" s="1">
        <v>1</v>
      </c>
      <c r="M4480" s="4">
        <v>2748</v>
      </c>
      <c r="N4480" s="1">
        <v>2960</v>
      </c>
      <c r="O4480" s="1">
        <v>3138</v>
      </c>
      <c r="P4480" s="1">
        <v>178</v>
      </c>
      <c r="Q4480" s="1" t="s">
        <v>42</v>
      </c>
      <c r="S4480" s="1" t="s">
        <v>42</v>
      </c>
      <c r="T4480" s="1" t="s">
        <v>273</v>
      </c>
      <c r="U4480" s="1">
        <v>295</v>
      </c>
      <c r="V4480" s="5">
        <v>43623</v>
      </c>
      <c r="W4480" s="5">
        <v>42572</v>
      </c>
      <c r="X4480" s="1">
        <v>4895000</v>
      </c>
      <c r="Y4480" s="1">
        <v>4895000</v>
      </c>
      <c r="Z4480" s="5">
        <v>42913</v>
      </c>
      <c r="AA4480" s="1">
        <v>4802755</v>
      </c>
      <c r="AB4480" s="1" t="s">
        <v>3163</v>
      </c>
      <c r="AC4480" s="5">
        <v>43021</v>
      </c>
      <c r="AF4480" s="1">
        <v>10069</v>
      </c>
      <c r="AI4480" s="1" t="s">
        <v>60</v>
      </c>
      <c r="AJ4480" s="1">
        <v>2017</v>
      </c>
      <c r="AK4480" s="1" t="s">
        <v>108</v>
      </c>
      <c r="AL4480" s="1">
        <v>246</v>
      </c>
    </row>
    <row r="4481" spans="1:38" x14ac:dyDescent="0.2">
      <c r="A4481" s="2" t="str">
        <f>HYPERLINK("https://www.compass.com/listing/1-west-end-avenue-unit-12a-manhattan-ny-10069/29397323750592193/","1 W End Ave, Unit 12A")</f>
        <v>1 W End Ave, Unit 12A</v>
      </c>
      <c r="B4481" s="2" t="str">
        <f t="shared" si="756"/>
        <v>1 W End Ave</v>
      </c>
      <c r="C4481" s="1" t="s">
        <v>57</v>
      </c>
      <c r="D4481" s="1" t="s">
        <v>41</v>
      </c>
      <c r="E4481" s="3">
        <v>4714767</v>
      </c>
      <c r="F4481" s="1">
        <v>1715.7085152838399</v>
      </c>
      <c r="G4481" s="1">
        <v>5</v>
      </c>
      <c r="H4481" s="1">
        <v>3</v>
      </c>
      <c r="I4481" s="1">
        <v>3</v>
      </c>
      <c r="J4481" s="1">
        <v>3.5</v>
      </c>
      <c r="K4481" s="1">
        <v>3</v>
      </c>
      <c r="L4481" s="1">
        <v>1</v>
      </c>
      <c r="M4481" s="4">
        <v>2748</v>
      </c>
      <c r="N4481" s="1">
        <v>2960</v>
      </c>
      <c r="O4481" s="1">
        <v>3138</v>
      </c>
      <c r="P4481" s="1">
        <v>178</v>
      </c>
      <c r="Q4481" s="1" t="s">
        <v>42</v>
      </c>
      <c r="S4481" s="1" t="s">
        <v>42</v>
      </c>
      <c r="T4481" s="1" t="s">
        <v>273</v>
      </c>
      <c r="V4481" s="5">
        <v>43623</v>
      </c>
      <c r="W4481" s="5">
        <v>42823</v>
      </c>
      <c r="X4481" s="1">
        <v>4935000</v>
      </c>
      <c r="Y4481" s="1">
        <v>4935000</v>
      </c>
      <c r="Z4481" s="5">
        <v>42823</v>
      </c>
      <c r="AA4481" s="1">
        <v>4714767</v>
      </c>
      <c r="AB4481" s="1" t="s">
        <v>3164</v>
      </c>
      <c r="AC4481" s="5">
        <v>43046</v>
      </c>
      <c r="AF4481" s="1">
        <v>10069</v>
      </c>
      <c r="AI4481" s="1" t="s">
        <v>60</v>
      </c>
      <c r="AJ4481" s="1">
        <v>2017</v>
      </c>
      <c r="AK4481" s="1" t="s">
        <v>108</v>
      </c>
      <c r="AL4481" s="1">
        <v>246</v>
      </c>
    </row>
    <row r="4482" spans="1:38" x14ac:dyDescent="0.2">
      <c r="A4482" s="2" t="str">
        <f>HYPERLINK("https://www.compass.com/listing/1-west-end-avenue-unit-18a-manhattan-ny-10069/29397325839337313/","1 W End Ave, Unit 18A")</f>
        <v>1 W End Ave, Unit 18A</v>
      </c>
      <c r="B4482" s="2" t="str">
        <f t="shared" si="756"/>
        <v>1 W End Ave</v>
      </c>
      <c r="C4482" s="1" t="s">
        <v>57</v>
      </c>
      <c r="D4482" s="1" t="s">
        <v>41</v>
      </c>
      <c r="E4482" s="3">
        <v>5264116</v>
      </c>
      <c r="F4482" s="1">
        <v>1915.61717612809</v>
      </c>
      <c r="G4482" s="1">
        <v>5</v>
      </c>
      <c r="H4482" s="1">
        <v>3</v>
      </c>
      <c r="I4482" s="1">
        <v>3</v>
      </c>
      <c r="J4482" s="1">
        <v>3.5</v>
      </c>
      <c r="K4482" s="1">
        <v>3</v>
      </c>
      <c r="L4482" s="1">
        <v>1</v>
      </c>
      <c r="M4482" s="4">
        <v>2748</v>
      </c>
      <c r="N4482" s="1">
        <v>2959.88</v>
      </c>
      <c r="O4482" s="1">
        <v>3137.57</v>
      </c>
      <c r="P4482" s="1">
        <v>177.666666666666</v>
      </c>
      <c r="Q4482" s="1" t="s">
        <v>42</v>
      </c>
      <c r="S4482" s="1" t="s">
        <v>42</v>
      </c>
      <c r="T4482" s="1" t="s">
        <v>273</v>
      </c>
      <c r="V4482" s="5">
        <v>43623</v>
      </c>
      <c r="W4482" s="5">
        <v>42203</v>
      </c>
      <c r="X4482" s="1">
        <v>5155000</v>
      </c>
      <c r="Y4482" s="1">
        <v>5155000</v>
      </c>
      <c r="Z4482" s="5">
        <v>42203</v>
      </c>
      <c r="AA4482" s="1">
        <v>5264116</v>
      </c>
      <c r="AB4482" s="1" t="s">
        <v>3165</v>
      </c>
      <c r="AC4482" s="5">
        <v>43004</v>
      </c>
      <c r="AF4482" s="1">
        <v>10069</v>
      </c>
      <c r="AI4482" s="1" t="s">
        <v>60</v>
      </c>
      <c r="AJ4482" s="1">
        <v>2017</v>
      </c>
      <c r="AK4482" s="1" t="s">
        <v>108</v>
      </c>
      <c r="AL4482" s="1">
        <v>246</v>
      </c>
    </row>
    <row r="4483" spans="1:38" x14ac:dyDescent="0.2">
      <c r="A4483" s="2" t="str">
        <f>HYPERLINK("https://www.compass.com/listing/1-west-end-avenue-unit-19a-manhattan-ny-10069/29397326216842977/","1 W End Ave, Unit 19A")</f>
        <v>1 W End Ave, Unit 19A</v>
      </c>
      <c r="B4483" s="2" t="str">
        <f t="shared" si="756"/>
        <v>1 W End Ave</v>
      </c>
      <c r="C4483" s="1" t="s">
        <v>57</v>
      </c>
      <c r="D4483" s="1" t="s">
        <v>41</v>
      </c>
      <c r="E4483" s="3">
        <v>4864767</v>
      </c>
      <c r="F4483" s="1">
        <v>1770.29366812227</v>
      </c>
      <c r="G4483" s="1">
        <v>5</v>
      </c>
      <c r="H4483" s="1">
        <v>3</v>
      </c>
      <c r="I4483" s="1">
        <v>3</v>
      </c>
      <c r="J4483" s="1">
        <v>3.5</v>
      </c>
      <c r="K4483" s="1">
        <v>3</v>
      </c>
      <c r="L4483" s="1">
        <v>1</v>
      </c>
      <c r="M4483" s="4">
        <v>2748</v>
      </c>
      <c r="N4483" s="1">
        <v>2960</v>
      </c>
      <c r="O4483" s="1">
        <v>3138</v>
      </c>
      <c r="P4483" s="1">
        <v>178</v>
      </c>
      <c r="Q4483" s="1" t="s">
        <v>42</v>
      </c>
      <c r="S4483" s="1" t="s">
        <v>42</v>
      </c>
      <c r="T4483" s="1" t="s">
        <v>273</v>
      </c>
      <c r="V4483" s="5">
        <v>43623</v>
      </c>
      <c r="W4483" s="5">
        <v>42661</v>
      </c>
      <c r="X4483" s="1">
        <v>5195000</v>
      </c>
      <c r="Y4483" s="1">
        <v>5195000</v>
      </c>
      <c r="Z4483" s="5">
        <v>42661</v>
      </c>
      <c r="AA4483" s="1">
        <v>4864767</v>
      </c>
      <c r="AB4483" s="1" t="s">
        <v>3166</v>
      </c>
      <c r="AC4483" s="5">
        <v>42977</v>
      </c>
      <c r="AF4483" s="1">
        <v>10069</v>
      </c>
      <c r="AI4483" s="1" t="s">
        <v>60</v>
      </c>
      <c r="AJ4483" s="1">
        <v>2017</v>
      </c>
      <c r="AK4483" s="1" t="s">
        <v>108</v>
      </c>
      <c r="AL4483" s="1">
        <v>246</v>
      </c>
    </row>
    <row r="4484" spans="1:38" x14ac:dyDescent="0.2">
      <c r="A4484" s="2" t="str">
        <f>HYPERLINK("https://www.compass.com/listing/1-west-end-avenue-unit-23a-manhattan-ny-10069/29397326602795169/","1 W End Ave, Unit 23A")</f>
        <v>1 W End Ave, Unit 23A</v>
      </c>
      <c r="B4484" s="2" t="str">
        <f t="shared" si="756"/>
        <v>1 W End Ave</v>
      </c>
      <c r="C4484" s="1" t="s">
        <v>57</v>
      </c>
      <c r="D4484" s="1" t="s">
        <v>41</v>
      </c>
      <c r="E4484" s="3">
        <v>5415365</v>
      </c>
      <c r="F4484" s="1">
        <v>1860.9501718213</v>
      </c>
      <c r="G4484" s="1">
        <v>5.5</v>
      </c>
      <c r="H4484" s="1">
        <v>3</v>
      </c>
      <c r="I4484" s="1">
        <v>3</v>
      </c>
      <c r="J4484" s="1">
        <v>3.5</v>
      </c>
      <c r="K4484" s="1">
        <v>3</v>
      </c>
      <c r="L4484" s="1">
        <v>1</v>
      </c>
      <c r="M4484" s="4">
        <v>2910</v>
      </c>
      <c r="N4484" s="1">
        <v>3169</v>
      </c>
      <c r="O4484" s="1">
        <v>3347</v>
      </c>
      <c r="P4484" s="1">
        <v>178</v>
      </c>
      <c r="Q4484" s="1" t="s">
        <v>42</v>
      </c>
      <c r="S4484" s="1" t="s">
        <v>42</v>
      </c>
      <c r="T4484" s="1" t="s">
        <v>273</v>
      </c>
      <c r="V4484" s="5">
        <v>43626</v>
      </c>
      <c r="W4484" s="5">
        <v>42922</v>
      </c>
      <c r="X4484" s="1">
        <v>5400000</v>
      </c>
      <c r="Y4484" s="1">
        <v>5400000</v>
      </c>
      <c r="Z4484" s="5">
        <v>42922</v>
      </c>
      <c r="AA4484" s="1">
        <v>5415365</v>
      </c>
      <c r="AB4484" s="1" t="s">
        <v>3167</v>
      </c>
      <c r="AC4484" s="5">
        <v>43006</v>
      </c>
      <c r="AF4484" s="1">
        <v>10069</v>
      </c>
      <c r="AI4484" s="1" t="s">
        <v>60</v>
      </c>
      <c r="AJ4484" s="1">
        <v>2017</v>
      </c>
      <c r="AK4484" s="1" t="s">
        <v>108</v>
      </c>
      <c r="AL4484" s="1">
        <v>246</v>
      </c>
    </row>
    <row r="4485" spans="1:38" x14ac:dyDescent="0.2">
      <c r="A4485" s="2" t="str">
        <f>HYPERLINK("https://www.compass.com/listing/1-west-end-avenue-unit-24a-manhattan-ny-10069/29397326896301937/","1 W End Ave, Unit 24A")</f>
        <v>1 W End Ave, Unit 24A</v>
      </c>
      <c r="B4485" s="2" t="str">
        <f t="shared" si="756"/>
        <v>1 W End Ave</v>
      </c>
      <c r="C4485" s="1" t="s">
        <v>57</v>
      </c>
      <c r="D4485" s="1" t="s">
        <v>41</v>
      </c>
      <c r="E4485" s="3">
        <v>5809489</v>
      </c>
      <c r="F4485" s="1">
        <v>1996.3879725085901</v>
      </c>
      <c r="G4485" s="1">
        <v>5</v>
      </c>
      <c r="H4485" s="1">
        <v>3</v>
      </c>
      <c r="I4485" s="1">
        <v>4</v>
      </c>
      <c r="J4485" s="1">
        <v>3.5</v>
      </c>
      <c r="K4485" s="1">
        <v>3</v>
      </c>
      <c r="L4485" s="1">
        <v>1</v>
      </c>
      <c r="M4485" s="4">
        <v>2910</v>
      </c>
      <c r="N4485" s="1">
        <v>3095</v>
      </c>
      <c r="O4485" s="1">
        <v>3281</v>
      </c>
      <c r="P4485" s="1">
        <v>186</v>
      </c>
      <c r="Q4485" s="1" t="s">
        <v>42</v>
      </c>
      <c r="S4485" s="1" t="s">
        <v>42</v>
      </c>
      <c r="T4485" s="1" t="s">
        <v>273</v>
      </c>
      <c r="U4485" s="1">
        <v>8</v>
      </c>
      <c r="V4485" s="5">
        <v>43698</v>
      </c>
      <c r="W4485" s="5">
        <v>42180</v>
      </c>
      <c r="X4485" s="1">
        <v>5690000</v>
      </c>
      <c r="Y4485" s="1">
        <v>5690000</v>
      </c>
      <c r="Z4485" s="5">
        <v>42188</v>
      </c>
      <c r="AA4485" s="1">
        <v>5809489</v>
      </c>
      <c r="AB4485" s="1" t="s">
        <v>3168</v>
      </c>
      <c r="AC4485" s="5">
        <v>43020</v>
      </c>
      <c r="AF4485" s="1">
        <v>10069</v>
      </c>
      <c r="AI4485" s="1" t="s">
        <v>60</v>
      </c>
      <c r="AJ4485" s="1">
        <v>2017</v>
      </c>
      <c r="AK4485" s="1" t="s">
        <v>108</v>
      </c>
      <c r="AL4485" s="1">
        <v>246</v>
      </c>
    </row>
    <row r="4486" spans="1:38" x14ac:dyDescent="0.2">
      <c r="A4486" s="2" t="str">
        <f>HYPERLINK("https://www.compass.com/listing/1-west-end-avenue-unit-21c-manhattan-ny-10069/29397342633425345/","1 W End Ave, Unit 21C")</f>
        <v>1 W End Ave, Unit 21C</v>
      </c>
      <c r="B4486" s="2" t="str">
        <f t="shared" si="756"/>
        <v>1 W End Ave</v>
      </c>
      <c r="C4486" s="1" t="s">
        <v>57</v>
      </c>
      <c r="D4486" s="1" t="s">
        <v>41</v>
      </c>
      <c r="E4486" s="3">
        <v>4031794</v>
      </c>
      <c r="F4486" s="1">
        <v>2000.89032258064</v>
      </c>
      <c r="G4486" s="1">
        <v>5</v>
      </c>
      <c r="H4486" s="1">
        <v>3</v>
      </c>
      <c r="I4486" s="1">
        <v>3</v>
      </c>
      <c r="J4486" s="1">
        <v>3.5</v>
      </c>
      <c r="K4486" s="1">
        <v>3</v>
      </c>
      <c r="L4486" s="1">
        <v>1</v>
      </c>
      <c r="M4486" s="4">
        <v>2015</v>
      </c>
      <c r="N4486" s="1">
        <v>2433</v>
      </c>
      <c r="O4486" s="1">
        <v>2570</v>
      </c>
      <c r="P4486" s="1">
        <v>137</v>
      </c>
      <c r="Q4486" s="1" t="s">
        <v>42</v>
      </c>
      <c r="S4486" s="1" t="s">
        <v>42</v>
      </c>
      <c r="T4486" s="1" t="s">
        <v>273</v>
      </c>
      <c r="V4486" s="5">
        <v>43670</v>
      </c>
      <c r="W4486" s="5">
        <v>42668</v>
      </c>
      <c r="X4486" s="1">
        <v>4080000</v>
      </c>
      <c r="Y4486" s="1">
        <v>4020000</v>
      </c>
      <c r="Z4486" s="5">
        <v>42668</v>
      </c>
      <c r="AA4486" s="1">
        <v>4031794</v>
      </c>
      <c r="AB4486" s="1" t="s">
        <v>2933</v>
      </c>
      <c r="AC4486" s="5">
        <v>42994</v>
      </c>
      <c r="AF4486" s="1">
        <v>10069</v>
      </c>
      <c r="AI4486" s="1" t="s">
        <v>60</v>
      </c>
      <c r="AJ4486" s="1">
        <v>2017</v>
      </c>
      <c r="AK4486" s="1" t="s">
        <v>108</v>
      </c>
      <c r="AL4486" s="1">
        <v>246</v>
      </c>
    </row>
    <row r="4487" spans="1:38" x14ac:dyDescent="0.2">
      <c r="A4487" s="2" t="str">
        <f>HYPERLINK("https://www.compass.com/listing/1-west-end-avenue-unit-22c-manhattan-ny-10069/29397343178590385/","1 W End Ave, Unit 22C")</f>
        <v>1 W End Ave, Unit 22C</v>
      </c>
      <c r="B4487" s="2" t="str">
        <f t="shared" si="756"/>
        <v>1 W End Ave</v>
      </c>
      <c r="C4487" s="1" t="s">
        <v>57</v>
      </c>
      <c r="D4487" s="1" t="s">
        <v>41</v>
      </c>
      <c r="E4487" s="3">
        <v>4061794</v>
      </c>
      <c r="F4487" s="1">
        <v>2017.7814207650199</v>
      </c>
      <c r="G4487" s="1">
        <v>5</v>
      </c>
      <c r="H4487" s="1">
        <v>3</v>
      </c>
      <c r="I4487" s="1">
        <v>3</v>
      </c>
      <c r="J4487" s="1">
        <v>3.5</v>
      </c>
      <c r="K4487" s="1">
        <v>3</v>
      </c>
      <c r="L4487" s="1">
        <v>1</v>
      </c>
      <c r="M4487" s="4">
        <v>2013</v>
      </c>
      <c r="N4487" s="1">
        <v>2346</v>
      </c>
      <c r="O4487" s="1">
        <v>2487</v>
      </c>
      <c r="P4487" s="1">
        <v>141</v>
      </c>
      <c r="Q4487" s="1" t="s">
        <v>42</v>
      </c>
      <c r="S4487" s="1" t="s">
        <v>42</v>
      </c>
      <c r="T4487" s="1" t="s">
        <v>273</v>
      </c>
      <c r="U4487" s="1">
        <v>181</v>
      </c>
      <c r="V4487" s="5">
        <v>43630</v>
      </c>
      <c r="W4487" s="5">
        <v>42686</v>
      </c>
      <c r="X4487" s="1">
        <v>4110000</v>
      </c>
      <c r="Y4487" s="1">
        <v>4110000</v>
      </c>
      <c r="Z4487" s="5">
        <v>42881</v>
      </c>
      <c r="AA4487" s="1">
        <v>4061794</v>
      </c>
      <c r="AB4487" s="1" t="s">
        <v>3169</v>
      </c>
      <c r="AC4487" s="5">
        <v>43004</v>
      </c>
      <c r="AF4487" s="1">
        <v>10069</v>
      </c>
      <c r="AI4487" s="1" t="s">
        <v>60</v>
      </c>
      <c r="AJ4487" s="1">
        <v>2017</v>
      </c>
      <c r="AK4487" s="1" t="s">
        <v>108</v>
      </c>
      <c r="AL4487" s="1">
        <v>246</v>
      </c>
    </row>
    <row r="4488" spans="1:38" x14ac:dyDescent="0.2">
      <c r="A4488" s="2" t="str">
        <f>HYPERLINK("https://www.compass.com/listing/1-west-end-avenue-unit-23c-manhattan-ny-10069/29397343589650433/","1 W End Ave, Unit 23C")</f>
        <v>1 W End Ave, Unit 23C</v>
      </c>
      <c r="B4488" s="2" t="str">
        <f t="shared" si="756"/>
        <v>1 W End Ave</v>
      </c>
      <c r="C4488" s="1" t="s">
        <v>57</v>
      </c>
      <c r="D4488" s="1" t="s">
        <v>41</v>
      </c>
      <c r="E4488" s="3">
        <v>4149422</v>
      </c>
      <c r="F4488" s="1">
        <v>2061.3124689518099</v>
      </c>
      <c r="G4488" s="1">
        <v>5</v>
      </c>
      <c r="H4488" s="1">
        <v>3</v>
      </c>
      <c r="I4488" s="1">
        <v>3</v>
      </c>
      <c r="J4488" s="1">
        <v>3.5</v>
      </c>
      <c r="K4488" s="1">
        <v>3</v>
      </c>
      <c r="L4488" s="1">
        <v>1</v>
      </c>
      <c r="M4488" s="4">
        <v>2013</v>
      </c>
      <c r="N4488" s="1">
        <v>2346</v>
      </c>
      <c r="O4488" s="1">
        <v>2487</v>
      </c>
      <c r="P4488" s="1">
        <v>141</v>
      </c>
      <c r="Q4488" s="1" t="s">
        <v>42</v>
      </c>
      <c r="S4488" s="1" t="s">
        <v>42</v>
      </c>
      <c r="T4488" s="1" t="s">
        <v>273</v>
      </c>
      <c r="U4488" s="1">
        <v>383</v>
      </c>
      <c r="V4488" s="5">
        <v>43649</v>
      </c>
      <c r="W4488" s="5">
        <v>42300</v>
      </c>
      <c r="X4488" s="1">
        <v>4140000</v>
      </c>
      <c r="Y4488" s="1">
        <v>4140000</v>
      </c>
      <c r="Z4488" s="5">
        <v>42683</v>
      </c>
      <c r="AA4488" s="1">
        <v>4149422</v>
      </c>
      <c r="AB4488" s="1" t="s">
        <v>3170</v>
      </c>
      <c r="AC4488" s="5">
        <v>43019</v>
      </c>
      <c r="AF4488" s="1">
        <v>10069</v>
      </c>
      <c r="AI4488" s="1" t="s">
        <v>60</v>
      </c>
      <c r="AJ4488" s="1">
        <v>2017</v>
      </c>
      <c r="AK4488" s="1" t="s">
        <v>108</v>
      </c>
      <c r="AL4488" s="1">
        <v>246</v>
      </c>
    </row>
    <row r="4489" spans="1:38" x14ac:dyDescent="0.2">
      <c r="A4489" s="2" t="str">
        <f>HYPERLINK("https://www.compass.com/listing/1-west-end-avenue-unit-24c-manhattan-ny-10069/29397344084654545/","1 W End Ave, Unit 24C")</f>
        <v>1 W End Ave, Unit 24C</v>
      </c>
      <c r="B4489" s="2" t="str">
        <f t="shared" si="756"/>
        <v>1 W End Ave</v>
      </c>
      <c r="C4489" s="1" t="s">
        <v>57</v>
      </c>
      <c r="D4489" s="1" t="s">
        <v>41</v>
      </c>
      <c r="E4489" s="3">
        <v>3971794</v>
      </c>
      <c r="F4489" s="1">
        <v>1973.0720317933401</v>
      </c>
      <c r="G4489" s="1">
        <v>5</v>
      </c>
      <c r="H4489" s="1">
        <v>3</v>
      </c>
      <c r="I4489" s="1">
        <v>3</v>
      </c>
      <c r="J4489" s="1">
        <v>3.5</v>
      </c>
      <c r="K4489" s="1">
        <v>3</v>
      </c>
      <c r="L4489" s="1">
        <v>1</v>
      </c>
      <c r="M4489" s="4">
        <v>2013</v>
      </c>
      <c r="N4489" s="1">
        <v>2346</v>
      </c>
      <c r="O4489" s="1">
        <v>2487</v>
      </c>
      <c r="P4489" s="1">
        <v>141</v>
      </c>
      <c r="Q4489" s="1" t="s">
        <v>42</v>
      </c>
      <c r="S4489" s="1" t="s">
        <v>42</v>
      </c>
      <c r="T4489" s="1" t="s">
        <v>273</v>
      </c>
      <c r="U4489" s="1">
        <v>4</v>
      </c>
      <c r="V4489" s="5">
        <v>43624</v>
      </c>
      <c r="W4489" s="5">
        <v>42602</v>
      </c>
      <c r="X4489" s="1">
        <v>4170000</v>
      </c>
      <c r="Y4489" s="1">
        <v>4170000</v>
      </c>
      <c r="Z4489" s="5">
        <v>42606</v>
      </c>
      <c r="AA4489" s="1">
        <v>3971794</v>
      </c>
      <c r="AB4489" s="1" t="s">
        <v>3171</v>
      </c>
      <c r="AC4489" s="5">
        <v>43020</v>
      </c>
      <c r="AF4489" s="1">
        <v>10069</v>
      </c>
      <c r="AI4489" s="1" t="s">
        <v>60</v>
      </c>
      <c r="AJ4489" s="1">
        <v>2017</v>
      </c>
      <c r="AK4489" s="1" t="s">
        <v>108</v>
      </c>
      <c r="AL4489" s="1">
        <v>246</v>
      </c>
    </row>
    <row r="4490" spans="1:38" x14ac:dyDescent="0.2">
      <c r="A4490" s="2" t="str">
        <f>HYPERLINK("https://www.compass.com/listing/1-west-end-avenue-unit-25c-manhattan-ny-10069/29397344420104385/","1 W End Ave, Unit 25C")</f>
        <v>1 W End Ave, Unit 25C</v>
      </c>
      <c r="B4490" s="2" t="str">
        <f t="shared" si="756"/>
        <v>1 W End Ave</v>
      </c>
      <c r="C4490" s="1" t="s">
        <v>57</v>
      </c>
      <c r="D4490" s="1" t="s">
        <v>41</v>
      </c>
      <c r="E4490" s="3">
        <v>4149417</v>
      </c>
      <c r="F4490" s="1">
        <v>2063.3600198906001</v>
      </c>
      <c r="G4490" s="1">
        <v>5</v>
      </c>
      <c r="H4490" s="1">
        <v>3</v>
      </c>
      <c r="I4490" s="1">
        <v>3</v>
      </c>
      <c r="J4490" s="1">
        <v>3.5</v>
      </c>
      <c r="K4490" s="1">
        <v>3</v>
      </c>
      <c r="L4490" s="1">
        <v>1</v>
      </c>
      <c r="M4490" s="4">
        <v>2011</v>
      </c>
      <c r="N4490" s="1">
        <v>2345</v>
      </c>
      <c r="O4490" s="1">
        <v>2486</v>
      </c>
      <c r="P4490" s="1">
        <v>141</v>
      </c>
      <c r="Q4490" s="1" t="s">
        <v>42</v>
      </c>
      <c r="S4490" s="1" t="s">
        <v>42</v>
      </c>
      <c r="T4490" s="1" t="s">
        <v>273</v>
      </c>
      <c r="V4490" s="5">
        <v>43626</v>
      </c>
      <c r="W4490" s="5">
        <v>42775</v>
      </c>
      <c r="X4490" s="1">
        <v>4200000</v>
      </c>
      <c r="Y4490" s="1">
        <v>4200000</v>
      </c>
      <c r="Z4490" s="5">
        <v>42775</v>
      </c>
      <c r="AA4490" s="1">
        <v>4149417</v>
      </c>
      <c r="AB4490" s="1" t="s">
        <v>3172</v>
      </c>
      <c r="AC4490" s="5">
        <v>43049</v>
      </c>
      <c r="AF4490" s="1">
        <v>10069</v>
      </c>
      <c r="AI4490" s="1" t="s">
        <v>60</v>
      </c>
      <c r="AJ4490" s="1">
        <v>2017</v>
      </c>
      <c r="AK4490" s="1" t="s">
        <v>108</v>
      </c>
      <c r="AL4490" s="1">
        <v>246</v>
      </c>
    </row>
    <row r="4491" spans="1:38" x14ac:dyDescent="0.2">
      <c r="A4491" s="2" t="str">
        <f>HYPERLINK("https://www.compass.com/listing/1-west-end-avenue-unit-26c-manhattan-ny-10069/29397344822775841/","1 W End Ave, Unit 26C")</f>
        <v>1 W End Ave, Unit 26C</v>
      </c>
      <c r="B4491" s="2" t="str">
        <f t="shared" si="756"/>
        <v>1 W End Ave</v>
      </c>
      <c r="C4491" s="1" t="s">
        <v>57</v>
      </c>
      <c r="D4491" s="1" t="s">
        <v>41</v>
      </c>
      <c r="E4491" s="3">
        <v>4319202</v>
      </c>
      <c r="F4491" s="1">
        <v>2147.7881650919899</v>
      </c>
      <c r="G4491" s="1">
        <v>5</v>
      </c>
      <c r="H4491" s="1">
        <v>3</v>
      </c>
      <c r="I4491" s="1">
        <v>3</v>
      </c>
      <c r="J4491" s="1">
        <v>3.5</v>
      </c>
      <c r="K4491" s="1">
        <v>3</v>
      </c>
      <c r="L4491" s="1">
        <v>1</v>
      </c>
      <c r="M4491" s="4">
        <v>2011</v>
      </c>
      <c r="N4491" s="1">
        <v>2345</v>
      </c>
      <c r="O4491" s="1">
        <v>2486</v>
      </c>
      <c r="P4491" s="1">
        <v>141</v>
      </c>
      <c r="Q4491" s="1" t="s">
        <v>42</v>
      </c>
      <c r="S4491" s="1" t="s">
        <v>42</v>
      </c>
      <c r="T4491" s="1" t="s">
        <v>273</v>
      </c>
      <c r="U4491" s="1">
        <v>146</v>
      </c>
      <c r="V4491" s="5">
        <v>43630</v>
      </c>
      <c r="W4491" s="5">
        <v>42180</v>
      </c>
      <c r="X4491" s="1">
        <v>4230000</v>
      </c>
      <c r="Y4491" s="1">
        <v>4230000</v>
      </c>
      <c r="Z4491" s="5">
        <v>42326</v>
      </c>
      <c r="AA4491" s="1">
        <v>4319202</v>
      </c>
      <c r="AB4491" s="1" t="s">
        <v>3173</v>
      </c>
      <c r="AC4491" s="5">
        <v>43060</v>
      </c>
      <c r="AF4491" s="1">
        <v>10069</v>
      </c>
      <c r="AI4491" s="1" t="s">
        <v>60</v>
      </c>
      <c r="AJ4491" s="1">
        <v>2017</v>
      </c>
      <c r="AK4491" s="1" t="s">
        <v>108</v>
      </c>
      <c r="AL4491" s="1">
        <v>246</v>
      </c>
    </row>
    <row r="4492" spans="1:38" x14ac:dyDescent="0.2">
      <c r="A4492" s="2" t="str">
        <f>HYPERLINK("https://www.compass.com/listing/1-west-end-avenue-unit-27c-manhattan-ny-10069/29397345225505249/","1 W End Ave, Unit 27C")</f>
        <v>1 W End Ave, Unit 27C</v>
      </c>
      <c r="B4492" s="2" t="str">
        <f t="shared" si="756"/>
        <v>1 W End Ave</v>
      </c>
      <c r="C4492" s="1" t="s">
        <v>57</v>
      </c>
      <c r="D4492" s="1" t="s">
        <v>41</v>
      </c>
      <c r="E4492" s="3">
        <v>4196595</v>
      </c>
      <c r="F4492" s="1">
        <v>2086.8199900546902</v>
      </c>
      <c r="G4492" s="1">
        <v>5</v>
      </c>
      <c r="H4492" s="1">
        <v>3</v>
      </c>
      <c r="I4492" s="1">
        <v>3</v>
      </c>
      <c r="J4492" s="1">
        <v>3.5</v>
      </c>
      <c r="K4492" s="1">
        <v>3</v>
      </c>
      <c r="L4492" s="1">
        <v>1</v>
      </c>
      <c r="M4492" s="4">
        <v>2011</v>
      </c>
      <c r="N4492" s="1">
        <v>2345</v>
      </c>
      <c r="O4492" s="1">
        <v>2486</v>
      </c>
      <c r="P4492" s="1">
        <v>141</v>
      </c>
      <c r="Q4492" s="1" t="s">
        <v>42</v>
      </c>
      <c r="S4492" s="1" t="s">
        <v>42</v>
      </c>
      <c r="T4492" s="1" t="s">
        <v>273</v>
      </c>
      <c r="U4492" s="1">
        <v>60</v>
      </c>
      <c r="V4492" s="5">
        <v>43640</v>
      </c>
      <c r="W4492" s="5">
        <v>42668</v>
      </c>
      <c r="X4492" s="1">
        <v>4275000</v>
      </c>
      <c r="Y4492" s="1">
        <v>4275000</v>
      </c>
      <c r="Z4492" s="5">
        <v>42728</v>
      </c>
      <c r="AA4492" s="1">
        <v>4196595</v>
      </c>
      <c r="AB4492" s="1" t="s">
        <v>3174</v>
      </c>
      <c r="AC4492" s="5">
        <v>43056</v>
      </c>
      <c r="AF4492" s="1">
        <v>10069</v>
      </c>
      <c r="AI4492" s="1" t="s">
        <v>60</v>
      </c>
      <c r="AJ4492" s="1">
        <v>2017</v>
      </c>
      <c r="AK4492" s="1" t="s">
        <v>108</v>
      </c>
      <c r="AL4492" s="1">
        <v>246</v>
      </c>
    </row>
    <row r="4493" spans="1:38" x14ac:dyDescent="0.2">
      <c r="A4493" s="2" t="str">
        <f>HYPERLINK("https://www.compass.com/listing/1-west-end-avenue-unit-38c-manhattan-ny-10069/29397346475407857/","1 W End Ave, Unit 38C")</f>
        <v>1 W End Ave, Unit 38C</v>
      </c>
      <c r="B4493" s="2" t="str">
        <f t="shared" si="756"/>
        <v>1 W End Ave</v>
      </c>
      <c r="C4493" s="1" t="s">
        <v>57</v>
      </c>
      <c r="D4493" s="1" t="s">
        <v>41</v>
      </c>
      <c r="E4493" s="3">
        <v>5836553</v>
      </c>
      <c r="F4493" s="1">
        <v>2599.8008908685902</v>
      </c>
      <c r="G4493" s="1">
        <v>5</v>
      </c>
      <c r="H4493" s="1">
        <v>3</v>
      </c>
      <c r="I4493" s="1">
        <v>3</v>
      </c>
      <c r="J4493" s="1">
        <v>3.5</v>
      </c>
      <c r="K4493" s="1">
        <v>3</v>
      </c>
      <c r="L4493" s="1">
        <v>1</v>
      </c>
      <c r="M4493" s="4">
        <v>2245</v>
      </c>
      <c r="N4493" s="1">
        <v>2540</v>
      </c>
      <c r="O4493" s="1">
        <v>2692</v>
      </c>
      <c r="P4493" s="1">
        <v>152</v>
      </c>
      <c r="Q4493" s="1" t="s">
        <v>42</v>
      </c>
      <c r="S4493" s="1" t="s">
        <v>42</v>
      </c>
      <c r="T4493" s="1" t="s">
        <v>273</v>
      </c>
      <c r="U4493" s="1">
        <v>1</v>
      </c>
      <c r="V4493" s="5">
        <v>43624</v>
      </c>
      <c r="W4493" s="5">
        <v>42773</v>
      </c>
      <c r="X4493" s="1">
        <v>6175000</v>
      </c>
      <c r="Y4493" s="1">
        <v>6175000</v>
      </c>
      <c r="Z4493" s="5">
        <v>42774</v>
      </c>
      <c r="AA4493" s="1">
        <v>5836553</v>
      </c>
      <c r="AB4493" s="1" t="s">
        <v>3175</v>
      </c>
      <c r="AC4493" s="5">
        <v>43113</v>
      </c>
      <c r="AF4493" s="1">
        <v>10069</v>
      </c>
      <c r="AI4493" s="1" t="s">
        <v>60</v>
      </c>
      <c r="AJ4493" s="1">
        <v>2017</v>
      </c>
      <c r="AK4493" s="1" t="s">
        <v>108</v>
      </c>
      <c r="AL4493" s="1">
        <v>246</v>
      </c>
    </row>
    <row r="4494" spans="1:38" x14ac:dyDescent="0.2">
      <c r="A4494" s="2" t="str">
        <f>HYPERLINK("https://www.compass.com/listing/1-west-end-avenue-unit-39c-manhattan-ny-10069/29397346844412129/","1 W End Ave, Unit 39C")</f>
        <v>1 W End Ave, Unit 39C</v>
      </c>
      <c r="B4494" s="2" t="str">
        <f t="shared" si="756"/>
        <v>1 W End Ave</v>
      </c>
      <c r="C4494" s="1" t="s">
        <v>57</v>
      </c>
      <c r="D4494" s="1" t="s">
        <v>41</v>
      </c>
      <c r="E4494" s="3">
        <v>5876206</v>
      </c>
      <c r="F4494" s="1">
        <v>2617.4636971046698</v>
      </c>
      <c r="G4494" s="1">
        <v>5</v>
      </c>
      <c r="H4494" s="1">
        <v>3</v>
      </c>
      <c r="I4494" s="1">
        <v>3</v>
      </c>
      <c r="J4494" s="1">
        <v>3.5</v>
      </c>
      <c r="K4494" s="1">
        <v>3</v>
      </c>
      <c r="L4494" s="1">
        <v>1</v>
      </c>
      <c r="M4494" s="4">
        <v>2245</v>
      </c>
      <c r="N4494" s="1">
        <v>2540</v>
      </c>
      <c r="O4494" s="1">
        <v>2692</v>
      </c>
      <c r="P4494" s="1">
        <v>152</v>
      </c>
      <c r="Q4494" s="1" t="s">
        <v>42</v>
      </c>
      <c r="S4494" s="1" t="s">
        <v>42</v>
      </c>
      <c r="T4494" s="1" t="s">
        <v>273</v>
      </c>
      <c r="U4494" s="1">
        <v>1</v>
      </c>
      <c r="V4494" s="5">
        <v>43642</v>
      </c>
      <c r="W4494" s="5">
        <v>42472</v>
      </c>
      <c r="X4494" s="1">
        <v>6225000</v>
      </c>
      <c r="Y4494" s="1">
        <v>6225000</v>
      </c>
      <c r="Z4494" s="5">
        <v>42473</v>
      </c>
      <c r="AA4494" s="1">
        <v>5876206</v>
      </c>
      <c r="AB4494" s="1" t="s">
        <v>3176</v>
      </c>
      <c r="AC4494" s="5">
        <v>43117</v>
      </c>
      <c r="AF4494" s="1">
        <v>10069</v>
      </c>
      <c r="AI4494" s="1" t="s">
        <v>60</v>
      </c>
      <c r="AJ4494" s="1">
        <v>2017</v>
      </c>
      <c r="AK4494" s="1" t="s">
        <v>108</v>
      </c>
      <c r="AL4494" s="1">
        <v>246</v>
      </c>
    </row>
    <row r="4495" spans="1:38" x14ac:dyDescent="0.2">
      <c r="A4495" s="2" t="str">
        <f>HYPERLINK("https://www.compass.com/listing/1-west-end-avenue-unit-12d-manhattan-ny-10069/29397349931419921/","1 W End Ave, Unit 12D")</f>
        <v>1 W End Ave, Unit 12D</v>
      </c>
      <c r="B4495" s="2" t="str">
        <f t="shared" si="756"/>
        <v>1 W End Ave</v>
      </c>
      <c r="C4495" s="1" t="s">
        <v>57</v>
      </c>
      <c r="D4495" s="1" t="s">
        <v>41</v>
      </c>
      <c r="E4495" s="3">
        <v>3891537</v>
      </c>
      <c r="F4495" s="1">
        <v>1933.20268256333</v>
      </c>
      <c r="G4495" s="1">
        <v>5</v>
      </c>
      <c r="H4495" s="1">
        <v>3</v>
      </c>
      <c r="I4495" s="1">
        <v>3</v>
      </c>
      <c r="J4495" s="1">
        <v>3.5</v>
      </c>
      <c r="K4495" s="1">
        <v>3</v>
      </c>
      <c r="L4495" s="1">
        <v>1</v>
      </c>
      <c r="M4495" s="4">
        <v>2013</v>
      </c>
      <c r="N4495" s="1">
        <v>2346</v>
      </c>
      <c r="O4495" s="1">
        <v>2487</v>
      </c>
      <c r="P4495" s="1">
        <v>141</v>
      </c>
      <c r="Q4495" s="1" t="s">
        <v>42</v>
      </c>
      <c r="S4495" s="1" t="s">
        <v>42</v>
      </c>
      <c r="T4495" s="1" t="s">
        <v>273</v>
      </c>
      <c r="V4495" s="5">
        <v>43636</v>
      </c>
      <c r="W4495" s="5">
        <v>42287</v>
      </c>
      <c r="X4495" s="1">
        <v>3810000</v>
      </c>
      <c r="Y4495" s="1">
        <v>3810000</v>
      </c>
      <c r="Z4495" s="5">
        <v>42287</v>
      </c>
      <c r="AA4495" s="1">
        <v>3891537</v>
      </c>
      <c r="AB4495" s="1" t="s">
        <v>3177</v>
      </c>
      <c r="AC4495" s="5">
        <v>43021</v>
      </c>
      <c r="AF4495" s="1">
        <v>10069</v>
      </c>
      <c r="AI4495" s="1" t="s">
        <v>60</v>
      </c>
      <c r="AJ4495" s="1">
        <v>2017</v>
      </c>
      <c r="AK4495" s="1" t="s">
        <v>108</v>
      </c>
      <c r="AL4495" s="1">
        <v>246</v>
      </c>
    </row>
    <row r="4496" spans="1:38" x14ac:dyDescent="0.2">
      <c r="A4496" s="2" t="str">
        <f>HYPERLINK("https://www.compass.com/listing/1-west-end-avenue-unit-14d-manhattan-ny-10069/29397350292148321/","1 W End Ave, Unit 14D")</f>
        <v>1 W End Ave, Unit 14D</v>
      </c>
      <c r="B4496" s="2" t="str">
        <f t="shared" si="756"/>
        <v>1 W End Ave</v>
      </c>
      <c r="C4496" s="1" t="s">
        <v>57</v>
      </c>
      <c r="D4496" s="1" t="s">
        <v>41</v>
      </c>
      <c r="E4496" s="3">
        <v>3867845</v>
      </c>
      <c r="F4496" s="1">
        <v>1921.43318430203</v>
      </c>
      <c r="G4496" s="1">
        <v>5</v>
      </c>
      <c r="H4496" s="1">
        <v>3</v>
      </c>
      <c r="I4496" s="1">
        <v>3</v>
      </c>
      <c r="J4496" s="1">
        <v>3.5</v>
      </c>
      <c r="K4496" s="1">
        <v>3</v>
      </c>
      <c r="L4496" s="1">
        <v>1</v>
      </c>
      <c r="M4496" s="4">
        <v>2013</v>
      </c>
      <c r="N4496" s="1">
        <v>2346</v>
      </c>
      <c r="O4496" s="1">
        <v>2487</v>
      </c>
      <c r="P4496" s="1">
        <v>141</v>
      </c>
      <c r="Q4496" s="1" t="s">
        <v>42</v>
      </c>
      <c r="S4496" s="1" t="s">
        <v>42</v>
      </c>
      <c r="T4496" s="1" t="s">
        <v>273</v>
      </c>
      <c r="U4496" s="1">
        <v>91</v>
      </c>
      <c r="V4496" s="5">
        <v>43649</v>
      </c>
      <c r="W4496" s="5">
        <v>42180</v>
      </c>
      <c r="X4496" s="1">
        <v>3840000</v>
      </c>
      <c r="Y4496" s="1">
        <v>3840000</v>
      </c>
      <c r="Z4496" s="5">
        <v>42271</v>
      </c>
      <c r="AA4496" s="1">
        <v>3867845</v>
      </c>
      <c r="AB4496" s="1" t="s">
        <v>3178</v>
      </c>
      <c r="AC4496" s="5">
        <v>43078</v>
      </c>
      <c r="AF4496" s="1">
        <v>10069</v>
      </c>
      <c r="AI4496" s="1" t="s">
        <v>60</v>
      </c>
      <c r="AJ4496" s="1">
        <v>2017</v>
      </c>
      <c r="AK4496" s="1" t="s">
        <v>108</v>
      </c>
      <c r="AL4496" s="1">
        <v>246</v>
      </c>
    </row>
    <row r="4497" spans="1:38" x14ac:dyDescent="0.2">
      <c r="A4497" s="2" t="str">
        <f>HYPERLINK("https://www.compass.com/listing/1-west-end-avenue-unit-15d-manhattan-ny-10069/29397350728432161/","1 W End Ave, Unit 15D")</f>
        <v>1 W End Ave, Unit 15D</v>
      </c>
      <c r="B4497" s="2" t="str">
        <f t="shared" si="756"/>
        <v>1 W End Ave</v>
      </c>
      <c r="C4497" s="1" t="s">
        <v>57</v>
      </c>
      <c r="D4497" s="1" t="s">
        <v>41</v>
      </c>
      <c r="E4497" s="3">
        <v>3952637</v>
      </c>
      <c r="F4497" s="1">
        <v>1963.55538996522</v>
      </c>
      <c r="G4497" s="1">
        <v>5</v>
      </c>
      <c r="H4497" s="1">
        <v>3</v>
      </c>
      <c r="I4497" s="1">
        <v>3</v>
      </c>
      <c r="J4497" s="1">
        <v>3.5</v>
      </c>
      <c r="K4497" s="1">
        <v>3</v>
      </c>
      <c r="L4497" s="1">
        <v>1</v>
      </c>
      <c r="M4497" s="4">
        <v>2013</v>
      </c>
      <c r="N4497" s="1">
        <v>2347</v>
      </c>
      <c r="O4497" s="1">
        <v>2488</v>
      </c>
      <c r="P4497" s="1">
        <v>141</v>
      </c>
      <c r="Q4497" s="1" t="s">
        <v>42</v>
      </c>
      <c r="S4497" s="1" t="s">
        <v>42</v>
      </c>
      <c r="T4497" s="1" t="s">
        <v>273</v>
      </c>
      <c r="V4497" s="5">
        <v>43623</v>
      </c>
      <c r="W4497" s="5">
        <v>42647</v>
      </c>
      <c r="X4497" s="1">
        <v>3870000</v>
      </c>
      <c r="Y4497" s="1">
        <v>3870000</v>
      </c>
      <c r="Z4497" s="5">
        <v>42647</v>
      </c>
      <c r="AA4497" s="1">
        <v>3952637</v>
      </c>
      <c r="AB4497" s="1" t="s">
        <v>3179</v>
      </c>
      <c r="AC4497" s="5">
        <v>43054</v>
      </c>
      <c r="AF4497" s="1">
        <v>10069</v>
      </c>
      <c r="AI4497" s="1" t="s">
        <v>60</v>
      </c>
      <c r="AJ4497" s="1">
        <v>2017</v>
      </c>
      <c r="AK4497" s="1" t="s">
        <v>108</v>
      </c>
      <c r="AL4497" s="1">
        <v>246</v>
      </c>
    </row>
    <row r="4498" spans="1:38" x14ac:dyDescent="0.2">
      <c r="A4498" s="2" t="str">
        <f>HYPERLINK("https://www.compass.com/listing/1-west-end-avenue-unit-16d-manhattan-ny-10069/29397351055493409/","1 W End Ave, Unit 16D")</f>
        <v>1 W End Ave, Unit 16D</v>
      </c>
      <c r="B4498" s="2" t="str">
        <f t="shared" si="756"/>
        <v>1 W End Ave</v>
      </c>
      <c r="C4498" s="1" t="s">
        <v>57</v>
      </c>
      <c r="D4498" s="1" t="s">
        <v>41</v>
      </c>
      <c r="E4498" s="3">
        <v>3912010</v>
      </c>
      <c r="F4498" s="1">
        <v>1943.37307501241</v>
      </c>
      <c r="G4498" s="1">
        <v>5</v>
      </c>
      <c r="H4498" s="1">
        <v>3</v>
      </c>
      <c r="I4498" s="1">
        <v>3</v>
      </c>
      <c r="J4498" s="1">
        <v>3.5</v>
      </c>
      <c r="K4498" s="1">
        <v>3</v>
      </c>
      <c r="L4498" s="1">
        <v>1</v>
      </c>
      <c r="M4498" s="4">
        <v>2013</v>
      </c>
      <c r="N4498" s="1">
        <v>2347</v>
      </c>
      <c r="O4498" s="1">
        <v>2488</v>
      </c>
      <c r="P4498" s="1">
        <v>141</v>
      </c>
      <c r="Q4498" s="1" t="s">
        <v>42</v>
      </c>
      <c r="S4498" s="1" t="s">
        <v>42</v>
      </c>
      <c r="T4498" s="1" t="s">
        <v>273</v>
      </c>
      <c r="U4498" s="1">
        <v>286</v>
      </c>
      <c r="V4498" s="5">
        <v>43623</v>
      </c>
      <c r="W4498" s="5">
        <v>42271</v>
      </c>
      <c r="X4498" s="1">
        <v>3900000</v>
      </c>
      <c r="Y4498" s="1">
        <v>3900000</v>
      </c>
      <c r="Z4498" s="5">
        <v>42557</v>
      </c>
      <c r="AA4498" s="1">
        <v>3912010</v>
      </c>
      <c r="AB4498" s="1" t="s">
        <v>3180</v>
      </c>
      <c r="AC4498" s="5">
        <v>43069</v>
      </c>
      <c r="AF4498" s="1">
        <v>10069</v>
      </c>
      <c r="AI4498" s="1" t="s">
        <v>60</v>
      </c>
      <c r="AJ4498" s="1">
        <v>2017</v>
      </c>
      <c r="AK4498" s="1" t="s">
        <v>108</v>
      </c>
      <c r="AL4498" s="1">
        <v>246</v>
      </c>
    </row>
    <row r="4499" spans="1:38" x14ac:dyDescent="0.2">
      <c r="A4499" s="2" t="str">
        <f>HYPERLINK("https://www.compass.com/listing/1-west-end-avenue-unit-17d-manhattan-ny-10069/29397351500107889/","1 W End Ave, Unit 17D")</f>
        <v>1 W End Ave, Unit 17D</v>
      </c>
      <c r="B4499" s="2" t="str">
        <f t="shared" si="756"/>
        <v>1 W End Ave</v>
      </c>
      <c r="C4499" s="1" t="s">
        <v>57</v>
      </c>
      <c r="D4499" s="1" t="s">
        <v>41</v>
      </c>
      <c r="E4499" s="3">
        <v>3823894</v>
      </c>
      <c r="F4499" s="1">
        <v>1898.65640516385</v>
      </c>
      <c r="G4499" s="1">
        <v>5</v>
      </c>
      <c r="H4499" s="1">
        <v>3</v>
      </c>
      <c r="I4499" s="1">
        <v>3</v>
      </c>
      <c r="J4499" s="1">
        <v>3.5</v>
      </c>
      <c r="K4499" s="1">
        <v>3</v>
      </c>
      <c r="L4499" s="1">
        <v>1</v>
      </c>
      <c r="M4499" s="4">
        <v>2014</v>
      </c>
      <c r="N4499" s="1">
        <v>2347</v>
      </c>
      <c r="O4499" s="1">
        <v>2488</v>
      </c>
      <c r="P4499" s="1">
        <v>141</v>
      </c>
      <c r="Q4499" s="1" t="s">
        <v>42</v>
      </c>
      <c r="S4499" s="1" t="s">
        <v>42</v>
      </c>
      <c r="T4499" s="1" t="s">
        <v>273</v>
      </c>
      <c r="U4499" s="1">
        <v>94</v>
      </c>
      <c r="V4499" s="5">
        <v>43650</v>
      </c>
      <c r="W4499" s="5">
        <v>42557</v>
      </c>
      <c r="X4499" s="1">
        <v>3930000</v>
      </c>
      <c r="Y4499" s="1">
        <v>3930000</v>
      </c>
      <c r="Z4499" s="5">
        <v>42651</v>
      </c>
      <c r="AA4499" s="1">
        <v>3823894</v>
      </c>
      <c r="AB4499" s="1" t="s">
        <v>3181</v>
      </c>
      <c r="AC4499" s="5">
        <v>42977</v>
      </c>
      <c r="AF4499" s="1">
        <v>10069</v>
      </c>
      <c r="AI4499" s="1" t="s">
        <v>60</v>
      </c>
      <c r="AJ4499" s="1">
        <v>2017</v>
      </c>
      <c r="AK4499" s="1" t="s">
        <v>108</v>
      </c>
      <c r="AL4499" s="1">
        <v>246</v>
      </c>
    </row>
    <row r="4500" spans="1:38" x14ac:dyDescent="0.2">
      <c r="A4500" s="2" t="str">
        <f>HYPERLINK("https://www.compass.com/listing/1-west-end-avenue-unit-18d-manhattan-ny-10069/29397351944780337/","1 W End Ave, Unit 18D")</f>
        <v>1 W End Ave, Unit 18D</v>
      </c>
      <c r="B4500" s="2" t="str">
        <f t="shared" si="756"/>
        <v>1 W End Ave</v>
      </c>
      <c r="C4500" s="1" t="s">
        <v>57</v>
      </c>
      <c r="D4500" s="1" t="s">
        <v>41</v>
      </c>
      <c r="E4500" s="3">
        <v>4044275</v>
      </c>
      <c r="F4500" s="1">
        <v>2009.0784898161901</v>
      </c>
      <c r="G4500" s="1">
        <v>5</v>
      </c>
      <c r="H4500" s="1">
        <v>3</v>
      </c>
      <c r="I4500" s="1">
        <v>3</v>
      </c>
      <c r="J4500" s="1">
        <v>3.5</v>
      </c>
      <c r="K4500" s="1">
        <v>3</v>
      </c>
      <c r="L4500" s="1">
        <v>1</v>
      </c>
      <c r="M4500" s="4">
        <v>2013</v>
      </c>
      <c r="N4500" s="1">
        <v>2346</v>
      </c>
      <c r="O4500" s="1">
        <v>2487</v>
      </c>
      <c r="P4500" s="1">
        <v>141</v>
      </c>
      <c r="Q4500" s="1" t="s">
        <v>42</v>
      </c>
      <c r="S4500" s="1" t="s">
        <v>42</v>
      </c>
      <c r="T4500" s="1" t="s">
        <v>273</v>
      </c>
      <c r="U4500" s="1">
        <v>4</v>
      </c>
      <c r="V4500" s="5">
        <v>43673</v>
      </c>
      <c r="W4500" s="5">
        <v>42188</v>
      </c>
      <c r="X4500" s="1">
        <v>3960000</v>
      </c>
      <c r="Y4500" s="1">
        <v>3960000</v>
      </c>
      <c r="Z4500" s="5">
        <v>42192</v>
      </c>
      <c r="AA4500" s="1">
        <v>4044275</v>
      </c>
      <c r="AB4500" s="1" t="s">
        <v>3182</v>
      </c>
      <c r="AC4500" s="5">
        <v>43049</v>
      </c>
      <c r="AF4500" s="1">
        <v>10069</v>
      </c>
      <c r="AI4500" s="1" t="s">
        <v>60</v>
      </c>
      <c r="AJ4500" s="1">
        <v>2017</v>
      </c>
      <c r="AK4500" s="1" t="s">
        <v>108</v>
      </c>
      <c r="AL4500" s="1">
        <v>246</v>
      </c>
    </row>
    <row r="4501" spans="1:38" x14ac:dyDescent="0.2">
      <c r="A4501" s="2" t="str">
        <f>HYPERLINK("https://www.compass.com/listing/1-west-end-avenue-unit-19d-manhattan-ny-10069/29397352338950465/","1 W End Ave, Unit 19D")</f>
        <v>1 W End Ave, Unit 19D</v>
      </c>
      <c r="B4501" s="2" t="str">
        <f t="shared" si="756"/>
        <v>1 W End Ave</v>
      </c>
      <c r="C4501" s="1" t="s">
        <v>57</v>
      </c>
      <c r="D4501" s="1" t="s">
        <v>41</v>
      </c>
      <c r="E4501" s="3">
        <v>3911789</v>
      </c>
      <c r="F4501" s="1">
        <v>1943.2631147540901</v>
      </c>
      <c r="G4501" s="1">
        <v>5</v>
      </c>
      <c r="H4501" s="1">
        <v>3</v>
      </c>
      <c r="I4501" s="1">
        <v>3</v>
      </c>
      <c r="J4501" s="1">
        <v>3.5</v>
      </c>
      <c r="K4501" s="1">
        <v>3</v>
      </c>
      <c r="L4501" s="1">
        <v>1</v>
      </c>
      <c r="M4501" s="4">
        <v>2013</v>
      </c>
      <c r="N4501" s="1">
        <v>2346</v>
      </c>
      <c r="O4501" s="1">
        <v>2487</v>
      </c>
      <c r="P4501" s="1">
        <v>141</v>
      </c>
      <c r="Q4501" s="1" t="s">
        <v>42</v>
      </c>
      <c r="S4501" s="1" t="s">
        <v>42</v>
      </c>
      <c r="T4501" s="1" t="s">
        <v>273</v>
      </c>
      <c r="U4501" s="1">
        <v>1</v>
      </c>
      <c r="V4501" s="5">
        <v>43022</v>
      </c>
      <c r="W4501" s="5">
        <v>42660</v>
      </c>
      <c r="X4501" s="1">
        <v>3990000</v>
      </c>
      <c r="Y4501" s="1">
        <v>3990000</v>
      </c>
      <c r="Z4501" s="5">
        <v>42662</v>
      </c>
      <c r="AA4501" s="1">
        <v>3911788.65</v>
      </c>
      <c r="AB4501" s="1" t="s">
        <v>3183</v>
      </c>
      <c r="AC4501" s="5">
        <v>42997</v>
      </c>
      <c r="AF4501" s="1">
        <v>10069</v>
      </c>
      <c r="AI4501" s="1" t="s">
        <v>60</v>
      </c>
      <c r="AJ4501" s="1">
        <v>2017</v>
      </c>
      <c r="AK4501" s="1" t="s">
        <v>108</v>
      </c>
      <c r="AL4501" s="1">
        <v>246</v>
      </c>
    </row>
    <row r="4502" spans="1:38" x14ac:dyDescent="0.2">
      <c r="A4502" s="2" t="str">
        <f>HYPERLINK("https://www.compass.com/listing/1-west-end-avenue-unit-20d-manhattan-ny-10069/29397352699678849/","1 W End Ave, Unit 20D")</f>
        <v>1 W End Ave, Unit 20D</v>
      </c>
      <c r="B4502" s="2" t="str">
        <f t="shared" si="756"/>
        <v>1 W End Ave</v>
      </c>
      <c r="C4502" s="1" t="s">
        <v>57</v>
      </c>
      <c r="D4502" s="1" t="s">
        <v>41</v>
      </c>
      <c r="E4502" s="3">
        <v>4061789</v>
      </c>
      <c r="F4502" s="1">
        <v>2017.7789369100799</v>
      </c>
      <c r="G4502" s="1">
        <v>5</v>
      </c>
      <c r="H4502" s="1">
        <v>3</v>
      </c>
      <c r="I4502" s="1">
        <v>3</v>
      </c>
      <c r="J4502" s="1">
        <v>3.5</v>
      </c>
      <c r="K4502" s="1">
        <v>3</v>
      </c>
      <c r="L4502" s="1">
        <v>1</v>
      </c>
      <c r="M4502" s="4">
        <v>2013</v>
      </c>
      <c r="N4502" s="1">
        <v>2346</v>
      </c>
      <c r="O4502" s="1">
        <v>2487</v>
      </c>
      <c r="P4502" s="1">
        <v>141</v>
      </c>
      <c r="Q4502" s="1" t="s">
        <v>42</v>
      </c>
      <c r="S4502" s="1" t="s">
        <v>42</v>
      </c>
      <c r="T4502" s="1" t="s">
        <v>273</v>
      </c>
      <c r="U4502" s="1">
        <v>33</v>
      </c>
      <c r="V4502" s="5">
        <v>43630</v>
      </c>
      <c r="W4502" s="5">
        <v>42650</v>
      </c>
      <c r="X4502" s="1">
        <v>4050000</v>
      </c>
      <c r="Y4502" s="1">
        <v>4050000</v>
      </c>
      <c r="Z4502" s="5">
        <v>42683</v>
      </c>
      <c r="AA4502" s="1">
        <v>4061789</v>
      </c>
      <c r="AB4502" s="1" t="s">
        <v>3184</v>
      </c>
      <c r="AC4502" s="5">
        <v>42992</v>
      </c>
      <c r="AF4502" s="1">
        <v>10069</v>
      </c>
      <c r="AI4502" s="1" t="s">
        <v>60</v>
      </c>
      <c r="AJ4502" s="1">
        <v>2017</v>
      </c>
      <c r="AK4502" s="1" t="s">
        <v>108</v>
      </c>
      <c r="AL4502" s="1">
        <v>246</v>
      </c>
    </row>
    <row r="4503" spans="1:38" x14ac:dyDescent="0.2">
      <c r="A4503" s="2" t="str">
        <f>HYPERLINK("https://www.compass.com/listing/1-west-end-avenue-unit-33d-manhattan-ny-10069/29397356692732545/","1 W End Ave, Unit 33D")</f>
        <v>1 W End Ave, Unit 33D</v>
      </c>
      <c r="B4503" s="2" t="str">
        <f t="shared" si="756"/>
        <v>1 W End Ave</v>
      </c>
      <c r="C4503" s="1" t="s">
        <v>57</v>
      </c>
      <c r="D4503" s="1" t="s">
        <v>41</v>
      </c>
      <c r="E4503" s="3">
        <v>5398527</v>
      </c>
      <c r="F4503" s="1">
        <v>2175.94800483675</v>
      </c>
      <c r="G4503" s="1">
        <v>5</v>
      </c>
      <c r="H4503" s="1">
        <v>3</v>
      </c>
      <c r="I4503" s="1">
        <v>3</v>
      </c>
      <c r="J4503" s="1">
        <v>3.5</v>
      </c>
      <c r="K4503" s="1">
        <v>3</v>
      </c>
      <c r="L4503" s="1">
        <v>1</v>
      </c>
      <c r="M4503" s="4">
        <v>2481</v>
      </c>
      <c r="N4503" s="1">
        <v>2737</v>
      </c>
      <c r="O4503" s="1">
        <v>2901</v>
      </c>
      <c r="P4503" s="1">
        <v>164</v>
      </c>
      <c r="Q4503" s="1" t="s">
        <v>42</v>
      </c>
      <c r="S4503" s="1" t="s">
        <v>42</v>
      </c>
      <c r="T4503" s="1" t="s">
        <v>273</v>
      </c>
      <c r="V4503" s="5">
        <v>43624</v>
      </c>
      <c r="W4503" s="5">
        <v>42567</v>
      </c>
      <c r="X4503" s="1">
        <v>5775000</v>
      </c>
      <c r="Y4503" s="1">
        <v>5775000</v>
      </c>
      <c r="Z4503" s="5">
        <v>42567</v>
      </c>
      <c r="AA4503" s="1">
        <v>5398527</v>
      </c>
      <c r="AB4503" s="1" t="s">
        <v>3185</v>
      </c>
      <c r="AC4503" s="5">
        <v>43237</v>
      </c>
      <c r="AF4503" s="1">
        <v>10069</v>
      </c>
      <c r="AI4503" s="1" t="s">
        <v>60</v>
      </c>
      <c r="AJ4503" s="1">
        <v>2017</v>
      </c>
      <c r="AK4503" s="1" t="s">
        <v>108</v>
      </c>
      <c r="AL4503" s="1">
        <v>246</v>
      </c>
    </row>
    <row r="4504" spans="1:38" x14ac:dyDescent="0.2">
      <c r="A4504" s="2" t="str">
        <f>HYPERLINK("https://www.compass.com/listing/1-west-end-avenue-unit-41d-manhattan-ny-10069/29512722559401969/","1 W End Ave, Unit 41D")</f>
        <v>1 W End Ave, Unit 41D</v>
      </c>
      <c r="B4504" s="2" t="str">
        <f t="shared" si="756"/>
        <v>1 W End Ave</v>
      </c>
      <c r="C4504" s="1" t="s">
        <v>57</v>
      </c>
      <c r="D4504" s="1" t="s">
        <v>41</v>
      </c>
      <c r="E4504" s="3">
        <v>5954363</v>
      </c>
      <c r="F4504" s="1">
        <v>2399.9850866585998</v>
      </c>
      <c r="G4504" s="1">
        <v>5</v>
      </c>
      <c r="H4504" s="1">
        <v>3</v>
      </c>
      <c r="I4504" s="1">
        <v>3</v>
      </c>
      <c r="J4504" s="1">
        <v>3.5</v>
      </c>
      <c r="K4504" s="1">
        <v>3</v>
      </c>
      <c r="L4504" s="1">
        <v>1</v>
      </c>
      <c r="M4504" s="4">
        <v>2481</v>
      </c>
      <c r="N4504" s="1">
        <v>2737</v>
      </c>
      <c r="O4504" s="1">
        <v>2901</v>
      </c>
      <c r="P4504" s="1">
        <v>164</v>
      </c>
      <c r="Q4504" s="1" t="s">
        <v>42</v>
      </c>
      <c r="S4504" s="1" t="s">
        <v>42</v>
      </c>
      <c r="T4504" s="1" t="s">
        <v>273</v>
      </c>
      <c r="V4504" s="5">
        <v>43624</v>
      </c>
      <c r="W4504" s="5">
        <v>42511</v>
      </c>
      <c r="X4504" s="1">
        <v>6400000</v>
      </c>
      <c r="Y4504" s="1">
        <v>6400000</v>
      </c>
      <c r="Z4504" s="5">
        <v>42511</v>
      </c>
      <c r="AA4504" s="1">
        <v>5954363</v>
      </c>
      <c r="AB4504" s="1" t="s">
        <v>3186</v>
      </c>
      <c r="AC4504" s="5">
        <v>43313</v>
      </c>
      <c r="AF4504" s="1">
        <v>10069</v>
      </c>
      <c r="AI4504" s="1" t="s">
        <v>60</v>
      </c>
      <c r="AJ4504" s="1">
        <v>2017</v>
      </c>
      <c r="AK4504" s="1" t="s">
        <v>108</v>
      </c>
      <c r="AL4504" s="1">
        <v>246</v>
      </c>
    </row>
    <row r="4505" spans="1:38" x14ac:dyDescent="0.2">
      <c r="A4505" s="2" t="str">
        <f>HYPERLINK("https://www.compass.com/listing/1-west-end-avenue-unit-25e-manhattan-ny-10069/819501646432572873/","1 W End Ave, Unit 25E")</f>
        <v>1 W End Ave, Unit 25E</v>
      </c>
      <c r="B4505" s="2" t="str">
        <f t="shared" si="756"/>
        <v>1 W End Ave</v>
      </c>
      <c r="C4505" s="1" t="s">
        <v>57</v>
      </c>
      <c r="D4505" s="1" t="s">
        <v>41</v>
      </c>
      <c r="E4505" s="3">
        <v>5350000</v>
      </c>
      <c r="F4505" s="1">
        <v>2177.45217745217</v>
      </c>
      <c r="G4505" s="1">
        <v>5</v>
      </c>
      <c r="H4505" s="1">
        <v>3</v>
      </c>
      <c r="I4505" s="1">
        <v>4</v>
      </c>
      <c r="J4505" s="1">
        <v>3.5</v>
      </c>
      <c r="K4505" s="1">
        <v>3</v>
      </c>
      <c r="L4505" s="1">
        <v>1</v>
      </c>
      <c r="M4505" s="4">
        <v>2457</v>
      </c>
      <c r="N4505" s="1">
        <v>2816</v>
      </c>
      <c r="O4505" s="1">
        <v>2974</v>
      </c>
      <c r="P4505" s="1">
        <v>158</v>
      </c>
      <c r="Q4505" s="1" t="s">
        <v>42</v>
      </c>
      <c r="S4505" s="1" t="s">
        <v>42</v>
      </c>
      <c r="T4505" s="1" t="s">
        <v>273</v>
      </c>
      <c r="U4505" s="1">
        <v>784</v>
      </c>
      <c r="V4505" s="5">
        <v>44387</v>
      </c>
      <c r="W4505" s="5">
        <v>43504</v>
      </c>
      <c r="Y4505" s="1">
        <v>5600000</v>
      </c>
      <c r="AA4505" s="1">
        <v>5350000</v>
      </c>
      <c r="AB4505" s="1" t="s">
        <v>275</v>
      </c>
      <c r="AC4505" s="5">
        <v>44383</v>
      </c>
      <c r="AF4505" s="1">
        <v>10069</v>
      </c>
      <c r="AI4505" s="1" t="s">
        <v>205</v>
      </c>
      <c r="AJ4505" s="1">
        <v>2017</v>
      </c>
      <c r="AK4505" s="1" t="s">
        <v>108</v>
      </c>
      <c r="AL4505" s="1">
        <v>246</v>
      </c>
    </row>
    <row r="4506" spans="1:38" x14ac:dyDescent="0.2">
      <c r="A4506" s="2" t="str">
        <f>HYPERLINK("https://www.compass.com/listing/305-west-150th-street-unit-704-manhattan-ny-10039/293384555346385537/","305 W 150th St, Unit 704")</f>
        <v>305 W 150th St, Unit 704</v>
      </c>
      <c r="B4506" s="2" t="str">
        <f t="shared" ref="B4506:B4507" si="757">HYPERLINK("https://www.compass.com/building/305-w-150th-st-manhattan-ny-10039/282032234968400245/","305 W 150th St")</f>
        <v>305 W 150th St</v>
      </c>
      <c r="C4506" s="1" t="s">
        <v>84</v>
      </c>
      <c r="D4506" s="1" t="s">
        <v>41</v>
      </c>
      <c r="E4506" s="3">
        <v>519308</v>
      </c>
      <c r="F4506" s="1">
        <v>874.25505050505001</v>
      </c>
      <c r="H4506" s="1">
        <v>1</v>
      </c>
      <c r="J4506" s="1">
        <v>1</v>
      </c>
      <c r="K4506" s="1">
        <v>1</v>
      </c>
      <c r="M4506" s="1">
        <v>594</v>
      </c>
      <c r="N4506" s="1">
        <v>373.67</v>
      </c>
      <c r="O4506" s="1">
        <v>643.48</v>
      </c>
      <c r="P4506" s="1">
        <v>269.83333333333297</v>
      </c>
      <c r="Q4506" s="1" t="s">
        <v>42</v>
      </c>
      <c r="S4506" s="1" t="s">
        <v>42</v>
      </c>
      <c r="T4506" s="1" t="s">
        <v>273</v>
      </c>
      <c r="AA4506" s="1">
        <v>519307.5</v>
      </c>
      <c r="AB4506" s="1" t="s">
        <v>3187</v>
      </c>
      <c r="AC4506" s="5">
        <v>42368</v>
      </c>
      <c r="AF4506" s="1">
        <v>10039</v>
      </c>
      <c r="AJ4506" s="1">
        <v>1921</v>
      </c>
      <c r="AK4506" s="1" t="s">
        <v>73</v>
      </c>
      <c r="AL4506" s="1">
        <v>84</v>
      </c>
    </row>
    <row r="4507" spans="1:38" x14ac:dyDescent="0.2">
      <c r="A4507" s="2" t="str">
        <f>HYPERLINK("https://www.compass.com/listing/305-west-150th-street-unit-303-manhattan-ny-10039/483993395528946569/","305 W 150th St, Unit 303")</f>
        <v>305 W 150th St, Unit 303</v>
      </c>
      <c r="B4507" s="2" t="str">
        <f t="shared" si="757"/>
        <v>305 W 150th St</v>
      </c>
      <c r="C4507" s="1" t="s">
        <v>84</v>
      </c>
      <c r="D4507" s="1" t="s">
        <v>41</v>
      </c>
      <c r="E4507" s="3">
        <v>512000</v>
      </c>
      <c r="F4507" s="1">
        <v>861.95286195286201</v>
      </c>
      <c r="H4507" s="1">
        <v>1</v>
      </c>
      <c r="J4507" s="1">
        <v>1</v>
      </c>
      <c r="K4507" s="1">
        <v>1</v>
      </c>
      <c r="M4507" s="1">
        <v>594</v>
      </c>
      <c r="N4507" s="1">
        <v>350</v>
      </c>
      <c r="O4507" s="1">
        <v>638</v>
      </c>
      <c r="P4507" s="1">
        <v>288</v>
      </c>
      <c r="Q4507" s="1" t="s">
        <v>42</v>
      </c>
      <c r="S4507" s="1" t="s">
        <v>42</v>
      </c>
      <c r="T4507" s="1" t="s">
        <v>273</v>
      </c>
      <c r="AA4507" s="1">
        <v>512000</v>
      </c>
      <c r="AB4507" s="1" t="s">
        <v>3188</v>
      </c>
      <c r="AC4507" s="5">
        <v>42990</v>
      </c>
      <c r="AF4507" s="1">
        <v>10039</v>
      </c>
      <c r="AJ4507" s="1">
        <v>1921</v>
      </c>
      <c r="AK4507" s="1" t="s">
        <v>73</v>
      </c>
      <c r="AL4507" s="1">
        <v>84</v>
      </c>
    </row>
    <row r="4508" spans="1:38" x14ac:dyDescent="0.2">
      <c r="A4508" s="2" t="str">
        <f>HYPERLINK("https://www.compass.com/listing/285-west-110th-street-unit-4c-manhattan-ny-10026/4852277251217044961/","285 W 110th St, Unit 4C")</f>
        <v>285 W 110th St, Unit 4C</v>
      </c>
      <c r="B4508" s="2" t="str">
        <f>HYPERLINK("https://www.compass.com/building/circa-central-park-manhattan-ny/282059072692321269/","Circa Central Park")</f>
        <v>Circa Central Park</v>
      </c>
      <c r="C4508" s="1" t="s">
        <v>85</v>
      </c>
      <c r="D4508" s="1" t="s">
        <v>41</v>
      </c>
      <c r="E4508" s="3">
        <v>1300000</v>
      </c>
      <c r="F4508" s="1">
        <v>2009.2735703245701</v>
      </c>
      <c r="G4508" s="1">
        <v>2</v>
      </c>
      <c r="H4508" s="1">
        <v>1</v>
      </c>
      <c r="I4508" s="1">
        <v>1</v>
      </c>
      <c r="J4508" s="1">
        <v>1</v>
      </c>
      <c r="K4508" s="1">
        <v>1</v>
      </c>
      <c r="M4508" s="1">
        <v>647</v>
      </c>
      <c r="N4508" s="1">
        <v>617</v>
      </c>
      <c r="O4508" s="1">
        <v>680</v>
      </c>
      <c r="P4508" s="1">
        <v>63</v>
      </c>
      <c r="Q4508" s="1" t="s">
        <v>42</v>
      </c>
      <c r="S4508" s="1" t="s">
        <v>42</v>
      </c>
      <c r="T4508" s="1" t="s">
        <v>273</v>
      </c>
      <c r="U4508" s="1">
        <v>93</v>
      </c>
      <c r="V4508" s="5">
        <v>43673</v>
      </c>
      <c r="W4508" s="5">
        <v>42795</v>
      </c>
      <c r="X4508" s="1">
        <v>1300000</v>
      </c>
      <c r="Y4508" s="1">
        <v>1300000</v>
      </c>
      <c r="Z4508" s="5">
        <v>42888</v>
      </c>
      <c r="AA4508" s="1">
        <v>1300000</v>
      </c>
      <c r="AB4508" s="1" t="s">
        <v>275</v>
      </c>
      <c r="AC4508" s="5">
        <v>42943</v>
      </c>
      <c r="AF4508" s="1">
        <v>10026</v>
      </c>
      <c r="AI4508" s="1" t="s">
        <v>48</v>
      </c>
      <c r="AJ4508" s="1">
        <v>2017</v>
      </c>
      <c r="AK4508" s="1" t="s">
        <v>46</v>
      </c>
      <c r="AL4508" s="1">
        <v>38</v>
      </c>
    </row>
    <row r="4509" spans="1:38" x14ac:dyDescent="0.2">
      <c r="A4509" s="2" t="str">
        <f>HYPERLINK("https://www.compass.com/listing/425-west-50th-street-unit-16d-manhattan-ny-10019/29389226705472225/","425 W 50th St, Unit 16D")</f>
        <v>425 W 50th St, Unit 16D</v>
      </c>
      <c r="B4509" s="2" t="str">
        <f>HYPERLINK("https://www.compass.com/building/stella-tower-manhattan-ny/281945855710262181/","Stella Tower")</f>
        <v>Stella Tower</v>
      </c>
      <c r="C4509" s="1" t="s">
        <v>90</v>
      </c>
      <c r="D4509" s="1" t="s">
        <v>41</v>
      </c>
      <c r="E4509" s="3">
        <v>5600375</v>
      </c>
      <c r="F4509" s="1">
        <v>2587.97365988909</v>
      </c>
      <c r="G4509" s="1">
        <v>5</v>
      </c>
      <c r="H4509" s="1">
        <v>3</v>
      </c>
      <c r="I4509" s="1">
        <v>4</v>
      </c>
      <c r="J4509" s="1">
        <v>0.5</v>
      </c>
      <c r="L4509" s="1">
        <v>1</v>
      </c>
      <c r="M4509" s="4">
        <v>2164</v>
      </c>
      <c r="N4509" s="1">
        <v>2459</v>
      </c>
      <c r="O4509" s="1">
        <v>3965</v>
      </c>
      <c r="P4509" s="1">
        <v>1506</v>
      </c>
      <c r="Q4509" s="1" t="s">
        <v>42</v>
      </c>
      <c r="S4509" s="1" t="s">
        <v>42</v>
      </c>
      <c r="T4509" s="1" t="s">
        <v>273</v>
      </c>
      <c r="U4509" s="1">
        <v>62</v>
      </c>
      <c r="V4509" s="5">
        <v>43661</v>
      </c>
      <c r="W4509" s="5">
        <v>42277</v>
      </c>
      <c r="X4509" s="1">
        <v>5800000</v>
      </c>
      <c r="Y4509" s="1">
        <v>5800000</v>
      </c>
      <c r="Z4509" s="5">
        <v>42339</v>
      </c>
      <c r="AA4509" s="1">
        <v>5600375</v>
      </c>
      <c r="AB4509" s="1" t="s">
        <v>3189</v>
      </c>
      <c r="AC4509" s="5">
        <v>42355</v>
      </c>
      <c r="AF4509" s="1">
        <v>10019</v>
      </c>
      <c r="AI4509" s="1" t="s">
        <v>80</v>
      </c>
      <c r="AJ4509" s="1">
        <v>1930</v>
      </c>
      <c r="AK4509" s="1" t="s">
        <v>46</v>
      </c>
      <c r="AL4509" s="1">
        <v>51</v>
      </c>
    </row>
    <row r="4510" spans="1:38" x14ac:dyDescent="0.2">
      <c r="A4510" s="2" t="str">
        <f>HYPERLINK("https://www.compass.com/listing/172-madison-avenue-unit-9b-manhattan-ny-10016/226027762522019297/","172 Madison Ave, Unit 9B")</f>
        <v>172 Madison Ave, Unit 9B</v>
      </c>
      <c r="B4510" s="2" t="str">
        <f t="shared" ref="B4510:B4513" si="758">HYPERLINK("https://www.compass.com/building/172-madison-ave-manhattan-ny-10016/281937956250376981/","172 Madison Ave")</f>
        <v>172 Madison Ave</v>
      </c>
      <c r="C4510" s="1" t="s">
        <v>120</v>
      </c>
      <c r="D4510" s="1" t="s">
        <v>41</v>
      </c>
      <c r="E4510" s="3">
        <v>2175000</v>
      </c>
      <c r="F4510" s="1">
        <v>1461.69354838709</v>
      </c>
      <c r="G4510" s="1">
        <v>4.5</v>
      </c>
      <c r="H4510" s="1">
        <v>2</v>
      </c>
      <c r="I4510" s="1">
        <v>3</v>
      </c>
      <c r="J4510" s="1">
        <v>2.5</v>
      </c>
      <c r="K4510" s="1">
        <v>2</v>
      </c>
      <c r="L4510" s="1">
        <v>1</v>
      </c>
      <c r="M4510" s="4">
        <v>1488</v>
      </c>
      <c r="N4510" s="1">
        <v>2004</v>
      </c>
      <c r="O4510" s="1">
        <v>4173</v>
      </c>
      <c r="P4510" s="1">
        <v>2169</v>
      </c>
      <c r="Q4510" s="1" t="s">
        <v>3154</v>
      </c>
      <c r="S4510" s="1" t="s">
        <v>100</v>
      </c>
      <c r="T4510" s="1" t="s">
        <v>273</v>
      </c>
      <c r="U4510" s="1">
        <v>308</v>
      </c>
      <c r="V4510" s="5">
        <v>44009</v>
      </c>
      <c r="W4510" s="5">
        <v>43564</v>
      </c>
      <c r="X4510" s="1">
        <v>2547000</v>
      </c>
      <c r="Y4510" s="1">
        <v>2350000</v>
      </c>
      <c r="Z4510" s="5">
        <v>43873</v>
      </c>
      <c r="AA4510" s="1">
        <v>2175000</v>
      </c>
      <c r="AB4510" s="1" t="s">
        <v>3190</v>
      </c>
      <c r="AC4510" s="5">
        <v>43924</v>
      </c>
      <c r="AF4510" s="1">
        <v>10016</v>
      </c>
      <c r="AJ4510" s="1">
        <v>2016</v>
      </c>
      <c r="AK4510" s="1" t="s">
        <v>46</v>
      </c>
      <c r="AL4510" s="1">
        <v>72</v>
      </c>
    </row>
    <row r="4511" spans="1:38" x14ac:dyDescent="0.2">
      <c r="A4511" s="2" t="str">
        <f>HYPERLINK("https://www.compass.com/listing/172-madison-avenue-unit-5b-manhattan-ny-10016/226027762866002497/","172 Madison Ave, Unit 5B")</f>
        <v>172 Madison Ave, Unit 5B</v>
      </c>
      <c r="B4511" s="2" t="str">
        <f t="shared" si="758"/>
        <v>172 Madison Ave</v>
      </c>
      <c r="C4511" s="1" t="s">
        <v>120</v>
      </c>
      <c r="D4511" s="1" t="s">
        <v>41</v>
      </c>
      <c r="E4511" s="3">
        <v>2316519</v>
      </c>
      <c r="F4511" s="1">
        <v>1556.80023521505</v>
      </c>
      <c r="G4511" s="1">
        <v>4</v>
      </c>
      <c r="H4511" s="1">
        <v>2</v>
      </c>
      <c r="I4511" s="1">
        <v>3</v>
      </c>
      <c r="J4511" s="1">
        <v>2.5</v>
      </c>
      <c r="K4511" s="1">
        <v>2</v>
      </c>
      <c r="L4511" s="1">
        <v>1</v>
      </c>
      <c r="M4511" s="4">
        <v>1488</v>
      </c>
      <c r="N4511" s="1">
        <v>2004</v>
      </c>
      <c r="O4511" s="1">
        <v>5673</v>
      </c>
      <c r="P4511" s="1">
        <v>3669</v>
      </c>
      <c r="Q4511" s="1" t="s">
        <v>3154</v>
      </c>
      <c r="S4511" s="1" t="s">
        <v>100</v>
      </c>
      <c r="T4511" s="1" t="s">
        <v>273</v>
      </c>
      <c r="U4511" s="1">
        <v>240</v>
      </c>
      <c r="V4511" s="5">
        <v>44039</v>
      </c>
      <c r="W4511" s="5">
        <v>43564</v>
      </c>
      <c r="X4511" s="1">
        <v>2475000</v>
      </c>
      <c r="Y4511" s="1">
        <v>2525000</v>
      </c>
      <c r="AA4511" s="1">
        <v>2316518.75</v>
      </c>
      <c r="AB4511" s="1" t="s">
        <v>3191</v>
      </c>
      <c r="AC4511" s="5">
        <v>43958</v>
      </c>
      <c r="AF4511" s="1">
        <v>10016</v>
      </c>
      <c r="AI4511" s="1" t="s">
        <v>160</v>
      </c>
      <c r="AJ4511" s="1">
        <v>2016</v>
      </c>
      <c r="AK4511" s="1" t="s">
        <v>46</v>
      </c>
      <c r="AL4511" s="1">
        <v>72</v>
      </c>
    </row>
    <row r="4512" spans="1:38" x14ac:dyDescent="0.2">
      <c r="A4512" s="2" t="str">
        <f>HYPERLINK("https://www.compass.com/listing/172-madison-avenue-unit-21b-manhattan-ny-10016/29511870838830241/","172 Madison Ave, Unit 21B")</f>
        <v>172 Madison Ave, Unit 21B</v>
      </c>
      <c r="B4512" s="2" t="str">
        <f t="shared" si="758"/>
        <v>172 Madison Ave</v>
      </c>
      <c r="C4512" s="1" t="s">
        <v>120</v>
      </c>
      <c r="D4512" s="1" t="s">
        <v>41</v>
      </c>
      <c r="E4512" s="3">
        <v>2800000</v>
      </c>
      <c r="F4512" s="1">
        <v>1881.7204301075201</v>
      </c>
      <c r="G4512" s="1">
        <v>4</v>
      </c>
      <c r="H4512" s="1">
        <v>2</v>
      </c>
      <c r="I4512" s="1">
        <v>3</v>
      </c>
      <c r="J4512" s="1">
        <v>2.5</v>
      </c>
      <c r="M4512" s="4">
        <v>1488</v>
      </c>
      <c r="N4512" s="1">
        <v>2224</v>
      </c>
      <c r="O4512" s="1">
        <v>3740</v>
      </c>
      <c r="P4512" s="1">
        <v>1516</v>
      </c>
      <c r="Q4512" s="1" t="s">
        <v>42</v>
      </c>
      <c r="S4512" s="1" t="s">
        <v>42</v>
      </c>
      <c r="T4512" s="1" t="s">
        <v>273</v>
      </c>
      <c r="U4512" s="1">
        <v>73</v>
      </c>
      <c r="V4512" s="5">
        <v>43806</v>
      </c>
      <c r="W4512" s="5">
        <v>43190</v>
      </c>
      <c r="X4512" s="1">
        <v>3150000</v>
      </c>
      <c r="Y4512" s="1">
        <v>2999000</v>
      </c>
      <c r="Z4512" s="5">
        <v>43263</v>
      </c>
      <c r="AA4512" s="1">
        <v>2800000</v>
      </c>
      <c r="AB4512" s="1" t="s">
        <v>3192</v>
      </c>
      <c r="AC4512" s="5">
        <v>43327</v>
      </c>
      <c r="AF4512" s="1">
        <v>10016</v>
      </c>
      <c r="AJ4512" s="1">
        <v>2016</v>
      </c>
      <c r="AK4512" s="1" t="s">
        <v>121</v>
      </c>
      <c r="AL4512" s="1">
        <v>72</v>
      </c>
    </row>
    <row r="4513" spans="1:38" x14ac:dyDescent="0.2">
      <c r="A4513" s="2" t="str">
        <f>HYPERLINK("https://www.compass.com/listing/172-madison-avenue-unit-7a-manhattan-ny-10016/803396737666172081/","172 Madison Ave, Unit 7A")</f>
        <v>172 Madison Ave, Unit 7A</v>
      </c>
      <c r="B4513" s="2" t="str">
        <f t="shared" si="758"/>
        <v>172 Madison Ave</v>
      </c>
      <c r="C4513" s="1" t="s">
        <v>120</v>
      </c>
      <c r="D4513" s="1" t="s">
        <v>41</v>
      </c>
      <c r="E4513" s="3">
        <v>2600000</v>
      </c>
      <c r="F4513" s="1">
        <v>1757.9445571331901</v>
      </c>
      <c r="G4513" s="1">
        <v>4</v>
      </c>
      <c r="H4513" s="1">
        <v>2</v>
      </c>
      <c r="I4513" s="1">
        <v>3</v>
      </c>
      <c r="J4513" s="1">
        <v>2.5</v>
      </c>
      <c r="K4513" s="1">
        <v>2</v>
      </c>
      <c r="L4513" s="1">
        <v>1</v>
      </c>
      <c r="M4513" s="4">
        <v>1479</v>
      </c>
      <c r="N4513" s="1">
        <v>2211</v>
      </c>
      <c r="O4513" s="1">
        <v>5299</v>
      </c>
      <c r="P4513" s="1">
        <v>3088</v>
      </c>
      <c r="Q4513" s="1" t="s">
        <v>2921</v>
      </c>
      <c r="S4513" s="1" t="s">
        <v>100</v>
      </c>
      <c r="T4513" s="1" t="s">
        <v>273</v>
      </c>
      <c r="U4513" s="1">
        <v>83</v>
      </c>
      <c r="V4513" s="5">
        <v>43564</v>
      </c>
      <c r="W4513" s="5">
        <v>43481</v>
      </c>
      <c r="X4513" s="1">
        <v>2725000</v>
      </c>
      <c r="Y4513" s="1">
        <v>2725000</v>
      </c>
      <c r="AA4513" s="1">
        <v>2600000</v>
      </c>
      <c r="AB4513" s="1" t="s">
        <v>3155</v>
      </c>
      <c r="AC4513" s="5">
        <v>43682</v>
      </c>
      <c r="AF4513" s="1">
        <v>10016</v>
      </c>
      <c r="AI4513" s="1" t="s">
        <v>160</v>
      </c>
      <c r="AJ4513" s="1">
        <v>2016</v>
      </c>
      <c r="AK4513" s="1" t="s">
        <v>46</v>
      </c>
      <c r="AL4513" s="1">
        <v>72</v>
      </c>
    </row>
    <row r="4514" spans="1:38" x14ac:dyDescent="0.2">
      <c r="A4514" s="2" t="str">
        <f>HYPERLINK("https://www.compass.com/listing/425-west-50th-street-unit-11g-manhattan-ny-10019/29389209408229617/","425 W 50th St, Unit 11G")</f>
        <v>425 W 50th St, Unit 11G</v>
      </c>
      <c r="B4514" s="2" t="str">
        <f>HYPERLINK("https://www.compass.com/building/stella-tower-manhattan-ny/281945855710262181/","Stella Tower")</f>
        <v>Stella Tower</v>
      </c>
      <c r="C4514" s="1" t="s">
        <v>90</v>
      </c>
      <c r="D4514" s="1" t="s">
        <v>41</v>
      </c>
      <c r="E4514" s="3">
        <v>3923263</v>
      </c>
      <c r="F4514" s="1">
        <v>2086.84202127659</v>
      </c>
      <c r="G4514" s="1">
        <v>4</v>
      </c>
      <c r="H4514" s="1">
        <v>2</v>
      </c>
      <c r="I4514" s="1">
        <v>3</v>
      </c>
      <c r="J4514" s="1">
        <v>2.5</v>
      </c>
      <c r="M4514" s="4">
        <v>1880</v>
      </c>
      <c r="N4514" s="1">
        <v>2126</v>
      </c>
      <c r="O4514" s="1">
        <v>3428</v>
      </c>
      <c r="P4514" s="1">
        <v>1302</v>
      </c>
      <c r="Q4514" s="1" t="s">
        <v>42</v>
      </c>
      <c r="S4514" s="1" t="s">
        <v>42</v>
      </c>
      <c r="T4514" s="1" t="s">
        <v>273</v>
      </c>
      <c r="U4514" s="1">
        <v>7</v>
      </c>
      <c r="V4514" s="5">
        <v>43634</v>
      </c>
      <c r="W4514" s="5">
        <v>42462</v>
      </c>
      <c r="X4514" s="1">
        <v>4250000</v>
      </c>
      <c r="Y4514" s="1">
        <v>4250000</v>
      </c>
      <c r="Z4514" s="5">
        <v>42469</v>
      </c>
      <c r="AA4514" s="1">
        <v>3923263</v>
      </c>
      <c r="AB4514" s="1" t="s">
        <v>3104</v>
      </c>
      <c r="AC4514" s="5">
        <v>42536</v>
      </c>
      <c r="AF4514" s="1">
        <v>10019</v>
      </c>
      <c r="AI4514" s="1" t="s">
        <v>80</v>
      </c>
      <c r="AJ4514" s="1">
        <v>1930</v>
      </c>
      <c r="AK4514" s="1" t="s">
        <v>46</v>
      </c>
      <c r="AL4514" s="1">
        <v>51</v>
      </c>
    </row>
    <row r="4515" spans="1:38" x14ac:dyDescent="0.2">
      <c r="A4515" s="2" t="str">
        <f>HYPERLINK("https://www.compass.com/listing/1-west-end-avenue-unit-10a-manhattan-ny-10069/29397322802755681/","1 W End Ave, Unit 10A")</f>
        <v>1 W End Ave, Unit 10A</v>
      </c>
      <c r="B4515" s="2" t="str">
        <f t="shared" ref="B4515:B4517" si="759">HYPERLINK("https://www.compass.com/building/1-w-end-ave-manhattan-ny-10069/455676159137755317/","1 W End Ave")</f>
        <v>1 W End Ave</v>
      </c>
      <c r="C4515" s="1" t="s">
        <v>57</v>
      </c>
      <c r="D4515" s="1" t="s">
        <v>41</v>
      </c>
      <c r="E4515" s="3">
        <v>4424397</v>
      </c>
      <c r="F4515" s="1">
        <v>1610.04257641921</v>
      </c>
      <c r="G4515" s="1">
        <v>5</v>
      </c>
      <c r="H4515" s="1">
        <v>3</v>
      </c>
      <c r="I4515" s="1">
        <v>3</v>
      </c>
      <c r="J4515" s="1">
        <v>3.5</v>
      </c>
      <c r="K4515" s="1">
        <v>3</v>
      </c>
      <c r="L4515" s="1">
        <v>1</v>
      </c>
      <c r="M4515" s="4">
        <v>2748</v>
      </c>
      <c r="N4515" s="1">
        <v>2960</v>
      </c>
      <c r="O4515" s="1">
        <v>3138</v>
      </c>
      <c r="P4515" s="1">
        <v>178</v>
      </c>
      <c r="Q4515" s="1" t="s">
        <v>42</v>
      </c>
      <c r="S4515" s="1" t="s">
        <v>42</v>
      </c>
      <c r="T4515" s="1" t="s">
        <v>273</v>
      </c>
      <c r="U4515" s="1">
        <v>99</v>
      </c>
      <c r="V4515" s="5">
        <v>43649</v>
      </c>
      <c r="W4515" s="5">
        <v>42474</v>
      </c>
      <c r="X4515" s="1">
        <v>4855000</v>
      </c>
      <c r="Y4515" s="1">
        <v>4855000</v>
      </c>
      <c r="Z4515" s="5">
        <v>42573</v>
      </c>
      <c r="AA4515" s="1">
        <v>4424397</v>
      </c>
      <c r="AB4515" s="1" t="s">
        <v>3193</v>
      </c>
      <c r="AC4515" s="5">
        <v>43036</v>
      </c>
      <c r="AF4515" s="1">
        <v>10069</v>
      </c>
      <c r="AI4515" s="1" t="s">
        <v>60</v>
      </c>
      <c r="AJ4515" s="1">
        <v>2017</v>
      </c>
      <c r="AK4515" s="1" t="s">
        <v>108</v>
      </c>
      <c r="AL4515" s="1">
        <v>246</v>
      </c>
    </row>
    <row r="4516" spans="1:38" x14ac:dyDescent="0.2">
      <c r="A4516" s="2" t="str">
        <f>HYPERLINK("https://www.compass.com/listing/1-west-end-avenue-unit-17a-manhattan-ny-10069/29397325470333073/","1 W End Ave, Unit 17A")</f>
        <v>1 W End Ave, Unit 17A</v>
      </c>
      <c r="B4516" s="2" t="str">
        <f t="shared" si="759"/>
        <v>1 W End Ave</v>
      </c>
      <c r="C4516" s="1" t="s">
        <v>57</v>
      </c>
      <c r="D4516" s="1" t="s">
        <v>41</v>
      </c>
      <c r="E4516" s="3">
        <v>4902625</v>
      </c>
      <c r="F4516" s="1">
        <v>1784.0702328966499</v>
      </c>
      <c r="G4516" s="1">
        <v>5</v>
      </c>
      <c r="H4516" s="1">
        <v>3</v>
      </c>
      <c r="I4516" s="1">
        <v>3</v>
      </c>
      <c r="J4516" s="1">
        <v>3.5</v>
      </c>
      <c r="K4516" s="1">
        <v>3</v>
      </c>
      <c r="L4516" s="1">
        <v>1</v>
      </c>
      <c r="M4516" s="4">
        <v>2748</v>
      </c>
      <c r="N4516" s="1">
        <v>2960</v>
      </c>
      <c r="O4516" s="1">
        <v>3138</v>
      </c>
      <c r="P4516" s="1">
        <v>178</v>
      </c>
      <c r="Q4516" s="1" t="s">
        <v>42</v>
      </c>
      <c r="S4516" s="1" t="s">
        <v>42</v>
      </c>
      <c r="T4516" s="1" t="s">
        <v>273</v>
      </c>
      <c r="U4516" s="1">
        <v>86</v>
      </c>
      <c r="V4516" s="5">
        <v>43628</v>
      </c>
      <c r="W4516" s="5">
        <v>42493</v>
      </c>
      <c r="X4516" s="1">
        <v>5115000</v>
      </c>
      <c r="Y4516" s="1">
        <v>5115000</v>
      </c>
      <c r="Z4516" s="5">
        <v>42579</v>
      </c>
      <c r="AA4516" s="1">
        <v>4902625</v>
      </c>
      <c r="AB4516" s="1" t="s">
        <v>3194</v>
      </c>
      <c r="AC4516" s="5">
        <v>43014</v>
      </c>
      <c r="AF4516" s="1">
        <v>10069</v>
      </c>
      <c r="AI4516" s="1" t="s">
        <v>60</v>
      </c>
      <c r="AJ4516" s="1">
        <v>2017</v>
      </c>
      <c r="AK4516" s="1" t="s">
        <v>108</v>
      </c>
      <c r="AL4516" s="1">
        <v>246</v>
      </c>
    </row>
    <row r="4517" spans="1:38" x14ac:dyDescent="0.2">
      <c r="A4517" s="2" t="str">
        <f>HYPERLINK("https://www.compass.com/listing/1-west-end-avenue-unit-23e-manhattan-ny-10069/803322543549035529/","1 W End Ave, Unit 23E")</f>
        <v>1 W End Ave, Unit 23E</v>
      </c>
      <c r="B4517" s="2" t="str">
        <f t="shared" si="759"/>
        <v>1 W End Ave</v>
      </c>
      <c r="C4517" s="1" t="s">
        <v>57</v>
      </c>
      <c r="D4517" s="1" t="s">
        <v>41</v>
      </c>
      <c r="E4517" s="3">
        <v>4607155</v>
      </c>
      <c r="F4517" s="1">
        <v>1875.1138135938099</v>
      </c>
      <c r="G4517" s="1">
        <v>6</v>
      </c>
      <c r="H4517" s="1">
        <v>3</v>
      </c>
      <c r="I4517" s="1">
        <v>4</v>
      </c>
      <c r="J4517" s="1">
        <v>3.5</v>
      </c>
      <c r="K4517" s="1">
        <v>3</v>
      </c>
      <c r="L4517" s="1">
        <v>1</v>
      </c>
      <c r="M4517" s="4">
        <v>2457</v>
      </c>
      <c r="N4517" s="1">
        <v>2816</v>
      </c>
      <c r="O4517" s="1">
        <v>2974</v>
      </c>
      <c r="P4517" s="1">
        <v>158</v>
      </c>
      <c r="Q4517" s="1" t="s">
        <v>42</v>
      </c>
      <c r="S4517" s="1" t="s">
        <v>42</v>
      </c>
      <c r="T4517" s="1" t="s">
        <v>273</v>
      </c>
      <c r="U4517" s="1">
        <v>232</v>
      </c>
      <c r="V4517" s="5">
        <v>44336</v>
      </c>
      <c r="W4517" s="5">
        <v>42908</v>
      </c>
      <c r="X4517" s="1">
        <v>5250000</v>
      </c>
      <c r="Y4517" s="1">
        <v>5250000</v>
      </c>
      <c r="AA4517" s="1">
        <v>4607154.6399999997</v>
      </c>
      <c r="AB4517" s="1" t="s">
        <v>3195</v>
      </c>
      <c r="AC4517" s="5">
        <v>44312</v>
      </c>
      <c r="AF4517" s="1">
        <v>10069</v>
      </c>
      <c r="AI4517" s="1" t="s">
        <v>60</v>
      </c>
      <c r="AJ4517" s="1">
        <v>2017</v>
      </c>
      <c r="AK4517" s="1" t="s">
        <v>55</v>
      </c>
      <c r="AL4517" s="1">
        <v>246</v>
      </c>
    </row>
    <row r="4518" spans="1:38" x14ac:dyDescent="0.2">
      <c r="A4518" s="2" t="str">
        <f>HYPERLINK("https://www.compass.com/listing/425-west-50th-street-unit-11f-manhattan-ny-10019/29389208946846033/","425 W 50th St, Unit 11F")</f>
        <v>425 W 50th St, Unit 11F</v>
      </c>
      <c r="B4518" s="2" t="str">
        <f t="shared" ref="B4518:B4521" si="760">HYPERLINK("https://www.compass.com/building/stella-tower-manhattan-ny/281945855710262181/","Stella Tower")</f>
        <v>Stella Tower</v>
      </c>
      <c r="C4518" s="1" t="s">
        <v>90</v>
      </c>
      <c r="D4518" s="1" t="s">
        <v>41</v>
      </c>
      <c r="E4518" s="3">
        <v>3707500</v>
      </c>
      <c r="F4518" s="1">
        <v>2049.4748479823102</v>
      </c>
      <c r="G4518" s="1">
        <v>4.5</v>
      </c>
      <c r="H4518" s="1">
        <v>2</v>
      </c>
      <c r="I4518" s="1">
        <v>3</v>
      </c>
      <c r="J4518" s="1">
        <v>2.5</v>
      </c>
      <c r="K4518" s="1">
        <v>2</v>
      </c>
      <c r="L4518" s="1">
        <v>1</v>
      </c>
      <c r="M4518" s="4">
        <v>1809</v>
      </c>
      <c r="N4518" s="1">
        <v>2046</v>
      </c>
      <c r="O4518" s="1">
        <v>4318</v>
      </c>
      <c r="P4518" s="1">
        <v>2272</v>
      </c>
      <c r="Q4518" s="1" t="s">
        <v>42</v>
      </c>
      <c r="S4518" s="1" t="s">
        <v>42</v>
      </c>
      <c r="T4518" s="1" t="s">
        <v>273</v>
      </c>
      <c r="U4518" s="1">
        <v>84</v>
      </c>
      <c r="V4518" s="5">
        <v>44064</v>
      </c>
      <c r="W4518" s="5">
        <v>43103</v>
      </c>
      <c r="X4518" s="1">
        <v>4195000</v>
      </c>
      <c r="Y4518" s="1">
        <v>3995000</v>
      </c>
      <c r="Z4518" s="5">
        <v>43187</v>
      </c>
      <c r="AA4518" s="1">
        <v>3707500</v>
      </c>
      <c r="AB4518" s="1" t="s">
        <v>3196</v>
      </c>
      <c r="AC4518" s="5">
        <v>43242</v>
      </c>
      <c r="AF4518" s="1">
        <v>10019</v>
      </c>
      <c r="AI4518" s="1" t="s">
        <v>80</v>
      </c>
      <c r="AJ4518" s="1">
        <v>1930</v>
      </c>
      <c r="AK4518" s="1" t="s">
        <v>46</v>
      </c>
      <c r="AL4518" s="1">
        <v>51</v>
      </c>
    </row>
    <row r="4519" spans="1:38" x14ac:dyDescent="0.2">
      <c r="A4519" s="2" t="str">
        <f>HYPERLINK("https://www.compass.com/listing/425-west-50th-street-unit-16a-manhattan-ny-10019/365814458024193153/","425 W 50th St, Unit 16A")</f>
        <v>425 W 50th St, Unit 16A</v>
      </c>
      <c r="B4519" s="2" t="str">
        <f t="shared" si="760"/>
        <v>Stella Tower</v>
      </c>
      <c r="C4519" s="1" t="s">
        <v>90</v>
      </c>
      <c r="D4519" s="1" t="s">
        <v>41</v>
      </c>
      <c r="E4519" s="3">
        <v>6125000</v>
      </c>
      <c r="F4519" s="1">
        <v>2689.9429073342098</v>
      </c>
      <c r="G4519" s="1">
        <v>4</v>
      </c>
      <c r="H4519" s="1">
        <v>2</v>
      </c>
      <c r="I4519" s="1">
        <v>3</v>
      </c>
      <c r="J4519" s="1">
        <v>2.5</v>
      </c>
      <c r="K4519" s="1">
        <v>2</v>
      </c>
      <c r="L4519" s="1">
        <v>1</v>
      </c>
      <c r="M4519" s="4">
        <v>2277</v>
      </c>
      <c r="N4519" s="1">
        <v>3043</v>
      </c>
      <c r="O4519" s="1">
        <v>6760</v>
      </c>
      <c r="P4519" s="1">
        <v>3717</v>
      </c>
      <c r="Q4519" s="1" t="s">
        <v>42</v>
      </c>
      <c r="S4519" s="1" t="s">
        <v>42</v>
      </c>
      <c r="T4519" s="1" t="s">
        <v>273</v>
      </c>
      <c r="U4519" s="1">
        <v>6</v>
      </c>
      <c r="V4519" s="5">
        <v>44064</v>
      </c>
      <c r="W4519" s="5">
        <v>43750</v>
      </c>
      <c r="X4519" s="1">
        <v>6200000</v>
      </c>
      <c r="Y4519" s="1">
        <v>6200000</v>
      </c>
      <c r="Z4519" s="5">
        <v>43763</v>
      </c>
      <c r="AA4519" s="1">
        <v>6125000</v>
      </c>
      <c r="AB4519" s="1" t="s">
        <v>3197</v>
      </c>
      <c r="AC4519" s="5">
        <v>43860</v>
      </c>
      <c r="AF4519" s="1">
        <v>10019</v>
      </c>
      <c r="AI4519" s="1" t="s">
        <v>152</v>
      </c>
      <c r="AJ4519" s="1">
        <v>1930</v>
      </c>
      <c r="AK4519" s="1" t="s">
        <v>46</v>
      </c>
      <c r="AL4519" s="1">
        <v>51</v>
      </c>
    </row>
    <row r="4520" spans="1:38" x14ac:dyDescent="0.2">
      <c r="A4520" s="2" t="str">
        <f>HYPERLINK("https://www.compass.com/listing/425-west-50th-street-unit-11a-manhattan-ny-10019/29389206782595233/","425 W 50th St, Unit 11A")</f>
        <v>425 W 50th St, Unit 11A</v>
      </c>
      <c r="B4520" s="2" t="str">
        <f t="shared" si="760"/>
        <v>Stella Tower</v>
      </c>
      <c r="C4520" s="1" t="s">
        <v>90</v>
      </c>
      <c r="D4520" s="1" t="s">
        <v>41</v>
      </c>
      <c r="E4520" s="3">
        <v>5516879</v>
      </c>
      <c r="F4520" s="1">
        <v>3054.75</v>
      </c>
      <c r="G4520" s="1">
        <v>4</v>
      </c>
      <c r="H4520" s="1">
        <v>2</v>
      </c>
      <c r="I4520" s="1">
        <v>3</v>
      </c>
      <c r="J4520" s="1">
        <v>2.5</v>
      </c>
      <c r="M4520" s="4">
        <v>1806</v>
      </c>
      <c r="N4520" s="1">
        <v>2162</v>
      </c>
      <c r="O4520" s="1">
        <v>3486</v>
      </c>
      <c r="P4520" s="1">
        <v>1324</v>
      </c>
      <c r="Q4520" s="1" t="s">
        <v>42</v>
      </c>
      <c r="S4520" s="1" t="s">
        <v>42</v>
      </c>
      <c r="T4520" s="1" t="s">
        <v>273</v>
      </c>
      <c r="U4520" s="1">
        <v>365</v>
      </c>
      <c r="V4520" s="5">
        <v>42161</v>
      </c>
      <c r="W4520" s="5">
        <v>41792</v>
      </c>
      <c r="X4520" s="1">
        <v>5900000</v>
      </c>
      <c r="Y4520" s="1">
        <v>5900000</v>
      </c>
      <c r="AA4520" s="1">
        <v>5516878.5</v>
      </c>
      <c r="AB4520" s="1" t="s">
        <v>3198</v>
      </c>
      <c r="AC4520" s="5">
        <v>42226</v>
      </c>
      <c r="AF4520" s="1">
        <v>10019</v>
      </c>
      <c r="AI4520" s="1" t="s">
        <v>152</v>
      </c>
      <c r="AJ4520" s="1">
        <v>1930</v>
      </c>
      <c r="AK4520" s="1" t="s">
        <v>46</v>
      </c>
      <c r="AL4520" s="1">
        <v>51</v>
      </c>
    </row>
    <row r="4521" spans="1:38" x14ac:dyDescent="0.2">
      <c r="A4521" s="2" t="str">
        <f>HYPERLINK("https://www.compass.com/listing/425-west-50th-street-unit-10c-manhattan-ny-10019/803328033380989673/","425 W 50th St, Unit 10C")</f>
        <v>425 W 50th St, Unit 10C</v>
      </c>
      <c r="B4521" s="2" t="str">
        <f t="shared" si="760"/>
        <v>Stella Tower</v>
      </c>
      <c r="C4521" s="1" t="s">
        <v>90</v>
      </c>
      <c r="D4521" s="1" t="s">
        <v>41</v>
      </c>
      <c r="E4521" s="3">
        <v>4734863</v>
      </c>
      <c r="F4521" s="1">
        <v>2685.6849120816701</v>
      </c>
      <c r="G4521" s="1">
        <v>4</v>
      </c>
      <c r="H4521" s="1">
        <v>2</v>
      </c>
      <c r="I4521" s="1">
        <v>3</v>
      </c>
      <c r="J4521" s="1">
        <v>2.5</v>
      </c>
      <c r="M4521" s="4">
        <v>1763</v>
      </c>
      <c r="N4521" s="1">
        <v>2088</v>
      </c>
      <c r="O4521" s="1">
        <v>3367</v>
      </c>
      <c r="P4521" s="1">
        <v>1279</v>
      </c>
      <c r="Q4521" s="1" t="s">
        <v>42</v>
      </c>
      <c r="S4521" s="1" t="s">
        <v>42</v>
      </c>
      <c r="T4521" s="1" t="s">
        <v>273</v>
      </c>
      <c r="U4521" s="1">
        <v>129</v>
      </c>
      <c r="V4521" s="5">
        <v>42879</v>
      </c>
      <c r="W4521" s="5">
        <v>42261</v>
      </c>
      <c r="X4521" s="1">
        <v>4995000</v>
      </c>
      <c r="Y4521" s="1">
        <v>4995000</v>
      </c>
      <c r="Z4521" s="5">
        <v>42391</v>
      </c>
      <c r="AA4521" s="1">
        <v>4734862.5</v>
      </c>
      <c r="AB4521" s="1" t="s">
        <v>3109</v>
      </c>
      <c r="AC4521" s="5">
        <v>42410</v>
      </c>
      <c r="AF4521" s="1">
        <v>10019</v>
      </c>
      <c r="AI4521" s="1" t="s">
        <v>80</v>
      </c>
      <c r="AJ4521" s="1">
        <v>1930</v>
      </c>
      <c r="AK4521" s="1" t="s">
        <v>46</v>
      </c>
      <c r="AL4521" s="1">
        <v>51</v>
      </c>
    </row>
    <row r="4522" spans="1:38" x14ac:dyDescent="0.2">
      <c r="A4522" s="2" t="str">
        <f>HYPERLINK("https://www.compass.com/listing/1-west-end-avenue-unit-31a-manhattan-ny-10069/29397327693314241/","1 W End Ave, Unit 31A")</f>
        <v>1 W End Ave, Unit 31A</v>
      </c>
      <c r="B4522" s="2" t="str">
        <f t="shared" ref="B4522:B4523" si="761">HYPERLINK("https://www.compass.com/building/1-w-end-ave-manhattan-ny-10069/455676159137755317/","1 W End Ave")</f>
        <v>1 W End Ave</v>
      </c>
      <c r="C4522" s="1" t="s">
        <v>57</v>
      </c>
      <c r="D4522" s="1" t="s">
        <v>41</v>
      </c>
      <c r="E4522" s="3">
        <v>6558773</v>
      </c>
      <c r="F4522" s="1">
        <v>2164.6115511551102</v>
      </c>
      <c r="G4522" s="1">
        <v>6</v>
      </c>
      <c r="H4522" s="1">
        <v>4</v>
      </c>
      <c r="I4522" s="1">
        <v>4</v>
      </c>
      <c r="J4522" s="1">
        <v>4.5</v>
      </c>
      <c r="K4522" s="1">
        <v>4</v>
      </c>
      <c r="L4522" s="1">
        <v>1</v>
      </c>
      <c r="M4522" s="4">
        <v>3030</v>
      </c>
      <c r="N4522" s="1">
        <v>205</v>
      </c>
      <c r="O4522" s="1">
        <v>3620</v>
      </c>
      <c r="P4522" s="1">
        <v>3415</v>
      </c>
      <c r="Q4522" s="1" t="s">
        <v>42</v>
      </c>
      <c r="S4522" s="1" t="s">
        <v>42</v>
      </c>
      <c r="T4522" s="1" t="s">
        <v>273</v>
      </c>
      <c r="U4522" s="1">
        <v>5</v>
      </c>
      <c r="V4522" s="5">
        <v>43624</v>
      </c>
      <c r="W4522" s="5">
        <v>42707</v>
      </c>
      <c r="X4522" s="1">
        <v>7350000</v>
      </c>
      <c r="Y4522" s="1">
        <v>7350000</v>
      </c>
      <c r="Z4522" s="5">
        <v>42712</v>
      </c>
      <c r="AA4522" s="1">
        <v>6558773</v>
      </c>
      <c r="AB4522" s="1" t="s">
        <v>3199</v>
      </c>
      <c r="AC4522" s="5">
        <v>43097</v>
      </c>
      <c r="AF4522" s="1">
        <v>10069</v>
      </c>
      <c r="AI4522" s="1" t="s">
        <v>60</v>
      </c>
      <c r="AJ4522" s="1">
        <v>2017</v>
      </c>
      <c r="AK4522" s="1" t="s">
        <v>108</v>
      </c>
      <c r="AL4522" s="1">
        <v>246</v>
      </c>
    </row>
    <row r="4523" spans="1:38" x14ac:dyDescent="0.2">
      <c r="A4523" s="2" t="str">
        <f>HYPERLINK("https://www.compass.com/listing/1-west-end-avenue-unit-27f-manhattan-ny-10069/29397369250402737/","1 W End Ave, Unit 27F")</f>
        <v>1 W End Ave, Unit 27F</v>
      </c>
      <c r="B4523" s="2" t="str">
        <f t="shared" si="761"/>
        <v>1 W End Ave</v>
      </c>
      <c r="C4523" s="1" t="s">
        <v>57</v>
      </c>
      <c r="D4523" s="1" t="s">
        <v>41</v>
      </c>
      <c r="E4523" s="3">
        <v>5970487</v>
      </c>
      <c r="F4523" s="1">
        <v>2105.2492947813798</v>
      </c>
      <c r="G4523" s="1">
        <v>6</v>
      </c>
      <c r="H4523" s="1">
        <v>4</v>
      </c>
      <c r="I4523" s="1">
        <v>4</v>
      </c>
      <c r="J4523" s="1">
        <v>4.5</v>
      </c>
      <c r="K4523" s="1">
        <v>4</v>
      </c>
      <c r="L4523" s="1">
        <v>1</v>
      </c>
      <c r="M4523" s="4">
        <v>2836</v>
      </c>
      <c r="N4523" s="1">
        <v>3253</v>
      </c>
      <c r="O4523" s="1">
        <v>3448</v>
      </c>
      <c r="P4523" s="1">
        <v>195</v>
      </c>
      <c r="Q4523" s="1" t="s">
        <v>42</v>
      </c>
      <c r="S4523" s="1" t="s">
        <v>42</v>
      </c>
      <c r="T4523" s="1" t="s">
        <v>273</v>
      </c>
      <c r="U4523" s="1">
        <v>11</v>
      </c>
      <c r="V4523" s="5">
        <v>43626</v>
      </c>
      <c r="W4523" s="5">
        <v>42535</v>
      </c>
      <c r="X4523" s="1">
        <v>6575000</v>
      </c>
      <c r="Y4523" s="1">
        <v>6575000</v>
      </c>
      <c r="Z4523" s="5">
        <v>42546</v>
      </c>
      <c r="AA4523" s="1">
        <v>5970487</v>
      </c>
      <c r="AB4523" s="1" t="s">
        <v>3200</v>
      </c>
      <c r="AC4523" s="5">
        <v>43070</v>
      </c>
      <c r="AF4523" s="1">
        <v>10069</v>
      </c>
      <c r="AI4523" s="1" t="s">
        <v>60</v>
      </c>
      <c r="AJ4523" s="1">
        <v>2017</v>
      </c>
      <c r="AK4523" s="1" t="s">
        <v>108</v>
      </c>
      <c r="AL4523" s="1">
        <v>246</v>
      </c>
    </row>
    <row r="4524" spans="1:38" x14ac:dyDescent="0.2">
      <c r="A4524" s="2" t="str">
        <f>HYPERLINK("https://www.compass.com/listing/172-madison-avenue-unit-8a-manhattan-ny-10016/29376704829062337/","172 Madison Ave, Unit 8A")</f>
        <v>172 Madison Ave, Unit 8A</v>
      </c>
      <c r="B4524" s="2" t="str">
        <f t="shared" ref="B4524:B4525" si="762">HYPERLINK("https://www.compass.com/building/172-madison-ave-manhattan-ny-10016/281937956250376981/","172 Madison Ave")</f>
        <v>172 Madison Ave</v>
      </c>
      <c r="C4524" s="1" t="s">
        <v>120</v>
      </c>
      <c r="D4524" s="1" t="s">
        <v>41</v>
      </c>
      <c r="E4524" s="3">
        <v>3003838</v>
      </c>
      <c r="F4524" s="1">
        <v>2030.99256254225</v>
      </c>
      <c r="G4524" s="1">
        <v>4</v>
      </c>
      <c r="H4524" s="1">
        <v>2</v>
      </c>
      <c r="I4524" s="1">
        <v>3</v>
      </c>
      <c r="J4524" s="1">
        <v>2.5</v>
      </c>
      <c r="M4524" s="4">
        <v>1479</v>
      </c>
      <c r="N4524" s="1">
        <v>2211</v>
      </c>
      <c r="O4524" s="1">
        <v>3241</v>
      </c>
      <c r="P4524" s="1">
        <v>1030</v>
      </c>
      <c r="Q4524" s="1" t="s">
        <v>42</v>
      </c>
      <c r="S4524" s="1" t="s">
        <v>42</v>
      </c>
      <c r="T4524" s="1" t="s">
        <v>273</v>
      </c>
      <c r="U4524" s="1">
        <v>22</v>
      </c>
      <c r="V4524" s="5">
        <v>43631</v>
      </c>
      <c r="W4524" s="5">
        <v>42256</v>
      </c>
      <c r="X4524" s="1">
        <v>3000000</v>
      </c>
      <c r="Y4524" s="1">
        <v>3350000</v>
      </c>
      <c r="Z4524" s="5">
        <v>42278</v>
      </c>
      <c r="AA4524" s="1">
        <v>3003838</v>
      </c>
      <c r="AB4524" s="1" t="s">
        <v>3201</v>
      </c>
      <c r="AC4524" s="5">
        <v>42985</v>
      </c>
      <c r="AF4524" s="1">
        <v>10016</v>
      </c>
      <c r="AJ4524" s="1">
        <v>2016</v>
      </c>
      <c r="AK4524" s="1" t="s">
        <v>46</v>
      </c>
      <c r="AL4524" s="1">
        <v>72</v>
      </c>
    </row>
    <row r="4525" spans="1:38" x14ac:dyDescent="0.2">
      <c r="A4525" s="2" t="str">
        <f>HYPERLINK("https://www.compass.com/listing/172-madison-avenue-unit-14b-manhattan-ny-10016/29376709585329073/","172 Madison Ave, Unit 14B")</f>
        <v>172 Madison Ave, Unit 14B</v>
      </c>
      <c r="B4525" s="2" t="str">
        <f t="shared" si="762"/>
        <v>172 Madison Ave</v>
      </c>
      <c r="C4525" s="1" t="s">
        <v>120</v>
      </c>
      <c r="D4525" s="1" t="s">
        <v>41</v>
      </c>
      <c r="E4525" s="3">
        <v>2826250</v>
      </c>
      <c r="F4525" s="1">
        <v>1899.36155913978</v>
      </c>
      <c r="G4525" s="1">
        <v>4</v>
      </c>
      <c r="H4525" s="1">
        <v>2</v>
      </c>
      <c r="I4525" s="1">
        <v>3</v>
      </c>
      <c r="J4525" s="1">
        <v>2.5</v>
      </c>
      <c r="M4525" s="4">
        <v>1488</v>
      </c>
      <c r="N4525" s="1">
        <v>2223</v>
      </c>
      <c r="O4525" s="1">
        <v>3259</v>
      </c>
      <c r="P4525" s="1">
        <v>1036</v>
      </c>
      <c r="Q4525" s="1" t="s">
        <v>42</v>
      </c>
      <c r="S4525" s="1" t="s">
        <v>42</v>
      </c>
      <c r="T4525" s="1" t="s">
        <v>273</v>
      </c>
      <c r="U4525" s="1">
        <v>400</v>
      </c>
      <c r="V4525" s="5">
        <v>43662</v>
      </c>
      <c r="W4525" s="5">
        <v>42110</v>
      </c>
      <c r="X4525" s="1">
        <v>2875000</v>
      </c>
      <c r="Y4525" s="1">
        <v>3125000</v>
      </c>
      <c r="Z4525" s="5">
        <v>42510</v>
      </c>
      <c r="AA4525" s="1">
        <v>2826250</v>
      </c>
      <c r="AB4525" s="1" t="s">
        <v>3202</v>
      </c>
      <c r="AC4525" s="5">
        <v>42928</v>
      </c>
      <c r="AF4525" s="1">
        <v>10016</v>
      </c>
      <c r="AJ4525" s="1">
        <v>2016</v>
      </c>
      <c r="AK4525" s="1" t="s">
        <v>46</v>
      </c>
      <c r="AL4525" s="1">
        <v>72</v>
      </c>
    </row>
    <row r="4526" spans="1:38" x14ac:dyDescent="0.2">
      <c r="A4526" s="2" t="str">
        <f>HYPERLINK("https://www.compass.com/listing/285-west-110th-street-unit-5c-manhattan-ny-10026/4852275405454844049/","285 W 110th St, Unit 5C")</f>
        <v>285 W 110th St, Unit 5C</v>
      </c>
      <c r="B4526" s="2" t="str">
        <f t="shared" ref="B4526:B4527" si="763">HYPERLINK("https://www.compass.com/building/circa-central-park-manhattan-ny/282059072692321269/","Circa Central Park")</f>
        <v>Circa Central Park</v>
      </c>
      <c r="C4526" s="1" t="s">
        <v>85</v>
      </c>
      <c r="D4526" s="1" t="s">
        <v>41</v>
      </c>
      <c r="E4526" s="3">
        <v>1060680</v>
      </c>
      <c r="F4526" s="1">
        <v>1639.3817619783599</v>
      </c>
      <c r="G4526" s="1">
        <v>2</v>
      </c>
      <c r="H4526" s="1">
        <v>1</v>
      </c>
      <c r="I4526" s="1">
        <v>1</v>
      </c>
      <c r="J4526" s="1">
        <v>1</v>
      </c>
      <c r="K4526" s="1">
        <v>1</v>
      </c>
      <c r="M4526" s="1">
        <v>647</v>
      </c>
      <c r="N4526" s="1">
        <v>626</v>
      </c>
      <c r="O4526" s="1">
        <v>689</v>
      </c>
      <c r="P4526" s="1">
        <v>63</v>
      </c>
      <c r="Q4526" s="1" t="s">
        <v>42</v>
      </c>
      <c r="S4526" s="1" t="s">
        <v>42</v>
      </c>
      <c r="T4526" s="1" t="s">
        <v>273</v>
      </c>
      <c r="V4526" s="5">
        <v>43676</v>
      </c>
      <c r="W4526" s="5">
        <v>42649</v>
      </c>
      <c r="X4526" s="1">
        <v>1295000</v>
      </c>
      <c r="Y4526" s="1">
        <v>1295000</v>
      </c>
      <c r="Z4526" s="5">
        <v>42649</v>
      </c>
      <c r="AA4526" s="1">
        <v>1060680</v>
      </c>
      <c r="AB4526" s="1" t="s">
        <v>275</v>
      </c>
      <c r="AC4526" s="5">
        <v>42930</v>
      </c>
      <c r="AF4526" s="1">
        <v>10026</v>
      </c>
      <c r="AI4526" s="1" t="s">
        <v>48</v>
      </c>
      <c r="AJ4526" s="1">
        <v>2017</v>
      </c>
      <c r="AK4526" s="1" t="s">
        <v>46</v>
      </c>
      <c r="AL4526" s="1">
        <v>38</v>
      </c>
    </row>
    <row r="4527" spans="1:38" x14ac:dyDescent="0.2">
      <c r="A4527" s="2" t="str">
        <f>HYPERLINK("https://www.compass.com/listing/285-west-110th-street-unit-4d-manhattan-ny-10026/87047487927407777/","285 W 110th St, Unit 4D")</f>
        <v>285 W 110th St, Unit 4D</v>
      </c>
      <c r="B4527" s="2" t="str">
        <f t="shared" si="763"/>
        <v>Circa Central Park</v>
      </c>
      <c r="C4527" s="1" t="s">
        <v>85</v>
      </c>
      <c r="D4527" s="1" t="s">
        <v>41</v>
      </c>
      <c r="E4527" s="3">
        <v>1220000</v>
      </c>
      <c r="F4527" s="1">
        <v>1862.59541984732</v>
      </c>
      <c r="G4527" s="1">
        <v>3.5</v>
      </c>
      <c r="H4527" s="1">
        <v>1</v>
      </c>
      <c r="I4527" s="1">
        <v>1</v>
      </c>
      <c r="J4527" s="1">
        <v>1</v>
      </c>
      <c r="K4527" s="1">
        <v>1</v>
      </c>
      <c r="M4527" s="1">
        <v>655</v>
      </c>
      <c r="N4527" s="1">
        <v>646.20000000000005</v>
      </c>
      <c r="O4527" s="1">
        <v>710.35</v>
      </c>
      <c r="P4527" s="1">
        <v>64.1666666666666</v>
      </c>
      <c r="Q4527" s="1" t="s">
        <v>42</v>
      </c>
      <c r="S4527" s="1" t="s">
        <v>42</v>
      </c>
      <c r="T4527" s="1" t="s">
        <v>273</v>
      </c>
      <c r="U4527" s="1">
        <v>142</v>
      </c>
      <c r="V4527" s="5">
        <v>43661</v>
      </c>
      <c r="W4527" s="5">
        <v>43372</v>
      </c>
      <c r="X4527" s="1">
        <v>1350000</v>
      </c>
      <c r="Y4527" s="1">
        <v>1350000</v>
      </c>
      <c r="Z4527" s="5">
        <v>43514</v>
      </c>
      <c r="AA4527" s="1">
        <v>1220000</v>
      </c>
      <c r="AB4527" s="1" t="s">
        <v>275</v>
      </c>
      <c r="AC4527" s="5">
        <v>43559</v>
      </c>
      <c r="AF4527" s="1">
        <v>10026</v>
      </c>
      <c r="AI4527" s="1" t="s">
        <v>48</v>
      </c>
      <c r="AJ4527" s="1">
        <v>2017</v>
      </c>
      <c r="AK4527" s="1" t="s">
        <v>46</v>
      </c>
      <c r="AL4527" s="1">
        <v>38</v>
      </c>
    </row>
    <row r="4528" spans="1:38" x14ac:dyDescent="0.2">
      <c r="A4528" s="2" t="str">
        <f>HYPERLINK("https://www.compass.com/listing/70-west-139th-street-unit-5g-manhattan-ny-10037/29515139199895345/","70 W 139th St, Unit 5G")</f>
        <v>70 W 139th St, Unit 5G</v>
      </c>
      <c r="B4528" s="2" t="str">
        <f>HYPERLINK("https://www.compass.com/building/70-w-139th-st-manhattan-ny-10037/292920118235647477/","70 W 139th St")</f>
        <v>70 W 139th St</v>
      </c>
      <c r="C4528" s="1" t="s">
        <v>85</v>
      </c>
      <c r="D4528" s="1" t="s">
        <v>41</v>
      </c>
      <c r="E4528" s="3">
        <v>625000</v>
      </c>
      <c r="F4528" s="1">
        <v>917.76798825256901</v>
      </c>
      <c r="G4528" s="1">
        <v>3</v>
      </c>
      <c r="H4528" s="1">
        <v>1</v>
      </c>
      <c r="I4528" s="1">
        <v>1</v>
      </c>
      <c r="J4528" s="1">
        <v>1</v>
      </c>
      <c r="M4528" s="1">
        <v>681</v>
      </c>
      <c r="N4528" s="1">
        <v>484</v>
      </c>
      <c r="O4528" s="1">
        <v>484</v>
      </c>
      <c r="Q4528" s="1" t="s">
        <v>42</v>
      </c>
      <c r="S4528" s="1" t="s">
        <v>42</v>
      </c>
      <c r="T4528" s="1" t="s">
        <v>273</v>
      </c>
      <c r="U4528" s="1">
        <v>204</v>
      </c>
      <c r="V4528" s="5">
        <v>43644</v>
      </c>
      <c r="W4528" s="5">
        <v>43068</v>
      </c>
      <c r="X4528" s="1">
        <v>669000</v>
      </c>
      <c r="Y4528" s="1">
        <v>625000</v>
      </c>
      <c r="Z4528" s="5">
        <v>43272</v>
      </c>
      <c r="AA4528" s="1">
        <v>625000</v>
      </c>
      <c r="AB4528" s="1" t="s">
        <v>3203</v>
      </c>
      <c r="AC4528" s="5">
        <v>43441</v>
      </c>
      <c r="AF4528" s="1">
        <v>10037</v>
      </c>
      <c r="AI4528" s="1" t="s">
        <v>110</v>
      </c>
      <c r="AJ4528" s="1">
        <v>2018</v>
      </c>
      <c r="AK4528" s="1" t="s">
        <v>257</v>
      </c>
      <c r="AL4528" s="1">
        <v>64</v>
      </c>
    </row>
    <row r="4529" spans="1:38" x14ac:dyDescent="0.2">
      <c r="A4529" s="2" t="str">
        <f>HYPERLINK("https://www.compass.com/listing/1-west-end-avenue-unit-23e-manhattan-ny-10069/803322543549035521/","1 W End Ave, Unit 23E")</f>
        <v>1 W End Ave, Unit 23E</v>
      </c>
      <c r="B4529" s="2" t="str">
        <f>HYPERLINK("https://www.compass.com/building/1-w-end-ave-manhattan-ny-10069/455676159137755317/","1 W End Ave")</f>
        <v>1 W End Ave</v>
      </c>
      <c r="C4529" s="1" t="s">
        <v>57</v>
      </c>
      <c r="D4529" s="1" t="s">
        <v>41</v>
      </c>
      <c r="E4529" s="3">
        <v>4607155</v>
      </c>
      <c r="F4529" s="1">
        <v>1875.1138135938099</v>
      </c>
      <c r="G4529" s="1">
        <v>6</v>
      </c>
      <c r="H4529" s="1">
        <v>3</v>
      </c>
      <c r="I4529" s="1">
        <v>4</v>
      </c>
      <c r="J4529" s="1">
        <v>3.5</v>
      </c>
      <c r="K4529" s="1">
        <v>3</v>
      </c>
      <c r="L4529" s="1">
        <v>1</v>
      </c>
      <c r="M4529" s="4">
        <v>2457</v>
      </c>
      <c r="N4529" s="1">
        <v>2821</v>
      </c>
      <c r="O4529" s="1">
        <v>2986</v>
      </c>
      <c r="P4529" s="1">
        <v>165</v>
      </c>
      <c r="Q4529" s="1" t="s">
        <v>42</v>
      </c>
      <c r="S4529" s="1" t="s">
        <v>42</v>
      </c>
      <c r="T4529" s="1" t="s">
        <v>273</v>
      </c>
      <c r="U4529" s="1">
        <v>403</v>
      </c>
      <c r="V4529" s="5">
        <v>44336</v>
      </c>
      <c r="W4529" s="5">
        <v>43750</v>
      </c>
      <c r="X4529" s="1">
        <v>5495000</v>
      </c>
      <c r="Y4529" s="1">
        <v>4700000</v>
      </c>
      <c r="Z4529" s="5">
        <v>44247</v>
      </c>
      <c r="AA4529" s="1">
        <v>4607154.6399999997</v>
      </c>
      <c r="AB4529" s="1" t="s">
        <v>3195</v>
      </c>
      <c r="AC4529" s="5">
        <v>44312</v>
      </c>
      <c r="AF4529" s="1">
        <v>10069</v>
      </c>
      <c r="AI4529" s="1" t="s">
        <v>205</v>
      </c>
      <c r="AJ4529" s="1">
        <v>2017</v>
      </c>
      <c r="AK4529" s="1" t="s">
        <v>108</v>
      </c>
      <c r="AL4529" s="1">
        <v>246</v>
      </c>
    </row>
    <row r="4530" spans="1:38" x14ac:dyDescent="0.2">
      <c r="A4530" s="2" t="str">
        <f>HYPERLINK("https://www.compass.com/listing/425-west-50th-street-unit-14a-manhattan-ny-10019/803339043034704457/","425 W 50th St, Unit 14A")</f>
        <v>425 W 50th St, Unit 14A</v>
      </c>
      <c r="B4530" s="2" t="str">
        <f>HYPERLINK("https://www.compass.com/building/stella-tower-manhattan-ny/281945855710262181/","Stella Tower")</f>
        <v>Stella Tower</v>
      </c>
      <c r="C4530" s="1" t="s">
        <v>90</v>
      </c>
      <c r="D4530" s="1" t="s">
        <v>41</v>
      </c>
      <c r="E4530" s="3">
        <v>2175000</v>
      </c>
      <c r="F4530" s="1">
        <v>2192.5403225806399</v>
      </c>
      <c r="G4530" s="1">
        <v>3</v>
      </c>
      <c r="H4530" s="1">
        <v>1</v>
      </c>
      <c r="I4530" s="1">
        <v>1</v>
      </c>
      <c r="J4530" s="1">
        <v>1</v>
      </c>
      <c r="K4530" s="1">
        <v>1</v>
      </c>
      <c r="M4530" s="1">
        <v>992</v>
      </c>
      <c r="N4530" s="1">
        <v>1480</v>
      </c>
      <c r="O4530" s="1">
        <v>3184</v>
      </c>
      <c r="P4530" s="1">
        <v>1704</v>
      </c>
      <c r="Q4530" s="1" t="s">
        <v>42</v>
      </c>
      <c r="S4530" s="1" t="s">
        <v>42</v>
      </c>
      <c r="T4530" s="1" t="s">
        <v>273</v>
      </c>
      <c r="U4530" s="1">
        <v>40</v>
      </c>
      <c r="V4530" s="5">
        <v>44126</v>
      </c>
      <c r="W4530" s="5">
        <v>44056</v>
      </c>
      <c r="X4530" s="1">
        <v>2300000</v>
      </c>
      <c r="Y4530" s="1">
        <v>2300000</v>
      </c>
      <c r="AA4530" s="1">
        <v>2175000</v>
      </c>
      <c r="AB4530" s="1" t="s">
        <v>3204</v>
      </c>
      <c r="AC4530" s="5">
        <v>44096</v>
      </c>
      <c r="AF4530" s="1">
        <v>10019</v>
      </c>
      <c r="AI4530" s="1" t="s">
        <v>3205</v>
      </c>
      <c r="AJ4530" s="1">
        <v>1930</v>
      </c>
      <c r="AK4530" s="1" t="s">
        <v>46</v>
      </c>
      <c r="AL4530" s="1">
        <v>51</v>
      </c>
    </row>
    <row r="4531" spans="1:38" x14ac:dyDescent="0.2">
      <c r="A4531" s="2" t="str">
        <f>HYPERLINK("https://www.compass.com/listing/1-west-end-avenue-unit-37a-manhattan-ny-10069/29397328691558609/","1 W End Ave, Unit 37A")</f>
        <v>1 W End Ave, Unit 37A</v>
      </c>
      <c r="B4531" s="2" t="str">
        <f t="shared" ref="B4531:B4532" si="764">HYPERLINK("https://www.compass.com/building/1-w-end-ave-manhattan-ny-10069/455676159137755317/","1 W End Ave")</f>
        <v>1 W End Ave</v>
      </c>
      <c r="C4531" s="1" t="s">
        <v>57</v>
      </c>
      <c r="D4531" s="1" t="s">
        <v>41</v>
      </c>
      <c r="E4531" s="3">
        <v>7337275</v>
      </c>
      <c r="F4531" s="1">
        <v>2401.7266775777398</v>
      </c>
      <c r="G4531" s="1">
        <v>7</v>
      </c>
      <c r="H4531" s="1">
        <v>4</v>
      </c>
      <c r="I4531" s="1">
        <v>5</v>
      </c>
      <c r="J4531" s="1">
        <v>4.5</v>
      </c>
      <c r="M4531" s="4">
        <v>3055</v>
      </c>
      <c r="N4531" s="1">
        <v>3563</v>
      </c>
      <c r="O4531" s="1">
        <v>3763</v>
      </c>
      <c r="P4531" s="1">
        <v>200</v>
      </c>
      <c r="Q4531" s="1" t="s">
        <v>42</v>
      </c>
      <c r="S4531" s="1" t="s">
        <v>42</v>
      </c>
      <c r="T4531" s="1" t="s">
        <v>273</v>
      </c>
      <c r="V4531" s="5">
        <v>43624</v>
      </c>
      <c r="W4531" s="5">
        <v>43144</v>
      </c>
      <c r="X4531" s="1">
        <v>7900000</v>
      </c>
      <c r="Y4531" s="1">
        <v>7900000</v>
      </c>
      <c r="Z4531" s="5">
        <v>43161</v>
      </c>
      <c r="AA4531" s="1">
        <v>7337275</v>
      </c>
      <c r="AB4531" s="1" t="s">
        <v>3206</v>
      </c>
      <c r="AC4531" s="5">
        <v>43211</v>
      </c>
      <c r="AF4531" s="1">
        <v>10069</v>
      </c>
      <c r="AI4531" s="1" t="s">
        <v>2054</v>
      </c>
      <c r="AJ4531" s="1">
        <v>2017</v>
      </c>
      <c r="AK4531" s="1" t="s">
        <v>55</v>
      </c>
      <c r="AL4531" s="1">
        <v>246</v>
      </c>
    </row>
    <row r="4532" spans="1:38" x14ac:dyDescent="0.2">
      <c r="A4532" s="2" t="str">
        <f>HYPERLINK("https://www.compass.com/listing/1-west-end-avenue-unit-pha-manhattan-ny-10069/29512724840972401/","1 W End Ave, Unit PHA")</f>
        <v>1 W End Ave, Unit PHA</v>
      </c>
      <c r="B4532" s="2" t="str">
        <f t="shared" si="764"/>
        <v>1 W End Ave</v>
      </c>
      <c r="C4532" s="1" t="s">
        <v>57</v>
      </c>
      <c r="D4532" s="1" t="s">
        <v>41</v>
      </c>
      <c r="E4532" s="3">
        <v>17936142</v>
      </c>
      <c r="F4532" s="1">
        <v>2994.3475792988302</v>
      </c>
      <c r="G4532" s="1">
        <v>8</v>
      </c>
      <c r="H4532" s="1">
        <v>4</v>
      </c>
      <c r="I4532" s="1">
        <v>6</v>
      </c>
      <c r="J4532" s="1">
        <v>5.5</v>
      </c>
      <c r="K4532" s="1">
        <v>5</v>
      </c>
      <c r="L4532" s="1">
        <v>1</v>
      </c>
      <c r="M4532" s="4">
        <v>5990</v>
      </c>
      <c r="N4532" s="1">
        <v>6543</v>
      </c>
      <c r="O4532" s="1">
        <v>6937</v>
      </c>
      <c r="P4532" s="1">
        <v>394</v>
      </c>
      <c r="Q4532" s="1" t="s">
        <v>42</v>
      </c>
      <c r="S4532" s="1" t="s">
        <v>42</v>
      </c>
      <c r="T4532" s="1" t="s">
        <v>273</v>
      </c>
      <c r="U4532" s="1">
        <v>141</v>
      </c>
      <c r="V4532" s="5">
        <v>43648</v>
      </c>
      <c r="W4532" s="5">
        <v>42496</v>
      </c>
      <c r="X4532" s="1">
        <v>21000000</v>
      </c>
      <c r="Y4532" s="1">
        <v>21000000</v>
      </c>
      <c r="Z4532" s="5">
        <v>42637</v>
      </c>
      <c r="AA4532" s="1">
        <v>17936142</v>
      </c>
      <c r="AB4532" s="1" t="s">
        <v>3207</v>
      </c>
      <c r="AC4532" s="5">
        <v>43356</v>
      </c>
      <c r="AF4532" s="1">
        <v>10069</v>
      </c>
      <c r="AI4532" s="1" t="s">
        <v>3208</v>
      </c>
      <c r="AJ4532" s="1">
        <v>2017</v>
      </c>
      <c r="AK4532" s="1" t="s">
        <v>108</v>
      </c>
      <c r="AL4532" s="1">
        <v>246</v>
      </c>
    </row>
    <row r="4533" spans="1:38" x14ac:dyDescent="0.2">
      <c r="A4533" s="2" t="str">
        <f>HYPERLINK("https://www.compass.com/listing/285-west-110th-street-unit-4h-manhattan-ny-10026/841618247778976585/","285 W 110th St, Unit 4H")</f>
        <v>285 W 110th St, Unit 4H</v>
      </c>
      <c r="B4533" s="2" t="str">
        <f>HYPERLINK("https://www.compass.com/building/circa-central-park-manhattan-ny/282059072692321269/","Circa Central Park")</f>
        <v>Circa Central Park</v>
      </c>
      <c r="C4533" s="1" t="s">
        <v>85</v>
      </c>
      <c r="D4533" s="1" t="s">
        <v>41</v>
      </c>
      <c r="E4533" s="3">
        <v>3200000</v>
      </c>
      <c r="G4533" s="1">
        <v>5</v>
      </c>
      <c r="H4533" s="1">
        <v>3</v>
      </c>
      <c r="I4533" s="1">
        <v>3</v>
      </c>
      <c r="J4533" s="1">
        <v>3</v>
      </c>
      <c r="N4533" s="1">
        <v>1812.56</v>
      </c>
      <c r="O4533" s="1">
        <v>1991.1399999999901</v>
      </c>
      <c r="P4533" s="1">
        <v>178.583333333333</v>
      </c>
      <c r="Q4533" s="1" t="s">
        <v>42</v>
      </c>
      <c r="S4533" s="1" t="s">
        <v>42</v>
      </c>
      <c r="T4533" s="1" t="s">
        <v>273</v>
      </c>
      <c r="U4533" s="1">
        <v>2</v>
      </c>
      <c r="V4533" s="5">
        <v>42942</v>
      </c>
      <c r="W4533" s="5">
        <v>42669</v>
      </c>
      <c r="X4533" s="1">
        <v>3200000</v>
      </c>
      <c r="Y4533" s="1">
        <v>3200000</v>
      </c>
      <c r="Z4533" s="5">
        <v>42671</v>
      </c>
      <c r="AA4533" s="1">
        <v>3200000</v>
      </c>
      <c r="AB4533" s="1" t="s">
        <v>275</v>
      </c>
      <c r="AC4533" s="5">
        <v>42936</v>
      </c>
      <c r="AF4533" s="1">
        <v>10026</v>
      </c>
      <c r="AI4533" s="1" t="s">
        <v>118</v>
      </c>
      <c r="AJ4533" s="1">
        <v>2017</v>
      </c>
      <c r="AK4533" s="1" t="s">
        <v>46</v>
      </c>
      <c r="AL4533" s="1">
        <v>38</v>
      </c>
    </row>
    <row r="4534" spans="1:38" x14ac:dyDescent="0.2">
      <c r="A4534" s="2" t="str">
        <f>HYPERLINK("https://www.compass.com/listing/425-west-50th-street-unit-15f-manhattan-ny-10019/29389223861791457/","425 W 50th St, Unit 15F")</f>
        <v>425 W 50th St, Unit 15F</v>
      </c>
      <c r="B4534" s="2" t="str">
        <f t="shared" ref="B4534:B4537" si="765">HYPERLINK("https://www.compass.com/building/stella-tower-manhattan-ny/281945855710262181/","Stella Tower")</f>
        <v>Stella Tower</v>
      </c>
      <c r="C4534" s="1" t="s">
        <v>90</v>
      </c>
      <c r="D4534" s="1" t="s">
        <v>41</v>
      </c>
      <c r="E4534" s="3">
        <v>4700000</v>
      </c>
      <c r="F4534" s="1">
        <v>2137.3351523419701</v>
      </c>
      <c r="G4534" s="1">
        <v>5</v>
      </c>
      <c r="H4534" s="1">
        <v>3</v>
      </c>
      <c r="I4534" s="1">
        <v>4</v>
      </c>
      <c r="J4534" s="1">
        <v>0.5</v>
      </c>
      <c r="L4534" s="1">
        <v>1</v>
      </c>
      <c r="M4534" s="4">
        <v>2199</v>
      </c>
      <c r="N4534" s="1">
        <v>2497</v>
      </c>
      <c r="O4534" s="1">
        <v>5307</v>
      </c>
      <c r="P4534" s="1">
        <v>2810</v>
      </c>
      <c r="Q4534" s="1" t="s">
        <v>42</v>
      </c>
      <c r="S4534" s="1" t="s">
        <v>42</v>
      </c>
      <c r="T4534" s="1" t="s">
        <v>273</v>
      </c>
      <c r="U4534" s="1">
        <v>339</v>
      </c>
      <c r="V4534" s="5">
        <v>43661</v>
      </c>
      <c r="W4534" s="5">
        <v>42739</v>
      </c>
      <c r="X4534" s="1">
        <v>5950000</v>
      </c>
      <c r="Y4534" s="1">
        <v>4995000</v>
      </c>
      <c r="Z4534" s="5">
        <v>43078</v>
      </c>
      <c r="AA4534" s="1">
        <v>4700000</v>
      </c>
      <c r="AB4534" s="1" t="s">
        <v>3209</v>
      </c>
      <c r="AC4534" s="5">
        <v>43111</v>
      </c>
      <c r="AF4534" s="1">
        <v>10019</v>
      </c>
      <c r="AI4534" s="1" t="s">
        <v>80</v>
      </c>
      <c r="AJ4534" s="1">
        <v>1930</v>
      </c>
      <c r="AK4534" s="1" t="s">
        <v>46</v>
      </c>
      <c r="AL4534" s="1">
        <v>51</v>
      </c>
    </row>
    <row r="4535" spans="1:38" x14ac:dyDescent="0.2">
      <c r="A4535" s="2" t="str">
        <f>HYPERLINK("https://www.compass.com/listing/425-west-50th-street-unit-pha-manhattan-ny-10019/29389227552789137/","425 W 50th St, Unit PHA")</f>
        <v>425 W 50th St, Unit PHA</v>
      </c>
      <c r="B4535" s="2" t="str">
        <f t="shared" si="765"/>
        <v>Stella Tower</v>
      </c>
      <c r="C4535" s="1" t="s">
        <v>90</v>
      </c>
      <c r="D4535" s="1" t="s">
        <v>41</v>
      </c>
      <c r="E4535" s="3">
        <v>10185500</v>
      </c>
      <c r="F4535" s="1">
        <v>2832.4527252502699</v>
      </c>
      <c r="G4535" s="1">
        <v>6</v>
      </c>
      <c r="H4535" s="1">
        <v>3</v>
      </c>
      <c r="I4535" s="1">
        <v>4</v>
      </c>
      <c r="J4535" s="1">
        <v>0.5</v>
      </c>
      <c r="L4535" s="1">
        <v>1</v>
      </c>
      <c r="M4535" s="4">
        <v>3596</v>
      </c>
      <c r="N4535" s="1">
        <v>4358</v>
      </c>
      <c r="O4535" s="1">
        <v>8790</v>
      </c>
      <c r="P4535" s="1">
        <v>4432</v>
      </c>
      <c r="Q4535" s="1" t="s">
        <v>42</v>
      </c>
      <c r="S4535" s="1" t="s">
        <v>42</v>
      </c>
      <c r="T4535" s="1" t="s">
        <v>273</v>
      </c>
      <c r="U4535" s="1">
        <v>310</v>
      </c>
      <c r="V4535" s="5">
        <v>43694</v>
      </c>
      <c r="W4535" s="5">
        <v>42445</v>
      </c>
      <c r="X4535" s="1">
        <v>12995000</v>
      </c>
      <c r="Y4535" s="1">
        <v>11495000</v>
      </c>
      <c r="Z4535" s="5">
        <v>42755</v>
      </c>
      <c r="AA4535" s="1">
        <v>10185500</v>
      </c>
      <c r="AB4535" s="1" t="s">
        <v>3210</v>
      </c>
      <c r="AC4535" s="5">
        <v>42793</v>
      </c>
      <c r="AF4535" s="1">
        <v>10019</v>
      </c>
      <c r="AI4535" s="1" t="s">
        <v>152</v>
      </c>
      <c r="AJ4535" s="1">
        <v>1930</v>
      </c>
      <c r="AK4535" s="1" t="s">
        <v>46</v>
      </c>
      <c r="AL4535" s="1">
        <v>51</v>
      </c>
    </row>
    <row r="4536" spans="1:38" x14ac:dyDescent="0.2">
      <c r="A4536" s="2" t="str">
        <f>HYPERLINK("https://www.compass.com/listing/425-west-50th-street-unit-phb-manhattan-ny-10019/29389228156701473/","425 W 50th St, Unit PHB")</f>
        <v>425 W 50th St, Unit PHB</v>
      </c>
      <c r="B4536" s="2" t="str">
        <f t="shared" si="765"/>
        <v>Stella Tower</v>
      </c>
      <c r="C4536" s="1" t="s">
        <v>90</v>
      </c>
      <c r="D4536" s="1" t="s">
        <v>41</v>
      </c>
      <c r="E4536" s="3">
        <v>6723450</v>
      </c>
      <c r="F4536" s="1">
        <v>2501.2834821428501</v>
      </c>
      <c r="G4536" s="1">
        <v>6</v>
      </c>
      <c r="H4536" s="1">
        <v>3</v>
      </c>
      <c r="I4536" s="1">
        <v>5</v>
      </c>
      <c r="J4536" s="1">
        <v>0.5</v>
      </c>
      <c r="L4536" s="1">
        <v>1</v>
      </c>
      <c r="M4536" s="4">
        <v>2688</v>
      </c>
      <c r="N4536" s="1">
        <v>3248</v>
      </c>
      <c r="O4536" s="1">
        <v>6855</v>
      </c>
      <c r="P4536" s="1">
        <v>3607</v>
      </c>
      <c r="Q4536" s="1" t="s">
        <v>42</v>
      </c>
      <c r="S4536" s="1" t="s">
        <v>42</v>
      </c>
      <c r="T4536" s="1" t="s">
        <v>273</v>
      </c>
      <c r="U4536" s="1">
        <v>624</v>
      </c>
      <c r="V4536" s="5">
        <v>43694</v>
      </c>
      <c r="W4536" s="5">
        <v>42454</v>
      </c>
      <c r="X4536" s="1">
        <v>8995000</v>
      </c>
      <c r="Y4536" s="1">
        <v>7250000</v>
      </c>
      <c r="Z4536" s="5">
        <v>43078</v>
      </c>
      <c r="AA4536" s="1">
        <v>6723450</v>
      </c>
      <c r="AB4536" s="1" t="s">
        <v>3211</v>
      </c>
      <c r="AC4536" s="5">
        <v>43112</v>
      </c>
      <c r="AF4536" s="1">
        <v>10019</v>
      </c>
      <c r="AI4536" s="1" t="s">
        <v>319</v>
      </c>
      <c r="AJ4536" s="1">
        <v>1930</v>
      </c>
      <c r="AK4536" s="1" t="s">
        <v>46</v>
      </c>
      <c r="AL4536" s="1">
        <v>51</v>
      </c>
    </row>
    <row r="4537" spans="1:38" x14ac:dyDescent="0.2">
      <c r="A4537" s="2" t="str">
        <f>HYPERLINK("https://www.compass.com/listing/425-west-50th-street-unit-11f-manhattan-ny-10019/803338847194572641/","425 W 50th St, Unit 11F")</f>
        <v>425 W 50th St, Unit 11F</v>
      </c>
      <c r="B4537" s="2" t="str">
        <f t="shared" si="765"/>
        <v>Stella Tower</v>
      </c>
      <c r="C4537" s="1" t="s">
        <v>90</v>
      </c>
      <c r="D4537" s="1" t="s">
        <v>41</v>
      </c>
      <c r="E4537" s="3">
        <v>3707500</v>
      </c>
      <c r="F4537" s="1">
        <v>2049.4748479823102</v>
      </c>
      <c r="G4537" s="1">
        <v>4.5</v>
      </c>
      <c r="H4537" s="1">
        <v>2</v>
      </c>
      <c r="I4537" s="1">
        <v>3</v>
      </c>
      <c r="J4537" s="1">
        <v>2.5</v>
      </c>
      <c r="M4537" s="4">
        <v>1809</v>
      </c>
      <c r="N4537" s="1">
        <v>2046</v>
      </c>
      <c r="O4537" s="1">
        <v>4126</v>
      </c>
      <c r="P4537" s="1">
        <v>2080</v>
      </c>
      <c r="Q4537" s="1" t="s">
        <v>42</v>
      </c>
      <c r="S4537" s="1" t="s">
        <v>42</v>
      </c>
      <c r="T4537" s="1" t="s">
        <v>273</v>
      </c>
      <c r="U4537" s="1">
        <v>50</v>
      </c>
      <c r="V4537" s="5">
        <v>43153</v>
      </c>
      <c r="W4537" s="5">
        <v>43102</v>
      </c>
      <c r="X4537" s="1">
        <v>4195000</v>
      </c>
      <c r="Y4537" s="1">
        <v>3995000</v>
      </c>
      <c r="AA4537" s="1">
        <v>3707500</v>
      </c>
      <c r="AB4537" s="1" t="s">
        <v>3196</v>
      </c>
      <c r="AC4537" s="5">
        <v>43242</v>
      </c>
      <c r="AF4537" s="1">
        <v>10019</v>
      </c>
      <c r="AI4537" s="1" t="s">
        <v>80</v>
      </c>
      <c r="AJ4537" s="1">
        <v>1930</v>
      </c>
      <c r="AK4537" s="1" t="s">
        <v>46</v>
      </c>
      <c r="AL4537" s="1">
        <v>51</v>
      </c>
    </row>
    <row r="4538" spans="1:38" x14ac:dyDescent="0.2">
      <c r="A4538" s="2" t="str">
        <f>HYPERLINK("https://www.compass.com/listing/1-west-end-avenue-unit-34d-manhattan-ny-10069/29397357103679889/","1 W End Ave, Unit 34D")</f>
        <v>1 W End Ave, Unit 34D</v>
      </c>
      <c r="B4538" s="2" t="str">
        <f t="shared" ref="B4538:B4541" si="766">HYPERLINK("https://www.compass.com/building/1-w-end-ave-manhattan-ny-10069/455676159137755317/","1 W End Ave")</f>
        <v>1 W End Ave</v>
      </c>
      <c r="C4538" s="1" t="s">
        <v>57</v>
      </c>
      <c r="D4538" s="1" t="s">
        <v>41</v>
      </c>
      <c r="E4538" s="3">
        <v>5419814</v>
      </c>
      <c r="F4538" s="1">
        <v>2184.5280128980198</v>
      </c>
      <c r="G4538" s="1">
        <v>6</v>
      </c>
      <c r="H4538" s="1">
        <v>3</v>
      </c>
      <c r="I4538" s="1">
        <v>4</v>
      </c>
      <c r="J4538" s="1">
        <v>3.5</v>
      </c>
      <c r="K4538" s="1">
        <v>3</v>
      </c>
      <c r="L4538" s="1">
        <v>1</v>
      </c>
      <c r="M4538" s="4">
        <v>2481</v>
      </c>
      <c r="N4538" s="1">
        <v>2840</v>
      </c>
      <c r="O4538" s="1">
        <v>2840</v>
      </c>
      <c r="Q4538" s="1" t="s">
        <v>42</v>
      </c>
      <c r="S4538" s="1" t="s">
        <v>42</v>
      </c>
      <c r="T4538" s="1" t="s">
        <v>273</v>
      </c>
      <c r="V4538" s="5">
        <v>43624</v>
      </c>
      <c r="W4538" s="5">
        <v>42938</v>
      </c>
      <c r="X4538" s="1">
        <v>5825000</v>
      </c>
      <c r="Y4538" s="1">
        <v>5825000</v>
      </c>
      <c r="Z4538" s="5">
        <v>42938</v>
      </c>
      <c r="AA4538" s="1">
        <v>5419814</v>
      </c>
      <c r="AB4538" s="1" t="s">
        <v>3212</v>
      </c>
      <c r="AC4538" s="5">
        <v>43231</v>
      </c>
      <c r="AF4538" s="1">
        <v>10069</v>
      </c>
      <c r="AI4538" s="1" t="s">
        <v>2054</v>
      </c>
      <c r="AJ4538" s="1">
        <v>2017</v>
      </c>
      <c r="AK4538" s="1" t="s">
        <v>55</v>
      </c>
      <c r="AL4538" s="1">
        <v>246</v>
      </c>
    </row>
    <row r="4539" spans="1:38" x14ac:dyDescent="0.2">
      <c r="A4539" s="2" t="str">
        <f>HYPERLINK("https://www.compass.com/listing/1-west-end-avenue-unit-26e-manhattan-ny-10069/29397363000872209/","1 W End Ave, Unit 26E")</f>
        <v>1 W End Ave, Unit 26E</v>
      </c>
      <c r="B4539" s="2" t="str">
        <f t="shared" si="766"/>
        <v>1 W End Ave</v>
      </c>
      <c r="C4539" s="1" t="s">
        <v>57</v>
      </c>
      <c r="D4539" s="1" t="s">
        <v>41</v>
      </c>
      <c r="E4539" s="3">
        <v>5088905</v>
      </c>
      <c r="F4539" s="1">
        <v>2071.1864061863998</v>
      </c>
      <c r="G4539" s="1">
        <v>5</v>
      </c>
      <c r="H4539" s="1">
        <v>3</v>
      </c>
      <c r="I4539" s="1">
        <v>4</v>
      </c>
      <c r="J4539" s="1">
        <v>3.5</v>
      </c>
      <c r="M4539" s="4">
        <v>2457</v>
      </c>
      <c r="N4539" s="1">
        <v>2816</v>
      </c>
      <c r="O4539" s="1">
        <v>2974</v>
      </c>
      <c r="P4539" s="1">
        <v>158</v>
      </c>
      <c r="Q4539" s="1" t="s">
        <v>42</v>
      </c>
      <c r="S4539" s="1" t="s">
        <v>42</v>
      </c>
      <c r="T4539" s="1" t="s">
        <v>273</v>
      </c>
      <c r="U4539" s="1">
        <v>173</v>
      </c>
      <c r="V4539" s="5">
        <v>43641</v>
      </c>
      <c r="W4539" s="5">
        <v>42909</v>
      </c>
      <c r="X4539" s="1">
        <v>5400000</v>
      </c>
      <c r="Y4539" s="1">
        <v>5400000</v>
      </c>
      <c r="Z4539" s="5">
        <v>43082</v>
      </c>
      <c r="AA4539" s="1">
        <v>5088905</v>
      </c>
      <c r="AB4539" s="1" t="s">
        <v>3213</v>
      </c>
      <c r="AC4539" s="5">
        <v>43207</v>
      </c>
      <c r="AF4539" s="1">
        <v>10069</v>
      </c>
      <c r="AI4539" s="1" t="s">
        <v>60</v>
      </c>
      <c r="AJ4539" s="1">
        <v>2017</v>
      </c>
      <c r="AK4539" s="1" t="s">
        <v>55</v>
      </c>
      <c r="AL4539" s="1">
        <v>246</v>
      </c>
    </row>
    <row r="4540" spans="1:38" x14ac:dyDescent="0.2">
      <c r="A4540" s="2" t="str">
        <f>HYPERLINK("https://www.compass.com/listing/1-west-end-avenue-unit-20a-manhattan-ny-10069/29512722173484337/","1 W End Ave, Unit 20A")</f>
        <v>1 W End Ave, Unit 20A</v>
      </c>
      <c r="B4540" s="2" t="str">
        <f t="shared" si="766"/>
        <v>1 W End Ave</v>
      </c>
      <c r="C4540" s="1" t="s">
        <v>57</v>
      </c>
      <c r="D4540" s="1" t="s">
        <v>41</v>
      </c>
      <c r="E4540" s="3">
        <v>4765019</v>
      </c>
      <c r="F4540" s="1">
        <v>1751.2014737228899</v>
      </c>
      <c r="G4540" s="1">
        <v>5</v>
      </c>
      <c r="H4540" s="1">
        <v>3</v>
      </c>
      <c r="I4540" s="1">
        <v>4</v>
      </c>
      <c r="J4540" s="1">
        <v>3.5</v>
      </c>
      <c r="K4540" s="1">
        <v>3</v>
      </c>
      <c r="L4540" s="1">
        <v>1</v>
      </c>
      <c r="M4540" s="4">
        <v>2721</v>
      </c>
      <c r="N4540" s="1">
        <v>3046</v>
      </c>
      <c r="O4540" s="1">
        <v>3217</v>
      </c>
      <c r="P4540" s="1">
        <v>171</v>
      </c>
      <c r="Q4540" s="1" t="s">
        <v>42</v>
      </c>
      <c r="S4540" s="1" t="s">
        <v>42</v>
      </c>
      <c r="T4540" s="1" t="s">
        <v>273</v>
      </c>
      <c r="U4540" s="1">
        <v>293</v>
      </c>
      <c r="V4540" s="5">
        <v>43621</v>
      </c>
      <c r="W4540" s="5">
        <v>43244</v>
      </c>
      <c r="X4540" s="1">
        <v>5275000</v>
      </c>
      <c r="Y4540" s="1">
        <v>4999999</v>
      </c>
      <c r="Z4540" s="5">
        <v>43538</v>
      </c>
      <c r="AA4540" s="1">
        <v>4765019.21</v>
      </c>
      <c r="AB4540" s="1" t="s">
        <v>3214</v>
      </c>
      <c r="AC4540" s="5">
        <v>43584</v>
      </c>
      <c r="AF4540" s="1">
        <v>10069</v>
      </c>
      <c r="AI4540" s="1" t="s">
        <v>1683</v>
      </c>
      <c r="AJ4540" s="1">
        <v>2017</v>
      </c>
      <c r="AK4540" s="1" t="s">
        <v>55</v>
      </c>
      <c r="AL4540" s="1">
        <v>246</v>
      </c>
    </row>
    <row r="4541" spans="1:38" x14ac:dyDescent="0.2">
      <c r="A4541" s="2" t="str">
        <f>HYPERLINK("https://www.compass.com/listing/1-west-end-avenue-unit-22e-manhattan-ny-10069/29512724522294657/","1 W End Ave, Unit 22E")</f>
        <v>1 W End Ave, Unit 22E</v>
      </c>
      <c r="B4541" s="2" t="str">
        <f t="shared" si="766"/>
        <v>1 W End Ave</v>
      </c>
      <c r="C4541" s="1" t="s">
        <v>57</v>
      </c>
      <c r="D4541" s="1" t="s">
        <v>41</v>
      </c>
      <c r="E4541" s="3">
        <v>4857705</v>
      </c>
      <c r="F4541" s="1">
        <v>1977.0879120879099</v>
      </c>
      <c r="G4541" s="1">
        <v>6</v>
      </c>
      <c r="H4541" s="1">
        <v>3</v>
      </c>
      <c r="I4541" s="1">
        <v>4</v>
      </c>
      <c r="J4541" s="1">
        <v>3.5</v>
      </c>
      <c r="M4541" s="4">
        <v>2457</v>
      </c>
      <c r="N4541" s="1">
        <v>2816</v>
      </c>
      <c r="O4541" s="1">
        <v>2974</v>
      </c>
      <c r="P4541" s="1">
        <v>158</v>
      </c>
      <c r="Q4541" s="1" t="s">
        <v>42</v>
      </c>
      <c r="S4541" s="1" t="s">
        <v>42</v>
      </c>
      <c r="T4541" s="1" t="s">
        <v>273</v>
      </c>
      <c r="U4541" s="1">
        <v>181</v>
      </c>
      <c r="V4541" s="5">
        <v>43624</v>
      </c>
      <c r="W4541" s="5">
        <v>43113</v>
      </c>
      <c r="X4541" s="1">
        <v>5200000</v>
      </c>
      <c r="Y4541" s="1">
        <v>4999999</v>
      </c>
      <c r="Z4541" s="5">
        <v>43294</v>
      </c>
      <c r="AA4541" s="1">
        <v>4857705</v>
      </c>
      <c r="AB4541" s="1" t="s">
        <v>3215</v>
      </c>
      <c r="AC4541" s="5">
        <v>43327</v>
      </c>
      <c r="AF4541" s="1">
        <v>10069</v>
      </c>
      <c r="AI4541" s="1" t="s">
        <v>60</v>
      </c>
      <c r="AJ4541" s="1">
        <v>2017</v>
      </c>
      <c r="AK4541" s="1" t="s">
        <v>55</v>
      </c>
      <c r="AL4541" s="1">
        <v>246</v>
      </c>
    </row>
    <row r="4542" spans="1:38" x14ac:dyDescent="0.2">
      <c r="A4542" s="2" t="str">
        <f>HYPERLINK("https://www.compass.com/listing/425-west-50th-street-unit-14b-manhattan-ny-10019/803336146708602697/","425 W 50th St, Unit 14B")</f>
        <v>425 W 50th St, Unit 14B</v>
      </c>
      <c r="B4542" s="2" t="str">
        <f>HYPERLINK("https://www.compass.com/building/stella-tower-manhattan-ny/281945855710262181/","Stella Tower")</f>
        <v>Stella Tower</v>
      </c>
      <c r="C4542" s="1" t="s">
        <v>90</v>
      </c>
      <c r="D4542" s="1" t="s">
        <v>41</v>
      </c>
      <c r="E4542" s="3">
        <v>4500000</v>
      </c>
      <c r="F4542" s="1">
        <v>2875.3993610223602</v>
      </c>
      <c r="G4542" s="1">
        <v>4</v>
      </c>
      <c r="H4542" s="1">
        <v>2</v>
      </c>
      <c r="I4542" s="1">
        <v>3</v>
      </c>
      <c r="J4542" s="1">
        <v>2.5</v>
      </c>
      <c r="M4542" s="4">
        <v>1565</v>
      </c>
      <c r="N4542" s="1">
        <v>1940</v>
      </c>
      <c r="O4542" s="1">
        <v>3873</v>
      </c>
      <c r="P4542" s="1">
        <v>1933</v>
      </c>
      <c r="Q4542" s="1" t="s">
        <v>42</v>
      </c>
      <c r="S4542" s="1" t="s">
        <v>42</v>
      </c>
      <c r="T4542" s="1" t="s">
        <v>273</v>
      </c>
      <c r="U4542" s="1">
        <v>309</v>
      </c>
      <c r="V4542" s="5">
        <v>42809</v>
      </c>
      <c r="W4542" s="5">
        <v>42499</v>
      </c>
      <c r="X4542" s="1">
        <v>4500000</v>
      </c>
      <c r="Y4542" s="1">
        <v>4500000</v>
      </c>
      <c r="AB4542" s="1" t="s">
        <v>275</v>
      </c>
      <c r="AC4542" s="5">
        <v>42809</v>
      </c>
      <c r="AF4542" s="1">
        <v>10019</v>
      </c>
      <c r="AI4542" s="1" t="s">
        <v>80</v>
      </c>
      <c r="AJ4542" s="1">
        <v>1930</v>
      </c>
      <c r="AK4542" s="1" t="s">
        <v>49</v>
      </c>
      <c r="AL4542" s="1">
        <v>51</v>
      </c>
    </row>
    <row r="4543" spans="1:38" x14ac:dyDescent="0.2">
      <c r="A4543" s="2" t="str">
        <f>HYPERLINK("https://www.compass.com/listing/172-madison-avenue-unit-6b-manhattan-ny-10016/675867423991440041/","172 Madison Ave, Unit 6B")</f>
        <v>172 Madison Ave, Unit 6B</v>
      </c>
      <c r="B4543" s="2" t="str">
        <f t="shared" ref="B4543:B4545" si="767">HYPERLINK("https://www.compass.com/building/172-madison-ave-manhattan-ny-10016/281937956250376981/","172 Madison Ave")</f>
        <v>172 Madison Ave</v>
      </c>
      <c r="C4543" s="1" t="s">
        <v>120</v>
      </c>
      <c r="D4543" s="1" t="s">
        <v>41</v>
      </c>
      <c r="E4543" s="3">
        <v>1975000</v>
      </c>
      <c r="F4543" s="1">
        <v>1327.28494623655</v>
      </c>
      <c r="G4543" s="1">
        <v>4</v>
      </c>
      <c r="H4543" s="1">
        <v>2</v>
      </c>
      <c r="J4543" s="1">
        <v>2.5</v>
      </c>
      <c r="M4543" s="4">
        <v>1488</v>
      </c>
      <c r="N4543" s="1">
        <v>2223</v>
      </c>
      <c r="O4543" s="1">
        <v>5848</v>
      </c>
      <c r="P4543" s="1">
        <v>3625</v>
      </c>
      <c r="Q4543" s="1" t="s">
        <v>3216</v>
      </c>
      <c r="S4543" s="1" t="s">
        <v>100</v>
      </c>
      <c r="T4543" s="1" t="s">
        <v>273</v>
      </c>
      <c r="U4543" s="1">
        <v>10</v>
      </c>
      <c r="V4543" s="5">
        <v>44195</v>
      </c>
      <c r="W4543" s="5">
        <v>44184</v>
      </c>
      <c r="X4543" s="1">
        <v>1995000</v>
      </c>
      <c r="Y4543" s="1">
        <v>1995000</v>
      </c>
      <c r="AA4543" s="1">
        <v>1975000</v>
      </c>
      <c r="AB4543" s="1" t="s">
        <v>3217</v>
      </c>
      <c r="AC4543" s="5">
        <v>44274</v>
      </c>
      <c r="AF4543" s="1">
        <v>10016</v>
      </c>
      <c r="AJ4543" s="1">
        <v>2016</v>
      </c>
      <c r="AK4543" s="1" t="s">
        <v>49</v>
      </c>
      <c r="AL4543" s="1">
        <v>72</v>
      </c>
    </row>
    <row r="4544" spans="1:38" x14ac:dyDescent="0.2">
      <c r="A4544" s="2" t="str">
        <f>HYPERLINK("https://www.compass.com/listing/172-madison-avenue-unit-10a-manhattan-ny-10016/226027762060730593/","172 Madison Ave, Unit 10A")</f>
        <v>172 Madison Ave, Unit 10A</v>
      </c>
      <c r="B4544" s="2" t="str">
        <f t="shared" si="767"/>
        <v>172 Madison Ave</v>
      </c>
      <c r="C4544" s="1" t="s">
        <v>120</v>
      </c>
      <c r="D4544" s="1" t="s">
        <v>41</v>
      </c>
      <c r="E4544" s="3">
        <v>2752941</v>
      </c>
      <c r="F4544" s="1">
        <v>1861.35273833671</v>
      </c>
      <c r="G4544" s="1">
        <v>4</v>
      </c>
      <c r="H4544" s="1">
        <v>2</v>
      </c>
      <c r="I4544" s="1">
        <v>3</v>
      </c>
      <c r="J4544" s="1">
        <v>2.5</v>
      </c>
      <c r="K4544" s="1">
        <v>2</v>
      </c>
      <c r="L4544" s="1">
        <v>1</v>
      </c>
      <c r="M4544" s="4">
        <v>1479</v>
      </c>
      <c r="N4544" s="1">
        <v>1991</v>
      </c>
      <c r="O4544" s="1">
        <v>4138</v>
      </c>
      <c r="P4544" s="1">
        <v>2147</v>
      </c>
      <c r="Q4544" s="1" t="s">
        <v>3154</v>
      </c>
      <c r="S4544" s="1" t="s">
        <v>100</v>
      </c>
      <c r="T4544" s="1" t="s">
        <v>273</v>
      </c>
      <c r="U4544" s="1">
        <v>79</v>
      </c>
      <c r="V4544" s="5">
        <v>43692</v>
      </c>
      <c r="W4544" s="5">
        <v>43564</v>
      </c>
      <c r="X4544" s="1">
        <v>2800000</v>
      </c>
      <c r="Y4544" s="1">
        <v>2850000</v>
      </c>
      <c r="Z4544" s="5">
        <v>43643</v>
      </c>
      <c r="AA4544" s="1">
        <v>2752940.7</v>
      </c>
      <c r="AB4544" s="1" t="s">
        <v>3142</v>
      </c>
      <c r="AC4544" s="5">
        <v>43656</v>
      </c>
      <c r="AF4544" s="1">
        <v>10016</v>
      </c>
      <c r="AJ4544" s="1">
        <v>2016</v>
      </c>
      <c r="AK4544" s="1" t="s">
        <v>46</v>
      </c>
      <c r="AL4544" s="1">
        <v>72</v>
      </c>
    </row>
    <row r="4545" spans="1:38" x14ac:dyDescent="0.2">
      <c r="A4545" s="2" t="str">
        <f>HYPERLINK("https://www.compass.com/listing/172-madison-avenue-unit-7b-manhattan-ny-10016/34470430286824337/","172 Madison Ave, Unit 7B")</f>
        <v>172 Madison Ave, Unit 7B</v>
      </c>
      <c r="B4545" s="2" t="str">
        <f t="shared" si="767"/>
        <v>172 Madison Ave</v>
      </c>
      <c r="C4545" s="1" t="s">
        <v>120</v>
      </c>
      <c r="D4545" s="1" t="s">
        <v>41</v>
      </c>
      <c r="E4545" s="3">
        <v>2520169</v>
      </c>
      <c r="F4545" s="1">
        <v>1693.6617943548299</v>
      </c>
      <c r="G4545" s="1">
        <v>4</v>
      </c>
      <c r="H4545" s="1">
        <v>2</v>
      </c>
      <c r="I4545" s="1">
        <v>3</v>
      </c>
      <c r="J4545" s="1">
        <v>2.5</v>
      </c>
      <c r="K4545" s="1">
        <v>2</v>
      </c>
      <c r="L4545" s="1">
        <v>1</v>
      </c>
      <c r="M4545" s="4">
        <v>1488</v>
      </c>
      <c r="N4545" s="1">
        <v>2224</v>
      </c>
      <c r="O4545" s="1">
        <v>5323</v>
      </c>
      <c r="P4545" s="1">
        <v>3099</v>
      </c>
      <c r="Q4545" s="1" t="s">
        <v>2921</v>
      </c>
      <c r="S4545" s="1" t="s">
        <v>100</v>
      </c>
      <c r="T4545" s="1" t="s">
        <v>273</v>
      </c>
      <c r="U4545" s="1">
        <v>114</v>
      </c>
      <c r="V4545" s="5">
        <v>43477</v>
      </c>
      <c r="W4545" s="5">
        <v>43290</v>
      </c>
      <c r="X4545" s="1">
        <v>2795000</v>
      </c>
      <c r="Y4545" s="1">
        <v>2795000</v>
      </c>
      <c r="AA4545" s="1">
        <v>2520168.75</v>
      </c>
      <c r="AB4545" s="1" t="s">
        <v>3218</v>
      </c>
      <c r="AC4545" s="5">
        <v>43404</v>
      </c>
      <c r="AF4545" s="1">
        <v>10016</v>
      </c>
      <c r="AJ4545" s="1">
        <v>2016</v>
      </c>
      <c r="AK4545" s="1" t="s">
        <v>121</v>
      </c>
      <c r="AL4545" s="1">
        <v>72</v>
      </c>
    </row>
    <row r="4546" spans="1:38" x14ac:dyDescent="0.2">
      <c r="A4546" s="2" t="str">
        <f>HYPERLINK("https://www.compass.com/listing/285-west-110th-street-unit-3c-manhattan-ny-10026/4852274734307476225/","285 W 110th St, Unit 3C")</f>
        <v>285 W 110th St, Unit 3C</v>
      </c>
      <c r="B4546" s="2" t="str">
        <f>HYPERLINK("https://www.compass.com/building/circa-central-park-manhattan-ny/282059072692321269/","Circa Central Park")</f>
        <v>Circa Central Park</v>
      </c>
      <c r="C4546" s="1" t="s">
        <v>85</v>
      </c>
      <c r="D4546" s="1" t="s">
        <v>41</v>
      </c>
      <c r="E4546" s="3">
        <v>988211</v>
      </c>
      <c r="F4546" s="1">
        <v>1527.3740340030899</v>
      </c>
      <c r="G4546" s="1">
        <v>2</v>
      </c>
      <c r="H4546" s="1">
        <v>1</v>
      </c>
      <c r="I4546" s="1">
        <v>1</v>
      </c>
      <c r="J4546" s="1">
        <v>1</v>
      </c>
      <c r="K4546" s="1">
        <v>1</v>
      </c>
      <c r="M4546" s="1">
        <v>647</v>
      </c>
      <c r="N4546" s="1">
        <v>605</v>
      </c>
      <c r="O4546" s="1">
        <v>666</v>
      </c>
      <c r="P4546" s="1">
        <v>61</v>
      </c>
      <c r="Q4546" s="1" t="s">
        <v>42</v>
      </c>
      <c r="S4546" s="1" t="s">
        <v>42</v>
      </c>
      <c r="T4546" s="1" t="s">
        <v>273</v>
      </c>
      <c r="V4546" s="5">
        <v>43664</v>
      </c>
      <c r="W4546" s="5">
        <v>42649</v>
      </c>
      <c r="X4546" s="1">
        <v>1100000</v>
      </c>
      <c r="Y4546" s="1">
        <v>1100000</v>
      </c>
      <c r="Z4546" s="5">
        <v>42649</v>
      </c>
      <c r="AA4546" s="1">
        <v>988211</v>
      </c>
      <c r="AB4546" s="1" t="s">
        <v>275</v>
      </c>
      <c r="AC4546" s="5">
        <v>42922</v>
      </c>
      <c r="AF4546" s="1">
        <v>10026</v>
      </c>
      <c r="AI4546" s="1" t="s">
        <v>111</v>
      </c>
      <c r="AJ4546" s="1">
        <v>2017</v>
      </c>
      <c r="AK4546" s="1" t="s">
        <v>46</v>
      </c>
      <c r="AL4546" s="1">
        <v>38</v>
      </c>
    </row>
    <row r="4547" spans="1:38" x14ac:dyDescent="0.2">
      <c r="A4547" s="2" t="str">
        <f>HYPERLINK("https://www.compass.com/listing/172-madison-avenue-unit-12a-manhattan-ny-10016/29376708243151777/","172 Madison Ave, Unit 12A")</f>
        <v>172 Madison Ave, Unit 12A</v>
      </c>
      <c r="B4547" s="2" t="str">
        <f t="shared" ref="B4547:B4555" si="768">HYPERLINK("https://www.compass.com/building/172-madison-ave-manhattan-ny-10016/281937956250376981/","172 Madison Ave")</f>
        <v>172 Madison Ave</v>
      </c>
      <c r="C4547" s="1" t="s">
        <v>120</v>
      </c>
      <c r="D4547" s="1" t="s">
        <v>41</v>
      </c>
      <c r="E4547" s="3">
        <v>3187123</v>
      </c>
      <c r="F4547" s="1">
        <v>2154.9171737660499</v>
      </c>
      <c r="G4547" s="1">
        <v>4</v>
      </c>
      <c r="H4547" s="1">
        <v>2</v>
      </c>
      <c r="I4547" s="1">
        <v>3</v>
      </c>
      <c r="J4547" s="1">
        <v>2.5</v>
      </c>
      <c r="M4547" s="4">
        <v>1479</v>
      </c>
      <c r="N4547" s="1">
        <v>2210</v>
      </c>
      <c r="O4547" s="1">
        <v>3240</v>
      </c>
      <c r="P4547" s="1">
        <v>1030</v>
      </c>
      <c r="Q4547" s="1" t="s">
        <v>42</v>
      </c>
      <c r="S4547" s="1" t="s">
        <v>42</v>
      </c>
      <c r="T4547" s="1" t="s">
        <v>273</v>
      </c>
      <c r="U4547" s="1">
        <v>257</v>
      </c>
      <c r="V4547" s="5">
        <v>43136</v>
      </c>
      <c r="W4547" s="5">
        <v>42110</v>
      </c>
      <c r="X4547" s="1">
        <v>3055000</v>
      </c>
      <c r="Y4547" s="1">
        <v>3455000</v>
      </c>
      <c r="Z4547" s="5">
        <v>42367</v>
      </c>
      <c r="AA4547" s="1">
        <v>3187122.5</v>
      </c>
      <c r="AB4547" s="1" t="s">
        <v>3219</v>
      </c>
      <c r="AC4547" s="5">
        <v>42894</v>
      </c>
      <c r="AF4547" s="1">
        <v>10016</v>
      </c>
      <c r="AJ4547" s="1">
        <v>2016</v>
      </c>
      <c r="AK4547" s="1" t="s">
        <v>46</v>
      </c>
      <c r="AL4547" s="1">
        <v>72</v>
      </c>
    </row>
    <row r="4548" spans="1:38" x14ac:dyDescent="0.2">
      <c r="A4548" s="2" t="str">
        <f>HYPERLINK("https://www.compass.com/listing/172-madison-avenue-unit-14a-manhattan-ny-10016/29376709107177905/","172 Madison Ave, Unit 14A")</f>
        <v>172 Madison Ave, Unit 14A</v>
      </c>
      <c r="B4548" s="2" t="str">
        <f t="shared" si="768"/>
        <v>172 Madison Ave</v>
      </c>
      <c r="C4548" s="1" t="s">
        <v>120</v>
      </c>
      <c r="D4548" s="1" t="s">
        <v>41</v>
      </c>
      <c r="E4548" s="3">
        <v>3480000</v>
      </c>
      <c r="F4548" s="1">
        <v>2352.9411764705801</v>
      </c>
      <c r="G4548" s="1">
        <v>4.5</v>
      </c>
      <c r="H4548" s="1">
        <v>2</v>
      </c>
      <c r="I4548" s="1">
        <v>3</v>
      </c>
      <c r="J4548" s="1">
        <v>2.5</v>
      </c>
      <c r="M4548" s="4">
        <v>1479</v>
      </c>
      <c r="N4548" s="1">
        <v>2211</v>
      </c>
      <c r="O4548" s="1">
        <v>3241</v>
      </c>
      <c r="P4548" s="1">
        <v>1030</v>
      </c>
      <c r="Q4548" s="1" t="s">
        <v>42</v>
      </c>
      <c r="S4548" s="1" t="s">
        <v>42</v>
      </c>
      <c r="T4548" s="1" t="s">
        <v>273</v>
      </c>
      <c r="V4548" s="5">
        <v>42907</v>
      </c>
      <c r="W4548" s="5">
        <v>42878</v>
      </c>
      <c r="X4548" s="1">
        <v>3480000</v>
      </c>
      <c r="Y4548" s="1">
        <v>3480000</v>
      </c>
      <c r="Z4548" s="5">
        <v>42878</v>
      </c>
      <c r="AA4548" s="1">
        <v>3480000</v>
      </c>
      <c r="AB4548" s="1" t="s">
        <v>275</v>
      </c>
      <c r="AC4548" s="5">
        <v>42887</v>
      </c>
      <c r="AF4548" s="1">
        <v>10016</v>
      </c>
      <c r="AJ4548" s="1">
        <v>2016</v>
      </c>
      <c r="AK4548" s="1" t="s">
        <v>46</v>
      </c>
      <c r="AL4548" s="1">
        <v>72</v>
      </c>
    </row>
    <row r="4549" spans="1:38" x14ac:dyDescent="0.2">
      <c r="A4549" s="2" t="str">
        <f>HYPERLINK("https://www.compass.com/listing/172-madison-avenue-unit-15a-manhattan-ny-10016/29376710289971649/","172 Madison Ave, Unit 15A")</f>
        <v>172 Madison Ave, Unit 15A</v>
      </c>
      <c r="B4549" s="2" t="str">
        <f t="shared" si="768"/>
        <v>172 Madison Ave</v>
      </c>
      <c r="C4549" s="1" t="s">
        <v>120</v>
      </c>
      <c r="D4549" s="1" t="s">
        <v>41</v>
      </c>
      <c r="E4549" s="3">
        <v>3360225</v>
      </c>
      <c r="F4549" s="1">
        <v>2271.9574036511099</v>
      </c>
      <c r="G4549" s="1">
        <v>4.5</v>
      </c>
      <c r="H4549" s="1">
        <v>2</v>
      </c>
      <c r="I4549" s="1">
        <v>3</v>
      </c>
      <c r="J4549" s="1">
        <v>2.5</v>
      </c>
      <c r="M4549" s="4">
        <v>1479</v>
      </c>
      <c r="N4549" s="1">
        <v>2210</v>
      </c>
      <c r="O4549" s="1">
        <v>3240</v>
      </c>
      <c r="P4549" s="1">
        <v>1030</v>
      </c>
      <c r="Q4549" s="1" t="s">
        <v>42</v>
      </c>
      <c r="S4549" s="1" t="s">
        <v>42</v>
      </c>
      <c r="T4549" s="1" t="s">
        <v>273</v>
      </c>
      <c r="U4549" s="1">
        <v>65</v>
      </c>
      <c r="V4549" s="5">
        <v>43631</v>
      </c>
      <c r="W4549" s="5">
        <v>42543</v>
      </c>
      <c r="X4549" s="1">
        <v>3505000</v>
      </c>
      <c r="Y4549" s="1">
        <v>3505000</v>
      </c>
      <c r="Z4549" s="5">
        <v>42608</v>
      </c>
      <c r="AA4549" s="1">
        <v>3360225</v>
      </c>
      <c r="AB4549" s="1" t="s">
        <v>3220</v>
      </c>
      <c r="AC4549" s="5">
        <v>42881</v>
      </c>
      <c r="AF4549" s="1">
        <v>10016</v>
      </c>
      <c r="AJ4549" s="1">
        <v>2016</v>
      </c>
      <c r="AK4549" s="1" t="s">
        <v>46</v>
      </c>
      <c r="AL4549" s="1">
        <v>72</v>
      </c>
    </row>
    <row r="4550" spans="1:38" x14ac:dyDescent="0.2">
      <c r="A4550" s="2" t="str">
        <f>HYPERLINK("https://www.compass.com/listing/172-madison-avenue-unit-16a-manhattan-ny-10016/29376711120518417/","172 Madison Ave, Unit 16A")</f>
        <v>172 Madison Ave, Unit 16A</v>
      </c>
      <c r="B4550" s="2" t="str">
        <f t="shared" si="768"/>
        <v>172 Madison Ave</v>
      </c>
      <c r="C4550" s="1" t="s">
        <v>120</v>
      </c>
      <c r="D4550" s="1" t="s">
        <v>41</v>
      </c>
      <c r="E4550" s="3">
        <v>3360225</v>
      </c>
      <c r="F4550" s="1">
        <v>2271.9574036511099</v>
      </c>
      <c r="G4550" s="1">
        <v>4</v>
      </c>
      <c r="H4550" s="1">
        <v>2</v>
      </c>
      <c r="I4550" s="1">
        <v>3</v>
      </c>
      <c r="J4550" s="1">
        <v>2.5</v>
      </c>
      <c r="M4550" s="4">
        <v>1479</v>
      </c>
      <c r="N4550" s="1">
        <v>2210</v>
      </c>
      <c r="O4550" s="1">
        <v>3240</v>
      </c>
      <c r="P4550" s="1">
        <v>1030</v>
      </c>
      <c r="Q4550" s="1" t="s">
        <v>42</v>
      </c>
      <c r="S4550" s="1" t="s">
        <v>42</v>
      </c>
      <c r="T4550" s="1" t="s">
        <v>273</v>
      </c>
      <c r="U4550" s="1">
        <v>98</v>
      </c>
      <c r="V4550" s="5">
        <v>43136</v>
      </c>
      <c r="W4550" s="5">
        <v>42608</v>
      </c>
      <c r="X4550" s="1">
        <v>3535000</v>
      </c>
      <c r="Y4550" s="1">
        <v>3535000</v>
      </c>
      <c r="Z4550" s="5">
        <v>42706</v>
      </c>
      <c r="AA4550" s="1">
        <v>3360225</v>
      </c>
      <c r="AB4550" s="1" t="s">
        <v>3221</v>
      </c>
      <c r="AC4550" s="5">
        <v>42907</v>
      </c>
      <c r="AF4550" s="1">
        <v>10016</v>
      </c>
      <c r="AJ4550" s="1">
        <v>2016</v>
      </c>
      <c r="AK4550" s="1" t="s">
        <v>46</v>
      </c>
      <c r="AL4550" s="1">
        <v>72</v>
      </c>
    </row>
    <row r="4551" spans="1:38" x14ac:dyDescent="0.2">
      <c r="A4551" s="2" t="str">
        <f>HYPERLINK("https://www.compass.com/listing/172-madison-avenue-unit-17a-manhattan-ny-10016/29376711464376785/","172 Madison Ave, Unit 17A")</f>
        <v>172 Madison Ave, Unit 17A</v>
      </c>
      <c r="B4551" s="2" t="str">
        <f t="shared" si="768"/>
        <v>172 Madison Ave</v>
      </c>
      <c r="C4551" s="1" t="s">
        <v>120</v>
      </c>
      <c r="D4551" s="1" t="s">
        <v>41</v>
      </c>
      <c r="E4551" s="3">
        <v>3268583</v>
      </c>
      <c r="F4551" s="1">
        <v>2209.9949290060799</v>
      </c>
      <c r="G4551" s="1">
        <v>4</v>
      </c>
      <c r="H4551" s="1">
        <v>2</v>
      </c>
      <c r="I4551" s="1">
        <v>3</v>
      </c>
      <c r="J4551" s="1">
        <v>2.5</v>
      </c>
      <c r="M4551" s="4">
        <v>1479</v>
      </c>
      <c r="N4551" s="1">
        <v>2210</v>
      </c>
      <c r="O4551" s="1">
        <v>3240</v>
      </c>
      <c r="P4551" s="1">
        <v>1030</v>
      </c>
      <c r="Q4551" s="1" t="s">
        <v>42</v>
      </c>
      <c r="S4551" s="1" t="s">
        <v>42</v>
      </c>
      <c r="T4551" s="1" t="s">
        <v>273</v>
      </c>
      <c r="U4551" s="1">
        <v>11</v>
      </c>
      <c r="V4551" s="5">
        <v>43136</v>
      </c>
      <c r="W4551" s="5">
        <v>42356</v>
      </c>
      <c r="X4551" s="1">
        <v>3560000</v>
      </c>
      <c r="Y4551" s="1">
        <v>3560000</v>
      </c>
      <c r="Z4551" s="5">
        <v>42367</v>
      </c>
      <c r="AA4551" s="1">
        <v>3268582.5</v>
      </c>
      <c r="AB4551" s="1" t="s">
        <v>3222</v>
      </c>
      <c r="AC4551" s="5">
        <v>42879</v>
      </c>
      <c r="AF4551" s="1">
        <v>10016</v>
      </c>
      <c r="AJ4551" s="1">
        <v>2016</v>
      </c>
      <c r="AK4551" s="1" t="s">
        <v>46</v>
      </c>
      <c r="AL4551" s="1">
        <v>72</v>
      </c>
    </row>
    <row r="4552" spans="1:38" x14ac:dyDescent="0.2">
      <c r="A4552" s="2" t="str">
        <f>HYPERLINK("https://www.compass.com/listing/172-madison-avenue-unit-20a-manhattan-ny-10016/29376713880295921/","172 Madison Ave, Unit 20A")</f>
        <v>172 Madison Ave, Unit 20A</v>
      </c>
      <c r="B4552" s="2" t="str">
        <f t="shared" si="768"/>
        <v>172 Madison Ave</v>
      </c>
      <c r="C4552" s="1" t="s">
        <v>120</v>
      </c>
      <c r="D4552" s="1" t="s">
        <v>41</v>
      </c>
      <c r="E4552" s="3">
        <v>3355134</v>
      </c>
      <c r="F4552" s="1">
        <v>2268.5150439486101</v>
      </c>
      <c r="G4552" s="1">
        <v>4</v>
      </c>
      <c r="H4552" s="1">
        <v>2</v>
      </c>
      <c r="I4552" s="1">
        <v>3</v>
      </c>
      <c r="J4552" s="1">
        <v>2.5</v>
      </c>
      <c r="M4552" s="4">
        <v>1479</v>
      </c>
      <c r="N4552" s="1">
        <v>2210</v>
      </c>
      <c r="O4552" s="1">
        <v>3240</v>
      </c>
      <c r="P4552" s="1">
        <v>1030</v>
      </c>
      <c r="Q4552" s="1" t="s">
        <v>42</v>
      </c>
      <c r="S4552" s="1" t="s">
        <v>42</v>
      </c>
      <c r="T4552" s="1" t="s">
        <v>273</v>
      </c>
      <c r="U4552" s="1">
        <v>245</v>
      </c>
      <c r="V4552" s="5">
        <v>43136</v>
      </c>
      <c r="W4552" s="5">
        <v>42110</v>
      </c>
      <c r="X4552" s="1">
        <v>3245000</v>
      </c>
      <c r="Y4552" s="1">
        <v>3645000</v>
      </c>
      <c r="Z4552" s="5">
        <v>42356</v>
      </c>
      <c r="AA4552" s="1">
        <v>3355133.75</v>
      </c>
      <c r="AB4552" s="1" t="s">
        <v>3223</v>
      </c>
      <c r="AC4552" s="5">
        <v>42891</v>
      </c>
      <c r="AF4552" s="1">
        <v>10016</v>
      </c>
      <c r="AJ4552" s="1">
        <v>2016</v>
      </c>
      <c r="AK4552" s="1" t="s">
        <v>46</v>
      </c>
      <c r="AL4552" s="1">
        <v>72</v>
      </c>
    </row>
    <row r="4553" spans="1:38" x14ac:dyDescent="0.2">
      <c r="A4553" s="2" t="str">
        <f>HYPERLINK("https://www.compass.com/listing/172-madison-avenue-unit-23b-manhattan-ny-10016/29376717361642897/","172 Madison Ave, Unit 23B")</f>
        <v>172 Madison Ave, Unit 23B</v>
      </c>
      <c r="B4553" s="2" t="str">
        <f t="shared" si="768"/>
        <v>172 Madison Ave</v>
      </c>
      <c r="C4553" s="1" t="s">
        <v>120</v>
      </c>
      <c r="D4553" s="1" t="s">
        <v>41</v>
      </c>
      <c r="E4553" s="3">
        <v>3156575</v>
      </c>
      <c r="F4553" s="1">
        <v>2138.6009485094801</v>
      </c>
      <c r="G4553" s="1">
        <v>4</v>
      </c>
      <c r="H4553" s="1">
        <v>2</v>
      </c>
      <c r="I4553" s="1">
        <v>3</v>
      </c>
      <c r="J4553" s="1">
        <v>2.5</v>
      </c>
      <c r="M4553" s="4">
        <v>1476</v>
      </c>
      <c r="N4553" s="1">
        <v>2204</v>
      </c>
      <c r="O4553" s="1">
        <v>3231</v>
      </c>
      <c r="P4553" s="1">
        <v>1027</v>
      </c>
      <c r="Q4553" s="1" t="s">
        <v>42</v>
      </c>
      <c r="S4553" s="1" t="s">
        <v>42</v>
      </c>
      <c r="T4553" s="1" t="s">
        <v>273</v>
      </c>
      <c r="U4553" s="1">
        <v>34</v>
      </c>
      <c r="V4553" s="5">
        <v>43664</v>
      </c>
      <c r="W4553" s="5">
        <v>42602</v>
      </c>
      <c r="X4553" s="1">
        <v>3380000</v>
      </c>
      <c r="Y4553" s="1">
        <v>3380000</v>
      </c>
      <c r="Z4553" s="5">
        <v>42636</v>
      </c>
      <c r="AA4553" s="1">
        <v>3156575</v>
      </c>
      <c r="AB4553" s="1" t="s">
        <v>3224</v>
      </c>
      <c r="AC4553" s="5">
        <v>42885</v>
      </c>
      <c r="AF4553" s="1">
        <v>10016</v>
      </c>
      <c r="AJ4553" s="1">
        <v>2016</v>
      </c>
      <c r="AK4553" s="1" t="s">
        <v>46</v>
      </c>
      <c r="AL4553" s="1">
        <v>72</v>
      </c>
    </row>
    <row r="4554" spans="1:38" x14ac:dyDescent="0.2">
      <c r="A4554" s="2" t="str">
        <f>HYPERLINK("https://www.compass.com/listing/172-madison-avenue-unit-25b-manhattan-ny-10016/29376718041046049/","172 Madison Ave, Unit 25B")</f>
        <v>172 Madison Ave, Unit 25B</v>
      </c>
      <c r="B4554" s="2" t="str">
        <f t="shared" si="768"/>
        <v>172 Madison Ave</v>
      </c>
      <c r="C4554" s="1" t="s">
        <v>120</v>
      </c>
      <c r="D4554" s="1" t="s">
        <v>41</v>
      </c>
      <c r="E4554" s="3">
        <v>3487506</v>
      </c>
      <c r="F4554" s="1">
        <v>2222.7571701720799</v>
      </c>
      <c r="G4554" s="1">
        <v>4</v>
      </c>
      <c r="H4554" s="1">
        <v>2</v>
      </c>
      <c r="I4554" s="1">
        <v>3</v>
      </c>
      <c r="J4554" s="1">
        <v>2.5</v>
      </c>
      <c r="M4554" s="4">
        <v>1569</v>
      </c>
      <c r="N4554" s="1">
        <v>2344</v>
      </c>
      <c r="O4554" s="1">
        <v>3436</v>
      </c>
      <c r="P4554" s="1">
        <v>1092</v>
      </c>
      <c r="Q4554" s="1" t="s">
        <v>42</v>
      </c>
      <c r="S4554" s="1" t="s">
        <v>42</v>
      </c>
      <c r="T4554" s="1" t="s">
        <v>273</v>
      </c>
      <c r="U4554" s="1">
        <v>27</v>
      </c>
      <c r="V4554" s="5">
        <v>43631</v>
      </c>
      <c r="W4554" s="5">
        <v>42424</v>
      </c>
      <c r="X4554" s="1">
        <v>3475000</v>
      </c>
      <c r="Y4554" s="1">
        <v>3675000</v>
      </c>
      <c r="Z4554" s="5">
        <v>42451</v>
      </c>
      <c r="AA4554" s="1">
        <v>3487506</v>
      </c>
      <c r="AB4554" s="1" t="s">
        <v>3225</v>
      </c>
      <c r="AC4554" s="5">
        <v>42914</v>
      </c>
      <c r="AF4554" s="1">
        <v>10016</v>
      </c>
      <c r="AJ4554" s="1">
        <v>2016</v>
      </c>
      <c r="AK4554" s="1" t="s">
        <v>46</v>
      </c>
      <c r="AL4554" s="1">
        <v>72</v>
      </c>
    </row>
    <row r="4555" spans="1:38" x14ac:dyDescent="0.2">
      <c r="A4555" s="2" t="str">
        <f>HYPERLINK("https://www.compass.com/listing/172-madison-avenue-unit-27b-manhattan-ny-10016/29376719316114481/","172 Madison Ave, Unit 27B")</f>
        <v>172 Madison Ave, Unit 27B</v>
      </c>
      <c r="B4555" s="2" t="str">
        <f t="shared" si="768"/>
        <v>172 Madison Ave</v>
      </c>
      <c r="C4555" s="1" t="s">
        <v>120</v>
      </c>
      <c r="D4555" s="1" t="s">
        <v>41</v>
      </c>
      <c r="E4555" s="3">
        <v>3589331</v>
      </c>
      <c r="F4555" s="1">
        <v>2287.65519439133</v>
      </c>
      <c r="G4555" s="1">
        <v>4</v>
      </c>
      <c r="H4555" s="1">
        <v>2</v>
      </c>
      <c r="I4555" s="1">
        <v>3</v>
      </c>
      <c r="J4555" s="1">
        <v>2.5</v>
      </c>
      <c r="M4555" s="4">
        <v>1569</v>
      </c>
      <c r="N4555" s="1">
        <v>2344</v>
      </c>
      <c r="O4555" s="1">
        <v>3436</v>
      </c>
      <c r="P4555" s="1">
        <v>1092</v>
      </c>
      <c r="Q4555" s="1" t="s">
        <v>42</v>
      </c>
      <c r="S4555" s="1" t="s">
        <v>42</v>
      </c>
      <c r="T4555" s="1" t="s">
        <v>273</v>
      </c>
      <c r="U4555" s="1">
        <v>9</v>
      </c>
      <c r="V4555" s="5">
        <v>43668</v>
      </c>
      <c r="W4555" s="5">
        <v>42451</v>
      </c>
      <c r="X4555" s="1">
        <v>3625000</v>
      </c>
      <c r="Y4555" s="1">
        <v>3775000</v>
      </c>
      <c r="Z4555" s="5">
        <v>42460</v>
      </c>
      <c r="AA4555" s="1">
        <v>3589331</v>
      </c>
      <c r="AB4555" s="1" t="s">
        <v>3226</v>
      </c>
      <c r="AC4555" s="5">
        <v>42881</v>
      </c>
      <c r="AF4555" s="1">
        <v>10016</v>
      </c>
      <c r="AJ4555" s="1">
        <v>2016</v>
      </c>
      <c r="AK4555" s="1" t="s">
        <v>46</v>
      </c>
      <c r="AL4555" s="1">
        <v>72</v>
      </c>
    </row>
    <row r="4556" spans="1:38" x14ac:dyDescent="0.2">
      <c r="A4556" s="2" t="str">
        <f>HYPERLINK("https://www.compass.com/listing/325-lexington-avenue-unit-27d-manhattan-ny-10016/192572863167951857/","325 Lexington Ave, Unit 27D")</f>
        <v>325 Lexington Ave, Unit 27D</v>
      </c>
      <c r="B4556" s="2" t="str">
        <f t="shared" ref="B4556:B4557" si="769">HYPERLINK("https://www.compass.com/building/325-lex-condominium-manhattan-ny/281939882467713365/","325 Lex Condominium")</f>
        <v>325 Lex Condominium</v>
      </c>
      <c r="C4556" s="1" t="s">
        <v>59</v>
      </c>
      <c r="D4556" s="1" t="s">
        <v>41</v>
      </c>
      <c r="E4556" s="3">
        <v>1471371</v>
      </c>
      <c r="F4556" s="1">
        <v>2288.2912130637601</v>
      </c>
      <c r="G4556" s="1">
        <v>3</v>
      </c>
      <c r="H4556" s="1">
        <v>1</v>
      </c>
      <c r="I4556" s="1">
        <v>1</v>
      </c>
      <c r="J4556" s="1">
        <v>1</v>
      </c>
      <c r="K4556" s="1">
        <v>1</v>
      </c>
      <c r="M4556" s="1">
        <v>643</v>
      </c>
      <c r="Q4556" s="1" t="s">
        <v>42</v>
      </c>
      <c r="S4556" s="1" t="s">
        <v>42</v>
      </c>
      <c r="T4556" s="1" t="s">
        <v>273</v>
      </c>
      <c r="U4556" s="1">
        <v>344</v>
      </c>
      <c r="V4556" s="5">
        <v>42390</v>
      </c>
      <c r="W4556" s="5">
        <v>42045</v>
      </c>
      <c r="AA4556" s="1">
        <v>1471371.25</v>
      </c>
      <c r="AB4556" s="1" t="s">
        <v>397</v>
      </c>
      <c r="AC4556" s="5">
        <v>42489</v>
      </c>
      <c r="AF4556" s="1">
        <v>10016</v>
      </c>
      <c r="AI4556" s="1" t="s">
        <v>60</v>
      </c>
      <c r="AJ4556" s="1">
        <v>2014</v>
      </c>
      <c r="AK4556" s="1" t="s">
        <v>108</v>
      </c>
      <c r="AL4556" s="1">
        <v>125</v>
      </c>
    </row>
    <row r="4557" spans="1:38" x14ac:dyDescent="0.2">
      <c r="A4557" s="2" t="str">
        <f>HYPERLINK("https://www.compass.com/listing/325-lexington-avenue-unit-28d-manhattan-ny-10016/192573366148871985/","325 Lexington Ave, Unit 28D")</f>
        <v>325 Lexington Ave, Unit 28D</v>
      </c>
      <c r="B4557" s="2" t="str">
        <f t="shared" si="769"/>
        <v>325 Lex Condominium</v>
      </c>
      <c r="C4557" s="1" t="s">
        <v>59</v>
      </c>
      <c r="D4557" s="1" t="s">
        <v>41</v>
      </c>
      <c r="E4557" s="3">
        <v>1494736</v>
      </c>
      <c r="F4557" s="1">
        <v>2324.6286936236302</v>
      </c>
      <c r="G4557" s="1">
        <v>3</v>
      </c>
      <c r="H4557" s="1">
        <v>1</v>
      </c>
      <c r="I4557" s="1">
        <v>1</v>
      </c>
      <c r="J4557" s="1">
        <v>1</v>
      </c>
      <c r="K4557" s="1">
        <v>1</v>
      </c>
      <c r="M4557" s="1">
        <v>643</v>
      </c>
      <c r="Q4557" s="1" t="s">
        <v>42</v>
      </c>
      <c r="S4557" s="1" t="s">
        <v>42</v>
      </c>
      <c r="T4557" s="1" t="s">
        <v>273</v>
      </c>
      <c r="U4557" s="1">
        <v>415</v>
      </c>
      <c r="V4557" s="5">
        <v>42461</v>
      </c>
      <c r="W4557" s="5">
        <v>42045</v>
      </c>
      <c r="AA4557" s="1">
        <v>1494736.25</v>
      </c>
      <c r="AB4557" s="1" t="s">
        <v>391</v>
      </c>
      <c r="AC4557" s="5">
        <v>42543</v>
      </c>
      <c r="AF4557" s="1">
        <v>10016</v>
      </c>
      <c r="AI4557" s="1" t="s">
        <v>60</v>
      </c>
      <c r="AJ4557" s="1">
        <v>2014</v>
      </c>
      <c r="AK4557" s="1" t="s">
        <v>108</v>
      </c>
      <c r="AL4557" s="1">
        <v>125</v>
      </c>
    </row>
    <row r="4558" spans="1:38" x14ac:dyDescent="0.2">
      <c r="A4558" s="2" t="str">
        <f>HYPERLINK("https://www.compass.com/listing/1-west-end-avenue-unit-19e-manhattan-ny-10069/29397361901964225/","1 W End Ave, Unit 19E")</f>
        <v>1 W End Ave, Unit 19E</v>
      </c>
      <c r="B4558" s="2" t="str">
        <f t="shared" ref="B4558:B4563" si="770">HYPERLINK("https://www.compass.com/building/1-w-end-ave-manhattan-ny-10069/455676159137755317/","1 W End Ave")</f>
        <v>1 W End Ave</v>
      </c>
      <c r="C4558" s="1" t="s">
        <v>57</v>
      </c>
      <c r="D4558" s="1" t="s">
        <v>41</v>
      </c>
      <c r="E4558" s="3">
        <v>1876744</v>
      </c>
      <c r="F4558" s="1">
        <v>1758.89784442361</v>
      </c>
      <c r="G4558" s="1">
        <v>3</v>
      </c>
      <c r="H4558" s="1">
        <v>1</v>
      </c>
      <c r="I4558" s="1">
        <v>1</v>
      </c>
      <c r="J4558" s="1">
        <v>1.5</v>
      </c>
      <c r="K4558" s="1">
        <v>1</v>
      </c>
      <c r="L4558" s="1">
        <v>1</v>
      </c>
      <c r="M4558" s="4">
        <v>1067</v>
      </c>
      <c r="N4558" s="1">
        <v>1117</v>
      </c>
      <c r="O4558" s="1">
        <v>1184</v>
      </c>
      <c r="P4558" s="1">
        <v>67</v>
      </c>
      <c r="Q4558" s="1" t="s">
        <v>42</v>
      </c>
      <c r="S4558" s="1" t="s">
        <v>42</v>
      </c>
      <c r="T4558" s="1" t="s">
        <v>273</v>
      </c>
      <c r="U4558" s="1">
        <v>1</v>
      </c>
      <c r="V4558" s="5">
        <v>43630</v>
      </c>
      <c r="W4558" s="5">
        <v>42199</v>
      </c>
      <c r="X4558" s="1">
        <v>1917500</v>
      </c>
      <c r="Y4558" s="1">
        <v>1917500</v>
      </c>
      <c r="Z4558" s="5">
        <v>42200</v>
      </c>
      <c r="AA4558" s="1">
        <v>1876744</v>
      </c>
      <c r="AB4558" s="1" t="s">
        <v>3227</v>
      </c>
      <c r="AC4558" s="5">
        <v>42992</v>
      </c>
      <c r="AF4558" s="1">
        <v>10069</v>
      </c>
      <c r="AI4558" s="1" t="s">
        <v>60</v>
      </c>
      <c r="AJ4558" s="1">
        <v>2017</v>
      </c>
      <c r="AK4558" s="1" t="s">
        <v>108</v>
      </c>
      <c r="AL4558" s="1">
        <v>246</v>
      </c>
    </row>
    <row r="4559" spans="1:38" x14ac:dyDescent="0.2">
      <c r="A4559" s="2" t="str">
        <f>HYPERLINK("https://www.compass.com/listing/1-west-end-avenue-unit-32a-manhattan-ny-10069/29397328011986833/","1 W End Ave, Unit 32A")</f>
        <v>1 W End Ave, Unit 32A</v>
      </c>
      <c r="B4559" s="2" t="str">
        <f t="shared" si="770"/>
        <v>1 W End Ave</v>
      </c>
      <c r="C4559" s="1" t="s">
        <v>57</v>
      </c>
      <c r="D4559" s="1" t="s">
        <v>41</v>
      </c>
      <c r="E4559" s="3">
        <v>6738039</v>
      </c>
      <c r="F4559" s="1">
        <v>2206.2996070726899</v>
      </c>
      <c r="G4559" s="1">
        <v>7</v>
      </c>
      <c r="H4559" s="1">
        <v>4</v>
      </c>
      <c r="I4559" s="1">
        <v>5</v>
      </c>
      <c r="J4559" s="1">
        <v>4.5</v>
      </c>
      <c r="M4559" s="4">
        <v>3054</v>
      </c>
      <c r="N4559" s="1">
        <v>3562</v>
      </c>
      <c r="O4559" s="1">
        <v>3762</v>
      </c>
      <c r="P4559" s="1">
        <v>200</v>
      </c>
      <c r="Q4559" s="1" t="s">
        <v>42</v>
      </c>
      <c r="S4559" s="1" t="s">
        <v>42</v>
      </c>
      <c r="T4559" s="1" t="s">
        <v>273</v>
      </c>
      <c r="U4559" s="1">
        <v>75</v>
      </c>
      <c r="V4559" s="5">
        <v>43648</v>
      </c>
      <c r="W4559" s="5">
        <v>43113</v>
      </c>
      <c r="X4559" s="1">
        <v>6995000</v>
      </c>
      <c r="Y4559" s="1">
        <v>6995000</v>
      </c>
      <c r="Z4559" s="5">
        <v>43188</v>
      </c>
      <c r="AA4559" s="1">
        <v>6738039</v>
      </c>
      <c r="AB4559" s="1" t="s">
        <v>3228</v>
      </c>
      <c r="AC4559" s="5">
        <v>43235</v>
      </c>
      <c r="AF4559" s="1">
        <v>10069</v>
      </c>
      <c r="AI4559" s="1" t="s">
        <v>60</v>
      </c>
      <c r="AJ4559" s="1">
        <v>2017</v>
      </c>
      <c r="AK4559" s="1" t="s">
        <v>55</v>
      </c>
      <c r="AL4559" s="1">
        <v>246</v>
      </c>
    </row>
    <row r="4560" spans="1:38" x14ac:dyDescent="0.2">
      <c r="A4560" s="2" t="str">
        <f>HYPERLINK("https://www.compass.com/listing/1-west-end-avenue-unit-33a-manhattan-ny-10069/29397328305606401/","1 W End Ave, Unit 33A")</f>
        <v>1 W End Ave, Unit 33A</v>
      </c>
      <c r="B4560" s="2" t="str">
        <f t="shared" si="770"/>
        <v>1 W End Ave</v>
      </c>
      <c r="C4560" s="1" t="s">
        <v>57</v>
      </c>
      <c r="D4560" s="1" t="s">
        <v>41</v>
      </c>
      <c r="E4560" s="3">
        <v>7247164</v>
      </c>
      <c r="F4560" s="1">
        <v>2373.00720366732</v>
      </c>
      <c r="G4560" s="1">
        <v>6</v>
      </c>
      <c r="H4560" s="1">
        <v>4</v>
      </c>
      <c r="I4560" s="1">
        <v>5</v>
      </c>
      <c r="J4560" s="1">
        <v>4.5</v>
      </c>
      <c r="M4560" s="4">
        <v>3054</v>
      </c>
      <c r="N4560" s="1">
        <v>3562</v>
      </c>
      <c r="O4560" s="1">
        <v>3762</v>
      </c>
      <c r="P4560" s="1">
        <v>200</v>
      </c>
      <c r="Q4560" s="1" t="s">
        <v>42</v>
      </c>
      <c r="S4560" s="1" t="s">
        <v>42</v>
      </c>
      <c r="T4560" s="1" t="s">
        <v>273</v>
      </c>
      <c r="U4560" s="1">
        <v>232</v>
      </c>
      <c r="V4560" s="5">
        <v>43624</v>
      </c>
      <c r="W4560" s="5">
        <v>42909</v>
      </c>
      <c r="X4560" s="1">
        <v>7450000</v>
      </c>
      <c r="Y4560" s="1">
        <v>7450000</v>
      </c>
      <c r="Z4560" s="5">
        <v>43188</v>
      </c>
      <c r="AA4560" s="1">
        <v>7247164</v>
      </c>
      <c r="AB4560" s="1" t="s">
        <v>3229</v>
      </c>
      <c r="AC4560" s="5">
        <v>43235</v>
      </c>
      <c r="AF4560" s="1">
        <v>10069</v>
      </c>
      <c r="AI4560" s="1" t="s">
        <v>60</v>
      </c>
      <c r="AJ4560" s="1">
        <v>2017</v>
      </c>
      <c r="AK4560" s="1" t="s">
        <v>55</v>
      </c>
      <c r="AL4560" s="1">
        <v>246</v>
      </c>
    </row>
    <row r="4561" spans="1:38" x14ac:dyDescent="0.2">
      <c r="A4561" s="2" t="str">
        <f>HYPERLINK("https://www.compass.com/listing/1-west-end-avenue-unit-29c-manhattan-ny-10069/29397346005569585/","1 W End Ave, Unit 29C")</f>
        <v>1 W End Ave, Unit 29C</v>
      </c>
      <c r="B4561" s="2" t="str">
        <f t="shared" si="770"/>
        <v>1 W End Ave</v>
      </c>
      <c r="C4561" s="1" t="s">
        <v>57</v>
      </c>
      <c r="D4561" s="1" t="s">
        <v>41</v>
      </c>
      <c r="E4561" s="3">
        <v>8120908</v>
      </c>
      <c r="F4561" s="1">
        <v>2073.2468726065799</v>
      </c>
      <c r="G4561" s="1">
        <v>7</v>
      </c>
      <c r="H4561" s="1">
        <v>4</v>
      </c>
      <c r="I4561" s="1">
        <v>5</v>
      </c>
      <c r="J4561" s="1">
        <v>4.5</v>
      </c>
      <c r="K4561" s="1">
        <v>4</v>
      </c>
      <c r="L4561" s="1">
        <v>1</v>
      </c>
      <c r="M4561" s="4">
        <v>3917</v>
      </c>
      <c r="N4561" s="1">
        <v>4311</v>
      </c>
      <c r="O4561" s="1">
        <v>4554</v>
      </c>
      <c r="P4561" s="1">
        <v>243</v>
      </c>
      <c r="Q4561" s="1" t="s">
        <v>42</v>
      </c>
      <c r="S4561" s="1" t="s">
        <v>42</v>
      </c>
      <c r="T4561" s="1" t="s">
        <v>273</v>
      </c>
      <c r="V4561" s="5">
        <v>43626</v>
      </c>
      <c r="W4561" s="5">
        <v>43105</v>
      </c>
      <c r="X4561" s="1">
        <v>8950000</v>
      </c>
      <c r="Y4561" s="1">
        <v>8950000</v>
      </c>
      <c r="Z4561" s="5">
        <v>43105</v>
      </c>
      <c r="AA4561" s="1">
        <v>8120908</v>
      </c>
      <c r="AB4561" s="1" t="s">
        <v>3230</v>
      </c>
      <c r="AC4561" s="5">
        <v>43243</v>
      </c>
      <c r="AF4561" s="1">
        <v>10069</v>
      </c>
      <c r="AI4561" s="1" t="s">
        <v>60</v>
      </c>
      <c r="AJ4561" s="1">
        <v>2017</v>
      </c>
      <c r="AK4561" s="1" t="s">
        <v>55</v>
      </c>
      <c r="AL4561" s="1">
        <v>246</v>
      </c>
    </row>
    <row r="4562" spans="1:38" x14ac:dyDescent="0.2">
      <c r="A4562" s="2" t="str">
        <f>HYPERLINK("https://www.compass.com/listing/1-west-end-avenue-unit-39d-manhattan-ny-10069/29397357531517121/","1 W End Ave, Unit 39D")</f>
        <v>1 W End Ave, Unit 39D</v>
      </c>
      <c r="B4562" s="2" t="str">
        <f t="shared" si="770"/>
        <v>1 W End Ave</v>
      </c>
      <c r="C4562" s="1" t="s">
        <v>57</v>
      </c>
      <c r="D4562" s="1" t="s">
        <v>41</v>
      </c>
      <c r="E4562" s="3">
        <v>6163769</v>
      </c>
      <c r="F4562" s="1">
        <v>2481.3884863123899</v>
      </c>
      <c r="G4562" s="1">
        <v>6</v>
      </c>
      <c r="H4562" s="1">
        <v>3</v>
      </c>
      <c r="I4562" s="1">
        <v>4</v>
      </c>
      <c r="J4562" s="1">
        <v>3.5</v>
      </c>
      <c r="K4562" s="1">
        <v>3</v>
      </c>
      <c r="L4562" s="1">
        <v>1</v>
      </c>
      <c r="M4562" s="4">
        <v>2484</v>
      </c>
      <c r="N4562" s="1">
        <v>2840</v>
      </c>
      <c r="O4562" s="1">
        <v>3000</v>
      </c>
      <c r="P4562" s="1">
        <v>160</v>
      </c>
      <c r="Q4562" s="1" t="s">
        <v>42</v>
      </c>
      <c r="S4562" s="1" t="s">
        <v>42</v>
      </c>
      <c r="T4562" s="1" t="s">
        <v>273</v>
      </c>
      <c r="V4562" s="5">
        <v>43648</v>
      </c>
      <c r="W4562" s="5">
        <v>43165</v>
      </c>
      <c r="X4562" s="1">
        <v>6225000</v>
      </c>
      <c r="Y4562" s="1">
        <v>6225000</v>
      </c>
      <c r="Z4562" s="5">
        <v>43165</v>
      </c>
      <c r="AA4562" s="1">
        <v>6163769</v>
      </c>
      <c r="AB4562" s="1" t="s">
        <v>3231</v>
      </c>
      <c r="AC4562" s="5">
        <v>43236</v>
      </c>
      <c r="AF4562" s="1">
        <v>10069</v>
      </c>
      <c r="AI4562" s="1" t="s">
        <v>2054</v>
      </c>
      <c r="AJ4562" s="1">
        <v>2017</v>
      </c>
      <c r="AK4562" s="1" t="s">
        <v>55</v>
      </c>
      <c r="AL4562" s="1">
        <v>246</v>
      </c>
    </row>
    <row r="4563" spans="1:38" x14ac:dyDescent="0.2">
      <c r="A4563" s="2" t="str">
        <f>HYPERLINK("https://www.compass.com/listing/1-west-end-avenue-unit-26f-manhattan-ny-10069/29397368839344049/","1 W End Ave, Unit 26F")</f>
        <v>1 W End Ave, Unit 26F</v>
      </c>
      <c r="B4563" s="2" t="str">
        <f t="shared" si="770"/>
        <v>1 W End Ave</v>
      </c>
      <c r="C4563" s="1" t="s">
        <v>57</v>
      </c>
      <c r="D4563" s="1" t="s">
        <v>41</v>
      </c>
      <c r="E4563" s="3">
        <v>6329800</v>
      </c>
      <c r="F4563" s="1">
        <v>2232.7336860670098</v>
      </c>
      <c r="G4563" s="1">
        <v>7</v>
      </c>
      <c r="H4563" s="1">
        <v>4</v>
      </c>
      <c r="I4563" s="1">
        <v>5</v>
      </c>
      <c r="J4563" s="1">
        <v>4.5</v>
      </c>
      <c r="K4563" s="1">
        <v>4</v>
      </c>
      <c r="L4563" s="1">
        <v>1</v>
      </c>
      <c r="M4563" s="4">
        <v>2835</v>
      </c>
      <c r="N4563" s="1">
        <v>3373</v>
      </c>
      <c r="O4563" s="1">
        <v>3563</v>
      </c>
      <c r="P4563" s="1">
        <v>190</v>
      </c>
      <c r="Q4563" s="1" t="s">
        <v>42</v>
      </c>
      <c r="S4563" s="1" t="s">
        <v>42</v>
      </c>
      <c r="T4563" s="1" t="s">
        <v>273</v>
      </c>
      <c r="U4563" s="1">
        <v>232</v>
      </c>
      <c r="V4563" s="5">
        <v>43624</v>
      </c>
      <c r="W4563" s="5">
        <v>42909</v>
      </c>
      <c r="X4563" s="1">
        <v>6500000</v>
      </c>
      <c r="Y4563" s="1">
        <v>6500000</v>
      </c>
      <c r="Z4563" s="5">
        <v>43190</v>
      </c>
      <c r="AA4563" s="1">
        <v>6329800</v>
      </c>
      <c r="AB4563" s="1" t="s">
        <v>3232</v>
      </c>
      <c r="AC4563" s="5">
        <v>43237</v>
      </c>
      <c r="AF4563" s="1">
        <v>10069</v>
      </c>
      <c r="AI4563" s="1" t="s">
        <v>60</v>
      </c>
      <c r="AJ4563" s="1">
        <v>2017</v>
      </c>
      <c r="AK4563" s="1" t="s">
        <v>55</v>
      </c>
      <c r="AL4563" s="1">
        <v>246</v>
      </c>
    </row>
    <row r="4564" spans="1:38" x14ac:dyDescent="0.2">
      <c r="A4564" s="2" t="str">
        <f>HYPERLINK("https://www.compass.com/listing/325-lexington-avenue-unit-29c-manhattan-ny-10016/441889556733009401/","325 Lexington Ave, Unit 29C")</f>
        <v>325 Lexington Ave, Unit 29C</v>
      </c>
      <c r="B4564" s="2" t="str">
        <f>HYPERLINK("https://www.compass.com/building/325-lex-condominium-manhattan-ny/281939882467713365/","325 Lex Condominium")</f>
        <v>325 Lex Condominium</v>
      </c>
      <c r="C4564" s="1" t="s">
        <v>59</v>
      </c>
      <c r="D4564" s="1" t="s">
        <v>41</v>
      </c>
      <c r="E4564" s="3">
        <v>2230000</v>
      </c>
      <c r="F4564" s="1">
        <v>2032.81677301732</v>
      </c>
      <c r="G4564" s="1">
        <v>5</v>
      </c>
      <c r="H4564" s="1">
        <v>2</v>
      </c>
      <c r="I4564" s="1">
        <v>2</v>
      </c>
      <c r="J4564" s="1">
        <v>2</v>
      </c>
      <c r="K4564" s="1">
        <v>2</v>
      </c>
      <c r="M4564" s="4">
        <v>1097</v>
      </c>
      <c r="N4564" s="1">
        <v>1824</v>
      </c>
      <c r="O4564" s="1">
        <v>2671</v>
      </c>
      <c r="P4564" s="1">
        <v>847</v>
      </c>
      <c r="Q4564" s="1" t="s">
        <v>42</v>
      </c>
      <c r="S4564" s="1" t="s">
        <v>42</v>
      </c>
      <c r="T4564" s="1" t="s">
        <v>273</v>
      </c>
      <c r="U4564" s="1">
        <v>26</v>
      </c>
      <c r="V4564" s="5">
        <v>43995</v>
      </c>
      <c r="W4564" s="5">
        <v>43860</v>
      </c>
      <c r="X4564" s="1">
        <v>2250000</v>
      </c>
      <c r="Y4564" s="1">
        <v>2250000</v>
      </c>
      <c r="Z4564" s="5">
        <v>43886</v>
      </c>
      <c r="AA4564" s="1">
        <v>2230000</v>
      </c>
      <c r="AB4564" s="1" t="s">
        <v>3233</v>
      </c>
      <c r="AC4564" s="5">
        <v>43987</v>
      </c>
      <c r="AF4564" s="1">
        <v>10016</v>
      </c>
      <c r="AI4564" s="1" t="s">
        <v>60</v>
      </c>
      <c r="AJ4564" s="1">
        <v>2014</v>
      </c>
      <c r="AK4564" s="1" t="s">
        <v>55</v>
      </c>
      <c r="AL4564" s="1">
        <v>125</v>
      </c>
    </row>
    <row r="4565" spans="1:38" x14ac:dyDescent="0.2">
      <c r="A4565" s="2" t="str">
        <f>HYPERLINK("https://www.compass.com/listing/416-west-52nd-street-unit-th212-manhattan-ny-10019/29389252567608529/","416 W 52nd St, Unit TH212")</f>
        <v>416 W 52nd St, Unit TH212</v>
      </c>
      <c r="B4565" s="2" t="str">
        <f>HYPERLINK("https://www.compass.com/building/nine52-manhattan-ny/281945622951555813/","Nine52")</f>
        <v>Nine52</v>
      </c>
      <c r="C4565" s="1" t="s">
        <v>90</v>
      </c>
      <c r="D4565" s="1" t="s">
        <v>41</v>
      </c>
      <c r="E4565" s="3">
        <v>2848759</v>
      </c>
      <c r="F4565" s="1">
        <v>1143.1616171749599</v>
      </c>
      <c r="G4565" s="1">
        <v>4</v>
      </c>
      <c r="H4565" s="1">
        <v>3</v>
      </c>
      <c r="I4565" s="1">
        <v>3</v>
      </c>
      <c r="J4565" s="1">
        <v>3.5</v>
      </c>
      <c r="K4565" s="1">
        <v>3</v>
      </c>
      <c r="L4565" s="1">
        <v>1</v>
      </c>
      <c r="M4565" s="4">
        <v>2492</v>
      </c>
      <c r="N4565" s="1">
        <v>2120</v>
      </c>
      <c r="O4565" s="1">
        <v>5763</v>
      </c>
      <c r="P4565" s="1">
        <v>3643</v>
      </c>
      <c r="Q4565" s="1" t="s">
        <v>42</v>
      </c>
      <c r="S4565" s="1" t="s">
        <v>42</v>
      </c>
      <c r="T4565" s="1" t="s">
        <v>273</v>
      </c>
      <c r="U4565" s="1">
        <v>16</v>
      </c>
      <c r="V4565" s="5">
        <v>43186</v>
      </c>
      <c r="W4565" s="5">
        <v>43132</v>
      </c>
      <c r="X4565" s="1">
        <v>2875000</v>
      </c>
      <c r="Y4565" s="1">
        <v>2875000</v>
      </c>
      <c r="Z4565" s="5">
        <v>43149</v>
      </c>
      <c r="AA4565" s="1">
        <v>2848758.75</v>
      </c>
      <c r="AB4565" s="1" t="s">
        <v>3234</v>
      </c>
      <c r="AC4565" s="5">
        <v>43200</v>
      </c>
      <c r="AF4565" s="1">
        <v>10019</v>
      </c>
      <c r="AI4565" s="1" t="s">
        <v>211</v>
      </c>
      <c r="AJ4565" s="1">
        <v>1940</v>
      </c>
      <c r="AK4565" s="1" t="s">
        <v>108</v>
      </c>
      <c r="AL4565" s="1">
        <v>155</v>
      </c>
    </row>
    <row r="4566" spans="1:38" x14ac:dyDescent="0.2">
      <c r="A4566" s="2" t="str">
        <f>HYPERLINK("https://www.compass.com/listing/425-west-50th-street-unit-10a-manhattan-ny-10019/29389202219182289/","425 W 50th St, Unit 10A")</f>
        <v>425 W 50th St, Unit 10A</v>
      </c>
      <c r="B4566" s="2" t="str">
        <f>HYPERLINK("https://www.compass.com/building/stella-tower-manhattan-ny/281945855710262181/","Stella Tower")</f>
        <v>Stella Tower</v>
      </c>
      <c r="C4566" s="1" t="s">
        <v>90</v>
      </c>
      <c r="D4566" s="1" t="s">
        <v>41</v>
      </c>
      <c r="E4566" s="3">
        <v>6109500</v>
      </c>
      <c r="F4566" s="1">
        <v>2753.26723749436</v>
      </c>
      <c r="G4566" s="1">
        <v>4</v>
      </c>
      <c r="H4566" s="1">
        <v>2</v>
      </c>
      <c r="I4566" s="1">
        <v>3</v>
      </c>
      <c r="J4566" s="1">
        <v>3</v>
      </c>
      <c r="M4566" s="4">
        <v>2219</v>
      </c>
      <c r="N4566" s="1">
        <v>2602</v>
      </c>
      <c r="O4566" s="1">
        <v>4196</v>
      </c>
      <c r="P4566" s="1">
        <v>1594</v>
      </c>
      <c r="Q4566" s="1" t="s">
        <v>42</v>
      </c>
      <c r="S4566" s="1" t="s">
        <v>42</v>
      </c>
      <c r="T4566" s="1" t="s">
        <v>273</v>
      </c>
      <c r="V4566" s="5">
        <v>43654</v>
      </c>
      <c r="W4566" s="5">
        <v>41976</v>
      </c>
      <c r="X4566" s="1">
        <v>6000000</v>
      </c>
      <c r="Y4566" s="1">
        <v>6000000</v>
      </c>
      <c r="Z4566" s="5">
        <v>41976</v>
      </c>
      <c r="AA4566" s="1">
        <v>6109500</v>
      </c>
      <c r="AB4566" s="1" t="s">
        <v>3235</v>
      </c>
      <c r="AC4566" s="5">
        <v>41991</v>
      </c>
      <c r="AF4566" s="1">
        <v>10019</v>
      </c>
      <c r="AI4566" s="1" t="s">
        <v>80</v>
      </c>
      <c r="AJ4566" s="1">
        <v>1930</v>
      </c>
      <c r="AK4566" s="1" t="s">
        <v>46</v>
      </c>
      <c r="AL4566" s="1">
        <v>51</v>
      </c>
    </row>
    <row r="4567" spans="1:38" x14ac:dyDescent="0.2">
      <c r="A4567" s="2" t="str">
        <f>HYPERLINK("https://www.compass.com/listing/416-west-52nd-street-unit-th225-manhattan-ny-10019/29389254044013649/","416 W 52nd St, Unit TH225")</f>
        <v>416 W 52nd St, Unit TH225</v>
      </c>
      <c r="B4567" s="2" t="str">
        <f t="shared" ref="B4567:B4571" si="771">HYPERLINK("https://www.compass.com/building/nine52-manhattan-ny/281945622951555813/","Nine52")</f>
        <v>Nine52</v>
      </c>
      <c r="C4567" s="1" t="s">
        <v>90</v>
      </c>
      <c r="D4567" s="1" t="s">
        <v>41</v>
      </c>
      <c r="E4567" s="3">
        <v>1495000</v>
      </c>
      <c r="F4567" s="1">
        <v>1192.18500797448</v>
      </c>
      <c r="G4567" s="1">
        <v>3</v>
      </c>
      <c r="H4567" s="1">
        <v>1</v>
      </c>
      <c r="I4567" s="1">
        <v>2</v>
      </c>
      <c r="J4567" s="1">
        <v>1.5</v>
      </c>
      <c r="K4567" s="1">
        <v>1</v>
      </c>
      <c r="L4567" s="1">
        <v>1</v>
      </c>
      <c r="M4567" s="4">
        <v>1254</v>
      </c>
      <c r="N4567" s="1">
        <v>1192</v>
      </c>
      <c r="O4567" s="1">
        <v>3497</v>
      </c>
      <c r="P4567" s="1">
        <v>2305</v>
      </c>
      <c r="Q4567" s="1" t="s">
        <v>42</v>
      </c>
      <c r="S4567" s="1" t="s">
        <v>42</v>
      </c>
      <c r="T4567" s="1" t="s">
        <v>273</v>
      </c>
      <c r="U4567" s="1">
        <v>2</v>
      </c>
      <c r="V4567" s="5">
        <v>43670</v>
      </c>
      <c r="W4567" s="5">
        <v>42917</v>
      </c>
      <c r="X4567" s="1">
        <v>1515000</v>
      </c>
      <c r="Y4567" s="1">
        <v>1515000</v>
      </c>
      <c r="Z4567" s="5">
        <v>42919</v>
      </c>
      <c r="AA4567" s="1">
        <v>1495000</v>
      </c>
      <c r="AB4567" s="1" t="s">
        <v>3236</v>
      </c>
      <c r="AC4567" s="5">
        <v>42969</v>
      </c>
      <c r="AF4567" s="1">
        <v>10019</v>
      </c>
      <c r="AI4567" s="1" t="s">
        <v>48</v>
      </c>
      <c r="AJ4567" s="1">
        <v>1940</v>
      </c>
      <c r="AK4567" s="1" t="s">
        <v>108</v>
      </c>
      <c r="AL4567" s="1">
        <v>155</v>
      </c>
    </row>
    <row r="4568" spans="1:38" x14ac:dyDescent="0.2">
      <c r="A4568" s="2" t="str">
        <f>HYPERLINK("https://www.compass.com/listing/416-west-52nd-street-unit-609-manhattan-ny-10019/29389282800162273/","416 W 52nd St, Unit 609")</f>
        <v>416 W 52nd St, Unit 609</v>
      </c>
      <c r="B4568" s="2" t="str">
        <f t="shared" si="771"/>
        <v>Nine52</v>
      </c>
      <c r="C4568" s="1" t="s">
        <v>90</v>
      </c>
      <c r="D4568" s="1" t="s">
        <v>41</v>
      </c>
      <c r="E4568" s="3">
        <v>1530125</v>
      </c>
      <c r="F4568" s="1">
        <v>1624.3365180466999</v>
      </c>
      <c r="M4568" s="1">
        <v>942</v>
      </c>
      <c r="Q4568" s="1" t="s">
        <v>42</v>
      </c>
      <c r="S4568" s="1" t="s">
        <v>42</v>
      </c>
      <c r="T4568" s="1" t="s">
        <v>273</v>
      </c>
      <c r="AA4568" s="1">
        <v>1530125</v>
      </c>
      <c r="AB4568" s="1" t="s">
        <v>3237</v>
      </c>
      <c r="AC4568" s="5">
        <v>42977</v>
      </c>
      <c r="AF4568" s="1">
        <v>10019</v>
      </c>
      <c r="AI4568" s="1" t="s">
        <v>48</v>
      </c>
      <c r="AJ4568" s="1">
        <v>1940</v>
      </c>
      <c r="AK4568" s="1" t="s">
        <v>55</v>
      </c>
      <c r="AL4568" s="1">
        <v>155</v>
      </c>
    </row>
    <row r="4569" spans="1:38" x14ac:dyDescent="0.2">
      <c r="A4569" s="2" t="str">
        <f>HYPERLINK("https://www.compass.com/listing/416-west-52nd-street-unit-th225-manhattan-ny-10019/345334962858292833/","416 W 52nd St, Unit TH225")</f>
        <v>416 W 52nd St, Unit TH225</v>
      </c>
      <c r="B4569" s="2" t="str">
        <f t="shared" si="771"/>
        <v>Nine52</v>
      </c>
      <c r="C4569" s="1" t="s">
        <v>90</v>
      </c>
      <c r="D4569" s="1" t="s">
        <v>41</v>
      </c>
      <c r="E4569" s="3">
        <v>1594100</v>
      </c>
      <c r="F4569" s="1">
        <v>1271.2121212121201</v>
      </c>
      <c r="H4569" s="1">
        <v>1</v>
      </c>
      <c r="J4569" s="1">
        <v>1.5</v>
      </c>
      <c r="K4569" s="1">
        <v>1</v>
      </c>
      <c r="L4569" s="1">
        <v>1</v>
      </c>
      <c r="M4569" s="4">
        <v>1254</v>
      </c>
      <c r="N4569" s="1">
        <v>1192</v>
      </c>
      <c r="O4569" s="1">
        <v>3497</v>
      </c>
      <c r="P4569" s="1">
        <v>2305</v>
      </c>
      <c r="Q4569" s="1" t="s">
        <v>42</v>
      </c>
      <c r="S4569" s="1" t="s">
        <v>42</v>
      </c>
      <c r="T4569" s="1" t="s">
        <v>273</v>
      </c>
      <c r="AA4569" s="1">
        <v>1594100</v>
      </c>
      <c r="AB4569" s="1" t="s">
        <v>3238</v>
      </c>
      <c r="AC4569" s="5">
        <v>43714</v>
      </c>
      <c r="AF4569" s="1">
        <v>10019</v>
      </c>
      <c r="AI4569" s="1" t="s">
        <v>48</v>
      </c>
      <c r="AJ4569" s="1">
        <v>1940</v>
      </c>
      <c r="AK4569" s="1" t="s">
        <v>55</v>
      </c>
      <c r="AL4569" s="1">
        <v>155</v>
      </c>
    </row>
    <row r="4570" spans="1:38" x14ac:dyDescent="0.2">
      <c r="A4570" s="2" t="str">
        <f>HYPERLINK("https://www.compass.com/listing/416-west-52nd-street-unit-502-manhattan-ny-10019/483845084526533233/","416 W 52nd St, Unit 502")</f>
        <v>416 W 52nd St, Unit 502</v>
      </c>
      <c r="B4570" s="2" t="str">
        <f t="shared" si="771"/>
        <v>Nine52</v>
      </c>
      <c r="C4570" s="1" t="s">
        <v>90</v>
      </c>
      <c r="D4570" s="1" t="s">
        <v>41</v>
      </c>
      <c r="E4570" s="3">
        <v>2407664</v>
      </c>
      <c r="F4570" s="1">
        <v>3339.3398058252401</v>
      </c>
      <c r="H4570" s="1">
        <v>1</v>
      </c>
      <c r="J4570" s="1">
        <v>1</v>
      </c>
      <c r="K4570" s="1">
        <v>1</v>
      </c>
      <c r="M4570" s="1">
        <v>721</v>
      </c>
      <c r="N4570" s="1">
        <v>492</v>
      </c>
      <c r="O4570" s="1">
        <v>1442</v>
      </c>
      <c r="P4570" s="1">
        <v>950</v>
      </c>
      <c r="Q4570" s="1" t="s">
        <v>42</v>
      </c>
      <c r="S4570" s="1" t="s">
        <v>42</v>
      </c>
      <c r="T4570" s="1" t="s">
        <v>273</v>
      </c>
      <c r="AA4570" s="1">
        <v>2407664</v>
      </c>
      <c r="AB4570" s="1" t="s">
        <v>3239</v>
      </c>
      <c r="AC4570" s="5">
        <v>43061</v>
      </c>
      <c r="AF4570" s="1">
        <v>10019</v>
      </c>
      <c r="AI4570" s="1" t="s">
        <v>48</v>
      </c>
      <c r="AJ4570" s="1">
        <v>1940</v>
      </c>
      <c r="AK4570" s="1" t="s">
        <v>55</v>
      </c>
      <c r="AL4570" s="1">
        <v>155</v>
      </c>
    </row>
    <row r="4571" spans="1:38" x14ac:dyDescent="0.2">
      <c r="A4571" s="2" t="str">
        <f>HYPERLINK("https://www.compass.com/listing/416-west-52nd-street-unit-603-manhattan-ny-10019/483845114532585785/","416 W 52nd St, Unit 603")</f>
        <v>416 W 52nd St, Unit 603</v>
      </c>
      <c r="B4571" s="2" t="str">
        <f t="shared" si="771"/>
        <v>Nine52</v>
      </c>
      <c r="C4571" s="1" t="s">
        <v>90</v>
      </c>
      <c r="D4571" s="1" t="s">
        <v>41</v>
      </c>
      <c r="E4571" s="3">
        <v>2395000</v>
      </c>
      <c r="F4571" s="1">
        <v>5000</v>
      </c>
      <c r="H4571" s="1" t="s">
        <v>99</v>
      </c>
      <c r="J4571" s="1">
        <v>1</v>
      </c>
      <c r="K4571" s="1">
        <v>1</v>
      </c>
      <c r="M4571" s="1">
        <v>479</v>
      </c>
      <c r="N4571" s="1">
        <v>398</v>
      </c>
      <c r="O4571" s="1">
        <v>1098</v>
      </c>
      <c r="P4571" s="1">
        <v>700</v>
      </c>
      <c r="Q4571" s="1" t="s">
        <v>42</v>
      </c>
      <c r="S4571" s="1" t="s">
        <v>42</v>
      </c>
      <c r="T4571" s="1" t="s">
        <v>273</v>
      </c>
      <c r="AA4571" s="1">
        <v>2395000</v>
      </c>
      <c r="AB4571" s="1" t="s">
        <v>3240</v>
      </c>
      <c r="AC4571" s="5">
        <v>42662</v>
      </c>
      <c r="AF4571" s="1">
        <v>10019</v>
      </c>
      <c r="AI4571" s="1" t="s">
        <v>48</v>
      </c>
      <c r="AJ4571" s="1">
        <v>1940</v>
      </c>
      <c r="AK4571" s="1" t="s">
        <v>55</v>
      </c>
      <c r="AL4571" s="1">
        <v>155</v>
      </c>
    </row>
    <row r="4572" spans="1:38" x14ac:dyDescent="0.2">
      <c r="A4572" s="2" t="str">
        <f>HYPERLINK("https://www.compass.com/listing/456-west-167th-street-unit-6d-manhattan-ny-10032/29435112223480081/","456 W 167th St, Unit 6D")</f>
        <v>456 W 167th St, Unit 6D</v>
      </c>
      <c r="B4572" s="2" t="str">
        <f>HYPERLINK("https://www.compass.com/building/edgecombe-parc-manhattan-ny/282005897969005013/","Edgecombe Parc")</f>
        <v>Edgecombe Parc</v>
      </c>
      <c r="C4572" s="1" t="s">
        <v>93</v>
      </c>
      <c r="D4572" s="1" t="s">
        <v>41</v>
      </c>
      <c r="E4572" s="3">
        <v>625000</v>
      </c>
      <c r="F4572" s="1">
        <v>858.51648351648305</v>
      </c>
      <c r="G4572" s="1">
        <v>5</v>
      </c>
      <c r="H4572" s="1">
        <v>2</v>
      </c>
      <c r="J4572" s="1">
        <v>2</v>
      </c>
      <c r="M4572" s="1">
        <v>728</v>
      </c>
      <c r="N4572" s="1">
        <v>417</v>
      </c>
      <c r="O4572" s="1">
        <v>1293</v>
      </c>
      <c r="P4572" s="1">
        <v>876</v>
      </c>
      <c r="Q4572" s="1" t="s">
        <v>42</v>
      </c>
      <c r="S4572" s="1" t="s">
        <v>42</v>
      </c>
      <c r="T4572" s="1" t="s">
        <v>273</v>
      </c>
      <c r="U4572" s="1">
        <v>98</v>
      </c>
      <c r="V4572" s="5">
        <v>43745</v>
      </c>
      <c r="W4572" s="5">
        <v>42803</v>
      </c>
      <c r="X4572" s="1">
        <v>625000</v>
      </c>
      <c r="Y4572" s="1">
        <v>625000</v>
      </c>
      <c r="Z4572" s="5">
        <v>42912</v>
      </c>
      <c r="AA4572" s="1">
        <v>625000</v>
      </c>
      <c r="AB4572" s="1" t="s">
        <v>3241</v>
      </c>
      <c r="AC4572" s="5">
        <v>43034</v>
      </c>
      <c r="AF4572" s="1">
        <v>10032</v>
      </c>
      <c r="AI4572" s="1" t="s">
        <v>3242</v>
      </c>
      <c r="AJ4572" s="1">
        <v>2014</v>
      </c>
      <c r="AK4572" s="1" t="s">
        <v>70</v>
      </c>
      <c r="AL4572" s="1">
        <v>49</v>
      </c>
    </row>
    <row r="4573" spans="1:38" x14ac:dyDescent="0.2">
      <c r="A4573" s="2" t="str">
        <f>HYPERLINK("https://www.compass.com/listing/172-madison-avenue-unit-18a-manhattan-ny-10016/29376712345255201/","172 Madison Ave, Unit 18A")</f>
        <v>172 Madison Ave, Unit 18A</v>
      </c>
      <c r="B4573" s="2" t="str">
        <f>HYPERLINK("https://www.compass.com/building/172-madison-ave-manhattan-ny-10016/281937956250376981/","172 Madison Ave")</f>
        <v>172 Madison Ave</v>
      </c>
      <c r="C4573" s="1" t="s">
        <v>120</v>
      </c>
      <c r="D4573" s="1" t="s">
        <v>41</v>
      </c>
      <c r="E4573" s="3">
        <v>3258400</v>
      </c>
      <c r="F4573" s="1">
        <v>2203.11020960108</v>
      </c>
      <c r="G4573" s="1">
        <v>4</v>
      </c>
      <c r="H4573" s="1">
        <v>2</v>
      </c>
      <c r="I4573" s="1">
        <v>3</v>
      </c>
      <c r="J4573" s="1">
        <v>2.5</v>
      </c>
      <c r="M4573" s="4">
        <v>1479</v>
      </c>
      <c r="N4573" s="1">
        <v>2210</v>
      </c>
      <c r="O4573" s="1">
        <v>3240</v>
      </c>
      <c r="P4573" s="1">
        <v>1030</v>
      </c>
      <c r="Q4573" s="1" t="s">
        <v>42</v>
      </c>
      <c r="S4573" s="1" t="s">
        <v>42</v>
      </c>
      <c r="T4573" s="1" t="s">
        <v>273</v>
      </c>
      <c r="U4573" s="1">
        <v>138</v>
      </c>
      <c r="V4573" s="5">
        <v>43033</v>
      </c>
      <c r="W4573" s="5">
        <v>42286</v>
      </c>
      <c r="X4573" s="1">
        <v>3235000</v>
      </c>
      <c r="Y4573" s="1">
        <v>3585000</v>
      </c>
      <c r="Z4573" s="5">
        <v>42286</v>
      </c>
      <c r="AA4573" s="1">
        <v>3258400</v>
      </c>
      <c r="AB4573" s="1" t="s">
        <v>3243</v>
      </c>
      <c r="AC4573" s="5">
        <v>43151</v>
      </c>
      <c r="AF4573" s="1">
        <v>10016</v>
      </c>
      <c r="AJ4573" s="1">
        <v>2016</v>
      </c>
      <c r="AK4573" s="1" t="s">
        <v>46</v>
      </c>
      <c r="AL4573" s="1">
        <v>72</v>
      </c>
    </row>
    <row r="4574" spans="1:38" x14ac:dyDescent="0.2">
      <c r="A4574" s="2" t="str">
        <f>HYPERLINK("https://www.compass.com/listing/2231-adam-clayton-powell-jr-boulevard-unit-411-manhattan-ny-10027/192575504807671553/","2231 Adam Clayton Powell Jr Blvd, Unit 411")</f>
        <v>2231 Adam Clayton Powell Jr Blvd, Unit 411</v>
      </c>
      <c r="B4574" s="2" t="str">
        <f t="shared" ref="B4574:B4585" si="772">HYPERLINK("https://www.compass.com/building/the-aurum-manhattan-ny/307451641162444869/","The Aurum")</f>
        <v>The Aurum</v>
      </c>
      <c r="C4574" s="1" t="s">
        <v>85</v>
      </c>
      <c r="D4574" s="1" t="s">
        <v>41</v>
      </c>
      <c r="E4574" s="3">
        <v>1013158</v>
      </c>
      <c r="F4574" s="1">
        <v>1080.12579957356</v>
      </c>
      <c r="G4574" s="1">
        <v>4</v>
      </c>
      <c r="H4574" s="1">
        <v>2</v>
      </c>
      <c r="I4574" s="1">
        <v>2</v>
      </c>
      <c r="J4574" s="1">
        <v>2</v>
      </c>
      <c r="M4574" s="1">
        <v>938</v>
      </c>
      <c r="N4574" s="1">
        <v>895</v>
      </c>
      <c r="O4574" s="1">
        <v>1061</v>
      </c>
      <c r="P4574" s="1">
        <v>166</v>
      </c>
      <c r="Q4574" s="1" t="s">
        <v>42</v>
      </c>
      <c r="S4574" s="1" t="s">
        <v>42</v>
      </c>
      <c r="T4574" s="1" t="s">
        <v>273</v>
      </c>
      <c r="U4574" s="1">
        <v>57</v>
      </c>
      <c r="V4574" s="5">
        <v>43673</v>
      </c>
      <c r="W4574" s="5">
        <v>42486</v>
      </c>
      <c r="X4574" s="1">
        <v>995000</v>
      </c>
      <c r="Y4574" s="1">
        <v>995000</v>
      </c>
      <c r="Z4574" s="5">
        <v>42543</v>
      </c>
      <c r="AA4574" s="1">
        <v>1013158</v>
      </c>
      <c r="AB4574" s="1" t="s">
        <v>275</v>
      </c>
      <c r="AC4574" s="5">
        <v>42707</v>
      </c>
      <c r="AF4574" s="1">
        <v>10027</v>
      </c>
      <c r="AI4574" s="1" t="s">
        <v>52</v>
      </c>
      <c r="AJ4574" s="1">
        <v>2016</v>
      </c>
      <c r="AK4574" s="1" t="s">
        <v>108</v>
      </c>
      <c r="AL4574" s="1">
        <v>115</v>
      </c>
    </row>
    <row r="4575" spans="1:38" x14ac:dyDescent="0.2">
      <c r="A4575" s="2" t="str">
        <f>HYPERLINK("https://www.compass.com/listing/2231-adam-clayton-powell-jr-boulevard-unit-507-manhattan-ny-10027/192575543529491329/","2231 Adam Clayton Powell Jr Blvd, Unit 507")</f>
        <v>2231 Adam Clayton Powell Jr Blvd, Unit 507</v>
      </c>
      <c r="B4575" s="2" t="str">
        <f t="shared" si="772"/>
        <v>The Aurum</v>
      </c>
      <c r="C4575" s="1" t="s">
        <v>85</v>
      </c>
      <c r="D4575" s="1" t="s">
        <v>41</v>
      </c>
      <c r="E4575" s="3">
        <v>1001958</v>
      </c>
      <c r="F4575" s="1">
        <v>1038.2984455958499</v>
      </c>
      <c r="G4575" s="1">
        <v>4</v>
      </c>
      <c r="H4575" s="1">
        <v>2</v>
      </c>
      <c r="I4575" s="1">
        <v>2</v>
      </c>
      <c r="J4575" s="1">
        <v>2</v>
      </c>
      <c r="M4575" s="1">
        <v>965</v>
      </c>
      <c r="N4575" s="1">
        <v>920</v>
      </c>
      <c r="O4575" s="1">
        <v>1091</v>
      </c>
      <c r="P4575" s="1">
        <v>171</v>
      </c>
      <c r="Q4575" s="1" t="s">
        <v>42</v>
      </c>
      <c r="S4575" s="1" t="s">
        <v>42</v>
      </c>
      <c r="T4575" s="1" t="s">
        <v>273</v>
      </c>
      <c r="V4575" s="5">
        <v>43670</v>
      </c>
      <c r="W4575" s="5">
        <v>42486</v>
      </c>
      <c r="X4575" s="1">
        <v>1054000</v>
      </c>
      <c r="Y4575" s="1">
        <v>1054000</v>
      </c>
      <c r="Z4575" s="5">
        <v>42486</v>
      </c>
      <c r="AA4575" s="1">
        <v>1001958</v>
      </c>
      <c r="AB4575" s="1" t="s">
        <v>275</v>
      </c>
      <c r="AC4575" s="5">
        <v>42725</v>
      </c>
      <c r="AF4575" s="1">
        <v>10027</v>
      </c>
      <c r="AI4575" s="1" t="s">
        <v>52</v>
      </c>
      <c r="AJ4575" s="1">
        <v>2016</v>
      </c>
      <c r="AK4575" s="1" t="s">
        <v>108</v>
      </c>
      <c r="AL4575" s="1">
        <v>115</v>
      </c>
    </row>
    <row r="4576" spans="1:38" x14ac:dyDescent="0.2">
      <c r="A4576" s="2" t="str">
        <f>HYPERLINK("https://www.compass.com/listing/2231-adam-clayton-powell-jr-boulevard-unit-510-manhattan-ny-10027/192575554199857953/","2231 Adam Clayton Powell Jr Blvd, Unit 510")</f>
        <v>2231 Adam Clayton Powell Jr Blvd, Unit 510</v>
      </c>
      <c r="B4576" s="2" t="str">
        <f t="shared" si="772"/>
        <v>The Aurum</v>
      </c>
      <c r="C4576" s="1" t="s">
        <v>85</v>
      </c>
      <c r="D4576" s="1" t="s">
        <v>41</v>
      </c>
      <c r="E4576" s="3">
        <v>1093600</v>
      </c>
      <c r="F4576" s="1">
        <v>1126.2615859938201</v>
      </c>
      <c r="G4576" s="1">
        <v>4</v>
      </c>
      <c r="H4576" s="1">
        <v>2</v>
      </c>
      <c r="I4576" s="1">
        <v>2</v>
      </c>
      <c r="J4576" s="1">
        <v>2</v>
      </c>
      <c r="M4576" s="1">
        <v>971</v>
      </c>
      <c r="N4576" s="1">
        <v>926</v>
      </c>
      <c r="O4576" s="1">
        <v>1098</v>
      </c>
      <c r="P4576" s="1">
        <v>172</v>
      </c>
      <c r="Q4576" s="1" t="s">
        <v>42</v>
      </c>
      <c r="S4576" s="1" t="s">
        <v>42</v>
      </c>
      <c r="T4576" s="1" t="s">
        <v>273</v>
      </c>
      <c r="U4576" s="1">
        <v>25</v>
      </c>
      <c r="V4576" s="5">
        <v>43668</v>
      </c>
      <c r="W4576" s="5">
        <v>42511</v>
      </c>
      <c r="X4576" s="1">
        <v>1074000</v>
      </c>
      <c r="Y4576" s="1">
        <v>1074000</v>
      </c>
      <c r="AA4576" s="1">
        <v>1093600</v>
      </c>
      <c r="AB4576" s="1" t="s">
        <v>275</v>
      </c>
      <c r="AC4576" s="5">
        <v>42788</v>
      </c>
      <c r="AF4576" s="1">
        <v>10027</v>
      </c>
      <c r="AI4576" s="1" t="s">
        <v>52</v>
      </c>
      <c r="AJ4576" s="1">
        <v>2016</v>
      </c>
      <c r="AK4576" s="1" t="s">
        <v>108</v>
      </c>
      <c r="AL4576" s="1">
        <v>115</v>
      </c>
    </row>
    <row r="4577" spans="1:38" x14ac:dyDescent="0.2">
      <c r="A4577" s="2" t="str">
        <f>HYPERLINK("https://www.compass.com/listing/2231-adam-clayton-powell-jr-boulevard-unit-410-manhattan-ny-10027/192575554317280737/","2231 Adam Clayton Powell Jr Blvd, Unit 410")</f>
        <v>2231 Adam Clayton Powell Jr Blvd, Unit 410</v>
      </c>
      <c r="B4577" s="2" t="str">
        <f t="shared" si="772"/>
        <v>The Aurum</v>
      </c>
      <c r="C4577" s="1" t="s">
        <v>85</v>
      </c>
      <c r="D4577" s="1" t="s">
        <v>41</v>
      </c>
      <c r="E4577" s="3">
        <v>1030569</v>
      </c>
      <c r="F4577" s="1">
        <v>1061.3480947476801</v>
      </c>
      <c r="G4577" s="1">
        <v>4</v>
      </c>
      <c r="H4577" s="1">
        <v>2</v>
      </c>
      <c r="I4577" s="1">
        <v>2</v>
      </c>
      <c r="J4577" s="1">
        <v>2</v>
      </c>
      <c r="M4577" s="1">
        <v>971</v>
      </c>
      <c r="N4577" s="1">
        <v>926</v>
      </c>
      <c r="O4577" s="1">
        <v>1098</v>
      </c>
      <c r="P4577" s="1">
        <v>172</v>
      </c>
      <c r="Q4577" s="1" t="s">
        <v>42</v>
      </c>
      <c r="S4577" s="1" t="s">
        <v>42</v>
      </c>
      <c r="T4577" s="1" t="s">
        <v>273</v>
      </c>
      <c r="V4577" s="5">
        <v>43673</v>
      </c>
      <c r="W4577" s="5">
        <v>42486</v>
      </c>
      <c r="X4577" s="1">
        <v>1029000</v>
      </c>
      <c r="Y4577" s="1">
        <v>1029000</v>
      </c>
      <c r="Z4577" s="5">
        <v>42486</v>
      </c>
      <c r="AA4577" s="1">
        <v>1030569</v>
      </c>
      <c r="AB4577" s="1" t="s">
        <v>275</v>
      </c>
      <c r="AC4577" s="5">
        <v>42717</v>
      </c>
      <c r="AF4577" s="1">
        <v>10027</v>
      </c>
      <c r="AI4577" s="1" t="s">
        <v>52</v>
      </c>
      <c r="AJ4577" s="1">
        <v>2016</v>
      </c>
      <c r="AK4577" s="1" t="s">
        <v>108</v>
      </c>
      <c r="AL4577" s="1">
        <v>115</v>
      </c>
    </row>
    <row r="4578" spans="1:38" x14ac:dyDescent="0.2">
      <c r="A4578" s="2" t="str">
        <f>HYPERLINK("https://www.compass.com/listing/2231-adam-clayton-powell-jr-boulevard-unit-ph4-manhattan-ny-10027/192575565557983377/","2231 Adam Clayton Powell Jr Blvd, Unit PH4")</f>
        <v>2231 Adam Clayton Powell Jr Blvd, Unit PH4</v>
      </c>
      <c r="B4578" s="2" t="str">
        <f t="shared" si="772"/>
        <v>The Aurum</v>
      </c>
      <c r="C4578" s="1" t="s">
        <v>85</v>
      </c>
      <c r="D4578" s="1" t="s">
        <v>41</v>
      </c>
      <c r="E4578" s="3">
        <v>1015195</v>
      </c>
      <c r="F4578" s="1">
        <v>1130.5066815144701</v>
      </c>
      <c r="G4578" s="1">
        <v>4</v>
      </c>
      <c r="H4578" s="1">
        <v>2</v>
      </c>
      <c r="I4578" s="1">
        <v>2</v>
      </c>
      <c r="J4578" s="1">
        <v>2</v>
      </c>
      <c r="M4578" s="1">
        <v>898</v>
      </c>
      <c r="N4578" s="1">
        <v>856</v>
      </c>
      <c r="O4578" s="1">
        <v>1015</v>
      </c>
      <c r="P4578" s="1">
        <v>159</v>
      </c>
      <c r="Q4578" s="1" t="s">
        <v>42</v>
      </c>
      <c r="S4578" s="1" t="s">
        <v>42</v>
      </c>
      <c r="T4578" s="1" t="s">
        <v>273</v>
      </c>
      <c r="U4578" s="1">
        <v>99</v>
      </c>
      <c r="V4578" s="5">
        <v>43673</v>
      </c>
      <c r="W4578" s="5">
        <v>42493</v>
      </c>
      <c r="X4578" s="1">
        <v>997000</v>
      </c>
      <c r="Y4578" s="1">
        <v>997000</v>
      </c>
      <c r="Z4578" s="5">
        <v>42592</v>
      </c>
      <c r="AA4578" s="1">
        <v>1015195</v>
      </c>
      <c r="AB4578" s="1" t="s">
        <v>275</v>
      </c>
      <c r="AC4578" s="5">
        <v>42714</v>
      </c>
      <c r="AF4578" s="1">
        <v>10027</v>
      </c>
      <c r="AI4578" s="1" t="s">
        <v>52</v>
      </c>
      <c r="AJ4578" s="1">
        <v>2016</v>
      </c>
      <c r="AK4578" s="1" t="s">
        <v>108</v>
      </c>
      <c r="AL4578" s="1">
        <v>115</v>
      </c>
    </row>
    <row r="4579" spans="1:38" x14ac:dyDescent="0.2">
      <c r="A4579" s="2" t="str">
        <f>HYPERLINK("https://www.compass.com/listing/2231-adam-clayton-powell-jr-boulevard-unit-ph21-manhattan-ny-10027/192575572596063489/","2231 Adam Clayton Powell Jr Blvd, Unit PH21")</f>
        <v>2231 Adam Clayton Powell Jr Blvd, Unit PH21</v>
      </c>
      <c r="B4579" s="2" t="str">
        <f t="shared" si="772"/>
        <v>The Aurum</v>
      </c>
      <c r="C4579" s="1" t="s">
        <v>85</v>
      </c>
      <c r="D4579" s="1" t="s">
        <v>41</v>
      </c>
      <c r="E4579" s="3">
        <v>1015195</v>
      </c>
      <c r="F4579" s="1">
        <v>1192.9435957696801</v>
      </c>
      <c r="G4579" s="1">
        <v>4</v>
      </c>
      <c r="H4579" s="1">
        <v>2</v>
      </c>
      <c r="I4579" s="1">
        <v>2</v>
      </c>
      <c r="J4579" s="1">
        <v>2</v>
      </c>
      <c r="M4579" s="1">
        <v>851</v>
      </c>
      <c r="N4579" s="1">
        <v>812</v>
      </c>
      <c r="O4579" s="1">
        <v>963</v>
      </c>
      <c r="P4579" s="1">
        <v>151</v>
      </c>
      <c r="Q4579" s="1" t="s">
        <v>42</v>
      </c>
      <c r="S4579" s="1" t="s">
        <v>42</v>
      </c>
      <c r="T4579" s="1" t="s">
        <v>273</v>
      </c>
      <c r="U4579" s="1">
        <v>64</v>
      </c>
      <c r="V4579" s="5">
        <v>43673</v>
      </c>
      <c r="W4579" s="5">
        <v>42493</v>
      </c>
      <c r="X4579" s="1">
        <v>997000</v>
      </c>
      <c r="Y4579" s="1">
        <v>997000</v>
      </c>
      <c r="Z4579" s="5">
        <v>42557</v>
      </c>
      <c r="AA4579" s="1">
        <v>1015195</v>
      </c>
      <c r="AB4579" s="1" t="s">
        <v>275</v>
      </c>
      <c r="AC4579" s="5">
        <v>42720</v>
      </c>
      <c r="AF4579" s="1">
        <v>10027</v>
      </c>
      <c r="AI4579" s="1" t="s">
        <v>52</v>
      </c>
      <c r="AJ4579" s="1">
        <v>2016</v>
      </c>
      <c r="AK4579" s="1" t="s">
        <v>108</v>
      </c>
      <c r="AL4579" s="1">
        <v>115</v>
      </c>
    </row>
    <row r="4580" spans="1:38" x14ac:dyDescent="0.2">
      <c r="A4580" s="2" t="str">
        <f>HYPERLINK("https://www.compass.com/listing/2231-adam-clayton-powell-jr-boulevard-unit-409-manhattan-ny-10027/192575578300283633/","2231 Adam Clayton Powell Jr Blvd, Unit 409")</f>
        <v>2231 Adam Clayton Powell Jr Blvd, Unit 409</v>
      </c>
      <c r="B4580" s="2" t="str">
        <f t="shared" si="772"/>
        <v>The Aurum</v>
      </c>
      <c r="C4580" s="1" t="s">
        <v>85</v>
      </c>
      <c r="D4580" s="1" t="s">
        <v>41</v>
      </c>
      <c r="E4580" s="3">
        <v>1009085</v>
      </c>
      <c r="F4580" s="1">
        <v>1044.60144927536</v>
      </c>
      <c r="G4580" s="1">
        <v>4</v>
      </c>
      <c r="H4580" s="1">
        <v>2</v>
      </c>
      <c r="I4580" s="1">
        <v>2</v>
      </c>
      <c r="J4580" s="1">
        <v>2</v>
      </c>
      <c r="M4580" s="1">
        <v>966</v>
      </c>
      <c r="N4580" s="1">
        <v>921</v>
      </c>
      <c r="O4580" s="1">
        <v>1092</v>
      </c>
      <c r="P4580" s="1">
        <v>171</v>
      </c>
      <c r="Q4580" s="1" t="s">
        <v>42</v>
      </c>
      <c r="S4580" s="1" t="s">
        <v>42</v>
      </c>
      <c r="T4580" s="1" t="s">
        <v>273</v>
      </c>
      <c r="V4580" s="5">
        <v>43665</v>
      </c>
      <c r="W4580" s="5">
        <v>42486</v>
      </c>
      <c r="X4580" s="1">
        <v>1008000</v>
      </c>
      <c r="Y4580" s="1">
        <v>1008000</v>
      </c>
      <c r="Z4580" s="5">
        <v>42486</v>
      </c>
      <c r="AA4580" s="1">
        <v>1009085</v>
      </c>
      <c r="AB4580" s="1" t="s">
        <v>275</v>
      </c>
      <c r="AC4580" s="5">
        <v>42775</v>
      </c>
      <c r="AF4580" s="1">
        <v>10027</v>
      </c>
      <c r="AI4580" s="1" t="s">
        <v>52</v>
      </c>
      <c r="AJ4580" s="1">
        <v>2016</v>
      </c>
      <c r="AK4580" s="1" t="s">
        <v>108</v>
      </c>
      <c r="AL4580" s="1">
        <v>115</v>
      </c>
    </row>
    <row r="4581" spans="1:38" x14ac:dyDescent="0.2">
      <c r="A4581" s="2" t="str">
        <f>HYPERLINK("https://www.compass.com/listing/2231-adam-clayton-powell-jr-boulevard-unit-ph16-manhattan-ny-10027/192575579055294369/","2231 Adam Clayton Powell Jr Blvd, Unit PH16")</f>
        <v>2231 Adam Clayton Powell Jr Blvd, Unit PH16</v>
      </c>
      <c r="B4581" s="2" t="str">
        <f t="shared" si="772"/>
        <v>The Aurum</v>
      </c>
      <c r="C4581" s="1" t="s">
        <v>85</v>
      </c>
      <c r="D4581" s="1" t="s">
        <v>41</v>
      </c>
      <c r="E4581" s="3">
        <v>1186261</v>
      </c>
      <c r="F4581" s="1">
        <v>1256.63241525423</v>
      </c>
      <c r="G4581" s="1">
        <v>4</v>
      </c>
      <c r="H4581" s="1">
        <v>2</v>
      </c>
      <c r="I4581" s="1">
        <v>2</v>
      </c>
      <c r="J4581" s="1">
        <v>2</v>
      </c>
      <c r="M4581" s="1">
        <v>944</v>
      </c>
      <c r="N4581" s="1">
        <v>900</v>
      </c>
      <c r="O4581" s="1">
        <v>1068</v>
      </c>
      <c r="P4581" s="1">
        <v>168</v>
      </c>
      <c r="Q4581" s="1" t="s">
        <v>42</v>
      </c>
      <c r="S4581" s="1" t="s">
        <v>42</v>
      </c>
      <c r="T4581" s="1" t="s">
        <v>273</v>
      </c>
      <c r="V4581" s="5">
        <v>43665</v>
      </c>
      <c r="W4581" s="5">
        <v>42487</v>
      </c>
      <c r="X4581" s="1">
        <v>1195000</v>
      </c>
      <c r="Y4581" s="1">
        <v>1195000</v>
      </c>
      <c r="Z4581" s="5">
        <v>42487</v>
      </c>
      <c r="AA4581" s="1">
        <v>1186261</v>
      </c>
      <c r="AB4581" s="1" t="s">
        <v>275</v>
      </c>
      <c r="AC4581" s="5">
        <v>42693</v>
      </c>
      <c r="AF4581" s="1">
        <v>10027</v>
      </c>
      <c r="AI4581" s="1" t="s">
        <v>133</v>
      </c>
      <c r="AJ4581" s="1">
        <v>2016</v>
      </c>
      <c r="AK4581" s="1" t="s">
        <v>108</v>
      </c>
      <c r="AL4581" s="1">
        <v>115</v>
      </c>
    </row>
    <row r="4582" spans="1:38" x14ac:dyDescent="0.2">
      <c r="A4582" s="2" t="str">
        <f>HYPERLINK("https://www.compass.com/listing/2231-adam-clayton-powell-jr-boulevard-unit-ph7-manhattan-ny-10027/192575579374025761/","2231 Adam Clayton Powell Jr Blvd, Unit PH7")</f>
        <v>2231 Adam Clayton Powell Jr Blvd, Unit PH7</v>
      </c>
      <c r="B4582" s="2" t="str">
        <f t="shared" si="772"/>
        <v>The Aurum</v>
      </c>
      <c r="C4582" s="1" t="s">
        <v>85</v>
      </c>
      <c r="D4582" s="1" t="s">
        <v>41</v>
      </c>
      <c r="E4582" s="3">
        <v>1183411</v>
      </c>
      <c r="F4582" s="1">
        <v>1323.7259507829899</v>
      </c>
      <c r="G4582" s="1">
        <v>4</v>
      </c>
      <c r="H4582" s="1">
        <v>2</v>
      </c>
      <c r="I4582" s="1">
        <v>2</v>
      </c>
      <c r="J4582" s="1">
        <v>2</v>
      </c>
      <c r="M4582" s="1">
        <v>894</v>
      </c>
      <c r="N4582" s="1">
        <v>853</v>
      </c>
      <c r="O4582" s="1">
        <v>1012</v>
      </c>
      <c r="P4582" s="1">
        <v>159</v>
      </c>
      <c r="Q4582" s="1" t="s">
        <v>42</v>
      </c>
      <c r="S4582" s="1" t="s">
        <v>42</v>
      </c>
      <c r="T4582" s="1" t="s">
        <v>273</v>
      </c>
      <c r="V4582" s="5">
        <v>43664</v>
      </c>
      <c r="W4582" s="5">
        <v>42550</v>
      </c>
      <c r="X4582" s="1">
        <v>1162200</v>
      </c>
      <c r="Y4582" s="1">
        <v>1162200</v>
      </c>
      <c r="Z4582" s="5">
        <v>42550</v>
      </c>
      <c r="AA4582" s="1">
        <v>1183411</v>
      </c>
      <c r="AB4582" s="1" t="s">
        <v>275</v>
      </c>
      <c r="AC4582" s="5">
        <v>42745</v>
      </c>
      <c r="AF4582" s="1">
        <v>10027</v>
      </c>
      <c r="AI4582" s="1" t="s">
        <v>133</v>
      </c>
      <c r="AJ4582" s="1">
        <v>2016</v>
      </c>
      <c r="AK4582" s="1" t="s">
        <v>108</v>
      </c>
      <c r="AL4582" s="1">
        <v>115</v>
      </c>
    </row>
    <row r="4583" spans="1:38" x14ac:dyDescent="0.2">
      <c r="A4583" s="2" t="str">
        <f>HYPERLINK("https://www.compass.com/listing/2231-adam-clayton-powell-jr-boulevard-unit-407-manhattan-ny-10027/4852265404665432897/","2231 Adam Clayton Powell Jr Blvd, Unit 407")</f>
        <v>2231 Adam Clayton Powell Jr Blvd, Unit 407</v>
      </c>
      <c r="B4583" s="2" t="str">
        <f t="shared" si="772"/>
        <v>The Aurum</v>
      </c>
      <c r="C4583" s="1" t="s">
        <v>85</v>
      </c>
      <c r="D4583" s="1" t="s">
        <v>41</v>
      </c>
      <c r="E4583" s="3">
        <v>1052870</v>
      </c>
      <c r="F4583" s="1">
        <v>1091.0569948186501</v>
      </c>
      <c r="G4583" s="1">
        <v>4</v>
      </c>
      <c r="H4583" s="1">
        <v>2</v>
      </c>
      <c r="I4583" s="1">
        <v>2</v>
      </c>
      <c r="J4583" s="1">
        <v>2</v>
      </c>
      <c r="M4583" s="1">
        <v>965</v>
      </c>
      <c r="N4583" s="1">
        <v>920</v>
      </c>
      <c r="O4583" s="1">
        <v>1091</v>
      </c>
      <c r="P4583" s="1">
        <v>171</v>
      </c>
      <c r="Q4583" s="1" t="s">
        <v>42</v>
      </c>
      <c r="S4583" s="1" t="s">
        <v>42</v>
      </c>
      <c r="T4583" s="1" t="s">
        <v>273</v>
      </c>
      <c r="U4583" s="1">
        <v>57</v>
      </c>
      <c r="V4583" s="5">
        <v>43673</v>
      </c>
      <c r="W4583" s="5">
        <v>42486</v>
      </c>
      <c r="X4583" s="1">
        <v>1034000</v>
      </c>
      <c r="Y4583" s="1">
        <v>1034000</v>
      </c>
      <c r="Z4583" s="5">
        <v>42543</v>
      </c>
      <c r="AA4583" s="1">
        <v>1052870</v>
      </c>
      <c r="AB4583" s="1" t="s">
        <v>275</v>
      </c>
      <c r="AC4583" s="5">
        <v>42707</v>
      </c>
      <c r="AF4583" s="1">
        <v>10027</v>
      </c>
      <c r="AI4583" s="1" t="s">
        <v>52</v>
      </c>
      <c r="AJ4583" s="1">
        <v>2016</v>
      </c>
      <c r="AK4583" s="1" t="s">
        <v>108</v>
      </c>
      <c r="AL4583" s="1">
        <v>115</v>
      </c>
    </row>
    <row r="4584" spans="1:38" x14ac:dyDescent="0.2">
      <c r="A4584" s="2" t="str">
        <f>HYPERLINK("https://www.compass.com/listing/2231-adam-clayton-powell-jr-boulevard-unit-610-manhattan-ny-10027/4852306938710461873/","2231 Adam Clayton Powell Jr Blvd, Unit 610")</f>
        <v>2231 Adam Clayton Powell Jr Blvd, Unit 610</v>
      </c>
      <c r="B4584" s="2" t="str">
        <f t="shared" si="772"/>
        <v>The Aurum</v>
      </c>
      <c r="C4584" s="1" t="s">
        <v>85</v>
      </c>
      <c r="D4584" s="1" t="s">
        <v>41</v>
      </c>
      <c r="E4584" s="3">
        <v>1093600</v>
      </c>
      <c r="F4584" s="1">
        <v>1126.2615859938201</v>
      </c>
      <c r="G4584" s="1">
        <v>4</v>
      </c>
      <c r="H4584" s="1">
        <v>2</v>
      </c>
      <c r="I4584" s="1">
        <v>2</v>
      </c>
      <c r="J4584" s="1">
        <v>2</v>
      </c>
      <c r="M4584" s="1">
        <v>971</v>
      </c>
      <c r="N4584" s="1">
        <v>926</v>
      </c>
      <c r="O4584" s="1">
        <v>1098</v>
      </c>
      <c r="P4584" s="1">
        <v>172</v>
      </c>
      <c r="Q4584" s="1" t="s">
        <v>42</v>
      </c>
      <c r="S4584" s="1" t="s">
        <v>42</v>
      </c>
      <c r="T4584" s="1" t="s">
        <v>273</v>
      </c>
      <c r="U4584" s="1">
        <v>163</v>
      </c>
      <c r="V4584" s="5">
        <v>43665</v>
      </c>
      <c r="W4584" s="5">
        <v>42486</v>
      </c>
      <c r="X4584" s="1">
        <v>1074000</v>
      </c>
      <c r="Y4584" s="1">
        <v>1074000</v>
      </c>
      <c r="Z4584" s="5">
        <v>42649</v>
      </c>
      <c r="AA4584" s="1">
        <v>1093600</v>
      </c>
      <c r="AB4584" s="1" t="s">
        <v>275</v>
      </c>
      <c r="AC4584" s="5">
        <v>42691</v>
      </c>
      <c r="AF4584" s="1">
        <v>10027</v>
      </c>
      <c r="AI4584" s="1" t="s">
        <v>52</v>
      </c>
      <c r="AJ4584" s="1">
        <v>2016</v>
      </c>
      <c r="AK4584" s="1" t="s">
        <v>108</v>
      </c>
      <c r="AL4584" s="1">
        <v>115</v>
      </c>
    </row>
    <row r="4585" spans="1:38" x14ac:dyDescent="0.2">
      <c r="A4585" s="2" t="str">
        <f>HYPERLINK("https://www.compass.com/listing/2231-adam-clayton-powell-jr-boulevard-unit-509-manhattan-ny-10027/4853137719175423569/","2231 Adam Clayton Powell Jr Blvd, Unit 509")</f>
        <v>2231 Adam Clayton Powell Jr Blvd, Unit 509</v>
      </c>
      <c r="B4585" s="2" t="str">
        <f t="shared" si="772"/>
        <v>The Aurum</v>
      </c>
      <c r="C4585" s="1" t="s">
        <v>85</v>
      </c>
      <c r="D4585" s="1" t="s">
        <v>41</v>
      </c>
      <c r="E4585" s="3">
        <v>1046761</v>
      </c>
      <c r="F4585" s="1">
        <v>1083.6035196687301</v>
      </c>
      <c r="G4585" s="1">
        <v>4</v>
      </c>
      <c r="H4585" s="1">
        <v>2</v>
      </c>
      <c r="I4585" s="1">
        <v>2</v>
      </c>
      <c r="J4585" s="1">
        <v>2</v>
      </c>
      <c r="M4585" s="1">
        <v>966</v>
      </c>
      <c r="N4585" s="1">
        <v>921</v>
      </c>
      <c r="O4585" s="1">
        <v>1092</v>
      </c>
      <c r="P4585" s="1">
        <v>171</v>
      </c>
      <c r="Q4585" s="1" t="s">
        <v>42</v>
      </c>
      <c r="S4585" s="1" t="s">
        <v>42</v>
      </c>
      <c r="T4585" s="1" t="s">
        <v>273</v>
      </c>
      <c r="U4585" s="1">
        <v>148</v>
      </c>
      <c r="V4585" s="5">
        <v>43665</v>
      </c>
      <c r="W4585" s="5">
        <v>42486</v>
      </c>
      <c r="X4585" s="1">
        <v>1028000</v>
      </c>
      <c r="Y4585" s="1">
        <v>1028000</v>
      </c>
      <c r="AA4585" s="1">
        <v>1046761</v>
      </c>
      <c r="AB4585" s="1" t="s">
        <v>275</v>
      </c>
      <c r="AC4585" s="5">
        <v>42770</v>
      </c>
      <c r="AF4585" s="1">
        <v>10027</v>
      </c>
      <c r="AI4585" s="1" t="s">
        <v>52</v>
      </c>
      <c r="AJ4585" s="1">
        <v>2016</v>
      </c>
      <c r="AK4585" s="1" t="s">
        <v>108</v>
      </c>
      <c r="AL4585" s="1">
        <v>115</v>
      </c>
    </row>
    <row r="4586" spans="1:38" x14ac:dyDescent="0.2">
      <c r="A4586" s="2" t="str">
        <f>HYPERLINK("https://www.compass.com/listing/416-west-52nd-street-unit-th223-manhattan-ny-10019/29389251837809713/","416 W 52nd St, Unit TH223")</f>
        <v>416 W 52nd St, Unit TH223</v>
      </c>
      <c r="B4586" s="2" t="str">
        <f>HYPERLINK("https://www.compass.com/building/nine52-manhattan-ny/281945622951555813/","Nine52")</f>
        <v>Nine52</v>
      </c>
      <c r="C4586" s="1" t="s">
        <v>90</v>
      </c>
      <c r="D4586" s="1" t="s">
        <v>41</v>
      </c>
      <c r="E4586" s="3">
        <v>2375000</v>
      </c>
      <c r="F4586" s="1">
        <v>1178.07539682539</v>
      </c>
      <c r="G4586" s="1">
        <v>3.5</v>
      </c>
      <c r="H4586" s="1">
        <v>2</v>
      </c>
      <c r="I4586" s="1">
        <v>2</v>
      </c>
      <c r="J4586" s="1">
        <v>1.5</v>
      </c>
      <c r="K4586" s="1">
        <v>1</v>
      </c>
      <c r="L4586" s="1">
        <v>1</v>
      </c>
      <c r="M4586" s="4">
        <v>2016</v>
      </c>
      <c r="N4586" s="1">
        <v>1878</v>
      </c>
      <c r="O4586" s="1">
        <v>5508</v>
      </c>
      <c r="P4586" s="1">
        <v>3630</v>
      </c>
      <c r="Q4586" s="1" t="s">
        <v>42</v>
      </c>
      <c r="S4586" s="1" t="s">
        <v>42</v>
      </c>
      <c r="T4586" s="1" t="s">
        <v>273</v>
      </c>
      <c r="V4586" s="5">
        <v>43677</v>
      </c>
      <c r="W4586" s="5">
        <v>42857</v>
      </c>
      <c r="X4586" s="1">
        <v>2464000</v>
      </c>
      <c r="Y4586" s="1">
        <v>2464000</v>
      </c>
      <c r="Z4586" s="5">
        <v>42857</v>
      </c>
      <c r="AA4586" s="1">
        <v>2375000</v>
      </c>
      <c r="AB4586" s="1" t="s">
        <v>3244</v>
      </c>
      <c r="AC4586" s="5">
        <v>42905</v>
      </c>
      <c r="AF4586" s="1">
        <v>10019</v>
      </c>
      <c r="AI4586" s="1" t="s">
        <v>48</v>
      </c>
      <c r="AJ4586" s="1">
        <v>1940</v>
      </c>
      <c r="AK4586" s="1" t="s">
        <v>108</v>
      </c>
      <c r="AL4586" s="1">
        <v>155</v>
      </c>
    </row>
    <row r="4587" spans="1:38" x14ac:dyDescent="0.2">
      <c r="A4587" s="2" t="str">
        <f>HYPERLINK("https://www.compass.com/listing/1-west-end-avenue-unit-24e-manhattan-ny-10069/716059322029959985/","1 W End Ave, Unit 24E")</f>
        <v>1 W End Ave, Unit 24E</v>
      </c>
      <c r="B4587" s="2" t="str">
        <f>HYPERLINK("https://www.compass.com/building/1-w-end-ave-manhattan-ny-10069/455676159137755317/","1 W End Ave")</f>
        <v>1 W End Ave</v>
      </c>
      <c r="C4587" s="1" t="s">
        <v>57</v>
      </c>
      <c r="D4587" s="1" t="s">
        <v>41</v>
      </c>
      <c r="E4587" s="3">
        <v>4810444</v>
      </c>
      <c r="F4587" s="1">
        <v>1957.85265364265</v>
      </c>
      <c r="G4587" s="1">
        <v>5</v>
      </c>
      <c r="H4587" s="1">
        <v>3</v>
      </c>
      <c r="I4587" s="1">
        <v>4</v>
      </c>
      <c r="J4587" s="1">
        <v>3.5</v>
      </c>
      <c r="K4587" s="1">
        <v>3</v>
      </c>
      <c r="L4587" s="1">
        <v>1</v>
      </c>
      <c r="M4587" s="4">
        <v>2457</v>
      </c>
      <c r="N4587" s="1">
        <v>2821</v>
      </c>
      <c r="O4587" s="1">
        <v>2984</v>
      </c>
      <c r="P4587" s="1">
        <v>163</v>
      </c>
      <c r="Q4587" s="1" t="s">
        <v>42</v>
      </c>
      <c r="S4587" s="1" t="s">
        <v>42</v>
      </c>
      <c r="T4587" s="1" t="s">
        <v>273</v>
      </c>
      <c r="V4587" s="5">
        <v>44317</v>
      </c>
      <c r="W4587" s="5">
        <v>44239</v>
      </c>
      <c r="X4587" s="1">
        <v>5495000</v>
      </c>
      <c r="Y4587" s="1">
        <v>5495000</v>
      </c>
      <c r="Z4587" s="5">
        <v>44239</v>
      </c>
      <c r="AA4587" s="1">
        <v>4810443.97</v>
      </c>
      <c r="AB4587" s="1" t="s">
        <v>3245</v>
      </c>
      <c r="AC4587" s="5">
        <v>44313</v>
      </c>
      <c r="AF4587" s="1">
        <v>10069</v>
      </c>
      <c r="AI4587" s="1" t="s">
        <v>205</v>
      </c>
      <c r="AJ4587" s="1">
        <v>2017</v>
      </c>
      <c r="AK4587" s="1" t="s">
        <v>108</v>
      </c>
      <c r="AL4587" s="1">
        <v>246</v>
      </c>
    </row>
    <row r="4588" spans="1:38" x14ac:dyDescent="0.2">
      <c r="A4588" s="2" t="str">
        <f>HYPERLINK("https://www.compass.com/listing/2231-adam-clayton-powell-jr-boulevard-unit-ph3-manhattan-ny-10027/31058175054585473/","2231 Adam Clayton Powell Jr Blvd, Unit PH3")</f>
        <v>2231 Adam Clayton Powell Jr Blvd, Unit PH3</v>
      </c>
      <c r="B4588" s="2" t="str">
        <f>HYPERLINK("https://www.compass.com/building/the-aurum-manhattan-ny/307451641162444869/","The Aurum")</f>
        <v>The Aurum</v>
      </c>
      <c r="C4588" s="1" t="s">
        <v>85</v>
      </c>
      <c r="D4588" s="1" t="s">
        <v>41</v>
      </c>
      <c r="E4588" s="3">
        <v>995000</v>
      </c>
      <c r="F4588" s="1">
        <v>1026.8317853457099</v>
      </c>
      <c r="G4588" s="1">
        <v>4</v>
      </c>
      <c r="H4588" s="1">
        <v>2</v>
      </c>
      <c r="I4588" s="1">
        <v>2</v>
      </c>
      <c r="J4588" s="1">
        <v>2</v>
      </c>
      <c r="M4588" s="1">
        <v>969</v>
      </c>
      <c r="N4588" s="1">
        <v>924</v>
      </c>
      <c r="O4588" s="1">
        <v>1065</v>
      </c>
      <c r="P4588" s="1">
        <v>141</v>
      </c>
      <c r="Q4588" s="1" t="s">
        <v>42</v>
      </c>
      <c r="S4588" s="1" t="s">
        <v>42</v>
      </c>
      <c r="T4588" s="1" t="s">
        <v>273</v>
      </c>
      <c r="U4588" s="1">
        <v>160</v>
      </c>
      <c r="V4588" s="5">
        <v>43648</v>
      </c>
      <c r="W4588" s="5">
        <v>43162</v>
      </c>
      <c r="X4588" s="1">
        <v>1125000</v>
      </c>
      <c r="Y4588" s="1">
        <v>995000</v>
      </c>
      <c r="Z4588" s="5">
        <v>43322</v>
      </c>
      <c r="AA4588" s="1">
        <v>995000</v>
      </c>
      <c r="AB4588" s="1" t="s">
        <v>275</v>
      </c>
      <c r="AC4588" s="5">
        <v>43393</v>
      </c>
      <c r="AF4588" s="1">
        <v>10027</v>
      </c>
      <c r="AI4588" s="1" t="s">
        <v>174</v>
      </c>
      <c r="AJ4588" s="1">
        <v>2016</v>
      </c>
      <c r="AK4588" s="1" t="s">
        <v>108</v>
      </c>
      <c r="AL4588" s="1">
        <v>115</v>
      </c>
    </row>
    <row r="4589" spans="1:38" x14ac:dyDescent="0.2">
      <c r="A4589" s="2" t="str">
        <f>HYPERLINK("https://www.compass.com/listing/310-west-114th-street-unit-8-manhattan-ny-10026/728773117540732353/","310 W 114th St, Unit 8")</f>
        <v>310 W 114th St, Unit 8</v>
      </c>
      <c r="B4589" s="2" t="str">
        <f>HYPERLINK("https://www.compass.com/building/310-w-114th-st-manhattan-ny-10026/281976388834127397/","310 W 114th St")</f>
        <v>310 W 114th St</v>
      </c>
      <c r="C4589" s="1" t="s">
        <v>85</v>
      </c>
      <c r="D4589" s="1" t="s">
        <v>41</v>
      </c>
      <c r="E4589" s="3">
        <v>1942727</v>
      </c>
      <c r="F4589" s="1">
        <v>887.90072212065797</v>
      </c>
      <c r="H4589" s="1">
        <v>3</v>
      </c>
      <c r="J4589" s="1">
        <v>3</v>
      </c>
      <c r="K4589" s="1">
        <v>3</v>
      </c>
      <c r="M4589" s="4">
        <v>2188</v>
      </c>
      <c r="N4589" s="1">
        <v>326.37</v>
      </c>
      <c r="O4589" s="1">
        <v>1407.4099999999901</v>
      </c>
      <c r="P4589" s="1">
        <v>1081</v>
      </c>
      <c r="Q4589" s="1" t="s">
        <v>42</v>
      </c>
      <c r="S4589" s="1" t="s">
        <v>42</v>
      </c>
      <c r="T4589" s="1" t="s">
        <v>273</v>
      </c>
      <c r="AA4589" s="1">
        <v>1942726.78</v>
      </c>
      <c r="AB4589" s="1" t="s">
        <v>3246</v>
      </c>
      <c r="AC4589" s="5">
        <v>44235</v>
      </c>
      <c r="AF4589" s="1">
        <v>10026</v>
      </c>
      <c r="AI4589" s="1" t="s">
        <v>78</v>
      </c>
      <c r="AJ4589" s="1">
        <v>2015</v>
      </c>
      <c r="AL4589" s="1">
        <v>8</v>
      </c>
    </row>
    <row r="4590" spans="1:38" x14ac:dyDescent="0.2">
      <c r="A4590" s="2" t="str">
        <f>HYPERLINK("https://www.compass.com/listing/1-west-end-avenue-unit-23e-manhattan-ny-10069/113025273556985297/","1 W End Ave, Unit 23E")</f>
        <v>1 W End Ave, Unit 23E</v>
      </c>
      <c r="B4590" s="2" t="str">
        <f t="shared" ref="B4590:B4592" si="773">HYPERLINK("https://www.compass.com/building/1-w-end-ave-manhattan-ny-10069/455676159137755317/","1 W End Ave")</f>
        <v>1 W End Ave</v>
      </c>
      <c r="C4590" s="1" t="s">
        <v>57</v>
      </c>
      <c r="D4590" s="1" t="s">
        <v>41</v>
      </c>
      <c r="E4590" s="3">
        <v>4607155</v>
      </c>
      <c r="F4590" s="1">
        <v>1875.1138135938099</v>
      </c>
      <c r="G4590" s="1">
        <v>6</v>
      </c>
      <c r="H4590" s="1">
        <v>3</v>
      </c>
      <c r="I4590" s="1">
        <v>4</v>
      </c>
      <c r="J4590" s="1">
        <v>3.5</v>
      </c>
      <c r="K4590" s="1">
        <v>3</v>
      </c>
      <c r="L4590" s="1">
        <v>1</v>
      </c>
      <c r="M4590" s="4">
        <v>2457</v>
      </c>
      <c r="N4590" s="1">
        <v>2816</v>
      </c>
      <c r="O4590" s="1">
        <v>2974</v>
      </c>
      <c r="P4590" s="1">
        <v>158</v>
      </c>
      <c r="Q4590" s="1" t="s">
        <v>42</v>
      </c>
      <c r="S4590" s="1" t="s">
        <v>42</v>
      </c>
      <c r="T4590" s="1" t="s">
        <v>273</v>
      </c>
      <c r="U4590" s="1">
        <v>98</v>
      </c>
      <c r="V4590" s="5">
        <v>44336</v>
      </c>
      <c r="W4590" s="5">
        <v>43405</v>
      </c>
      <c r="X4590" s="1">
        <v>5250000</v>
      </c>
      <c r="Y4590" s="1">
        <v>5250000</v>
      </c>
      <c r="AA4590" s="1">
        <v>4607154.6399999997</v>
      </c>
      <c r="AB4590" s="1" t="s">
        <v>3195</v>
      </c>
      <c r="AC4590" s="5">
        <v>44312</v>
      </c>
      <c r="AF4590" s="1">
        <v>10069</v>
      </c>
      <c r="AI4590" s="1" t="s">
        <v>205</v>
      </c>
      <c r="AJ4590" s="1">
        <v>2017</v>
      </c>
      <c r="AK4590" s="1" t="s">
        <v>55</v>
      </c>
      <c r="AL4590" s="1">
        <v>246</v>
      </c>
    </row>
    <row r="4591" spans="1:38" x14ac:dyDescent="0.2">
      <c r="A4591" s="2" t="str">
        <f>HYPERLINK("https://www.compass.com/listing/1-west-end-avenue-unit-23e-manhattan-ny-10069/803322543549035505/","1 W End Ave, Unit 23E")</f>
        <v>1 W End Ave, Unit 23E</v>
      </c>
      <c r="B4591" s="2" t="str">
        <f t="shared" si="773"/>
        <v>1 W End Ave</v>
      </c>
      <c r="C4591" s="1" t="s">
        <v>57</v>
      </c>
      <c r="D4591" s="1" t="s">
        <v>41</v>
      </c>
      <c r="E4591" s="3">
        <v>4607155</v>
      </c>
      <c r="F4591" s="1">
        <v>1875.1138135938099</v>
      </c>
      <c r="G4591" s="1">
        <v>6</v>
      </c>
      <c r="H4591" s="1">
        <v>3</v>
      </c>
      <c r="I4591" s="1">
        <v>4</v>
      </c>
      <c r="J4591" s="1">
        <v>3.5</v>
      </c>
      <c r="K4591" s="1">
        <v>3</v>
      </c>
      <c r="L4591" s="1">
        <v>1</v>
      </c>
      <c r="M4591" s="4">
        <v>2457</v>
      </c>
      <c r="N4591" s="1">
        <v>2816</v>
      </c>
      <c r="O4591" s="1">
        <v>2974</v>
      </c>
      <c r="P4591" s="1">
        <v>158</v>
      </c>
      <c r="Q4591" s="1" t="s">
        <v>42</v>
      </c>
      <c r="S4591" s="1" t="s">
        <v>42</v>
      </c>
      <c r="T4591" s="1" t="s">
        <v>273</v>
      </c>
      <c r="U4591" s="1">
        <v>78</v>
      </c>
      <c r="V4591" s="5">
        <v>44336</v>
      </c>
      <c r="W4591" s="5">
        <v>43531</v>
      </c>
      <c r="X4591" s="1">
        <v>5250000</v>
      </c>
      <c r="Y4591" s="1">
        <v>5250000</v>
      </c>
      <c r="AA4591" s="1">
        <v>4607154.6399999997</v>
      </c>
      <c r="AB4591" s="1" t="s">
        <v>3195</v>
      </c>
      <c r="AC4591" s="5">
        <v>44312</v>
      </c>
      <c r="AF4591" s="1">
        <v>10069</v>
      </c>
      <c r="AI4591" s="1" t="s">
        <v>76</v>
      </c>
      <c r="AJ4591" s="1">
        <v>2017</v>
      </c>
      <c r="AK4591" s="1" t="s">
        <v>55</v>
      </c>
      <c r="AL4591" s="1">
        <v>246</v>
      </c>
    </row>
    <row r="4592" spans="1:38" x14ac:dyDescent="0.2">
      <c r="A4592" s="2" t="str">
        <f>HYPERLINK("https://www.compass.com/listing/1-west-end-avenue-unit-23e-manhattan-ny-10069/803322543549035513/","1 W End Ave, Unit 23E")</f>
        <v>1 W End Ave, Unit 23E</v>
      </c>
      <c r="B4592" s="2" t="str">
        <f t="shared" si="773"/>
        <v>1 W End Ave</v>
      </c>
      <c r="C4592" s="1" t="s">
        <v>57</v>
      </c>
      <c r="D4592" s="1" t="s">
        <v>41</v>
      </c>
      <c r="E4592" s="3">
        <v>4607155</v>
      </c>
      <c r="F4592" s="1">
        <v>1875.1138135938099</v>
      </c>
      <c r="G4592" s="1">
        <v>6</v>
      </c>
      <c r="H4592" s="1">
        <v>3</v>
      </c>
      <c r="I4592" s="1">
        <v>4</v>
      </c>
      <c r="J4592" s="1">
        <v>3.5</v>
      </c>
      <c r="K4592" s="1">
        <v>3</v>
      </c>
      <c r="L4592" s="1">
        <v>1</v>
      </c>
      <c r="M4592" s="4">
        <v>2457</v>
      </c>
      <c r="N4592" s="1">
        <v>2816</v>
      </c>
      <c r="O4592" s="1">
        <v>2974</v>
      </c>
      <c r="P4592" s="1">
        <v>158</v>
      </c>
      <c r="Q4592" s="1" t="s">
        <v>42</v>
      </c>
      <c r="S4592" s="1" t="s">
        <v>42</v>
      </c>
      <c r="T4592" s="1" t="s">
        <v>273</v>
      </c>
      <c r="U4592" s="1">
        <v>53</v>
      </c>
      <c r="V4592" s="5">
        <v>44336</v>
      </c>
      <c r="W4592" s="5">
        <v>43749</v>
      </c>
      <c r="AA4592" s="1">
        <v>4607154.6399999997</v>
      </c>
      <c r="AB4592" s="1" t="s">
        <v>3195</v>
      </c>
      <c r="AC4592" s="5">
        <v>44312</v>
      </c>
      <c r="AF4592" s="1">
        <v>10069</v>
      </c>
      <c r="AI4592" s="1" t="s">
        <v>76</v>
      </c>
      <c r="AJ4592" s="1">
        <v>2017</v>
      </c>
      <c r="AK4592" s="1" t="s">
        <v>55</v>
      </c>
      <c r="AL4592" s="1">
        <v>246</v>
      </c>
    </row>
    <row r="4593" spans="1:38" x14ac:dyDescent="0.2">
      <c r="A4593" s="2" t="str">
        <f>HYPERLINK("https://www.compass.com/listing/425-west-50th-street-unit-11d-manhattan-ny-10019/29389208015720657/","425 W 50th St, Unit 11D")</f>
        <v>425 W 50th St, Unit 11D</v>
      </c>
      <c r="B4593" s="2" t="str">
        <f>HYPERLINK("https://www.compass.com/building/stella-tower-manhattan-ny/281945855710262181/","Stella Tower")</f>
        <v>Stella Tower</v>
      </c>
      <c r="C4593" s="1" t="s">
        <v>90</v>
      </c>
      <c r="D4593" s="1" t="s">
        <v>41</v>
      </c>
      <c r="E4593" s="3">
        <v>3719613</v>
      </c>
      <c r="F4593" s="1">
        <v>2038.14410958904</v>
      </c>
      <c r="G4593" s="1">
        <v>6</v>
      </c>
      <c r="H4593" s="1">
        <v>2</v>
      </c>
      <c r="I4593" s="1">
        <v>3</v>
      </c>
      <c r="J4593" s="1">
        <v>3</v>
      </c>
      <c r="M4593" s="4">
        <v>1825</v>
      </c>
      <c r="N4593" s="1">
        <v>2064</v>
      </c>
      <c r="O4593" s="1">
        <v>3328</v>
      </c>
      <c r="P4593" s="1">
        <v>1264</v>
      </c>
      <c r="Q4593" s="1" t="s">
        <v>42</v>
      </c>
      <c r="S4593" s="1" t="s">
        <v>42</v>
      </c>
      <c r="T4593" s="1" t="s">
        <v>273</v>
      </c>
      <c r="U4593" s="1">
        <v>2</v>
      </c>
      <c r="V4593" s="5">
        <v>43643</v>
      </c>
      <c r="W4593" s="5">
        <v>42717</v>
      </c>
      <c r="X4593" s="1">
        <v>3995000</v>
      </c>
      <c r="Y4593" s="1">
        <v>4000000</v>
      </c>
      <c r="Z4593" s="5">
        <v>42719</v>
      </c>
      <c r="AA4593" s="1">
        <v>3719613</v>
      </c>
      <c r="AB4593" s="1" t="s">
        <v>3094</v>
      </c>
      <c r="AC4593" s="5">
        <v>42775</v>
      </c>
      <c r="AF4593" s="1">
        <v>10019</v>
      </c>
      <c r="AI4593" s="1" t="s">
        <v>80</v>
      </c>
      <c r="AJ4593" s="1">
        <v>1930</v>
      </c>
      <c r="AK4593" s="1" t="s">
        <v>46</v>
      </c>
      <c r="AL4593" s="1">
        <v>51</v>
      </c>
    </row>
    <row r="4594" spans="1:38" x14ac:dyDescent="0.2">
      <c r="A4594" s="2" t="str">
        <f>HYPERLINK("https://www.compass.com/listing/1-west-end-avenue-unit-22a-manhattan-ny-10069/439825756336698513/","1 W End Ave, Unit 22A")</f>
        <v>1 W End Ave, Unit 22A</v>
      </c>
      <c r="B4594" s="2" t="str">
        <f>HYPERLINK("https://www.compass.com/building/1-w-end-ave-manhattan-ny-10069/455676159137755317/","1 W End Ave")</f>
        <v>1 W End Ave</v>
      </c>
      <c r="C4594" s="1" t="s">
        <v>57</v>
      </c>
      <c r="D4594" s="1" t="s">
        <v>41</v>
      </c>
      <c r="E4594" s="3">
        <v>4985000</v>
      </c>
      <c r="F4594" s="1">
        <v>1834.06916850625</v>
      </c>
      <c r="G4594" s="1">
        <v>4</v>
      </c>
      <c r="H4594" s="1">
        <v>3</v>
      </c>
      <c r="I4594" s="1">
        <v>4</v>
      </c>
      <c r="J4594" s="1">
        <v>3.5</v>
      </c>
      <c r="K4594" s="1">
        <v>3</v>
      </c>
      <c r="L4594" s="1">
        <v>1</v>
      </c>
      <c r="M4594" s="4">
        <v>2718</v>
      </c>
      <c r="N4594" s="1">
        <v>3048</v>
      </c>
      <c r="O4594" s="1">
        <v>3226</v>
      </c>
      <c r="P4594" s="1">
        <v>178</v>
      </c>
      <c r="Q4594" s="1" t="s">
        <v>42</v>
      </c>
      <c r="S4594" s="1" t="s">
        <v>42</v>
      </c>
      <c r="T4594" s="1" t="s">
        <v>273</v>
      </c>
      <c r="U4594" s="1">
        <v>16</v>
      </c>
      <c r="V4594" s="5">
        <v>43922</v>
      </c>
      <c r="W4594" s="5">
        <v>43858</v>
      </c>
      <c r="X4594" s="1">
        <v>5495000</v>
      </c>
      <c r="Y4594" s="1">
        <v>5495000</v>
      </c>
      <c r="Z4594" s="5">
        <v>43875</v>
      </c>
      <c r="AA4594" s="1">
        <v>4985000</v>
      </c>
      <c r="AB4594" s="1" t="s">
        <v>3247</v>
      </c>
      <c r="AC4594" s="5">
        <v>43920</v>
      </c>
      <c r="AF4594" s="1">
        <v>10069</v>
      </c>
      <c r="AI4594" s="1" t="s">
        <v>60</v>
      </c>
      <c r="AJ4594" s="1">
        <v>2017</v>
      </c>
      <c r="AK4594" s="1" t="s">
        <v>108</v>
      </c>
      <c r="AL4594" s="1">
        <v>246</v>
      </c>
    </row>
    <row r="4595" spans="1:38" x14ac:dyDescent="0.2">
      <c r="A4595" s="2" t="str">
        <f>HYPERLINK("https://www.compass.com/listing/425-west-50th-street-unit-10e-manhattan-ny-10019/29389204928702737/","425 W 50th St, Unit 10E")</f>
        <v>425 W 50th St, Unit 10E</v>
      </c>
      <c r="B4595" s="2" t="str">
        <f t="shared" ref="B4595:B4597" si="774">HYPERLINK("https://www.compass.com/building/stella-tower-manhattan-ny/281945855710262181/","Stella Tower")</f>
        <v>Stella Tower</v>
      </c>
      <c r="C4595" s="1" t="s">
        <v>90</v>
      </c>
      <c r="D4595" s="1" t="s">
        <v>41</v>
      </c>
      <c r="E4595" s="3">
        <v>3000000</v>
      </c>
      <c r="F4595" s="1">
        <v>1982.8155981493701</v>
      </c>
      <c r="H4595" s="1">
        <v>1</v>
      </c>
      <c r="J4595" s="1">
        <v>2</v>
      </c>
      <c r="K4595" s="1">
        <v>2</v>
      </c>
      <c r="M4595" s="4">
        <v>1513</v>
      </c>
      <c r="N4595" s="1">
        <v>1709</v>
      </c>
      <c r="O4595" s="1">
        <v>2756</v>
      </c>
      <c r="P4595" s="1">
        <v>1047</v>
      </c>
      <c r="Q4595" s="1" t="s">
        <v>42</v>
      </c>
      <c r="S4595" s="1" t="s">
        <v>42</v>
      </c>
      <c r="T4595" s="1" t="s">
        <v>273</v>
      </c>
      <c r="AA4595" s="1">
        <v>3000000</v>
      </c>
      <c r="AB4595" s="1" t="s">
        <v>3248</v>
      </c>
      <c r="AC4595" s="5">
        <v>42284</v>
      </c>
      <c r="AF4595" s="1">
        <v>10019</v>
      </c>
      <c r="AI4595" s="1" t="s">
        <v>80</v>
      </c>
      <c r="AJ4595" s="1">
        <v>1930</v>
      </c>
      <c r="AK4595" s="1" t="s">
        <v>49</v>
      </c>
      <c r="AL4595" s="1">
        <v>51</v>
      </c>
    </row>
    <row r="4596" spans="1:38" x14ac:dyDescent="0.2">
      <c r="A4596" s="2" t="str">
        <f>HYPERLINK("https://www.compass.com/listing/425-west-50th-street-unit-12e-manhattan-ny-10019/29389214189726193/","425 W 50th St, Unit 12E")</f>
        <v>425 W 50th St, Unit 12E</v>
      </c>
      <c r="B4596" s="2" t="str">
        <f t="shared" si="774"/>
        <v>Stella Tower</v>
      </c>
      <c r="C4596" s="1" t="s">
        <v>90</v>
      </c>
      <c r="D4596" s="1" t="s">
        <v>41</v>
      </c>
      <c r="E4596" s="3">
        <v>2300000</v>
      </c>
      <c r="F4596" s="1">
        <v>1631.20567375886</v>
      </c>
      <c r="H4596" s="1">
        <v>1</v>
      </c>
      <c r="J4596" s="1">
        <v>2</v>
      </c>
      <c r="M4596" s="4">
        <v>1410</v>
      </c>
      <c r="N4596" s="1">
        <v>1596</v>
      </c>
      <c r="O4596" s="1">
        <v>2573</v>
      </c>
      <c r="P4596" s="1">
        <v>977</v>
      </c>
      <c r="Q4596" s="1" t="s">
        <v>42</v>
      </c>
      <c r="S4596" s="1" t="s">
        <v>42</v>
      </c>
      <c r="T4596" s="1" t="s">
        <v>273</v>
      </c>
      <c r="AA4596" s="1">
        <v>2300000</v>
      </c>
      <c r="AB4596" s="1" t="s">
        <v>3249</v>
      </c>
      <c r="AC4596" s="5">
        <v>42668</v>
      </c>
      <c r="AF4596" s="1">
        <v>10019</v>
      </c>
      <c r="AI4596" s="1" t="s">
        <v>80</v>
      </c>
      <c r="AJ4596" s="1">
        <v>1930</v>
      </c>
      <c r="AK4596" s="1" t="s">
        <v>49</v>
      </c>
      <c r="AL4596" s="1">
        <v>51</v>
      </c>
    </row>
    <row r="4597" spans="1:38" x14ac:dyDescent="0.2">
      <c r="A4597" s="2" t="str">
        <f>HYPERLINK("https://www.compass.com/listing/425-west-50th-street-unit-14g-manhattan-ny-10019/454048880829612385/","425 W 50th St, Unit 14G")</f>
        <v>425 W 50th St, Unit 14G</v>
      </c>
      <c r="B4597" s="2" t="str">
        <f t="shared" si="774"/>
        <v>Stella Tower</v>
      </c>
      <c r="C4597" s="1" t="s">
        <v>90</v>
      </c>
      <c r="D4597" s="1" t="s">
        <v>41</v>
      </c>
      <c r="E4597" s="3">
        <v>2300000</v>
      </c>
      <c r="F4597" s="1">
        <v>1666.6666666666599</v>
      </c>
      <c r="H4597" s="1">
        <v>1</v>
      </c>
      <c r="J4597" s="1">
        <v>2</v>
      </c>
      <c r="K4597" s="1">
        <v>2</v>
      </c>
      <c r="M4597" s="4">
        <v>1380</v>
      </c>
      <c r="N4597" s="1">
        <v>1638</v>
      </c>
      <c r="O4597" s="1">
        <v>3288</v>
      </c>
      <c r="P4597" s="1">
        <v>1650</v>
      </c>
      <c r="Q4597" s="1" t="s">
        <v>42</v>
      </c>
      <c r="S4597" s="1" t="s">
        <v>42</v>
      </c>
      <c r="T4597" s="1" t="s">
        <v>273</v>
      </c>
      <c r="AA4597" s="1">
        <v>2300000</v>
      </c>
      <c r="AB4597" s="1" t="s">
        <v>3250</v>
      </c>
      <c r="AC4597" s="5">
        <v>43864</v>
      </c>
      <c r="AF4597" s="1">
        <v>10019</v>
      </c>
      <c r="AI4597" s="1" t="s">
        <v>80</v>
      </c>
      <c r="AJ4597" s="1">
        <v>1930</v>
      </c>
      <c r="AK4597" s="1" t="s">
        <v>49</v>
      </c>
      <c r="AL4597" s="1">
        <v>51</v>
      </c>
    </row>
    <row r="4598" spans="1:38" x14ac:dyDescent="0.2">
      <c r="A4598" s="2" t="str">
        <f>HYPERLINK("https://www.compass.com/listing/1-west-end-avenue-unit-40d-manhattan-ny-10069/803325122551051569/","1 W End Ave, Unit 40D")</f>
        <v>1 W End Ave, Unit 40D</v>
      </c>
      <c r="B4598" s="2" t="str">
        <f t="shared" ref="B4598:B4599" si="775">HYPERLINK("https://www.compass.com/building/1-w-end-ave-manhattan-ny-10069/455676159137755317/","1 W End Ave")</f>
        <v>1 W End Ave</v>
      </c>
      <c r="C4598" s="1" t="s">
        <v>57</v>
      </c>
      <c r="D4598" s="1" t="s">
        <v>41</v>
      </c>
      <c r="E4598" s="3">
        <v>5959923</v>
      </c>
      <c r="F4598" s="1">
        <v>2402.2261064087002</v>
      </c>
      <c r="G4598" s="1">
        <v>5</v>
      </c>
      <c r="H4598" s="1">
        <v>3</v>
      </c>
      <c r="I4598" s="1">
        <v>3</v>
      </c>
      <c r="J4598" s="1">
        <v>3</v>
      </c>
      <c r="K4598" s="1">
        <v>3</v>
      </c>
      <c r="M4598" s="4">
        <v>2481</v>
      </c>
      <c r="N4598" s="1">
        <v>2840</v>
      </c>
      <c r="O4598" s="1">
        <v>3000</v>
      </c>
      <c r="P4598" s="1">
        <v>160</v>
      </c>
      <c r="Q4598" s="1" t="s">
        <v>42</v>
      </c>
      <c r="S4598" s="1" t="s">
        <v>42</v>
      </c>
      <c r="T4598" s="1" t="s">
        <v>273</v>
      </c>
      <c r="U4598" s="1">
        <v>53</v>
      </c>
      <c r="V4598" s="5">
        <v>43803</v>
      </c>
      <c r="W4598" s="5">
        <v>43749</v>
      </c>
      <c r="X4598" s="1">
        <v>6495000</v>
      </c>
      <c r="Y4598" s="1">
        <v>6495000</v>
      </c>
      <c r="AA4598" s="1">
        <v>5959922.9699999997</v>
      </c>
      <c r="AB4598" s="1" t="s">
        <v>2267</v>
      </c>
      <c r="AC4598" s="5">
        <v>43882</v>
      </c>
      <c r="AF4598" s="1">
        <v>10069</v>
      </c>
      <c r="AI4598" s="1" t="s">
        <v>76</v>
      </c>
      <c r="AJ4598" s="1">
        <v>2017</v>
      </c>
      <c r="AK4598" s="1" t="s">
        <v>55</v>
      </c>
      <c r="AL4598" s="1">
        <v>246</v>
      </c>
    </row>
    <row r="4599" spans="1:38" x14ac:dyDescent="0.2">
      <c r="A4599" s="2" t="str">
        <f>HYPERLINK("https://www.compass.com/listing/1-west-end-avenue-unit-41b-manhattan-ny-10069/400688256731186961/","1 W End Ave, Unit 41B")</f>
        <v>1 W End Ave, Unit 41B</v>
      </c>
      <c r="B4599" s="2" t="str">
        <f t="shared" si="775"/>
        <v>1 W End Ave</v>
      </c>
      <c r="C4599" s="1" t="s">
        <v>57</v>
      </c>
      <c r="D4599" s="1" t="s">
        <v>41</v>
      </c>
      <c r="E4599" s="3">
        <v>7460266</v>
      </c>
      <c r="F4599" s="1">
        <v>2650.1833037300098</v>
      </c>
      <c r="G4599" s="1">
        <v>7</v>
      </c>
      <c r="H4599" s="1">
        <v>4</v>
      </c>
      <c r="I4599" s="1">
        <v>5</v>
      </c>
      <c r="J4599" s="1">
        <v>4.5</v>
      </c>
      <c r="K4599" s="1">
        <v>4</v>
      </c>
      <c r="L4599" s="1">
        <v>1</v>
      </c>
      <c r="M4599" s="4">
        <v>2815</v>
      </c>
      <c r="N4599" s="1">
        <v>3359</v>
      </c>
      <c r="O4599" s="1">
        <v>3555</v>
      </c>
      <c r="P4599" s="1">
        <v>196</v>
      </c>
      <c r="Q4599" s="1" t="s">
        <v>42</v>
      </c>
      <c r="S4599" s="1" t="s">
        <v>42</v>
      </c>
      <c r="T4599" s="1" t="s">
        <v>273</v>
      </c>
      <c r="U4599" s="1">
        <v>56</v>
      </c>
      <c r="V4599" s="5">
        <v>44104</v>
      </c>
      <c r="W4599" s="5">
        <v>43805</v>
      </c>
      <c r="X4599" s="1">
        <v>8495000</v>
      </c>
      <c r="Y4599" s="1">
        <v>7460266</v>
      </c>
      <c r="Z4599" s="5">
        <v>43862</v>
      </c>
      <c r="AA4599" s="1">
        <v>7460266</v>
      </c>
      <c r="AB4599" s="1" t="s">
        <v>3251</v>
      </c>
      <c r="AC4599" s="5">
        <v>44082</v>
      </c>
      <c r="AF4599" s="1">
        <v>10069</v>
      </c>
      <c r="AI4599" s="1" t="s">
        <v>102</v>
      </c>
      <c r="AJ4599" s="1">
        <v>2017</v>
      </c>
      <c r="AK4599" s="1" t="s">
        <v>46</v>
      </c>
      <c r="AL4599" s="1">
        <v>246</v>
      </c>
    </row>
    <row r="4600" spans="1:38" x14ac:dyDescent="0.2">
      <c r="A4600" s="2" t="str">
        <f>HYPERLINK("https://www.compass.com/listing/456-west-167th-street-unit-6a-manhattan-ny-10032/604435974795434905/","456 W 167th St, Unit 6A")</f>
        <v>456 W 167th St, Unit 6A</v>
      </c>
      <c r="B4600" s="2" t="str">
        <f>HYPERLINK("https://www.compass.com/building/edgecombe-parc-manhattan-ny/282005897969005013/","Edgecombe Parc")</f>
        <v>Edgecombe Parc</v>
      </c>
      <c r="C4600" s="1" t="s">
        <v>93</v>
      </c>
      <c r="D4600" s="1" t="s">
        <v>41</v>
      </c>
      <c r="E4600" s="3">
        <v>650000</v>
      </c>
      <c r="F4600" s="1">
        <v>686.37803590285102</v>
      </c>
      <c r="G4600" s="1">
        <v>5</v>
      </c>
      <c r="H4600" s="1">
        <v>2</v>
      </c>
      <c r="I4600" s="1">
        <v>2</v>
      </c>
      <c r="J4600" s="1">
        <v>2</v>
      </c>
      <c r="K4600" s="1">
        <v>2</v>
      </c>
      <c r="M4600" s="1">
        <v>947</v>
      </c>
      <c r="N4600" s="1">
        <v>801</v>
      </c>
      <c r="O4600" s="1">
        <v>1643</v>
      </c>
      <c r="P4600" s="1">
        <v>842</v>
      </c>
      <c r="Q4600" s="1" t="s">
        <v>42</v>
      </c>
      <c r="S4600" s="1" t="s">
        <v>42</v>
      </c>
      <c r="T4600" s="1" t="s">
        <v>273</v>
      </c>
      <c r="U4600" s="1">
        <v>141</v>
      </c>
      <c r="V4600" s="5">
        <v>44404</v>
      </c>
      <c r="W4600" s="5">
        <v>44086</v>
      </c>
      <c r="X4600" s="1">
        <v>849000</v>
      </c>
      <c r="Y4600" s="1">
        <v>699000</v>
      </c>
      <c r="Z4600" s="5">
        <v>44227</v>
      </c>
      <c r="AA4600" s="1">
        <v>650000</v>
      </c>
      <c r="AB4600" s="1" t="s">
        <v>3252</v>
      </c>
      <c r="AC4600" s="5">
        <v>44306</v>
      </c>
      <c r="AF4600" s="1">
        <v>10032</v>
      </c>
      <c r="AI4600" s="1" t="s">
        <v>203</v>
      </c>
      <c r="AJ4600" s="1">
        <v>2014</v>
      </c>
      <c r="AK4600" s="1" t="s">
        <v>175</v>
      </c>
      <c r="AL4600" s="1">
        <v>49</v>
      </c>
    </row>
    <row r="4601" spans="1:38" x14ac:dyDescent="0.2">
      <c r="A4601" s="2" t="str">
        <f>HYPERLINK("https://www.compass.com/listing/1-west-end-avenue-unit-25e-manhattan-ny-10069/183260648631827457/","1 W End Ave, Unit 25E")</f>
        <v>1 W End Ave, Unit 25E</v>
      </c>
      <c r="B4601" s="2" t="str">
        <f t="shared" ref="B4601:B4612" si="776">HYPERLINK("https://www.compass.com/building/1-w-end-ave-manhattan-ny-10069/455676159137755317/","1 W End Ave")</f>
        <v>1 W End Ave</v>
      </c>
      <c r="C4601" s="1" t="s">
        <v>57</v>
      </c>
      <c r="D4601" s="1" t="s">
        <v>41</v>
      </c>
      <c r="E4601" s="3">
        <v>5011932</v>
      </c>
      <c r="F4601" s="1">
        <v>2039.85836385836</v>
      </c>
      <c r="G4601" s="1">
        <v>6</v>
      </c>
      <c r="H4601" s="1">
        <v>3</v>
      </c>
      <c r="I4601" s="1">
        <v>4</v>
      </c>
      <c r="J4601" s="1">
        <v>3.5</v>
      </c>
      <c r="K4601" s="1">
        <v>3</v>
      </c>
      <c r="L4601" s="1">
        <v>1</v>
      </c>
      <c r="M4601" s="4">
        <v>2457</v>
      </c>
      <c r="N4601" s="1">
        <v>2816</v>
      </c>
      <c r="O4601" s="1">
        <v>2974</v>
      </c>
      <c r="P4601" s="1">
        <v>158</v>
      </c>
      <c r="Q4601" s="1" t="s">
        <v>42</v>
      </c>
      <c r="S4601" s="1" t="s">
        <v>42</v>
      </c>
      <c r="T4601" s="1" t="s">
        <v>273</v>
      </c>
      <c r="U4601" s="1">
        <v>26</v>
      </c>
      <c r="V4601" s="5">
        <v>44384</v>
      </c>
      <c r="W4601" s="5">
        <v>43505</v>
      </c>
      <c r="X4601" s="1">
        <v>5350000</v>
      </c>
      <c r="Y4601" s="1">
        <v>5350000</v>
      </c>
      <c r="Z4601" s="5">
        <v>43531</v>
      </c>
      <c r="AA4601" s="1">
        <v>5011932</v>
      </c>
      <c r="AB4601" s="1" t="s">
        <v>3253</v>
      </c>
      <c r="AC4601" s="5">
        <v>43544</v>
      </c>
      <c r="AF4601" s="1">
        <v>10069</v>
      </c>
      <c r="AI4601" s="1" t="s">
        <v>76</v>
      </c>
      <c r="AJ4601" s="1">
        <v>2017</v>
      </c>
      <c r="AK4601" s="1" t="s">
        <v>55</v>
      </c>
      <c r="AL4601" s="1">
        <v>246</v>
      </c>
    </row>
    <row r="4602" spans="1:38" x14ac:dyDescent="0.2">
      <c r="A4602" s="2" t="str">
        <f>HYPERLINK("https://www.compass.com/listing/1-west-end-avenue-unit-24e-manhattan-ny-10069/803302828021771025/","1 W End Ave, Unit 24E")</f>
        <v>1 W End Ave, Unit 24E</v>
      </c>
      <c r="B4602" s="2" t="str">
        <f t="shared" si="776"/>
        <v>1 W End Ave</v>
      </c>
      <c r="C4602" s="1" t="s">
        <v>57</v>
      </c>
      <c r="D4602" s="1" t="s">
        <v>41</v>
      </c>
      <c r="E4602" s="3">
        <v>4810444</v>
      </c>
      <c r="F4602" s="1">
        <v>1957.85265364265</v>
      </c>
      <c r="G4602" s="1">
        <v>5</v>
      </c>
      <c r="H4602" s="1">
        <v>3</v>
      </c>
      <c r="I4602" s="1">
        <v>4</v>
      </c>
      <c r="J4602" s="1">
        <v>3.5</v>
      </c>
      <c r="K4602" s="1">
        <v>3</v>
      </c>
      <c r="L4602" s="1">
        <v>1</v>
      </c>
      <c r="M4602" s="4">
        <v>2457</v>
      </c>
      <c r="N4602" s="1">
        <v>2816</v>
      </c>
      <c r="O4602" s="1">
        <v>2974</v>
      </c>
      <c r="P4602" s="1">
        <v>158</v>
      </c>
      <c r="Q4602" s="1" t="s">
        <v>42</v>
      </c>
      <c r="S4602" s="1" t="s">
        <v>42</v>
      </c>
      <c r="T4602" s="1" t="s">
        <v>273</v>
      </c>
      <c r="U4602" s="1">
        <v>204</v>
      </c>
      <c r="V4602" s="5">
        <v>44355</v>
      </c>
      <c r="W4602" s="5">
        <v>43299</v>
      </c>
      <c r="X4602" s="1">
        <v>5300000</v>
      </c>
      <c r="Y4602" s="1">
        <v>5300000</v>
      </c>
      <c r="AA4602" s="1">
        <v>4810443.97</v>
      </c>
      <c r="AB4602" s="1" t="s">
        <v>3245</v>
      </c>
      <c r="AC4602" s="5">
        <v>44313</v>
      </c>
      <c r="AF4602" s="1">
        <v>10069</v>
      </c>
      <c r="AI4602" s="1" t="s">
        <v>1683</v>
      </c>
      <c r="AJ4602" s="1">
        <v>2017</v>
      </c>
      <c r="AK4602" s="1" t="s">
        <v>55</v>
      </c>
      <c r="AL4602" s="1">
        <v>246</v>
      </c>
    </row>
    <row r="4603" spans="1:38" x14ac:dyDescent="0.2">
      <c r="A4603" s="2" t="str">
        <f>HYPERLINK("https://www.compass.com/listing/1-west-end-avenue-unit-24e-manhattan-ny-10069/803302828021771033/","1 W End Ave, Unit 24E")</f>
        <v>1 W End Ave, Unit 24E</v>
      </c>
      <c r="B4603" s="2" t="str">
        <f t="shared" si="776"/>
        <v>1 W End Ave</v>
      </c>
      <c r="C4603" s="1" t="s">
        <v>57</v>
      </c>
      <c r="D4603" s="1" t="s">
        <v>41</v>
      </c>
      <c r="E4603" s="3">
        <v>4810444</v>
      </c>
      <c r="F4603" s="1">
        <v>1957.85265364265</v>
      </c>
      <c r="G4603" s="1">
        <v>5</v>
      </c>
      <c r="H4603" s="1">
        <v>3</v>
      </c>
      <c r="I4603" s="1">
        <v>4</v>
      </c>
      <c r="J4603" s="1">
        <v>3.5</v>
      </c>
      <c r="K4603" s="1">
        <v>3</v>
      </c>
      <c r="L4603" s="1">
        <v>1</v>
      </c>
      <c r="M4603" s="4">
        <v>2457</v>
      </c>
      <c r="N4603" s="1">
        <v>2816</v>
      </c>
      <c r="O4603" s="1">
        <v>2974</v>
      </c>
      <c r="P4603" s="1">
        <v>158</v>
      </c>
      <c r="Q4603" s="1" t="s">
        <v>42</v>
      </c>
      <c r="S4603" s="1" t="s">
        <v>42</v>
      </c>
      <c r="T4603" s="1" t="s">
        <v>273</v>
      </c>
      <c r="U4603" s="1">
        <v>141</v>
      </c>
      <c r="V4603" s="5">
        <v>44355</v>
      </c>
      <c r="W4603" s="5">
        <v>43608</v>
      </c>
      <c r="X4603" s="1">
        <v>5300000</v>
      </c>
      <c r="Y4603" s="1">
        <v>5300000</v>
      </c>
      <c r="AA4603" s="1">
        <v>4810443.97</v>
      </c>
      <c r="AB4603" s="1" t="s">
        <v>3245</v>
      </c>
      <c r="AC4603" s="5">
        <v>44313</v>
      </c>
      <c r="AF4603" s="1">
        <v>10069</v>
      </c>
      <c r="AI4603" s="1" t="s">
        <v>76</v>
      </c>
      <c r="AJ4603" s="1">
        <v>2017</v>
      </c>
      <c r="AK4603" s="1" t="s">
        <v>55</v>
      </c>
      <c r="AL4603" s="1">
        <v>246</v>
      </c>
    </row>
    <row r="4604" spans="1:38" x14ac:dyDescent="0.2">
      <c r="A4604" s="2" t="str">
        <f>HYPERLINK("https://www.compass.com/listing/1-west-end-avenue-unit-37d-manhattan-ny-10069/183260648094883825/","1 W End Ave, Unit 37D")</f>
        <v>1 W End Ave, Unit 37D</v>
      </c>
      <c r="B4604" s="2" t="str">
        <f t="shared" si="776"/>
        <v>1 W End Ave</v>
      </c>
      <c r="C4604" s="1" t="s">
        <v>57</v>
      </c>
      <c r="D4604" s="1" t="s">
        <v>41</v>
      </c>
      <c r="E4604" s="3">
        <v>5500023</v>
      </c>
      <c r="F4604" s="1">
        <v>2214.17995169082</v>
      </c>
      <c r="G4604" s="1">
        <v>6.5</v>
      </c>
      <c r="H4604" s="1">
        <v>3</v>
      </c>
      <c r="I4604" s="1">
        <v>4</v>
      </c>
      <c r="J4604" s="1">
        <v>3.5</v>
      </c>
      <c r="K4604" s="1">
        <v>3</v>
      </c>
      <c r="L4604" s="1">
        <v>1</v>
      </c>
      <c r="M4604" s="4">
        <v>2484</v>
      </c>
      <c r="N4604" s="1">
        <v>2840</v>
      </c>
      <c r="O4604" s="1">
        <v>3000</v>
      </c>
      <c r="P4604" s="1">
        <v>160</v>
      </c>
      <c r="Q4604" s="1" t="s">
        <v>42</v>
      </c>
      <c r="S4604" s="1" t="s">
        <v>42</v>
      </c>
      <c r="T4604" s="1" t="s">
        <v>273</v>
      </c>
      <c r="V4604" s="5">
        <v>43719</v>
      </c>
      <c r="W4604" s="5">
        <v>43505</v>
      </c>
      <c r="X4604" s="1">
        <v>6125000</v>
      </c>
      <c r="Y4604" s="1">
        <v>6125000</v>
      </c>
      <c r="Z4604" s="5">
        <v>43505</v>
      </c>
      <c r="AA4604" s="1">
        <v>5500023</v>
      </c>
      <c r="AB4604" s="1" t="s">
        <v>3254</v>
      </c>
      <c r="AC4604" s="5">
        <v>43551</v>
      </c>
      <c r="AF4604" s="1">
        <v>10069</v>
      </c>
      <c r="AI4604" s="1" t="s">
        <v>2054</v>
      </c>
      <c r="AJ4604" s="1">
        <v>2017</v>
      </c>
      <c r="AK4604" s="1" t="s">
        <v>55</v>
      </c>
      <c r="AL4604" s="1">
        <v>246</v>
      </c>
    </row>
    <row r="4605" spans="1:38" x14ac:dyDescent="0.2">
      <c r="A4605" s="2" t="str">
        <f>HYPERLINK("https://www.compass.com/listing/1-west-end-avenue-unit-36d-manhattan-ny-10069/183260650661870977/","1 W End Ave, Unit 36D")</f>
        <v>1 W End Ave, Unit 36D</v>
      </c>
      <c r="B4605" s="2" t="str">
        <f t="shared" si="776"/>
        <v>1 W End Ave</v>
      </c>
      <c r="C4605" s="1" t="s">
        <v>57</v>
      </c>
      <c r="D4605" s="1" t="s">
        <v>41</v>
      </c>
      <c r="E4605" s="3">
        <v>5594595</v>
      </c>
      <c r="F4605" s="1">
        <v>2252.2525885668201</v>
      </c>
      <c r="G4605" s="1">
        <v>6</v>
      </c>
      <c r="H4605" s="1">
        <v>3</v>
      </c>
      <c r="I4605" s="1">
        <v>4</v>
      </c>
      <c r="J4605" s="1">
        <v>3.5</v>
      </c>
      <c r="K4605" s="1">
        <v>3</v>
      </c>
      <c r="L4605" s="1">
        <v>1</v>
      </c>
      <c r="M4605" s="4">
        <v>2484</v>
      </c>
      <c r="N4605" s="1">
        <v>2840</v>
      </c>
      <c r="O4605" s="1">
        <v>3000</v>
      </c>
      <c r="P4605" s="1">
        <v>160</v>
      </c>
      <c r="Q4605" s="1" t="s">
        <v>42</v>
      </c>
      <c r="S4605" s="1" t="s">
        <v>42</v>
      </c>
      <c r="T4605" s="1" t="s">
        <v>273</v>
      </c>
      <c r="U4605" s="1">
        <v>87</v>
      </c>
      <c r="V4605" s="5">
        <v>43719</v>
      </c>
      <c r="W4605" s="5">
        <v>43503</v>
      </c>
      <c r="X4605" s="1">
        <v>5925000</v>
      </c>
      <c r="Y4605" s="1">
        <v>5925000</v>
      </c>
      <c r="Z4605" s="5">
        <v>43590</v>
      </c>
      <c r="AA4605" s="1">
        <v>5594595.4299999997</v>
      </c>
      <c r="AB4605" s="1" t="s">
        <v>3255</v>
      </c>
      <c r="AC4605" s="5">
        <v>43636</v>
      </c>
      <c r="AF4605" s="1">
        <v>10069</v>
      </c>
      <c r="AI4605" s="1" t="s">
        <v>60</v>
      </c>
      <c r="AJ4605" s="1">
        <v>2017</v>
      </c>
      <c r="AK4605" s="1" t="s">
        <v>55</v>
      </c>
      <c r="AL4605" s="1">
        <v>246</v>
      </c>
    </row>
    <row r="4606" spans="1:38" x14ac:dyDescent="0.2">
      <c r="A4606" s="2" t="str">
        <f>HYPERLINK("https://www.compass.com/listing/1-west-end-avenue-unit-26a-manhattan-ny-10069/242818744395550081/","1 W End Ave, Unit 26A")</f>
        <v>1 W End Ave, Unit 26A</v>
      </c>
      <c r="B4606" s="2" t="str">
        <f t="shared" si="776"/>
        <v>1 W End Ave</v>
      </c>
      <c r="C4606" s="1" t="s">
        <v>57</v>
      </c>
      <c r="D4606" s="1" t="s">
        <v>41</v>
      </c>
      <c r="E4606" s="3">
        <v>5459036</v>
      </c>
      <c r="F4606" s="1">
        <v>1904.7579518492601</v>
      </c>
      <c r="G4606" s="1">
        <v>6</v>
      </c>
      <c r="H4606" s="1">
        <v>3</v>
      </c>
      <c r="I4606" s="1">
        <v>4</v>
      </c>
      <c r="J4606" s="1">
        <v>3.5</v>
      </c>
      <c r="K4606" s="1">
        <v>3</v>
      </c>
      <c r="L4606" s="1">
        <v>1</v>
      </c>
      <c r="M4606" s="4">
        <v>2866</v>
      </c>
      <c r="N4606" s="1">
        <v>3171</v>
      </c>
      <c r="O4606" s="1">
        <v>3349</v>
      </c>
      <c r="P4606" s="1">
        <v>178</v>
      </c>
      <c r="Q4606" s="1" t="s">
        <v>42</v>
      </c>
      <c r="S4606" s="1" t="s">
        <v>42</v>
      </c>
      <c r="T4606" s="1" t="s">
        <v>273</v>
      </c>
      <c r="U4606" s="1">
        <v>83</v>
      </c>
      <c r="V4606" s="5">
        <v>43719</v>
      </c>
      <c r="W4606" s="5">
        <v>43503</v>
      </c>
      <c r="X4606" s="1">
        <v>5770000</v>
      </c>
      <c r="Y4606" s="1">
        <v>5770000</v>
      </c>
      <c r="Z4606" s="5">
        <v>43587</v>
      </c>
      <c r="AA4606" s="1">
        <v>5459036.29</v>
      </c>
      <c r="AB4606" s="1" t="s">
        <v>3256</v>
      </c>
      <c r="AC4606" s="5">
        <v>43634</v>
      </c>
      <c r="AF4606" s="1">
        <v>10069</v>
      </c>
      <c r="AI4606" s="1" t="s">
        <v>205</v>
      </c>
      <c r="AJ4606" s="1">
        <v>2017</v>
      </c>
      <c r="AK4606" s="1" t="s">
        <v>55</v>
      </c>
      <c r="AL4606" s="1">
        <v>246</v>
      </c>
    </row>
    <row r="4607" spans="1:38" x14ac:dyDescent="0.2">
      <c r="A4607" s="2" t="str">
        <f>HYPERLINK("https://www.compass.com/listing/1-west-end-avenue-unit-25f-manhattan-ny-10069/29397368420006721/","1 W End Ave, Unit 25F")</f>
        <v>1 W End Ave, Unit 25F</v>
      </c>
      <c r="B4607" s="2" t="str">
        <f t="shared" si="776"/>
        <v>1 W End Ave</v>
      </c>
      <c r="C4607" s="1" t="s">
        <v>57</v>
      </c>
      <c r="D4607" s="1" t="s">
        <v>41</v>
      </c>
      <c r="E4607" s="3">
        <v>5850018</v>
      </c>
      <c r="F4607" s="1">
        <v>2062.77080394922</v>
      </c>
      <c r="G4607" s="1">
        <v>7</v>
      </c>
      <c r="H4607" s="1">
        <v>4</v>
      </c>
      <c r="I4607" s="1">
        <v>4</v>
      </c>
      <c r="J4607" s="1">
        <v>4</v>
      </c>
      <c r="K4607" s="1">
        <v>4</v>
      </c>
      <c r="M4607" s="4">
        <v>2836</v>
      </c>
      <c r="N4607" s="1">
        <v>3373</v>
      </c>
      <c r="O4607" s="1">
        <v>3563</v>
      </c>
      <c r="P4607" s="1">
        <v>190</v>
      </c>
      <c r="Q4607" s="1" t="s">
        <v>42</v>
      </c>
      <c r="S4607" s="1" t="s">
        <v>42</v>
      </c>
      <c r="T4607" s="1" t="s">
        <v>273</v>
      </c>
      <c r="V4607" s="5">
        <v>43626</v>
      </c>
      <c r="W4607" s="5">
        <v>43091</v>
      </c>
      <c r="X4607" s="1">
        <v>6450000</v>
      </c>
      <c r="Y4607" s="1">
        <v>6450000</v>
      </c>
      <c r="Z4607" s="5">
        <v>43091</v>
      </c>
      <c r="AA4607" s="1">
        <v>5850018</v>
      </c>
      <c r="AB4607" s="1" t="s">
        <v>3257</v>
      </c>
      <c r="AC4607" s="5">
        <v>43207</v>
      </c>
      <c r="AF4607" s="1">
        <v>10069</v>
      </c>
      <c r="AI4607" s="1" t="s">
        <v>60</v>
      </c>
      <c r="AJ4607" s="1">
        <v>2017</v>
      </c>
      <c r="AK4607" s="1" t="s">
        <v>55</v>
      </c>
      <c r="AL4607" s="1">
        <v>246</v>
      </c>
    </row>
    <row r="4608" spans="1:38" x14ac:dyDescent="0.2">
      <c r="A4608" s="2" t="str">
        <f>HYPERLINK("https://www.compass.com/listing/1-west-end-avenue-unit-21f-manhattan-ny-10069/29512722886480129/","1 W End Ave, Unit 21F")</f>
        <v>1 W End Ave, Unit 21F</v>
      </c>
      <c r="B4608" s="2" t="str">
        <f t="shared" si="776"/>
        <v>1 W End Ave</v>
      </c>
      <c r="C4608" s="1" t="s">
        <v>57</v>
      </c>
      <c r="D4608" s="1" t="s">
        <v>41</v>
      </c>
      <c r="E4608" s="3">
        <v>5616653</v>
      </c>
      <c r="F4608" s="1">
        <v>1980.48414668547</v>
      </c>
      <c r="G4608" s="1">
        <v>7</v>
      </c>
      <c r="H4608" s="1">
        <v>4</v>
      </c>
      <c r="I4608" s="1">
        <v>5</v>
      </c>
      <c r="J4608" s="1">
        <v>4.5</v>
      </c>
      <c r="K4608" s="1">
        <v>4</v>
      </c>
      <c r="L4608" s="1">
        <v>1</v>
      </c>
      <c r="M4608" s="4">
        <v>2836</v>
      </c>
      <c r="N4608" s="1">
        <v>3373</v>
      </c>
      <c r="O4608" s="1">
        <v>3562</v>
      </c>
      <c r="P4608" s="1">
        <v>189</v>
      </c>
      <c r="Q4608" s="1" t="s">
        <v>42</v>
      </c>
      <c r="S4608" s="1" t="s">
        <v>42</v>
      </c>
      <c r="T4608" s="1" t="s">
        <v>273</v>
      </c>
      <c r="U4608" s="1">
        <v>444</v>
      </c>
      <c r="V4608" s="5">
        <v>43621</v>
      </c>
      <c r="W4608" s="5">
        <v>43109</v>
      </c>
      <c r="X4608" s="1">
        <v>5995000</v>
      </c>
      <c r="Y4608" s="1">
        <v>5995000</v>
      </c>
      <c r="Z4608" s="5">
        <v>43554</v>
      </c>
      <c r="AA4608" s="1">
        <v>5616653.04</v>
      </c>
      <c r="AB4608" s="1" t="s">
        <v>3258</v>
      </c>
      <c r="AC4608" s="5">
        <v>43614</v>
      </c>
      <c r="AF4608" s="1">
        <v>10069</v>
      </c>
      <c r="AI4608" s="1" t="s">
        <v>60</v>
      </c>
      <c r="AJ4608" s="1">
        <v>2017</v>
      </c>
      <c r="AK4608" s="1" t="s">
        <v>55</v>
      </c>
      <c r="AL4608" s="1">
        <v>246</v>
      </c>
    </row>
    <row r="4609" spans="1:38" x14ac:dyDescent="0.2">
      <c r="A4609" s="2" t="str">
        <f>HYPERLINK("https://www.compass.com/listing/1-west-end-avenue-unit-23f-manhattan-ny-10069/803317329601042161/","1 W End Ave, Unit 23F")</f>
        <v>1 W End Ave, Unit 23F</v>
      </c>
      <c r="B4609" s="2" t="str">
        <f t="shared" si="776"/>
        <v>1 W End Ave</v>
      </c>
      <c r="C4609" s="1" t="s">
        <v>57</v>
      </c>
      <c r="D4609" s="1" t="s">
        <v>41</v>
      </c>
      <c r="E4609" s="3">
        <v>5855543</v>
      </c>
      <c r="F4609" s="1">
        <v>2064.7191396332801</v>
      </c>
      <c r="G4609" s="1">
        <v>6</v>
      </c>
      <c r="H4609" s="1">
        <v>4</v>
      </c>
      <c r="I4609" s="1">
        <v>5</v>
      </c>
      <c r="J4609" s="1">
        <v>4.5</v>
      </c>
      <c r="K4609" s="1">
        <v>4</v>
      </c>
      <c r="L4609" s="1">
        <v>1</v>
      </c>
      <c r="M4609" s="4">
        <v>2836</v>
      </c>
      <c r="N4609" s="1">
        <v>3373</v>
      </c>
      <c r="O4609" s="1">
        <v>3563</v>
      </c>
      <c r="P4609" s="1">
        <v>190</v>
      </c>
      <c r="Q4609" s="1" t="s">
        <v>42</v>
      </c>
      <c r="S4609" s="1" t="s">
        <v>42</v>
      </c>
      <c r="T4609" s="1" t="s">
        <v>273</v>
      </c>
      <c r="U4609" s="1">
        <v>98</v>
      </c>
      <c r="V4609" s="5">
        <v>43504</v>
      </c>
      <c r="W4609" s="5">
        <v>43405</v>
      </c>
      <c r="X4609" s="1">
        <v>6350000</v>
      </c>
      <c r="Y4609" s="1">
        <v>6350000</v>
      </c>
      <c r="AA4609" s="1">
        <v>5855543.4800000004</v>
      </c>
      <c r="AB4609" s="1" t="s">
        <v>2209</v>
      </c>
      <c r="AC4609" s="5">
        <v>43616</v>
      </c>
      <c r="AF4609" s="1">
        <v>10069</v>
      </c>
      <c r="AI4609" s="1" t="s">
        <v>76</v>
      </c>
      <c r="AJ4609" s="1">
        <v>2017</v>
      </c>
      <c r="AK4609" s="1" t="s">
        <v>55</v>
      </c>
      <c r="AL4609" s="1">
        <v>246</v>
      </c>
    </row>
    <row r="4610" spans="1:38" x14ac:dyDescent="0.2">
      <c r="A4610" s="2" t="str">
        <f>HYPERLINK("https://www.compass.com/listing/1-west-end-avenue-unit-31c-manhattan-ny-10069/803329242624248905/","1 W End Ave, Unit 31C")</f>
        <v>1 W End Ave, Unit 31C</v>
      </c>
      <c r="B4610" s="2" t="str">
        <f t="shared" si="776"/>
        <v>1 W End Ave</v>
      </c>
      <c r="C4610" s="1" t="s">
        <v>57</v>
      </c>
      <c r="D4610" s="1" t="s">
        <v>41</v>
      </c>
      <c r="E4610" s="3">
        <v>4862013</v>
      </c>
      <c r="F4610" s="1">
        <v>2164.7429252003499</v>
      </c>
      <c r="G4610" s="1">
        <v>6</v>
      </c>
      <c r="H4610" s="1">
        <v>3</v>
      </c>
      <c r="I4610" s="1">
        <v>4</v>
      </c>
      <c r="J4610" s="1">
        <v>3.5</v>
      </c>
      <c r="K4610" s="1">
        <v>3</v>
      </c>
      <c r="L4610" s="1">
        <v>1</v>
      </c>
      <c r="M4610" s="4">
        <v>2246</v>
      </c>
      <c r="N4610" s="1">
        <v>2633</v>
      </c>
      <c r="O4610" s="1">
        <v>2781</v>
      </c>
      <c r="P4610" s="1">
        <v>148</v>
      </c>
      <c r="Q4610" s="1" t="s">
        <v>42</v>
      </c>
      <c r="S4610" s="1" t="s">
        <v>42</v>
      </c>
      <c r="T4610" s="1" t="s">
        <v>273</v>
      </c>
      <c r="U4610" s="1">
        <v>135</v>
      </c>
      <c r="V4610" s="5">
        <v>44336</v>
      </c>
      <c r="W4610" s="5">
        <v>43109</v>
      </c>
      <c r="X4610" s="1">
        <v>5675000</v>
      </c>
      <c r="Y4610" s="1">
        <v>5675000</v>
      </c>
      <c r="AA4610" s="1">
        <v>4862012.6100000003</v>
      </c>
      <c r="AB4610" s="1" t="s">
        <v>3259</v>
      </c>
      <c r="AC4610" s="5">
        <v>44313</v>
      </c>
      <c r="AF4610" s="1">
        <v>10069</v>
      </c>
      <c r="AI4610" s="1" t="s">
        <v>2054</v>
      </c>
      <c r="AJ4610" s="1">
        <v>2017</v>
      </c>
      <c r="AK4610" s="1" t="s">
        <v>55</v>
      </c>
      <c r="AL4610" s="1">
        <v>246</v>
      </c>
    </row>
    <row r="4611" spans="1:38" x14ac:dyDescent="0.2">
      <c r="A4611" s="2" t="str">
        <f>HYPERLINK("https://www.compass.com/listing/1-west-end-avenue-unit-21a-manhattan-ny-10069/803351006825773289/","1 W End Ave, Unit 21A")</f>
        <v>1 W End Ave, Unit 21A</v>
      </c>
      <c r="B4611" s="2" t="str">
        <f t="shared" si="776"/>
        <v>1 W End Ave</v>
      </c>
      <c r="C4611" s="1" t="s">
        <v>57</v>
      </c>
      <c r="D4611" s="1" t="s">
        <v>41</v>
      </c>
      <c r="E4611" s="3">
        <v>4915380</v>
      </c>
      <c r="F4611" s="1">
        <v>1808.4547718910901</v>
      </c>
      <c r="G4611" s="1">
        <v>6</v>
      </c>
      <c r="H4611" s="1">
        <v>3</v>
      </c>
      <c r="I4611" s="1">
        <v>4</v>
      </c>
      <c r="J4611" s="1">
        <v>3.5</v>
      </c>
      <c r="K4611" s="1">
        <v>3</v>
      </c>
      <c r="L4611" s="1">
        <v>1</v>
      </c>
      <c r="M4611" s="4">
        <v>2718</v>
      </c>
      <c r="N4611" s="1">
        <v>3043</v>
      </c>
      <c r="O4611" s="1">
        <v>3214</v>
      </c>
      <c r="P4611" s="1">
        <v>171</v>
      </c>
      <c r="Q4611" s="1" t="s">
        <v>42</v>
      </c>
      <c r="S4611" s="1" t="s">
        <v>42</v>
      </c>
      <c r="T4611" s="1" t="s">
        <v>273</v>
      </c>
      <c r="U4611" s="1">
        <v>34</v>
      </c>
      <c r="V4611" s="5">
        <v>43803</v>
      </c>
      <c r="W4611" s="5">
        <v>43768</v>
      </c>
      <c r="X4611" s="1">
        <v>4995000</v>
      </c>
      <c r="Y4611" s="1">
        <v>4995000</v>
      </c>
      <c r="AA4611" s="1">
        <v>4915380.07</v>
      </c>
      <c r="AB4611" s="1" t="s">
        <v>2190</v>
      </c>
      <c r="AC4611" s="5">
        <v>43914</v>
      </c>
      <c r="AF4611" s="1">
        <v>10069</v>
      </c>
      <c r="AI4611" s="1" t="s">
        <v>76</v>
      </c>
      <c r="AJ4611" s="1">
        <v>2017</v>
      </c>
      <c r="AK4611" s="1" t="s">
        <v>55</v>
      </c>
      <c r="AL4611" s="1">
        <v>246</v>
      </c>
    </row>
    <row r="4612" spans="1:38" x14ac:dyDescent="0.2">
      <c r="A4612" s="2" t="str">
        <f>HYPERLINK("https://www.compass.com/listing/1-west-end-avenue-unit-37c-manhattan-ny-10069/96907025832741313/","1 W End Ave, Unit 37C")</f>
        <v>1 W End Ave, Unit 37C</v>
      </c>
      <c r="B4612" s="2" t="str">
        <f t="shared" si="776"/>
        <v>1 W End Ave</v>
      </c>
      <c r="C4612" s="1" t="s">
        <v>57</v>
      </c>
      <c r="D4612" s="1" t="s">
        <v>41</v>
      </c>
      <c r="E4612" s="3">
        <v>5865921</v>
      </c>
      <c r="F4612" s="1">
        <v>2612.8824053452099</v>
      </c>
      <c r="G4612" s="1">
        <v>6</v>
      </c>
      <c r="H4612" s="1">
        <v>3</v>
      </c>
      <c r="I4612" s="1">
        <v>4</v>
      </c>
      <c r="J4612" s="1">
        <v>3.5</v>
      </c>
      <c r="M4612" s="4">
        <v>2245</v>
      </c>
      <c r="N4612" s="1">
        <v>2632</v>
      </c>
      <c r="O4612" s="1">
        <v>2780</v>
      </c>
      <c r="P4612" s="1">
        <v>148</v>
      </c>
      <c r="Q4612" s="1" t="s">
        <v>42</v>
      </c>
      <c r="S4612" s="1" t="s">
        <v>42</v>
      </c>
      <c r="T4612" s="1" t="s">
        <v>273</v>
      </c>
      <c r="V4612" s="5">
        <v>43624</v>
      </c>
      <c r="W4612" s="5">
        <v>43386</v>
      </c>
      <c r="X4612" s="1">
        <v>6125000</v>
      </c>
      <c r="Y4612" s="1">
        <v>6125000</v>
      </c>
      <c r="Z4612" s="5">
        <v>43386</v>
      </c>
      <c r="AA4612" s="1">
        <v>5865921</v>
      </c>
      <c r="AB4612" s="1" t="s">
        <v>3260</v>
      </c>
      <c r="AC4612" s="5">
        <v>43425</v>
      </c>
      <c r="AF4612" s="1">
        <v>10069</v>
      </c>
      <c r="AI4612" s="1" t="s">
        <v>2054</v>
      </c>
      <c r="AJ4612" s="1">
        <v>2017</v>
      </c>
      <c r="AK4612" s="1" t="s">
        <v>55</v>
      </c>
      <c r="AL4612" s="1">
        <v>246</v>
      </c>
    </row>
    <row r="4613" spans="1:38" x14ac:dyDescent="0.2">
      <c r="A4613" s="2" t="str">
        <f>HYPERLINK("https://www.compass.com/listing/2231-adam-clayton-powell-jr-boulevard-unit-ph8-manhattan-ny-10027/192575542992655665/","2231 Adam Clayton Powell Jr Blvd, Unit PH8")</f>
        <v>2231 Adam Clayton Powell Jr Blvd, Unit PH8</v>
      </c>
      <c r="B4613" s="2" t="str">
        <f>HYPERLINK("https://www.compass.com/building/the-aurum-manhattan-ny/307451641162444869/","The Aurum")</f>
        <v>The Aurum</v>
      </c>
      <c r="C4613" s="1" t="s">
        <v>85</v>
      </c>
      <c r="D4613" s="1" t="s">
        <v>41</v>
      </c>
      <c r="E4613" s="3">
        <v>1525338</v>
      </c>
      <c r="F4613" s="1">
        <v>1304.8229255774099</v>
      </c>
      <c r="G4613" s="1">
        <v>5</v>
      </c>
      <c r="H4613" s="1">
        <v>3</v>
      </c>
      <c r="I4613" s="1">
        <v>2</v>
      </c>
      <c r="J4613" s="1">
        <v>2</v>
      </c>
      <c r="M4613" s="4">
        <v>1169</v>
      </c>
      <c r="N4613" s="1">
        <v>1115</v>
      </c>
      <c r="O4613" s="1">
        <v>1322</v>
      </c>
      <c r="P4613" s="1">
        <v>207</v>
      </c>
      <c r="Q4613" s="1" t="s">
        <v>42</v>
      </c>
      <c r="S4613" s="1" t="s">
        <v>42</v>
      </c>
      <c r="T4613" s="1" t="s">
        <v>273</v>
      </c>
      <c r="U4613" s="1">
        <v>134</v>
      </c>
      <c r="V4613" s="5">
        <v>43665</v>
      </c>
      <c r="W4613" s="5">
        <v>42493</v>
      </c>
      <c r="X4613" s="1">
        <v>1498000</v>
      </c>
      <c r="Y4613" s="1">
        <v>1498000</v>
      </c>
      <c r="Z4613" s="5">
        <v>42627</v>
      </c>
      <c r="AA4613" s="1">
        <v>1525338</v>
      </c>
      <c r="AB4613" s="1" t="s">
        <v>275</v>
      </c>
      <c r="AC4613" s="5">
        <v>42726</v>
      </c>
      <c r="AF4613" s="1">
        <v>10027</v>
      </c>
      <c r="AI4613" s="1" t="s">
        <v>103</v>
      </c>
      <c r="AJ4613" s="1">
        <v>2016</v>
      </c>
      <c r="AK4613" s="1" t="s">
        <v>108</v>
      </c>
      <c r="AL4613" s="1">
        <v>115</v>
      </c>
    </row>
    <row r="4614" spans="1:38" x14ac:dyDescent="0.2">
      <c r="A4614" s="2" t="str">
        <f>HYPERLINK("https://www.compass.com/listing/172-madison-avenue-unit-8a-manhattan-ny-10016/687730247361365849/","172 Madison Ave, Unit 8A")</f>
        <v>172 Madison Ave, Unit 8A</v>
      </c>
      <c r="B4614" s="2" t="str">
        <f>HYPERLINK("https://www.compass.com/building/172-madison-ave-manhattan-ny-10016/281937956250376981/","172 Madison Ave")</f>
        <v>172 Madison Ave</v>
      </c>
      <c r="C4614" s="1" t="s">
        <v>120</v>
      </c>
      <c r="D4614" s="1" t="s">
        <v>41</v>
      </c>
      <c r="E4614" s="3">
        <v>2350000</v>
      </c>
      <c r="F4614" s="1">
        <v>1588.91142663962</v>
      </c>
      <c r="G4614" s="1">
        <v>5</v>
      </c>
      <c r="H4614" s="1">
        <v>2</v>
      </c>
      <c r="I4614" s="1">
        <v>3</v>
      </c>
      <c r="J4614" s="1">
        <v>2.5</v>
      </c>
      <c r="K4614" s="1">
        <v>2</v>
      </c>
      <c r="L4614" s="1">
        <v>1</v>
      </c>
      <c r="M4614" s="4">
        <v>1479</v>
      </c>
      <c r="N4614" s="1">
        <v>1992</v>
      </c>
      <c r="O4614" s="1">
        <v>4934</v>
      </c>
      <c r="P4614" s="1">
        <v>2942</v>
      </c>
      <c r="Q4614" s="1" t="s">
        <v>129</v>
      </c>
      <c r="S4614" s="1" t="s">
        <v>42</v>
      </c>
      <c r="T4614" s="1" t="s">
        <v>273</v>
      </c>
      <c r="U4614" s="1">
        <v>93</v>
      </c>
      <c r="V4614" s="5">
        <v>44324</v>
      </c>
      <c r="W4614" s="5">
        <v>44201</v>
      </c>
      <c r="X4614" s="1">
        <v>2500000</v>
      </c>
      <c r="Y4614" s="1">
        <v>2388000</v>
      </c>
      <c r="AA4614" s="1">
        <v>2350000</v>
      </c>
      <c r="AB4614" s="1" t="s">
        <v>3261</v>
      </c>
      <c r="AC4614" s="5">
        <v>44308</v>
      </c>
      <c r="AF4614" s="1">
        <v>10016</v>
      </c>
      <c r="AI4614" s="1" t="s">
        <v>177</v>
      </c>
      <c r="AJ4614" s="1">
        <v>2016</v>
      </c>
      <c r="AK4614" s="1" t="s">
        <v>46</v>
      </c>
      <c r="AL4614" s="1">
        <v>72</v>
      </c>
    </row>
    <row r="4615" spans="1:38" x14ac:dyDescent="0.2">
      <c r="A4615" s="2" t="str">
        <f>HYPERLINK("https://www.compass.com/listing/416-west-52nd-street-unit-426-manhattan-ny-10019/212994705686829393/","416 W 52nd St, Unit 426")</f>
        <v>416 W 52nd St, Unit 426</v>
      </c>
      <c r="B4615" s="2" t="str">
        <f t="shared" ref="B4615:B4623" si="777">HYPERLINK("https://www.compass.com/building/nine52-manhattan-ny/281945622951555813/","Nine52")</f>
        <v>Nine52</v>
      </c>
      <c r="C4615" s="1" t="s">
        <v>90</v>
      </c>
      <c r="D4615" s="1" t="s">
        <v>41</v>
      </c>
      <c r="E4615" s="3">
        <v>1515000</v>
      </c>
      <c r="F4615" s="1">
        <v>1531.8503538928201</v>
      </c>
      <c r="H4615" s="1">
        <v>2</v>
      </c>
      <c r="J4615" s="1">
        <v>2</v>
      </c>
      <c r="K4615" s="1">
        <v>2</v>
      </c>
      <c r="M4615" s="1">
        <v>989</v>
      </c>
      <c r="N4615" s="1">
        <v>674</v>
      </c>
      <c r="O4615" s="1">
        <v>1977</v>
      </c>
      <c r="P4615" s="1">
        <v>1303</v>
      </c>
      <c r="Q4615" s="1" t="s">
        <v>42</v>
      </c>
      <c r="S4615" s="1" t="s">
        <v>42</v>
      </c>
      <c r="T4615" s="1" t="s">
        <v>273</v>
      </c>
      <c r="AA4615" s="1">
        <v>1515000</v>
      </c>
      <c r="AB4615" s="1" t="s">
        <v>3262</v>
      </c>
      <c r="AC4615" s="5">
        <v>42769</v>
      </c>
      <c r="AF4615" s="1">
        <v>10019</v>
      </c>
      <c r="AI4615" s="1" t="s">
        <v>48</v>
      </c>
      <c r="AJ4615" s="1">
        <v>1940</v>
      </c>
      <c r="AK4615" s="1" t="s">
        <v>55</v>
      </c>
      <c r="AL4615" s="1">
        <v>155</v>
      </c>
    </row>
    <row r="4616" spans="1:38" x14ac:dyDescent="0.2">
      <c r="A4616" s="2" t="str">
        <f>HYPERLINK("https://www.compass.com/listing/416-west-52nd-street-unit-526-manhattan-ny-10019/213467777040651825/","416 W 52nd St, Unit 526")</f>
        <v>416 W 52nd St, Unit 526</v>
      </c>
      <c r="B4616" s="2" t="str">
        <f t="shared" si="777"/>
        <v>Nine52</v>
      </c>
      <c r="C4616" s="1" t="s">
        <v>90</v>
      </c>
      <c r="D4616" s="1" t="s">
        <v>41</v>
      </c>
      <c r="E4616" s="3">
        <v>1550000</v>
      </c>
      <c r="F4616" s="1">
        <v>1567.23963599595</v>
      </c>
      <c r="H4616" s="1">
        <v>2</v>
      </c>
      <c r="J4616" s="1">
        <v>2</v>
      </c>
      <c r="K4616" s="1">
        <v>2</v>
      </c>
      <c r="M4616" s="1">
        <v>989</v>
      </c>
      <c r="N4616" s="1">
        <v>674</v>
      </c>
      <c r="O4616" s="1">
        <v>1977</v>
      </c>
      <c r="P4616" s="1">
        <v>1303</v>
      </c>
      <c r="Q4616" s="1" t="s">
        <v>42</v>
      </c>
      <c r="S4616" s="1" t="s">
        <v>42</v>
      </c>
      <c r="T4616" s="1" t="s">
        <v>273</v>
      </c>
      <c r="AA4616" s="1">
        <v>1550000</v>
      </c>
      <c r="AB4616" s="1" t="s">
        <v>3263</v>
      </c>
      <c r="AC4616" s="5">
        <v>42774</v>
      </c>
      <c r="AF4616" s="1">
        <v>10019</v>
      </c>
      <c r="AI4616" s="1" t="s">
        <v>48</v>
      </c>
      <c r="AJ4616" s="1">
        <v>1940</v>
      </c>
      <c r="AK4616" s="1" t="s">
        <v>55</v>
      </c>
      <c r="AL4616" s="1">
        <v>155</v>
      </c>
    </row>
    <row r="4617" spans="1:38" x14ac:dyDescent="0.2">
      <c r="A4617" s="2" t="str">
        <f>HYPERLINK("https://www.compass.com/listing/416-west-52nd-street-unit-426-manhattan-ny-10019/29389272012412225/","416 W 52nd St, Unit 426")</f>
        <v>416 W 52nd St, Unit 426</v>
      </c>
      <c r="B4617" s="2" t="str">
        <f t="shared" si="777"/>
        <v>Nine52</v>
      </c>
      <c r="C4617" s="1" t="s">
        <v>90</v>
      </c>
      <c r="D4617" s="1" t="s">
        <v>41</v>
      </c>
      <c r="E4617" s="3">
        <v>1515000</v>
      </c>
      <c r="F4617" s="1">
        <v>1531.8503538928201</v>
      </c>
      <c r="G4617" s="1">
        <v>3</v>
      </c>
      <c r="H4617" s="1">
        <v>2</v>
      </c>
      <c r="I4617" s="1">
        <v>2</v>
      </c>
      <c r="J4617" s="1">
        <v>2</v>
      </c>
      <c r="K4617" s="1">
        <v>2</v>
      </c>
      <c r="M4617" s="1">
        <v>989</v>
      </c>
      <c r="N4617" s="1">
        <v>674</v>
      </c>
      <c r="O4617" s="1">
        <v>1977</v>
      </c>
      <c r="P4617" s="1">
        <v>1303</v>
      </c>
      <c r="Q4617" s="1" t="s">
        <v>42</v>
      </c>
      <c r="S4617" s="1" t="s">
        <v>42</v>
      </c>
      <c r="T4617" s="1" t="s">
        <v>273</v>
      </c>
      <c r="V4617" s="5">
        <v>42777</v>
      </c>
      <c r="W4617" s="5">
        <v>42775</v>
      </c>
      <c r="X4617" s="1">
        <v>1515000</v>
      </c>
      <c r="Y4617" s="1">
        <v>1515000</v>
      </c>
      <c r="Z4617" s="5">
        <v>42775</v>
      </c>
      <c r="AA4617" s="1">
        <v>1515000</v>
      </c>
      <c r="AB4617" s="1" t="s">
        <v>275</v>
      </c>
      <c r="AC4617" s="5">
        <v>42777</v>
      </c>
      <c r="AF4617" s="1">
        <v>10019</v>
      </c>
      <c r="AI4617" s="1" t="s">
        <v>48</v>
      </c>
      <c r="AJ4617" s="1">
        <v>1940</v>
      </c>
      <c r="AK4617" s="1" t="s">
        <v>108</v>
      </c>
      <c r="AL4617" s="1">
        <v>155</v>
      </c>
    </row>
    <row r="4618" spans="1:38" x14ac:dyDescent="0.2">
      <c r="A4618" s="2" t="str">
        <f>HYPERLINK("https://www.compass.com/listing/416-west-52nd-street-unit-514-manhattan-ny-10019/29389277649546801/","416 W 52nd St, Unit 514")</f>
        <v>416 W 52nd St, Unit 514</v>
      </c>
      <c r="B4618" s="2" t="str">
        <f t="shared" si="777"/>
        <v>Nine52</v>
      </c>
      <c r="C4618" s="1" t="s">
        <v>90</v>
      </c>
      <c r="D4618" s="1" t="s">
        <v>41</v>
      </c>
      <c r="E4618" s="3">
        <v>1867500</v>
      </c>
      <c r="F4618" s="1">
        <v>1708.60018298261</v>
      </c>
      <c r="G4618" s="1">
        <v>4</v>
      </c>
      <c r="H4618" s="1">
        <v>2</v>
      </c>
      <c r="I4618" s="1">
        <v>2</v>
      </c>
      <c r="J4618" s="1">
        <v>2</v>
      </c>
      <c r="K4618" s="1">
        <v>2</v>
      </c>
      <c r="M4618" s="4">
        <v>1093</v>
      </c>
      <c r="N4618" s="1">
        <v>706</v>
      </c>
      <c r="O4618" s="1">
        <v>2070</v>
      </c>
      <c r="P4618" s="1">
        <v>1364</v>
      </c>
      <c r="Q4618" s="1" t="s">
        <v>42</v>
      </c>
      <c r="S4618" s="1" t="s">
        <v>42</v>
      </c>
      <c r="T4618" s="1" t="s">
        <v>273</v>
      </c>
      <c r="V4618" s="5">
        <v>43664</v>
      </c>
      <c r="W4618" s="5">
        <v>42857</v>
      </c>
      <c r="X4618" s="1">
        <v>1930000</v>
      </c>
      <c r="Y4618" s="1">
        <v>1930000</v>
      </c>
      <c r="Z4618" s="5">
        <v>42857</v>
      </c>
      <c r="AA4618" s="1">
        <v>1867500</v>
      </c>
      <c r="AB4618" s="1" t="s">
        <v>3264</v>
      </c>
      <c r="AC4618" s="5">
        <v>42934</v>
      </c>
      <c r="AF4618" s="1">
        <v>10019</v>
      </c>
      <c r="AI4618" s="1" t="s">
        <v>48</v>
      </c>
      <c r="AJ4618" s="1">
        <v>1940</v>
      </c>
      <c r="AK4618" s="1" t="s">
        <v>108</v>
      </c>
      <c r="AL4618" s="1">
        <v>155</v>
      </c>
    </row>
    <row r="4619" spans="1:38" x14ac:dyDescent="0.2">
      <c r="A4619" s="2" t="str">
        <f>HYPERLINK("https://www.compass.com/listing/416-west-52nd-street-unit-526-manhattan-ny-10019/29389278765231681/","416 W 52nd St, Unit 526")</f>
        <v>416 W 52nd St, Unit 526</v>
      </c>
      <c r="B4619" s="2" t="str">
        <f t="shared" si="777"/>
        <v>Nine52</v>
      </c>
      <c r="C4619" s="1" t="s">
        <v>90</v>
      </c>
      <c r="D4619" s="1" t="s">
        <v>41</v>
      </c>
      <c r="E4619" s="3">
        <v>1550000</v>
      </c>
      <c r="F4619" s="1">
        <v>1567.23963599595</v>
      </c>
      <c r="G4619" s="1">
        <v>3</v>
      </c>
      <c r="H4619" s="1">
        <v>2</v>
      </c>
      <c r="I4619" s="1">
        <v>2</v>
      </c>
      <c r="J4619" s="1">
        <v>2</v>
      </c>
      <c r="K4619" s="1">
        <v>2</v>
      </c>
      <c r="M4619" s="1">
        <v>989</v>
      </c>
      <c r="N4619" s="1">
        <v>674</v>
      </c>
      <c r="O4619" s="1">
        <v>1977</v>
      </c>
      <c r="P4619" s="1">
        <v>1303</v>
      </c>
      <c r="Q4619" s="1" t="s">
        <v>42</v>
      </c>
      <c r="S4619" s="1" t="s">
        <v>42</v>
      </c>
      <c r="T4619" s="1" t="s">
        <v>273</v>
      </c>
      <c r="V4619" s="5">
        <v>42777</v>
      </c>
      <c r="W4619" s="5">
        <v>42775</v>
      </c>
      <c r="X4619" s="1">
        <v>1550000</v>
      </c>
      <c r="Y4619" s="1">
        <v>1550000</v>
      </c>
      <c r="Z4619" s="5">
        <v>42775</v>
      </c>
      <c r="AA4619" s="1">
        <v>1550000</v>
      </c>
      <c r="AB4619" s="1" t="s">
        <v>275</v>
      </c>
      <c r="AC4619" s="5">
        <v>42777</v>
      </c>
      <c r="AF4619" s="1">
        <v>10019</v>
      </c>
      <c r="AI4619" s="1" t="s">
        <v>48</v>
      </c>
      <c r="AJ4619" s="1">
        <v>1940</v>
      </c>
      <c r="AK4619" s="1" t="s">
        <v>108</v>
      </c>
      <c r="AL4619" s="1">
        <v>155</v>
      </c>
    </row>
    <row r="4620" spans="1:38" x14ac:dyDescent="0.2">
      <c r="A4620" s="2" t="str">
        <f>HYPERLINK("https://www.compass.com/listing/416-west-52nd-street-unit-615-manhattan-ny-10019/29389283185970897/","416 W 52nd St, Unit 615")</f>
        <v>416 W 52nd St, Unit 615</v>
      </c>
      <c r="B4620" s="2" t="str">
        <f t="shared" si="777"/>
        <v>Nine52</v>
      </c>
      <c r="C4620" s="1" t="s">
        <v>90</v>
      </c>
      <c r="D4620" s="1" t="s">
        <v>41</v>
      </c>
      <c r="E4620" s="3">
        <v>1870000</v>
      </c>
      <c r="F4620" s="1">
        <v>1806.76328502415</v>
      </c>
      <c r="G4620" s="1">
        <v>4</v>
      </c>
      <c r="H4620" s="1">
        <v>2</v>
      </c>
      <c r="I4620" s="1">
        <v>2</v>
      </c>
      <c r="J4620" s="1">
        <v>2</v>
      </c>
      <c r="K4620" s="1">
        <v>2</v>
      </c>
      <c r="M4620" s="4">
        <v>1035</v>
      </c>
      <c r="N4620" s="1">
        <v>706</v>
      </c>
      <c r="O4620" s="1">
        <v>2070</v>
      </c>
      <c r="P4620" s="1">
        <v>1364</v>
      </c>
      <c r="Q4620" s="1" t="s">
        <v>42</v>
      </c>
      <c r="S4620" s="1" t="s">
        <v>42</v>
      </c>
      <c r="T4620" s="1" t="s">
        <v>273</v>
      </c>
      <c r="V4620" s="5">
        <v>43670</v>
      </c>
      <c r="W4620" s="5">
        <v>42857</v>
      </c>
      <c r="X4620" s="1">
        <v>1920000</v>
      </c>
      <c r="Y4620" s="1">
        <v>1920000</v>
      </c>
      <c r="Z4620" s="5">
        <v>42857</v>
      </c>
      <c r="AA4620" s="1">
        <v>1870000</v>
      </c>
      <c r="AB4620" s="1" t="s">
        <v>3265</v>
      </c>
      <c r="AC4620" s="5">
        <v>42887</v>
      </c>
      <c r="AF4620" s="1">
        <v>10019</v>
      </c>
      <c r="AI4620" s="1" t="s">
        <v>48</v>
      </c>
      <c r="AJ4620" s="1">
        <v>1940</v>
      </c>
      <c r="AK4620" s="1" t="s">
        <v>108</v>
      </c>
      <c r="AL4620" s="1">
        <v>155</v>
      </c>
    </row>
    <row r="4621" spans="1:38" x14ac:dyDescent="0.2">
      <c r="A4621" s="2" t="str">
        <f>HYPERLINK("https://www.compass.com/listing/416-west-52nd-street-unit-625-manhattan-ny-10019/29389284704366257/","416 W 52nd St, Unit 625")</f>
        <v>416 W 52nd St, Unit 625</v>
      </c>
      <c r="B4621" s="2" t="str">
        <f t="shared" si="777"/>
        <v>Nine52</v>
      </c>
      <c r="C4621" s="1" t="s">
        <v>90</v>
      </c>
      <c r="D4621" s="1" t="s">
        <v>41</v>
      </c>
      <c r="E4621" s="3">
        <v>1525000</v>
      </c>
      <c r="F4621" s="1">
        <v>1588.5416666666599</v>
      </c>
      <c r="G4621" s="1">
        <v>4</v>
      </c>
      <c r="H4621" s="1">
        <v>2</v>
      </c>
      <c r="I4621" s="1">
        <v>2</v>
      </c>
      <c r="J4621" s="1">
        <v>2</v>
      </c>
      <c r="K4621" s="1">
        <v>2</v>
      </c>
      <c r="M4621" s="1">
        <v>960</v>
      </c>
      <c r="N4621" s="1">
        <v>655</v>
      </c>
      <c r="O4621" s="1">
        <v>1920</v>
      </c>
      <c r="P4621" s="1">
        <v>1265</v>
      </c>
      <c r="Q4621" s="1" t="s">
        <v>42</v>
      </c>
      <c r="S4621" s="1" t="s">
        <v>42</v>
      </c>
      <c r="T4621" s="1" t="s">
        <v>273</v>
      </c>
      <c r="V4621" s="5">
        <v>43664</v>
      </c>
      <c r="W4621" s="5">
        <v>42857</v>
      </c>
      <c r="X4621" s="1">
        <v>1625000</v>
      </c>
      <c r="Y4621" s="1">
        <v>1625000</v>
      </c>
      <c r="Z4621" s="5">
        <v>42857</v>
      </c>
      <c r="AA4621" s="1">
        <v>1525000</v>
      </c>
      <c r="AB4621" s="1" t="s">
        <v>3266</v>
      </c>
      <c r="AC4621" s="5">
        <v>42878</v>
      </c>
      <c r="AF4621" s="1">
        <v>10019</v>
      </c>
      <c r="AI4621" s="1" t="s">
        <v>48</v>
      </c>
      <c r="AJ4621" s="1">
        <v>1940</v>
      </c>
      <c r="AK4621" s="1" t="s">
        <v>108</v>
      </c>
      <c r="AL4621" s="1">
        <v>155</v>
      </c>
    </row>
    <row r="4622" spans="1:38" x14ac:dyDescent="0.2">
      <c r="A4622" s="2" t="str">
        <f>HYPERLINK("https://www.compass.com/listing/416-west-52nd-street-unit-719-manhattan-ny-10019/29389290534391633/","416 W 52nd St, Unit 719")</f>
        <v>416 W 52nd St, Unit 719</v>
      </c>
      <c r="B4622" s="2" t="str">
        <f t="shared" si="777"/>
        <v>Nine52</v>
      </c>
      <c r="C4622" s="1" t="s">
        <v>90</v>
      </c>
      <c r="D4622" s="1" t="s">
        <v>41</v>
      </c>
      <c r="E4622" s="3">
        <v>1997000</v>
      </c>
      <c r="G4622" s="1">
        <v>4</v>
      </c>
      <c r="H4622" s="1">
        <v>2</v>
      </c>
      <c r="I4622" s="1">
        <v>2</v>
      </c>
      <c r="J4622" s="1">
        <v>2</v>
      </c>
      <c r="K4622" s="1">
        <v>2</v>
      </c>
      <c r="N4622" s="1">
        <v>890</v>
      </c>
      <c r="O4622" s="1">
        <v>2610</v>
      </c>
      <c r="P4622" s="1">
        <v>1720</v>
      </c>
      <c r="Q4622" s="1" t="s">
        <v>42</v>
      </c>
      <c r="S4622" s="1" t="s">
        <v>42</v>
      </c>
      <c r="T4622" s="1" t="s">
        <v>273</v>
      </c>
      <c r="U4622" s="1">
        <v>3</v>
      </c>
      <c r="V4622" s="5">
        <v>43650</v>
      </c>
      <c r="W4622" s="5">
        <v>42854</v>
      </c>
      <c r="X4622" s="1">
        <v>2190000</v>
      </c>
      <c r="Y4622" s="1">
        <v>2251000</v>
      </c>
      <c r="Z4622" s="5">
        <v>42857</v>
      </c>
      <c r="AA4622" s="1">
        <v>1997000</v>
      </c>
      <c r="AB4622" s="1" t="s">
        <v>3267</v>
      </c>
      <c r="AC4622" s="5">
        <v>42961</v>
      </c>
      <c r="AF4622" s="1">
        <v>10019</v>
      </c>
      <c r="AI4622" s="1" t="s">
        <v>48</v>
      </c>
      <c r="AJ4622" s="1">
        <v>1940</v>
      </c>
      <c r="AK4622" s="1" t="s">
        <v>108</v>
      </c>
      <c r="AL4622" s="1">
        <v>155</v>
      </c>
    </row>
    <row r="4623" spans="1:38" x14ac:dyDescent="0.2">
      <c r="A4623" s="2" t="str">
        <f>HYPERLINK("https://www.compass.com/listing/416-west-52nd-street-unit-726-manhattan-ny-10019/369773022667438545/","416 W 52nd St, Unit 726")</f>
        <v>416 W 52nd St, Unit 726</v>
      </c>
      <c r="B4623" s="2" t="str">
        <f t="shared" si="777"/>
        <v>Nine52</v>
      </c>
      <c r="C4623" s="1" t="s">
        <v>90</v>
      </c>
      <c r="D4623" s="1" t="s">
        <v>41</v>
      </c>
      <c r="E4623" s="3">
        <v>1749000</v>
      </c>
      <c r="F4623" s="1">
        <v>1731.68316831683</v>
      </c>
      <c r="H4623" s="1">
        <v>2</v>
      </c>
      <c r="J4623" s="1">
        <v>2</v>
      </c>
      <c r="K4623" s="1">
        <v>2</v>
      </c>
      <c r="M4623" s="4">
        <v>1010</v>
      </c>
      <c r="N4623" s="1">
        <v>789</v>
      </c>
      <c r="O4623" s="1">
        <v>2339</v>
      </c>
      <c r="P4623" s="1">
        <v>1550</v>
      </c>
      <c r="Q4623" s="1" t="s">
        <v>42</v>
      </c>
      <c r="S4623" s="1" t="s">
        <v>42</v>
      </c>
      <c r="T4623" s="1" t="s">
        <v>273</v>
      </c>
      <c r="AA4623" s="1">
        <v>1749000</v>
      </c>
      <c r="AB4623" s="1" t="s">
        <v>3268</v>
      </c>
      <c r="AC4623" s="5">
        <v>42688</v>
      </c>
      <c r="AF4623" s="1">
        <v>10019</v>
      </c>
      <c r="AI4623" s="1" t="s">
        <v>48</v>
      </c>
      <c r="AJ4623" s="1">
        <v>1940</v>
      </c>
      <c r="AK4623" s="1" t="s">
        <v>55</v>
      </c>
      <c r="AL4623" s="1">
        <v>155</v>
      </c>
    </row>
    <row r="4624" spans="1:38" x14ac:dyDescent="0.2">
      <c r="A4624" s="2" t="str">
        <f>HYPERLINK("https://www.compass.com/listing/305-west-150th-street-unit-105-manhattan-ny-10039/483993366418426513/","305 W 150th St, Unit 105")</f>
        <v>305 W 150th St, Unit 105</v>
      </c>
      <c r="B4624" s="2" t="str">
        <f t="shared" ref="B4624:B4625" si="778">HYPERLINK("https://www.compass.com/building/305-w-150th-st-manhattan-ny-10039/282032234968400245/","305 W 150th St")</f>
        <v>305 W 150th St</v>
      </c>
      <c r="C4624" s="1" t="s">
        <v>84</v>
      </c>
      <c r="D4624" s="1" t="s">
        <v>41</v>
      </c>
      <c r="E4624" s="3">
        <v>456000</v>
      </c>
      <c r="F4624" s="1">
        <v>772.88135593220295</v>
      </c>
      <c r="H4624" s="1">
        <v>1</v>
      </c>
      <c r="J4624" s="1">
        <v>1</v>
      </c>
      <c r="K4624" s="1">
        <v>1</v>
      </c>
      <c r="M4624" s="1">
        <v>590</v>
      </c>
      <c r="N4624" s="1">
        <v>335.08</v>
      </c>
      <c r="O4624" s="1">
        <v>577.04999999999995</v>
      </c>
      <c r="P4624" s="1">
        <v>242</v>
      </c>
      <c r="Q4624" s="1" t="s">
        <v>42</v>
      </c>
      <c r="S4624" s="1" t="s">
        <v>42</v>
      </c>
      <c r="T4624" s="1" t="s">
        <v>273</v>
      </c>
      <c r="AA4624" s="1">
        <v>456000</v>
      </c>
      <c r="AB4624" s="1" t="s">
        <v>3269</v>
      </c>
      <c r="AC4624" s="5">
        <v>42629</v>
      </c>
      <c r="AF4624" s="1">
        <v>10039</v>
      </c>
      <c r="AJ4624" s="1">
        <v>1921</v>
      </c>
      <c r="AK4624" s="1" t="s">
        <v>73</v>
      </c>
      <c r="AL4624" s="1">
        <v>84</v>
      </c>
    </row>
    <row r="4625" spans="1:38" x14ac:dyDescent="0.2">
      <c r="A4625" s="2" t="str">
        <f>HYPERLINK("https://www.compass.com/listing/305-west-150th-street-unit-210-manhattan-ny-10039/841372503884682305/","305 W 150th St, Unit 210")</f>
        <v>305 W 150th St, Unit 210</v>
      </c>
      <c r="B4625" s="2" t="str">
        <f t="shared" si="778"/>
        <v>305 W 150th St</v>
      </c>
      <c r="C4625" s="1" t="s">
        <v>84</v>
      </c>
      <c r="D4625" s="1" t="s">
        <v>41</v>
      </c>
      <c r="E4625" s="3">
        <v>415740</v>
      </c>
      <c r="F4625" s="1">
        <v>711.88356164383504</v>
      </c>
      <c r="H4625" s="1">
        <v>1</v>
      </c>
      <c r="J4625" s="1">
        <v>1</v>
      </c>
      <c r="K4625" s="1">
        <v>1</v>
      </c>
      <c r="M4625" s="1">
        <v>584</v>
      </c>
      <c r="N4625" s="1">
        <v>295.75</v>
      </c>
      <c r="O4625" s="1">
        <v>544.13</v>
      </c>
      <c r="P4625" s="1">
        <v>248.416666666666</v>
      </c>
      <c r="Q4625" s="1" t="s">
        <v>42</v>
      </c>
      <c r="S4625" s="1" t="s">
        <v>42</v>
      </c>
      <c r="T4625" s="1" t="s">
        <v>273</v>
      </c>
      <c r="AA4625" s="1">
        <v>415740</v>
      </c>
      <c r="AB4625" s="1" t="s">
        <v>3270</v>
      </c>
      <c r="AC4625" s="5">
        <v>42192</v>
      </c>
      <c r="AF4625" s="1">
        <v>10039</v>
      </c>
      <c r="AJ4625" s="1">
        <v>1921</v>
      </c>
      <c r="AK4625" s="1" t="s">
        <v>73</v>
      </c>
      <c r="AL4625" s="1">
        <v>84</v>
      </c>
    </row>
    <row r="4626" spans="1:38" x14ac:dyDescent="0.2">
      <c r="A4626" s="2" t="str">
        <f>HYPERLINK("https://www.compass.com/listing/1-west-end-avenue-unit-38b-manhattan-ny-10069/38939837495030049/","1 W End Ave, Unit 38B")</f>
        <v>1 W End Ave, Unit 38B</v>
      </c>
      <c r="B4626" s="2" t="str">
        <f t="shared" ref="B4626:B4635" si="779">HYPERLINK("https://www.compass.com/building/1-w-end-ave-manhattan-ny-10069/455676159137755317/","1 W End Ave")</f>
        <v>1 W End Ave</v>
      </c>
      <c r="C4626" s="1" t="s">
        <v>57</v>
      </c>
      <c r="D4626" s="1" t="s">
        <v>41</v>
      </c>
      <c r="E4626" s="3">
        <v>7416266</v>
      </c>
      <c r="F4626" s="1">
        <v>2634.5527531083399</v>
      </c>
      <c r="G4626" s="1">
        <v>7</v>
      </c>
      <c r="H4626" s="1">
        <v>4</v>
      </c>
      <c r="I4626" s="1">
        <v>5</v>
      </c>
      <c r="J4626" s="1">
        <v>4.5</v>
      </c>
      <c r="M4626" s="4">
        <v>2815</v>
      </c>
      <c r="N4626" s="1">
        <v>3355</v>
      </c>
      <c r="O4626" s="1">
        <v>3544</v>
      </c>
      <c r="P4626" s="1">
        <v>189</v>
      </c>
      <c r="Q4626" s="1" t="s">
        <v>42</v>
      </c>
      <c r="S4626" s="1" t="s">
        <v>42</v>
      </c>
      <c r="T4626" s="1" t="s">
        <v>273</v>
      </c>
      <c r="V4626" s="5">
        <v>43636</v>
      </c>
      <c r="W4626" s="5">
        <v>43306</v>
      </c>
      <c r="X4626" s="1">
        <v>7950000</v>
      </c>
      <c r="Y4626" s="1">
        <v>7950000</v>
      </c>
      <c r="Z4626" s="5">
        <v>43306</v>
      </c>
      <c r="AA4626" s="1">
        <v>7416266</v>
      </c>
      <c r="AB4626" s="1" t="s">
        <v>3271</v>
      </c>
      <c r="AC4626" s="5">
        <v>43368</v>
      </c>
      <c r="AF4626" s="1">
        <v>10069</v>
      </c>
      <c r="AI4626" s="1" t="s">
        <v>2054</v>
      </c>
      <c r="AJ4626" s="1">
        <v>2017</v>
      </c>
      <c r="AK4626" s="1" t="s">
        <v>55</v>
      </c>
      <c r="AL4626" s="1">
        <v>246</v>
      </c>
    </row>
    <row r="4627" spans="1:38" x14ac:dyDescent="0.2">
      <c r="A4627" s="2" t="str">
        <f>HYPERLINK("https://www.compass.com/listing/1-west-end-avenue-unit-40c-manhattan-ny-10069/634738985752598665/","1 W End Ave, Unit 40C")</f>
        <v>1 W End Ave, Unit 40C</v>
      </c>
      <c r="B4627" s="2" t="str">
        <f t="shared" si="779"/>
        <v>1 W End Ave</v>
      </c>
      <c r="C4627" s="1" t="s">
        <v>57</v>
      </c>
      <c r="D4627" s="1" t="s">
        <v>41</v>
      </c>
      <c r="E4627" s="3">
        <v>5995000</v>
      </c>
      <c r="F4627" s="1">
        <v>2670.3786191536701</v>
      </c>
      <c r="G4627" s="1">
        <v>5</v>
      </c>
      <c r="H4627" s="1">
        <v>3</v>
      </c>
      <c r="I4627" s="1">
        <v>4</v>
      </c>
      <c r="J4627" s="1">
        <v>3.5</v>
      </c>
      <c r="K4627" s="1">
        <v>3</v>
      </c>
      <c r="L4627" s="1">
        <v>1</v>
      </c>
      <c r="M4627" s="4">
        <v>2245</v>
      </c>
      <c r="N4627" s="1">
        <v>2638</v>
      </c>
      <c r="O4627" s="1">
        <v>2638</v>
      </c>
      <c r="Q4627" s="1" t="s">
        <v>42</v>
      </c>
      <c r="S4627" s="1" t="s">
        <v>42</v>
      </c>
      <c r="T4627" s="1" t="s">
        <v>273</v>
      </c>
      <c r="U4627" s="1">
        <v>238</v>
      </c>
      <c r="V4627" s="5">
        <v>44426</v>
      </c>
      <c r="W4627" s="5">
        <v>44125</v>
      </c>
      <c r="X4627" s="1">
        <v>6250000</v>
      </c>
      <c r="Y4627" s="1">
        <v>6250000</v>
      </c>
      <c r="Z4627" s="5">
        <v>44364</v>
      </c>
      <c r="AA4627" s="1">
        <v>5995000</v>
      </c>
      <c r="AB4627" s="1" t="s">
        <v>275</v>
      </c>
      <c r="AC4627" s="5">
        <v>44425</v>
      </c>
      <c r="AF4627" s="1">
        <v>10069</v>
      </c>
      <c r="AI4627" s="1" t="s">
        <v>2054</v>
      </c>
      <c r="AJ4627" s="1">
        <v>2017</v>
      </c>
      <c r="AK4627" s="1" t="s">
        <v>55</v>
      </c>
      <c r="AL4627" s="1">
        <v>246</v>
      </c>
    </row>
    <row r="4628" spans="1:38" x14ac:dyDescent="0.2">
      <c r="A4628" s="2" t="str">
        <f>HYPERLINK("https://www.compass.com/listing/1-west-end-avenue-unit-35a-manhattan-ny-10069/101407042048147441/","1 W End Ave, Unit 35A")</f>
        <v>1 W End Ave, Unit 35A</v>
      </c>
      <c r="B4628" s="2" t="str">
        <f t="shared" si="779"/>
        <v>1 W End Ave</v>
      </c>
      <c r="C4628" s="1" t="s">
        <v>57</v>
      </c>
      <c r="D4628" s="1" t="s">
        <v>41</v>
      </c>
      <c r="E4628" s="3">
        <v>7335366</v>
      </c>
      <c r="F4628" s="1">
        <v>2401.1018003273298</v>
      </c>
      <c r="G4628" s="1">
        <v>7</v>
      </c>
      <c r="H4628" s="1">
        <v>4</v>
      </c>
      <c r="I4628" s="1">
        <v>5</v>
      </c>
      <c r="J4628" s="1">
        <v>4.5</v>
      </c>
      <c r="K4628" s="1">
        <v>4</v>
      </c>
      <c r="L4628" s="1">
        <v>1</v>
      </c>
      <c r="M4628" s="4">
        <v>3055</v>
      </c>
      <c r="N4628" s="1">
        <v>3562</v>
      </c>
      <c r="O4628" s="1">
        <v>3762</v>
      </c>
      <c r="P4628" s="1">
        <v>200</v>
      </c>
      <c r="Q4628" s="1" t="s">
        <v>42</v>
      </c>
      <c r="S4628" s="1" t="s">
        <v>42</v>
      </c>
      <c r="T4628" s="1" t="s">
        <v>273</v>
      </c>
      <c r="V4628" s="5">
        <v>43640</v>
      </c>
      <c r="W4628" s="5">
        <v>43392</v>
      </c>
      <c r="X4628" s="1">
        <v>7550000</v>
      </c>
      <c r="Y4628" s="1">
        <v>7550000</v>
      </c>
      <c r="Z4628" s="5">
        <v>43392</v>
      </c>
      <c r="AA4628" s="1">
        <v>7335366</v>
      </c>
      <c r="AB4628" s="1" t="s">
        <v>3272</v>
      </c>
      <c r="AC4628" s="5">
        <v>43432</v>
      </c>
      <c r="AF4628" s="1">
        <v>10069</v>
      </c>
      <c r="AI4628" s="1" t="s">
        <v>60</v>
      </c>
      <c r="AJ4628" s="1">
        <v>2017</v>
      </c>
      <c r="AK4628" s="1" t="s">
        <v>55</v>
      </c>
      <c r="AL4628" s="1">
        <v>246</v>
      </c>
    </row>
    <row r="4629" spans="1:38" x14ac:dyDescent="0.2">
      <c r="A4629" s="2" t="str">
        <f>HYPERLINK("https://www.compass.com/listing/1-west-end-avenue-unit-31b-manhattan-ny-10069/29397337096943937/","1 W End Ave, Unit 31B")</f>
        <v>1 W End Ave, Unit 31B</v>
      </c>
      <c r="B4629" s="2" t="str">
        <f t="shared" si="779"/>
        <v>1 W End Ave</v>
      </c>
      <c r="C4629" s="1" t="s">
        <v>57</v>
      </c>
      <c r="D4629" s="1" t="s">
        <v>41</v>
      </c>
      <c r="E4629" s="3">
        <v>6566266</v>
      </c>
      <c r="F4629" s="1">
        <v>2332.5989342806301</v>
      </c>
      <c r="G4629" s="1">
        <v>7</v>
      </c>
      <c r="H4629" s="1">
        <v>4</v>
      </c>
      <c r="I4629" s="1">
        <v>5</v>
      </c>
      <c r="J4629" s="1">
        <v>4.5</v>
      </c>
      <c r="K4629" s="1">
        <v>4</v>
      </c>
      <c r="L4629" s="1">
        <v>1</v>
      </c>
      <c r="M4629" s="4">
        <v>2815</v>
      </c>
      <c r="N4629" s="1">
        <v>3355</v>
      </c>
      <c r="O4629" s="1">
        <v>3543</v>
      </c>
      <c r="P4629" s="1">
        <v>188</v>
      </c>
      <c r="Q4629" s="1" t="s">
        <v>42</v>
      </c>
      <c r="S4629" s="1" t="s">
        <v>42</v>
      </c>
      <c r="T4629" s="1" t="s">
        <v>273</v>
      </c>
      <c r="U4629" s="1">
        <v>196</v>
      </c>
      <c r="V4629" s="5">
        <v>44412</v>
      </c>
      <c r="W4629" s="5">
        <v>42945</v>
      </c>
      <c r="X4629" s="1">
        <v>6995000</v>
      </c>
      <c r="Y4629" s="1">
        <v>6995000</v>
      </c>
      <c r="Z4629" s="5">
        <v>43141</v>
      </c>
      <c r="AA4629" s="1">
        <v>6566266</v>
      </c>
      <c r="AB4629" s="1" t="s">
        <v>3273</v>
      </c>
      <c r="AC4629" s="5">
        <v>43231</v>
      </c>
      <c r="AF4629" s="1">
        <v>10069</v>
      </c>
      <c r="AI4629" s="1" t="s">
        <v>2883</v>
      </c>
      <c r="AJ4629" s="1">
        <v>2017</v>
      </c>
      <c r="AK4629" s="1" t="s">
        <v>55</v>
      </c>
      <c r="AL4629" s="1">
        <v>246</v>
      </c>
    </row>
    <row r="4630" spans="1:38" x14ac:dyDescent="0.2">
      <c r="A4630" s="2" t="str">
        <f>HYPERLINK("https://www.compass.com/listing/1-west-end-avenue-unit-35b-manhattan-ny-10069/29397337457559617/","1 W End Ave, Unit 35B")</f>
        <v>1 W End Ave, Unit 35B</v>
      </c>
      <c r="B4630" s="2" t="str">
        <f t="shared" si="779"/>
        <v>1 W End Ave</v>
      </c>
      <c r="C4630" s="1" t="s">
        <v>57</v>
      </c>
      <c r="D4630" s="1" t="s">
        <v>41</v>
      </c>
      <c r="E4630" s="3">
        <v>7231808</v>
      </c>
      <c r="F4630" s="1">
        <v>2569.0259325044399</v>
      </c>
      <c r="G4630" s="1">
        <v>7</v>
      </c>
      <c r="H4630" s="1">
        <v>4</v>
      </c>
      <c r="I4630" s="1">
        <v>5</v>
      </c>
      <c r="J4630" s="1">
        <v>4.5</v>
      </c>
      <c r="K4630" s="1">
        <v>4</v>
      </c>
      <c r="L4630" s="1">
        <v>1</v>
      </c>
      <c r="M4630" s="4">
        <v>2815</v>
      </c>
      <c r="N4630" s="1">
        <v>3355</v>
      </c>
      <c r="O4630" s="1">
        <v>3544</v>
      </c>
      <c r="P4630" s="1">
        <v>189</v>
      </c>
      <c r="Q4630" s="1" t="s">
        <v>42</v>
      </c>
      <c r="S4630" s="1" t="s">
        <v>42</v>
      </c>
      <c r="T4630" s="1" t="s">
        <v>273</v>
      </c>
      <c r="U4630" s="1">
        <v>28</v>
      </c>
      <c r="V4630" s="5">
        <v>43624</v>
      </c>
      <c r="W4630" s="5">
        <v>42909</v>
      </c>
      <c r="X4630" s="1">
        <v>7550000</v>
      </c>
      <c r="Y4630" s="1">
        <v>7550000</v>
      </c>
      <c r="Z4630" s="5">
        <v>42937</v>
      </c>
      <c r="AA4630" s="1">
        <v>7231808</v>
      </c>
      <c r="AB4630" s="1" t="s">
        <v>3274</v>
      </c>
      <c r="AC4630" s="5">
        <v>43118</v>
      </c>
      <c r="AF4630" s="1">
        <v>10069</v>
      </c>
      <c r="AI4630" s="1" t="s">
        <v>2054</v>
      </c>
      <c r="AJ4630" s="1">
        <v>2017</v>
      </c>
      <c r="AK4630" s="1" t="s">
        <v>55</v>
      </c>
      <c r="AL4630" s="1">
        <v>246</v>
      </c>
    </row>
    <row r="4631" spans="1:38" x14ac:dyDescent="0.2">
      <c r="A4631" s="2" t="str">
        <f>HYPERLINK("https://www.compass.com/listing/1-west-end-avenue-unit-phb-manhattan-ny-10069/29512721284333473/","1 W End Ave, Unit PHB")</f>
        <v>1 W End Ave, Unit PHB</v>
      </c>
      <c r="B4631" s="2" t="str">
        <f t="shared" si="779"/>
        <v>1 W End Ave</v>
      </c>
      <c r="C4631" s="1" t="s">
        <v>57</v>
      </c>
      <c r="D4631" s="1" t="s">
        <v>41</v>
      </c>
      <c r="E4631" s="3">
        <v>12273520</v>
      </c>
      <c r="F4631" s="1">
        <v>3069.1472868217002</v>
      </c>
      <c r="G4631" s="1">
        <v>6</v>
      </c>
      <c r="H4631" s="1">
        <v>3</v>
      </c>
      <c r="I4631" s="1">
        <v>4</v>
      </c>
      <c r="J4631" s="1">
        <v>3.5</v>
      </c>
      <c r="M4631" s="4">
        <v>3999</v>
      </c>
      <c r="N4631" s="1">
        <v>4849</v>
      </c>
      <c r="O4631" s="1">
        <v>5122</v>
      </c>
      <c r="P4631" s="1">
        <v>273</v>
      </c>
      <c r="Q4631" s="1" t="s">
        <v>42</v>
      </c>
      <c r="S4631" s="1" t="s">
        <v>42</v>
      </c>
      <c r="T4631" s="1" t="s">
        <v>273</v>
      </c>
      <c r="U4631" s="1">
        <v>127</v>
      </c>
      <c r="V4631" s="5">
        <v>43624</v>
      </c>
      <c r="W4631" s="5">
        <v>43034</v>
      </c>
      <c r="X4631" s="1">
        <v>12950000</v>
      </c>
      <c r="Y4631" s="1">
        <v>12950000</v>
      </c>
      <c r="Z4631" s="5">
        <v>43161</v>
      </c>
      <c r="AA4631" s="1">
        <v>12273520</v>
      </c>
      <c r="AB4631" s="1" t="s">
        <v>3275</v>
      </c>
      <c r="AC4631" s="5">
        <v>43307</v>
      </c>
      <c r="AF4631" s="1">
        <v>10069</v>
      </c>
      <c r="AI4631" s="1" t="s">
        <v>2054</v>
      </c>
      <c r="AJ4631" s="1">
        <v>2017</v>
      </c>
      <c r="AK4631" s="1" t="s">
        <v>55</v>
      </c>
      <c r="AL4631" s="1">
        <v>246</v>
      </c>
    </row>
    <row r="4632" spans="1:38" x14ac:dyDescent="0.2">
      <c r="A4632" s="2" t="str">
        <f>HYPERLINK("https://www.compass.com/listing/1-west-end-avenue-unit-29a-manhattan-ny-10069/29512723247226193/","1 W End Ave, Unit 29A")</f>
        <v>1 W End Ave, Unit 29A</v>
      </c>
      <c r="B4632" s="2" t="str">
        <f t="shared" si="779"/>
        <v>1 W End Ave</v>
      </c>
      <c r="C4632" s="1" t="s">
        <v>57</v>
      </c>
      <c r="D4632" s="1" t="s">
        <v>41</v>
      </c>
      <c r="E4632" s="3">
        <v>10523140</v>
      </c>
      <c r="F4632" s="1">
        <v>2549.8279622001401</v>
      </c>
      <c r="G4632" s="1">
        <v>7</v>
      </c>
      <c r="H4632" s="1">
        <v>4</v>
      </c>
      <c r="I4632" s="1">
        <v>5</v>
      </c>
      <c r="J4632" s="1">
        <v>4.5</v>
      </c>
      <c r="K4632" s="1">
        <v>4</v>
      </c>
      <c r="L4632" s="1">
        <v>1</v>
      </c>
      <c r="M4632" s="4">
        <v>4127</v>
      </c>
      <c r="N4632" s="1">
        <v>4776</v>
      </c>
      <c r="O4632" s="1">
        <v>5045</v>
      </c>
      <c r="P4632" s="1">
        <v>269</v>
      </c>
      <c r="Q4632" s="1" t="s">
        <v>42</v>
      </c>
      <c r="S4632" s="1" t="s">
        <v>42</v>
      </c>
      <c r="T4632" s="1" t="s">
        <v>273</v>
      </c>
      <c r="U4632" s="1">
        <v>154</v>
      </c>
      <c r="V4632" s="5">
        <v>43626</v>
      </c>
      <c r="W4632" s="5">
        <v>43162</v>
      </c>
      <c r="X4632" s="1">
        <v>11950000</v>
      </c>
      <c r="Y4632" s="1">
        <v>11950000</v>
      </c>
      <c r="Z4632" s="5">
        <v>43316</v>
      </c>
      <c r="AA4632" s="1">
        <v>10523140</v>
      </c>
      <c r="AB4632" s="1" t="s">
        <v>3276</v>
      </c>
      <c r="AC4632" s="5">
        <v>43369</v>
      </c>
      <c r="AF4632" s="1">
        <v>10069</v>
      </c>
      <c r="AI4632" s="1" t="s">
        <v>2054</v>
      </c>
      <c r="AJ4632" s="1">
        <v>2017</v>
      </c>
      <c r="AK4632" s="1" t="s">
        <v>55</v>
      </c>
      <c r="AL4632" s="1">
        <v>246</v>
      </c>
    </row>
    <row r="4633" spans="1:38" x14ac:dyDescent="0.2">
      <c r="A4633" s="2" t="str">
        <f>HYPERLINK("https://www.compass.com/listing/1-west-end-avenue-unit-24f-manhattan-ny-10069/29512723641401393/","1 W End Ave, Unit 24F")</f>
        <v>1 W End Ave, Unit 24F</v>
      </c>
      <c r="B4633" s="2" t="str">
        <f t="shared" si="779"/>
        <v>1 W End Ave</v>
      </c>
      <c r="C4633" s="1" t="s">
        <v>57</v>
      </c>
      <c r="D4633" s="1" t="s">
        <v>41</v>
      </c>
      <c r="E4633" s="3">
        <v>5986144</v>
      </c>
      <c r="F4633" s="1">
        <v>2110.7700987305998</v>
      </c>
      <c r="G4633" s="1">
        <v>6</v>
      </c>
      <c r="H4633" s="1">
        <v>4</v>
      </c>
      <c r="I4633" s="1">
        <v>5</v>
      </c>
      <c r="J4633" s="1">
        <v>4.5</v>
      </c>
      <c r="M4633" s="4">
        <v>2836</v>
      </c>
      <c r="N4633" s="1">
        <v>3373</v>
      </c>
      <c r="O4633" s="1">
        <v>3563</v>
      </c>
      <c r="P4633" s="1">
        <v>190</v>
      </c>
      <c r="Q4633" s="1" t="s">
        <v>42</v>
      </c>
      <c r="S4633" s="1" t="s">
        <v>42</v>
      </c>
      <c r="T4633" s="1" t="s">
        <v>273</v>
      </c>
      <c r="V4633" s="5">
        <v>43624</v>
      </c>
      <c r="W4633" s="5">
        <v>43267</v>
      </c>
      <c r="X4633" s="1">
        <v>6400000</v>
      </c>
      <c r="Y4633" s="1">
        <v>6400000</v>
      </c>
      <c r="Z4633" s="5">
        <v>43267</v>
      </c>
      <c r="AA4633" s="1">
        <v>5986144</v>
      </c>
      <c r="AB4633" s="1" t="s">
        <v>3277</v>
      </c>
      <c r="AC4633" s="5">
        <v>43308</v>
      </c>
      <c r="AF4633" s="1">
        <v>10069</v>
      </c>
      <c r="AI4633" s="1" t="s">
        <v>1683</v>
      </c>
      <c r="AJ4633" s="1">
        <v>2017</v>
      </c>
      <c r="AK4633" s="1" t="s">
        <v>55</v>
      </c>
      <c r="AL4633" s="1">
        <v>246</v>
      </c>
    </row>
    <row r="4634" spans="1:38" x14ac:dyDescent="0.2">
      <c r="A4634" s="2" t="str">
        <f>HYPERLINK("https://www.compass.com/listing/1-west-end-avenue-unit-32b-manhattan-ny-10069/29512724153159985/","1 W End Ave, Unit 32B")</f>
        <v>1 W End Ave, Unit 32B</v>
      </c>
      <c r="B4634" s="2" t="str">
        <f t="shared" si="779"/>
        <v>1 W End Ave</v>
      </c>
      <c r="C4634" s="1" t="s">
        <v>57</v>
      </c>
      <c r="D4634" s="1" t="s">
        <v>41</v>
      </c>
      <c r="E4634" s="3">
        <v>6616266</v>
      </c>
      <c r="F4634" s="1">
        <v>2350.3609236234402</v>
      </c>
      <c r="G4634" s="1">
        <v>6</v>
      </c>
      <c r="H4634" s="1">
        <v>4</v>
      </c>
      <c r="I4634" s="1">
        <v>5</v>
      </c>
      <c r="J4634" s="1">
        <v>4.5</v>
      </c>
      <c r="M4634" s="4">
        <v>2815</v>
      </c>
      <c r="N4634" s="1">
        <v>3355</v>
      </c>
      <c r="O4634" s="1">
        <v>3544</v>
      </c>
      <c r="P4634" s="1">
        <v>189</v>
      </c>
      <c r="Q4634" s="1" t="s">
        <v>42</v>
      </c>
      <c r="S4634" s="1" t="s">
        <v>42</v>
      </c>
      <c r="T4634" s="1" t="s">
        <v>273</v>
      </c>
      <c r="U4634" s="1">
        <v>238</v>
      </c>
      <c r="V4634" s="5">
        <v>43624</v>
      </c>
      <c r="W4634" s="5">
        <v>43113</v>
      </c>
      <c r="X4634" s="1">
        <v>7400000</v>
      </c>
      <c r="Y4634" s="1">
        <v>6999999</v>
      </c>
      <c r="Z4634" s="5">
        <v>43351</v>
      </c>
      <c r="AA4634" s="1">
        <v>6616266</v>
      </c>
      <c r="AB4634" s="1" t="s">
        <v>3278</v>
      </c>
      <c r="AC4634" s="5">
        <v>43397</v>
      </c>
      <c r="AF4634" s="1">
        <v>10069</v>
      </c>
      <c r="AI4634" s="1" t="s">
        <v>1683</v>
      </c>
      <c r="AJ4634" s="1">
        <v>2017</v>
      </c>
      <c r="AK4634" s="1" t="s">
        <v>55</v>
      </c>
      <c r="AL4634" s="1">
        <v>246</v>
      </c>
    </row>
    <row r="4635" spans="1:38" x14ac:dyDescent="0.2">
      <c r="A4635" s="2" t="str">
        <f>HYPERLINK("https://www.compass.com/listing/1-west-end-avenue-unit-30c-manhattan-ny-10069/46263391047761617/","1 W End Ave, Unit 30C")</f>
        <v>1 W End Ave, Unit 30C</v>
      </c>
      <c r="B4635" s="2" t="str">
        <f t="shared" si="779"/>
        <v>1 W End Ave</v>
      </c>
      <c r="C4635" s="1" t="s">
        <v>57</v>
      </c>
      <c r="D4635" s="1" t="s">
        <v>41</v>
      </c>
      <c r="E4635" s="3">
        <v>7561599</v>
      </c>
      <c r="F4635" s="1">
        <v>2135.4416831403501</v>
      </c>
      <c r="G4635" s="1">
        <v>6</v>
      </c>
      <c r="H4635" s="1">
        <v>3</v>
      </c>
      <c r="I4635" s="1">
        <v>4</v>
      </c>
      <c r="J4635" s="1">
        <v>3.5</v>
      </c>
      <c r="K4635" s="1">
        <v>3</v>
      </c>
      <c r="L4635" s="1">
        <v>1</v>
      </c>
      <c r="M4635" s="4">
        <v>3541</v>
      </c>
      <c r="N4635" s="1">
        <v>3757</v>
      </c>
      <c r="O4635" s="1">
        <v>3968</v>
      </c>
      <c r="P4635" s="1">
        <v>211</v>
      </c>
      <c r="Q4635" s="1" t="s">
        <v>42</v>
      </c>
      <c r="S4635" s="1" t="s">
        <v>42</v>
      </c>
      <c r="T4635" s="1" t="s">
        <v>273</v>
      </c>
      <c r="U4635" s="1">
        <v>188</v>
      </c>
      <c r="V4635" s="5">
        <v>43707</v>
      </c>
      <c r="W4635" s="5">
        <v>43316</v>
      </c>
      <c r="X4635" s="1">
        <v>7950000</v>
      </c>
      <c r="Y4635" s="1">
        <v>7950000</v>
      </c>
      <c r="Z4635" s="5">
        <v>43504</v>
      </c>
      <c r="AA4635" s="1">
        <v>7561599</v>
      </c>
      <c r="AB4635" s="1" t="s">
        <v>3279</v>
      </c>
      <c r="AC4635" s="5">
        <v>43524</v>
      </c>
      <c r="AF4635" s="1">
        <v>10069</v>
      </c>
      <c r="AI4635" s="1" t="s">
        <v>2054</v>
      </c>
      <c r="AJ4635" s="1">
        <v>2017</v>
      </c>
      <c r="AK4635" s="1" t="s">
        <v>55</v>
      </c>
      <c r="AL4635" s="1">
        <v>246</v>
      </c>
    </row>
    <row r="4636" spans="1:38" x14ac:dyDescent="0.2">
      <c r="A4636" s="2" t="str">
        <f>HYPERLINK("https://www.compass.com/listing/2231-adam-clayton-powell-jr-boulevard-unit-208-manhattan-ny-10027/4852308205230889985/","2231 Adam Clayton Powell Jr Blvd, Unit 208")</f>
        <v>2231 Adam Clayton Powell Jr Blvd, Unit 208</v>
      </c>
      <c r="B4636" s="2" t="str">
        <f t="shared" ref="B4636:B4637" si="780">HYPERLINK("https://www.compass.com/building/the-aurum-manhattan-ny/307451641162444869/","The Aurum")</f>
        <v>The Aurum</v>
      </c>
      <c r="C4636" s="1" t="s">
        <v>85</v>
      </c>
      <c r="D4636" s="1" t="s">
        <v>41</v>
      </c>
      <c r="E4636" s="3">
        <v>995848</v>
      </c>
      <c r="F4636" s="1">
        <v>1025.59011328527</v>
      </c>
      <c r="G4636" s="1">
        <v>4</v>
      </c>
      <c r="H4636" s="1">
        <v>2</v>
      </c>
      <c r="I4636" s="1">
        <v>2</v>
      </c>
      <c r="J4636" s="1">
        <v>2</v>
      </c>
      <c r="M4636" s="1">
        <v>971</v>
      </c>
      <c r="N4636" s="1">
        <v>926</v>
      </c>
      <c r="O4636" s="1">
        <v>1098</v>
      </c>
      <c r="P4636" s="1">
        <v>172</v>
      </c>
      <c r="Q4636" s="1" t="s">
        <v>42</v>
      </c>
      <c r="S4636" s="1" t="s">
        <v>42</v>
      </c>
      <c r="T4636" s="1" t="s">
        <v>273</v>
      </c>
      <c r="U4636" s="1">
        <v>169</v>
      </c>
      <c r="V4636" s="5">
        <v>43665</v>
      </c>
      <c r="W4636" s="5">
        <v>42543</v>
      </c>
      <c r="X4636" s="1">
        <v>978000</v>
      </c>
      <c r="Y4636" s="1">
        <v>978000</v>
      </c>
      <c r="Z4636" s="5">
        <v>42712</v>
      </c>
      <c r="AA4636" s="1">
        <v>995848</v>
      </c>
      <c r="AB4636" s="1" t="s">
        <v>275</v>
      </c>
      <c r="AC4636" s="5">
        <v>42802</v>
      </c>
      <c r="AF4636" s="1">
        <v>10027</v>
      </c>
      <c r="AI4636" s="1" t="s">
        <v>52</v>
      </c>
      <c r="AJ4636" s="1">
        <v>2016</v>
      </c>
      <c r="AK4636" s="1" t="s">
        <v>108</v>
      </c>
      <c r="AL4636" s="1">
        <v>115</v>
      </c>
    </row>
    <row r="4637" spans="1:38" x14ac:dyDescent="0.2">
      <c r="A4637" s="2" t="str">
        <f>HYPERLINK("https://www.compass.com/listing/2231-adam-clayton-powell-jr-boulevard-unit-615-manhattan-ny-10027/4853137718957319729/","2231 Adam Clayton Powell Jr Blvd, Unit 615")</f>
        <v>2231 Adam Clayton Powell Jr Blvd, Unit 615</v>
      </c>
      <c r="B4637" s="2" t="str">
        <f t="shared" si="780"/>
        <v>The Aurum</v>
      </c>
      <c r="C4637" s="1" t="s">
        <v>85</v>
      </c>
      <c r="D4637" s="1" t="s">
        <v>41</v>
      </c>
      <c r="E4637" s="3">
        <v>996000</v>
      </c>
      <c r="F4637" s="1">
        <v>1092.10526315789</v>
      </c>
      <c r="G4637" s="1">
        <v>4</v>
      </c>
      <c r="H4637" s="1">
        <v>2</v>
      </c>
      <c r="I4637" s="1">
        <v>2</v>
      </c>
      <c r="J4637" s="1">
        <v>2</v>
      </c>
      <c r="M4637" s="1">
        <v>912</v>
      </c>
      <c r="N4637" s="1">
        <v>870</v>
      </c>
      <c r="O4637" s="1">
        <v>1032</v>
      </c>
      <c r="P4637" s="1">
        <v>162</v>
      </c>
      <c r="Q4637" s="1" t="s">
        <v>42</v>
      </c>
      <c r="S4637" s="1" t="s">
        <v>42</v>
      </c>
      <c r="T4637" s="1" t="s">
        <v>273</v>
      </c>
      <c r="U4637" s="1">
        <v>144</v>
      </c>
      <c r="V4637" s="5">
        <v>43650</v>
      </c>
      <c r="W4637" s="5">
        <v>42770</v>
      </c>
      <c r="X4637" s="1">
        <v>996000</v>
      </c>
      <c r="Y4637" s="1">
        <v>996000</v>
      </c>
      <c r="Z4637" s="5">
        <v>42914</v>
      </c>
      <c r="AA4637" s="1">
        <v>996000</v>
      </c>
      <c r="AB4637" s="1" t="s">
        <v>275</v>
      </c>
      <c r="AC4637" s="5">
        <v>42964</v>
      </c>
      <c r="AF4637" s="1">
        <v>10027</v>
      </c>
      <c r="AI4637" s="1" t="s">
        <v>52</v>
      </c>
      <c r="AJ4637" s="1">
        <v>2016</v>
      </c>
      <c r="AK4637" s="1" t="s">
        <v>108</v>
      </c>
      <c r="AL4637" s="1">
        <v>115</v>
      </c>
    </row>
    <row r="4638" spans="1:38" x14ac:dyDescent="0.2">
      <c r="A4638" s="2" t="str">
        <f>HYPERLINK("https://www.compass.com/listing/456-west-167th-street-unit-2d-manhattan-ny-10032/29435098659100721/","456 W 167th St, Unit 2D")</f>
        <v>456 W 167th St, Unit 2D</v>
      </c>
      <c r="B4638" s="2" t="str">
        <f t="shared" ref="B4638:B4639" si="781">HYPERLINK("https://www.compass.com/building/edgecombe-parc-manhattan-ny/282005897969005013/","Edgecombe Parc")</f>
        <v>Edgecombe Parc</v>
      </c>
      <c r="C4638" s="1" t="s">
        <v>93</v>
      </c>
      <c r="D4638" s="1" t="s">
        <v>41</v>
      </c>
      <c r="E4638" s="3">
        <v>474552</v>
      </c>
      <c r="F4638" s="1">
        <v>651.85714285714198</v>
      </c>
      <c r="G4638" s="1">
        <v>4</v>
      </c>
      <c r="H4638" s="1">
        <v>1</v>
      </c>
      <c r="I4638" s="1">
        <v>2</v>
      </c>
      <c r="J4638" s="1">
        <v>2</v>
      </c>
      <c r="K4638" s="1">
        <v>2</v>
      </c>
      <c r="M4638" s="1">
        <v>728</v>
      </c>
      <c r="N4638" s="1">
        <v>384</v>
      </c>
      <c r="O4638" s="1">
        <v>802</v>
      </c>
      <c r="P4638" s="1">
        <v>418</v>
      </c>
      <c r="Q4638" s="1" t="s">
        <v>42</v>
      </c>
      <c r="S4638" s="1" t="s">
        <v>42</v>
      </c>
      <c r="T4638" s="1" t="s">
        <v>273</v>
      </c>
      <c r="V4638" s="5">
        <v>43741</v>
      </c>
      <c r="W4638" s="5">
        <v>41871</v>
      </c>
      <c r="X4638" s="1">
        <v>478000</v>
      </c>
      <c r="Y4638" s="1">
        <v>478000</v>
      </c>
      <c r="Z4638" s="5">
        <v>41871</v>
      </c>
      <c r="AA4638" s="1">
        <v>474552</v>
      </c>
      <c r="AB4638" s="1" t="s">
        <v>3280</v>
      </c>
      <c r="AC4638" s="5">
        <v>41948</v>
      </c>
      <c r="AF4638" s="1">
        <v>10032</v>
      </c>
      <c r="AI4638" s="1" t="s">
        <v>211</v>
      </c>
      <c r="AJ4638" s="1">
        <v>2014</v>
      </c>
      <c r="AK4638" s="1" t="s">
        <v>175</v>
      </c>
      <c r="AL4638" s="1">
        <v>49</v>
      </c>
    </row>
    <row r="4639" spans="1:38" x14ac:dyDescent="0.2">
      <c r="A4639" s="2" t="str">
        <f>HYPERLINK("https://www.compass.com/listing/456-west-167th-street-unit-4d-manhattan-ny-10032/29435105109873633/","456 W 167th St, Unit 4D")</f>
        <v>456 W 167th St, Unit 4D</v>
      </c>
      <c r="B4639" s="2" t="str">
        <f t="shared" si="781"/>
        <v>Edgecombe Parc</v>
      </c>
      <c r="C4639" s="1" t="s">
        <v>93</v>
      </c>
      <c r="D4639" s="1" t="s">
        <v>41</v>
      </c>
      <c r="E4639" s="3">
        <v>484692</v>
      </c>
      <c r="F4639" s="1">
        <v>665.78571428571399</v>
      </c>
      <c r="G4639" s="1">
        <v>4</v>
      </c>
      <c r="H4639" s="1">
        <v>1</v>
      </c>
      <c r="I4639" s="1">
        <v>2</v>
      </c>
      <c r="J4639" s="1">
        <v>2</v>
      </c>
      <c r="K4639" s="1">
        <v>2</v>
      </c>
      <c r="M4639" s="1">
        <v>728</v>
      </c>
      <c r="N4639" s="1">
        <v>401</v>
      </c>
      <c r="O4639" s="1">
        <v>837</v>
      </c>
      <c r="P4639" s="1">
        <v>436</v>
      </c>
      <c r="Q4639" s="1" t="s">
        <v>42</v>
      </c>
      <c r="S4639" s="1" t="s">
        <v>42</v>
      </c>
      <c r="T4639" s="1" t="s">
        <v>273</v>
      </c>
      <c r="V4639" s="5">
        <v>43741</v>
      </c>
      <c r="W4639" s="5">
        <v>41871</v>
      </c>
      <c r="X4639" s="1">
        <v>498000</v>
      </c>
      <c r="Y4639" s="1">
        <v>498000</v>
      </c>
      <c r="Z4639" s="5">
        <v>41871</v>
      </c>
      <c r="AA4639" s="1">
        <v>484692</v>
      </c>
      <c r="AB4639" s="1" t="s">
        <v>3281</v>
      </c>
      <c r="AC4639" s="5">
        <v>41873</v>
      </c>
      <c r="AF4639" s="1">
        <v>10032</v>
      </c>
      <c r="AI4639" s="1" t="s">
        <v>211</v>
      </c>
      <c r="AJ4639" s="1">
        <v>2014</v>
      </c>
      <c r="AK4639" s="1" t="s">
        <v>175</v>
      </c>
      <c r="AL4639" s="1">
        <v>49</v>
      </c>
    </row>
    <row r="4640" spans="1:38" x14ac:dyDescent="0.2">
      <c r="A4640" s="2" t="str">
        <f>HYPERLINK("https://www.compass.com/listing/2231-adam-clayton-powell-jr-boulevard-unit-ph5-manhattan-ny-10027/192575579852212417/","2231 Adam Clayton Powell Jr Blvd, Unit PH5")</f>
        <v>2231 Adam Clayton Powell Jr Blvd, Unit PH5</v>
      </c>
      <c r="B4640" s="2" t="str">
        <f t="shared" ref="B4640:B4648" si="782">HYPERLINK("https://www.compass.com/building/the-aurum-manhattan-ny/307451641162444869/","The Aurum")</f>
        <v>The Aurum</v>
      </c>
      <c r="C4640" s="1" t="s">
        <v>85</v>
      </c>
      <c r="D4640" s="1" t="s">
        <v>41</v>
      </c>
      <c r="E4640" s="3">
        <v>1170987</v>
      </c>
      <c r="F4640" s="1">
        <v>1281.16739606126</v>
      </c>
      <c r="G4640" s="1">
        <v>4</v>
      </c>
      <c r="H4640" s="1">
        <v>2</v>
      </c>
      <c r="I4640" s="1">
        <v>2</v>
      </c>
      <c r="J4640" s="1">
        <v>2</v>
      </c>
      <c r="M4640" s="1">
        <v>914</v>
      </c>
      <c r="N4640" s="1">
        <v>872</v>
      </c>
      <c r="O4640" s="1">
        <v>1034</v>
      </c>
      <c r="P4640" s="1">
        <v>162</v>
      </c>
      <c r="Q4640" s="1" t="s">
        <v>42</v>
      </c>
      <c r="S4640" s="1" t="s">
        <v>42</v>
      </c>
      <c r="T4640" s="1" t="s">
        <v>273</v>
      </c>
      <c r="V4640" s="5">
        <v>43668</v>
      </c>
      <c r="W4640" s="5">
        <v>42599</v>
      </c>
      <c r="X4640" s="1">
        <v>1188000</v>
      </c>
      <c r="Y4640" s="1">
        <v>1188000</v>
      </c>
      <c r="Z4640" s="5">
        <v>42599</v>
      </c>
      <c r="AA4640" s="1">
        <v>1170987</v>
      </c>
      <c r="AB4640" s="1" t="s">
        <v>275</v>
      </c>
      <c r="AC4640" s="5">
        <v>42749</v>
      </c>
      <c r="AF4640" s="1">
        <v>10027</v>
      </c>
      <c r="AI4640" s="1" t="s">
        <v>52</v>
      </c>
      <c r="AJ4640" s="1">
        <v>2016</v>
      </c>
      <c r="AK4640" s="1" t="s">
        <v>108</v>
      </c>
      <c r="AL4640" s="1">
        <v>115</v>
      </c>
    </row>
    <row r="4641" spans="1:38" x14ac:dyDescent="0.2">
      <c r="A4641" s="2" t="str">
        <f>HYPERLINK("https://www.compass.com/listing/2231-adam-clayton-powell-jr-boulevard-unit-310-manhattan-ny-10027/4852268960990637937/","2231 Adam Clayton Powell Jr Blvd, Unit 310")</f>
        <v>2231 Adam Clayton Powell Jr Blvd, Unit 310</v>
      </c>
      <c r="B4641" s="2" t="str">
        <f t="shared" si="782"/>
        <v>The Aurum</v>
      </c>
      <c r="C4641" s="1" t="s">
        <v>85</v>
      </c>
      <c r="D4641" s="1" t="s">
        <v>41</v>
      </c>
      <c r="E4641" s="3">
        <v>1069162</v>
      </c>
      <c r="F4641" s="1">
        <v>1101.0937178166801</v>
      </c>
      <c r="G4641" s="1">
        <v>4</v>
      </c>
      <c r="H4641" s="1">
        <v>2</v>
      </c>
      <c r="I4641" s="1">
        <v>2</v>
      </c>
      <c r="J4641" s="1">
        <v>2</v>
      </c>
      <c r="M4641" s="1">
        <v>971</v>
      </c>
      <c r="N4641" s="1">
        <v>926</v>
      </c>
      <c r="O4641" s="1">
        <v>1098</v>
      </c>
      <c r="P4641" s="1">
        <v>172</v>
      </c>
      <c r="Q4641" s="1" t="s">
        <v>42</v>
      </c>
      <c r="S4641" s="1" t="s">
        <v>42</v>
      </c>
      <c r="T4641" s="1" t="s">
        <v>273</v>
      </c>
      <c r="V4641" s="5">
        <v>43666</v>
      </c>
      <c r="W4641" s="5">
        <v>42599</v>
      </c>
      <c r="X4641" s="1">
        <v>992000</v>
      </c>
      <c r="Y4641" s="1">
        <v>992000</v>
      </c>
      <c r="Z4641" s="5">
        <v>42599</v>
      </c>
      <c r="AA4641" s="1">
        <v>1069162</v>
      </c>
      <c r="AB4641" s="1" t="s">
        <v>275</v>
      </c>
      <c r="AC4641" s="5">
        <v>42859</v>
      </c>
      <c r="AF4641" s="1">
        <v>10027</v>
      </c>
      <c r="AI4641" s="1" t="s">
        <v>52</v>
      </c>
      <c r="AJ4641" s="1">
        <v>2016</v>
      </c>
      <c r="AK4641" s="1" t="s">
        <v>108</v>
      </c>
      <c r="AL4641" s="1">
        <v>115</v>
      </c>
    </row>
    <row r="4642" spans="1:38" x14ac:dyDescent="0.2">
      <c r="A4642" s="2" t="str">
        <f>HYPERLINK("https://www.compass.com/listing/2231-adam-clayton-powell-jr-boulevard-unit-607-manhattan-ny-10027/4852274761083914401/","2231 Adam Clayton Powell Jr Blvd, Unit 607")</f>
        <v>2231 Adam Clayton Powell Jr Blvd, Unit 607</v>
      </c>
      <c r="B4642" s="2" t="str">
        <f t="shared" si="782"/>
        <v>The Aurum</v>
      </c>
      <c r="C4642" s="1" t="s">
        <v>85</v>
      </c>
      <c r="D4642" s="1" t="s">
        <v>41</v>
      </c>
      <c r="E4642" s="3">
        <v>1081381</v>
      </c>
      <c r="G4642" s="1">
        <v>4</v>
      </c>
      <c r="H4642" s="1">
        <v>2</v>
      </c>
      <c r="I4642" s="1">
        <v>2</v>
      </c>
      <c r="J4642" s="1">
        <v>2</v>
      </c>
      <c r="N4642" s="1">
        <v>920</v>
      </c>
      <c r="O4642" s="1">
        <v>1091</v>
      </c>
      <c r="P4642" s="1">
        <v>171</v>
      </c>
      <c r="Q4642" s="1" t="s">
        <v>42</v>
      </c>
      <c r="S4642" s="1" t="s">
        <v>42</v>
      </c>
      <c r="T4642" s="1" t="s">
        <v>273</v>
      </c>
      <c r="U4642" s="1">
        <v>62</v>
      </c>
      <c r="V4642" s="5">
        <v>43665</v>
      </c>
      <c r="W4642" s="5">
        <v>42770</v>
      </c>
      <c r="X4642" s="1">
        <v>1062000</v>
      </c>
      <c r="Y4642" s="1">
        <v>1062000</v>
      </c>
      <c r="Z4642" s="5">
        <v>42832</v>
      </c>
      <c r="AA4642" s="1">
        <v>1081381</v>
      </c>
      <c r="AB4642" s="1" t="s">
        <v>275</v>
      </c>
      <c r="AC4642" s="5">
        <v>42899</v>
      </c>
      <c r="AF4642" s="1">
        <v>10027</v>
      </c>
      <c r="AI4642" s="1" t="s">
        <v>52</v>
      </c>
      <c r="AJ4642" s="1">
        <v>2016</v>
      </c>
      <c r="AK4642" s="1" t="s">
        <v>108</v>
      </c>
      <c r="AL4642" s="1">
        <v>115</v>
      </c>
    </row>
    <row r="4643" spans="1:38" x14ac:dyDescent="0.2">
      <c r="A4643" s="2" t="str">
        <f>HYPERLINK("https://www.compass.com/listing/2231-adam-clayton-powell-jr-boulevard-unit-ph15-manhattan-ny-10027/4852274937320177889/","2231 Adam Clayton Powell Jr Blvd, Unit PH15")</f>
        <v>2231 Adam Clayton Powell Jr Blvd, Unit PH15</v>
      </c>
      <c r="B4643" s="2" t="str">
        <f t="shared" si="782"/>
        <v>The Aurum</v>
      </c>
      <c r="C4643" s="1" t="s">
        <v>85</v>
      </c>
      <c r="D4643" s="1" t="s">
        <v>41</v>
      </c>
      <c r="E4643" s="3">
        <v>1155611</v>
      </c>
      <c r="F4643" s="1">
        <v>1323.7239404352799</v>
      </c>
      <c r="G4643" s="1">
        <v>4</v>
      </c>
      <c r="H4643" s="1">
        <v>2</v>
      </c>
      <c r="I4643" s="1">
        <v>2</v>
      </c>
      <c r="J4643" s="1">
        <v>2</v>
      </c>
      <c r="M4643" s="1">
        <v>873</v>
      </c>
      <c r="N4643" s="1">
        <v>833</v>
      </c>
      <c r="O4643" s="1">
        <v>988</v>
      </c>
      <c r="P4643" s="1">
        <v>155</v>
      </c>
      <c r="Q4643" s="1" t="s">
        <v>42</v>
      </c>
      <c r="S4643" s="1" t="s">
        <v>42</v>
      </c>
      <c r="T4643" s="1" t="s">
        <v>273</v>
      </c>
      <c r="V4643" s="5">
        <v>43666</v>
      </c>
      <c r="W4643" s="5">
        <v>42599</v>
      </c>
      <c r="X4643" s="1">
        <v>1134900</v>
      </c>
      <c r="Y4643" s="1">
        <v>1134900</v>
      </c>
      <c r="Z4643" s="5">
        <v>42599</v>
      </c>
      <c r="AA4643" s="1">
        <v>1155611</v>
      </c>
      <c r="AB4643" s="1" t="s">
        <v>275</v>
      </c>
      <c r="AC4643" s="5">
        <v>42797</v>
      </c>
      <c r="AF4643" s="1">
        <v>10027</v>
      </c>
      <c r="AI4643" s="1" t="s">
        <v>133</v>
      </c>
      <c r="AJ4643" s="1">
        <v>2016</v>
      </c>
      <c r="AK4643" s="1" t="s">
        <v>108</v>
      </c>
      <c r="AL4643" s="1">
        <v>115</v>
      </c>
    </row>
    <row r="4644" spans="1:38" x14ac:dyDescent="0.2">
      <c r="A4644" s="2" t="str">
        <f>HYPERLINK("https://www.compass.com/listing/2231-adam-clayton-powell-jr-boulevard-unit-511-manhattan-ny-10027/4852307899172523489/","2231 Adam Clayton Powell Jr Blvd, Unit 511")</f>
        <v>2231 Adam Clayton Powell Jr Blvd, Unit 511</v>
      </c>
      <c r="B4644" s="2" t="str">
        <f t="shared" si="782"/>
        <v>The Aurum</v>
      </c>
      <c r="C4644" s="1" t="s">
        <v>85</v>
      </c>
      <c r="D4644" s="1" t="s">
        <v>41</v>
      </c>
      <c r="E4644" s="3">
        <v>1015195</v>
      </c>
      <c r="G4644" s="1">
        <v>4</v>
      </c>
      <c r="H4644" s="1">
        <v>2</v>
      </c>
      <c r="I4644" s="1">
        <v>2</v>
      </c>
      <c r="J4644" s="1">
        <v>2</v>
      </c>
      <c r="N4644" s="1">
        <v>895</v>
      </c>
      <c r="O4644" s="1">
        <v>1061</v>
      </c>
      <c r="P4644" s="1">
        <v>166</v>
      </c>
      <c r="Q4644" s="1" t="s">
        <v>42</v>
      </c>
      <c r="S4644" s="1" t="s">
        <v>42</v>
      </c>
      <c r="T4644" s="1" t="s">
        <v>273</v>
      </c>
      <c r="U4644" s="1">
        <v>69</v>
      </c>
      <c r="V4644" s="5">
        <v>43665</v>
      </c>
      <c r="W4644" s="5">
        <v>42634</v>
      </c>
      <c r="X4644" s="1">
        <v>997000</v>
      </c>
      <c r="Y4644" s="1">
        <v>997000</v>
      </c>
      <c r="Z4644" s="5">
        <v>42703</v>
      </c>
      <c r="AA4644" s="1">
        <v>1015195</v>
      </c>
      <c r="AB4644" s="1" t="s">
        <v>275</v>
      </c>
      <c r="AC4644" s="5">
        <v>42763</v>
      </c>
      <c r="AF4644" s="1">
        <v>10027</v>
      </c>
      <c r="AI4644" s="1" t="s">
        <v>52</v>
      </c>
      <c r="AJ4644" s="1">
        <v>2016</v>
      </c>
      <c r="AK4644" s="1" t="s">
        <v>108</v>
      </c>
      <c r="AL4644" s="1">
        <v>115</v>
      </c>
    </row>
    <row r="4645" spans="1:38" x14ac:dyDescent="0.2">
      <c r="A4645" s="2" t="str">
        <f>HYPERLINK("https://www.compass.com/listing/2231-adam-clayton-powell-jr-boulevard-unit-ph10-manhattan-ny-10027/4853137692818412385/","2231 Adam Clayton Powell Jr Blvd, Unit PH10")</f>
        <v>2231 Adam Clayton Powell Jr Blvd, Unit PH10</v>
      </c>
      <c r="B4645" s="2" t="str">
        <f t="shared" si="782"/>
        <v>The Aurum</v>
      </c>
      <c r="C4645" s="1" t="s">
        <v>85</v>
      </c>
      <c r="D4645" s="1" t="s">
        <v>41</v>
      </c>
      <c r="E4645" s="3">
        <v>1140000</v>
      </c>
      <c r="F4645" s="1">
        <v>1075.4716981132001</v>
      </c>
      <c r="G4645" s="1">
        <v>4</v>
      </c>
      <c r="H4645" s="1">
        <v>2</v>
      </c>
      <c r="I4645" s="1">
        <v>2</v>
      </c>
      <c r="J4645" s="1">
        <v>2</v>
      </c>
      <c r="M4645" s="4">
        <v>1060</v>
      </c>
      <c r="N4645" s="1">
        <v>1111</v>
      </c>
      <c r="O4645" s="1">
        <v>1299</v>
      </c>
      <c r="P4645" s="1">
        <v>188</v>
      </c>
      <c r="Q4645" s="1" t="s">
        <v>42</v>
      </c>
      <c r="S4645" s="1" t="s">
        <v>42</v>
      </c>
      <c r="T4645" s="1" t="s">
        <v>273</v>
      </c>
      <c r="U4645" s="1">
        <v>35</v>
      </c>
      <c r="V4645" s="5">
        <v>43666</v>
      </c>
      <c r="W4645" s="5">
        <v>42817</v>
      </c>
      <c r="X4645" s="1">
        <v>1140000</v>
      </c>
      <c r="Y4645" s="1">
        <v>1140000</v>
      </c>
      <c r="Z4645" s="5">
        <v>42852</v>
      </c>
      <c r="AA4645" s="1">
        <v>1140000</v>
      </c>
      <c r="AB4645" s="1" t="s">
        <v>275</v>
      </c>
      <c r="AC4645" s="5">
        <v>42928</v>
      </c>
      <c r="AF4645" s="1">
        <v>10027</v>
      </c>
      <c r="AI4645" s="1" t="s">
        <v>52</v>
      </c>
      <c r="AJ4645" s="1">
        <v>2016</v>
      </c>
      <c r="AK4645" s="1" t="s">
        <v>108</v>
      </c>
      <c r="AL4645" s="1">
        <v>115</v>
      </c>
    </row>
    <row r="4646" spans="1:38" x14ac:dyDescent="0.2">
      <c r="A4646" s="2" t="str">
        <f>HYPERLINK("https://www.compass.com/listing/2231-adam-clayton-powell-jr-boulevard-unit-307-manhattan-ny-10027/4853137737999464161/","2231 Adam Clayton Powell Jr Blvd, Unit 307")</f>
        <v>2231 Adam Clayton Powell Jr Blvd, Unit 307</v>
      </c>
      <c r="B4646" s="2" t="str">
        <f t="shared" si="782"/>
        <v>The Aurum</v>
      </c>
      <c r="C4646" s="1" t="s">
        <v>85</v>
      </c>
      <c r="D4646" s="1" t="s">
        <v>41</v>
      </c>
      <c r="E4646" s="3">
        <v>997000</v>
      </c>
      <c r="F4646" s="1">
        <v>1033.16062176165</v>
      </c>
      <c r="G4646" s="1">
        <v>4</v>
      </c>
      <c r="H4646" s="1">
        <v>2</v>
      </c>
      <c r="I4646" s="1">
        <v>2</v>
      </c>
      <c r="J4646" s="1">
        <v>2</v>
      </c>
      <c r="M4646" s="1">
        <v>965</v>
      </c>
      <c r="N4646" s="1">
        <v>920</v>
      </c>
      <c r="O4646" s="1">
        <v>1091</v>
      </c>
      <c r="P4646" s="1">
        <v>171</v>
      </c>
      <c r="Q4646" s="1" t="s">
        <v>42</v>
      </c>
      <c r="S4646" s="1" t="s">
        <v>42</v>
      </c>
      <c r="T4646" s="1" t="s">
        <v>273</v>
      </c>
      <c r="U4646" s="1">
        <v>85</v>
      </c>
      <c r="V4646" s="5">
        <v>43666</v>
      </c>
      <c r="W4646" s="5">
        <v>42692</v>
      </c>
      <c r="X4646" s="1">
        <v>975000</v>
      </c>
      <c r="Y4646" s="1">
        <v>997000</v>
      </c>
      <c r="Z4646" s="5">
        <v>42777</v>
      </c>
      <c r="AA4646" s="1">
        <v>997000</v>
      </c>
      <c r="AB4646" s="1" t="s">
        <v>275</v>
      </c>
      <c r="AC4646" s="5">
        <v>42836</v>
      </c>
      <c r="AF4646" s="1">
        <v>10027</v>
      </c>
      <c r="AI4646" s="1" t="s">
        <v>52</v>
      </c>
      <c r="AJ4646" s="1">
        <v>2016</v>
      </c>
      <c r="AK4646" s="1" t="s">
        <v>108</v>
      </c>
      <c r="AL4646" s="1">
        <v>115</v>
      </c>
    </row>
    <row r="4647" spans="1:38" x14ac:dyDescent="0.2">
      <c r="A4647" s="2" t="str">
        <f>HYPERLINK("https://www.compass.com/listing/2231-adam-clayton-powell-jr-boulevard-unit-205-manhattan-ny-10027/4853137739870124145/","2231 Adam Clayton Powell Jr Blvd, Unit 205")</f>
        <v>2231 Adam Clayton Powell Jr Blvd, Unit 205</v>
      </c>
      <c r="B4647" s="2" t="str">
        <f t="shared" si="782"/>
        <v>The Aurum</v>
      </c>
      <c r="C4647" s="1" t="s">
        <v>85</v>
      </c>
      <c r="D4647" s="1" t="s">
        <v>41</v>
      </c>
      <c r="E4647" s="3">
        <v>1006031</v>
      </c>
      <c r="F4647" s="1">
        <v>1042.5191709844501</v>
      </c>
      <c r="G4647" s="1">
        <v>4</v>
      </c>
      <c r="H4647" s="1">
        <v>2</v>
      </c>
      <c r="I4647" s="1">
        <v>2</v>
      </c>
      <c r="J4647" s="1">
        <v>2</v>
      </c>
      <c r="M4647" s="1">
        <v>965</v>
      </c>
      <c r="N4647" s="1">
        <v>920</v>
      </c>
      <c r="O4647" s="1">
        <v>1091</v>
      </c>
      <c r="P4647" s="1">
        <v>171</v>
      </c>
      <c r="Q4647" s="1" t="s">
        <v>42</v>
      </c>
      <c r="S4647" s="1" t="s">
        <v>42</v>
      </c>
      <c r="T4647" s="1" t="s">
        <v>273</v>
      </c>
      <c r="U4647" s="1">
        <v>7</v>
      </c>
      <c r="V4647" s="5">
        <v>43664</v>
      </c>
      <c r="W4647" s="5">
        <v>42770</v>
      </c>
      <c r="X4647" s="1">
        <v>988000</v>
      </c>
      <c r="Y4647" s="1">
        <v>988000</v>
      </c>
      <c r="Z4647" s="5">
        <v>42777</v>
      </c>
      <c r="AA4647" s="1">
        <v>1006031</v>
      </c>
      <c r="AB4647" s="1" t="s">
        <v>275</v>
      </c>
      <c r="AC4647" s="5">
        <v>42843</v>
      </c>
      <c r="AF4647" s="1">
        <v>10027</v>
      </c>
      <c r="AI4647" s="1" t="s">
        <v>52</v>
      </c>
      <c r="AJ4647" s="1">
        <v>2016</v>
      </c>
      <c r="AK4647" s="1" t="s">
        <v>108</v>
      </c>
      <c r="AL4647" s="1">
        <v>115</v>
      </c>
    </row>
    <row r="4648" spans="1:38" x14ac:dyDescent="0.2">
      <c r="A4648" s="2" t="str">
        <f>HYPERLINK("https://www.compass.com/listing/2231-adam-clayton-powell-jr-boulevard-unit-611-manhattan-ny-10027/4853137740650264881/","2231 Adam Clayton Powell Jr Blvd, Unit 611")</f>
        <v>2231 Adam Clayton Powell Jr Blvd, Unit 611</v>
      </c>
      <c r="B4648" s="2" t="str">
        <f t="shared" si="782"/>
        <v>The Aurum</v>
      </c>
      <c r="C4648" s="1" t="s">
        <v>85</v>
      </c>
      <c r="D4648" s="1" t="s">
        <v>41</v>
      </c>
      <c r="E4648" s="3">
        <v>1035000</v>
      </c>
      <c r="F4648" s="1">
        <v>1103.4115138592699</v>
      </c>
      <c r="G4648" s="1">
        <v>4</v>
      </c>
      <c r="H4648" s="1">
        <v>2</v>
      </c>
      <c r="I4648" s="1">
        <v>2</v>
      </c>
      <c r="J4648" s="1">
        <v>2</v>
      </c>
      <c r="M4648" s="1">
        <v>938</v>
      </c>
      <c r="N4648" s="1">
        <v>895</v>
      </c>
      <c r="O4648" s="1">
        <v>1061</v>
      </c>
      <c r="P4648" s="1">
        <v>166</v>
      </c>
      <c r="Q4648" s="1" t="s">
        <v>42</v>
      </c>
      <c r="S4648" s="1" t="s">
        <v>42</v>
      </c>
      <c r="T4648" s="1" t="s">
        <v>273</v>
      </c>
      <c r="U4648" s="1">
        <v>169</v>
      </c>
      <c r="V4648" s="5">
        <v>43666</v>
      </c>
      <c r="W4648" s="5">
        <v>42717</v>
      </c>
      <c r="X4648" s="1">
        <v>1035000</v>
      </c>
      <c r="Y4648" s="1">
        <v>1035000</v>
      </c>
      <c r="Z4648" s="5">
        <v>42886</v>
      </c>
      <c r="AA4648" s="1">
        <v>1035000</v>
      </c>
      <c r="AB4648" s="1" t="s">
        <v>275</v>
      </c>
      <c r="AC4648" s="5">
        <v>42900</v>
      </c>
      <c r="AF4648" s="1">
        <v>10027</v>
      </c>
      <c r="AI4648" s="1" t="s">
        <v>52</v>
      </c>
      <c r="AJ4648" s="1">
        <v>2016</v>
      </c>
      <c r="AK4648" s="1" t="s">
        <v>108</v>
      </c>
      <c r="AL4648" s="1">
        <v>115</v>
      </c>
    </row>
    <row r="4649" spans="1:38" x14ac:dyDescent="0.2">
      <c r="A4649" s="2" t="str">
        <f>HYPERLINK("https://www.compass.com/listing/1-west-end-avenue-unit-11g-manhattan-ny-10069/29397372043792801/","1 W End Ave, Unit 11G")</f>
        <v>1 W End Ave, Unit 11G</v>
      </c>
      <c r="B4649" s="2" t="str">
        <f t="shared" ref="B4649:B4653" si="783">HYPERLINK("https://www.compass.com/building/1-w-end-ave-manhattan-ny-10069/455676159137755317/","1 W End Ave")</f>
        <v>1 W End Ave</v>
      </c>
      <c r="C4649" s="1" t="s">
        <v>57</v>
      </c>
      <c r="D4649" s="1" t="s">
        <v>41</v>
      </c>
      <c r="E4649" s="3">
        <v>2135501</v>
      </c>
      <c r="F4649" s="1">
        <v>1791.52768456375</v>
      </c>
      <c r="G4649" s="1">
        <v>4</v>
      </c>
      <c r="H4649" s="1">
        <v>2</v>
      </c>
      <c r="I4649" s="1">
        <v>2</v>
      </c>
      <c r="J4649" s="1">
        <v>2</v>
      </c>
      <c r="K4649" s="1">
        <v>2</v>
      </c>
      <c r="M4649" s="4">
        <v>1192</v>
      </c>
      <c r="N4649" s="1">
        <v>1441</v>
      </c>
      <c r="O4649" s="1">
        <v>1527</v>
      </c>
      <c r="P4649" s="1">
        <v>86</v>
      </c>
      <c r="Q4649" s="1" t="s">
        <v>42</v>
      </c>
      <c r="S4649" s="1" t="s">
        <v>42</v>
      </c>
      <c r="T4649" s="1" t="s">
        <v>273</v>
      </c>
      <c r="U4649" s="1">
        <v>1</v>
      </c>
      <c r="V4649" s="5">
        <v>43623</v>
      </c>
      <c r="W4649" s="5">
        <v>42199</v>
      </c>
      <c r="X4649" s="1">
        <v>2285000</v>
      </c>
      <c r="Y4649" s="1">
        <v>2285000</v>
      </c>
      <c r="Z4649" s="5">
        <v>42200</v>
      </c>
      <c r="AA4649" s="1">
        <v>2135501</v>
      </c>
      <c r="AB4649" s="1" t="s">
        <v>3282</v>
      </c>
      <c r="AC4649" s="5">
        <v>43014</v>
      </c>
      <c r="AF4649" s="1">
        <v>10069</v>
      </c>
      <c r="AI4649" s="1" t="s">
        <v>60</v>
      </c>
      <c r="AJ4649" s="1">
        <v>2017</v>
      </c>
      <c r="AK4649" s="1" t="s">
        <v>108</v>
      </c>
      <c r="AL4649" s="1">
        <v>246</v>
      </c>
    </row>
    <row r="4650" spans="1:38" x14ac:dyDescent="0.2">
      <c r="A4650" s="2" t="str">
        <f>HYPERLINK("https://www.compass.com/listing/1-west-end-avenue-unit-14g-manhattan-ny-10069/29397372790471553/","1 W End Ave, Unit 14G")</f>
        <v>1 W End Ave, Unit 14G</v>
      </c>
      <c r="B4650" s="2" t="str">
        <f t="shared" si="783"/>
        <v>1 W End Ave</v>
      </c>
      <c r="C4650" s="1" t="s">
        <v>57</v>
      </c>
      <c r="D4650" s="1" t="s">
        <v>41</v>
      </c>
      <c r="E4650" s="3">
        <v>2257699</v>
      </c>
      <c r="F4650" s="1">
        <v>1890.87037688442</v>
      </c>
      <c r="G4650" s="1">
        <v>4</v>
      </c>
      <c r="H4650" s="1">
        <v>2</v>
      </c>
      <c r="I4650" s="1">
        <v>2</v>
      </c>
      <c r="J4650" s="1">
        <v>2</v>
      </c>
      <c r="K4650" s="1">
        <v>2</v>
      </c>
      <c r="M4650" s="4">
        <v>1194</v>
      </c>
      <c r="N4650" s="1">
        <v>1443</v>
      </c>
      <c r="O4650" s="1">
        <v>1529</v>
      </c>
      <c r="P4650" s="1">
        <v>86</v>
      </c>
      <c r="Q4650" s="1" t="s">
        <v>42</v>
      </c>
      <c r="S4650" s="1" t="s">
        <v>42</v>
      </c>
      <c r="T4650" s="1" t="s">
        <v>273</v>
      </c>
      <c r="U4650" s="1">
        <v>1</v>
      </c>
      <c r="V4650" s="5">
        <v>43364</v>
      </c>
      <c r="W4650" s="5">
        <v>42198</v>
      </c>
      <c r="X4650" s="1">
        <v>2345000</v>
      </c>
      <c r="Y4650" s="1">
        <v>2345000</v>
      </c>
      <c r="Z4650" s="5">
        <v>42199</v>
      </c>
      <c r="AA4650" s="1">
        <v>2257699.23</v>
      </c>
      <c r="AB4650" s="1" t="s">
        <v>3283</v>
      </c>
      <c r="AC4650" s="5">
        <v>43048</v>
      </c>
      <c r="AF4650" s="1">
        <v>10069</v>
      </c>
      <c r="AI4650" s="1" t="s">
        <v>60</v>
      </c>
      <c r="AJ4650" s="1">
        <v>2017</v>
      </c>
      <c r="AK4650" s="1" t="s">
        <v>108</v>
      </c>
      <c r="AL4650" s="1">
        <v>246</v>
      </c>
    </row>
    <row r="4651" spans="1:38" x14ac:dyDescent="0.2">
      <c r="A4651" s="2" t="str">
        <f>HYPERLINK("https://www.compass.com/listing/1-west-end-avenue-unit-16g-manhattan-ny-10069/29397373536981489/","1 W End Ave, Unit 16G")</f>
        <v>1 W End Ave, Unit 16G</v>
      </c>
      <c r="B4651" s="2" t="str">
        <f t="shared" si="783"/>
        <v>1 W End Ave</v>
      </c>
      <c r="C4651" s="1" t="s">
        <v>57</v>
      </c>
      <c r="D4651" s="1" t="s">
        <v>41</v>
      </c>
      <c r="E4651" s="3">
        <v>2237326</v>
      </c>
      <c r="F4651" s="1">
        <v>1876.95134228187</v>
      </c>
      <c r="G4651" s="1">
        <v>4</v>
      </c>
      <c r="H4651" s="1">
        <v>2</v>
      </c>
      <c r="I4651" s="1">
        <v>2</v>
      </c>
      <c r="J4651" s="1">
        <v>2</v>
      </c>
      <c r="K4651" s="1">
        <v>2</v>
      </c>
      <c r="M4651" s="4">
        <v>1192</v>
      </c>
      <c r="N4651" s="1">
        <v>1441</v>
      </c>
      <c r="O4651" s="1">
        <v>1527</v>
      </c>
      <c r="P4651" s="1">
        <v>86</v>
      </c>
      <c r="Q4651" s="1" t="s">
        <v>42</v>
      </c>
      <c r="S4651" s="1" t="s">
        <v>42</v>
      </c>
      <c r="T4651" s="1" t="s">
        <v>273</v>
      </c>
      <c r="U4651" s="1">
        <v>1</v>
      </c>
      <c r="V4651" s="5">
        <v>43623</v>
      </c>
      <c r="W4651" s="5">
        <v>42199</v>
      </c>
      <c r="X4651" s="1">
        <v>2385000</v>
      </c>
      <c r="Y4651" s="1">
        <v>2385000</v>
      </c>
      <c r="Z4651" s="5">
        <v>42200</v>
      </c>
      <c r="AA4651" s="1">
        <v>2237326</v>
      </c>
      <c r="AB4651" s="1" t="s">
        <v>3284</v>
      </c>
      <c r="AC4651" s="5">
        <v>43067</v>
      </c>
      <c r="AF4651" s="1">
        <v>10069</v>
      </c>
      <c r="AI4651" s="1" t="s">
        <v>60</v>
      </c>
      <c r="AJ4651" s="1">
        <v>2017</v>
      </c>
      <c r="AK4651" s="1" t="s">
        <v>108</v>
      </c>
      <c r="AL4651" s="1">
        <v>246</v>
      </c>
    </row>
    <row r="4652" spans="1:38" x14ac:dyDescent="0.2">
      <c r="A4652" s="2" t="str">
        <f>HYPERLINK("https://www.compass.com/listing/1-west-end-avenue-unit-17g-manhattan-ny-10069/29397373906156449/","1 W End Ave, Unit 17G")</f>
        <v>1 W End Ave, Unit 17G</v>
      </c>
      <c r="B4652" s="2" t="str">
        <f t="shared" si="783"/>
        <v>1 W End Ave</v>
      </c>
      <c r="C4652" s="1" t="s">
        <v>57</v>
      </c>
      <c r="D4652" s="1" t="s">
        <v>41</v>
      </c>
      <c r="E4652" s="3">
        <v>2257691</v>
      </c>
      <c r="F4652" s="1">
        <v>1894.0360738254999</v>
      </c>
      <c r="G4652" s="1">
        <v>4</v>
      </c>
      <c r="H4652" s="1">
        <v>2</v>
      </c>
      <c r="I4652" s="1">
        <v>2</v>
      </c>
      <c r="J4652" s="1">
        <v>2</v>
      </c>
      <c r="K4652" s="1">
        <v>2</v>
      </c>
      <c r="M4652" s="4">
        <v>1192</v>
      </c>
      <c r="N4652" s="1">
        <v>1441</v>
      </c>
      <c r="O4652" s="1">
        <v>1527</v>
      </c>
      <c r="P4652" s="1">
        <v>86</v>
      </c>
      <c r="Q4652" s="1" t="s">
        <v>42</v>
      </c>
      <c r="S4652" s="1" t="s">
        <v>42</v>
      </c>
      <c r="T4652" s="1" t="s">
        <v>273</v>
      </c>
      <c r="U4652" s="1">
        <v>1</v>
      </c>
      <c r="V4652" s="5">
        <v>43623</v>
      </c>
      <c r="W4652" s="5">
        <v>42199</v>
      </c>
      <c r="X4652" s="1">
        <v>2405000</v>
      </c>
      <c r="Y4652" s="1">
        <v>2405000</v>
      </c>
      <c r="Z4652" s="5">
        <v>42200</v>
      </c>
      <c r="AA4652" s="1">
        <v>2257691</v>
      </c>
      <c r="AB4652" s="1" t="s">
        <v>3285</v>
      </c>
      <c r="AC4652" s="5">
        <v>42997</v>
      </c>
      <c r="AF4652" s="1">
        <v>10069</v>
      </c>
      <c r="AI4652" s="1" t="s">
        <v>60</v>
      </c>
      <c r="AJ4652" s="1">
        <v>2017</v>
      </c>
      <c r="AK4652" s="1" t="s">
        <v>108</v>
      </c>
      <c r="AL4652" s="1">
        <v>246</v>
      </c>
    </row>
    <row r="4653" spans="1:38" x14ac:dyDescent="0.2">
      <c r="A4653" s="2" t="str">
        <f>HYPERLINK("https://www.compass.com/listing/1-west-end-avenue-unit-33c-manhattan-ny-10069/803356176397842825/","1 W End Ave, Unit 33C")</f>
        <v>1 W End Ave, Unit 33C</v>
      </c>
      <c r="B4653" s="2" t="str">
        <f t="shared" si="783"/>
        <v>1 W End Ave</v>
      </c>
      <c r="C4653" s="1" t="s">
        <v>57</v>
      </c>
      <c r="D4653" s="1" t="s">
        <v>41</v>
      </c>
      <c r="E4653" s="3">
        <v>4788033</v>
      </c>
      <c r="F4653" s="1">
        <v>2132.7542806236002</v>
      </c>
      <c r="G4653" s="1">
        <v>5</v>
      </c>
      <c r="H4653" s="1">
        <v>3</v>
      </c>
      <c r="I4653" s="1">
        <v>4</v>
      </c>
      <c r="J4653" s="1">
        <v>3.5</v>
      </c>
      <c r="K4653" s="1">
        <v>3</v>
      </c>
      <c r="L4653" s="1">
        <v>1</v>
      </c>
      <c r="M4653" s="4">
        <v>2245</v>
      </c>
      <c r="N4653" s="1">
        <v>2638</v>
      </c>
      <c r="O4653" s="1">
        <v>2790</v>
      </c>
      <c r="P4653" s="1">
        <v>152</v>
      </c>
      <c r="Q4653" s="1" t="s">
        <v>42</v>
      </c>
      <c r="S4653" s="1" t="s">
        <v>42</v>
      </c>
      <c r="T4653" s="1" t="s">
        <v>273</v>
      </c>
      <c r="V4653" s="5">
        <v>44278</v>
      </c>
      <c r="W4653" s="5">
        <v>44242</v>
      </c>
      <c r="X4653" s="1">
        <v>5450000</v>
      </c>
      <c r="Y4653" s="1">
        <v>5450000</v>
      </c>
      <c r="Z4653" s="5">
        <v>44242</v>
      </c>
      <c r="AA4653" s="1">
        <v>4788033.3600000003</v>
      </c>
      <c r="AB4653" s="1" t="s">
        <v>3286</v>
      </c>
      <c r="AC4653" s="5">
        <v>44277</v>
      </c>
      <c r="AF4653" s="1">
        <v>10069</v>
      </c>
      <c r="AI4653" s="1" t="s">
        <v>396</v>
      </c>
      <c r="AJ4653" s="1">
        <v>2017</v>
      </c>
      <c r="AK4653" s="1" t="s">
        <v>108</v>
      </c>
      <c r="AL4653" s="1">
        <v>246</v>
      </c>
    </row>
    <row r="4654" spans="1:38" x14ac:dyDescent="0.2">
      <c r="A4654" s="2" t="str">
        <f>HYPERLINK("https://www.compass.com/listing/285-west-110th-street-unit-9b-manhattan-ny-10026/231761552527678161/","285 W 110th St, Unit 9B")</f>
        <v>285 W 110th St, Unit 9B</v>
      </c>
      <c r="B4654" s="2" t="str">
        <f>HYPERLINK("https://www.compass.com/building/circa-central-park-manhattan-ny/282059072692321269/","Circa Central Park")</f>
        <v>Circa Central Park</v>
      </c>
      <c r="C4654" s="1" t="s">
        <v>85</v>
      </c>
      <c r="D4654" s="1" t="s">
        <v>41</v>
      </c>
      <c r="E4654" s="3">
        <v>4011000</v>
      </c>
      <c r="F4654" s="1">
        <v>2232.05342237061</v>
      </c>
      <c r="G4654" s="1">
        <v>5</v>
      </c>
      <c r="H4654" s="1">
        <v>4</v>
      </c>
      <c r="I4654" s="1">
        <v>3</v>
      </c>
      <c r="J4654" s="1">
        <v>3</v>
      </c>
      <c r="K4654" s="1">
        <v>3</v>
      </c>
      <c r="M4654" s="4">
        <v>1797</v>
      </c>
      <c r="N4654" s="1">
        <v>2658.08</v>
      </c>
      <c r="O4654" s="1">
        <v>2911.92</v>
      </c>
      <c r="P4654" s="1">
        <v>253.833333333333</v>
      </c>
      <c r="Q4654" s="1" t="s">
        <v>42</v>
      </c>
      <c r="S4654" s="1" t="s">
        <v>42</v>
      </c>
      <c r="T4654" s="1" t="s">
        <v>273</v>
      </c>
      <c r="V4654" s="5">
        <v>43694</v>
      </c>
      <c r="W4654" s="5">
        <v>43571</v>
      </c>
      <c r="X4654" s="1">
        <v>4243500</v>
      </c>
      <c r="Y4654" s="1">
        <v>4243500</v>
      </c>
      <c r="Z4654" s="5">
        <v>43571</v>
      </c>
      <c r="AA4654" s="1">
        <v>4011000</v>
      </c>
      <c r="AB4654" s="1" t="s">
        <v>275</v>
      </c>
      <c r="AC4654" s="5">
        <v>43631</v>
      </c>
      <c r="AF4654" s="1">
        <v>10026</v>
      </c>
      <c r="AI4654" s="1" t="s">
        <v>238</v>
      </c>
      <c r="AJ4654" s="1">
        <v>2017</v>
      </c>
      <c r="AK4654" s="1" t="s">
        <v>46</v>
      </c>
      <c r="AL4654" s="1">
        <v>38</v>
      </c>
    </row>
    <row r="4655" spans="1:38" x14ac:dyDescent="0.2">
      <c r="A4655" s="2" t="str">
        <f>HYPERLINK("https://www.compass.com/listing/325-lexington-avenue-unit-30b-manhattan-ny-10016/29379737210135857/","325 Lexington Ave, Unit 30B")</f>
        <v>325 Lexington Ave, Unit 30B</v>
      </c>
      <c r="B4655" s="2" t="str">
        <f>HYPERLINK("https://www.compass.com/building/325-lex-condominium-manhattan-ny/281939882467713365/","325 Lex Condominium")</f>
        <v>325 Lex Condominium</v>
      </c>
      <c r="C4655" s="1" t="s">
        <v>59</v>
      </c>
      <c r="D4655" s="1" t="s">
        <v>41</v>
      </c>
      <c r="E4655" s="3">
        <v>2367431</v>
      </c>
      <c r="F4655" s="1">
        <v>2334.7445759368802</v>
      </c>
      <c r="G4655" s="1">
        <v>4</v>
      </c>
      <c r="H4655" s="1">
        <v>2</v>
      </c>
      <c r="I4655" s="1">
        <v>2</v>
      </c>
      <c r="J4655" s="1">
        <v>2</v>
      </c>
      <c r="K4655" s="1">
        <v>2</v>
      </c>
      <c r="M4655" s="4">
        <v>1014</v>
      </c>
      <c r="N4655" s="1">
        <v>1519</v>
      </c>
      <c r="O4655" s="1">
        <v>1850</v>
      </c>
      <c r="P4655" s="1">
        <v>331</v>
      </c>
      <c r="Q4655" s="1" t="s">
        <v>42</v>
      </c>
      <c r="S4655" s="1" t="s">
        <v>42</v>
      </c>
      <c r="T4655" s="1" t="s">
        <v>273</v>
      </c>
      <c r="U4655" s="1">
        <v>236</v>
      </c>
      <c r="V4655" s="5">
        <v>43654</v>
      </c>
      <c r="W4655" s="5">
        <v>42089</v>
      </c>
      <c r="X4655" s="1">
        <v>2150000</v>
      </c>
      <c r="Y4655" s="1">
        <v>2350000</v>
      </c>
      <c r="Z4655" s="5">
        <v>42325</v>
      </c>
      <c r="AA4655" s="1">
        <v>2367431</v>
      </c>
      <c r="AB4655" s="1" t="s">
        <v>3287</v>
      </c>
      <c r="AC4655" s="5">
        <v>42355</v>
      </c>
      <c r="AF4655" s="1">
        <v>10016</v>
      </c>
      <c r="AI4655" s="1" t="s">
        <v>60</v>
      </c>
      <c r="AJ4655" s="1">
        <v>2014</v>
      </c>
      <c r="AK4655" s="1" t="s">
        <v>108</v>
      </c>
      <c r="AL4655" s="1">
        <v>125</v>
      </c>
    </row>
    <row r="4656" spans="1:38" x14ac:dyDescent="0.2">
      <c r="A4656" s="2" t="str">
        <f>HYPERLINK("https://www.compass.com/listing/1-west-end-avenue-unit-35c-manhattan-ny-10069/711622540852999761/","1 W End Ave, Unit 35C")</f>
        <v>1 W End Ave, Unit 35C</v>
      </c>
      <c r="B4656" s="2" t="str">
        <f>HYPERLINK("https://www.compass.com/building/1-w-end-ave-manhattan-ny-10069/455676159137755317/","1 W End Ave")</f>
        <v>1 W End Ave</v>
      </c>
      <c r="C4656" s="1" t="s">
        <v>57</v>
      </c>
      <c r="D4656" s="1" t="s">
        <v>41</v>
      </c>
      <c r="E4656" s="3">
        <v>5550000</v>
      </c>
      <c r="F4656" s="1">
        <v>2472.16035634743</v>
      </c>
      <c r="G4656" s="1">
        <v>5</v>
      </c>
      <c r="H4656" s="1">
        <v>3</v>
      </c>
      <c r="I4656" s="1">
        <v>4</v>
      </c>
      <c r="J4656" s="1">
        <v>3.5</v>
      </c>
      <c r="K4656" s="1">
        <v>3</v>
      </c>
      <c r="L4656" s="1">
        <v>1</v>
      </c>
      <c r="M4656" s="4">
        <v>2245</v>
      </c>
      <c r="N4656" s="1">
        <v>2637</v>
      </c>
      <c r="O4656" s="1">
        <v>2789</v>
      </c>
      <c r="P4656" s="1">
        <v>152</v>
      </c>
      <c r="Q4656" s="1" t="s">
        <v>42</v>
      </c>
      <c r="S4656" s="1" t="s">
        <v>42</v>
      </c>
      <c r="T4656" s="1" t="s">
        <v>273</v>
      </c>
      <c r="V4656" s="5">
        <v>44318</v>
      </c>
      <c r="W4656" s="5">
        <v>44233</v>
      </c>
      <c r="Y4656" s="1">
        <v>5550000</v>
      </c>
      <c r="Z4656" s="5">
        <v>44233</v>
      </c>
      <c r="AA4656" s="1">
        <v>5550000</v>
      </c>
      <c r="AB4656" s="1" t="s">
        <v>275</v>
      </c>
      <c r="AC4656" s="5">
        <v>44315</v>
      </c>
      <c r="AF4656" s="1">
        <v>10069</v>
      </c>
      <c r="AI4656" s="1" t="s">
        <v>205</v>
      </c>
      <c r="AJ4656" s="1">
        <v>2017</v>
      </c>
      <c r="AK4656" s="1" t="s">
        <v>108</v>
      </c>
      <c r="AL4656" s="1">
        <v>246</v>
      </c>
    </row>
    <row r="4657" spans="1:38" x14ac:dyDescent="0.2">
      <c r="A4657" s="2" t="str">
        <f>HYPERLINK("https://www.compass.com/listing/70-west-139th-street-unit-7a-manhattan-ny-10037/29515139535371681/","70 W 139th St, Unit 7A")</f>
        <v>70 W 139th St, Unit 7A</v>
      </c>
      <c r="B4657" s="2" t="str">
        <f>HYPERLINK("https://www.compass.com/building/70-w-139th-st-manhattan-ny-10037/292920118235647477/","70 W 139th St")</f>
        <v>70 W 139th St</v>
      </c>
      <c r="C4657" s="1" t="s">
        <v>85</v>
      </c>
      <c r="D4657" s="1" t="s">
        <v>41</v>
      </c>
      <c r="E4657" s="3">
        <v>676114</v>
      </c>
      <c r="F4657" s="1">
        <v>1056.4281249999999</v>
      </c>
      <c r="G4657" s="1">
        <v>3</v>
      </c>
      <c r="H4657" s="1">
        <v>1</v>
      </c>
      <c r="I4657" s="1">
        <v>1</v>
      </c>
      <c r="J4657" s="1">
        <v>1</v>
      </c>
      <c r="M4657" s="1">
        <v>640</v>
      </c>
      <c r="N4657" s="1">
        <v>455</v>
      </c>
      <c r="O4657" s="1">
        <v>474</v>
      </c>
      <c r="P4657" s="1">
        <v>19</v>
      </c>
      <c r="Q4657" s="1" t="s">
        <v>42</v>
      </c>
      <c r="S4657" s="1" t="s">
        <v>42</v>
      </c>
      <c r="T4657" s="1" t="s">
        <v>273</v>
      </c>
      <c r="U4657" s="1">
        <v>174</v>
      </c>
      <c r="V4657" s="5">
        <v>43643</v>
      </c>
      <c r="W4657" s="5">
        <v>43118</v>
      </c>
      <c r="X4657" s="1">
        <v>785000</v>
      </c>
      <c r="Y4657" s="1">
        <v>679000</v>
      </c>
      <c r="Z4657" s="5">
        <v>43292</v>
      </c>
      <c r="AA4657" s="1">
        <v>676114</v>
      </c>
      <c r="AB4657" s="1" t="s">
        <v>3288</v>
      </c>
      <c r="AC4657" s="5">
        <v>43455</v>
      </c>
      <c r="AF4657" s="1">
        <v>10037</v>
      </c>
      <c r="AI4657" s="1" t="s">
        <v>203</v>
      </c>
      <c r="AJ4657" s="1">
        <v>2018</v>
      </c>
      <c r="AK4657" s="1" t="s">
        <v>108</v>
      </c>
      <c r="AL4657" s="1">
        <v>64</v>
      </c>
    </row>
    <row r="4658" spans="1:38" x14ac:dyDescent="0.2">
      <c r="A4658" s="2" t="str">
        <f>HYPERLINK("https://www.compass.com/listing/1-west-end-avenue-unit-31c-manhattan-ny-10069/183260650082984193/","1 W End Ave, Unit 31C")</f>
        <v>1 W End Ave, Unit 31C</v>
      </c>
      <c r="B4658" s="2" t="str">
        <f>HYPERLINK("https://www.compass.com/building/1-w-end-ave-manhattan-ny-10069/455676159137755317/","1 W End Ave")</f>
        <v>1 W End Ave</v>
      </c>
      <c r="C4658" s="1" t="s">
        <v>57</v>
      </c>
      <c r="D4658" s="1" t="s">
        <v>41</v>
      </c>
      <c r="E4658" s="3">
        <v>4862013</v>
      </c>
      <c r="F4658" s="1">
        <v>2164.7429252003499</v>
      </c>
      <c r="G4658" s="1">
        <v>6</v>
      </c>
      <c r="H4658" s="1">
        <v>3</v>
      </c>
      <c r="I4658" s="1">
        <v>4</v>
      </c>
      <c r="J4658" s="1">
        <v>3.5</v>
      </c>
      <c r="K4658" s="1">
        <v>3</v>
      </c>
      <c r="L4658" s="1">
        <v>1</v>
      </c>
      <c r="M4658" s="4">
        <v>2246</v>
      </c>
      <c r="N4658" s="1">
        <v>2633</v>
      </c>
      <c r="O4658" s="1">
        <v>2781</v>
      </c>
      <c r="P4658" s="1">
        <v>148</v>
      </c>
      <c r="Q4658" s="1" t="s">
        <v>42</v>
      </c>
      <c r="S4658" s="1" t="s">
        <v>42</v>
      </c>
      <c r="T4658" s="1" t="s">
        <v>273</v>
      </c>
      <c r="U4658" s="1">
        <v>106</v>
      </c>
      <c r="V4658" s="5">
        <v>44336</v>
      </c>
      <c r="W4658" s="5">
        <v>43503</v>
      </c>
      <c r="X4658" s="1">
        <v>5675000</v>
      </c>
      <c r="Y4658" s="1">
        <v>5675000</v>
      </c>
      <c r="AA4658" s="1">
        <v>4862012.6100000003</v>
      </c>
      <c r="AB4658" s="1" t="s">
        <v>3259</v>
      </c>
      <c r="AC4658" s="5">
        <v>44313</v>
      </c>
      <c r="AF4658" s="1">
        <v>10069</v>
      </c>
      <c r="AI4658" s="1" t="s">
        <v>2054</v>
      </c>
      <c r="AJ4658" s="1">
        <v>2017</v>
      </c>
      <c r="AK4658" s="1" t="s">
        <v>55</v>
      </c>
      <c r="AL4658" s="1">
        <v>246</v>
      </c>
    </row>
    <row r="4659" spans="1:38" x14ac:dyDescent="0.2">
      <c r="A4659" s="2" t="str">
        <f>HYPERLINK("https://www.compass.com/listing/70-west-139th-street-unit-8a-manhattan-ny-10037/29661195602565473/","70 W 139th St, Unit 8A")</f>
        <v>70 W 139th St, Unit 8A</v>
      </c>
      <c r="B4659" s="2" t="str">
        <f>HYPERLINK("https://www.compass.com/building/70-w-139th-st-manhattan-ny-10037/292920118235647477/","70 W 139th St")</f>
        <v>70 W 139th St</v>
      </c>
      <c r="C4659" s="1" t="s">
        <v>85</v>
      </c>
      <c r="D4659" s="1" t="s">
        <v>41</v>
      </c>
      <c r="E4659" s="3">
        <v>680000</v>
      </c>
      <c r="F4659" s="1">
        <v>1062.5</v>
      </c>
      <c r="G4659" s="1">
        <v>3</v>
      </c>
      <c r="H4659" s="1">
        <v>1</v>
      </c>
      <c r="I4659" s="1">
        <v>1</v>
      </c>
      <c r="J4659" s="1">
        <v>1</v>
      </c>
      <c r="M4659" s="1">
        <v>640</v>
      </c>
      <c r="N4659" s="1">
        <v>455</v>
      </c>
      <c r="O4659" s="1">
        <v>474</v>
      </c>
      <c r="P4659" s="1">
        <v>19</v>
      </c>
      <c r="Q4659" s="1" t="s">
        <v>42</v>
      </c>
      <c r="S4659" s="1" t="s">
        <v>42</v>
      </c>
      <c r="T4659" s="1" t="s">
        <v>273</v>
      </c>
      <c r="U4659" s="1">
        <v>28</v>
      </c>
      <c r="V4659" s="5">
        <v>43644</v>
      </c>
      <c r="W4659" s="5">
        <v>43277</v>
      </c>
      <c r="X4659" s="1">
        <v>689000</v>
      </c>
      <c r="Y4659" s="1">
        <v>689000</v>
      </c>
      <c r="Z4659" s="5">
        <v>43305</v>
      </c>
      <c r="AA4659" s="1">
        <v>680000</v>
      </c>
      <c r="AB4659" s="1" t="s">
        <v>3289</v>
      </c>
      <c r="AC4659" s="5">
        <v>43448</v>
      </c>
      <c r="AF4659" s="1">
        <v>10037</v>
      </c>
      <c r="AI4659" s="1" t="s">
        <v>110</v>
      </c>
      <c r="AJ4659" s="1">
        <v>2018</v>
      </c>
      <c r="AK4659" s="1" t="s">
        <v>257</v>
      </c>
      <c r="AL4659" s="1">
        <v>64</v>
      </c>
    </row>
    <row r="4660" spans="1:38" x14ac:dyDescent="0.2">
      <c r="A4660" s="2" t="str">
        <f>HYPERLINK("https://www.compass.com/listing/1-west-end-avenue-unit-31d-manhattan-ny-10069/442140730581088665/","1 W End Ave, Unit 31D")</f>
        <v>1 W End Ave, Unit 31D</v>
      </c>
      <c r="B4660" s="2" t="str">
        <f t="shared" ref="B4660:B4662" si="784">HYPERLINK("https://www.compass.com/building/1-w-end-ave-manhattan-ny-10069/455676159137755317/","1 W End Ave")</f>
        <v>1 W End Ave</v>
      </c>
      <c r="C4660" s="1" t="s">
        <v>57</v>
      </c>
      <c r="D4660" s="1" t="s">
        <v>41</v>
      </c>
      <c r="E4660" s="3">
        <v>5379312</v>
      </c>
      <c r="F4660" s="1">
        <v>2165.5843478260799</v>
      </c>
      <c r="G4660" s="1">
        <v>5</v>
      </c>
      <c r="H4660" s="1">
        <v>3</v>
      </c>
      <c r="I4660" s="1">
        <v>4</v>
      </c>
      <c r="J4660" s="1">
        <v>3.5</v>
      </c>
      <c r="K4660" s="1">
        <v>3</v>
      </c>
      <c r="L4660" s="1">
        <v>1</v>
      </c>
      <c r="M4660" s="4">
        <v>2484</v>
      </c>
      <c r="N4660" s="1">
        <v>2844</v>
      </c>
      <c r="O4660" s="1">
        <v>3010</v>
      </c>
      <c r="P4660" s="1">
        <v>166</v>
      </c>
      <c r="Q4660" s="1" t="s">
        <v>42</v>
      </c>
      <c r="S4660" s="1" t="s">
        <v>42</v>
      </c>
      <c r="T4660" s="1" t="s">
        <v>273</v>
      </c>
      <c r="U4660" s="1">
        <v>34</v>
      </c>
      <c r="V4660" s="5">
        <v>43932</v>
      </c>
      <c r="W4660" s="5">
        <v>43861</v>
      </c>
      <c r="X4660" s="1">
        <v>5675000</v>
      </c>
      <c r="Y4660" s="1">
        <v>5675000</v>
      </c>
      <c r="Z4660" s="5">
        <v>43895</v>
      </c>
      <c r="AA4660" s="1">
        <v>5379311.5199999996</v>
      </c>
      <c r="AB4660" s="1" t="s">
        <v>3290</v>
      </c>
      <c r="AC4660" s="5">
        <v>43931</v>
      </c>
      <c r="AF4660" s="1">
        <v>10069</v>
      </c>
      <c r="AI4660" s="1" t="s">
        <v>60</v>
      </c>
      <c r="AJ4660" s="1">
        <v>2017</v>
      </c>
      <c r="AK4660" s="1" t="s">
        <v>108</v>
      </c>
      <c r="AL4660" s="1">
        <v>246</v>
      </c>
    </row>
    <row r="4661" spans="1:38" x14ac:dyDescent="0.2">
      <c r="A4661" s="2" t="str">
        <f>HYPERLINK("https://www.compass.com/listing/1-west-end-avenue-unit-27a-manhattan-ny-10069/457366949442703961/","1 W End Ave, Unit 27A")</f>
        <v>1 W End Ave, Unit 27A</v>
      </c>
      <c r="B4661" s="2" t="str">
        <f t="shared" si="784"/>
        <v>1 W End Ave</v>
      </c>
      <c r="C4661" s="1" t="s">
        <v>57</v>
      </c>
      <c r="D4661" s="1" t="s">
        <v>41</v>
      </c>
      <c r="E4661" s="3">
        <v>5119447</v>
      </c>
      <c r="F4661" s="1">
        <v>1786.2691521284</v>
      </c>
      <c r="G4661" s="1">
        <v>5</v>
      </c>
      <c r="H4661" s="1">
        <v>3</v>
      </c>
      <c r="I4661" s="1">
        <v>4</v>
      </c>
      <c r="J4661" s="1">
        <v>3.5</v>
      </c>
      <c r="K4661" s="1">
        <v>3</v>
      </c>
      <c r="L4661" s="1">
        <v>1</v>
      </c>
      <c r="M4661" s="4">
        <v>2866</v>
      </c>
      <c r="N4661" s="1">
        <v>3176</v>
      </c>
      <c r="O4661" s="1">
        <v>3355</v>
      </c>
      <c r="P4661" s="1">
        <v>179</v>
      </c>
      <c r="Q4661" s="1" t="s">
        <v>42</v>
      </c>
      <c r="S4661" s="1" t="s">
        <v>42</v>
      </c>
      <c r="T4661" s="1" t="s">
        <v>273</v>
      </c>
      <c r="U4661" s="1">
        <v>113</v>
      </c>
      <c r="V4661" s="5">
        <v>44176</v>
      </c>
      <c r="W4661" s="5">
        <v>43882</v>
      </c>
      <c r="X4661" s="1">
        <v>5950000</v>
      </c>
      <c r="Y4661" s="1">
        <v>5119447</v>
      </c>
      <c r="Z4661" s="5">
        <v>44089</v>
      </c>
      <c r="AA4661" s="1">
        <v>5119447.3899999997</v>
      </c>
      <c r="AB4661" s="1" t="s">
        <v>3291</v>
      </c>
      <c r="AC4661" s="5">
        <v>44165</v>
      </c>
      <c r="AF4661" s="1">
        <v>10069</v>
      </c>
      <c r="AI4661" s="1" t="s">
        <v>205</v>
      </c>
      <c r="AJ4661" s="1">
        <v>2017</v>
      </c>
      <c r="AK4661" s="1" t="s">
        <v>108</v>
      </c>
      <c r="AL4661" s="1">
        <v>246</v>
      </c>
    </row>
    <row r="4662" spans="1:38" x14ac:dyDescent="0.2">
      <c r="A4662" s="2" t="str">
        <f>HYPERLINK("https://www.compass.com/listing/1-west-end-avenue-unit-31c-manhattan-ny-10069/803329242624248897/","1 W End Ave, Unit 31C")</f>
        <v>1 W End Ave, Unit 31C</v>
      </c>
      <c r="B4662" s="2" t="str">
        <f t="shared" si="784"/>
        <v>1 W End Ave</v>
      </c>
      <c r="C4662" s="1" t="s">
        <v>57</v>
      </c>
      <c r="D4662" s="1" t="s">
        <v>41</v>
      </c>
      <c r="E4662" s="3">
        <v>4862013</v>
      </c>
      <c r="F4662" s="1">
        <v>2164.7429252003499</v>
      </c>
      <c r="G4662" s="1">
        <v>5</v>
      </c>
      <c r="H4662" s="1">
        <v>3</v>
      </c>
      <c r="I4662" s="1">
        <v>4</v>
      </c>
      <c r="J4662" s="1">
        <v>3.5</v>
      </c>
      <c r="K4662" s="1">
        <v>3</v>
      </c>
      <c r="L4662" s="1">
        <v>1</v>
      </c>
      <c r="M4662" s="4">
        <v>2246</v>
      </c>
      <c r="N4662" s="1">
        <v>2638</v>
      </c>
      <c r="O4662" s="1">
        <v>2786</v>
      </c>
      <c r="P4662" s="1">
        <v>148</v>
      </c>
      <c r="Q4662" s="1" t="s">
        <v>42</v>
      </c>
      <c r="S4662" s="1" t="s">
        <v>42</v>
      </c>
      <c r="T4662" s="1" t="s">
        <v>273</v>
      </c>
      <c r="U4662" s="1">
        <v>395</v>
      </c>
      <c r="V4662" s="5">
        <v>44315</v>
      </c>
      <c r="W4662" s="5">
        <v>43750</v>
      </c>
      <c r="Y4662" s="1">
        <v>5675000</v>
      </c>
      <c r="Z4662" s="5">
        <v>44239</v>
      </c>
      <c r="AA4662" s="1">
        <v>4862012.6100000003</v>
      </c>
      <c r="AB4662" s="1" t="s">
        <v>3259</v>
      </c>
      <c r="AC4662" s="5">
        <v>44313</v>
      </c>
      <c r="AF4662" s="1">
        <v>10069</v>
      </c>
      <c r="AI4662" s="1" t="s">
        <v>396</v>
      </c>
      <c r="AJ4662" s="1">
        <v>2017</v>
      </c>
      <c r="AK4662" s="1" t="s">
        <v>108</v>
      </c>
      <c r="AL4662" s="1">
        <v>246</v>
      </c>
    </row>
    <row r="4663" spans="1:38" x14ac:dyDescent="0.2">
      <c r="A4663" s="2" t="str">
        <f>HYPERLINK("https://www.compass.com/listing/456-west-167th-street-unit-2e-manhattan-ny-10032/29435099036521361/","456 W 167th St, Unit 2E")</f>
        <v>456 W 167th St, Unit 2E</v>
      </c>
      <c r="B4663" s="2" t="str">
        <f t="shared" ref="B4663:B4667" si="785">HYPERLINK("https://www.compass.com/building/edgecombe-parc-manhattan-ny/282005897969005013/","Edgecombe Parc")</f>
        <v>Edgecombe Parc</v>
      </c>
      <c r="C4663" s="1" t="s">
        <v>93</v>
      </c>
      <c r="D4663" s="1" t="s">
        <v>41</v>
      </c>
      <c r="E4663" s="3">
        <v>600392</v>
      </c>
      <c r="F4663" s="1">
        <v>643.50696677384701</v>
      </c>
      <c r="G4663" s="1">
        <v>5</v>
      </c>
      <c r="H4663" s="1">
        <v>2</v>
      </c>
      <c r="I4663" s="1">
        <v>2</v>
      </c>
      <c r="J4663" s="1">
        <v>2</v>
      </c>
      <c r="K4663" s="1">
        <v>2</v>
      </c>
      <c r="M4663" s="1">
        <v>933</v>
      </c>
      <c r="N4663" s="1">
        <v>481</v>
      </c>
      <c r="O4663" s="1">
        <v>1004</v>
      </c>
      <c r="P4663" s="1">
        <v>523</v>
      </c>
      <c r="Q4663" s="1" t="s">
        <v>42</v>
      </c>
      <c r="S4663" s="1" t="s">
        <v>42</v>
      </c>
      <c r="T4663" s="1" t="s">
        <v>273</v>
      </c>
      <c r="U4663" s="1">
        <v>39</v>
      </c>
      <c r="V4663" s="5">
        <v>43741</v>
      </c>
      <c r="W4663" s="5">
        <v>41965</v>
      </c>
      <c r="X4663" s="1">
        <v>598000</v>
      </c>
      <c r="Y4663" s="1">
        <v>598000</v>
      </c>
      <c r="Z4663" s="5">
        <v>42004</v>
      </c>
      <c r="AA4663" s="1">
        <v>600392</v>
      </c>
      <c r="AB4663" s="1" t="s">
        <v>3292</v>
      </c>
      <c r="AC4663" s="5">
        <v>42019</v>
      </c>
      <c r="AF4663" s="1">
        <v>10032</v>
      </c>
      <c r="AI4663" s="1" t="s">
        <v>238</v>
      </c>
      <c r="AJ4663" s="1">
        <v>2014</v>
      </c>
      <c r="AK4663" s="1" t="s">
        <v>175</v>
      </c>
      <c r="AL4663" s="1">
        <v>49</v>
      </c>
    </row>
    <row r="4664" spans="1:38" x14ac:dyDescent="0.2">
      <c r="A4664" s="2" t="str">
        <f>HYPERLINK("https://www.compass.com/listing/456-west-167th-street-unit-3e-manhattan-ny-10032/29435102157150321/","456 W 167th St, Unit 3E")</f>
        <v>456 W 167th St, Unit 3E</v>
      </c>
      <c r="B4664" s="2" t="str">
        <f t="shared" si="785"/>
        <v>Edgecombe Parc</v>
      </c>
      <c r="C4664" s="1" t="s">
        <v>93</v>
      </c>
      <c r="D4664" s="1" t="s">
        <v>41</v>
      </c>
      <c r="E4664" s="3">
        <v>631315</v>
      </c>
      <c r="F4664" s="1">
        <v>676.65058949624802</v>
      </c>
      <c r="G4664" s="1">
        <v>5</v>
      </c>
      <c r="H4664" s="1">
        <v>2</v>
      </c>
      <c r="I4664" s="1">
        <v>2</v>
      </c>
      <c r="J4664" s="1">
        <v>2</v>
      </c>
      <c r="K4664" s="1">
        <v>2</v>
      </c>
      <c r="M4664" s="1">
        <v>933</v>
      </c>
      <c r="N4664" s="1">
        <v>505</v>
      </c>
      <c r="O4664" s="1">
        <v>1055</v>
      </c>
      <c r="P4664" s="1">
        <v>550</v>
      </c>
      <c r="Q4664" s="1" t="s">
        <v>42</v>
      </c>
      <c r="S4664" s="1" t="s">
        <v>42</v>
      </c>
      <c r="T4664" s="1" t="s">
        <v>273</v>
      </c>
      <c r="U4664" s="1">
        <v>232</v>
      </c>
      <c r="V4664" s="5">
        <v>43741</v>
      </c>
      <c r="W4664" s="5">
        <v>41871</v>
      </c>
      <c r="X4664" s="1">
        <v>628000</v>
      </c>
      <c r="Y4664" s="1">
        <v>628000</v>
      </c>
      <c r="Z4664" s="5">
        <v>42103</v>
      </c>
      <c r="AA4664" s="1">
        <v>631315</v>
      </c>
      <c r="AB4664" s="1" t="s">
        <v>3293</v>
      </c>
      <c r="AC4664" s="5">
        <v>42167</v>
      </c>
      <c r="AF4664" s="1">
        <v>10032</v>
      </c>
      <c r="AI4664" s="1" t="s">
        <v>211</v>
      </c>
      <c r="AJ4664" s="1">
        <v>2014</v>
      </c>
      <c r="AK4664" s="1" t="s">
        <v>175</v>
      </c>
      <c r="AL4664" s="1">
        <v>49</v>
      </c>
    </row>
    <row r="4665" spans="1:38" x14ac:dyDescent="0.2">
      <c r="A4665" s="2" t="str">
        <f>HYPERLINK("https://www.compass.com/listing/456-west-167th-street-unit-4e-manhattan-ny-10032/29435105462259105/","456 W 167th St, Unit 4E")</f>
        <v>456 W 167th St, Unit 4E</v>
      </c>
      <c r="B4665" s="2" t="str">
        <f t="shared" si="785"/>
        <v>Edgecombe Parc</v>
      </c>
      <c r="C4665" s="1" t="s">
        <v>93</v>
      </c>
      <c r="D4665" s="1" t="s">
        <v>41</v>
      </c>
      <c r="E4665" s="3">
        <v>622480</v>
      </c>
      <c r="F4665" s="1">
        <v>667.18113612004197</v>
      </c>
      <c r="G4665" s="1">
        <v>5</v>
      </c>
      <c r="H4665" s="1">
        <v>2</v>
      </c>
      <c r="I4665" s="1">
        <v>2</v>
      </c>
      <c r="J4665" s="1">
        <v>2</v>
      </c>
      <c r="K4665" s="1">
        <v>2</v>
      </c>
      <c r="M4665" s="1">
        <v>933</v>
      </c>
      <c r="N4665" s="1">
        <v>505</v>
      </c>
      <c r="O4665" s="1">
        <v>1055</v>
      </c>
      <c r="P4665" s="1">
        <v>550</v>
      </c>
      <c r="Q4665" s="1" t="s">
        <v>42</v>
      </c>
      <c r="S4665" s="1" t="s">
        <v>42</v>
      </c>
      <c r="T4665" s="1" t="s">
        <v>273</v>
      </c>
      <c r="U4665" s="1">
        <v>109</v>
      </c>
      <c r="V4665" s="5">
        <v>43740</v>
      </c>
      <c r="W4665" s="5">
        <v>41545</v>
      </c>
      <c r="X4665" s="1">
        <v>628000</v>
      </c>
      <c r="Y4665" s="1">
        <v>628000</v>
      </c>
      <c r="AA4665" s="1">
        <v>622480</v>
      </c>
      <c r="AB4665" s="1" t="s">
        <v>3294</v>
      </c>
      <c r="AC4665" s="5">
        <v>41654</v>
      </c>
      <c r="AF4665" s="1">
        <v>10032</v>
      </c>
      <c r="AI4665" s="1" t="s">
        <v>238</v>
      </c>
      <c r="AJ4665" s="1">
        <v>2014</v>
      </c>
      <c r="AK4665" s="1" t="s">
        <v>175</v>
      </c>
      <c r="AL4665" s="1">
        <v>49</v>
      </c>
    </row>
    <row r="4666" spans="1:38" x14ac:dyDescent="0.2">
      <c r="A4666" s="2" t="str">
        <f>HYPERLINK("https://www.compass.com/listing/456-west-167th-street-unit-5e-manhattan-ny-10032/29435109522345425/","456 W 167th St, Unit 5E")</f>
        <v>456 W 167th St, Unit 5E</v>
      </c>
      <c r="B4666" s="2" t="str">
        <f t="shared" si="785"/>
        <v>Edgecombe Parc</v>
      </c>
      <c r="C4666" s="1" t="s">
        <v>93</v>
      </c>
      <c r="D4666" s="1" t="s">
        <v>41</v>
      </c>
      <c r="E4666" s="3">
        <v>659826</v>
      </c>
      <c r="F4666" s="1">
        <v>707.209003215434</v>
      </c>
      <c r="G4666" s="1">
        <v>5</v>
      </c>
      <c r="H4666" s="1">
        <v>2</v>
      </c>
      <c r="I4666" s="1">
        <v>2</v>
      </c>
      <c r="J4666" s="1">
        <v>2</v>
      </c>
      <c r="K4666" s="1">
        <v>2</v>
      </c>
      <c r="M4666" s="1">
        <v>933</v>
      </c>
      <c r="N4666" s="1">
        <v>521</v>
      </c>
      <c r="O4666" s="1">
        <v>1088</v>
      </c>
      <c r="P4666" s="1">
        <v>567</v>
      </c>
      <c r="Q4666" s="1" t="s">
        <v>42</v>
      </c>
      <c r="S4666" s="1" t="s">
        <v>42</v>
      </c>
      <c r="T4666" s="1" t="s">
        <v>273</v>
      </c>
      <c r="U4666" s="1">
        <v>199</v>
      </c>
      <c r="V4666" s="5">
        <v>43741</v>
      </c>
      <c r="W4666" s="5">
        <v>41871</v>
      </c>
      <c r="X4666" s="1">
        <v>648000</v>
      </c>
      <c r="Y4666" s="1">
        <v>648000</v>
      </c>
      <c r="Z4666" s="5">
        <v>42070</v>
      </c>
      <c r="AA4666" s="1">
        <v>659826</v>
      </c>
      <c r="AB4666" s="1" t="s">
        <v>3295</v>
      </c>
      <c r="AC4666" s="5">
        <v>42139</v>
      </c>
      <c r="AF4666" s="1">
        <v>10032</v>
      </c>
      <c r="AI4666" s="1" t="s">
        <v>211</v>
      </c>
      <c r="AJ4666" s="1">
        <v>2014</v>
      </c>
      <c r="AK4666" s="1" t="s">
        <v>175</v>
      </c>
      <c r="AL4666" s="1">
        <v>49</v>
      </c>
    </row>
    <row r="4667" spans="1:38" x14ac:dyDescent="0.2">
      <c r="A4667" s="2" t="str">
        <f>HYPERLINK("https://www.compass.com/listing/456-west-167th-street-unit-6e-manhattan-ny-10032/29513639677442097/","456 W 167th St, Unit 6E")</f>
        <v>456 W 167th St, Unit 6E</v>
      </c>
      <c r="B4667" s="2" t="str">
        <f t="shared" si="785"/>
        <v>Edgecombe Parc</v>
      </c>
      <c r="C4667" s="1" t="s">
        <v>93</v>
      </c>
      <c r="D4667" s="1" t="s">
        <v>41</v>
      </c>
      <c r="E4667" s="3">
        <v>664917</v>
      </c>
      <c r="F4667" s="1">
        <v>712.66559485530502</v>
      </c>
      <c r="G4667" s="1">
        <v>5</v>
      </c>
      <c r="H4667" s="1">
        <v>2</v>
      </c>
      <c r="I4667" s="1">
        <v>2</v>
      </c>
      <c r="J4667" s="1">
        <v>2</v>
      </c>
      <c r="K4667" s="1">
        <v>2</v>
      </c>
      <c r="M4667" s="1">
        <v>933</v>
      </c>
      <c r="N4667" s="1">
        <v>537</v>
      </c>
      <c r="O4667" s="1">
        <v>1121</v>
      </c>
      <c r="P4667" s="1">
        <v>584</v>
      </c>
      <c r="Q4667" s="1" t="s">
        <v>42</v>
      </c>
      <c r="S4667" s="1" t="s">
        <v>42</v>
      </c>
      <c r="T4667" s="1" t="s">
        <v>273</v>
      </c>
      <c r="V4667" s="5">
        <v>43741</v>
      </c>
      <c r="W4667" s="5">
        <v>41829</v>
      </c>
      <c r="X4667" s="1">
        <v>668000</v>
      </c>
      <c r="Y4667" s="1">
        <v>668000</v>
      </c>
      <c r="Z4667" s="5">
        <v>41829</v>
      </c>
      <c r="AA4667" s="1">
        <v>664917</v>
      </c>
      <c r="AB4667" s="1" t="s">
        <v>3296</v>
      </c>
      <c r="AC4667" s="5">
        <v>41874</v>
      </c>
      <c r="AF4667" s="1">
        <v>10032</v>
      </c>
      <c r="AI4667" s="1" t="s">
        <v>238</v>
      </c>
      <c r="AJ4667" s="1">
        <v>2014</v>
      </c>
      <c r="AK4667" s="1" t="s">
        <v>175</v>
      </c>
      <c r="AL4667" s="1">
        <v>49</v>
      </c>
    </row>
    <row r="4668" spans="1:38" x14ac:dyDescent="0.2">
      <c r="A4668" s="2" t="str">
        <f>HYPERLINK("https://www.compass.com/listing/1-west-end-avenue-unit-33c-manhattan-ny-10069/113025271434667345/","1 W End Ave, Unit 33C")</f>
        <v>1 W End Ave, Unit 33C</v>
      </c>
      <c r="B4668" s="2" t="str">
        <f t="shared" ref="B4668:B4671" si="786">HYPERLINK("https://www.compass.com/building/1-w-end-ave-manhattan-ny-10069/455676159137755317/","1 W End Ave")</f>
        <v>1 W End Ave</v>
      </c>
      <c r="C4668" s="1" t="s">
        <v>57</v>
      </c>
      <c r="D4668" s="1" t="s">
        <v>41</v>
      </c>
      <c r="E4668" s="3">
        <v>4788033</v>
      </c>
      <c r="F4668" s="1">
        <v>2132.7542806236002</v>
      </c>
      <c r="G4668" s="1">
        <v>5</v>
      </c>
      <c r="H4668" s="1">
        <v>3</v>
      </c>
      <c r="I4668" s="1">
        <v>4</v>
      </c>
      <c r="J4668" s="1">
        <v>3.5</v>
      </c>
      <c r="K4668" s="1">
        <v>3</v>
      </c>
      <c r="L4668" s="1">
        <v>1</v>
      </c>
      <c r="M4668" s="4">
        <v>2245</v>
      </c>
      <c r="N4668" s="1">
        <v>2633</v>
      </c>
      <c r="O4668" s="1">
        <v>2781</v>
      </c>
      <c r="P4668" s="1">
        <v>148</v>
      </c>
      <c r="Q4668" s="1" t="s">
        <v>42</v>
      </c>
      <c r="S4668" s="1" t="s">
        <v>42</v>
      </c>
      <c r="T4668" s="1" t="s">
        <v>273</v>
      </c>
      <c r="U4668" s="1">
        <v>98</v>
      </c>
      <c r="V4668" s="5">
        <v>44314</v>
      </c>
      <c r="W4668" s="5">
        <v>43405</v>
      </c>
      <c r="X4668" s="1">
        <v>5775000</v>
      </c>
      <c r="Y4668" s="1">
        <v>5775000</v>
      </c>
      <c r="AA4668" s="1">
        <v>4788033.3600000003</v>
      </c>
      <c r="AB4668" s="1" t="s">
        <v>3286</v>
      </c>
      <c r="AC4668" s="5">
        <v>44277</v>
      </c>
      <c r="AF4668" s="1">
        <v>10069</v>
      </c>
      <c r="AI4668" s="1" t="s">
        <v>60</v>
      </c>
      <c r="AJ4668" s="1">
        <v>2017</v>
      </c>
      <c r="AK4668" s="1" t="s">
        <v>55</v>
      </c>
      <c r="AL4668" s="1">
        <v>246</v>
      </c>
    </row>
    <row r="4669" spans="1:38" x14ac:dyDescent="0.2">
      <c r="A4669" s="2" t="str">
        <f>HYPERLINK("https://www.compass.com/listing/1-west-end-avenue-unit-32c-manhattan-ny-10069/426825363994282521/","1 W End Ave, Unit 32C")</f>
        <v>1 W End Ave, Unit 32C</v>
      </c>
      <c r="B4669" s="2" t="str">
        <f t="shared" si="786"/>
        <v>1 W End Ave</v>
      </c>
      <c r="C4669" s="1" t="s">
        <v>57</v>
      </c>
      <c r="D4669" s="1" t="s">
        <v>41</v>
      </c>
      <c r="E4669" s="3">
        <v>5244727</v>
      </c>
      <c r="F4669" s="1">
        <v>2335.1411086375701</v>
      </c>
      <c r="G4669" s="1">
        <v>6</v>
      </c>
      <c r="H4669" s="1">
        <v>3</v>
      </c>
      <c r="I4669" s="1">
        <v>4</v>
      </c>
      <c r="J4669" s="1">
        <v>3.5</v>
      </c>
      <c r="K4669" s="1">
        <v>3</v>
      </c>
      <c r="L4669" s="1">
        <v>1</v>
      </c>
      <c r="M4669" s="4">
        <v>2246</v>
      </c>
      <c r="N4669" s="1">
        <v>2633</v>
      </c>
      <c r="O4669" s="1">
        <v>2781</v>
      </c>
      <c r="P4669" s="1">
        <v>148</v>
      </c>
      <c r="Q4669" s="1" t="s">
        <v>42</v>
      </c>
      <c r="S4669" s="1" t="s">
        <v>42</v>
      </c>
      <c r="T4669" s="1" t="s">
        <v>273</v>
      </c>
      <c r="U4669" s="1">
        <v>91</v>
      </c>
      <c r="V4669" s="5">
        <v>44015</v>
      </c>
      <c r="W4669" s="5">
        <v>43749</v>
      </c>
      <c r="X4669" s="1">
        <v>5725000</v>
      </c>
      <c r="Y4669" s="1">
        <v>5725000</v>
      </c>
      <c r="Z4669" s="5">
        <v>43841</v>
      </c>
      <c r="AA4669" s="1">
        <v>5244726.93</v>
      </c>
      <c r="AB4669" s="1" t="s">
        <v>3297</v>
      </c>
      <c r="AC4669" s="5">
        <v>43881</v>
      </c>
      <c r="AF4669" s="1">
        <v>10069</v>
      </c>
      <c r="AI4669" s="1" t="s">
        <v>102</v>
      </c>
      <c r="AJ4669" s="1">
        <v>2017</v>
      </c>
      <c r="AK4669" s="1" t="s">
        <v>49</v>
      </c>
      <c r="AL4669" s="1">
        <v>246</v>
      </c>
    </row>
    <row r="4670" spans="1:38" x14ac:dyDescent="0.2">
      <c r="A4670" s="2" t="str">
        <f>HYPERLINK("https://www.compass.com/listing/1-west-end-avenue-unit-38d-manhattan-ny-10069/436957612752715385/","1 W End Ave, Unit 38D")</f>
        <v>1 W End Ave, Unit 38D</v>
      </c>
      <c r="B4670" s="2" t="str">
        <f t="shared" si="786"/>
        <v>1 W End Ave</v>
      </c>
      <c r="C4670" s="1" t="s">
        <v>57</v>
      </c>
      <c r="D4670" s="1" t="s">
        <v>41</v>
      </c>
      <c r="E4670" s="3">
        <v>5654344</v>
      </c>
      <c r="F4670" s="1">
        <v>2279.05825070536</v>
      </c>
      <c r="G4670" s="1">
        <v>5</v>
      </c>
      <c r="H4670" s="1">
        <v>3</v>
      </c>
      <c r="I4670" s="1">
        <v>4</v>
      </c>
      <c r="J4670" s="1">
        <v>3.5</v>
      </c>
      <c r="K4670" s="1">
        <v>3</v>
      </c>
      <c r="L4670" s="1">
        <v>1</v>
      </c>
      <c r="M4670" s="4">
        <v>2481</v>
      </c>
      <c r="N4670" s="1">
        <v>2844</v>
      </c>
      <c r="O4670" s="1">
        <v>3010</v>
      </c>
      <c r="P4670" s="1">
        <v>166</v>
      </c>
      <c r="Q4670" s="1" t="s">
        <v>42</v>
      </c>
      <c r="S4670" s="1" t="s">
        <v>42</v>
      </c>
      <c r="T4670" s="1" t="s">
        <v>273</v>
      </c>
      <c r="U4670" s="1">
        <v>1</v>
      </c>
      <c r="V4670" s="5">
        <v>44015</v>
      </c>
      <c r="W4670" s="5">
        <v>43853</v>
      </c>
      <c r="X4670" s="1">
        <v>6250000</v>
      </c>
      <c r="Y4670" s="1">
        <v>6250000</v>
      </c>
      <c r="Z4670" s="5">
        <v>43855</v>
      </c>
      <c r="AA4670" s="1">
        <v>5654343.5199999996</v>
      </c>
      <c r="AB4670" s="1" t="s">
        <v>3298</v>
      </c>
      <c r="AC4670" s="5">
        <v>43892</v>
      </c>
      <c r="AF4670" s="1">
        <v>10069</v>
      </c>
      <c r="AI4670" s="1" t="s">
        <v>102</v>
      </c>
      <c r="AJ4670" s="1">
        <v>2017</v>
      </c>
      <c r="AK4670" s="1" t="s">
        <v>49</v>
      </c>
      <c r="AL4670" s="1">
        <v>246</v>
      </c>
    </row>
    <row r="4671" spans="1:38" x14ac:dyDescent="0.2">
      <c r="A4671" s="2" t="str">
        <f>HYPERLINK("https://www.compass.com/listing/1-west-end-avenue-unit-31c-manhattan-ny-10069/803329242624248889/","1 W End Ave, Unit 31C")</f>
        <v>1 W End Ave, Unit 31C</v>
      </c>
      <c r="B4671" s="2" t="str">
        <f t="shared" si="786"/>
        <v>1 W End Ave</v>
      </c>
      <c r="C4671" s="1" t="s">
        <v>57</v>
      </c>
      <c r="D4671" s="1" t="s">
        <v>41</v>
      </c>
      <c r="E4671" s="3">
        <v>4862013</v>
      </c>
      <c r="F4671" s="1">
        <v>2164.7429252003499</v>
      </c>
      <c r="G4671" s="1">
        <v>5</v>
      </c>
      <c r="H4671" s="1">
        <v>3</v>
      </c>
      <c r="I4671" s="1">
        <v>4</v>
      </c>
      <c r="J4671" s="1">
        <v>3.5</v>
      </c>
      <c r="K4671" s="1">
        <v>3</v>
      </c>
      <c r="L4671" s="1">
        <v>1</v>
      </c>
      <c r="M4671" s="4">
        <v>2246</v>
      </c>
      <c r="N4671" s="1">
        <v>2633</v>
      </c>
      <c r="O4671" s="1">
        <v>2781</v>
      </c>
      <c r="P4671" s="1">
        <v>148</v>
      </c>
      <c r="Q4671" s="1" t="s">
        <v>42</v>
      </c>
      <c r="S4671" s="1" t="s">
        <v>42</v>
      </c>
      <c r="T4671" s="1" t="s">
        <v>273</v>
      </c>
      <c r="U4671" s="1">
        <v>53</v>
      </c>
      <c r="V4671" s="5">
        <v>44336</v>
      </c>
      <c r="W4671" s="5">
        <v>43749</v>
      </c>
      <c r="AA4671" s="1">
        <v>4862012.6100000003</v>
      </c>
      <c r="AB4671" s="1" t="s">
        <v>3259</v>
      </c>
      <c r="AC4671" s="5">
        <v>44313</v>
      </c>
      <c r="AF4671" s="1">
        <v>10069</v>
      </c>
      <c r="AI4671" s="1" t="s">
        <v>76</v>
      </c>
      <c r="AJ4671" s="1">
        <v>2017</v>
      </c>
      <c r="AK4671" s="1" t="s">
        <v>55</v>
      </c>
      <c r="AL4671" s="1">
        <v>246</v>
      </c>
    </row>
    <row r="4672" spans="1:38" x14ac:dyDescent="0.2">
      <c r="A4672" s="2" t="str">
        <f>HYPERLINK("https://www.compass.com/listing/16-west-40th-street-unit-18d-manhattan-ny-10018/29375083629778161/","16 W 40th St, Unit 18D")</f>
        <v>16 W 40th St, Unit 18D</v>
      </c>
      <c r="B4672" s="2" t="str">
        <f>HYPERLINK("https://www.compass.com/building/the-bryant-manhattan-ny/281942863485395813/","The Bryant")</f>
        <v>The Bryant</v>
      </c>
      <c r="C4672" s="1" t="s">
        <v>126</v>
      </c>
      <c r="D4672" s="1" t="s">
        <v>41</v>
      </c>
      <c r="E4672" s="3">
        <v>2219785</v>
      </c>
      <c r="F4672" s="1">
        <v>2080.3983130271699</v>
      </c>
      <c r="G4672" s="1">
        <v>3</v>
      </c>
      <c r="H4672" s="1">
        <v>1</v>
      </c>
      <c r="I4672" s="1">
        <v>1</v>
      </c>
      <c r="J4672" s="1">
        <v>1</v>
      </c>
      <c r="K4672" s="1">
        <v>1</v>
      </c>
      <c r="M4672" s="4">
        <v>1067</v>
      </c>
      <c r="N4672" s="1">
        <v>1847</v>
      </c>
      <c r="O4672" s="1">
        <v>3439</v>
      </c>
      <c r="P4672" s="1">
        <v>1592</v>
      </c>
      <c r="Q4672" s="1" t="s">
        <v>42</v>
      </c>
      <c r="S4672" s="1" t="s">
        <v>42</v>
      </c>
      <c r="T4672" s="1" t="s">
        <v>273</v>
      </c>
      <c r="U4672" s="1">
        <v>95</v>
      </c>
      <c r="V4672" s="5">
        <v>43633</v>
      </c>
      <c r="W4672" s="5">
        <v>42332</v>
      </c>
      <c r="X4672" s="1">
        <v>2255000</v>
      </c>
      <c r="Y4672" s="1">
        <v>2255000</v>
      </c>
      <c r="Z4672" s="5">
        <v>42514</v>
      </c>
      <c r="AA4672" s="1">
        <v>2219785</v>
      </c>
      <c r="AB4672" s="1" t="s">
        <v>3299</v>
      </c>
      <c r="AC4672" s="5">
        <v>43265</v>
      </c>
      <c r="AF4672" s="1">
        <v>10018</v>
      </c>
      <c r="AI4672" s="1" t="s">
        <v>58</v>
      </c>
      <c r="AJ4672" s="1">
        <v>2017</v>
      </c>
      <c r="AK4672" s="1" t="s">
        <v>46</v>
      </c>
      <c r="AL4672" s="1">
        <v>57</v>
      </c>
    </row>
    <row r="4673" spans="1:38" x14ac:dyDescent="0.2">
      <c r="A4673" s="2" t="str">
        <f>HYPERLINK("https://www.compass.com/listing/456-west-167th-street-unit-1a-manhattan-ny-10032/29435094615791569/","456 W 167th St, Unit 1A")</f>
        <v>456 W 167th St, Unit 1A</v>
      </c>
      <c r="B4673" s="2" t="str">
        <f t="shared" ref="B4673:B4675" si="787">HYPERLINK("https://www.compass.com/building/edgecombe-parc-manhattan-ny/282005897969005013/","Edgecombe Parc")</f>
        <v>Edgecombe Parc</v>
      </c>
      <c r="C4673" s="1" t="s">
        <v>93</v>
      </c>
      <c r="D4673" s="1" t="s">
        <v>41</v>
      </c>
      <c r="E4673" s="3">
        <v>590585</v>
      </c>
      <c r="F4673" s="1">
        <v>629.62153518123603</v>
      </c>
      <c r="G4673" s="1">
        <v>5</v>
      </c>
      <c r="H4673" s="1">
        <v>2</v>
      </c>
      <c r="I4673" s="1">
        <v>2</v>
      </c>
      <c r="J4673" s="1">
        <v>2</v>
      </c>
      <c r="M4673" s="1">
        <v>938</v>
      </c>
      <c r="N4673" s="1">
        <v>481</v>
      </c>
      <c r="O4673" s="1">
        <v>1004</v>
      </c>
      <c r="P4673" s="1">
        <v>523</v>
      </c>
      <c r="Q4673" s="1" t="s">
        <v>42</v>
      </c>
      <c r="S4673" s="1" t="s">
        <v>42</v>
      </c>
      <c r="T4673" s="1" t="s">
        <v>273</v>
      </c>
      <c r="U4673" s="1">
        <v>105</v>
      </c>
      <c r="V4673" s="5">
        <v>43685</v>
      </c>
      <c r="W4673" s="5">
        <v>41642</v>
      </c>
      <c r="X4673" s="1">
        <v>598000</v>
      </c>
      <c r="Y4673" s="1">
        <v>598000</v>
      </c>
      <c r="Z4673" s="5">
        <v>41747</v>
      </c>
      <c r="AA4673" s="1">
        <v>590585</v>
      </c>
      <c r="AB4673" s="1" t="s">
        <v>3300</v>
      </c>
      <c r="AC4673" s="5">
        <v>41915</v>
      </c>
      <c r="AF4673" s="1">
        <v>10032</v>
      </c>
      <c r="AI4673" s="1" t="s">
        <v>211</v>
      </c>
      <c r="AJ4673" s="1">
        <v>2014</v>
      </c>
      <c r="AK4673" s="1" t="s">
        <v>215</v>
      </c>
      <c r="AL4673" s="1">
        <v>49</v>
      </c>
    </row>
    <row r="4674" spans="1:38" x14ac:dyDescent="0.2">
      <c r="A4674" s="2" t="str">
        <f>HYPERLINK("https://www.compass.com/listing/456-west-167th-street-unit-1b-manhattan-ny-10032/29435094993212225/","456 W 167th St, Unit 1B")</f>
        <v>456 W 167th St, Unit 1B</v>
      </c>
      <c r="B4674" s="2" t="str">
        <f t="shared" si="787"/>
        <v>Edgecombe Parc</v>
      </c>
      <c r="C4674" s="1" t="s">
        <v>93</v>
      </c>
      <c r="D4674" s="1" t="s">
        <v>41</v>
      </c>
      <c r="E4674" s="3">
        <v>558001</v>
      </c>
      <c r="F4674" s="1">
        <v>717.22493573264705</v>
      </c>
      <c r="G4674" s="1">
        <v>5</v>
      </c>
      <c r="H4674" s="1">
        <v>2</v>
      </c>
      <c r="I4674" s="1">
        <v>2</v>
      </c>
      <c r="J4674" s="1">
        <v>2</v>
      </c>
      <c r="K4674" s="1">
        <v>2</v>
      </c>
      <c r="M4674" s="1">
        <v>778</v>
      </c>
      <c r="N4674" s="1">
        <v>441</v>
      </c>
      <c r="O4674" s="1">
        <v>920</v>
      </c>
      <c r="P4674" s="1">
        <v>479</v>
      </c>
      <c r="Q4674" s="1" t="s">
        <v>42</v>
      </c>
      <c r="S4674" s="1" t="s">
        <v>42</v>
      </c>
      <c r="T4674" s="1" t="s">
        <v>273</v>
      </c>
      <c r="V4674" s="5">
        <v>43741</v>
      </c>
      <c r="W4674" s="5">
        <v>41829</v>
      </c>
      <c r="X4674" s="1">
        <v>548000</v>
      </c>
      <c r="Y4674" s="1">
        <v>548000</v>
      </c>
      <c r="Z4674" s="5">
        <v>41829</v>
      </c>
      <c r="AA4674" s="1">
        <v>558001</v>
      </c>
      <c r="AB4674" s="1" t="s">
        <v>3301</v>
      </c>
      <c r="AC4674" s="5">
        <v>41864</v>
      </c>
      <c r="AF4674" s="1">
        <v>10032</v>
      </c>
      <c r="AI4674" s="1" t="s">
        <v>61</v>
      </c>
      <c r="AJ4674" s="1">
        <v>2014</v>
      </c>
      <c r="AK4674" s="1" t="s">
        <v>175</v>
      </c>
      <c r="AL4674" s="1">
        <v>49</v>
      </c>
    </row>
    <row r="4675" spans="1:38" x14ac:dyDescent="0.2">
      <c r="A4675" s="2" t="str">
        <f>HYPERLINK("https://www.compass.com/listing/456-west-167th-street-unit-5d-manhattan-ny-10032/29435109119628305/","456 W 167th St, Unit 5D")</f>
        <v>456 W 167th St, Unit 5D</v>
      </c>
      <c r="B4675" s="2" t="str">
        <f t="shared" si="787"/>
        <v>Edgecombe Parc</v>
      </c>
      <c r="C4675" s="1" t="s">
        <v>93</v>
      </c>
      <c r="D4675" s="1" t="s">
        <v>41</v>
      </c>
      <c r="E4675" s="3">
        <v>504972</v>
      </c>
      <c r="F4675" s="1">
        <v>693.642857142857</v>
      </c>
      <c r="G4675" s="1">
        <v>4</v>
      </c>
      <c r="H4675" s="1">
        <v>1</v>
      </c>
      <c r="I4675" s="1">
        <v>2</v>
      </c>
      <c r="J4675" s="1">
        <v>2</v>
      </c>
      <c r="K4675" s="1">
        <v>2</v>
      </c>
      <c r="M4675" s="1">
        <v>728</v>
      </c>
      <c r="N4675" s="1">
        <v>401</v>
      </c>
      <c r="O4675" s="1">
        <v>837</v>
      </c>
      <c r="P4675" s="1">
        <v>436</v>
      </c>
      <c r="Q4675" s="1" t="s">
        <v>42</v>
      </c>
      <c r="S4675" s="1" t="s">
        <v>42</v>
      </c>
      <c r="T4675" s="1" t="s">
        <v>273</v>
      </c>
      <c r="U4675" s="1">
        <v>134</v>
      </c>
      <c r="V4675" s="5">
        <v>43741</v>
      </c>
      <c r="W4675" s="5">
        <v>41712</v>
      </c>
      <c r="X4675" s="1">
        <v>498000</v>
      </c>
      <c r="Y4675" s="1">
        <v>498000</v>
      </c>
      <c r="Z4675" s="5">
        <v>41846</v>
      </c>
      <c r="AA4675" s="1">
        <v>504972</v>
      </c>
      <c r="AB4675" s="1" t="s">
        <v>3302</v>
      </c>
      <c r="AC4675" s="5">
        <v>41884</v>
      </c>
      <c r="AF4675" s="1">
        <v>10032</v>
      </c>
      <c r="AI4675" s="1" t="s">
        <v>1382</v>
      </c>
      <c r="AJ4675" s="1">
        <v>2014</v>
      </c>
      <c r="AK4675" s="1" t="s">
        <v>175</v>
      </c>
      <c r="AL4675" s="1">
        <v>49</v>
      </c>
    </row>
    <row r="4676" spans="1:38" x14ac:dyDescent="0.2">
      <c r="A4676" s="2" t="str">
        <f>HYPERLINK("https://www.compass.com/listing/2231-adam-clayton-powell-jr-boulevard-unit-ph6-manhattan-ny-10027/4853137732714640049/","2231 Adam Clayton Powell Jr Blvd, Unit PH6")</f>
        <v>2231 Adam Clayton Powell Jr Blvd, Unit PH6</v>
      </c>
      <c r="B4676" s="2" t="str">
        <f>HYPERLINK("https://www.compass.com/building/the-aurum-manhattan-ny/307451641162444869/","The Aurum")</f>
        <v>The Aurum</v>
      </c>
      <c r="C4676" s="1" t="s">
        <v>85</v>
      </c>
      <c r="D4676" s="1" t="s">
        <v>41</v>
      </c>
      <c r="E4676" s="3">
        <v>1446933</v>
      </c>
      <c r="F4676" s="1">
        <v>1280.4716814159201</v>
      </c>
      <c r="G4676" s="1">
        <v>5</v>
      </c>
      <c r="H4676" s="1">
        <v>3</v>
      </c>
      <c r="I4676" s="1">
        <v>2</v>
      </c>
      <c r="J4676" s="1">
        <v>2</v>
      </c>
      <c r="M4676" s="4">
        <v>1130</v>
      </c>
      <c r="N4676" s="1">
        <v>1078</v>
      </c>
      <c r="O4676" s="1">
        <v>1279</v>
      </c>
      <c r="P4676" s="1">
        <v>201</v>
      </c>
      <c r="Q4676" s="1" t="s">
        <v>42</v>
      </c>
      <c r="S4676" s="1" t="s">
        <v>42</v>
      </c>
      <c r="T4676" s="1" t="s">
        <v>273</v>
      </c>
      <c r="U4676" s="1">
        <v>170</v>
      </c>
      <c r="V4676" s="5">
        <v>43665</v>
      </c>
      <c r="W4676" s="5">
        <v>42634</v>
      </c>
      <c r="X4676" s="1">
        <v>1421000</v>
      </c>
      <c r="Y4676" s="1">
        <v>1421000</v>
      </c>
      <c r="Z4676" s="5">
        <v>42804</v>
      </c>
      <c r="AA4676" s="1">
        <v>1446933</v>
      </c>
      <c r="AB4676" s="1" t="s">
        <v>275</v>
      </c>
      <c r="AC4676" s="5">
        <v>42840</v>
      </c>
      <c r="AF4676" s="1">
        <v>10027</v>
      </c>
      <c r="AI4676" s="1" t="s">
        <v>133</v>
      </c>
      <c r="AJ4676" s="1">
        <v>2016</v>
      </c>
      <c r="AK4676" s="1" t="s">
        <v>108</v>
      </c>
      <c r="AL4676" s="1">
        <v>115</v>
      </c>
    </row>
    <row r="4677" spans="1:38" x14ac:dyDescent="0.2">
      <c r="A4677" s="2" t="str">
        <f>HYPERLINK("https://www.compass.com/listing/456-west-167th-street-unit-1d-manhattan-ny-10032/803322192276390649/","456 W 167th St, Unit 1D")</f>
        <v>456 W 167th St, Unit 1D</v>
      </c>
      <c r="B4677" s="2" t="str">
        <f t="shared" ref="B4677:B4682" si="788">HYPERLINK("https://www.compass.com/building/edgecombe-parc-manhattan-ny/282005897969005013/","Edgecombe Parc")</f>
        <v>Edgecombe Parc</v>
      </c>
      <c r="C4677" s="1" t="s">
        <v>93</v>
      </c>
      <c r="D4677" s="1" t="s">
        <v>41</v>
      </c>
      <c r="E4677" s="3">
        <v>628000</v>
      </c>
      <c r="F4677" s="1">
        <v>862.637362637362</v>
      </c>
      <c r="G4677" s="1">
        <v>4</v>
      </c>
      <c r="H4677" s="1">
        <v>2</v>
      </c>
      <c r="I4677" s="1">
        <v>2</v>
      </c>
      <c r="J4677" s="1">
        <v>2</v>
      </c>
      <c r="M4677" s="1">
        <v>728</v>
      </c>
      <c r="N4677" s="1">
        <v>425</v>
      </c>
      <c r="O4677" s="1">
        <v>1140</v>
      </c>
      <c r="P4677" s="1">
        <v>715</v>
      </c>
      <c r="Q4677" s="1" t="s">
        <v>42</v>
      </c>
      <c r="S4677" s="1" t="s">
        <v>42</v>
      </c>
      <c r="T4677" s="1" t="s">
        <v>273</v>
      </c>
      <c r="U4677" s="1">
        <v>190</v>
      </c>
      <c r="V4677" s="5">
        <v>42879</v>
      </c>
      <c r="W4677" s="5">
        <v>42481</v>
      </c>
      <c r="X4677" s="1">
        <v>699999</v>
      </c>
      <c r="Y4677" s="1">
        <v>635000</v>
      </c>
      <c r="AA4677" s="1">
        <v>628000</v>
      </c>
      <c r="AB4677" s="1" t="s">
        <v>3303</v>
      </c>
      <c r="AC4677" s="5">
        <v>42916</v>
      </c>
      <c r="AF4677" s="1">
        <v>10032</v>
      </c>
      <c r="AI4677" s="1" t="s">
        <v>211</v>
      </c>
      <c r="AJ4677" s="1">
        <v>2014</v>
      </c>
      <c r="AK4677" s="1" t="s">
        <v>215</v>
      </c>
      <c r="AL4677" s="1">
        <v>49</v>
      </c>
    </row>
    <row r="4678" spans="1:38" x14ac:dyDescent="0.2">
      <c r="A4678" s="2" t="str">
        <f>HYPERLINK("https://www.compass.com/listing/456-west-167th-street-unit-1c-manhattan-ny-10032/29435095706307825/","456 W 167th St, Unit 1C")</f>
        <v>456 W 167th St, Unit 1C</v>
      </c>
      <c r="B4678" s="2" t="str">
        <f t="shared" si="788"/>
        <v>Edgecombe Parc</v>
      </c>
      <c r="C4678" s="1" t="s">
        <v>93</v>
      </c>
      <c r="D4678" s="1" t="s">
        <v>41</v>
      </c>
      <c r="E4678" s="3">
        <v>433992</v>
      </c>
      <c r="F4678" s="1">
        <v>688.87619047619</v>
      </c>
      <c r="G4678" s="1">
        <v>3</v>
      </c>
      <c r="H4678" s="1">
        <v>1</v>
      </c>
      <c r="I4678" s="1">
        <v>1</v>
      </c>
      <c r="J4678" s="1">
        <v>1</v>
      </c>
      <c r="K4678" s="1">
        <v>1</v>
      </c>
      <c r="M4678" s="1">
        <v>630</v>
      </c>
      <c r="N4678" s="1">
        <v>361</v>
      </c>
      <c r="O4678" s="1">
        <v>753</v>
      </c>
      <c r="P4678" s="1">
        <v>392</v>
      </c>
      <c r="Q4678" s="1" t="s">
        <v>42</v>
      </c>
      <c r="S4678" s="1" t="s">
        <v>42</v>
      </c>
      <c r="T4678" s="1" t="s">
        <v>273</v>
      </c>
      <c r="V4678" s="5">
        <v>43741</v>
      </c>
      <c r="W4678" s="5">
        <v>41643</v>
      </c>
      <c r="X4678" s="1">
        <v>418000</v>
      </c>
      <c r="Y4678" s="1">
        <v>418000</v>
      </c>
      <c r="Z4678" s="5">
        <v>41643</v>
      </c>
      <c r="AA4678" s="1">
        <v>433992</v>
      </c>
      <c r="AB4678" s="1" t="s">
        <v>3304</v>
      </c>
      <c r="AC4678" s="5">
        <v>41904</v>
      </c>
      <c r="AF4678" s="1">
        <v>10032</v>
      </c>
      <c r="AI4678" s="1" t="s">
        <v>211</v>
      </c>
      <c r="AJ4678" s="1">
        <v>2014</v>
      </c>
      <c r="AK4678" s="1" t="s">
        <v>175</v>
      </c>
      <c r="AL4678" s="1">
        <v>49</v>
      </c>
    </row>
    <row r="4679" spans="1:38" x14ac:dyDescent="0.2">
      <c r="A4679" s="2" t="str">
        <f>HYPERLINK("https://www.compass.com/listing/456-west-167th-street-unit-3g-manhattan-ny-10032/29435103046339953/","456 W 167th St, Unit 3G")</f>
        <v>456 W 167th St, Unit 3G</v>
      </c>
      <c r="B4679" s="2" t="str">
        <f t="shared" si="788"/>
        <v>Edgecombe Parc</v>
      </c>
      <c r="C4679" s="1" t="s">
        <v>93</v>
      </c>
      <c r="D4679" s="1" t="s">
        <v>41</v>
      </c>
      <c r="E4679" s="3">
        <v>380250</v>
      </c>
      <c r="F4679" s="1">
        <v>681.45161290322505</v>
      </c>
      <c r="G4679" s="1">
        <v>3</v>
      </c>
      <c r="H4679" s="1">
        <v>1</v>
      </c>
      <c r="I4679" s="1">
        <v>1</v>
      </c>
      <c r="J4679" s="1">
        <v>1</v>
      </c>
      <c r="K4679" s="1">
        <v>1</v>
      </c>
      <c r="M4679" s="1">
        <v>558</v>
      </c>
      <c r="N4679" s="1">
        <v>301</v>
      </c>
      <c r="O4679" s="1">
        <v>629</v>
      </c>
      <c r="P4679" s="1">
        <v>328</v>
      </c>
      <c r="Q4679" s="1" t="s">
        <v>42</v>
      </c>
      <c r="S4679" s="1" t="s">
        <v>42</v>
      </c>
      <c r="T4679" s="1" t="s">
        <v>273</v>
      </c>
      <c r="V4679" s="5">
        <v>43741</v>
      </c>
      <c r="W4679" s="5">
        <v>41616</v>
      </c>
      <c r="X4679" s="1">
        <v>385000</v>
      </c>
      <c r="Y4679" s="1">
        <v>385000</v>
      </c>
      <c r="Z4679" s="5">
        <v>41616</v>
      </c>
      <c r="AA4679" s="1">
        <v>380250</v>
      </c>
      <c r="AB4679" s="1" t="s">
        <v>3305</v>
      </c>
      <c r="AC4679" s="5">
        <v>41877</v>
      </c>
      <c r="AF4679" s="1">
        <v>10032</v>
      </c>
      <c r="AI4679" s="1" t="s">
        <v>61</v>
      </c>
      <c r="AJ4679" s="1">
        <v>2014</v>
      </c>
      <c r="AK4679" s="1" t="s">
        <v>175</v>
      </c>
      <c r="AL4679" s="1">
        <v>49</v>
      </c>
    </row>
    <row r="4680" spans="1:38" x14ac:dyDescent="0.2">
      <c r="A4680" s="2" t="str">
        <f>HYPERLINK("https://www.compass.com/listing/456-west-167th-street-unit-4g-manhattan-ny-10032/29435106510771185/","456 W 167th St, Unit 4G")</f>
        <v>456 W 167th St, Unit 4G</v>
      </c>
      <c r="B4680" s="2" t="str">
        <f t="shared" si="788"/>
        <v>Edgecombe Parc</v>
      </c>
      <c r="C4680" s="1" t="s">
        <v>93</v>
      </c>
      <c r="D4680" s="1" t="s">
        <v>41</v>
      </c>
      <c r="E4680" s="3">
        <v>385320</v>
      </c>
      <c r="F4680" s="1">
        <v>690.537634408602</v>
      </c>
      <c r="G4680" s="1">
        <v>3</v>
      </c>
      <c r="H4680" s="1">
        <v>1</v>
      </c>
      <c r="I4680" s="1">
        <v>1</v>
      </c>
      <c r="J4680" s="1">
        <v>1</v>
      </c>
      <c r="K4680" s="1">
        <v>1</v>
      </c>
      <c r="M4680" s="1">
        <v>558</v>
      </c>
      <c r="N4680" s="1">
        <v>310</v>
      </c>
      <c r="O4680" s="1">
        <v>647</v>
      </c>
      <c r="P4680" s="1">
        <v>337</v>
      </c>
      <c r="Q4680" s="1" t="s">
        <v>42</v>
      </c>
      <c r="S4680" s="1" t="s">
        <v>42</v>
      </c>
      <c r="T4680" s="1" t="s">
        <v>273</v>
      </c>
      <c r="V4680" s="5">
        <v>43741</v>
      </c>
      <c r="W4680" s="5">
        <v>41643</v>
      </c>
      <c r="X4680" s="1">
        <v>385000</v>
      </c>
      <c r="Y4680" s="1">
        <v>385000</v>
      </c>
      <c r="Z4680" s="5">
        <v>41643</v>
      </c>
      <c r="AA4680" s="1">
        <v>385320</v>
      </c>
      <c r="AB4680" s="1" t="s">
        <v>3306</v>
      </c>
      <c r="AC4680" s="5">
        <v>41876</v>
      </c>
      <c r="AF4680" s="1">
        <v>10032</v>
      </c>
      <c r="AI4680" s="1" t="s">
        <v>61</v>
      </c>
      <c r="AJ4680" s="1">
        <v>2014</v>
      </c>
      <c r="AK4680" s="1" t="s">
        <v>175</v>
      </c>
      <c r="AL4680" s="1">
        <v>49</v>
      </c>
    </row>
    <row r="4681" spans="1:38" x14ac:dyDescent="0.2">
      <c r="A4681" s="2" t="str">
        <f>HYPERLINK("https://www.compass.com/listing/456-west-167th-street-unit-5g-manhattan-ny-10032/29435110335976497/","456 W 167th St, Unit 5G")</f>
        <v>456 W 167th St, Unit 5G</v>
      </c>
      <c r="B4681" s="2" t="str">
        <f t="shared" si="788"/>
        <v>Edgecombe Parc</v>
      </c>
      <c r="C4681" s="1" t="s">
        <v>93</v>
      </c>
      <c r="D4681" s="1" t="s">
        <v>41</v>
      </c>
      <c r="E4681" s="3">
        <v>390390</v>
      </c>
      <c r="F4681" s="1">
        <v>699.62365591397804</v>
      </c>
      <c r="G4681" s="1">
        <v>3</v>
      </c>
      <c r="H4681" s="1">
        <v>1</v>
      </c>
      <c r="I4681" s="1">
        <v>1</v>
      </c>
      <c r="J4681" s="1">
        <v>1</v>
      </c>
      <c r="K4681" s="1">
        <v>1</v>
      </c>
      <c r="M4681" s="1">
        <v>558</v>
      </c>
      <c r="N4681" s="1">
        <v>318</v>
      </c>
      <c r="O4681" s="1">
        <v>664</v>
      </c>
      <c r="P4681" s="1">
        <v>346</v>
      </c>
      <c r="Q4681" s="1" t="s">
        <v>42</v>
      </c>
      <c r="S4681" s="1" t="s">
        <v>42</v>
      </c>
      <c r="T4681" s="1" t="s">
        <v>273</v>
      </c>
      <c r="V4681" s="5">
        <v>43741</v>
      </c>
      <c r="W4681" s="5">
        <v>41643</v>
      </c>
      <c r="X4681" s="1">
        <v>395000</v>
      </c>
      <c r="Y4681" s="1">
        <v>395000</v>
      </c>
      <c r="Z4681" s="5">
        <v>41643</v>
      </c>
      <c r="AA4681" s="1">
        <v>390390</v>
      </c>
      <c r="AB4681" s="1" t="s">
        <v>3307</v>
      </c>
      <c r="AC4681" s="5">
        <v>41905</v>
      </c>
      <c r="AF4681" s="1">
        <v>10032</v>
      </c>
      <c r="AI4681" s="1" t="s">
        <v>61</v>
      </c>
      <c r="AJ4681" s="1">
        <v>2014</v>
      </c>
      <c r="AK4681" s="1" t="s">
        <v>175</v>
      </c>
      <c r="AL4681" s="1">
        <v>49</v>
      </c>
    </row>
    <row r="4682" spans="1:38" x14ac:dyDescent="0.2">
      <c r="A4682" s="2" t="str">
        <f>HYPERLINK("https://www.compass.com/listing/456-west-167th-street-unit-6g-manhattan-ny-10032/29435113313999153/","456 W 167th St, Unit 6G")</f>
        <v>456 W 167th St, Unit 6G</v>
      </c>
      <c r="B4682" s="2" t="str">
        <f t="shared" si="788"/>
        <v>Edgecombe Parc</v>
      </c>
      <c r="C4682" s="1" t="s">
        <v>93</v>
      </c>
      <c r="D4682" s="1" t="s">
        <v>41</v>
      </c>
      <c r="E4682" s="3">
        <v>420810</v>
      </c>
      <c r="F4682" s="1">
        <v>754.13978494623598</v>
      </c>
      <c r="G4682" s="1">
        <v>3</v>
      </c>
      <c r="H4682" s="1">
        <v>1</v>
      </c>
      <c r="I4682" s="1">
        <v>1</v>
      </c>
      <c r="J4682" s="1">
        <v>1</v>
      </c>
      <c r="K4682" s="1">
        <v>1</v>
      </c>
      <c r="M4682" s="1">
        <v>558</v>
      </c>
      <c r="N4682" s="1">
        <v>334</v>
      </c>
      <c r="O4682" s="1">
        <v>697</v>
      </c>
      <c r="P4682" s="1">
        <v>363</v>
      </c>
      <c r="Q4682" s="1" t="s">
        <v>42</v>
      </c>
      <c r="S4682" s="1" t="s">
        <v>42</v>
      </c>
      <c r="T4682" s="1" t="s">
        <v>273</v>
      </c>
      <c r="V4682" s="5">
        <v>43741</v>
      </c>
      <c r="W4682" s="5">
        <v>41829</v>
      </c>
      <c r="X4682" s="1">
        <v>385000</v>
      </c>
      <c r="Y4682" s="1">
        <v>385000</v>
      </c>
      <c r="Z4682" s="5">
        <v>41829</v>
      </c>
      <c r="AA4682" s="1">
        <v>420810</v>
      </c>
      <c r="AB4682" s="1" t="s">
        <v>3308</v>
      </c>
      <c r="AC4682" s="5">
        <v>41946</v>
      </c>
      <c r="AF4682" s="1">
        <v>10032</v>
      </c>
      <c r="AI4682" s="1" t="s">
        <v>61</v>
      </c>
      <c r="AJ4682" s="1">
        <v>2014</v>
      </c>
      <c r="AK4682" s="1" t="s">
        <v>175</v>
      </c>
      <c r="AL4682" s="1">
        <v>49</v>
      </c>
    </row>
    <row r="4683" spans="1:38" x14ac:dyDescent="0.2">
      <c r="A4683" s="2" t="str">
        <f>HYPERLINK("https://www.compass.com/listing/2231-adam-clayton-powell-jr-boulevard-unit-621-manhattan-ny-10027/192575509186560881/","2231 Adam Clayton Powell Jr Blvd, Unit 621")</f>
        <v>2231 Adam Clayton Powell Jr Blvd, Unit 621</v>
      </c>
      <c r="B4683" s="2" t="str">
        <f t="shared" ref="B4683:B4685" si="789">HYPERLINK("https://www.compass.com/building/the-aurum-manhattan-ny/307451641162444869/","The Aurum")</f>
        <v>The Aurum</v>
      </c>
      <c r="C4683" s="1" t="s">
        <v>85</v>
      </c>
      <c r="D4683" s="1" t="s">
        <v>41</v>
      </c>
      <c r="E4683" s="3">
        <v>966319</v>
      </c>
      <c r="F4683" s="1">
        <v>1135.5099882491099</v>
      </c>
      <c r="G4683" s="1">
        <v>4</v>
      </c>
      <c r="H4683" s="1">
        <v>2</v>
      </c>
      <c r="I4683" s="1">
        <v>2</v>
      </c>
      <c r="J4683" s="1">
        <v>2</v>
      </c>
      <c r="M4683" s="1">
        <v>851</v>
      </c>
      <c r="N4683" s="1">
        <v>812</v>
      </c>
      <c r="O4683" s="1">
        <v>963</v>
      </c>
      <c r="P4683" s="1">
        <v>151</v>
      </c>
      <c r="Q4683" s="1" t="s">
        <v>42</v>
      </c>
      <c r="S4683" s="1" t="s">
        <v>42</v>
      </c>
      <c r="T4683" s="1" t="s">
        <v>273</v>
      </c>
      <c r="U4683" s="1">
        <v>15</v>
      </c>
      <c r="V4683" s="5">
        <v>43672</v>
      </c>
      <c r="W4683" s="5">
        <v>42516</v>
      </c>
      <c r="X4683" s="1">
        <v>949000</v>
      </c>
      <c r="Y4683" s="1">
        <v>949000</v>
      </c>
      <c r="Z4683" s="5">
        <v>42531</v>
      </c>
      <c r="AA4683" s="1">
        <v>966319</v>
      </c>
      <c r="AB4683" s="1" t="s">
        <v>275</v>
      </c>
      <c r="AC4683" s="5">
        <v>42703</v>
      </c>
      <c r="AF4683" s="1">
        <v>10027</v>
      </c>
      <c r="AI4683" s="1" t="s">
        <v>52</v>
      </c>
      <c r="AJ4683" s="1">
        <v>2016</v>
      </c>
      <c r="AK4683" s="1" t="s">
        <v>108</v>
      </c>
      <c r="AL4683" s="1">
        <v>115</v>
      </c>
    </row>
    <row r="4684" spans="1:38" x14ac:dyDescent="0.2">
      <c r="A4684" s="2" t="str">
        <f>HYPERLINK("https://www.compass.com/listing/2231-adam-clayton-powell-jr-boulevard-unit-311-manhattan-ny-10027/192575550374633377/","2231 Adam Clayton Powell Jr Blvd, Unit 311")</f>
        <v>2231 Adam Clayton Powell Jr Blvd, Unit 311</v>
      </c>
      <c r="B4684" s="2" t="str">
        <f t="shared" si="789"/>
        <v>The Aurum</v>
      </c>
      <c r="C4684" s="1" t="s">
        <v>85</v>
      </c>
      <c r="D4684" s="1" t="s">
        <v>41</v>
      </c>
      <c r="E4684" s="3">
        <v>921516</v>
      </c>
      <c r="F4684" s="1">
        <v>982.42643923240905</v>
      </c>
      <c r="G4684" s="1">
        <v>4</v>
      </c>
      <c r="H4684" s="1">
        <v>2</v>
      </c>
      <c r="I4684" s="1">
        <v>2</v>
      </c>
      <c r="J4684" s="1">
        <v>2</v>
      </c>
      <c r="M4684" s="1">
        <v>938</v>
      </c>
      <c r="N4684" s="1">
        <v>895</v>
      </c>
      <c r="O4684" s="1">
        <v>1061</v>
      </c>
      <c r="P4684" s="1">
        <v>166</v>
      </c>
      <c r="Q4684" s="1" t="s">
        <v>42</v>
      </c>
      <c r="S4684" s="1" t="s">
        <v>42</v>
      </c>
      <c r="T4684" s="1" t="s">
        <v>273</v>
      </c>
      <c r="V4684" s="5">
        <v>43673</v>
      </c>
      <c r="W4684" s="5">
        <v>42486</v>
      </c>
      <c r="X4684" s="1">
        <v>975000</v>
      </c>
      <c r="Y4684" s="1">
        <v>975000</v>
      </c>
      <c r="Z4684" s="5">
        <v>42486</v>
      </c>
      <c r="AA4684" s="1">
        <v>921516</v>
      </c>
      <c r="AB4684" s="1" t="s">
        <v>275</v>
      </c>
      <c r="AC4684" s="5">
        <v>42720</v>
      </c>
      <c r="AF4684" s="1">
        <v>10027</v>
      </c>
      <c r="AI4684" s="1" t="s">
        <v>52</v>
      </c>
      <c r="AJ4684" s="1">
        <v>2016</v>
      </c>
      <c r="AK4684" s="1" t="s">
        <v>108</v>
      </c>
      <c r="AL4684" s="1">
        <v>115</v>
      </c>
    </row>
    <row r="4685" spans="1:38" x14ac:dyDescent="0.2">
      <c r="A4685" s="2" t="str">
        <f>HYPERLINK("https://www.compass.com/listing/2231-adam-clayton-powell-jr-boulevard-unit-515-manhattan-ny-10027/4852275226089628929/","2231 Adam Clayton Powell Jr Blvd, Unit 515")</f>
        <v>2231 Adam Clayton Powell Jr Blvd, Unit 515</v>
      </c>
      <c r="B4685" s="2" t="str">
        <f t="shared" si="789"/>
        <v>The Aurum</v>
      </c>
      <c r="C4685" s="1" t="s">
        <v>85</v>
      </c>
      <c r="D4685" s="1" t="s">
        <v>41</v>
      </c>
      <c r="E4685" s="3">
        <v>956000</v>
      </c>
      <c r="F4685" s="1">
        <v>1048.2456140350801</v>
      </c>
      <c r="G4685" s="1">
        <v>4</v>
      </c>
      <c r="H4685" s="1">
        <v>2</v>
      </c>
      <c r="I4685" s="1">
        <v>2</v>
      </c>
      <c r="J4685" s="1">
        <v>2</v>
      </c>
      <c r="M4685" s="1">
        <v>912</v>
      </c>
      <c r="N4685" s="1">
        <v>870</v>
      </c>
      <c r="O4685" s="1">
        <v>1032</v>
      </c>
      <c r="P4685" s="1">
        <v>162</v>
      </c>
      <c r="Q4685" s="1" t="s">
        <v>42</v>
      </c>
      <c r="S4685" s="1" t="s">
        <v>42</v>
      </c>
      <c r="T4685" s="1" t="s">
        <v>273</v>
      </c>
      <c r="U4685" s="1">
        <v>255</v>
      </c>
      <c r="V4685" s="5">
        <v>43668</v>
      </c>
      <c r="W4685" s="5">
        <v>42627</v>
      </c>
      <c r="X4685" s="1">
        <v>956000</v>
      </c>
      <c r="Y4685" s="1">
        <v>956000</v>
      </c>
      <c r="AA4685" s="1">
        <v>956000</v>
      </c>
      <c r="AB4685" s="1" t="s">
        <v>275</v>
      </c>
      <c r="AC4685" s="5">
        <v>42882</v>
      </c>
      <c r="AF4685" s="1">
        <v>10027</v>
      </c>
      <c r="AI4685" s="1" t="s">
        <v>52</v>
      </c>
      <c r="AJ4685" s="1">
        <v>2016</v>
      </c>
      <c r="AK4685" s="1" t="s">
        <v>108</v>
      </c>
      <c r="AL4685" s="1">
        <v>115</v>
      </c>
    </row>
    <row r="4686" spans="1:38" x14ac:dyDescent="0.2">
      <c r="A4686" s="2" t="str">
        <f>HYPERLINK("https://www.compass.com/listing/1-west-end-avenue-unit-40b-manhattan-ny-10069/54296219123519377/","1 W End Ave, Unit 40B")</f>
        <v>1 W End Ave, Unit 40B</v>
      </c>
      <c r="B4686" s="2" t="str">
        <f t="shared" ref="B4686:B4687" si="790">HYPERLINK("https://www.compass.com/building/1-w-end-ave-manhattan-ny-10069/455676159137755317/","1 W End Ave")</f>
        <v>1 W End Ave</v>
      </c>
      <c r="C4686" s="1" t="s">
        <v>57</v>
      </c>
      <c r="D4686" s="1" t="s">
        <v>41</v>
      </c>
      <c r="E4686" s="3">
        <v>7811266</v>
      </c>
      <c r="F4686" s="1">
        <v>2749.4776487152399</v>
      </c>
      <c r="G4686" s="1">
        <v>6</v>
      </c>
      <c r="H4686" s="1">
        <v>4</v>
      </c>
      <c r="I4686" s="1">
        <v>4</v>
      </c>
      <c r="J4686" s="1">
        <v>4</v>
      </c>
      <c r="K4686" s="1">
        <v>4</v>
      </c>
      <c r="M4686" s="4">
        <v>2841</v>
      </c>
      <c r="N4686" s="1">
        <v>3355</v>
      </c>
      <c r="O4686" s="1">
        <v>3544</v>
      </c>
      <c r="P4686" s="1">
        <v>189</v>
      </c>
      <c r="Q4686" s="1" t="s">
        <v>42</v>
      </c>
      <c r="S4686" s="1" t="s">
        <v>42</v>
      </c>
      <c r="T4686" s="1" t="s">
        <v>273</v>
      </c>
      <c r="V4686" s="5">
        <v>43630</v>
      </c>
      <c r="W4686" s="5">
        <v>43327</v>
      </c>
      <c r="X4686" s="1">
        <v>8075000</v>
      </c>
      <c r="Y4686" s="1">
        <v>8075000</v>
      </c>
      <c r="Z4686" s="5">
        <v>43327</v>
      </c>
      <c r="AA4686" s="1">
        <v>7811266</v>
      </c>
      <c r="AB4686" s="1" t="s">
        <v>3309</v>
      </c>
      <c r="AC4686" s="5">
        <v>43363</v>
      </c>
      <c r="AF4686" s="1">
        <v>10069</v>
      </c>
      <c r="AI4686" s="1" t="s">
        <v>1683</v>
      </c>
      <c r="AJ4686" s="1">
        <v>2017</v>
      </c>
      <c r="AK4686" s="1" t="s">
        <v>55</v>
      </c>
      <c r="AL4686" s="1">
        <v>246</v>
      </c>
    </row>
    <row r="4687" spans="1:38" x14ac:dyDescent="0.2">
      <c r="A4687" s="2" t="str">
        <f>HYPERLINK("https://www.compass.com/listing/1-west-end-avenue-unit-40a-manhattan-ny-10069/64895903718182145/","1 W End Ave, Unit 40A")</f>
        <v>1 W End Ave, Unit 40A</v>
      </c>
      <c r="B4687" s="2" t="str">
        <f t="shared" si="790"/>
        <v>1 W End Ave</v>
      </c>
      <c r="C4687" s="1" t="s">
        <v>57</v>
      </c>
      <c r="D4687" s="1" t="s">
        <v>41</v>
      </c>
      <c r="E4687" s="3">
        <v>7908713</v>
      </c>
      <c r="F4687" s="1">
        <v>2588.7767594108</v>
      </c>
      <c r="G4687" s="1">
        <v>6</v>
      </c>
      <c r="H4687" s="1">
        <v>4</v>
      </c>
      <c r="I4687" s="1">
        <v>5</v>
      </c>
      <c r="J4687" s="1">
        <v>4.5</v>
      </c>
      <c r="K4687" s="1">
        <v>4</v>
      </c>
      <c r="L4687" s="1">
        <v>1</v>
      </c>
      <c r="M4687" s="4">
        <v>3055</v>
      </c>
      <c r="N4687" s="1">
        <v>3563</v>
      </c>
      <c r="O4687" s="1">
        <v>3763</v>
      </c>
      <c r="P4687" s="1">
        <v>200</v>
      </c>
      <c r="Q4687" s="1" t="s">
        <v>42</v>
      </c>
      <c r="S4687" s="1" t="s">
        <v>42</v>
      </c>
      <c r="T4687" s="1" t="s">
        <v>273</v>
      </c>
      <c r="V4687" s="5">
        <v>43624</v>
      </c>
      <c r="W4687" s="5">
        <v>43342</v>
      </c>
      <c r="X4687" s="1">
        <v>8075000</v>
      </c>
      <c r="Y4687" s="1">
        <v>8075000</v>
      </c>
      <c r="Z4687" s="5">
        <v>43342</v>
      </c>
      <c r="AA4687" s="1">
        <v>7908713</v>
      </c>
      <c r="AB4687" s="1" t="s">
        <v>3310</v>
      </c>
      <c r="AC4687" s="5">
        <v>43383</v>
      </c>
      <c r="AF4687" s="1">
        <v>10069</v>
      </c>
      <c r="AI4687" s="1" t="s">
        <v>1683</v>
      </c>
      <c r="AJ4687" s="1">
        <v>2017</v>
      </c>
      <c r="AK4687" s="1" t="s">
        <v>55</v>
      </c>
      <c r="AL4687" s="1">
        <v>246</v>
      </c>
    </row>
    <row r="4688" spans="1:38" x14ac:dyDescent="0.2">
      <c r="A4688" s="2" t="str">
        <f>HYPERLINK("https://www.compass.com/listing/16-west-40th-street-unit-16d-manhattan-ny-10018/29375081658529537/","16 W 40th St, Unit 16D")</f>
        <v>16 W 40th St, Unit 16D</v>
      </c>
      <c r="B4688" s="2" t="str">
        <f t="shared" ref="B4688:B4692" si="791">HYPERLINK("https://www.compass.com/building/the-bryant-manhattan-ny/281942863485395813/","The Bryant")</f>
        <v>The Bryant</v>
      </c>
      <c r="C4688" s="1" t="s">
        <v>126</v>
      </c>
      <c r="D4688" s="1" t="s">
        <v>41</v>
      </c>
      <c r="E4688" s="3">
        <v>1915000</v>
      </c>
      <c r="F4688" s="1">
        <v>2102.0856201975798</v>
      </c>
      <c r="G4688" s="1">
        <v>3</v>
      </c>
      <c r="H4688" s="1">
        <v>1</v>
      </c>
      <c r="I4688" s="1">
        <v>1</v>
      </c>
      <c r="J4688" s="1">
        <v>1</v>
      </c>
      <c r="K4688" s="1">
        <v>1</v>
      </c>
      <c r="M4688" s="1">
        <v>911</v>
      </c>
      <c r="N4688" s="1">
        <v>1562</v>
      </c>
      <c r="O4688" s="1">
        <v>2908</v>
      </c>
      <c r="P4688" s="1">
        <v>1346</v>
      </c>
      <c r="Q4688" s="1" t="s">
        <v>42</v>
      </c>
      <c r="S4688" s="1" t="s">
        <v>42</v>
      </c>
      <c r="T4688" s="1" t="s">
        <v>273</v>
      </c>
      <c r="U4688" s="1">
        <v>15</v>
      </c>
      <c r="V4688" s="5">
        <v>43641</v>
      </c>
      <c r="W4688" s="5">
        <v>42404</v>
      </c>
      <c r="X4688" s="1">
        <v>1915000</v>
      </c>
      <c r="Y4688" s="1">
        <v>1915000</v>
      </c>
      <c r="Z4688" s="5">
        <v>42419</v>
      </c>
      <c r="AA4688" s="1">
        <v>1915000</v>
      </c>
      <c r="AB4688" s="1" t="s">
        <v>3311</v>
      </c>
      <c r="AC4688" s="5">
        <v>43006</v>
      </c>
      <c r="AF4688" s="1">
        <v>10018</v>
      </c>
      <c r="AI4688" s="1" t="s">
        <v>58</v>
      </c>
      <c r="AJ4688" s="1">
        <v>2017</v>
      </c>
      <c r="AK4688" s="1" t="s">
        <v>46</v>
      </c>
      <c r="AL4688" s="1">
        <v>57</v>
      </c>
    </row>
    <row r="4689" spans="1:38" x14ac:dyDescent="0.2">
      <c r="A4689" s="2" t="str">
        <f>HYPERLINK("https://www.compass.com/listing/16-west-40th-street-unit-17d-manhattan-ny-10018/29375082799380241/","16 W 40th St, Unit 17D")</f>
        <v>16 W 40th St, Unit 17D</v>
      </c>
      <c r="B4689" s="2" t="str">
        <f t="shared" si="791"/>
        <v>The Bryant</v>
      </c>
      <c r="C4689" s="1" t="s">
        <v>126</v>
      </c>
      <c r="D4689" s="1" t="s">
        <v>41</v>
      </c>
      <c r="E4689" s="3">
        <v>1932639</v>
      </c>
      <c r="F4689" s="1">
        <v>2130.80319735391</v>
      </c>
      <c r="G4689" s="1">
        <v>3</v>
      </c>
      <c r="H4689" s="1">
        <v>1</v>
      </c>
      <c r="I4689" s="1">
        <v>1</v>
      </c>
      <c r="J4689" s="1">
        <v>1</v>
      </c>
      <c r="K4689" s="1">
        <v>1</v>
      </c>
      <c r="M4689" s="1">
        <v>907</v>
      </c>
      <c r="N4689" s="1">
        <v>1563</v>
      </c>
      <c r="O4689" s="1">
        <v>2910</v>
      </c>
      <c r="P4689" s="1">
        <v>1347</v>
      </c>
      <c r="Q4689" s="1" t="s">
        <v>42</v>
      </c>
      <c r="S4689" s="1" t="s">
        <v>42</v>
      </c>
      <c r="T4689" s="1" t="s">
        <v>273</v>
      </c>
      <c r="U4689" s="1">
        <v>65</v>
      </c>
      <c r="V4689" s="5">
        <v>43606</v>
      </c>
      <c r="W4689" s="5">
        <v>42419</v>
      </c>
      <c r="X4689" s="1">
        <v>1955000</v>
      </c>
      <c r="Y4689" s="1">
        <v>1955000</v>
      </c>
      <c r="Z4689" s="5">
        <v>42485</v>
      </c>
      <c r="AA4689" s="1">
        <v>1932638.5</v>
      </c>
      <c r="AB4689" s="1" t="s">
        <v>3312</v>
      </c>
      <c r="AC4689" s="5">
        <v>43217</v>
      </c>
      <c r="AF4689" s="1">
        <v>10018</v>
      </c>
      <c r="AI4689" s="1" t="s">
        <v>58</v>
      </c>
      <c r="AJ4689" s="1">
        <v>2017</v>
      </c>
      <c r="AK4689" s="1" t="s">
        <v>46</v>
      </c>
      <c r="AL4689" s="1">
        <v>57</v>
      </c>
    </row>
    <row r="4690" spans="1:38" x14ac:dyDescent="0.2">
      <c r="A4690" s="2" t="str">
        <f>HYPERLINK("https://www.compass.com/listing/16-west-40th-street-unit-19d-manhattan-ny-10018/29375084829349121/","16 W 40th St, Unit 19D")</f>
        <v>16 W 40th St, Unit 19D</v>
      </c>
      <c r="B4690" s="2" t="str">
        <f t="shared" si="791"/>
        <v>The Bryant</v>
      </c>
      <c r="C4690" s="1" t="s">
        <v>126</v>
      </c>
      <c r="D4690" s="1" t="s">
        <v>41</v>
      </c>
      <c r="E4690" s="3">
        <v>2275000</v>
      </c>
      <c r="F4690" s="1">
        <v>2132.1462043111501</v>
      </c>
      <c r="G4690" s="1">
        <v>3</v>
      </c>
      <c r="H4690" s="1">
        <v>1</v>
      </c>
      <c r="I4690" s="1">
        <v>1</v>
      </c>
      <c r="J4690" s="1">
        <v>1</v>
      </c>
      <c r="K4690" s="1">
        <v>1</v>
      </c>
      <c r="M4690" s="4">
        <v>1067</v>
      </c>
      <c r="N4690" s="1">
        <v>1856</v>
      </c>
      <c r="O4690" s="1">
        <v>3456</v>
      </c>
      <c r="P4690" s="1">
        <v>1600</v>
      </c>
      <c r="Q4690" s="1" t="s">
        <v>42</v>
      </c>
      <c r="S4690" s="1" t="s">
        <v>42</v>
      </c>
      <c r="T4690" s="1" t="s">
        <v>273</v>
      </c>
      <c r="U4690" s="1">
        <v>15</v>
      </c>
      <c r="V4690" s="5">
        <v>43633</v>
      </c>
      <c r="W4690" s="5">
        <v>42557</v>
      </c>
      <c r="X4690" s="1">
        <v>2315000</v>
      </c>
      <c r="Y4690" s="1">
        <v>2315000</v>
      </c>
      <c r="Z4690" s="5">
        <v>42572</v>
      </c>
      <c r="AA4690" s="1">
        <v>2275000</v>
      </c>
      <c r="AB4690" s="1" t="s">
        <v>3313</v>
      </c>
      <c r="AC4690" s="5">
        <v>43097</v>
      </c>
      <c r="AF4690" s="1">
        <v>10018</v>
      </c>
      <c r="AI4690" s="1" t="s">
        <v>58</v>
      </c>
      <c r="AJ4690" s="1">
        <v>2017</v>
      </c>
      <c r="AK4690" s="1" t="s">
        <v>46</v>
      </c>
      <c r="AL4690" s="1">
        <v>57</v>
      </c>
    </row>
    <row r="4691" spans="1:38" x14ac:dyDescent="0.2">
      <c r="A4691" s="2" t="str">
        <f>HYPERLINK("https://www.compass.com/listing/16-west-40th-street-unit-20d-manhattan-ny-10018/29375086037308689/","16 W 40th St, Unit 20D")</f>
        <v>16 W 40th St, Unit 20D</v>
      </c>
      <c r="B4691" s="2" t="str">
        <f t="shared" si="791"/>
        <v>The Bryant</v>
      </c>
      <c r="C4691" s="1" t="s">
        <v>126</v>
      </c>
      <c r="D4691" s="1" t="s">
        <v>41</v>
      </c>
      <c r="E4691" s="3">
        <v>2330000</v>
      </c>
      <c r="F4691" s="1">
        <v>2183.69259606373</v>
      </c>
      <c r="G4691" s="1">
        <v>3</v>
      </c>
      <c r="H4691" s="1">
        <v>1</v>
      </c>
      <c r="I4691" s="1">
        <v>1</v>
      </c>
      <c r="J4691" s="1">
        <v>1</v>
      </c>
      <c r="K4691" s="1">
        <v>1</v>
      </c>
      <c r="M4691" s="4">
        <v>1067</v>
      </c>
      <c r="N4691" s="1">
        <v>1865</v>
      </c>
      <c r="O4691" s="1">
        <v>3473</v>
      </c>
      <c r="P4691" s="1">
        <v>1608</v>
      </c>
      <c r="Q4691" s="1" t="s">
        <v>42</v>
      </c>
      <c r="S4691" s="1" t="s">
        <v>42</v>
      </c>
      <c r="T4691" s="1" t="s">
        <v>273</v>
      </c>
      <c r="U4691" s="1">
        <v>3</v>
      </c>
      <c r="V4691" s="5">
        <v>43633</v>
      </c>
      <c r="W4691" s="5">
        <v>42592</v>
      </c>
      <c r="X4691" s="1">
        <v>2410000</v>
      </c>
      <c r="Y4691" s="1">
        <v>2410000</v>
      </c>
      <c r="Z4691" s="5">
        <v>42595</v>
      </c>
      <c r="AA4691" s="1">
        <v>2330000</v>
      </c>
      <c r="AB4691" s="1" t="s">
        <v>3314</v>
      </c>
      <c r="AC4691" s="5">
        <v>43154</v>
      </c>
      <c r="AF4691" s="1">
        <v>10018</v>
      </c>
      <c r="AI4691" s="1" t="s">
        <v>58</v>
      </c>
      <c r="AJ4691" s="1">
        <v>2017</v>
      </c>
      <c r="AK4691" s="1" t="s">
        <v>46</v>
      </c>
      <c r="AL4691" s="1">
        <v>57</v>
      </c>
    </row>
    <row r="4692" spans="1:38" x14ac:dyDescent="0.2">
      <c r="A4692" s="2" t="str">
        <f>HYPERLINK("https://www.compass.com/listing/16-west-40th-street-unit-23d-manhattan-ny-10018/29514377724034753/","16 W 40th St, Unit 23D")</f>
        <v>16 W 40th St, Unit 23D</v>
      </c>
      <c r="B4692" s="2" t="str">
        <f t="shared" si="791"/>
        <v>The Bryant</v>
      </c>
      <c r="C4692" s="1" t="s">
        <v>126</v>
      </c>
      <c r="D4692" s="1" t="s">
        <v>41</v>
      </c>
      <c r="E4692" s="3">
        <v>2488000</v>
      </c>
      <c r="F4692" s="1">
        <v>2331.7713214620399</v>
      </c>
      <c r="G4692" s="1">
        <v>3</v>
      </c>
      <c r="H4692" s="1">
        <v>1</v>
      </c>
      <c r="I4692" s="1">
        <v>1</v>
      </c>
      <c r="J4692" s="1">
        <v>1</v>
      </c>
      <c r="K4692" s="1">
        <v>1</v>
      </c>
      <c r="M4692" s="4">
        <v>1067</v>
      </c>
      <c r="N4692" s="1">
        <v>1892</v>
      </c>
      <c r="O4692" s="1">
        <v>3523</v>
      </c>
      <c r="P4692" s="1">
        <v>1631</v>
      </c>
      <c r="Q4692" s="1" t="s">
        <v>42</v>
      </c>
      <c r="S4692" s="1" t="s">
        <v>42</v>
      </c>
      <c r="T4692" s="1" t="s">
        <v>273</v>
      </c>
      <c r="U4692" s="1">
        <v>153</v>
      </c>
      <c r="V4692" s="5">
        <v>43633</v>
      </c>
      <c r="W4692" s="5">
        <v>42599</v>
      </c>
      <c r="X4692" s="1">
        <v>2570000</v>
      </c>
      <c r="Y4692" s="1">
        <v>2570000</v>
      </c>
      <c r="Z4692" s="5">
        <v>42752</v>
      </c>
      <c r="AA4692" s="1">
        <v>2488000</v>
      </c>
      <c r="AB4692" s="1" t="s">
        <v>3315</v>
      </c>
      <c r="AC4692" s="5">
        <v>43287</v>
      </c>
      <c r="AF4692" s="1">
        <v>10018</v>
      </c>
      <c r="AI4692" s="1" t="s">
        <v>58</v>
      </c>
      <c r="AJ4692" s="1">
        <v>2017</v>
      </c>
      <c r="AK4692" s="1" t="s">
        <v>46</v>
      </c>
      <c r="AL4692" s="1">
        <v>57</v>
      </c>
    </row>
    <row r="4693" spans="1:38" x14ac:dyDescent="0.2">
      <c r="A4693" s="2" t="str">
        <f>HYPERLINK("https://www.compass.com/listing/2231-adam-clayton-powell-jr-boulevard-unit-309-manhattan-ny-10027/4853137687508423169/","2231 Adam Clayton Powell Jr Blvd, Unit 309")</f>
        <v>2231 Adam Clayton Powell Jr Blvd, Unit 309</v>
      </c>
      <c r="B4693" s="2" t="str">
        <f>HYPERLINK("https://www.compass.com/building/the-aurum-manhattan-ny/307451641162444869/","The Aurum")</f>
        <v>The Aurum</v>
      </c>
      <c r="C4693" s="1" t="s">
        <v>85</v>
      </c>
      <c r="D4693" s="1" t="s">
        <v>41</v>
      </c>
      <c r="E4693" s="3">
        <v>981000</v>
      </c>
      <c r="F4693" s="1">
        <v>1016.58031088082</v>
      </c>
      <c r="G4693" s="1">
        <v>4</v>
      </c>
      <c r="H4693" s="1">
        <v>2</v>
      </c>
      <c r="I4693" s="1">
        <v>2</v>
      </c>
      <c r="J4693" s="1">
        <v>2</v>
      </c>
      <c r="M4693" s="1">
        <v>965</v>
      </c>
      <c r="N4693" s="1">
        <v>921</v>
      </c>
      <c r="O4693" s="1">
        <v>1092</v>
      </c>
      <c r="P4693" s="1">
        <v>171</v>
      </c>
      <c r="Q4693" s="1" t="s">
        <v>42</v>
      </c>
      <c r="S4693" s="1" t="s">
        <v>42</v>
      </c>
      <c r="T4693" s="1" t="s">
        <v>273</v>
      </c>
      <c r="U4693" s="1">
        <v>49</v>
      </c>
      <c r="V4693" s="5">
        <v>43665</v>
      </c>
      <c r="W4693" s="5">
        <v>42755</v>
      </c>
      <c r="X4693" s="1">
        <v>981000</v>
      </c>
      <c r="Y4693" s="1">
        <v>981000</v>
      </c>
      <c r="Z4693" s="5">
        <v>42804</v>
      </c>
      <c r="AA4693" s="1">
        <v>981000</v>
      </c>
      <c r="AB4693" s="1" t="s">
        <v>275</v>
      </c>
      <c r="AC4693" s="5">
        <v>42865</v>
      </c>
      <c r="AF4693" s="1">
        <v>10027</v>
      </c>
      <c r="AI4693" s="1" t="s">
        <v>52</v>
      </c>
      <c r="AJ4693" s="1">
        <v>2016</v>
      </c>
      <c r="AK4693" s="1" t="s">
        <v>108</v>
      </c>
      <c r="AL4693" s="1">
        <v>115</v>
      </c>
    </row>
    <row r="4694" spans="1:38" x14ac:dyDescent="0.2">
      <c r="A4694" s="2" t="str">
        <f>HYPERLINK("https://www.compass.com/listing/325-lexington-avenue-unit-25c-manhattan-ny-10016/29379728091724465/","325 Lexington Ave, Unit 25C")</f>
        <v>325 Lexington Ave, Unit 25C</v>
      </c>
      <c r="B4694" s="2" t="str">
        <f>HYPERLINK("https://www.compass.com/building/325-lex-condominium-manhattan-ny/281939882467713365/","325 Lex Condominium")</f>
        <v>325 Lex Condominium</v>
      </c>
      <c r="C4694" s="1" t="s">
        <v>59</v>
      </c>
      <c r="D4694" s="1" t="s">
        <v>41</v>
      </c>
      <c r="E4694" s="3">
        <v>2464165</v>
      </c>
      <c r="F4694" s="1">
        <v>2165.3471001757398</v>
      </c>
      <c r="G4694" s="1">
        <v>4</v>
      </c>
      <c r="H4694" s="1">
        <v>2</v>
      </c>
      <c r="I4694" s="1">
        <v>2</v>
      </c>
      <c r="J4694" s="1">
        <v>2</v>
      </c>
      <c r="K4694" s="1">
        <v>2</v>
      </c>
      <c r="M4694" s="4">
        <v>1138</v>
      </c>
      <c r="N4694" s="1">
        <v>1667</v>
      </c>
      <c r="O4694" s="1">
        <v>2030</v>
      </c>
      <c r="P4694" s="1">
        <v>363</v>
      </c>
      <c r="Q4694" s="1" t="s">
        <v>42</v>
      </c>
      <c r="S4694" s="1" t="s">
        <v>42</v>
      </c>
      <c r="T4694" s="1" t="s">
        <v>273</v>
      </c>
      <c r="U4694" s="1">
        <v>197</v>
      </c>
      <c r="V4694" s="5">
        <v>43654</v>
      </c>
      <c r="W4694" s="5">
        <v>41900</v>
      </c>
      <c r="X4694" s="1">
        <v>2420000</v>
      </c>
      <c r="Y4694" s="1">
        <v>2420000</v>
      </c>
      <c r="Z4694" s="5">
        <v>42097</v>
      </c>
      <c r="AA4694" s="1">
        <v>2464165</v>
      </c>
      <c r="AB4694" s="1" t="s">
        <v>275</v>
      </c>
      <c r="AC4694" s="5">
        <v>42137</v>
      </c>
      <c r="AF4694" s="1">
        <v>10016</v>
      </c>
      <c r="AI4694" s="1" t="s">
        <v>60</v>
      </c>
      <c r="AJ4694" s="1">
        <v>2014</v>
      </c>
      <c r="AK4694" s="1" t="s">
        <v>108</v>
      </c>
      <c r="AL4694" s="1">
        <v>125</v>
      </c>
    </row>
    <row r="4695" spans="1:38" x14ac:dyDescent="0.2">
      <c r="A4695" s="2" t="str">
        <f>HYPERLINK("https://www.compass.com/listing/425-west-50th-street-unit-phd-manhattan-ny-10019/29513500082696161/","425 W 50th St, Unit PHD")</f>
        <v>425 W 50th St, Unit PHD</v>
      </c>
      <c r="B4695" s="2" t="str">
        <f>HYPERLINK("https://www.compass.com/building/stella-tower-manhattan-ny/281945855710262181/","Stella Tower")</f>
        <v>Stella Tower</v>
      </c>
      <c r="C4695" s="1" t="s">
        <v>90</v>
      </c>
      <c r="D4695" s="1" t="s">
        <v>41</v>
      </c>
      <c r="E4695" s="3">
        <v>7250000</v>
      </c>
      <c r="F4695" s="1">
        <v>2098.4081041968102</v>
      </c>
      <c r="G4695" s="1">
        <v>6</v>
      </c>
      <c r="H4695" s="1">
        <v>4</v>
      </c>
      <c r="I4695" s="1">
        <v>4</v>
      </c>
      <c r="J4695" s="1">
        <v>3.5</v>
      </c>
      <c r="K4695" s="1">
        <v>3</v>
      </c>
      <c r="L4695" s="1">
        <v>1</v>
      </c>
      <c r="M4695" s="4">
        <v>3455</v>
      </c>
      <c r="N4695" s="1">
        <v>4616</v>
      </c>
      <c r="O4695" s="1">
        <v>10254</v>
      </c>
      <c r="P4695" s="1">
        <v>5638</v>
      </c>
      <c r="Q4695" s="1" t="s">
        <v>42</v>
      </c>
      <c r="S4695" s="1" t="s">
        <v>42</v>
      </c>
      <c r="T4695" s="1" t="s">
        <v>273</v>
      </c>
      <c r="U4695" s="1">
        <v>624</v>
      </c>
      <c r="V4695" s="5">
        <v>44064</v>
      </c>
      <c r="W4695" s="5">
        <v>43102</v>
      </c>
      <c r="X4695" s="1">
        <v>11995000</v>
      </c>
      <c r="Y4695" s="1">
        <v>7995000</v>
      </c>
      <c r="Z4695" s="5">
        <v>43733</v>
      </c>
      <c r="AA4695" s="1">
        <v>7250000</v>
      </c>
      <c r="AB4695" s="1" t="s">
        <v>3316</v>
      </c>
      <c r="AC4695" s="5">
        <v>43784</v>
      </c>
      <c r="AF4695" s="1">
        <v>10019</v>
      </c>
      <c r="AI4695" s="1" t="s">
        <v>152</v>
      </c>
      <c r="AJ4695" s="1">
        <v>1930</v>
      </c>
      <c r="AK4695" s="1" t="s">
        <v>46</v>
      </c>
      <c r="AL4695" s="1">
        <v>51</v>
      </c>
    </row>
    <row r="4696" spans="1:38" x14ac:dyDescent="0.2">
      <c r="A4696" s="2" t="str">
        <f>HYPERLINK("https://www.compass.com/listing/285-west-110th-street-unit-4h-manhattan-ny-10026/4852275708828845153/","285 W 110th St, Unit 4H")</f>
        <v>285 W 110th St, Unit 4H</v>
      </c>
      <c r="B4696" s="2" t="str">
        <f t="shared" ref="B4696:B4697" si="792">HYPERLINK("https://www.compass.com/building/circa-central-park-manhattan-ny/282059072692321269/","Circa Central Park")</f>
        <v>Circa Central Park</v>
      </c>
      <c r="C4696" s="1" t="s">
        <v>85</v>
      </c>
      <c r="D4696" s="1" t="s">
        <v>41</v>
      </c>
      <c r="E4696" s="3">
        <v>3200000</v>
      </c>
      <c r="G4696" s="1">
        <v>5</v>
      </c>
      <c r="H4696" s="1">
        <v>3</v>
      </c>
      <c r="I4696" s="1">
        <v>3</v>
      </c>
      <c r="J4696" s="1">
        <v>3</v>
      </c>
      <c r="K4696" s="1">
        <v>3</v>
      </c>
      <c r="N4696" s="1">
        <v>1812.56</v>
      </c>
      <c r="O4696" s="1">
        <v>1991.1399999999901</v>
      </c>
      <c r="P4696" s="1">
        <v>178.583333333333</v>
      </c>
      <c r="Q4696" s="1" t="s">
        <v>42</v>
      </c>
      <c r="S4696" s="1" t="s">
        <v>42</v>
      </c>
      <c r="T4696" s="1" t="s">
        <v>273</v>
      </c>
      <c r="U4696" s="1">
        <v>3</v>
      </c>
      <c r="V4696" s="5">
        <v>43676</v>
      </c>
      <c r="W4696" s="5">
        <v>42987</v>
      </c>
      <c r="X4696" s="1">
        <v>3200000</v>
      </c>
      <c r="Y4696" s="1">
        <v>3200000</v>
      </c>
      <c r="AA4696" s="1">
        <v>3200000</v>
      </c>
      <c r="AB4696" s="1" t="s">
        <v>275</v>
      </c>
      <c r="AC4696" s="5">
        <v>42990</v>
      </c>
      <c r="AF4696" s="1">
        <v>10026</v>
      </c>
      <c r="AI4696" s="1" t="s">
        <v>118</v>
      </c>
      <c r="AJ4696" s="1">
        <v>2017</v>
      </c>
      <c r="AK4696" s="1" t="s">
        <v>46</v>
      </c>
      <c r="AL4696" s="1">
        <v>38</v>
      </c>
    </row>
    <row r="4697" spans="1:38" x14ac:dyDescent="0.2">
      <c r="A4697" s="2" t="str">
        <f>HYPERLINK("https://www.compass.com/listing/285-west-110th-street-unit-6f-manhattan-ny-10026/29514456073540273/","285 W 110th St, Unit 6F")</f>
        <v>285 W 110th St, Unit 6F</v>
      </c>
      <c r="B4697" s="2" t="str">
        <f t="shared" si="792"/>
        <v>Circa Central Park</v>
      </c>
      <c r="C4697" s="1" t="s">
        <v>85</v>
      </c>
      <c r="D4697" s="1" t="s">
        <v>41</v>
      </c>
      <c r="E4697" s="3">
        <v>3392200</v>
      </c>
      <c r="F4697" s="1">
        <v>2278.1732706514399</v>
      </c>
      <c r="G4697" s="1">
        <v>5</v>
      </c>
      <c r="H4697" s="1">
        <v>3</v>
      </c>
      <c r="I4697" s="1">
        <v>3</v>
      </c>
      <c r="J4697" s="1">
        <v>3</v>
      </c>
      <c r="K4697" s="1">
        <v>3</v>
      </c>
      <c r="M4697" s="4">
        <v>1489</v>
      </c>
      <c r="N4697" s="1">
        <v>1912.02</v>
      </c>
      <c r="O4697" s="1">
        <v>2099.5</v>
      </c>
      <c r="P4697" s="1">
        <v>187.5</v>
      </c>
      <c r="Q4697" s="1" t="s">
        <v>42</v>
      </c>
      <c r="S4697" s="1" t="s">
        <v>42</v>
      </c>
      <c r="T4697" s="1" t="s">
        <v>273</v>
      </c>
      <c r="U4697" s="1">
        <v>4</v>
      </c>
      <c r="V4697" s="5">
        <v>43654</v>
      </c>
      <c r="W4697" s="5">
        <v>43242</v>
      </c>
      <c r="X4697" s="1">
        <v>3425000</v>
      </c>
      <c r="Y4697" s="1">
        <v>3425000</v>
      </c>
      <c r="Z4697" s="5">
        <v>43246</v>
      </c>
      <c r="AA4697" s="1">
        <v>3392200</v>
      </c>
      <c r="AB4697" s="1" t="s">
        <v>275</v>
      </c>
      <c r="AC4697" s="5">
        <v>43300</v>
      </c>
      <c r="AF4697" s="1">
        <v>10026</v>
      </c>
      <c r="AI4697" s="1" t="s">
        <v>48</v>
      </c>
      <c r="AJ4697" s="1">
        <v>2017</v>
      </c>
      <c r="AK4697" s="1" t="s">
        <v>46</v>
      </c>
      <c r="AL4697" s="1">
        <v>38</v>
      </c>
    </row>
    <row r="4698" spans="1:38" x14ac:dyDescent="0.2">
      <c r="A4698" s="2" t="str">
        <f>HYPERLINK("https://www.compass.com/listing/416-west-52nd-street-unit-th220-manhattan-ny-10019/755981866053670049/","416 W 52nd St, Unit TH220")</f>
        <v>416 W 52nd St, Unit TH220</v>
      </c>
      <c r="B4698" s="2" t="str">
        <f>HYPERLINK("https://www.compass.com/building/nine52-manhattan-ny/281945622951555813/","Nine52")</f>
        <v>Nine52</v>
      </c>
      <c r="C4698" s="1" t="s">
        <v>90</v>
      </c>
      <c r="D4698" s="1" t="s">
        <v>41</v>
      </c>
      <c r="E4698" s="3">
        <v>16429397</v>
      </c>
      <c r="F4698" s="1">
        <v>9431.3414179104402</v>
      </c>
      <c r="H4698" s="1">
        <v>1</v>
      </c>
      <c r="J4698" s="1">
        <v>1.5</v>
      </c>
      <c r="K4698" s="1">
        <v>1</v>
      </c>
      <c r="L4698" s="1">
        <v>1</v>
      </c>
      <c r="M4698" s="4">
        <v>1742</v>
      </c>
      <c r="N4698" s="1">
        <v>1209</v>
      </c>
      <c r="O4698" s="1">
        <v>3286</v>
      </c>
      <c r="P4698" s="1">
        <v>2077</v>
      </c>
      <c r="Q4698" s="1" t="s">
        <v>42</v>
      </c>
      <c r="S4698" s="1" t="s">
        <v>42</v>
      </c>
      <c r="T4698" s="1" t="s">
        <v>273</v>
      </c>
      <c r="AA4698" s="1">
        <v>16429396.75</v>
      </c>
      <c r="AB4698" s="1" t="s">
        <v>3317</v>
      </c>
      <c r="AC4698" s="5">
        <v>44277</v>
      </c>
      <c r="AF4698" s="1">
        <v>10019</v>
      </c>
      <c r="AI4698" s="1" t="s">
        <v>48</v>
      </c>
      <c r="AJ4698" s="1">
        <v>1940</v>
      </c>
      <c r="AK4698" s="1" t="s">
        <v>55</v>
      </c>
      <c r="AL4698" s="1">
        <v>155</v>
      </c>
    </row>
    <row r="4699" spans="1:38" x14ac:dyDescent="0.2">
      <c r="A4699" s="2" t="str">
        <f>HYPERLINK("https://www.compass.com/listing/2231-adam-clayton-powell-jr-boulevard-unit-ph17-manhattan-ny-10027/4852308858476953889/","2231 Adam Clayton Powell Jr Blvd, Unit PH17")</f>
        <v>2231 Adam Clayton Powell Jr Blvd, Unit PH17</v>
      </c>
      <c r="B4699" s="2" t="str">
        <f t="shared" ref="B4699:B4700" si="793">HYPERLINK("https://www.compass.com/building/the-aurum-manhattan-ny/307451641162444869/","The Aurum")</f>
        <v>The Aurum</v>
      </c>
      <c r="C4699" s="1" t="s">
        <v>85</v>
      </c>
      <c r="D4699" s="1" t="s">
        <v>41</v>
      </c>
      <c r="E4699" s="3">
        <v>929000</v>
      </c>
      <c r="F4699" s="1">
        <v>1284.92392807745</v>
      </c>
      <c r="G4699" s="1">
        <v>3</v>
      </c>
      <c r="H4699" s="1">
        <v>1</v>
      </c>
      <c r="I4699" s="1">
        <v>1</v>
      </c>
      <c r="J4699" s="1">
        <v>1</v>
      </c>
      <c r="M4699" s="1">
        <v>723</v>
      </c>
      <c r="N4699" s="1">
        <v>690</v>
      </c>
      <c r="O4699" s="1">
        <v>818</v>
      </c>
      <c r="P4699" s="1">
        <v>128</v>
      </c>
      <c r="Q4699" s="1" t="s">
        <v>42</v>
      </c>
      <c r="S4699" s="1" t="s">
        <v>42</v>
      </c>
      <c r="T4699" s="1" t="s">
        <v>273</v>
      </c>
      <c r="U4699" s="1">
        <v>252</v>
      </c>
      <c r="V4699" s="5">
        <v>43668</v>
      </c>
      <c r="W4699" s="5">
        <v>42634</v>
      </c>
      <c r="X4699" s="1">
        <v>929000</v>
      </c>
      <c r="Y4699" s="1">
        <v>929000</v>
      </c>
      <c r="Z4699" s="5">
        <v>42886</v>
      </c>
      <c r="AA4699" s="1">
        <v>929000</v>
      </c>
      <c r="AB4699" s="1" t="s">
        <v>275</v>
      </c>
      <c r="AC4699" s="5">
        <v>42892</v>
      </c>
      <c r="AF4699" s="1">
        <v>10027</v>
      </c>
      <c r="AI4699" s="1" t="s">
        <v>133</v>
      </c>
      <c r="AJ4699" s="1">
        <v>2016</v>
      </c>
      <c r="AK4699" s="1" t="s">
        <v>108</v>
      </c>
      <c r="AL4699" s="1">
        <v>115</v>
      </c>
    </row>
    <row r="4700" spans="1:38" x14ac:dyDescent="0.2">
      <c r="A4700" s="2" t="str">
        <f>HYPERLINK("https://www.compass.com/listing/2231-adam-clayton-powell-jr-boulevard-unit-302-manhattan-ny-10027/4853137709041982865/","2231 Adam Clayton Powell Jr Blvd, Unit 302")</f>
        <v>2231 Adam Clayton Powell Jr Blvd, Unit 302</v>
      </c>
      <c r="B4700" s="2" t="str">
        <f t="shared" si="793"/>
        <v>The Aurum</v>
      </c>
      <c r="C4700" s="1" t="s">
        <v>85</v>
      </c>
      <c r="D4700" s="1" t="s">
        <v>41</v>
      </c>
      <c r="E4700" s="3">
        <v>887020</v>
      </c>
      <c r="F4700" s="1">
        <v>1061.02870813397</v>
      </c>
      <c r="G4700" s="1">
        <v>4</v>
      </c>
      <c r="H4700" s="1">
        <v>2</v>
      </c>
      <c r="I4700" s="1">
        <v>2</v>
      </c>
      <c r="J4700" s="1">
        <v>2</v>
      </c>
      <c r="M4700" s="1">
        <v>836</v>
      </c>
      <c r="N4700" s="1">
        <v>797</v>
      </c>
      <c r="O4700" s="1">
        <v>945</v>
      </c>
      <c r="P4700" s="1">
        <v>148</v>
      </c>
      <c r="Q4700" s="1" t="s">
        <v>42</v>
      </c>
      <c r="S4700" s="1" t="s">
        <v>42</v>
      </c>
      <c r="T4700" s="1" t="s">
        <v>273</v>
      </c>
      <c r="U4700" s="1">
        <v>21</v>
      </c>
      <c r="V4700" s="5">
        <v>43650</v>
      </c>
      <c r="W4700" s="5">
        <v>42865</v>
      </c>
      <c r="X4700" s="1">
        <v>879000</v>
      </c>
      <c r="Y4700" s="1">
        <v>879000</v>
      </c>
      <c r="Z4700" s="5">
        <v>42886</v>
      </c>
      <c r="AA4700" s="1">
        <v>887020</v>
      </c>
      <c r="AB4700" s="1" t="s">
        <v>275</v>
      </c>
      <c r="AC4700" s="5">
        <v>42924</v>
      </c>
      <c r="AF4700" s="1">
        <v>10027</v>
      </c>
      <c r="AI4700" s="1" t="s">
        <v>52</v>
      </c>
      <c r="AJ4700" s="1">
        <v>2016</v>
      </c>
      <c r="AK4700" s="1" t="s">
        <v>108</v>
      </c>
      <c r="AL4700" s="1">
        <v>115</v>
      </c>
    </row>
    <row r="4701" spans="1:38" x14ac:dyDescent="0.2">
      <c r="A4701" s="2" t="str">
        <f>HYPERLINK("https://www.compass.com/listing/456-west-167th-street-unit-7a-manhattan-ny-10032/29513639341852945/","456 W 167th St, Unit 7A")</f>
        <v>456 W 167th St, Unit 7A</v>
      </c>
      <c r="B4701" s="2" t="str">
        <f>HYPERLINK("https://www.compass.com/building/edgecombe-parc-manhattan-ny/282005897969005013/","Edgecombe Parc")</f>
        <v>Edgecombe Parc</v>
      </c>
      <c r="C4701" s="1" t="s">
        <v>93</v>
      </c>
      <c r="D4701" s="1" t="s">
        <v>41</v>
      </c>
      <c r="E4701" s="3">
        <v>825000</v>
      </c>
      <c r="F4701" s="1">
        <v>860.27111574556795</v>
      </c>
      <c r="G4701" s="1">
        <v>4</v>
      </c>
      <c r="H4701" s="1">
        <v>2</v>
      </c>
      <c r="I4701" s="1">
        <v>2</v>
      </c>
      <c r="J4701" s="1">
        <v>2</v>
      </c>
      <c r="M4701" s="1">
        <v>959</v>
      </c>
      <c r="N4701" s="1">
        <v>751</v>
      </c>
      <c r="O4701" s="1">
        <v>2001</v>
      </c>
      <c r="P4701" s="1">
        <v>1250</v>
      </c>
      <c r="Q4701" s="1" t="s">
        <v>42</v>
      </c>
      <c r="S4701" s="1" t="s">
        <v>42</v>
      </c>
      <c r="T4701" s="1" t="s">
        <v>273</v>
      </c>
      <c r="U4701" s="1">
        <v>27</v>
      </c>
      <c r="V4701" s="5">
        <v>43648</v>
      </c>
      <c r="W4701" s="5">
        <v>43168</v>
      </c>
      <c r="X4701" s="1">
        <v>850000</v>
      </c>
      <c r="Y4701" s="1">
        <v>850000</v>
      </c>
      <c r="Z4701" s="5">
        <v>43195</v>
      </c>
      <c r="AA4701" s="1">
        <v>825000</v>
      </c>
      <c r="AB4701" s="1" t="s">
        <v>3318</v>
      </c>
      <c r="AC4701" s="5">
        <v>43284</v>
      </c>
      <c r="AF4701" s="1">
        <v>10032</v>
      </c>
      <c r="AI4701" s="1" t="s">
        <v>61</v>
      </c>
      <c r="AJ4701" s="1">
        <v>2014</v>
      </c>
      <c r="AK4701" s="1" t="s">
        <v>175</v>
      </c>
      <c r="AL4701" s="1">
        <v>49</v>
      </c>
    </row>
    <row r="4702" spans="1:38" x14ac:dyDescent="0.2">
      <c r="A4702" s="2" t="str">
        <f>HYPERLINK("https://www.compass.com/listing/285-west-110th-street-unit-7f-manhattan-ny-10026/4852277766546008129/","285 W 110th St, Unit 7F")</f>
        <v>285 W 110th St, Unit 7F</v>
      </c>
      <c r="B4702" s="2" t="str">
        <f t="shared" ref="B4702:B4704" si="794">HYPERLINK("https://www.compass.com/building/circa-central-park-manhattan-ny/282059072692321269/","Circa Central Park")</f>
        <v>Circa Central Park</v>
      </c>
      <c r="C4702" s="1" t="s">
        <v>85</v>
      </c>
      <c r="D4702" s="1" t="s">
        <v>41</v>
      </c>
      <c r="E4702" s="3">
        <v>3309312</v>
      </c>
      <c r="F4702" s="1">
        <v>2222.5063801208798</v>
      </c>
      <c r="G4702" s="1">
        <v>4</v>
      </c>
      <c r="H4702" s="1">
        <v>3</v>
      </c>
      <c r="I4702" s="1">
        <v>3</v>
      </c>
      <c r="J4702" s="1">
        <v>3</v>
      </c>
      <c r="K4702" s="1">
        <v>3</v>
      </c>
      <c r="M4702" s="4">
        <v>1489</v>
      </c>
      <c r="N4702" s="1">
        <v>1951</v>
      </c>
      <c r="O4702" s="1">
        <v>2143</v>
      </c>
      <c r="P4702" s="1">
        <v>192</v>
      </c>
      <c r="Q4702" s="1" t="s">
        <v>42</v>
      </c>
      <c r="S4702" s="1" t="s">
        <v>42</v>
      </c>
      <c r="T4702" s="1" t="s">
        <v>273</v>
      </c>
      <c r="V4702" s="5">
        <v>43650</v>
      </c>
      <c r="W4702" s="5">
        <v>42649</v>
      </c>
      <c r="X4702" s="1">
        <v>3625000</v>
      </c>
      <c r="Y4702" s="1">
        <v>3625000</v>
      </c>
      <c r="Z4702" s="5">
        <v>42649</v>
      </c>
      <c r="AA4702" s="1">
        <v>3309312</v>
      </c>
      <c r="AB4702" s="1" t="s">
        <v>275</v>
      </c>
      <c r="AC4702" s="5">
        <v>42957</v>
      </c>
      <c r="AF4702" s="1">
        <v>10026</v>
      </c>
      <c r="AI4702" s="1" t="s">
        <v>48</v>
      </c>
      <c r="AJ4702" s="1">
        <v>2017</v>
      </c>
      <c r="AK4702" s="1" t="s">
        <v>46</v>
      </c>
      <c r="AL4702" s="1">
        <v>38</v>
      </c>
    </row>
    <row r="4703" spans="1:38" x14ac:dyDescent="0.2">
      <c r="A4703" s="2" t="str">
        <f>HYPERLINK("https://www.compass.com/listing/285-west-110th-street-unit-7a-manhattan-ny-10026/4852280186718137137/","285 W 110th St, Unit 7A")</f>
        <v>285 W 110th St, Unit 7A</v>
      </c>
      <c r="B4703" s="2" t="str">
        <f t="shared" si="794"/>
        <v>Circa Central Park</v>
      </c>
      <c r="C4703" s="1" t="s">
        <v>85</v>
      </c>
      <c r="D4703" s="1" t="s">
        <v>41</v>
      </c>
      <c r="E4703" s="3">
        <v>3390550</v>
      </c>
      <c r="F4703" s="1">
        <v>2150</v>
      </c>
      <c r="G4703" s="1">
        <v>4</v>
      </c>
      <c r="H4703" s="1">
        <v>3</v>
      </c>
      <c r="I4703" s="1">
        <v>3</v>
      </c>
      <c r="J4703" s="1">
        <v>3</v>
      </c>
      <c r="K4703" s="1">
        <v>3</v>
      </c>
      <c r="M4703" s="4">
        <v>1577</v>
      </c>
      <c r="N4703" s="1">
        <v>2116</v>
      </c>
      <c r="O4703" s="1">
        <v>2318</v>
      </c>
      <c r="P4703" s="1">
        <v>202</v>
      </c>
      <c r="Q4703" s="1" t="s">
        <v>42</v>
      </c>
      <c r="S4703" s="1" t="s">
        <v>42</v>
      </c>
      <c r="T4703" s="1" t="s">
        <v>273</v>
      </c>
      <c r="V4703" s="5">
        <v>43649</v>
      </c>
      <c r="W4703" s="5">
        <v>42649</v>
      </c>
      <c r="X4703" s="1">
        <v>3700000</v>
      </c>
      <c r="Y4703" s="1">
        <v>3700000</v>
      </c>
      <c r="Z4703" s="5">
        <v>42649</v>
      </c>
      <c r="AA4703" s="1">
        <v>3390550</v>
      </c>
      <c r="AB4703" s="1" t="s">
        <v>275</v>
      </c>
      <c r="AC4703" s="5">
        <v>42994</v>
      </c>
      <c r="AF4703" s="1">
        <v>10026</v>
      </c>
      <c r="AI4703" s="1" t="s">
        <v>48</v>
      </c>
      <c r="AJ4703" s="1">
        <v>2017</v>
      </c>
      <c r="AK4703" s="1" t="s">
        <v>46</v>
      </c>
      <c r="AL4703" s="1">
        <v>38</v>
      </c>
    </row>
    <row r="4704" spans="1:38" x14ac:dyDescent="0.2">
      <c r="A4704" s="2" t="str">
        <f>HYPERLINK("https://www.compass.com/listing/285-west-110th-street-unit-3h-manhattan-ny-10026/4852281715055409457/","285 W 110th St, Unit 3H")</f>
        <v>285 W 110th St, Unit 3H</v>
      </c>
      <c r="B4704" s="2" t="str">
        <f t="shared" si="794"/>
        <v>Circa Central Park</v>
      </c>
      <c r="C4704" s="1" t="s">
        <v>85</v>
      </c>
      <c r="D4704" s="1" t="s">
        <v>41</v>
      </c>
      <c r="E4704" s="3">
        <v>3049658</v>
      </c>
      <c r="F4704" s="1">
        <v>2048.1249160510401</v>
      </c>
      <c r="G4704" s="1">
        <v>5</v>
      </c>
      <c r="H4704" s="1">
        <v>3</v>
      </c>
      <c r="I4704" s="1">
        <v>3</v>
      </c>
      <c r="J4704" s="1">
        <v>3</v>
      </c>
      <c r="K4704" s="1">
        <v>3</v>
      </c>
      <c r="M4704" s="4">
        <v>1489</v>
      </c>
      <c r="N4704" s="1">
        <v>1766</v>
      </c>
      <c r="O4704" s="1">
        <v>1940</v>
      </c>
      <c r="P4704" s="1">
        <v>174</v>
      </c>
      <c r="Q4704" s="1" t="s">
        <v>42</v>
      </c>
      <c r="S4704" s="1" t="s">
        <v>42</v>
      </c>
      <c r="T4704" s="1" t="s">
        <v>273</v>
      </c>
      <c r="U4704" s="1">
        <v>282</v>
      </c>
      <c r="V4704" s="5">
        <v>43649</v>
      </c>
      <c r="W4704" s="5">
        <v>42649</v>
      </c>
      <c r="X4704" s="1">
        <v>2995000</v>
      </c>
      <c r="Y4704" s="1">
        <v>2995000</v>
      </c>
      <c r="Z4704" s="5">
        <v>42931</v>
      </c>
      <c r="AA4704" s="1">
        <v>3049658</v>
      </c>
      <c r="AB4704" s="1" t="s">
        <v>275</v>
      </c>
      <c r="AC4704" s="5">
        <v>43013</v>
      </c>
      <c r="AF4704" s="1">
        <v>10026</v>
      </c>
      <c r="AI4704" s="1" t="s">
        <v>48</v>
      </c>
      <c r="AJ4704" s="1">
        <v>2017</v>
      </c>
      <c r="AK4704" s="1" t="s">
        <v>46</v>
      </c>
      <c r="AL4704" s="1">
        <v>38</v>
      </c>
    </row>
    <row r="4705" spans="1:38" x14ac:dyDescent="0.2">
      <c r="A4705" s="2" t="str">
        <f>HYPERLINK("https://www.compass.com/listing/425-west-50th-street-unit-16d-manhattan-ny-10019/29389226705472241/","425 W 50th St, Unit 16D")</f>
        <v>425 W 50th St, Unit 16D</v>
      </c>
      <c r="B4705" s="2" t="str">
        <f>HYPERLINK("https://www.compass.com/building/stella-tower-manhattan-ny/281945855710262181/","Stella Tower")</f>
        <v>Stella Tower</v>
      </c>
      <c r="C4705" s="1" t="s">
        <v>90</v>
      </c>
      <c r="D4705" s="1" t="s">
        <v>41</v>
      </c>
      <c r="E4705" s="3">
        <v>5600375</v>
      </c>
      <c r="F4705" s="1">
        <v>2587.97365988909</v>
      </c>
      <c r="G4705" s="1">
        <v>5</v>
      </c>
      <c r="H4705" s="1">
        <v>3</v>
      </c>
      <c r="I4705" s="1">
        <v>4</v>
      </c>
      <c r="J4705" s="1">
        <v>3.5</v>
      </c>
      <c r="M4705" s="4">
        <v>2164</v>
      </c>
      <c r="N4705" s="1">
        <v>2459</v>
      </c>
      <c r="O4705" s="1">
        <v>3965</v>
      </c>
      <c r="P4705" s="1">
        <v>1506</v>
      </c>
      <c r="Q4705" s="1" t="s">
        <v>42</v>
      </c>
      <c r="S4705" s="1" t="s">
        <v>42</v>
      </c>
      <c r="T4705" s="1" t="s">
        <v>273</v>
      </c>
      <c r="U4705" s="1">
        <v>62</v>
      </c>
      <c r="V4705" s="5">
        <v>43634</v>
      </c>
      <c r="W4705" s="5">
        <v>42277</v>
      </c>
      <c r="X4705" s="1">
        <v>5800000</v>
      </c>
      <c r="Y4705" s="1">
        <v>5800000</v>
      </c>
      <c r="Z4705" s="5">
        <v>42339</v>
      </c>
      <c r="AA4705" s="1">
        <v>5600375</v>
      </c>
      <c r="AB4705" s="1" t="s">
        <v>3189</v>
      </c>
      <c r="AC4705" s="5">
        <v>42355</v>
      </c>
      <c r="AF4705" s="1">
        <v>10019</v>
      </c>
      <c r="AI4705" s="1" t="s">
        <v>80</v>
      </c>
      <c r="AJ4705" s="1">
        <v>1930</v>
      </c>
      <c r="AK4705" s="1" t="s">
        <v>46</v>
      </c>
      <c r="AL4705" s="1">
        <v>51</v>
      </c>
    </row>
    <row r="4706" spans="1:38" x14ac:dyDescent="0.2">
      <c r="A4706" s="2" t="str">
        <f>HYPERLINK("https://www.compass.com/listing/456-west-167th-street-unit-2a-manhattan-ny-10032/29435097409198113/","456 W 167th St, Unit 2A")</f>
        <v>456 W 167th St, Unit 2A</v>
      </c>
      <c r="B4706" s="2" t="str">
        <f>HYPERLINK("https://www.compass.com/building/edgecombe-parc-manhattan-ny/282005897969005013/","Edgecombe Parc")</f>
        <v>Edgecombe Parc</v>
      </c>
      <c r="C4706" s="1" t="s">
        <v>93</v>
      </c>
      <c r="D4706" s="1" t="s">
        <v>41</v>
      </c>
      <c r="E4706" s="3">
        <v>685000</v>
      </c>
      <c r="F4706" s="1">
        <v>723.33685322069698</v>
      </c>
      <c r="G4706" s="1">
        <v>5</v>
      </c>
      <c r="H4706" s="1">
        <v>2</v>
      </c>
      <c r="I4706" s="1">
        <v>2</v>
      </c>
      <c r="J4706" s="1">
        <v>2</v>
      </c>
      <c r="K4706" s="1">
        <v>2</v>
      </c>
      <c r="M4706" s="1">
        <v>947</v>
      </c>
      <c r="N4706" s="1">
        <v>401</v>
      </c>
      <c r="O4706" s="1">
        <v>837</v>
      </c>
      <c r="P4706" s="1">
        <v>436</v>
      </c>
      <c r="Q4706" s="1" t="s">
        <v>42</v>
      </c>
      <c r="S4706" s="1" t="s">
        <v>42</v>
      </c>
      <c r="T4706" s="1" t="s">
        <v>273</v>
      </c>
      <c r="U4706" s="1">
        <v>39</v>
      </c>
      <c r="V4706" s="5">
        <v>43741</v>
      </c>
      <c r="W4706" s="5">
        <v>42143</v>
      </c>
      <c r="X4706" s="1">
        <v>689000</v>
      </c>
      <c r="Y4706" s="1">
        <v>689000</v>
      </c>
      <c r="Z4706" s="5">
        <v>42182</v>
      </c>
      <c r="AA4706" s="1">
        <v>685000</v>
      </c>
      <c r="AB4706" s="1" t="s">
        <v>3319</v>
      </c>
      <c r="AC4706" s="5">
        <v>42209</v>
      </c>
      <c r="AF4706" s="1">
        <v>10032</v>
      </c>
      <c r="AI4706" s="1" t="s">
        <v>61</v>
      </c>
      <c r="AJ4706" s="1">
        <v>2014</v>
      </c>
      <c r="AK4706" s="1" t="s">
        <v>175</v>
      </c>
      <c r="AL4706" s="1">
        <v>49</v>
      </c>
    </row>
    <row r="4707" spans="1:38" x14ac:dyDescent="0.2">
      <c r="A4707" s="2" t="str">
        <f>HYPERLINK("https://www.compass.com/listing/2231-adam-clayton-powell-jr-boulevard-unit-ph2-manhattan-ny-10027/4853137742780971745/","2231 Adam Clayton Powell Jr Blvd, Unit PH2")</f>
        <v>2231 Adam Clayton Powell Jr Blvd, Unit PH2</v>
      </c>
      <c r="B4707" s="2" t="str">
        <f>HYPERLINK("https://www.compass.com/building/the-aurum-manhattan-ny/307451641162444869/","The Aurum")</f>
        <v>The Aurum</v>
      </c>
      <c r="C4707" s="1" t="s">
        <v>85</v>
      </c>
      <c r="D4707" s="1" t="s">
        <v>41</v>
      </c>
      <c r="E4707" s="3">
        <v>1225000</v>
      </c>
      <c r="F4707" s="1">
        <v>1168.8931297709901</v>
      </c>
      <c r="G4707" s="1">
        <v>5</v>
      </c>
      <c r="H4707" s="1">
        <v>3</v>
      </c>
      <c r="I4707" s="1">
        <v>2</v>
      </c>
      <c r="J4707" s="1">
        <v>2</v>
      </c>
      <c r="M4707" s="4">
        <v>1048</v>
      </c>
      <c r="N4707" s="1">
        <v>999</v>
      </c>
      <c r="O4707" s="1">
        <v>1185</v>
      </c>
      <c r="P4707" s="1">
        <v>186</v>
      </c>
      <c r="Q4707" s="1" t="s">
        <v>42</v>
      </c>
      <c r="S4707" s="1" t="s">
        <v>42</v>
      </c>
      <c r="T4707" s="1" t="s">
        <v>273</v>
      </c>
      <c r="U4707" s="1">
        <v>140</v>
      </c>
      <c r="V4707" s="5">
        <v>43665</v>
      </c>
      <c r="W4707" s="5">
        <v>42755</v>
      </c>
      <c r="X4707" s="1">
        <v>1287000</v>
      </c>
      <c r="Y4707" s="1">
        <v>1287000</v>
      </c>
      <c r="Z4707" s="5">
        <v>42895</v>
      </c>
      <c r="AA4707" s="1">
        <v>1225000</v>
      </c>
      <c r="AB4707" s="1" t="s">
        <v>275</v>
      </c>
      <c r="AC4707" s="5">
        <v>42930</v>
      </c>
      <c r="AF4707" s="1">
        <v>10027</v>
      </c>
      <c r="AI4707" s="1" t="s">
        <v>133</v>
      </c>
      <c r="AJ4707" s="1">
        <v>2016</v>
      </c>
      <c r="AK4707" s="1" t="s">
        <v>108</v>
      </c>
      <c r="AL4707" s="1">
        <v>115</v>
      </c>
    </row>
    <row r="4708" spans="1:38" x14ac:dyDescent="0.2">
      <c r="A4708" s="2" t="str">
        <f>HYPERLINK("https://www.compass.com/listing/456-west-167th-street-unit-5a-manhattan-ny-10032/29435107458750657/","456 W 167th St, Unit 5A")</f>
        <v>456 W 167th St, Unit 5A</v>
      </c>
      <c r="B4708" s="2" t="str">
        <f>HYPERLINK("https://www.compass.com/building/edgecombe-parc-manhattan-ny/282005897969005013/","Edgecombe Parc")</f>
        <v>Edgecombe Parc</v>
      </c>
      <c r="C4708" s="1" t="s">
        <v>93</v>
      </c>
      <c r="D4708" s="1" t="s">
        <v>41</v>
      </c>
      <c r="E4708" s="3">
        <v>600768</v>
      </c>
      <c r="F4708" s="1">
        <v>634.39070749736004</v>
      </c>
      <c r="G4708" s="1">
        <v>5</v>
      </c>
      <c r="H4708" s="1">
        <v>2</v>
      </c>
      <c r="I4708" s="1">
        <v>2</v>
      </c>
      <c r="J4708" s="1">
        <v>2</v>
      </c>
      <c r="K4708" s="1">
        <v>2</v>
      </c>
      <c r="M4708" s="1">
        <v>947</v>
      </c>
      <c r="N4708" s="1">
        <v>481</v>
      </c>
      <c r="O4708" s="1">
        <v>1004</v>
      </c>
      <c r="P4708" s="1">
        <v>523</v>
      </c>
      <c r="Q4708" s="1" t="s">
        <v>42</v>
      </c>
      <c r="S4708" s="1" t="s">
        <v>42</v>
      </c>
      <c r="T4708" s="1" t="s">
        <v>273</v>
      </c>
      <c r="U4708" s="1">
        <v>375</v>
      </c>
      <c r="V4708" s="5">
        <v>43740</v>
      </c>
      <c r="W4708" s="5">
        <v>41545</v>
      </c>
      <c r="X4708" s="1">
        <v>598000</v>
      </c>
      <c r="Y4708" s="1">
        <v>598000</v>
      </c>
      <c r="Z4708" s="5">
        <v>41920</v>
      </c>
      <c r="AA4708" s="1">
        <v>600768</v>
      </c>
      <c r="AB4708" s="1" t="s">
        <v>3320</v>
      </c>
      <c r="AC4708" s="5">
        <v>42040</v>
      </c>
      <c r="AF4708" s="1">
        <v>10032</v>
      </c>
      <c r="AI4708" s="1" t="s">
        <v>238</v>
      </c>
      <c r="AJ4708" s="1">
        <v>2014</v>
      </c>
      <c r="AK4708" s="1" t="s">
        <v>175</v>
      </c>
      <c r="AL4708" s="1">
        <v>49</v>
      </c>
    </row>
    <row r="4709" spans="1:38" x14ac:dyDescent="0.2">
      <c r="A4709" s="2" t="str">
        <f>HYPERLINK("https://www.compass.com/listing/425-west-50th-street-unit-15f-manhattan-ny-10019/29389223845014193/","425 W 50th St, Unit 15F")</f>
        <v>425 W 50th St, Unit 15F</v>
      </c>
      <c r="B4709" s="2" t="str">
        <f t="shared" ref="B4709:B4710" si="795">HYPERLINK("https://www.compass.com/building/stella-tower-manhattan-ny/281945855710262181/","Stella Tower")</f>
        <v>Stella Tower</v>
      </c>
      <c r="C4709" s="1" t="s">
        <v>90</v>
      </c>
      <c r="D4709" s="1" t="s">
        <v>41</v>
      </c>
      <c r="E4709" s="3">
        <v>5595284</v>
      </c>
      <c r="F4709" s="1">
        <v>2544.4673715325098</v>
      </c>
      <c r="G4709" s="1">
        <v>5</v>
      </c>
      <c r="H4709" s="1">
        <v>3</v>
      </c>
      <c r="I4709" s="1">
        <v>4</v>
      </c>
      <c r="J4709" s="1">
        <v>3.5</v>
      </c>
      <c r="M4709" s="4">
        <v>2199</v>
      </c>
      <c r="N4709" s="1">
        <v>2497</v>
      </c>
      <c r="O4709" s="1">
        <v>4026</v>
      </c>
      <c r="P4709" s="1">
        <v>1529</v>
      </c>
      <c r="Q4709" s="1" t="s">
        <v>42</v>
      </c>
      <c r="S4709" s="1" t="s">
        <v>42</v>
      </c>
      <c r="T4709" s="1" t="s">
        <v>273</v>
      </c>
      <c r="U4709" s="1">
        <v>452</v>
      </c>
      <c r="V4709" s="5">
        <v>42929</v>
      </c>
      <c r="W4709" s="5">
        <v>41800</v>
      </c>
      <c r="X4709" s="1">
        <v>5600000</v>
      </c>
      <c r="Y4709" s="1">
        <v>5750000</v>
      </c>
      <c r="AA4709" s="1">
        <v>5595283.75</v>
      </c>
      <c r="AB4709" s="1" t="s">
        <v>3144</v>
      </c>
      <c r="AC4709" s="5">
        <v>42327</v>
      </c>
      <c r="AF4709" s="1">
        <v>10019</v>
      </c>
      <c r="AI4709" s="1" t="s">
        <v>80</v>
      </c>
      <c r="AJ4709" s="1">
        <v>1930</v>
      </c>
      <c r="AK4709" s="1" t="s">
        <v>46</v>
      </c>
      <c r="AL4709" s="1">
        <v>51</v>
      </c>
    </row>
    <row r="4710" spans="1:38" x14ac:dyDescent="0.2">
      <c r="A4710" s="2" t="str">
        <f>HYPERLINK("https://www.compass.com/listing/425-west-50th-street-unit-15f-manhattan-ny-10019/29389223870180081/","425 W 50th St, Unit 15F")</f>
        <v>425 W 50th St, Unit 15F</v>
      </c>
      <c r="B4710" s="2" t="str">
        <f t="shared" si="795"/>
        <v>Stella Tower</v>
      </c>
      <c r="C4710" s="1" t="s">
        <v>90</v>
      </c>
      <c r="D4710" s="1" t="s">
        <v>41</v>
      </c>
      <c r="E4710" s="3">
        <v>4700000</v>
      </c>
      <c r="F4710" s="1">
        <v>2137.3351523419701</v>
      </c>
      <c r="G4710" s="1">
        <v>5</v>
      </c>
      <c r="H4710" s="1">
        <v>3</v>
      </c>
      <c r="I4710" s="1">
        <v>4</v>
      </c>
      <c r="J4710" s="1">
        <v>3.5</v>
      </c>
      <c r="M4710" s="4">
        <v>2199</v>
      </c>
      <c r="N4710" s="1">
        <v>2497</v>
      </c>
      <c r="O4710" s="1">
        <v>5307</v>
      </c>
      <c r="P4710" s="1">
        <v>2810</v>
      </c>
      <c r="Q4710" s="1" t="s">
        <v>42</v>
      </c>
      <c r="S4710" s="1" t="s">
        <v>42</v>
      </c>
      <c r="T4710" s="1" t="s">
        <v>273</v>
      </c>
      <c r="U4710" s="1">
        <v>339</v>
      </c>
      <c r="V4710" s="5">
        <v>43649</v>
      </c>
      <c r="W4710" s="5">
        <v>42739</v>
      </c>
      <c r="X4710" s="1">
        <v>5950000</v>
      </c>
      <c r="Y4710" s="1">
        <v>4995000</v>
      </c>
      <c r="Z4710" s="5">
        <v>43078</v>
      </c>
      <c r="AA4710" s="1">
        <v>4700000</v>
      </c>
      <c r="AB4710" s="1" t="s">
        <v>3209</v>
      </c>
      <c r="AC4710" s="5">
        <v>43111</v>
      </c>
      <c r="AF4710" s="1">
        <v>10019</v>
      </c>
      <c r="AI4710" s="1" t="s">
        <v>80</v>
      </c>
      <c r="AJ4710" s="1">
        <v>1930</v>
      </c>
      <c r="AK4710" s="1" t="s">
        <v>46</v>
      </c>
      <c r="AL4710" s="1">
        <v>51</v>
      </c>
    </row>
    <row r="4711" spans="1:38" x14ac:dyDescent="0.2">
      <c r="A4711" s="2" t="str">
        <f>HYPERLINK("https://www.compass.com/listing/16-west-40th-street-unit-17b-manhattan-ny-10018/29375082010775281/","16 W 40th St, Unit 17B")</f>
        <v>16 W 40th St, Unit 17B</v>
      </c>
      <c r="B4711" s="2" t="str">
        <f>HYPERLINK("https://www.compass.com/building/the-bryant-manhattan-ny/281942863485395813/","The Bryant")</f>
        <v>The Bryant</v>
      </c>
      <c r="C4711" s="1" t="s">
        <v>126</v>
      </c>
      <c r="D4711" s="1" t="s">
        <v>41</v>
      </c>
      <c r="E4711" s="3">
        <v>2685000</v>
      </c>
      <c r="F4711" s="1">
        <v>2500</v>
      </c>
      <c r="G4711" s="1">
        <v>3</v>
      </c>
      <c r="H4711" s="1">
        <v>1</v>
      </c>
      <c r="I4711" s="1">
        <v>1</v>
      </c>
      <c r="J4711" s="1">
        <v>1</v>
      </c>
      <c r="K4711" s="1">
        <v>1</v>
      </c>
      <c r="M4711" s="4">
        <v>1074</v>
      </c>
      <c r="N4711" s="1">
        <v>1850</v>
      </c>
      <c r="O4711" s="1">
        <v>3445</v>
      </c>
      <c r="P4711" s="1">
        <v>1595</v>
      </c>
      <c r="Q4711" s="1" t="s">
        <v>42</v>
      </c>
      <c r="S4711" s="1" t="s">
        <v>42</v>
      </c>
      <c r="T4711" s="1" t="s">
        <v>273</v>
      </c>
      <c r="U4711" s="1">
        <v>64</v>
      </c>
      <c r="V4711" s="5">
        <v>43631</v>
      </c>
      <c r="W4711" s="5">
        <v>42339</v>
      </c>
      <c r="X4711" s="1">
        <v>2685000</v>
      </c>
      <c r="Y4711" s="1">
        <v>2685000</v>
      </c>
      <c r="Z4711" s="5">
        <v>42403</v>
      </c>
      <c r="AA4711" s="1">
        <v>2685000</v>
      </c>
      <c r="AB4711" s="1" t="s">
        <v>3321</v>
      </c>
      <c r="AC4711" s="5">
        <v>43208</v>
      </c>
      <c r="AF4711" s="1">
        <v>10018</v>
      </c>
      <c r="AI4711" s="1" t="s">
        <v>58</v>
      </c>
      <c r="AJ4711" s="1">
        <v>2017</v>
      </c>
      <c r="AK4711" s="1" t="s">
        <v>46</v>
      </c>
      <c r="AL4711" s="1">
        <v>57</v>
      </c>
    </row>
    <row r="4712" spans="1:38" x14ac:dyDescent="0.2">
      <c r="A4712" s="2" t="str">
        <f>HYPERLINK("https://www.compass.com/listing/172-madison-avenue-unit-22b-manhattan-ny-10016/483801263738510185/","172 Madison Ave, Unit 22B")</f>
        <v>172 Madison Ave, Unit 22B</v>
      </c>
      <c r="B4712" s="2" t="str">
        <f>HYPERLINK("https://www.compass.com/building/172-madison-ave-manhattan-ny-10016/281937956250376981/","172 Madison Ave")</f>
        <v>172 Madison Ave</v>
      </c>
      <c r="C4712" s="1" t="s">
        <v>120</v>
      </c>
      <c r="D4712" s="1" t="s">
        <v>41</v>
      </c>
      <c r="E4712" s="3">
        <v>3073079</v>
      </c>
      <c r="F4712" s="1">
        <v>2082.0315040650398</v>
      </c>
      <c r="H4712" s="1">
        <v>2</v>
      </c>
      <c r="J4712" s="1">
        <v>2.5</v>
      </c>
      <c r="M4712" s="4">
        <v>1476</v>
      </c>
      <c r="N4712" s="1">
        <v>2204</v>
      </c>
      <c r="O4712" s="1">
        <v>3693</v>
      </c>
      <c r="P4712" s="1">
        <v>1489</v>
      </c>
      <c r="Q4712" s="1" t="s">
        <v>42</v>
      </c>
      <c r="S4712" s="1" t="s">
        <v>42</v>
      </c>
      <c r="T4712" s="1" t="s">
        <v>273</v>
      </c>
      <c r="AA4712" s="1">
        <v>3073078.5</v>
      </c>
      <c r="AB4712" s="1" t="s">
        <v>3322</v>
      </c>
      <c r="AC4712" s="5">
        <v>43185</v>
      </c>
      <c r="AF4712" s="1">
        <v>10016</v>
      </c>
      <c r="AJ4712" s="1">
        <v>2016</v>
      </c>
      <c r="AK4712" s="1" t="s">
        <v>49</v>
      </c>
      <c r="AL4712" s="1">
        <v>72</v>
      </c>
    </row>
    <row r="4713" spans="1:38" x14ac:dyDescent="0.2">
      <c r="A4713" s="2" t="str">
        <f>HYPERLINK("https://www.compass.com/listing/325-lexington-avenue-unit-29b-manhattan-ny-10016/29379736077673761/","325 Lexington Ave, Unit 29B")</f>
        <v>325 Lexington Ave, Unit 29B</v>
      </c>
      <c r="B4713" s="2" t="str">
        <f t="shared" ref="B4713:B4715" si="796">HYPERLINK("https://www.compass.com/building/325-lex-condominium-manhattan-ny/281939882467713365/","325 Lex Condominium")</f>
        <v>325 Lex Condominium</v>
      </c>
      <c r="C4713" s="1" t="s">
        <v>59</v>
      </c>
      <c r="D4713" s="1" t="s">
        <v>41</v>
      </c>
      <c r="E4713" s="3">
        <v>2100000</v>
      </c>
      <c r="F4713" s="1">
        <v>2071.00591715976</v>
      </c>
      <c r="G4713" s="1">
        <v>4</v>
      </c>
      <c r="H4713" s="1">
        <v>2</v>
      </c>
      <c r="I4713" s="1">
        <v>2</v>
      </c>
      <c r="J4713" s="1">
        <v>2</v>
      </c>
      <c r="K4713" s="1">
        <v>2</v>
      </c>
      <c r="M4713" s="4">
        <v>1014</v>
      </c>
      <c r="N4713" s="1">
        <v>1518</v>
      </c>
      <c r="O4713" s="1">
        <v>1849</v>
      </c>
      <c r="P4713" s="1">
        <v>331</v>
      </c>
      <c r="Q4713" s="1" t="s">
        <v>42</v>
      </c>
      <c r="S4713" s="1" t="s">
        <v>42</v>
      </c>
      <c r="T4713" s="1" t="s">
        <v>273</v>
      </c>
      <c r="U4713" s="1">
        <v>132</v>
      </c>
      <c r="V4713" s="5">
        <v>43654</v>
      </c>
      <c r="W4713" s="5">
        <v>41921</v>
      </c>
      <c r="X4713" s="1">
        <v>2100000</v>
      </c>
      <c r="Y4713" s="1">
        <v>2100000</v>
      </c>
      <c r="Z4713" s="5">
        <v>42053</v>
      </c>
      <c r="AA4713" s="1">
        <v>2100000</v>
      </c>
      <c r="AB4713" s="1" t="s">
        <v>3323</v>
      </c>
      <c r="AC4713" s="5">
        <v>42088</v>
      </c>
      <c r="AF4713" s="1">
        <v>10016</v>
      </c>
      <c r="AI4713" s="1" t="s">
        <v>60</v>
      </c>
      <c r="AJ4713" s="1">
        <v>2014</v>
      </c>
      <c r="AK4713" s="1" t="s">
        <v>108</v>
      </c>
      <c r="AL4713" s="1">
        <v>125</v>
      </c>
    </row>
    <row r="4714" spans="1:38" x14ac:dyDescent="0.2">
      <c r="A4714" s="2" t="str">
        <f>HYPERLINK("https://www.compass.com/listing/325-lexington-avenue-unit-30a-manhattan-ny-10016/29379736849431345/","325 Lexington Ave, Unit 30A")</f>
        <v>325 Lexington Ave, Unit 30A</v>
      </c>
      <c r="B4714" s="2" t="str">
        <f t="shared" si="796"/>
        <v>325 Lex Condominium</v>
      </c>
      <c r="C4714" s="1" t="s">
        <v>59</v>
      </c>
      <c r="D4714" s="1" t="s">
        <v>41</v>
      </c>
      <c r="E4714" s="3">
        <v>2800188</v>
      </c>
      <c r="F4714" s="1">
        <v>2536.4021739130399</v>
      </c>
      <c r="G4714" s="1">
        <v>4</v>
      </c>
      <c r="H4714" s="1">
        <v>2</v>
      </c>
      <c r="I4714" s="1">
        <v>2</v>
      </c>
      <c r="J4714" s="1">
        <v>2</v>
      </c>
      <c r="K4714" s="1">
        <v>2</v>
      </c>
      <c r="M4714" s="4">
        <v>1104</v>
      </c>
      <c r="N4714" s="1">
        <v>1654</v>
      </c>
      <c r="O4714" s="1">
        <v>2014</v>
      </c>
      <c r="P4714" s="1">
        <v>360</v>
      </c>
      <c r="Q4714" s="1" t="s">
        <v>42</v>
      </c>
      <c r="S4714" s="1" t="s">
        <v>42</v>
      </c>
      <c r="T4714" s="1" t="s">
        <v>273</v>
      </c>
      <c r="U4714" s="1">
        <v>46</v>
      </c>
      <c r="V4714" s="5">
        <v>43654</v>
      </c>
      <c r="W4714" s="5">
        <v>42055</v>
      </c>
      <c r="X4714" s="1">
        <v>2750000</v>
      </c>
      <c r="Y4714" s="1">
        <v>2750000</v>
      </c>
      <c r="Z4714" s="5">
        <v>42101</v>
      </c>
      <c r="AA4714" s="1">
        <v>2800188</v>
      </c>
      <c r="AB4714" s="1" t="s">
        <v>3324</v>
      </c>
      <c r="AC4714" s="5">
        <v>42117</v>
      </c>
      <c r="AF4714" s="1">
        <v>10016</v>
      </c>
      <c r="AI4714" s="1" t="s">
        <v>60</v>
      </c>
      <c r="AJ4714" s="1">
        <v>2014</v>
      </c>
      <c r="AK4714" s="1" t="s">
        <v>108</v>
      </c>
      <c r="AL4714" s="1">
        <v>125</v>
      </c>
    </row>
    <row r="4715" spans="1:38" x14ac:dyDescent="0.2">
      <c r="A4715" s="2" t="str">
        <f>HYPERLINK("https://www.compass.com/listing/325-lexington-avenue-unit-31a-manhattan-ny-10016/29379738090945345/","325 Lexington Ave, Unit 31A")</f>
        <v>325 Lexington Ave, Unit 31A</v>
      </c>
      <c r="B4715" s="2" t="str">
        <f t="shared" si="796"/>
        <v>325 Lex Condominium</v>
      </c>
      <c r="C4715" s="1" t="s">
        <v>59</v>
      </c>
      <c r="D4715" s="1" t="s">
        <v>41</v>
      </c>
      <c r="E4715" s="3">
        <v>3003838</v>
      </c>
      <c r="F4715" s="1">
        <v>2720.8677536231799</v>
      </c>
      <c r="G4715" s="1">
        <v>4</v>
      </c>
      <c r="H4715" s="1">
        <v>2</v>
      </c>
      <c r="I4715" s="1">
        <v>2</v>
      </c>
      <c r="J4715" s="1">
        <v>2</v>
      </c>
      <c r="K4715" s="1">
        <v>2</v>
      </c>
      <c r="M4715" s="4">
        <v>1104</v>
      </c>
      <c r="N4715" s="1">
        <v>1661</v>
      </c>
      <c r="O4715" s="1">
        <v>2022</v>
      </c>
      <c r="P4715" s="1">
        <v>361</v>
      </c>
      <c r="Q4715" s="1" t="s">
        <v>42</v>
      </c>
      <c r="S4715" s="1" t="s">
        <v>42</v>
      </c>
      <c r="T4715" s="1" t="s">
        <v>273</v>
      </c>
      <c r="U4715" s="1">
        <v>201</v>
      </c>
      <c r="V4715" s="5">
        <v>43650</v>
      </c>
      <c r="W4715" s="5">
        <v>42104</v>
      </c>
      <c r="X4715" s="1">
        <v>2950000</v>
      </c>
      <c r="Y4715" s="1">
        <v>2950000</v>
      </c>
      <c r="Z4715" s="5">
        <v>42305</v>
      </c>
      <c r="AA4715" s="1">
        <v>3003838</v>
      </c>
      <c r="AB4715" s="1" t="s">
        <v>3325</v>
      </c>
      <c r="AC4715" s="5">
        <v>42348</v>
      </c>
      <c r="AF4715" s="1">
        <v>10016</v>
      </c>
      <c r="AI4715" s="1" t="s">
        <v>60</v>
      </c>
      <c r="AJ4715" s="1">
        <v>2014</v>
      </c>
      <c r="AK4715" s="1" t="s">
        <v>108</v>
      </c>
      <c r="AL4715" s="1">
        <v>125</v>
      </c>
    </row>
    <row r="4716" spans="1:38" x14ac:dyDescent="0.2">
      <c r="A4716" s="2" t="str">
        <f>HYPERLINK("https://www.compass.com/listing/456-west-167th-street-unit-5d-manhattan-ny-10032/29435109119628321/","456 W 167th St, Unit 5D")</f>
        <v>456 W 167th St, Unit 5D</v>
      </c>
      <c r="B4716" s="2" t="str">
        <f>HYPERLINK("https://www.compass.com/building/edgecombe-parc-manhattan-ny/282005897969005013/","Edgecombe Parc")</f>
        <v>Edgecombe Parc</v>
      </c>
      <c r="C4716" s="1" t="s">
        <v>93</v>
      </c>
      <c r="D4716" s="1" t="s">
        <v>41</v>
      </c>
      <c r="E4716" s="3">
        <v>600000</v>
      </c>
      <c r="F4716" s="1">
        <v>824.175824175824</v>
      </c>
      <c r="G4716" s="1">
        <v>4</v>
      </c>
      <c r="H4716" s="1">
        <v>1</v>
      </c>
      <c r="I4716" s="1">
        <v>2</v>
      </c>
      <c r="J4716" s="1">
        <v>2</v>
      </c>
      <c r="M4716" s="1">
        <v>728</v>
      </c>
      <c r="N4716" s="1">
        <v>401</v>
      </c>
      <c r="O4716" s="1">
        <v>1084</v>
      </c>
      <c r="P4716" s="1">
        <v>683</v>
      </c>
      <c r="Q4716" s="1" t="s">
        <v>42</v>
      </c>
      <c r="S4716" s="1" t="s">
        <v>42</v>
      </c>
      <c r="T4716" s="1" t="s">
        <v>273</v>
      </c>
      <c r="U4716" s="1">
        <v>80</v>
      </c>
      <c r="V4716" s="5">
        <v>43680</v>
      </c>
      <c r="W4716" s="5">
        <v>42173</v>
      </c>
      <c r="X4716" s="1">
        <v>610000</v>
      </c>
      <c r="Y4716" s="1">
        <v>610000</v>
      </c>
      <c r="Z4716" s="5">
        <v>42253</v>
      </c>
      <c r="AA4716" s="1">
        <v>600000</v>
      </c>
      <c r="AB4716" s="1" t="s">
        <v>3326</v>
      </c>
      <c r="AC4716" s="5">
        <v>42304</v>
      </c>
      <c r="AF4716" s="1">
        <v>10032</v>
      </c>
      <c r="AI4716" s="1" t="s">
        <v>3327</v>
      </c>
      <c r="AJ4716" s="1">
        <v>2014</v>
      </c>
      <c r="AK4716" s="1" t="s">
        <v>175</v>
      </c>
      <c r="AL4716" s="1">
        <v>49</v>
      </c>
    </row>
    <row r="4717" spans="1:38" x14ac:dyDescent="0.2">
      <c r="A4717" s="2" t="str">
        <f>HYPERLINK("https://www.compass.com/listing/285-west-110th-street-unit-ph-manhattan-ny-10026/86692526337059297/","285 W 110th St, Unit PH")</f>
        <v>285 W 110th St, Unit PH</v>
      </c>
      <c r="B4717" s="2" t="str">
        <f>HYPERLINK("https://www.compass.com/building/circa-central-park-manhattan-ny/282059072692321269/","Circa Central Park")</f>
        <v>Circa Central Park</v>
      </c>
      <c r="C4717" s="1" t="s">
        <v>85</v>
      </c>
      <c r="D4717" s="1" t="s">
        <v>41</v>
      </c>
      <c r="E4717" s="3">
        <v>9453809</v>
      </c>
      <c r="F4717" s="1">
        <v>2531.8181574718801</v>
      </c>
      <c r="G4717" s="1">
        <v>7</v>
      </c>
      <c r="H4717" s="1">
        <v>5</v>
      </c>
      <c r="I4717" s="1">
        <v>4</v>
      </c>
      <c r="J4717" s="1">
        <v>3.5</v>
      </c>
      <c r="K4717" s="1">
        <v>3</v>
      </c>
      <c r="L4717" s="1">
        <v>1</v>
      </c>
      <c r="M4717" s="4">
        <v>3734</v>
      </c>
      <c r="N4717" s="1">
        <v>6587.68</v>
      </c>
      <c r="O4717" s="1">
        <v>7200.68</v>
      </c>
      <c r="P4717" s="1">
        <v>613</v>
      </c>
      <c r="Q4717" s="1" t="s">
        <v>42</v>
      </c>
      <c r="S4717" s="1" t="s">
        <v>42</v>
      </c>
      <c r="T4717" s="1" t="s">
        <v>273</v>
      </c>
      <c r="V4717" s="5">
        <v>43694</v>
      </c>
      <c r="W4717" s="5">
        <v>43372</v>
      </c>
      <c r="X4717" s="1">
        <v>9800000</v>
      </c>
      <c r="Y4717" s="1">
        <v>9800000</v>
      </c>
      <c r="Z4717" s="5">
        <v>43372</v>
      </c>
      <c r="AA4717" s="1">
        <v>9453809</v>
      </c>
      <c r="AB4717" s="1" t="s">
        <v>275</v>
      </c>
      <c r="AC4717" s="5">
        <v>43399</v>
      </c>
      <c r="AF4717" s="1">
        <v>10026</v>
      </c>
      <c r="AI4717" s="1" t="s">
        <v>3327</v>
      </c>
      <c r="AJ4717" s="1">
        <v>2017</v>
      </c>
      <c r="AK4717" s="1" t="s">
        <v>46</v>
      </c>
      <c r="AL4717" s="1">
        <v>38</v>
      </c>
    </row>
    <row r="4718" spans="1:38" x14ac:dyDescent="0.2">
      <c r="A4718" s="2" t="str">
        <f>HYPERLINK("https://www.compass.com/listing/16-west-40th-street-unit-16b-manhattan-ny-10018/29375081264190673/","16 W 40th St, Unit 16B")</f>
        <v>16 W 40th St, Unit 16B</v>
      </c>
      <c r="B4718" s="2" t="str">
        <f t="shared" ref="B4718:B4723" si="797">HYPERLINK("https://www.compass.com/building/the-bryant-manhattan-ny/281942863485395813/","The Bryant")</f>
        <v>The Bryant</v>
      </c>
      <c r="C4718" s="1" t="s">
        <v>126</v>
      </c>
      <c r="D4718" s="1" t="s">
        <v>41</v>
      </c>
      <c r="E4718" s="3">
        <v>2600000</v>
      </c>
      <c r="F4718" s="1">
        <v>2389.7058823529401</v>
      </c>
      <c r="G4718" s="1">
        <v>3</v>
      </c>
      <c r="H4718" s="1">
        <v>1</v>
      </c>
      <c r="I4718" s="1">
        <v>1</v>
      </c>
      <c r="J4718" s="1">
        <v>1</v>
      </c>
      <c r="K4718" s="1">
        <v>1</v>
      </c>
      <c r="M4718" s="4">
        <v>1088</v>
      </c>
      <c r="N4718" s="1">
        <v>1865</v>
      </c>
      <c r="O4718" s="1">
        <v>3473</v>
      </c>
      <c r="P4718" s="1">
        <v>1608</v>
      </c>
      <c r="Q4718" s="1" t="s">
        <v>42</v>
      </c>
      <c r="S4718" s="1" t="s">
        <v>42</v>
      </c>
      <c r="T4718" s="1" t="s">
        <v>273</v>
      </c>
      <c r="U4718" s="1">
        <v>2</v>
      </c>
      <c r="V4718" s="5">
        <v>43633</v>
      </c>
      <c r="W4718" s="5">
        <v>42446</v>
      </c>
      <c r="X4718" s="1">
        <v>2640000</v>
      </c>
      <c r="Y4718" s="1">
        <v>2640000</v>
      </c>
      <c r="Z4718" s="5">
        <v>42448</v>
      </c>
      <c r="AA4718" s="1">
        <v>2600000</v>
      </c>
      <c r="AB4718" s="1" t="s">
        <v>3328</v>
      </c>
      <c r="AC4718" s="5">
        <v>43032</v>
      </c>
      <c r="AF4718" s="1">
        <v>10018</v>
      </c>
      <c r="AI4718" s="1" t="s">
        <v>58</v>
      </c>
      <c r="AJ4718" s="1">
        <v>2017</v>
      </c>
      <c r="AK4718" s="1" t="s">
        <v>46</v>
      </c>
      <c r="AL4718" s="1">
        <v>57</v>
      </c>
    </row>
    <row r="4719" spans="1:38" x14ac:dyDescent="0.2">
      <c r="A4719" s="2" t="str">
        <f>HYPERLINK("https://www.compass.com/listing/16-west-40th-street-unit-19b-manhattan-ny-10018/29375084384751393/","16 W 40th St, Unit 19B")</f>
        <v>16 W 40th St, Unit 19B</v>
      </c>
      <c r="B4719" s="2" t="str">
        <f t="shared" si="797"/>
        <v>The Bryant</v>
      </c>
      <c r="C4719" s="1" t="s">
        <v>126</v>
      </c>
      <c r="D4719" s="1" t="s">
        <v>41</v>
      </c>
      <c r="E4719" s="3">
        <v>2700000</v>
      </c>
      <c r="F4719" s="1">
        <v>2513.9664804469198</v>
      </c>
      <c r="G4719" s="1">
        <v>3</v>
      </c>
      <c r="H4719" s="1">
        <v>1</v>
      </c>
      <c r="I4719" s="1">
        <v>1</v>
      </c>
      <c r="J4719" s="1">
        <v>1</v>
      </c>
      <c r="K4719" s="1">
        <v>1</v>
      </c>
      <c r="M4719" s="4">
        <v>1074</v>
      </c>
      <c r="N4719" s="1">
        <v>1869</v>
      </c>
      <c r="O4719" s="1">
        <v>3480</v>
      </c>
      <c r="P4719" s="1">
        <v>1611</v>
      </c>
      <c r="Q4719" s="1" t="s">
        <v>42</v>
      </c>
      <c r="S4719" s="1" t="s">
        <v>42</v>
      </c>
      <c r="T4719" s="1" t="s">
        <v>273</v>
      </c>
      <c r="V4719" s="5">
        <v>43633</v>
      </c>
      <c r="W4719" s="5">
        <v>42747</v>
      </c>
      <c r="X4719" s="1">
        <v>2785000</v>
      </c>
      <c r="Y4719" s="1">
        <v>2785000</v>
      </c>
      <c r="Z4719" s="5">
        <v>42747</v>
      </c>
      <c r="AA4719" s="1">
        <v>2700000</v>
      </c>
      <c r="AB4719" s="1" t="s">
        <v>3329</v>
      </c>
      <c r="AC4719" s="5">
        <v>43152</v>
      </c>
      <c r="AF4719" s="1">
        <v>10018</v>
      </c>
      <c r="AI4719" s="1" t="s">
        <v>3330</v>
      </c>
      <c r="AJ4719" s="1">
        <v>2017</v>
      </c>
      <c r="AK4719" s="1" t="s">
        <v>46</v>
      </c>
      <c r="AL4719" s="1">
        <v>57</v>
      </c>
    </row>
    <row r="4720" spans="1:38" x14ac:dyDescent="0.2">
      <c r="A4720" s="2" t="str">
        <f>HYPERLINK("https://www.compass.com/listing/16-west-40th-street-unit-20b-manhattan-ny-10018/29375085634654001/","16 W 40th St, Unit 20B")</f>
        <v>16 W 40th St, Unit 20B</v>
      </c>
      <c r="B4720" s="2" t="str">
        <f t="shared" si="797"/>
        <v>The Bryant</v>
      </c>
      <c r="C4720" s="1" t="s">
        <v>126</v>
      </c>
      <c r="D4720" s="1" t="s">
        <v>41</v>
      </c>
      <c r="E4720" s="3">
        <v>2729064</v>
      </c>
      <c r="F4720" s="1">
        <v>2541.0279329608902</v>
      </c>
      <c r="G4720" s="1">
        <v>3</v>
      </c>
      <c r="H4720" s="1">
        <v>1</v>
      </c>
      <c r="I4720" s="1">
        <v>1</v>
      </c>
      <c r="J4720" s="1">
        <v>1</v>
      </c>
      <c r="K4720" s="1">
        <v>1</v>
      </c>
      <c r="M4720" s="4">
        <v>1074</v>
      </c>
      <c r="N4720" s="1">
        <v>1878</v>
      </c>
      <c r="O4720" s="1">
        <v>3497</v>
      </c>
      <c r="P4720" s="1">
        <v>1619</v>
      </c>
      <c r="Q4720" s="1" t="s">
        <v>42</v>
      </c>
      <c r="S4720" s="1" t="s">
        <v>42</v>
      </c>
      <c r="T4720" s="1" t="s">
        <v>273</v>
      </c>
      <c r="V4720" s="5">
        <v>43633</v>
      </c>
      <c r="W4720" s="5">
        <v>42747</v>
      </c>
      <c r="X4720" s="1">
        <v>2830000</v>
      </c>
      <c r="Y4720" s="1">
        <v>2830000</v>
      </c>
      <c r="Z4720" s="5">
        <v>42747</v>
      </c>
      <c r="AA4720" s="1">
        <v>2729064</v>
      </c>
      <c r="AB4720" s="1" t="s">
        <v>3331</v>
      </c>
      <c r="AC4720" s="5">
        <v>43175</v>
      </c>
      <c r="AF4720" s="1">
        <v>10018</v>
      </c>
      <c r="AI4720" s="1" t="s">
        <v>58</v>
      </c>
      <c r="AJ4720" s="1">
        <v>2017</v>
      </c>
      <c r="AK4720" s="1" t="s">
        <v>46</v>
      </c>
      <c r="AL4720" s="1">
        <v>57</v>
      </c>
    </row>
    <row r="4721" spans="1:38" x14ac:dyDescent="0.2">
      <c r="A4721" s="2" t="str">
        <f>HYPERLINK("https://www.compass.com/listing/16-west-40th-street-unit-21b-manhattan-ny-10018/29375086440036161/","16 W 40th St, Unit 21B")</f>
        <v>16 W 40th St, Unit 21B</v>
      </c>
      <c r="B4721" s="2" t="str">
        <f t="shared" si="797"/>
        <v>The Bryant</v>
      </c>
      <c r="C4721" s="1" t="s">
        <v>126</v>
      </c>
      <c r="D4721" s="1" t="s">
        <v>41</v>
      </c>
      <c r="E4721" s="3">
        <v>2760000</v>
      </c>
      <c r="F4721" s="1">
        <v>2569.8324022346301</v>
      </c>
      <c r="G4721" s="1">
        <v>3</v>
      </c>
      <c r="H4721" s="1">
        <v>1</v>
      </c>
      <c r="I4721" s="1">
        <v>1</v>
      </c>
      <c r="J4721" s="1">
        <v>1</v>
      </c>
      <c r="K4721" s="1">
        <v>1</v>
      </c>
      <c r="M4721" s="4">
        <v>1074</v>
      </c>
      <c r="N4721" s="1">
        <v>1887</v>
      </c>
      <c r="O4721" s="1">
        <v>3513</v>
      </c>
      <c r="P4721" s="1">
        <v>1626</v>
      </c>
      <c r="Q4721" s="1" t="s">
        <v>42</v>
      </c>
      <c r="S4721" s="1" t="s">
        <v>42</v>
      </c>
      <c r="T4721" s="1" t="s">
        <v>273</v>
      </c>
      <c r="V4721" s="5">
        <v>43633</v>
      </c>
      <c r="W4721" s="5">
        <v>42747</v>
      </c>
      <c r="X4721" s="1">
        <v>2880000</v>
      </c>
      <c r="Y4721" s="1">
        <v>2880000</v>
      </c>
      <c r="Z4721" s="5">
        <v>42747</v>
      </c>
      <c r="AA4721" s="1">
        <v>2760000</v>
      </c>
      <c r="AB4721" s="1" t="s">
        <v>3332</v>
      </c>
      <c r="AC4721" s="5">
        <v>43273</v>
      </c>
      <c r="AF4721" s="1">
        <v>10018</v>
      </c>
      <c r="AI4721" s="1" t="s">
        <v>58</v>
      </c>
      <c r="AJ4721" s="1">
        <v>2017</v>
      </c>
      <c r="AK4721" s="1" t="s">
        <v>46</v>
      </c>
      <c r="AL4721" s="1">
        <v>57</v>
      </c>
    </row>
    <row r="4722" spans="1:38" x14ac:dyDescent="0.2">
      <c r="A4722" s="2" t="str">
        <f>HYPERLINK("https://www.compass.com/listing/16-west-40th-street-unit-22b-manhattan-ny-10018/29514376868396705/","16 W 40th St, Unit 22B")</f>
        <v>16 W 40th St, Unit 22B</v>
      </c>
      <c r="B4722" s="2" t="str">
        <f t="shared" si="797"/>
        <v>The Bryant</v>
      </c>
      <c r="C4722" s="1" t="s">
        <v>126</v>
      </c>
      <c r="D4722" s="1" t="s">
        <v>41</v>
      </c>
      <c r="E4722" s="3">
        <v>2798150</v>
      </c>
      <c r="F4722" s="1">
        <v>2605.3538175046501</v>
      </c>
      <c r="G4722" s="1">
        <v>3</v>
      </c>
      <c r="H4722" s="1">
        <v>1</v>
      </c>
      <c r="I4722" s="1">
        <v>1</v>
      </c>
      <c r="J4722" s="1">
        <v>1</v>
      </c>
      <c r="K4722" s="1">
        <v>1</v>
      </c>
      <c r="M4722" s="4">
        <v>1074</v>
      </c>
      <c r="N4722" s="1">
        <v>1896</v>
      </c>
      <c r="O4722" s="1">
        <v>3530</v>
      </c>
      <c r="P4722" s="1">
        <v>1634</v>
      </c>
      <c r="Q4722" s="1" t="s">
        <v>42</v>
      </c>
      <c r="S4722" s="1" t="s">
        <v>42</v>
      </c>
      <c r="T4722" s="1" t="s">
        <v>273</v>
      </c>
      <c r="U4722" s="1">
        <v>21</v>
      </c>
      <c r="V4722" s="5">
        <v>43650</v>
      </c>
      <c r="W4722" s="5">
        <v>43194</v>
      </c>
      <c r="X4722" s="1">
        <v>2930000</v>
      </c>
      <c r="Y4722" s="1">
        <v>2930000</v>
      </c>
      <c r="Z4722" s="5">
        <v>43215</v>
      </c>
      <c r="AA4722" s="1">
        <v>2798150</v>
      </c>
      <c r="AB4722" s="1" t="s">
        <v>3333</v>
      </c>
      <c r="AC4722" s="5">
        <v>43311</v>
      </c>
      <c r="AF4722" s="1">
        <v>10018</v>
      </c>
      <c r="AI4722" s="1" t="s">
        <v>58</v>
      </c>
      <c r="AJ4722" s="1">
        <v>2017</v>
      </c>
      <c r="AK4722" s="1" t="s">
        <v>46</v>
      </c>
      <c r="AL4722" s="1">
        <v>57</v>
      </c>
    </row>
    <row r="4723" spans="1:38" x14ac:dyDescent="0.2">
      <c r="A4723" s="2" t="str">
        <f>HYPERLINK("https://www.compass.com/listing/16-west-40th-street-unit-24d-manhattan-ny-10018/29514378663558881/","16 W 40th St, Unit 24D")</f>
        <v>16 W 40th St, Unit 24D</v>
      </c>
      <c r="B4723" s="2" t="str">
        <f t="shared" si="797"/>
        <v>The Bryant</v>
      </c>
      <c r="C4723" s="1" t="s">
        <v>126</v>
      </c>
      <c r="D4723" s="1" t="s">
        <v>41</v>
      </c>
      <c r="E4723" s="3">
        <v>2520169</v>
      </c>
      <c r="F4723" s="1">
        <v>2361.9203373945602</v>
      </c>
      <c r="G4723" s="1">
        <v>3</v>
      </c>
      <c r="H4723" s="1">
        <v>1</v>
      </c>
      <c r="I4723" s="1">
        <v>1</v>
      </c>
      <c r="J4723" s="1">
        <v>1</v>
      </c>
      <c r="K4723" s="1">
        <v>1</v>
      </c>
      <c r="M4723" s="4">
        <v>1067</v>
      </c>
      <c r="N4723" s="1">
        <v>1902</v>
      </c>
      <c r="O4723" s="1">
        <v>3541</v>
      </c>
      <c r="P4723" s="1">
        <v>1639</v>
      </c>
      <c r="Q4723" s="1" t="s">
        <v>42</v>
      </c>
      <c r="S4723" s="1" t="s">
        <v>42</v>
      </c>
      <c r="T4723" s="1" t="s">
        <v>273</v>
      </c>
      <c r="V4723" s="5">
        <v>43642</v>
      </c>
      <c r="W4723" s="5">
        <v>42889</v>
      </c>
      <c r="X4723" s="1">
        <v>2610000</v>
      </c>
      <c r="Y4723" s="1">
        <v>2610000</v>
      </c>
      <c r="Z4723" s="5">
        <v>42889</v>
      </c>
      <c r="AA4723" s="1">
        <v>2520169</v>
      </c>
      <c r="AB4723" s="1" t="s">
        <v>3334</v>
      </c>
      <c r="AC4723" s="5">
        <v>43477</v>
      </c>
      <c r="AF4723" s="1">
        <v>10018</v>
      </c>
      <c r="AI4723" s="1" t="s">
        <v>3335</v>
      </c>
      <c r="AJ4723" s="1">
        <v>2017</v>
      </c>
      <c r="AK4723" s="1" t="s">
        <v>46</v>
      </c>
      <c r="AL4723" s="1">
        <v>57</v>
      </c>
    </row>
    <row r="4724" spans="1:38" x14ac:dyDescent="0.2">
      <c r="A4724" s="2" t="str">
        <f>HYPERLINK("https://www.compass.com/listing/2231-adam-clayton-powell-jr-boulevard-unit-415-manhattan-ny-10027/192575558519973953/","2231 Adam Clayton Powell Jr Blvd, Unit 415")</f>
        <v>2231 Adam Clayton Powell Jr Blvd, Unit 415</v>
      </c>
      <c r="B4724" s="2" t="str">
        <f t="shared" ref="B4724:B4725" si="798">HYPERLINK("https://www.compass.com/building/the-aurum-manhattan-ny/307451641162444869/","The Aurum")</f>
        <v>The Aurum</v>
      </c>
      <c r="C4724" s="1" t="s">
        <v>85</v>
      </c>
      <c r="D4724" s="1" t="s">
        <v>41</v>
      </c>
      <c r="E4724" s="3">
        <v>953082</v>
      </c>
      <c r="F4724" s="1">
        <v>1037.0859630032601</v>
      </c>
      <c r="G4724" s="1">
        <v>4</v>
      </c>
      <c r="H4724" s="1">
        <v>2</v>
      </c>
      <c r="I4724" s="1">
        <v>2</v>
      </c>
      <c r="J4724" s="1">
        <v>2</v>
      </c>
      <c r="M4724" s="1">
        <v>919</v>
      </c>
      <c r="N4724" s="1">
        <v>989</v>
      </c>
      <c r="O4724" s="1">
        <v>1152</v>
      </c>
      <c r="P4724" s="1">
        <v>163</v>
      </c>
      <c r="Q4724" s="1" t="s">
        <v>42</v>
      </c>
      <c r="S4724" s="1" t="s">
        <v>42</v>
      </c>
      <c r="T4724" s="1" t="s">
        <v>273</v>
      </c>
      <c r="U4724" s="1">
        <v>56</v>
      </c>
      <c r="V4724" s="5">
        <v>43668</v>
      </c>
      <c r="W4724" s="5">
        <v>42487</v>
      </c>
      <c r="X4724" s="1">
        <v>936000</v>
      </c>
      <c r="Y4724" s="1">
        <v>936000</v>
      </c>
      <c r="Z4724" s="5">
        <v>42543</v>
      </c>
      <c r="AA4724" s="1">
        <v>953082</v>
      </c>
      <c r="AB4724" s="1" t="s">
        <v>275</v>
      </c>
      <c r="AC4724" s="5">
        <v>42740</v>
      </c>
      <c r="AF4724" s="1">
        <v>10027</v>
      </c>
      <c r="AI4724" s="1" t="s">
        <v>52</v>
      </c>
      <c r="AJ4724" s="1">
        <v>2016</v>
      </c>
      <c r="AK4724" s="1" t="s">
        <v>108</v>
      </c>
      <c r="AL4724" s="1">
        <v>115</v>
      </c>
    </row>
    <row r="4725" spans="1:38" x14ac:dyDescent="0.2">
      <c r="A4725" s="2" t="str">
        <f>HYPERLINK("https://www.compass.com/listing/2231-adam-clayton-powell-jr-boulevard-unit-315-manhattan-ny-10027/4853137690863866529/","2231 Adam Clayton Powell Jr Blvd, Unit 315")</f>
        <v>2231 Adam Clayton Powell Jr Blvd, Unit 315</v>
      </c>
      <c r="B4725" s="2" t="str">
        <f t="shared" si="798"/>
        <v>The Aurum</v>
      </c>
      <c r="C4725" s="1" t="s">
        <v>85</v>
      </c>
      <c r="D4725" s="1" t="s">
        <v>41</v>
      </c>
      <c r="E4725" s="3">
        <v>967750</v>
      </c>
      <c r="F4725" s="1">
        <v>1061.1293859649099</v>
      </c>
      <c r="G4725" s="1">
        <v>4</v>
      </c>
      <c r="H4725" s="1">
        <v>2</v>
      </c>
      <c r="I4725" s="1">
        <v>2</v>
      </c>
      <c r="J4725" s="1">
        <v>2</v>
      </c>
      <c r="M4725" s="1">
        <v>912</v>
      </c>
      <c r="N4725" s="1">
        <v>870</v>
      </c>
      <c r="O4725" s="1">
        <v>1032</v>
      </c>
      <c r="P4725" s="1">
        <v>162</v>
      </c>
      <c r="Q4725" s="1" t="s">
        <v>42</v>
      </c>
      <c r="S4725" s="1" t="s">
        <v>42</v>
      </c>
      <c r="T4725" s="1" t="s">
        <v>273</v>
      </c>
      <c r="U4725" s="1">
        <v>144</v>
      </c>
      <c r="V4725" s="5">
        <v>43649</v>
      </c>
      <c r="W4725" s="5">
        <v>42770</v>
      </c>
      <c r="X4725" s="1">
        <v>959000</v>
      </c>
      <c r="Y4725" s="1">
        <v>959000</v>
      </c>
      <c r="Z4725" s="5">
        <v>42914</v>
      </c>
      <c r="AA4725" s="1">
        <v>967750</v>
      </c>
      <c r="AB4725" s="1" t="s">
        <v>275</v>
      </c>
      <c r="AC4725" s="5">
        <v>42999</v>
      </c>
      <c r="AF4725" s="1">
        <v>10027</v>
      </c>
      <c r="AI4725" s="1" t="s">
        <v>52</v>
      </c>
      <c r="AJ4725" s="1">
        <v>2016</v>
      </c>
      <c r="AK4725" s="1" t="s">
        <v>108</v>
      </c>
      <c r="AL4725" s="1">
        <v>115</v>
      </c>
    </row>
    <row r="4726" spans="1:38" x14ac:dyDescent="0.2">
      <c r="A4726" s="2" t="str">
        <f>HYPERLINK("https://www.compass.com/listing/456-west-167th-street-unit-1d-manhattan-ny-10032/29435096620602193/","456 W 167th St, Unit 1D")</f>
        <v>456 W 167th St, Unit 1D</v>
      </c>
      <c r="B4726" s="2" t="str">
        <f t="shared" ref="B4726:B4731" si="799">HYPERLINK("https://www.compass.com/building/edgecombe-parc-manhattan-ny/282005897969005013/","Edgecombe Parc")</f>
        <v>Edgecombe Parc</v>
      </c>
      <c r="C4726" s="1" t="s">
        <v>93</v>
      </c>
      <c r="D4726" s="1" t="s">
        <v>41</v>
      </c>
      <c r="E4726" s="3">
        <v>527454</v>
      </c>
      <c r="F4726" s="1">
        <v>724.52472527472503</v>
      </c>
      <c r="G4726" s="1">
        <v>4</v>
      </c>
      <c r="H4726" s="1">
        <v>1</v>
      </c>
      <c r="I4726" s="1">
        <v>2</v>
      </c>
      <c r="J4726" s="1">
        <v>2</v>
      </c>
      <c r="K4726" s="1">
        <v>2</v>
      </c>
      <c r="M4726" s="1">
        <v>728</v>
      </c>
      <c r="N4726" s="1">
        <v>425</v>
      </c>
      <c r="O4726" s="1">
        <v>887</v>
      </c>
      <c r="P4726" s="1">
        <v>462</v>
      </c>
      <c r="Q4726" s="1" t="s">
        <v>42</v>
      </c>
      <c r="S4726" s="1" t="s">
        <v>42</v>
      </c>
      <c r="T4726" s="1" t="s">
        <v>273</v>
      </c>
      <c r="U4726" s="1">
        <v>45</v>
      </c>
      <c r="V4726" s="5">
        <v>43740</v>
      </c>
      <c r="W4726" s="5">
        <v>41846</v>
      </c>
      <c r="X4726" s="1">
        <v>528000</v>
      </c>
      <c r="Y4726" s="1">
        <v>528000</v>
      </c>
      <c r="Z4726" s="5">
        <v>41891</v>
      </c>
      <c r="AA4726" s="1">
        <v>527454</v>
      </c>
      <c r="AB4726" s="1" t="s">
        <v>3336</v>
      </c>
      <c r="AC4726" s="5">
        <v>41941</v>
      </c>
      <c r="AF4726" s="1">
        <v>10032</v>
      </c>
      <c r="AI4726" s="1" t="s">
        <v>179</v>
      </c>
      <c r="AJ4726" s="1">
        <v>2014</v>
      </c>
      <c r="AK4726" s="1" t="s">
        <v>175</v>
      </c>
      <c r="AL4726" s="1">
        <v>49</v>
      </c>
    </row>
    <row r="4727" spans="1:38" x14ac:dyDescent="0.2">
      <c r="A4727" s="2" t="str">
        <f>HYPERLINK("https://www.compass.com/listing/456-west-167th-street-unit-2a-manhattan-ny-10032/29435097400809489/","456 W 167th St, Unit 2A")</f>
        <v>456 W 167th St, Unit 2A</v>
      </c>
      <c r="B4727" s="2" t="str">
        <f t="shared" si="799"/>
        <v>Edgecombe Parc</v>
      </c>
      <c r="C4727" s="1" t="s">
        <v>93</v>
      </c>
      <c r="D4727" s="1" t="s">
        <v>41</v>
      </c>
      <c r="E4727" s="3">
        <v>558000</v>
      </c>
      <c r="F4727" s="1">
        <v>589.22914466736995</v>
      </c>
      <c r="G4727" s="1">
        <v>5</v>
      </c>
      <c r="H4727" s="1">
        <v>2</v>
      </c>
      <c r="I4727" s="1">
        <v>2</v>
      </c>
      <c r="J4727" s="1">
        <v>2</v>
      </c>
      <c r="K4727" s="1">
        <v>2</v>
      </c>
      <c r="M4727" s="1">
        <v>947</v>
      </c>
      <c r="N4727" s="1">
        <v>401</v>
      </c>
      <c r="O4727" s="1">
        <v>837</v>
      </c>
      <c r="P4727" s="1">
        <v>436</v>
      </c>
      <c r="Q4727" s="1" t="s">
        <v>42</v>
      </c>
      <c r="S4727" s="1" t="s">
        <v>42</v>
      </c>
      <c r="T4727" s="1" t="s">
        <v>273</v>
      </c>
      <c r="U4727" s="1">
        <v>82</v>
      </c>
      <c r="V4727" s="5">
        <v>43741</v>
      </c>
      <c r="W4727" s="5">
        <v>41615</v>
      </c>
      <c r="X4727" s="1">
        <v>568000</v>
      </c>
      <c r="Y4727" s="1">
        <v>568000</v>
      </c>
      <c r="Z4727" s="5">
        <v>41697</v>
      </c>
      <c r="AA4727" s="1">
        <v>558000</v>
      </c>
      <c r="AB4727" s="1" t="s">
        <v>3337</v>
      </c>
      <c r="AC4727" s="5">
        <v>41873</v>
      </c>
      <c r="AF4727" s="1">
        <v>10032</v>
      </c>
      <c r="AI4727" s="1" t="s">
        <v>48</v>
      </c>
      <c r="AJ4727" s="1">
        <v>2014</v>
      </c>
      <c r="AK4727" s="1" t="s">
        <v>175</v>
      </c>
      <c r="AL4727" s="1">
        <v>49</v>
      </c>
    </row>
    <row r="4728" spans="1:38" x14ac:dyDescent="0.2">
      <c r="A4728" s="2" t="str">
        <f>HYPERLINK("https://www.compass.com/listing/456-west-167th-street-unit-3b-manhattan-ny-10032/29435101075019873/","456 W 167th St, Unit 3B")</f>
        <v>456 W 167th St, Unit 3B</v>
      </c>
      <c r="B4728" s="2" t="str">
        <f t="shared" si="799"/>
        <v>Edgecombe Parc</v>
      </c>
      <c r="C4728" s="1" t="s">
        <v>93</v>
      </c>
      <c r="D4728" s="1" t="s">
        <v>41</v>
      </c>
      <c r="E4728" s="3">
        <v>529490</v>
      </c>
      <c r="F4728" s="1">
        <v>689.44010416666595</v>
      </c>
      <c r="G4728" s="1">
        <v>5</v>
      </c>
      <c r="H4728" s="1">
        <v>2</v>
      </c>
      <c r="I4728" s="1">
        <v>2</v>
      </c>
      <c r="J4728" s="1">
        <v>2</v>
      </c>
      <c r="K4728" s="1">
        <v>2</v>
      </c>
      <c r="M4728" s="1">
        <v>768</v>
      </c>
      <c r="N4728" s="1">
        <v>425</v>
      </c>
      <c r="O4728" s="1">
        <v>887</v>
      </c>
      <c r="P4728" s="1">
        <v>462</v>
      </c>
      <c r="Q4728" s="1" t="s">
        <v>42</v>
      </c>
      <c r="S4728" s="1" t="s">
        <v>42</v>
      </c>
      <c r="T4728" s="1" t="s">
        <v>273</v>
      </c>
      <c r="U4728" s="1">
        <v>27</v>
      </c>
      <c r="V4728" s="5">
        <v>43741</v>
      </c>
      <c r="W4728" s="5">
        <v>41615</v>
      </c>
      <c r="X4728" s="1">
        <v>528000</v>
      </c>
      <c r="Y4728" s="1">
        <v>528000</v>
      </c>
      <c r="Z4728" s="5">
        <v>41642</v>
      </c>
      <c r="AA4728" s="1">
        <v>529490</v>
      </c>
      <c r="AB4728" s="1" t="s">
        <v>3338</v>
      </c>
      <c r="AC4728" s="5">
        <v>41891</v>
      </c>
      <c r="AF4728" s="1">
        <v>10032</v>
      </c>
      <c r="AI4728" s="1" t="s">
        <v>1382</v>
      </c>
      <c r="AJ4728" s="1">
        <v>2014</v>
      </c>
      <c r="AK4728" s="1" t="s">
        <v>175</v>
      </c>
      <c r="AL4728" s="1">
        <v>49</v>
      </c>
    </row>
    <row r="4729" spans="1:38" x14ac:dyDescent="0.2">
      <c r="A4729" s="2" t="str">
        <f>HYPERLINK("https://www.compass.com/listing/456-west-167th-street-unit-4b-manhattan-ny-10032/29435103868359633/","456 W 167th St, Unit 4B")</f>
        <v>456 W 167th St, Unit 4B</v>
      </c>
      <c r="B4729" s="2" t="str">
        <f t="shared" si="799"/>
        <v>Edgecombe Parc</v>
      </c>
      <c r="C4729" s="1" t="s">
        <v>93</v>
      </c>
      <c r="D4729" s="1" t="s">
        <v>41</v>
      </c>
      <c r="E4729" s="3">
        <v>524399</v>
      </c>
      <c r="F4729" s="1">
        <v>682.81119791666595</v>
      </c>
      <c r="G4729" s="1">
        <v>5</v>
      </c>
      <c r="H4729" s="1">
        <v>2</v>
      </c>
      <c r="I4729" s="1">
        <v>2</v>
      </c>
      <c r="J4729" s="1">
        <v>2</v>
      </c>
      <c r="K4729" s="1">
        <v>2</v>
      </c>
      <c r="M4729" s="1">
        <v>768</v>
      </c>
      <c r="N4729" s="1">
        <v>425</v>
      </c>
      <c r="O4729" s="1">
        <v>887</v>
      </c>
      <c r="P4729" s="1">
        <v>462</v>
      </c>
      <c r="Q4729" s="1" t="s">
        <v>42</v>
      </c>
      <c r="S4729" s="1" t="s">
        <v>42</v>
      </c>
      <c r="T4729" s="1" t="s">
        <v>273</v>
      </c>
      <c r="V4729" s="5">
        <v>43741</v>
      </c>
      <c r="W4729" s="5">
        <v>41643</v>
      </c>
      <c r="X4729" s="1">
        <v>528000</v>
      </c>
      <c r="Y4729" s="1">
        <v>528000</v>
      </c>
      <c r="Z4729" s="5">
        <v>41643</v>
      </c>
      <c r="AA4729" s="1">
        <v>524399</v>
      </c>
      <c r="AB4729" s="1" t="s">
        <v>3339</v>
      </c>
      <c r="AC4729" s="5">
        <v>41886</v>
      </c>
      <c r="AF4729" s="1">
        <v>10032</v>
      </c>
      <c r="AI4729" s="1" t="s">
        <v>211</v>
      </c>
      <c r="AJ4729" s="1">
        <v>2014</v>
      </c>
      <c r="AK4729" s="1" t="s">
        <v>175</v>
      </c>
      <c r="AL4729" s="1">
        <v>49</v>
      </c>
    </row>
    <row r="4730" spans="1:38" x14ac:dyDescent="0.2">
      <c r="A4730" s="2" t="str">
        <f>HYPERLINK("https://www.compass.com/listing/456-west-167th-street-unit-5b-manhattan-ny-10032/29435107852948481/","456 W 167th St, Unit 5B")</f>
        <v>456 W 167th St, Unit 5B</v>
      </c>
      <c r="B4730" s="2" t="str">
        <f t="shared" si="799"/>
        <v>Edgecombe Parc</v>
      </c>
      <c r="C4730" s="1" t="s">
        <v>93</v>
      </c>
      <c r="D4730" s="1" t="s">
        <v>41</v>
      </c>
      <c r="E4730" s="3">
        <v>544764</v>
      </c>
      <c r="F4730" s="1">
        <v>709.328125</v>
      </c>
      <c r="G4730" s="1">
        <v>5</v>
      </c>
      <c r="H4730" s="1">
        <v>2</v>
      </c>
      <c r="I4730" s="1">
        <v>2</v>
      </c>
      <c r="J4730" s="1">
        <v>2</v>
      </c>
      <c r="K4730" s="1">
        <v>2</v>
      </c>
      <c r="M4730" s="1">
        <v>768</v>
      </c>
      <c r="N4730" s="1">
        <v>441</v>
      </c>
      <c r="O4730" s="1">
        <v>921</v>
      </c>
      <c r="P4730" s="1">
        <v>480</v>
      </c>
      <c r="Q4730" s="1" t="s">
        <v>42</v>
      </c>
      <c r="S4730" s="1" t="s">
        <v>42</v>
      </c>
      <c r="T4730" s="1" t="s">
        <v>273</v>
      </c>
      <c r="V4730" s="5">
        <v>43741</v>
      </c>
      <c r="W4730" s="5">
        <v>41643</v>
      </c>
      <c r="X4730" s="1">
        <v>548000</v>
      </c>
      <c r="Y4730" s="1">
        <v>548000</v>
      </c>
      <c r="Z4730" s="5">
        <v>41643</v>
      </c>
      <c r="AA4730" s="1">
        <v>544764</v>
      </c>
      <c r="AB4730" s="1" t="s">
        <v>3340</v>
      </c>
      <c r="AC4730" s="5">
        <v>41886</v>
      </c>
      <c r="AF4730" s="1">
        <v>10032</v>
      </c>
      <c r="AI4730" s="1" t="s">
        <v>211</v>
      </c>
      <c r="AJ4730" s="1">
        <v>2014</v>
      </c>
      <c r="AK4730" s="1" t="s">
        <v>175</v>
      </c>
      <c r="AL4730" s="1">
        <v>49</v>
      </c>
    </row>
    <row r="4731" spans="1:38" x14ac:dyDescent="0.2">
      <c r="A4731" s="2" t="str">
        <f>HYPERLINK("https://www.compass.com/listing/456-west-167th-street-unit-6b-manhattan-ny-10032/29435111015520513/","456 W 167th St, Unit 6B")</f>
        <v>456 W 167th St, Unit 6B</v>
      </c>
      <c r="B4731" s="2" t="str">
        <f t="shared" si="799"/>
        <v>Edgecombe Parc</v>
      </c>
      <c r="C4731" s="1" t="s">
        <v>93</v>
      </c>
      <c r="D4731" s="1" t="s">
        <v>41</v>
      </c>
      <c r="E4731" s="3">
        <v>568184</v>
      </c>
      <c r="F4731" s="1">
        <v>739.82291666666595</v>
      </c>
      <c r="G4731" s="1">
        <v>5</v>
      </c>
      <c r="H4731" s="1">
        <v>2</v>
      </c>
      <c r="I4731" s="1">
        <v>2</v>
      </c>
      <c r="J4731" s="1">
        <v>2</v>
      </c>
      <c r="K4731" s="1">
        <v>2</v>
      </c>
      <c r="M4731" s="1">
        <v>768</v>
      </c>
      <c r="N4731" s="1">
        <v>457</v>
      </c>
      <c r="O4731" s="1">
        <v>954</v>
      </c>
      <c r="P4731" s="1">
        <v>497</v>
      </c>
      <c r="Q4731" s="1" t="s">
        <v>42</v>
      </c>
      <c r="S4731" s="1" t="s">
        <v>42</v>
      </c>
      <c r="T4731" s="1" t="s">
        <v>273</v>
      </c>
      <c r="V4731" s="5">
        <v>43741</v>
      </c>
      <c r="W4731" s="5">
        <v>41616</v>
      </c>
      <c r="X4731" s="1">
        <v>528000</v>
      </c>
      <c r="Y4731" s="1">
        <v>568000</v>
      </c>
      <c r="Z4731" s="5">
        <v>41616</v>
      </c>
      <c r="AA4731" s="1">
        <v>568184</v>
      </c>
      <c r="AB4731" s="1" t="s">
        <v>3341</v>
      </c>
      <c r="AC4731" s="5">
        <v>41858</v>
      </c>
      <c r="AF4731" s="1">
        <v>10032</v>
      </c>
      <c r="AI4731" s="1" t="s">
        <v>61</v>
      </c>
      <c r="AJ4731" s="1">
        <v>2014</v>
      </c>
      <c r="AK4731" s="1" t="s">
        <v>175</v>
      </c>
      <c r="AL4731" s="1">
        <v>49</v>
      </c>
    </row>
    <row r="4732" spans="1:38" x14ac:dyDescent="0.2">
      <c r="A4732" s="2" t="str">
        <f>HYPERLINK("https://www.compass.com/listing/16-west-40th-street-unit-23b-manhattan-ny-10018/29375087169770785/","16 W 40th St, Unit 23B")</f>
        <v>16 W 40th St, Unit 23B</v>
      </c>
      <c r="B4732" s="2" t="str">
        <f>HYPERLINK("https://www.compass.com/building/the-bryant-manhattan-ny/281942863485395813/","The Bryant")</f>
        <v>The Bryant</v>
      </c>
      <c r="C4732" s="1" t="s">
        <v>126</v>
      </c>
      <c r="D4732" s="1" t="s">
        <v>41</v>
      </c>
      <c r="E4732" s="3">
        <v>2850000</v>
      </c>
      <c r="F4732" s="1">
        <v>2653.6312849162</v>
      </c>
      <c r="G4732" s="1">
        <v>3</v>
      </c>
      <c r="H4732" s="1">
        <v>1</v>
      </c>
      <c r="I4732" s="1">
        <v>1</v>
      </c>
      <c r="J4732" s="1">
        <v>1</v>
      </c>
      <c r="K4732" s="1">
        <v>1</v>
      </c>
      <c r="M4732" s="4">
        <v>1074</v>
      </c>
      <c r="N4732" s="1">
        <v>1905</v>
      </c>
      <c r="O4732" s="1">
        <v>3547</v>
      </c>
      <c r="P4732" s="1">
        <v>1642</v>
      </c>
      <c r="Q4732" s="1" t="s">
        <v>42</v>
      </c>
      <c r="S4732" s="1" t="s">
        <v>42</v>
      </c>
      <c r="T4732" s="1" t="s">
        <v>273</v>
      </c>
      <c r="U4732" s="1">
        <v>18</v>
      </c>
      <c r="V4732" s="5">
        <v>43633</v>
      </c>
      <c r="W4732" s="5">
        <v>43082</v>
      </c>
      <c r="X4732" s="1">
        <v>2980000</v>
      </c>
      <c r="Y4732" s="1">
        <v>2980000</v>
      </c>
      <c r="Z4732" s="5">
        <v>43100</v>
      </c>
      <c r="AA4732" s="1">
        <v>2850000</v>
      </c>
      <c r="AB4732" s="1" t="s">
        <v>3342</v>
      </c>
      <c r="AC4732" s="5">
        <v>43259</v>
      </c>
      <c r="AF4732" s="1">
        <v>10018</v>
      </c>
      <c r="AI4732" s="1" t="s">
        <v>254</v>
      </c>
      <c r="AJ4732" s="1">
        <v>2017</v>
      </c>
      <c r="AK4732" s="1" t="s">
        <v>46</v>
      </c>
      <c r="AL4732" s="1">
        <v>57</v>
      </c>
    </row>
    <row r="4733" spans="1:38" x14ac:dyDescent="0.2">
      <c r="A4733" s="2" t="str">
        <f>HYPERLINK("https://www.compass.com/listing/100-east-53rd-street-unit-9a-manhattan-ny-10022/455499685826862577/","100 E 53rd St, Unit 9A")</f>
        <v>100 E 53rd St, Unit 9A</v>
      </c>
      <c r="B4733" s="2" t="str">
        <f t="shared" ref="B4733:B4743" si="800">HYPERLINK("https://www.compass.com/building/100-east-53rd-street-manhattan-ny/281952230490310325/","100 East 53rd Street ")</f>
        <v xml:space="preserve">100 East 53rd Street </v>
      </c>
      <c r="C4733" s="1" t="s">
        <v>116</v>
      </c>
      <c r="D4733" s="1" t="s">
        <v>41</v>
      </c>
      <c r="E4733" s="3">
        <v>2500000</v>
      </c>
      <c r="F4733" s="1">
        <v>2192.9824561403502</v>
      </c>
      <c r="H4733" s="1">
        <v>1</v>
      </c>
      <c r="J4733" s="1">
        <v>1.5</v>
      </c>
      <c r="K4733" s="1">
        <v>1</v>
      </c>
      <c r="L4733" s="1">
        <v>1</v>
      </c>
      <c r="M4733" s="4">
        <v>1140</v>
      </c>
      <c r="N4733" s="1">
        <v>1898</v>
      </c>
      <c r="O4733" s="1">
        <v>3730</v>
      </c>
      <c r="P4733" s="1">
        <v>1832</v>
      </c>
      <c r="Q4733" s="1" t="s">
        <v>42</v>
      </c>
      <c r="S4733" s="1" t="s">
        <v>42</v>
      </c>
      <c r="T4733" s="1" t="s">
        <v>273</v>
      </c>
      <c r="AA4733" s="1">
        <v>2500000</v>
      </c>
      <c r="AB4733" s="1" t="s">
        <v>3343</v>
      </c>
      <c r="AC4733" s="5">
        <v>43469</v>
      </c>
      <c r="AF4733" s="1">
        <v>10022</v>
      </c>
      <c r="AJ4733" s="1">
        <v>2017</v>
      </c>
      <c r="AK4733" s="1" t="s">
        <v>49</v>
      </c>
      <c r="AL4733" s="1">
        <v>94</v>
      </c>
    </row>
    <row r="4734" spans="1:38" x14ac:dyDescent="0.2">
      <c r="A4734" s="2" t="str">
        <f>HYPERLINK("https://www.compass.com/listing/100-east-53rd-street-unit-12b-manhattan-ny-10022/455499688301891097/","100 E 53rd St, Unit 12B")</f>
        <v>100 E 53rd St, Unit 12B</v>
      </c>
      <c r="B4734" s="2" t="str">
        <f t="shared" si="800"/>
        <v xml:space="preserve">100 East 53rd Street </v>
      </c>
      <c r="C4734" s="1" t="s">
        <v>116</v>
      </c>
      <c r="D4734" s="1" t="s">
        <v>41</v>
      </c>
      <c r="E4734" s="3">
        <v>1927243</v>
      </c>
      <c r="F4734" s="1">
        <v>1863.8708897485401</v>
      </c>
      <c r="H4734" s="1" t="s">
        <v>99</v>
      </c>
      <c r="J4734" s="1">
        <v>1</v>
      </c>
      <c r="K4734" s="1">
        <v>1</v>
      </c>
      <c r="M4734" s="4">
        <v>1034</v>
      </c>
      <c r="N4734" s="1">
        <v>1721</v>
      </c>
      <c r="O4734" s="1">
        <v>3382</v>
      </c>
      <c r="P4734" s="1">
        <v>1661</v>
      </c>
      <c r="Q4734" s="1" t="s">
        <v>42</v>
      </c>
      <c r="S4734" s="1" t="s">
        <v>42</v>
      </c>
      <c r="T4734" s="1" t="s">
        <v>273</v>
      </c>
      <c r="AA4734" s="1">
        <v>1927242.5</v>
      </c>
      <c r="AB4734" s="1" t="s">
        <v>3344</v>
      </c>
      <c r="AC4734" s="5">
        <v>43495</v>
      </c>
      <c r="AF4734" s="1">
        <v>10022</v>
      </c>
      <c r="AJ4734" s="1">
        <v>2017</v>
      </c>
      <c r="AK4734" s="1" t="s">
        <v>49</v>
      </c>
      <c r="AL4734" s="1">
        <v>94</v>
      </c>
    </row>
    <row r="4735" spans="1:38" x14ac:dyDescent="0.2">
      <c r="A4735" s="2" t="str">
        <f>HYPERLINK("https://www.compass.com/listing/100-east-53rd-street-unit-16b-manhattan-ny-10022/455499691111819545/","100 E 53rd St, Unit 16B")</f>
        <v>100 E 53rd St, Unit 16B</v>
      </c>
      <c r="B4735" s="2" t="str">
        <f t="shared" si="800"/>
        <v xml:space="preserve">100 East 53rd Street </v>
      </c>
      <c r="C4735" s="1" t="s">
        <v>116</v>
      </c>
      <c r="D4735" s="1" t="s">
        <v>41</v>
      </c>
      <c r="E4735" s="3">
        <v>2120710</v>
      </c>
      <c r="F4735" s="1">
        <v>2050.97678916827</v>
      </c>
      <c r="H4735" s="1" t="s">
        <v>99</v>
      </c>
      <c r="J4735" s="1">
        <v>1</v>
      </c>
      <c r="K4735" s="1">
        <v>1</v>
      </c>
      <c r="M4735" s="4">
        <v>1034</v>
      </c>
      <c r="N4735" s="1">
        <v>1721</v>
      </c>
      <c r="O4735" s="1">
        <v>3382</v>
      </c>
      <c r="P4735" s="1">
        <v>1661</v>
      </c>
      <c r="Q4735" s="1" t="s">
        <v>42</v>
      </c>
      <c r="S4735" s="1" t="s">
        <v>42</v>
      </c>
      <c r="T4735" s="1" t="s">
        <v>273</v>
      </c>
      <c r="AA4735" s="1">
        <v>2120710</v>
      </c>
      <c r="AB4735" s="1" t="s">
        <v>3345</v>
      </c>
      <c r="AC4735" s="5">
        <v>43500</v>
      </c>
      <c r="AF4735" s="1">
        <v>10022</v>
      </c>
      <c r="AJ4735" s="1">
        <v>2017</v>
      </c>
      <c r="AK4735" s="1" t="s">
        <v>49</v>
      </c>
      <c r="AL4735" s="1">
        <v>94</v>
      </c>
    </row>
    <row r="4736" spans="1:38" x14ac:dyDescent="0.2">
      <c r="A4736" s="2" t="str">
        <f>HYPERLINK("https://www.compass.com/listing/100-east-53rd-street-unit-17b-manhattan-ny-10022/455499693813027705/","100 E 53rd St, Unit 17B")</f>
        <v>100 E 53rd St, Unit 17B</v>
      </c>
      <c r="B4736" s="2" t="str">
        <f t="shared" si="800"/>
        <v xml:space="preserve">100 East 53rd Street </v>
      </c>
      <c r="C4736" s="1" t="s">
        <v>116</v>
      </c>
      <c r="D4736" s="1" t="s">
        <v>41</v>
      </c>
      <c r="E4736" s="3">
        <v>2202170</v>
      </c>
      <c r="F4736" s="1">
        <v>2129.7582205028998</v>
      </c>
      <c r="H4736" s="1" t="s">
        <v>99</v>
      </c>
      <c r="J4736" s="1">
        <v>1</v>
      </c>
      <c r="M4736" s="4">
        <v>1034</v>
      </c>
      <c r="N4736" s="1">
        <v>1721</v>
      </c>
      <c r="O4736" s="1">
        <v>3382</v>
      </c>
      <c r="P4736" s="1">
        <v>1661</v>
      </c>
      <c r="Q4736" s="1" t="s">
        <v>42</v>
      </c>
      <c r="S4736" s="1" t="s">
        <v>42</v>
      </c>
      <c r="T4736" s="1" t="s">
        <v>273</v>
      </c>
      <c r="AA4736" s="1">
        <v>2202170</v>
      </c>
      <c r="AB4736" s="1" t="s">
        <v>3346</v>
      </c>
      <c r="AC4736" s="5">
        <v>43479</v>
      </c>
      <c r="AF4736" s="1">
        <v>10022</v>
      </c>
      <c r="AJ4736" s="1">
        <v>2017</v>
      </c>
      <c r="AK4736" s="1" t="s">
        <v>49</v>
      </c>
      <c r="AL4736" s="1">
        <v>94</v>
      </c>
    </row>
    <row r="4737" spans="1:38" x14ac:dyDescent="0.2">
      <c r="A4737" s="2" t="str">
        <f>HYPERLINK("https://www.compass.com/listing/100-east-53rd-street-unit-18b-manhattan-ny-10022/455499694995920393/","100 E 53rd St, Unit 18B")</f>
        <v>100 E 53rd St, Unit 18B</v>
      </c>
      <c r="B4737" s="2" t="str">
        <f t="shared" si="800"/>
        <v xml:space="preserve">100 East 53rd Street </v>
      </c>
      <c r="C4737" s="1" t="s">
        <v>116</v>
      </c>
      <c r="D4737" s="1" t="s">
        <v>41</v>
      </c>
      <c r="E4737" s="3">
        <v>2121913</v>
      </c>
      <c r="F4737" s="1">
        <v>2052.1397485493198</v>
      </c>
      <c r="H4737" s="1" t="s">
        <v>99</v>
      </c>
      <c r="J4737" s="1">
        <v>1</v>
      </c>
      <c r="M4737" s="4">
        <v>1034</v>
      </c>
      <c r="N4737" s="1">
        <v>1628</v>
      </c>
      <c r="O4737" s="1">
        <v>3566</v>
      </c>
      <c r="P4737" s="1">
        <v>1938</v>
      </c>
      <c r="Q4737" s="1" t="s">
        <v>42</v>
      </c>
      <c r="S4737" s="1" t="s">
        <v>42</v>
      </c>
      <c r="T4737" s="1" t="s">
        <v>273</v>
      </c>
      <c r="AA4737" s="1">
        <v>2121912.5</v>
      </c>
      <c r="AB4737" s="1" t="s">
        <v>3347</v>
      </c>
      <c r="AC4737" s="5">
        <v>43474</v>
      </c>
      <c r="AF4737" s="1">
        <v>10022</v>
      </c>
      <c r="AJ4737" s="1">
        <v>2017</v>
      </c>
      <c r="AK4737" s="1" t="s">
        <v>49</v>
      </c>
      <c r="AL4737" s="1">
        <v>94</v>
      </c>
    </row>
    <row r="4738" spans="1:38" x14ac:dyDescent="0.2">
      <c r="A4738" s="2" t="str">
        <f>HYPERLINK("https://www.compass.com/listing/100-east-53rd-street-unit-19b-manhattan-ny-10022/455499696044179121/","100 E 53rd St, Unit 19B")</f>
        <v>100 E 53rd St, Unit 19B</v>
      </c>
      <c r="B4738" s="2" t="str">
        <f t="shared" si="800"/>
        <v xml:space="preserve">100 East 53rd Street </v>
      </c>
      <c r="C4738" s="1" t="s">
        <v>116</v>
      </c>
      <c r="D4738" s="1" t="s">
        <v>41</v>
      </c>
      <c r="E4738" s="3">
        <v>2180787</v>
      </c>
      <c r="F4738" s="1">
        <v>2109.0780947775602</v>
      </c>
      <c r="H4738" s="1" t="s">
        <v>99</v>
      </c>
      <c r="J4738" s="1">
        <v>1</v>
      </c>
      <c r="K4738" s="1">
        <v>1</v>
      </c>
      <c r="M4738" s="4">
        <v>1034</v>
      </c>
      <c r="N4738" s="1">
        <v>1721</v>
      </c>
      <c r="O4738" s="1">
        <v>3382</v>
      </c>
      <c r="P4738" s="1">
        <v>1661</v>
      </c>
      <c r="Q4738" s="1" t="s">
        <v>42</v>
      </c>
      <c r="S4738" s="1" t="s">
        <v>42</v>
      </c>
      <c r="T4738" s="1" t="s">
        <v>273</v>
      </c>
      <c r="AA4738" s="1">
        <v>2180786.75</v>
      </c>
      <c r="AB4738" s="1" t="s">
        <v>3348</v>
      </c>
      <c r="AC4738" s="5">
        <v>43496</v>
      </c>
      <c r="AF4738" s="1">
        <v>10022</v>
      </c>
      <c r="AJ4738" s="1">
        <v>2017</v>
      </c>
      <c r="AK4738" s="1" t="s">
        <v>49</v>
      </c>
      <c r="AL4738" s="1">
        <v>94</v>
      </c>
    </row>
    <row r="4739" spans="1:38" x14ac:dyDescent="0.2">
      <c r="A4739" s="2" t="str">
        <f>HYPERLINK("https://www.compass.com/listing/100-east-53rd-street-unit-20b-manhattan-ny-10022/455499697117928961/","100 E 53rd St, Unit 20B")</f>
        <v>100 E 53rd St, Unit 20B</v>
      </c>
      <c r="B4739" s="2" t="str">
        <f t="shared" si="800"/>
        <v xml:space="preserve">100 East 53rd Street </v>
      </c>
      <c r="C4739" s="1" t="s">
        <v>116</v>
      </c>
      <c r="D4739" s="1" t="s">
        <v>41</v>
      </c>
      <c r="E4739" s="3">
        <v>2156349</v>
      </c>
      <c r="F4739" s="1">
        <v>2085.44366537717</v>
      </c>
      <c r="H4739" s="1" t="s">
        <v>99</v>
      </c>
      <c r="J4739" s="1">
        <v>1</v>
      </c>
      <c r="M4739" s="4">
        <v>1034</v>
      </c>
      <c r="N4739" s="1">
        <v>1721</v>
      </c>
      <c r="O4739" s="1">
        <v>3382</v>
      </c>
      <c r="P4739" s="1">
        <v>1661</v>
      </c>
      <c r="Q4739" s="1" t="s">
        <v>42</v>
      </c>
      <c r="S4739" s="1" t="s">
        <v>42</v>
      </c>
      <c r="T4739" s="1" t="s">
        <v>273</v>
      </c>
      <c r="AA4739" s="1">
        <v>2156348.75</v>
      </c>
      <c r="AB4739" s="1" t="s">
        <v>3349</v>
      </c>
      <c r="AC4739" s="5">
        <v>43489</v>
      </c>
      <c r="AF4739" s="1">
        <v>10022</v>
      </c>
      <c r="AJ4739" s="1">
        <v>2017</v>
      </c>
      <c r="AK4739" s="1" t="s">
        <v>49</v>
      </c>
      <c r="AL4739" s="1">
        <v>94</v>
      </c>
    </row>
    <row r="4740" spans="1:38" x14ac:dyDescent="0.2">
      <c r="A4740" s="2" t="str">
        <f>HYPERLINK("https://www.compass.com/listing/100-east-53rd-street-unit-25b-manhattan-ny-10022/455499698594646681/","100 E 53rd St, Unit 25B")</f>
        <v>100 E 53rd St, Unit 25B</v>
      </c>
      <c r="B4740" s="2" t="str">
        <f t="shared" si="800"/>
        <v xml:space="preserve">100 East 53rd Street </v>
      </c>
      <c r="C4740" s="1" t="s">
        <v>116</v>
      </c>
      <c r="D4740" s="1" t="s">
        <v>41</v>
      </c>
      <c r="E4740" s="3">
        <v>2701113</v>
      </c>
      <c r="F4740" s="1">
        <v>1964.44545454545</v>
      </c>
      <c r="H4740" s="1">
        <v>1</v>
      </c>
      <c r="J4740" s="1">
        <v>1.5</v>
      </c>
      <c r="K4740" s="1">
        <v>1</v>
      </c>
      <c r="L4740" s="1">
        <v>1</v>
      </c>
      <c r="M4740" s="4">
        <v>1375</v>
      </c>
      <c r="N4740" s="1">
        <v>2288.54</v>
      </c>
      <c r="O4740" s="1">
        <v>4480.05</v>
      </c>
      <c r="P4740" s="1">
        <v>2191.5</v>
      </c>
      <c r="Q4740" s="1" t="s">
        <v>42</v>
      </c>
      <c r="S4740" s="1" t="s">
        <v>42</v>
      </c>
      <c r="T4740" s="1" t="s">
        <v>273</v>
      </c>
      <c r="AA4740" s="1">
        <v>2701112.5</v>
      </c>
      <c r="AB4740" s="1" t="s">
        <v>3350</v>
      </c>
      <c r="AC4740" s="5">
        <v>43608</v>
      </c>
      <c r="AF4740" s="1">
        <v>10022</v>
      </c>
      <c r="AJ4740" s="1">
        <v>2017</v>
      </c>
      <c r="AK4740" s="1" t="s">
        <v>49</v>
      </c>
      <c r="AL4740" s="1">
        <v>94</v>
      </c>
    </row>
    <row r="4741" spans="1:38" x14ac:dyDescent="0.2">
      <c r="A4741" s="2" t="str">
        <f>HYPERLINK("https://www.compass.com/listing/100-east-53rd-street-unit-28b-manhattan-ny-10022/455499700616044001/","100 E 53rd St, Unit 28B")</f>
        <v>100 E 53rd St, Unit 28B</v>
      </c>
      <c r="B4741" s="2" t="str">
        <f t="shared" si="800"/>
        <v xml:space="preserve">100 East 53rd Street </v>
      </c>
      <c r="C4741" s="1" t="s">
        <v>116</v>
      </c>
      <c r="D4741" s="1" t="s">
        <v>41</v>
      </c>
      <c r="E4741" s="3">
        <v>2752025</v>
      </c>
      <c r="F4741" s="1">
        <v>2001.47272727272</v>
      </c>
      <c r="H4741" s="1">
        <v>1</v>
      </c>
      <c r="J4741" s="1">
        <v>1.5</v>
      </c>
      <c r="K4741" s="1">
        <v>1</v>
      </c>
      <c r="L4741" s="1">
        <v>1</v>
      </c>
      <c r="M4741" s="4">
        <v>1375</v>
      </c>
      <c r="N4741" s="1">
        <v>2209</v>
      </c>
      <c r="O4741" s="1">
        <v>4497</v>
      </c>
      <c r="P4741" s="1">
        <v>2288</v>
      </c>
      <c r="Q4741" s="1" t="s">
        <v>42</v>
      </c>
      <c r="S4741" s="1" t="s">
        <v>42</v>
      </c>
      <c r="T4741" s="1" t="s">
        <v>273</v>
      </c>
      <c r="AA4741" s="1">
        <v>2752025</v>
      </c>
      <c r="AB4741" s="1" t="s">
        <v>3351</v>
      </c>
      <c r="AC4741" s="5">
        <v>43591</v>
      </c>
      <c r="AF4741" s="1">
        <v>10022</v>
      </c>
      <c r="AJ4741" s="1">
        <v>2017</v>
      </c>
      <c r="AK4741" s="1" t="s">
        <v>49</v>
      </c>
      <c r="AL4741" s="1">
        <v>94</v>
      </c>
    </row>
    <row r="4742" spans="1:38" x14ac:dyDescent="0.2">
      <c r="A4742" s="2" t="str">
        <f>HYPERLINK("https://www.compass.com/listing/100-east-53rd-street-unit-21b-manhattan-ny-10022/465539715070934945/","100 E 53rd St, Unit 21B")</f>
        <v>100 E 53rd St, Unit 21B</v>
      </c>
      <c r="B4742" s="2" t="str">
        <f t="shared" si="800"/>
        <v xml:space="preserve">100 East 53rd Street </v>
      </c>
      <c r="C4742" s="1" t="s">
        <v>116</v>
      </c>
      <c r="D4742" s="1" t="s">
        <v>41</v>
      </c>
      <c r="E4742" s="3">
        <v>2318692</v>
      </c>
      <c r="F4742" s="1">
        <v>2242.44862669245</v>
      </c>
      <c r="H4742" s="1" t="s">
        <v>99</v>
      </c>
      <c r="J4742" s="1">
        <v>1</v>
      </c>
      <c r="K4742" s="1">
        <v>1</v>
      </c>
      <c r="M4742" s="4">
        <v>1034</v>
      </c>
      <c r="N4742" s="1">
        <v>1721</v>
      </c>
      <c r="O4742" s="1">
        <v>3382</v>
      </c>
      <c r="P4742" s="1">
        <v>1661</v>
      </c>
      <c r="Q4742" s="1" t="s">
        <v>42</v>
      </c>
      <c r="S4742" s="1" t="s">
        <v>42</v>
      </c>
      <c r="T4742" s="1" t="s">
        <v>273</v>
      </c>
      <c r="AA4742" s="1">
        <v>2318691.88</v>
      </c>
      <c r="AB4742" s="1" t="s">
        <v>3352</v>
      </c>
      <c r="AC4742" s="5">
        <v>43446</v>
      </c>
      <c r="AF4742" s="1">
        <v>10022</v>
      </c>
      <c r="AJ4742" s="1">
        <v>2017</v>
      </c>
      <c r="AK4742" s="1" t="s">
        <v>49</v>
      </c>
      <c r="AL4742" s="1">
        <v>94</v>
      </c>
    </row>
    <row r="4743" spans="1:38" x14ac:dyDescent="0.2">
      <c r="A4743" s="2" t="str">
        <f>HYPERLINK("https://www.compass.com/listing/100-east-53rd-street-unit-22b-manhattan-ny-10022/465539717157880273/","100 E 53rd St, Unit 22B")</f>
        <v>100 E 53rd St, Unit 22B</v>
      </c>
      <c r="B4743" s="2" t="str">
        <f t="shared" si="800"/>
        <v xml:space="preserve">100 East 53rd Street </v>
      </c>
      <c r="C4743" s="1" t="s">
        <v>116</v>
      </c>
      <c r="D4743" s="1" t="s">
        <v>41</v>
      </c>
      <c r="E4743" s="3">
        <v>2341975</v>
      </c>
      <c r="F4743" s="1">
        <v>2264.9661508703998</v>
      </c>
      <c r="H4743" s="1" t="s">
        <v>99</v>
      </c>
      <c r="J4743" s="1">
        <v>1</v>
      </c>
      <c r="K4743" s="1">
        <v>1</v>
      </c>
      <c r="M4743" s="4">
        <v>1034</v>
      </c>
      <c r="N4743" s="1">
        <v>1721</v>
      </c>
      <c r="O4743" s="1">
        <v>3382</v>
      </c>
      <c r="P4743" s="1">
        <v>1661</v>
      </c>
      <c r="Q4743" s="1" t="s">
        <v>42</v>
      </c>
      <c r="S4743" s="1" t="s">
        <v>42</v>
      </c>
      <c r="T4743" s="1" t="s">
        <v>273</v>
      </c>
      <c r="AA4743" s="1">
        <v>2341975</v>
      </c>
      <c r="AB4743" s="1" t="s">
        <v>3353</v>
      </c>
      <c r="AC4743" s="5">
        <v>43445</v>
      </c>
      <c r="AF4743" s="1">
        <v>10022</v>
      </c>
      <c r="AJ4743" s="1">
        <v>2017</v>
      </c>
      <c r="AK4743" s="1" t="s">
        <v>49</v>
      </c>
      <c r="AL4743" s="1">
        <v>94</v>
      </c>
    </row>
    <row r="4744" spans="1:38" x14ac:dyDescent="0.2">
      <c r="A4744" s="2" t="str">
        <f>HYPERLINK("https://www.compass.com/listing/456-west-167th-street-unit-2c-manhattan-ny-10032/29435098147392801/","456 W 167th St, Unit 2C")</f>
        <v>456 W 167th St, Unit 2C</v>
      </c>
      <c r="B4744" s="2" t="str">
        <f t="shared" ref="B4744:B4753" si="801">HYPERLINK("https://www.compass.com/building/edgecombe-parc-manhattan-ny/282005897969005013/","Edgecombe Parc")</f>
        <v>Edgecombe Parc</v>
      </c>
      <c r="C4744" s="1" t="s">
        <v>93</v>
      </c>
      <c r="D4744" s="1" t="s">
        <v>41</v>
      </c>
      <c r="E4744" s="3">
        <v>423852</v>
      </c>
      <c r="F4744" s="1">
        <v>639.29411764705799</v>
      </c>
      <c r="G4744" s="1">
        <v>3</v>
      </c>
      <c r="H4744" s="1">
        <v>1</v>
      </c>
      <c r="I4744" s="1">
        <v>1</v>
      </c>
      <c r="J4744" s="1">
        <v>1</v>
      </c>
      <c r="K4744" s="1">
        <v>1</v>
      </c>
      <c r="M4744" s="1">
        <v>663</v>
      </c>
      <c r="N4744" s="1">
        <v>345</v>
      </c>
      <c r="O4744" s="1">
        <v>720</v>
      </c>
      <c r="P4744" s="1">
        <v>375</v>
      </c>
      <c r="Q4744" s="1" t="s">
        <v>42</v>
      </c>
      <c r="S4744" s="1" t="s">
        <v>42</v>
      </c>
      <c r="T4744" s="1" t="s">
        <v>273</v>
      </c>
      <c r="U4744" s="1">
        <v>231</v>
      </c>
      <c r="V4744" s="5">
        <v>43741</v>
      </c>
      <c r="W4744" s="5">
        <v>41615</v>
      </c>
      <c r="X4744" s="1">
        <v>418000</v>
      </c>
      <c r="Y4744" s="1">
        <v>418000</v>
      </c>
      <c r="Z4744" s="5">
        <v>41846</v>
      </c>
      <c r="AA4744" s="1">
        <v>423852</v>
      </c>
      <c r="AB4744" s="1" t="s">
        <v>3354</v>
      </c>
      <c r="AC4744" s="5">
        <v>41864</v>
      </c>
      <c r="AF4744" s="1">
        <v>10032</v>
      </c>
      <c r="AI4744" s="1" t="s">
        <v>238</v>
      </c>
      <c r="AJ4744" s="1">
        <v>2014</v>
      </c>
      <c r="AK4744" s="1" t="s">
        <v>175</v>
      </c>
      <c r="AL4744" s="1">
        <v>49</v>
      </c>
    </row>
    <row r="4745" spans="1:38" x14ac:dyDescent="0.2">
      <c r="A4745" s="2" t="str">
        <f>HYPERLINK("https://www.compass.com/listing/456-west-167th-street-unit-2f-manhattan-ny-10032/29435099816728641/","456 W 167th St, Unit 2F")</f>
        <v>456 W 167th St, Unit 2F</v>
      </c>
      <c r="B4745" s="2" t="str">
        <f t="shared" si="801"/>
        <v>Edgecombe Parc</v>
      </c>
      <c r="C4745" s="1" t="s">
        <v>93</v>
      </c>
      <c r="D4745" s="1" t="s">
        <v>41</v>
      </c>
      <c r="E4745" s="3">
        <v>380250</v>
      </c>
      <c r="F4745" s="1">
        <v>681.45161290322505</v>
      </c>
      <c r="G4745" s="1">
        <v>3</v>
      </c>
      <c r="H4745" s="1">
        <v>1</v>
      </c>
      <c r="I4745" s="1">
        <v>1</v>
      </c>
      <c r="J4745" s="1">
        <v>1</v>
      </c>
      <c r="K4745" s="1">
        <v>1</v>
      </c>
      <c r="M4745" s="1">
        <v>558</v>
      </c>
      <c r="N4745" s="1">
        <v>302</v>
      </c>
      <c r="O4745" s="1">
        <v>630</v>
      </c>
      <c r="P4745" s="1">
        <v>328</v>
      </c>
      <c r="Q4745" s="1" t="s">
        <v>42</v>
      </c>
      <c r="S4745" s="1" t="s">
        <v>42</v>
      </c>
      <c r="T4745" s="1" t="s">
        <v>273</v>
      </c>
      <c r="U4745" s="1">
        <v>53</v>
      </c>
      <c r="V4745" s="5">
        <v>43741</v>
      </c>
      <c r="W4745" s="5">
        <v>41614</v>
      </c>
      <c r="X4745" s="1">
        <v>375000</v>
      </c>
      <c r="Y4745" s="1">
        <v>375000</v>
      </c>
      <c r="Z4745" s="5">
        <v>41668</v>
      </c>
      <c r="AA4745" s="1">
        <v>380250</v>
      </c>
      <c r="AB4745" s="1" t="s">
        <v>3355</v>
      </c>
      <c r="AC4745" s="5">
        <v>41856</v>
      </c>
      <c r="AF4745" s="1">
        <v>10032</v>
      </c>
      <c r="AI4745" s="1" t="s">
        <v>203</v>
      </c>
      <c r="AJ4745" s="1">
        <v>2014</v>
      </c>
      <c r="AK4745" s="1" t="s">
        <v>175</v>
      </c>
      <c r="AL4745" s="1">
        <v>49</v>
      </c>
    </row>
    <row r="4746" spans="1:38" x14ac:dyDescent="0.2">
      <c r="A4746" s="2" t="str">
        <f>HYPERLINK("https://www.compass.com/listing/456-west-167th-street-unit-3c-manhattan-ny-10032/29435101469217713/","456 W 167th St, Unit 3C")</f>
        <v>456 W 167th St, Unit 3C</v>
      </c>
      <c r="B4746" s="2" t="str">
        <f t="shared" si="801"/>
        <v>Edgecombe Parc</v>
      </c>
      <c r="C4746" s="1" t="s">
        <v>93</v>
      </c>
      <c r="D4746" s="1" t="s">
        <v>41</v>
      </c>
      <c r="E4746" s="3">
        <v>433992</v>
      </c>
      <c r="F4746" s="1">
        <v>654.588235294117</v>
      </c>
      <c r="G4746" s="1">
        <v>3</v>
      </c>
      <c r="H4746" s="1">
        <v>1</v>
      </c>
      <c r="I4746" s="1">
        <v>1</v>
      </c>
      <c r="J4746" s="1">
        <v>1</v>
      </c>
      <c r="K4746" s="1">
        <v>1</v>
      </c>
      <c r="M4746" s="1">
        <v>663</v>
      </c>
      <c r="N4746" s="1">
        <v>345</v>
      </c>
      <c r="O4746" s="1">
        <v>720</v>
      </c>
      <c r="P4746" s="1">
        <v>375</v>
      </c>
      <c r="Q4746" s="1" t="s">
        <v>42</v>
      </c>
      <c r="S4746" s="1" t="s">
        <v>42</v>
      </c>
      <c r="T4746" s="1" t="s">
        <v>273</v>
      </c>
      <c r="U4746" s="1">
        <v>161</v>
      </c>
      <c r="V4746" s="5">
        <v>43740</v>
      </c>
      <c r="W4746" s="5">
        <v>41642</v>
      </c>
      <c r="X4746" s="1">
        <v>428000</v>
      </c>
      <c r="Y4746" s="1">
        <v>428000</v>
      </c>
      <c r="Z4746" s="5">
        <v>41803</v>
      </c>
      <c r="AA4746" s="1">
        <v>433992</v>
      </c>
      <c r="AB4746" s="1" t="s">
        <v>3356</v>
      </c>
      <c r="AC4746" s="5">
        <v>41872</v>
      </c>
      <c r="AF4746" s="1">
        <v>10032</v>
      </c>
      <c r="AI4746" s="1" t="s">
        <v>238</v>
      </c>
      <c r="AJ4746" s="1">
        <v>2014</v>
      </c>
      <c r="AK4746" s="1" t="s">
        <v>175</v>
      </c>
      <c r="AL4746" s="1">
        <v>49</v>
      </c>
    </row>
    <row r="4747" spans="1:38" x14ac:dyDescent="0.2">
      <c r="A4747" s="2" t="str">
        <f>HYPERLINK("https://www.compass.com/listing/456-west-167th-street-unit-3f-manhattan-ny-10032/29435102551348161/","456 W 167th St, Unit 3F")</f>
        <v>456 W 167th St, Unit 3F</v>
      </c>
      <c r="B4747" s="2" t="str">
        <f t="shared" si="801"/>
        <v>Edgecombe Parc</v>
      </c>
      <c r="C4747" s="1" t="s">
        <v>93</v>
      </c>
      <c r="D4747" s="1" t="s">
        <v>41</v>
      </c>
      <c r="E4747" s="3">
        <v>385320</v>
      </c>
      <c r="F4747" s="1">
        <v>690.537634408602</v>
      </c>
      <c r="G4747" s="1">
        <v>3</v>
      </c>
      <c r="H4747" s="1">
        <v>1</v>
      </c>
      <c r="I4747" s="1">
        <v>1</v>
      </c>
      <c r="J4747" s="1">
        <v>1</v>
      </c>
      <c r="K4747" s="1">
        <v>1</v>
      </c>
      <c r="M4747" s="1">
        <v>558</v>
      </c>
      <c r="N4747" s="1">
        <v>310</v>
      </c>
      <c r="O4747" s="1">
        <v>647</v>
      </c>
      <c r="P4747" s="1">
        <v>337</v>
      </c>
      <c r="Q4747" s="1" t="s">
        <v>42</v>
      </c>
      <c r="S4747" s="1" t="s">
        <v>42</v>
      </c>
      <c r="T4747" s="1" t="s">
        <v>273</v>
      </c>
      <c r="U4747" s="1">
        <v>45</v>
      </c>
      <c r="V4747" s="5">
        <v>43740</v>
      </c>
      <c r="W4747" s="5">
        <v>41569</v>
      </c>
      <c r="X4747" s="1">
        <v>385000</v>
      </c>
      <c r="Y4747" s="1">
        <v>385000</v>
      </c>
      <c r="Z4747" s="5">
        <v>41642</v>
      </c>
      <c r="AA4747" s="1">
        <v>385320</v>
      </c>
      <c r="AB4747" s="1" t="s">
        <v>3357</v>
      </c>
      <c r="AC4747" s="5">
        <v>41898</v>
      </c>
      <c r="AF4747" s="1">
        <v>10032</v>
      </c>
      <c r="AI4747" s="1" t="s">
        <v>238</v>
      </c>
      <c r="AJ4747" s="1">
        <v>2014</v>
      </c>
      <c r="AK4747" s="1" t="s">
        <v>175</v>
      </c>
      <c r="AL4747" s="1">
        <v>49</v>
      </c>
    </row>
    <row r="4748" spans="1:38" x14ac:dyDescent="0.2">
      <c r="A4748" s="2" t="str">
        <f>HYPERLINK("https://www.compass.com/listing/456-west-167th-street-unit-4c-manhattan-ny-10032/29435104665344145/","456 W 167th St, Unit 4C")</f>
        <v>456 W 167th St, Unit 4C</v>
      </c>
      <c r="B4748" s="2" t="str">
        <f t="shared" si="801"/>
        <v>Edgecombe Parc</v>
      </c>
      <c r="C4748" s="1" t="s">
        <v>93</v>
      </c>
      <c r="D4748" s="1" t="s">
        <v>41</v>
      </c>
      <c r="E4748" s="3">
        <v>433992</v>
      </c>
      <c r="F4748" s="1">
        <v>654.588235294117</v>
      </c>
      <c r="G4748" s="1">
        <v>3</v>
      </c>
      <c r="H4748" s="1">
        <v>1</v>
      </c>
      <c r="I4748" s="1">
        <v>1</v>
      </c>
      <c r="J4748" s="1">
        <v>1</v>
      </c>
      <c r="K4748" s="1">
        <v>1</v>
      </c>
      <c r="M4748" s="1">
        <v>663</v>
      </c>
      <c r="N4748" s="1">
        <v>345</v>
      </c>
      <c r="O4748" s="1">
        <v>720</v>
      </c>
      <c r="P4748" s="1">
        <v>375</v>
      </c>
      <c r="Q4748" s="1" t="s">
        <v>42</v>
      </c>
      <c r="S4748" s="1" t="s">
        <v>42</v>
      </c>
      <c r="T4748" s="1" t="s">
        <v>273</v>
      </c>
      <c r="U4748" s="1">
        <v>188</v>
      </c>
      <c r="V4748" s="5">
        <v>43741</v>
      </c>
      <c r="W4748" s="5">
        <v>41615</v>
      </c>
      <c r="X4748" s="1">
        <v>428000</v>
      </c>
      <c r="Y4748" s="1">
        <v>428000</v>
      </c>
      <c r="Z4748" s="5">
        <v>41803</v>
      </c>
      <c r="AA4748" s="1">
        <v>433992</v>
      </c>
      <c r="AB4748" s="1" t="s">
        <v>3358</v>
      </c>
      <c r="AC4748" s="5">
        <v>41877</v>
      </c>
      <c r="AF4748" s="1">
        <v>10032</v>
      </c>
      <c r="AI4748" s="1" t="s">
        <v>1382</v>
      </c>
      <c r="AJ4748" s="1">
        <v>2014</v>
      </c>
      <c r="AK4748" s="1" t="s">
        <v>175</v>
      </c>
      <c r="AL4748" s="1">
        <v>49</v>
      </c>
    </row>
    <row r="4749" spans="1:38" x14ac:dyDescent="0.2">
      <c r="A4749" s="2" t="str">
        <f>HYPERLINK("https://www.compass.com/listing/456-west-167th-street-unit-4f-manhattan-ny-10032/29435105864915121/","456 W 167th St, Unit 4F")</f>
        <v>456 W 167th St, Unit 4F</v>
      </c>
      <c r="B4749" s="2" t="str">
        <f t="shared" si="801"/>
        <v>Edgecombe Parc</v>
      </c>
      <c r="C4749" s="1" t="s">
        <v>93</v>
      </c>
      <c r="D4749" s="1" t="s">
        <v>41</v>
      </c>
      <c r="E4749" s="3">
        <v>390390</v>
      </c>
      <c r="F4749" s="1">
        <v>699.62365591397804</v>
      </c>
      <c r="G4749" s="1">
        <v>3</v>
      </c>
      <c r="H4749" s="1">
        <v>1</v>
      </c>
      <c r="I4749" s="1">
        <v>1</v>
      </c>
      <c r="J4749" s="1">
        <v>1</v>
      </c>
      <c r="K4749" s="1">
        <v>1</v>
      </c>
      <c r="M4749" s="1">
        <v>558</v>
      </c>
      <c r="N4749" s="1">
        <v>310</v>
      </c>
      <c r="O4749" s="1">
        <v>647</v>
      </c>
      <c r="P4749" s="1">
        <v>337</v>
      </c>
      <c r="Q4749" s="1" t="s">
        <v>42</v>
      </c>
      <c r="S4749" s="1" t="s">
        <v>42</v>
      </c>
      <c r="T4749" s="1" t="s">
        <v>273</v>
      </c>
      <c r="V4749" s="5">
        <v>43741</v>
      </c>
      <c r="W4749" s="5">
        <v>41829</v>
      </c>
      <c r="X4749" s="1">
        <v>385000</v>
      </c>
      <c r="Y4749" s="1">
        <v>385000</v>
      </c>
      <c r="Z4749" s="5">
        <v>41829</v>
      </c>
      <c r="AA4749" s="1">
        <v>390390</v>
      </c>
      <c r="AB4749" s="1" t="s">
        <v>3359</v>
      </c>
      <c r="AC4749" s="5">
        <v>41870</v>
      </c>
      <c r="AF4749" s="1">
        <v>10032</v>
      </c>
      <c r="AI4749" s="1" t="s">
        <v>238</v>
      </c>
      <c r="AJ4749" s="1">
        <v>2014</v>
      </c>
      <c r="AK4749" s="1" t="s">
        <v>175</v>
      </c>
      <c r="AL4749" s="1">
        <v>49</v>
      </c>
    </row>
    <row r="4750" spans="1:38" x14ac:dyDescent="0.2">
      <c r="A4750" s="2" t="str">
        <f>HYPERLINK("https://www.compass.com/listing/456-west-167th-street-unit-5c-manhattan-ny-10032/29435108230499777/","456 W 167th St, Unit 5C")</f>
        <v>456 W 167th St, Unit 5C</v>
      </c>
      <c r="B4750" s="2" t="str">
        <f t="shared" si="801"/>
        <v>Edgecombe Parc</v>
      </c>
      <c r="C4750" s="1" t="s">
        <v>93</v>
      </c>
      <c r="D4750" s="1" t="s">
        <v>41</v>
      </c>
      <c r="E4750" s="3">
        <v>433992</v>
      </c>
      <c r="F4750" s="1">
        <v>654.588235294117</v>
      </c>
      <c r="G4750" s="1">
        <v>3</v>
      </c>
      <c r="H4750" s="1">
        <v>1</v>
      </c>
      <c r="I4750" s="1">
        <v>1</v>
      </c>
      <c r="J4750" s="1">
        <v>1</v>
      </c>
      <c r="K4750" s="1">
        <v>1</v>
      </c>
      <c r="M4750" s="1">
        <v>663</v>
      </c>
      <c r="N4750" s="1">
        <v>352</v>
      </c>
      <c r="O4750" s="1">
        <v>735</v>
      </c>
      <c r="P4750" s="1">
        <v>383</v>
      </c>
      <c r="Q4750" s="1" t="s">
        <v>42</v>
      </c>
      <c r="S4750" s="1" t="s">
        <v>42</v>
      </c>
      <c r="T4750" s="1" t="s">
        <v>273</v>
      </c>
      <c r="U4750" s="1">
        <v>53</v>
      </c>
      <c r="V4750" s="5">
        <v>43741</v>
      </c>
      <c r="W4750" s="5">
        <v>41699</v>
      </c>
      <c r="X4750" s="1">
        <v>438000</v>
      </c>
      <c r="Y4750" s="1">
        <v>438000</v>
      </c>
      <c r="Z4750" s="5">
        <v>41752</v>
      </c>
      <c r="AA4750" s="1">
        <v>433992</v>
      </c>
      <c r="AB4750" s="1" t="s">
        <v>3360</v>
      </c>
      <c r="AC4750" s="5">
        <v>41906</v>
      </c>
      <c r="AF4750" s="1">
        <v>10032</v>
      </c>
      <c r="AI4750" s="1" t="s">
        <v>211</v>
      </c>
      <c r="AJ4750" s="1">
        <v>2014</v>
      </c>
      <c r="AK4750" s="1" t="s">
        <v>175</v>
      </c>
      <c r="AL4750" s="1">
        <v>49</v>
      </c>
    </row>
    <row r="4751" spans="1:38" x14ac:dyDescent="0.2">
      <c r="A4751" s="2" t="str">
        <f>HYPERLINK("https://www.compass.com/listing/456-west-167th-street-unit-5f-manhattan-ny-10032/29435109941778673/","456 W 167th St, Unit 5F")</f>
        <v>456 W 167th St, Unit 5F</v>
      </c>
      <c r="B4751" s="2" t="str">
        <f t="shared" si="801"/>
        <v>Edgecombe Parc</v>
      </c>
      <c r="C4751" s="1" t="s">
        <v>93</v>
      </c>
      <c r="D4751" s="1" t="s">
        <v>41</v>
      </c>
      <c r="E4751" s="3">
        <v>400530</v>
      </c>
      <c r="F4751" s="1">
        <v>717.79569892473103</v>
      </c>
      <c r="G4751" s="1">
        <v>3</v>
      </c>
      <c r="H4751" s="1">
        <v>1</v>
      </c>
      <c r="I4751" s="1">
        <v>1</v>
      </c>
      <c r="J4751" s="1">
        <v>1</v>
      </c>
      <c r="K4751" s="1">
        <v>1</v>
      </c>
      <c r="M4751" s="1">
        <v>558</v>
      </c>
      <c r="N4751" s="1">
        <v>318</v>
      </c>
      <c r="O4751" s="1">
        <v>664</v>
      </c>
      <c r="P4751" s="1">
        <v>346</v>
      </c>
      <c r="Q4751" s="1" t="s">
        <v>42</v>
      </c>
      <c r="S4751" s="1" t="s">
        <v>42</v>
      </c>
      <c r="T4751" s="1" t="s">
        <v>273</v>
      </c>
      <c r="V4751" s="5">
        <v>43741</v>
      </c>
      <c r="W4751" s="5">
        <v>41643</v>
      </c>
      <c r="X4751" s="1">
        <v>395000</v>
      </c>
      <c r="Y4751" s="1">
        <v>395000</v>
      </c>
      <c r="Z4751" s="5">
        <v>41643</v>
      </c>
      <c r="AA4751" s="1">
        <v>400530</v>
      </c>
      <c r="AB4751" s="1" t="s">
        <v>3361</v>
      </c>
      <c r="AC4751" s="5">
        <v>41878</v>
      </c>
      <c r="AF4751" s="1">
        <v>10032</v>
      </c>
      <c r="AI4751" s="1" t="s">
        <v>211</v>
      </c>
      <c r="AJ4751" s="1">
        <v>2014</v>
      </c>
      <c r="AK4751" s="1" t="s">
        <v>175</v>
      </c>
      <c r="AL4751" s="1">
        <v>49</v>
      </c>
    </row>
    <row r="4752" spans="1:38" x14ac:dyDescent="0.2">
      <c r="A4752" s="2" t="str">
        <f>HYPERLINK("https://www.compass.com/listing/456-west-167th-street-unit-6c-manhattan-ny-10032/29435111468438593/","456 W 167th St, Unit 6C")</f>
        <v>456 W 167th St, Unit 6C</v>
      </c>
      <c r="B4752" s="2" t="str">
        <f t="shared" si="801"/>
        <v>Edgecombe Parc</v>
      </c>
      <c r="C4752" s="1" t="s">
        <v>93</v>
      </c>
      <c r="D4752" s="1" t="s">
        <v>41</v>
      </c>
      <c r="E4752" s="3">
        <v>446160</v>
      </c>
      <c r="F4752" s="1">
        <v>672.94117647058795</v>
      </c>
      <c r="G4752" s="1">
        <v>3</v>
      </c>
      <c r="H4752" s="1">
        <v>1</v>
      </c>
      <c r="I4752" s="1">
        <v>1</v>
      </c>
      <c r="J4752" s="1">
        <v>1</v>
      </c>
      <c r="K4752" s="1">
        <v>1</v>
      </c>
      <c r="M4752" s="1">
        <v>663</v>
      </c>
      <c r="N4752" s="1">
        <v>360</v>
      </c>
      <c r="O4752" s="1">
        <v>752</v>
      </c>
      <c r="P4752" s="1">
        <v>392</v>
      </c>
      <c r="Q4752" s="1" t="s">
        <v>42</v>
      </c>
      <c r="S4752" s="1" t="s">
        <v>42</v>
      </c>
      <c r="T4752" s="1" t="s">
        <v>273</v>
      </c>
      <c r="V4752" s="5">
        <v>43741</v>
      </c>
      <c r="W4752" s="5">
        <v>41829</v>
      </c>
      <c r="X4752" s="1">
        <v>448000</v>
      </c>
      <c r="Y4752" s="1">
        <v>448000</v>
      </c>
      <c r="Z4752" s="5">
        <v>41829</v>
      </c>
      <c r="AA4752" s="1">
        <v>446160</v>
      </c>
      <c r="AB4752" s="1" t="s">
        <v>3362</v>
      </c>
      <c r="AC4752" s="5">
        <v>41898</v>
      </c>
      <c r="AF4752" s="1">
        <v>10032</v>
      </c>
      <c r="AI4752" s="1" t="s">
        <v>238</v>
      </c>
      <c r="AJ4752" s="1">
        <v>2014</v>
      </c>
      <c r="AK4752" s="1" t="s">
        <v>175</v>
      </c>
      <c r="AL4752" s="1">
        <v>49</v>
      </c>
    </row>
    <row r="4753" spans="1:38" x14ac:dyDescent="0.2">
      <c r="A4753" s="2" t="str">
        <f>HYPERLINK("https://www.compass.com/listing/456-west-167th-street-unit-6f-manhattan-ny-10032/29435112970063377/","456 W 167th St, Unit 6F")</f>
        <v>456 W 167th St, Unit 6F</v>
      </c>
      <c r="B4753" s="2" t="str">
        <f t="shared" si="801"/>
        <v>Edgecombe Parc</v>
      </c>
      <c r="C4753" s="1" t="s">
        <v>93</v>
      </c>
      <c r="D4753" s="1" t="s">
        <v>41</v>
      </c>
      <c r="E4753" s="3">
        <v>420810</v>
      </c>
      <c r="F4753" s="1">
        <v>754.13978494623598</v>
      </c>
      <c r="G4753" s="1">
        <v>3</v>
      </c>
      <c r="H4753" s="1">
        <v>1</v>
      </c>
      <c r="I4753" s="1">
        <v>1</v>
      </c>
      <c r="J4753" s="1">
        <v>1</v>
      </c>
      <c r="K4753" s="1">
        <v>1</v>
      </c>
      <c r="M4753" s="1">
        <v>558</v>
      </c>
      <c r="N4753" s="1">
        <v>334</v>
      </c>
      <c r="O4753" s="1">
        <v>697</v>
      </c>
      <c r="P4753" s="1">
        <v>363</v>
      </c>
      <c r="Q4753" s="1" t="s">
        <v>42</v>
      </c>
      <c r="S4753" s="1" t="s">
        <v>42</v>
      </c>
      <c r="T4753" s="1" t="s">
        <v>273</v>
      </c>
      <c r="V4753" s="5">
        <v>43741</v>
      </c>
      <c r="W4753" s="5">
        <v>41643</v>
      </c>
      <c r="X4753" s="1">
        <v>415000</v>
      </c>
      <c r="Y4753" s="1">
        <v>415000</v>
      </c>
      <c r="Z4753" s="5">
        <v>41643</v>
      </c>
      <c r="AA4753" s="1">
        <v>420810</v>
      </c>
      <c r="AB4753" s="1" t="s">
        <v>3363</v>
      </c>
      <c r="AC4753" s="5">
        <v>41891</v>
      </c>
      <c r="AF4753" s="1">
        <v>10032</v>
      </c>
      <c r="AI4753" s="1" t="s">
        <v>211</v>
      </c>
      <c r="AJ4753" s="1">
        <v>2014</v>
      </c>
      <c r="AK4753" s="1" t="s">
        <v>175</v>
      </c>
      <c r="AL4753" s="1">
        <v>49</v>
      </c>
    </row>
    <row r="4754" spans="1:38" x14ac:dyDescent="0.2">
      <c r="A4754" s="2" t="str">
        <f>HYPERLINK("https://www.compass.com/listing/425-west-50th-street-unit-pha-manhattan-ny-10019/29389227552789153/","425 W 50th St, Unit PHA")</f>
        <v>425 W 50th St, Unit PHA</v>
      </c>
      <c r="B4754" s="2" t="str">
        <f t="shared" ref="B4754:B4757" si="802">HYPERLINK("https://www.compass.com/building/stella-tower-manhattan-ny/281945855710262181/","Stella Tower")</f>
        <v>Stella Tower</v>
      </c>
      <c r="C4754" s="1" t="s">
        <v>90</v>
      </c>
      <c r="D4754" s="1" t="s">
        <v>41</v>
      </c>
      <c r="E4754" s="3">
        <v>10185500</v>
      </c>
      <c r="F4754" s="1">
        <v>2832.4527252502699</v>
      </c>
      <c r="G4754" s="1">
        <v>6</v>
      </c>
      <c r="H4754" s="1">
        <v>3</v>
      </c>
      <c r="I4754" s="1">
        <v>4</v>
      </c>
      <c r="J4754" s="1">
        <v>3.5</v>
      </c>
      <c r="M4754" s="4">
        <v>3596</v>
      </c>
      <c r="N4754" s="1">
        <v>4358</v>
      </c>
      <c r="O4754" s="1">
        <v>8791</v>
      </c>
      <c r="P4754" s="1">
        <v>4433</v>
      </c>
      <c r="Q4754" s="1" t="s">
        <v>42</v>
      </c>
      <c r="S4754" s="1" t="s">
        <v>42</v>
      </c>
      <c r="T4754" s="1" t="s">
        <v>273</v>
      </c>
      <c r="U4754" s="1">
        <v>310</v>
      </c>
      <c r="V4754" s="5">
        <v>43682</v>
      </c>
      <c r="W4754" s="5">
        <v>42445</v>
      </c>
      <c r="X4754" s="1">
        <v>12995000</v>
      </c>
      <c r="Y4754" s="1">
        <v>11495000</v>
      </c>
      <c r="Z4754" s="5">
        <v>42755</v>
      </c>
      <c r="AA4754" s="1">
        <v>10185500</v>
      </c>
      <c r="AB4754" s="1" t="s">
        <v>3210</v>
      </c>
      <c r="AC4754" s="5">
        <v>42793</v>
      </c>
      <c r="AF4754" s="1">
        <v>10019</v>
      </c>
      <c r="AI4754" s="1" t="s">
        <v>319</v>
      </c>
      <c r="AJ4754" s="1">
        <v>1930</v>
      </c>
      <c r="AK4754" s="1" t="s">
        <v>49</v>
      </c>
      <c r="AL4754" s="1">
        <v>51</v>
      </c>
    </row>
    <row r="4755" spans="1:38" x14ac:dyDescent="0.2">
      <c r="A4755" s="2" t="str">
        <f>HYPERLINK("https://www.compass.com/listing/425-west-50th-street-unit-phb-manhattan-ny-10019/29389228156701489/","425 W 50th St, Unit PHB")</f>
        <v>425 W 50th St, Unit PHB</v>
      </c>
      <c r="B4755" s="2" t="str">
        <f t="shared" si="802"/>
        <v>Stella Tower</v>
      </c>
      <c r="C4755" s="1" t="s">
        <v>90</v>
      </c>
      <c r="D4755" s="1" t="s">
        <v>41</v>
      </c>
      <c r="E4755" s="3">
        <v>6723450</v>
      </c>
      <c r="F4755" s="1">
        <v>2501.2834821428501</v>
      </c>
      <c r="G4755" s="1">
        <v>6</v>
      </c>
      <c r="H4755" s="1">
        <v>3</v>
      </c>
      <c r="I4755" s="1">
        <v>5</v>
      </c>
      <c r="J4755" s="1">
        <v>4.5</v>
      </c>
      <c r="M4755" s="4">
        <v>2688</v>
      </c>
      <c r="N4755" s="1">
        <v>3248</v>
      </c>
      <c r="O4755" s="1">
        <v>6855</v>
      </c>
      <c r="P4755" s="1">
        <v>3607</v>
      </c>
      <c r="Q4755" s="1" t="s">
        <v>42</v>
      </c>
      <c r="S4755" s="1" t="s">
        <v>42</v>
      </c>
      <c r="T4755" s="1" t="s">
        <v>273</v>
      </c>
      <c r="U4755" s="1">
        <v>624</v>
      </c>
      <c r="V4755" s="5">
        <v>43694</v>
      </c>
      <c r="W4755" s="5">
        <v>42454</v>
      </c>
      <c r="X4755" s="1">
        <v>8995000</v>
      </c>
      <c r="Y4755" s="1">
        <v>7250000</v>
      </c>
      <c r="Z4755" s="5">
        <v>43078</v>
      </c>
      <c r="AA4755" s="1">
        <v>6723450</v>
      </c>
      <c r="AB4755" s="1" t="s">
        <v>3211</v>
      </c>
      <c r="AC4755" s="5">
        <v>43112</v>
      </c>
      <c r="AF4755" s="1">
        <v>10019</v>
      </c>
      <c r="AI4755" s="1" t="s">
        <v>319</v>
      </c>
      <c r="AJ4755" s="1">
        <v>1930</v>
      </c>
      <c r="AK4755" s="1" t="s">
        <v>49</v>
      </c>
      <c r="AL4755" s="1">
        <v>51</v>
      </c>
    </row>
    <row r="4756" spans="1:38" x14ac:dyDescent="0.2">
      <c r="A4756" s="2" t="str">
        <f>HYPERLINK("https://www.compass.com/listing/425-west-50th-street-unit-phb-manhattan-ny-10019/333303311159119985/","425 W 50th St, Unit PHB")</f>
        <v>425 W 50th St, Unit PHB</v>
      </c>
      <c r="B4756" s="2" t="str">
        <f t="shared" si="802"/>
        <v>Stella Tower</v>
      </c>
      <c r="C4756" s="1" t="s">
        <v>90</v>
      </c>
      <c r="D4756" s="1" t="s">
        <v>41</v>
      </c>
      <c r="E4756" s="3">
        <v>5900000</v>
      </c>
      <c r="F4756" s="1">
        <v>2194.9404761904698</v>
      </c>
      <c r="G4756" s="1">
        <v>5.5</v>
      </c>
      <c r="H4756" s="1">
        <v>3</v>
      </c>
      <c r="I4756" s="1">
        <v>5</v>
      </c>
      <c r="J4756" s="1">
        <v>4.5</v>
      </c>
      <c r="K4756" s="1">
        <v>4</v>
      </c>
      <c r="L4756" s="1">
        <v>1</v>
      </c>
      <c r="M4756" s="4">
        <v>2688</v>
      </c>
      <c r="N4756" s="1">
        <v>3538</v>
      </c>
      <c r="O4756" s="1">
        <v>7838</v>
      </c>
      <c r="P4756" s="1">
        <v>4300</v>
      </c>
      <c r="Q4756" s="1" t="s">
        <v>42</v>
      </c>
      <c r="S4756" s="1" t="s">
        <v>42</v>
      </c>
      <c r="T4756" s="1" t="s">
        <v>273</v>
      </c>
      <c r="U4756" s="1">
        <v>21</v>
      </c>
      <c r="V4756" s="5">
        <v>44341</v>
      </c>
      <c r="W4756" s="5">
        <v>43712</v>
      </c>
      <c r="X4756" s="1">
        <v>5995000</v>
      </c>
      <c r="Y4756" s="1">
        <v>5995000</v>
      </c>
      <c r="Z4756" s="5">
        <v>43733</v>
      </c>
      <c r="AA4756" s="1">
        <v>5900000</v>
      </c>
      <c r="AB4756" s="1" t="s">
        <v>3364</v>
      </c>
      <c r="AC4756" s="5">
        <v>43766</v>
      </c>
      <c r="AF4756" s="1">
        <v>10019</v>
      </c>
      <c r="AI4756" s="1" t="s">
        <v>152</v>
      </c>
      <c r="AJ4756" s="1">
        <v>1930</v>
      </c>
      <c r="AK4756" s="1" t="s">
        <v>46</v>
      </c>
      <c r="AL4756" s="1">
        <v>51</v>
      </c>
    </row>
    <row r="4757" spans="1:38" x14ac:dyDescent="0.2">
      <c r="A4757" s="2" t="str">
        <f>HYPERLINK("https://www.compass.com/listing/425-west-50th-street-unit-14f-manhattan-ny-10019/4852271778254298609/","425 W 50th St, Unit 14F")</f>
        <v>425 W 50th St, Unit 14F</v>
      </c>
      <c r="B4757" s="2" t="str">
        <f t="shared" si="802"/>
        <v>Stella Tower</v>
      </c>
      <c r="C4757" s="1" t="s">
        <v>90</v>
      </c>
      <c r="D4757" s="1" t="s">
        <v>41</v>
      </c>
      <c r="E4757" s="3">
        <v>6313150</v>
      </c>
      <c r="F4757" s="1">
        <v>2870.91859936334</v>
      </c>
      <c r="G4757" s="1">
        <v>5</v>
      </c>
      <c r="H4757" s="1">
        <v>3</v>
      </c>
      <c r="I4757" s="1">
        <v>4</v>
      </c>
      <c r="J4757" s="1">
        <v>4</v>
      </c>
      <c r="K4757" s="1">
        <v>4</v>
      </c>
      <c r="M4757" s="4">
        <v>2199</v>
      </c>
      <c r="N4757" s="1">
        <v>2717</v>
      </c>
      <c r="O4757" s="1">
        <v>4381</v>
      </c>
      <c r="P4757" s="1">
        <v>1664</v>
      </c>
      <c r="Q4757" s="1" t="s">
        <v>42</v>
      </c>
      <c r="S4757" s="1" t="s">
        <v>42</v>
      </c>
      <c r="T4757" s="1" t="s">
        <v>273</v>
      </c>
      <c r="V4757" s="5">
        <v>44421</v>
      </c>
      <c r="W4757" s="5">
        <v>41976</v>
      </c>
      <c r="X4757" s="1">
        <v>6200000</v>
      </c>
      <c r="Y4757" s="1">
        <v>6200000</v>
      </c>
      <c r="Z4757" s="5">
        <v>41976</v>
      </c>
      <c r="AA4757" s="1">
        <v>6313150</v>
      </c>
      <c r="AB4757" s="1" t="s">
        <v>275</v>
      </c>
      <c r="AC4757" s="5">
        <v>42013</v>
      </c>
      <c r="AF4757" s="1">
        <v>10019</v>
      </c>
      <c r="AI4757" s="1" t="s">
        <v>152</v>
      </c>
      <c r="AJ4757" s="1">
        <v>1930</v>
      </c>
      <c r="AK4757" s="1" t="s">
        <v>46</v>
      </c>
      <c r="AL4757" s="1">
        <v>51</v>
      </c>
    </row>
    <row r="4758" spans="1:38" x14ac:dyDescent="0.2">
      <c r="A4758" s="2" t="str">
        <f>HYPERLINK("https://www.compass.com/listing/325-lexington-avenue-unit-22c-manhattan-ny-10016/29379723310217841/","325 Lexington Ave, Unit 22C")</f>
        <v>325 Lexington Ave, Unit 22C</v>
      </c>
      <c r="B4758" s="2" t="str">
        <f t="shared" ref="B4758:B4762" si="803">HYPERLINK("https://www.compass.com/building/325-lex-condominium-manhattan-ny/281939882467713365/","325 Lex Condominium")</f>
        <v>325 Lex Condominium</v>
      </c>
      <c r="C4758" s="1" t="s">
        <v>59</v>
      </c>
      <c r="D4758" s="1" t="s">
        <v>41</v>
      </c>
      <c r="E4758" s="3">
        <v>2357249</v>
      </c>
      <c r="F4758" s="1">
        <v>2071.3963093145799</v>
      </c>
      <c r="G4758" s="1">
        <v>4</v>
      </c>
      <c r="H4758" s="1">
        <v>2</v>
      </c>
      <c r="I4758" s="1">
        <v>2</v>
      </c>
      <c r="J4758" s="1">
        <v>2</v>
      </c>
      <c r="K4758" s="1">
        <v>2</v>
      </c>
      <c r="M4758" s="4">
        <v>1138</v>
      </c>
      <c r="N4758" s="1">
        <v>1645</v>
      </c>
      <c r="O4758" s="1">
        <v>2003</v>
      </c>
      <c r="P4758" s="1">
        <v>358</v>
      </c>
      <c r="Q4758" s="1" t="s">
        <v>42</v>
      </c>
      <c r="S4758" s="1" t="s">
        <v>42</v>
      </c>
      <c r="T4758" s="1" t="s">
        <v>273</v>
      </c>
      <c r="V4758" s="5">
        <v>43654</v>
      </c>
      <c r="W4758" s="5">
        <v>42102</v>
      </c>
      <c r="X4758" s="1">
        <v>2315000</v>
      </c>
      <c r="Y4758" s="1">
        <v>2315000</v>
      </c>
      <c r="Z4758" s="5">
        <v>42102</v>
      </c>
      <c r="AA4758" s="1">
        <v>2357249</v>
      </c>
      <c r="AB4758" s="1" t="s">
        <v>3365</v>
      </c>
      <c r="AC4758" s="5">
        <v>42187</v>
      </c>
      <c r="AF4758" s="1">
        <v>10016</v>
      </c>
      <c r="AI4758" s="1" t="s">
        <v>60</v>
      </c>
      <c r="AJ4758" s="1">
        <v>2014</v>
      </c>
      <c r="AK4758" s="1" t="s">
        <v>108</v>
      </c>
      <c r="AL4758" s="1">
        <v>125</v>
      </c>
    </row>
    <row r="4759" spans="1:38" x14ac:dyDescent="0.2">
      <c r="A4759" s="2" t="str">
        <f>HYPERLINK("https://www.compass.com/listing/325-lexington-avenue-unit-24c-manhattan-ny-10016/29379726573325185/","325 Lexington Ave, Unit 24C")</f>
        <v>325 Lexington Ave, Unit 24C</v>
      </c>
      <c r="B4759" s="2" t="str">
        <f t="shared" si="803"/>
        <v>325 Lex Condominium</v>
      </c>
      <c r="C4759" s="1" t="s">
        <v>59</v>
      </c>
      <c r="D4759" s="1" t="s">
        <v>41</v>
      </c>
      <c r="E4759" s="3">
        <v>2515078</v>
      </c>
      <c r="F4759" s="1">
        <v>2210.08611599297</v>
      </c>
      <c r="G4759" s="1">
        <v>4</v>
      </c>
      <c r="H4759" s="1">
        <v>2</v>
      </c>
      <c r="I4759" s="1">
        <v>2</v>
      </c>
      <c r="J4759" s="1">
        <v>2</v>
      </c>
      <c r="K4759" s="1">
        <v>2</v>
      </c>
      <c r="M4759" s="4">
        <v>1138</v>
      </c>
      <c r="N4759" s="1">
        <v>1660</v>
      </c>
      <c r="O4759" s="1">
        <v>2021</v>
      </c>
      <c r="P4759" s="1">
        <v>361</v>
      </c>
      <c r="Q4759" s="1" t="s">
        <v>42</v>
      </c>
      <c r="S4759" s="1" t="s">
        <v>42</v>
      </c>
      <c r="T4759" s="1" t="s">
        <v>273</v>
      </c>
      <c r="V4759" s="5">
        <v>43654</v>
      </c>
      <c r="W4759" s="5">
        <v>42139</v>
      </c>
      <c r="X4759" s="1">
        <v>2470000</v>
      </c>
      <c r="Y4759" s="1">
        <v>2470000</v>
      </c>
      <c r="Z4759" s="5">
        <v>42139</v>
      </c>
      <c r="AA4759" s="1">
        <v>2515078</v>
      </c>
      <c r="AB4759" s="1" t="s">
        <v>3366</v>
      </c>
      <c r="AC4759" s="5">
        <v>42210</v>
      </c>
      <c r="AF4759" s="1">
        <v>10016</v>
      </c>
      <c r="AI4759" s="1" t="s">
        <v>60</v>
      </c>
      <c r="AJ4759" s="1">
        <v>2014</v>
      </c>
      <c r="AK4759" s="1" t="s">
        <v>108</v>
      </c>
      <c r="AL4759" s="1">
        <v>125</v>
      </c>
    </row>
    <row r="4760" spans="1:38" x14ac:dyDescent="0.2">
      <c r="A4760" s="2" t="str">
        <f>HYPERLINK("https://www.compass.com/listing/325-lexington-avenue-unit-26c-manhattan-ny-10016/29379730289534129/","325 Lexington Ave, Unit 26C")</f>
        <v>325 Lexington Ave, Unit 26C</v>
      </c>
      <c r="B4760" s="2" t="str">
        <f t="shared" si="803"/>
        <v>325 Lex Condominium</v>
      </c>
      <c r="C4760" s="1" t="s">
        <v>59</v>
      </c>
      <c r="D4760" s="1" t="s">
        <v>41</v>
      </c>
      <c r="E4760" s="3">
        <v>2494713</v>
      </c>
      <c r="F4760" s="1">
        <v>2192.1906854130002</v>
      </c>
      <c r="G4760" s="1">
        <v>4</v>
      </c>
      <c r="H4760" s="1">
        <v>2</v>
      </c>
      <c r="I4760" s="1">
        <v>2</v>
      </c>
      <c r="J4760" s="1">
        <v>2</v>
      </c>
      <c r="K4760" s="1">
        <v>2</v>
      </c>
      <c r="M4760" s="4">
        <v>1138</v>
      </c>
      <c r="N4760" s="1">
        <v>1675</v>
      </c>
      <c r="O4760" s="1">
        <v>2040</v>
      </c>
      <c r="P4760" s="1">
        <v>365</v>
      </c>
      <c r="Q4760" s="1" t="s">
        <v>42</v>
      </c>
      <c r="S4760" s="1" t="s">
        <v>42</v>
      </c>
      <c r="T4760" s="1" t="s">
        <v>273</v>
      </c>
      <c r="V4760" s="5">
        <v>43654</v>
      </c>
      <c r="W4760" s="5">
        <v>41990</v>
      </c>
      <c r="X4760" s="1">
        <v>2455000</v>
      </c>
      <c r="Y4760" s="1">
        <v>2455000</v>
      </c>
      <c r="Z4760" s="5">
        <v>41990</v>
      </c>
      <c r="AA4760" s="1">
        <v>2494712.5</v>
      </c>
      <c r="AB4760" s="1" t="s">
        <v>3367</v>
      </c>
      <c r="AC4760" s="5">
        <v>42048</v>
      </c>
      <c r="AF4760" s="1">
        <v>10016</v>
      </c>
      <c r="AI4760" s="1" t="s">
        <v>60</v>
      </c>
      <c r="AJ4760" s="1">
        <v>2014</v>
      </c>
      <c r="AK4760" s="1" t="s">
        <v>108</v>
      </c>
      <c r="AL4760" s="1">
        <v>125</v>
      </c>
    </row>
    <row r="4761" spans="1:38" x14ac:dyDescent="0.2">
      <c r="A4761" s="2" t="str">
        <f>HYPERLINK("https://www.compass.com/listing/325-lexington-avenue-unit-28c-manhattan-ny-10016/29379734827771153/","325 Lexington Ave, Unit 28C")</f>
        <v>325 Lexington Ave, Unit 28C</v>
      </c>
      <c r="B4761" s="2" t="str">
        <f t="shared" si="803"/>
        <v>325 Lex Condominium</v>
      </c>
      <c r="C4761" s="1" t="s">
        <v>59</v>
      </c>
      <c r="D4761" s="1" t="s">
        <v>41</v>
      </c>
      <c r="E4761" s="3">
        <v>2596538</v>
      </c>
      <c r="F4761" s="1">
        <v>2281.6678383128201</v>
      </c>
      <c r="G4761" s="1">
        <v>4</v>
      </c>
      <c r="H4761" s="1">
        <v>2</v>
      </c>
      <c r="I4761" s="1">
        <v>2</v>
      </c>
      <c r="J4761" s="1">
        <v>2</v>
      </c>
      <c r="K4761" s="1">
        <v>2</v>
      </c>
      <c r="M4761" s="4">
        <v>1138</v>
      </c>
      <c r="N4761" s="1">
        <v>1690</v>
      </c>
      <c r="O4761" s="1">
        <v>2058</v>
      </c>
      <c r="P4761" s="1">
        <v>368</v>
      </c>
      <c r="Q4761" s="1" t="s">
        <v>42</v>
      </c>
      <c r="S4761" s="1" t="s">
        <v>42</v>
      </c>
      <c r="T4761" s="1" t="s">
        <v>273</v>
      </c>
      <c r="U4761" s="1">
        <v>42</v>
      </c>
      <c r="V4761" s="5">
        <v>43654</v>
      </c>
      <c r="W4761" s="5">
        <v>42222</v>
      </c>
      <c r="X4761" s="1">
        <v>2550000</v>
      </c>
      <c r="Y4761" s="1">
        <v>2550000</v>
      </c>
      <c r="Z4761" s="5">
        <v>42264</v>
      </c>
      <c r="AA4761" s="1">
        <v>2596538</v>
      </c>
      <c r="AB4761" s="1" t="s">
        <v>3368</v>
      </c>
      <c r="AC4761" s="5">
        <v>42311</v>
      </c>
      <c r="AF4761" s="1">
        <v>10016</v>
      </c>
      <c r="AI4761" s="1" t="s">
        <v>60</v>
      </c>
      <c r="AJ4761" s="1">
        <v>2014</v>
      </c>
      <c r="AK4761" s="1" t="s">
        <v>108</v>
      </c>
      <c r="AL4761" s="1">
        <v>125</v>
      </c>
    </row>
    <row r="4762" spans="1:38" x14ac:dyDescent="0.2">
      <c r="A4762" s="2" t="str">
        <f>HYPERLINK("https://www.compass.com/listing/325-lexington-avenue-unit-27c-manhattan-ny-10016/783164546234346113/","325 Lexington Ave, Unit 27C")</f>
        <v>325 Lexington Ave, Unit 27C</v>
      </c>
      <c r="B4762" s="2" t="str">
        <f t="shared" si="803"/>
        <v>325 Lex Condominium</v>
      </c>
      <c r="C4762" s="1" t="s">
        <v>59</v>
      </c>
      <c r="D4762" s="1" t="s">
        <v>41</v>
      </c>
      <c r="E4762" s="3">
        <v>2571081</v>
      </c>
      <c r="F4762" s="1">
        <v>2259.2981107205601</v>
      </c>
      <c r="G4762" s="1">
        <v>4</v>
      </c>
      <c r="H4762" s="1">
        <v>2</v>
      </c>
      <c r="I4762" s="1">
        <v>2</v>
      </c>
      <c r="J4762" s="1">
        <v>2</v>
      </c>
      <c r="K4762" s="1">
        <v>2</v>
      </c>
      <c r="M4762" s="4">
        <v>1138</v>
      </c>
      <c r="N4762" s="1">
        <v>1683</v>
      </c>
      <c r="O4762" s="1">
        <v>2049</v>
      </c>
      <c r="P4762" s="1">
        <v>366</v>
      </c>
      <c r="Q4762" s="1" t="s">
        <v>42</v>
      </c>
      <c r="S4762" s="1" t="s">
        <v>42</v>
      </c>
      <c r="T4762" s="1" t="s">
        <v>273</v>
      </c>
      <c r="U4762" s="1">
        <v>93</v>
      </c>
      <c r="V4762" s="5">
        <v>42576</v>
      </c>
      <c r="W4762" s="5">
        <v>42128</v>
      </c>
      <c r="X4762" s="1">
        <v>2525000</v>
      </c>
      <c r="Y4762" s="1">
        <v>2525000</v>
      </c>
      <c r="Z4762" s="5">
        <v>42221</v>
      </c>
      <c r="AA4762" s="1">
        <v>2571081.25</v>
      </c>
      <c r="AB4762" s="1" t="s">
        <v>3369</v>
      </c>
      <c r="AC4762" s="5">
        <v>42275</v>
      </c>
      <c r="AF4762" s="1">
        <v>10016</v>
      </c>
      <c r="AI4762" s="1" t="s">
        <v>60</v>
      </c>
      <c r="AJ4762" s="1">
        <v>2014</v>
      </c>
      <c r="AK4762" s="1" t="s">
        <v>108</v>
      </c>
      <c r="AL4762" s="1">
        <v>125</v>
      </c>
    </row>
    <row r="4763" spans="1:38" x14ac:dyDescent="0.2">
      <c r="A4763" s="2" t="str">
        <f>HYPERLINK("https://www.compass.com/listing/2231-adam-clayton-powell-jr-boulevard-unit-609-manhattan-ny-10027/4853137740843202881/","2231 Adam Clayton Powell Jr Blvd, Unit 609")</f>
        <v>2231 Adam Clayton Powell Jr Blvd, Unit 609</v>
      </c>
      <c r="B4763" s="2" t="str">
        <f>HYPERLINK("https://www.compass.com/building/the-aurum-manhattan-ny/307451641162444869/","The Aurum")</f>
        <v>The Aurum</v>
      </c>
      <c r="C4763" s="1" t="s">
        <v>85</v>
      </c>
      <c r="D4763" s="1" t="s">
        <v>41</v>
      </c>
      <c r="E4763" s="3">
        <v>1050324</v>
      </c>
      <c r="F4763" s="1">
        <v>1087.29192546583</v>
      </c>
      <c r="G4763" s="1">
        <v>4</v>
      </c>
      <c r="H4763" s="1">
        <v>2</v>
      </c>
      <c r="I4763" s="1">
        <v>2</v>
      </c>
      <c r="J4763" s="1">
        <v>2</v>
      </c>
      <c r="K4763" s="1">
        <v>2</v>
      </c>
      <c r="M4763" s="1">
        <v>966</v>
      </c>
      <c r="N4763" s="1">
        <v>921</v>
      </c>
      <c r="O4763" s="1">
        <v>1092</v>
      </c>
      <c r="P4763" s="1">
        <v>171</v>
      </c>
      <c r="Q4763" s="1" t="s">
        <v>42</v>
      </c>
      <c r="S4763" s="1" t="s">
        <v>42</v>
      </c>
      <c r="T4763" s="1" t="s">
        <v>273</v>
      </c>
      <c r="U4763" s="1">
        <v>60</v>
      </c>
      <c r="V4763" s="5">
        <v>44154</v>
      </c>
      <c r="W4763" s="5">
        <v>42717</v>
      </c>
      <c r="X4763" s="1">
        <v>1031500</v>
      </c>
      <c r="Y4763" s="1">
        <v>1031500</v>
      </c>
      <c r="Z4763" s="5">
        <v>42777</v>
      </c>
      <c r="AA4763" s="1">
        <v>1050324</v>
      </c>
      <c r="AB4763" s="1" t="s">
        <v>275</v>
      </c>
      <c r="AC4763" s="5">
        <v>42822</v>
      </c>
      <c r="AF4763" s="1">
        <v>10027</v>
      </c>
      <c r="AI4763" s="1" t="s">
        <v>52</v>
      </c>
      <c r="AJ4763" s="1">
        <v>2016</v>
      </c>
      <c r="AK4763" s="1" t="s">
        <v>108</v>
      </c>
      <c r="AL4763" s="1">
        <v>115</v>
      </c>
    </row>
    <row r="4764" spans="1:38" x14ac:dyDescent="0.2">
      <c r="A4764" s="2" t="str">
        <f>HYPERLINK("https://www.compass.com/listing/16-west-40th-street-unit-22d-manhattan-ny-10018/29514371633808673/","16 W 40th St, Unit 22D")</f>
        <v>16 W 40th St, Unit 22D</v>
      </c>
      <c r="B4764" s="2" t="str">
        <f>HYPERLINK("https://www.compass.com/building/the-bryant-manhattan-ny/281942863485395813/","The Bryant")</f>
        <v>The Bryant</v>
      </c>
      <c r="C4764" s="1" t="s">
        <v>126</v>
      </c>
      <c r="D4764" s="1" t="s">
        <v>41</v>
      </c>
      <c r="E4764" s="3">
        <v>2395000</v>
      </c>
      <c r="F4764" s="1">
        <v>2244.6110590440398</v>
      </c>
      <c r="G4764" s="1">
        <v>3</v>
      </c>
      <c r="H4764" s="1">
        <v>1</v>
      </c>
      <c r="I4764" s="1">
        <v>1</v>
      </c>
      <c r="J4764" s="1">
        <v>1</v>
      </c>
      <c r="K4764" s="1">
        <v>1</v>
      </c>
      <c r="M4764" s="4">
        <v>1067</v>
      </c>
      <c r="N4764" s="1">
        <v>1896</v>
      </c>
      <c r="O4764" s="1">
        <v>3520</v>
      </c>
      <c r="P4764" s="1">
        <v>1624</v>
      </c>
      <c r="Q4764" s="1" t="s">
        <v>42</v>
      </c>
      <c r="S4764" s="1" t="s">
        <v>42</v>
      </c>
      <c r="T4764" s="1" t="s">
        <v>273</v>
      </c>
      <c r="U4764" s="1">
        <v>389</v>
      </c>
      <c r="V4764" s="5">
        <v>43633</v>
      </c>
      <c r="W4764" s="5">
        <v>42973</v>
      </c>
      <c r="X4764" s="1">
        <v>2535000</v>
      </c>
      <c r="Y4764" s="1">
        <v>2535000</v>
      </c>
      <c r="Z4764" s="5">
        <v>43379</v>
      </c>
      <c r="AA4764" s="1">
        <v>2395000</v>
      </c>
      <c r="AB4764" s="1" t="s">
        <v>3370</v>
      </c>
      <c r="AC4764" s="5">
        <v>43475</v>
      </c>
      <c r="AF4764" s="1">
        <v>10018</v>
      </c>
      <c r="AI4764" s="1" t="s">
        <v>58</v>
      </c>
      <c r="AJ4764" s="1">
        <v>2017</v>
      </c>
      <c r="AK4764" s="1" t="s">
        <v>46</v>
      </c>
      <c r="AL4764" s="1">
        <v>57</v>
      </c>
    </row>
    <row r="4765" spans="1:38" x14ac:dyDescent="0.2">
      <c r="A4765" s="2" t="str">
        <f>HYPERLINK("https://www.compass.com/listing/2231-adam-clayton-powell-jr-boulevard-unit-313-manhattan-ny-10027/192575508733593953/","2231 Adam Clayton Powell Jr Blvd, Unit 313")</f>
        <v>2231 Adam Clayton Powell Jr Blvd, Unit 313</v>
      </c>
      <c r="B4765" s="2" t="str">
        <f t="shared" ref="B4765:B4766" si="804">HYPERLINK("https://www.compass.com/building/the-aurum-manhattan-ny/307451641162444869/","The Aurum")</f>
        <v>The Aurum</v>
      </c>
      <c r="C4765" s="1" t="s">
        <v>85</v>
      </c>
      <c r="D4765" s="1" t="s">
        <v>41</v>
      </c>
      <c r="E4765" s="3">
        <v>533563</v>
      </c>
      <c r="F4765" s="1">
        <v>1060.7614314115301</v>
      </c>
      <c r="G4765" s="1">
        <v>2.5</v>
      </c>
      <c r="H4765" s="1" t="s">
        <v>153</v>
      </c>
      <c r="I4765" s="1">
        <v>1</v>
      </c>
      <c r="J4765" s="1">
        <v>1</v>
      </c>
      <c r="M4765" s="1">
        <v>503</v>
      </c>
      <c r="N4765" s="1">
        <v>542</v>
      </c>
      <c r="O4765" s="1">
        <v>631</v>
      </c>
      <c r="P4765" s="1">
        <v>89</v>
      </c>
      <c r="Q4765" s="1" t="s">
        <v>42</v>
      </c>
      <c r="S4765" s="1" t="s">
        <v>42</v>
      </c>
      <c r="T4765" s="1" t="s">
        <v>273</v>
      </c>
      <c r="V4765" s="5">
        <v>43668</v>
      </c>
      <c r="W4765" s="5">
        <v>42497</v>
      </c>
      <c r="X4765" s="1">
        <v>529000</v>
      </c>
      <c r="Y4765" s="1">
        <v>529000</v>
      </c>
      <c r="Z4765" s="5">
        <v>42497</v>
      </c>
      <c r="AA4765" s="1">
        <v>533563</v>
      </c>
      <c r="AB4765" s="1" t="s">
        <v>275</v>
      </c>
      <c r="AC4765" s="5">
        <v>42761</v>
      </c>
      <c r="AF4765" s="1">
        <v>10027</v>
      </c>
      <c r="AI4765" s="1" t="s">
        <v>52</v>
      </c>
      <c r="AJ4765" s="1">
        <v>2016</v>
      </c>
      <c r="AK4765" s="1" t="s">
        <v>108</v>
      </c>
      <c r="AL4765" s="1">
        <v>115</v>
      </c>
    </row>
    <row r="4766" spans="1:38" x14ac:dyDescent="0.2">
      <c r="A4766" s="2" t="str">
        <f>HYPERLINK("https://www.compass.com/listing/2231-adam-clayton-powell-jr-boulevard-unit-613-manhattan-ny-10027/192575591520785825/","2231 Adam Clayton Powell Jr Blvd, Unit 613")</f>
        <v>2231 Adam Clayton Powell Jr Blvd, Unit 613</v>
      </c>
      <c r="B4766" s="2" t="str">
        <f t="shared" si="804"/>
        <v>The Aurum</v>
      </c>
      <c r="C4766" s="1" t="s">
        <v>85</v>
      </c>
      <c r="D4766" s="1" t="s">
        <v>41</v>
      </c>
      <c r="E4766" s="3">
        <v>574879</v>
      </c>
      <c r="F4766" s="1">
        <v>1142.90059642147</v>
      </c>
      <c r="G4766" s="1">
        <v>2.5</v>
      </c>
      <c r="H4766" s="1" t="s">
        <v>153</v>
      </c>
      <c r="I4766" s="1">
        <v>1</v>
      </c>
      <c r="J4766" s="1">
        <v>1</v>
      </c>
      <c r="M4766" s="1">
        <v>503</v>
      </c>
      <c r="N4766" s="1">
        <v>480</v>
      </c>
      <c r="O4766" s="1">
        <v>569</v>
      </c>
      <c r="P4766" s="1">
        <v>89</v>
      </c>
      <c r="Q4766" s="1" t="s">
        <v>42</v>
      </c>
      <c r="S4766" s="1" t="s">
        <v>42</v>
      </c>
      <c r="T4766" s="1" t="s">
        <v>273</v>
      </c>
      <c r="V4766" s="5">
        <v>43672</v>
      </c>
      <c r="W4766" s="5">
        <v>42599</v>
      </c>
      <c r="X4766" s="1">
        <v>558000</v>
      </c>
      <c r="Y4766" s="1">
        <v>558000</v>
      </c>
      <c r="Z4766" s="5">
        <v>42599</v>
      </c>
      <c r="AA4766" s="1">
        <v>574879</v>
      </c>
      <c r="AB4766" s="1" t="s">
        <v>275</v>
      </c>
      <c r="AC4766" s="5">
        <v>42685</v>
      </c>
      <c r="AF4766" s="1">
        <v>10027</v>
      </c>
      <c r="AI4766" s="1" t="s">
        <v>52</v>
      </c>
      <c r="AJ4766" s="1">
        <v>2016</v>
      </c>
      <c r="AK4766" s="1" t="s">
        <v>108</v>
      </c>
      <c r="AL4766" s="1">
        <v>115</v>
      </c>
    </row>
    <row r="4767" spans="1:38" x14ac:dyDescent="0.2">
      <c r="A4767" s="2" t="str">
        <f>HYPERLINK("https://www.compass.com/listing/305-west-150th-street-unit-507-manhattan-ny-10039/293384523410940129/","305 W 150th St, Unit 507")</f>
        <v>305 W 150th St, Unit 507</v>
      </c>
      <c r="B4767" s="2" t="str">
        <f>HYPERLINK("https://www.compass.com/building/305-w-150th-st-manhattan-ny-10039/282032234968400245/","305 W 150th St")</f>
        <v>305 W 150th St</v>
      </c>
      <c r="C4767" s="1" t="s">
        <v>84</v>
      </c>
      <c r="D4767" s="1" t="s">
        <v>41</v>
      </c>
      <c r="E4767" s="3">
        <v>373659</v>
      </c>
      <c r="F4767" s="1">
        <v>655.54210526315705</v>
      </c>
      <c r="H4767" s="1">
        <v>1</v>
      </c>
      <c r="J4767" s="1">
        <v>1</v>
      </c>
      <c r="K4767" s="1">
        <v>1</v>
      </c>
      <c r="M4767" s="1">
        <v>570</v>
      </c>
      <c r="N4767" s="1">
        <v>311</v>
      </c>
      <c r="O4767" s="1">
        <v>578</v>
      </c>
      <c r="P4767" s="1">
        <v>267</v>
      </c>
      <c r="Q4767" s="1" t="s">
        <v>42</v>
      </c>
      <c r="S4767" s="1" t="s">
        <v>42</v>
      </c>
      <c r="T4767" s="1" t="s">
        <v>273</v>
      </c>
      <c r="AA4767" s="1">
        <v>373659</v>
      </c>
      <c r="AB4767" s="1" t="s">
        <v>3371</v>
      </c>
      <c r="AC4767" s="5">
        <v>42214</v>
      </c>
      <c r="AF4767" s="1">
        <v>10039</v>
      </c>
      <c r="AJ4767" s="1">
        <v>1921</v>
      </c>
      <c r="AK4767" s="1" t="s">
        <v>73</v>
      </c>
      <c r="AL4767" s="1">
        <v>84</v>
      </c>
    </row>
    <row r="4768" spans="1:38" x14ac:dyDescent="0.2">
      <c r="A4768" s="2" t="str">
        <f>HYPERLINK("https://www.compass.com/listing/425-west-50th-street-unit-10f-manhattan-ny-10019/157678944852713041/","425 W 50th St, Unit 10F")</f>
        <v>425 W 50th St, Unit 10F</v>
      </c>
      <c r="B4768" s="2" t="str">
        <f>HYPERLINK("https://www.compass.com/building/stella-tower-manhattan-ny/281945855710262181/","Stella Tower")</f>
        <v>Stella Tower</v>
      </c>
      <c r="C4768" s="1" t="s">
        <v>90</v>
      </c>
      <c r="D4768" s="1" t="s">
        <v>41</v>
      </c>
      <c r="E4768" s="3">
        <v>3700000</v>
      </c>
      <c r="F4768" s="1">
        <v>1667.4177557458299</v>
      </c>
      <c r="H4768" s="1">
        <v>2</v>
      </c>
      <c r="J4768" s="1">
        <v>2.5</v>
      </c>
      <c r="M4768" s="4">
        <v>2219</v>
      </c>
      <c r="N4768" s="1">
        <v>2057</v>
      </c>
      <c r="O4768" s="1">
        <v>3317</v>
      </c>
      <c r="P4768" s="1">
        <v>1260</v>
      </c>
      <c r="Q4768" s="1" t="s">
        <v>42</v>
      </c>
      <c r="S4768" s="1" t="s">
        <v>42</v>
      </c>
      <c r="T4768" s="1" t="s">
        <v>273</v>
      </c>
      <c r="AA4768" s="1">
        <v>3700000</v>
      </c>
      <c r="AB4768" s="1" t="s">
        <v>3372</v>
      </c>
      <c r="AC4768" s="5">
        <v>43446</v>
      </c>
      <c r="AF4768" s="1">
        <v>10019</v>
      </c>
      <c r="AI4768" s="1" t="s">
        <v>80</v>
      </c>
      <c r="AJ4768" s="1">
        <v>1930</v>
      </c>
      <c r="AK4768" s="1" t="s">
        <v>49</v>
      </c>
      <c r="AL4768" s="1">
        <v>51</v>
      </c>
    </row>
    <row r="4769" spans="1:38" x14ac:dyDescent="0.2">
      <c r="A4769" s="2" t="str">
        <f>HYPERLINK("https://www.compass.com/listing/1-west-end-avenue-unit-28a-manhattan-ny-10069/29397327257030385/","1 W End Ave, Unit 28A")</f>
        <v>1 W End Ave, Unit 28A</v>
      </c>
      <c r="B4769" s="2" t="str">
        <f t="shared" ref="B4769:B4771" si="805">HYPERLINK("https://www.compass.com/building/1-w-end-ave-manhattan-ny-10069/455676159137755317/","1 W End Ave")</f>
        <v>1 W End Ave</v>
      </c>
      <c r="C4769" s="1" t="s">
        <v>57</v>
      </c>
      <c r="D4769" s="1" t="s">
        <v>41</v>
      </c>
      <c r="E4769" s="3">
        <v>3617056</v>
      </c>
      <c r="F4769" s="1">
        <v>2091.9930595720002</v>
      </c>
      <c r="G4769" s="1">
        <v>4</v>
      </c>
      <c r="H4769" s="1">
        <v>2</v>
      </c>
      <c r="I4769" s="1">
        <v>2</v>
      </c>
      <c r="J4769" s="1">
        <v>2.5</v>
      </c>
      <c r="K4769" s="1">
        <v>2</v>
      </c>
      <c r="L4769" s="1">
        <v>1</v>
      </c>
      <c r="M4769" s="4">
        <v>1729</v>
      </c>
      <c r="N4769" s="1">
        <v>1890</v>
      </c>
      <c r="O4769" s="1">
        <v>2003</v>
      </c>
      <c r="P4769" s="1">
        <v>113</v>
      </c>
      <c r="Q4769" s="1" t="s">
        <v>42</v>
      </c>
      <c r="S4769" s="1" t="s">
        <v>42</v>
      </c>
      <c r="T4769" s="1" t="s">
        <v>273</v>
      </c>
      <c r="U4769" s="1">
        <v>22</v>
      </c>
      <c r="V4769" s="5">
        <v>43626</v>
      </c>
      <c r="W4769" s="5">
        <v>42479</v>
      </c>
      <c r="X4769" s="1">
        <v>3650000</v>
      </c>
      <c r="Y4769" s="1">
        <v>3650000</v>
      </c>
      <c r="Z4769" s="5">
        <v>42501</v>
      </c>
      <c r="AA4769" s="1">
        <v>3617056</v>
      </c>
      <c r="AB4769" s="1" t="s">
        <v>3373</v>
      </c>
      <c r="AC4769" s="5">
        <v>43091</v>
      </c>
      <c r="AF4769" s="1">
        <v>10069</v>
      </c>
      <c r="AI4769" s="1" t="s">
        <v>60</v>
      </c>
      <c r="AJ4769" s="1">
        <v>2017</v>
      </c>
      <c r="AK4769" s="1" t="s">
        <v>108</v>
      </c>
      <c r="AL4769" s="1">
        <v>246</v>
      </c>
    </row>
    <row r="4770" spans="1:38" x14ac:dyDescent="0.2">
      <c r="A4770" s="2" t="str">
        <f>HYPERLINK("https://www.compass.com/listing/1-west-end-avenue-unit-23g-manhattan-ny-10069/29397376011620881/","1 W End Ave, Unit 23G")</f>
        <v>1 W End Ave, Unit 23G</v>
      </c>
      <c r="B4770" s="2" t="str">
        <f t="shared" si="805"/>
        <v>1 W End Ave</v>
      </c>
      <c r="C4770" s="1" t="s">
        <v>57</v>
      </c>
      <c r="D4770" s="1" t="s">
        <v>41</v>
      </c>
      <c r="E4770" s="3">
        <v>3216016</v>
      </c>
      <c r="F4770" s="1">
        <v>2186.2787219578499</v>
      </c>
      <c r="G4770" s="1">
        <v>4</v>
      </c>
      <c r="H4770" s="1">
        <v>2</v>
      </c>
      <c r="I4770" s="1">
        <v>2</v>
      </c>
      <c r="J4770" s="1">
        <v>2.5</v>
      </c>
      <c r="K4770" s="1">
        <v>2</v>
      </c>
      <c r="L4770" s="1">
        <v>1</v>
      </c>
      <c r="M4770" s="4">
        <v>1471</v>
      </c>
      <c r="N4770" s="1">
        <v>1674</v>
      </c>
      <c r="O4770" s="1">
        <v>1774</v>
      </c>
      <c r="P4770" s="1">
        <v>100</v>
      </c>
      <c r="Q4770" s="1" t="s">
        <v>42</v>
      </c>
      <c r="S4770" s="1" t="s">
        <v>42</v>
      </c>
      <c r="T4770" s="1" t="s">
        <v>273</v>
      </c>
      <c r="U4770" s="1">
        <v>5</v>
      </c>
      <c r="V4770" s="5">
        <v>43624</v>
      </c>
      <c r="W4770" s="5">
        <v>42259</v>
      </c>
      <c r="X4770" s="1">
        <v>3330000</v>
      </c>
      <c r="Y4770" s="1">
        <v>3330000</v>
      </c>
      <c r="Z4770" s="5">
        <v>42264</v>
      </c>
      <c r="AA4770" s="1">
        <v>3216016</v>
      </c>
      <c r="AB4770" s="1" t="s">
        <v>3374</v>
      </c>
      <c r="AC4770" s="5">
        <v>43090</v>
      </c>
      <c r="AF4770" s="1">
        <v>10069</v>
      </c>
      <c r="AI4770" s="1" t="s">
        <v>60</v>
      </c>
      <c r="AJ4770" s="1">
        <v>2017</v>
      </c>
      <c r="AK4770" s="1" t="s">
        <v>108</v>
      </c>
      <c r="AL4770" s="1">
        <v>246</v>
      </c>
    </row>
    <row r="4771" spans="1:38" x14ac:dyDescent="0.2">
      <c r="A4771" s="2" t="str">
        <f>HYPERLINK("https://www.compass.com/listing/1-west-end-avenue-unit-14j-manhattan-ny-10069/29397388384894065/","1 W End Ave, Unit 14J")</f>
        <v>1 W End Ave, Unit 14J</v>
      </c>
      <c r="B4771" s="2" t="str">
        <f t="shared" si="805"/>
        <v>1 W End Ave</v>
      </c>
      <c r="C4771" s="1" t="s">
        <v>57</v>
      </c>
      <c r="D4771" s="1" t="s">
        <v>41</v>
      </c>
      <c r="E4771" s="3">
        <v>2992053</v>
      </c>
      <c r="F4771" s="1">
        <v>2013.49461641991</v>
      </c>
      <c r="G4771" s="1">
        <v>4</v>
      </c>
      <c r="H4771" s="1">
        <v>2</v>
      </c>
      <c r="I4771" s="1">
        <v>2</v>
      </c>
      <c r="J4771" s="1">
        <v>2.5</v>
      </c>
      <c r="K4771" s="1">
        <v>2</v>
      </c>
      <c r="L4771" s="1">
        <v>1</v>
      </c>
      <c r="M4771" s="4">
        <v>1486</v>
      </c>
      <c r="N4771" s="1">
        <v>1687</v>
      </c>
      <c r="O4771" s="1">
        <v>1788</v>
      </c>
      <c r="P4771" s="1">
        <v>101</v>
      </c>
      <c r="Q4771" s="1" t="s">
        <v>42</v>
      </c>
      <c r="S4771" s="1" t="s">
        <v>42</v>
      </c>
      <c r="T4771" s="1" t="s">
        <v>273</v>
      </c>
      <c r="U4771" s="1">
        <v>1</v>
      </c>
      <c r="V4771" s="5">
        <v>43623</v>
      </c>
      <c r="W4771" s="5">
        <v>42199</v>
      </c>
      <c r="X4771" s="1">
        <v>3040000</v>
      </c>
      <c r="Y4771" s="1">
        <v>3040000</v>
      </c>
      <c r="Z4771" s="5">
        <v>42200</v>
      </c>
      <c r="AA4771" s="1">
        <v>2992053</v>
      </c>
      <c r="AB4771" s="1" t="s">
        <v>3375</v>
      </c>
      <c r="AC4771" s="5">
        <v>43119</v>
      </c>
      <c r="AF4771" s="1">
        <v>10069</v>
      </c>
      <c r="AI4771" s="1" t="s">
        <v>60</v>
      </c>
      <c r="AJ4771" s="1">
        <v>2017</v>
      </c>
      <c r="AK4771" s="1" t="s">
        <v>108</v>
      </c>
      <c r="AL4771" s="1">
        <v>246</v>
      </c>
    </row>
    <row r="4772" spans="1:38" x14ac:dyDescent="0.2">
      <c r="A4772" s="2" t="str">
        <f>HYPERLINK("https://www.compass.com/listing/172-madison-avenue-unit-mansion-manhattan-ny-10016/375569690264394641/","172 Madison Ave, Unit MANSION")</f>
        <v>172 Madison Ave, Unit MANSION</v>
      </c>
      <c r="B4772" s="2" t="str">
        <f>HYPERLINK("https://www.compass.com/building/172-madison-ave-manhattan-ny-10016/281937956250376981/","172 Madison Ave")</f>
        <v>172 Madison Ave</v>
      </c>
      <c r="C4772" s="1" t="s">
        <v>120</v>
      </c>
      <c r="D4772" s="1" t="s">
        <v>41</v>
      </c>
      <c r="E4772" s="3">
        <v>11000000</v>
      </c>
      <c r="F4772" s="1">
        <v>3718.7288708586798</v>
      </c>
      <c r="G4772" s="1">
        <v>9</v>
      </c>
      <c r="H4772" s="1">
        <v>4</v>
      </c>
      <c r="I4772" s="1">
        <v>5</v>
      </c>
      <c r="J4772" s="1">
        <v>4.5</v>
      </c>
      <c r="K4772" s="1">
        <v>4</v>
      </c>
      <c r="L4772" s="1">
        <v>1</v>
      </c>
      <c r="M4772" s="4">
        <v>2958</v>
      </c>
      <c r="N4772" s="1">
        <v>7022</v>
      </c>
      <c r="O4772" s="1">
        <v>16341</v>
      </c>
      <c r="P4772" s="1">
        <v>9319</v>
      </c>
      <c r="Q4772" s="1" t="s">
        <v>42</v>
      </c>
      <c r="S4772" s="1" t="s">
        <v>42</v>
      </c>
      <c r="T4772" s="1" t="s">
        <v>273</v>
      </c>
      <c r="U4772" s="1">
        <v>307</v>
      </c>
      <c r="V4772" s="5">
        <v>44293</v>
      </c>
      <c r="W4772" s="5">
        <v>43769</v>
      </c>
      <c r="X4772" s="1">
        <v>13000000</v>
      </c>
      <c r="Y4772" s="1">
        <v>13000000</v>
      </c>
      <c r="Z4772" s="5">
        <v>44230</v>
      </c>
      <c r="AA4772" s="1">
        <v>11000000</v>
      </c>
      <c r="AB4772" s="1" t="s">
        <v>275</v>
      </c>
      <c r="AC4772" s="5">
        <v>44293</v>
      </c>
      <c r="AF4772" s="1">
        <v>10016</v>
      </c>
      <c r="AI4772" s="1" t="s">
        <v>3376</v>
      </c>
      <c r="AJ4772" s="1">
        <v>2016</v>
      </c>
      <c r="AK4772" s="1" t="s">
        <v>46</v>
      </c>
      <c r="AL4772" s="1">
        <v>72</v>
      </c>
    </row>
    <row r="4773" spans="1:38" x14ac:dyDescent="0.2">
      <c r="A4773" s="2" t="str">
        <f>HYPERLINK("https://www.compass.com/listing/2231-adam-clayton-powell-jr-boulevard-unit-604-manhattan-ny-10027/192575546457151921/","2231 Adam Clayton Powell Jr Blvd, Unit 604")</f>
        <v>2231 Adam Clayton Powell Jr Blvd, Unit 604</v>
      </c>
      <c r="B4773" s="2" t="str">
        <f t="shared" ref="B4773:B4775" si="806">HYPERLINK("https://www.compass.com/building/the-aurum-manhattan-ny/307451641162444869/","The Aurum")</f>
        <v>The Aurum</v>
      </c>
      <c r="C4773" s="1" t="s">
        <v>85</v>
      </c>
      <c r="D4773" s="1" t="s">
        <v>41</v>
      </c>
      <c r="E4773" s="3">
        <v>705647</v>
      </c>
      <c r="F4773" s="1">
        <v>1039.2444771723101</v>
      </c>
      <c r="G4773" s="1">
        <v>3</v>
      </c>
      <c r="H4773" s="1">
        <v>1</v>
      </c>
      <c r="I4773" s="1">
        <v>1</v>
      </c>
      <c r="J4773" s="1">
        <v>1</v>
      </c>
      <c r="M4773" s="1">
        <v>679</v>
      </c>
      <c r="N4773" s="1">
        <v>606</v>
      </c>
      <c r="O4773" s="1">
        <v>719</v>
      </c>
      <c r="P4773" s="1">
        <v>113</v>
      </c>
      <c r="Q4773" s="1" t="s">
        <v>42</v>
      </c>
      <c r="S4773" s="1" t="s">
        <v>42</v>
      </c>
      <c r="T4773" s="1" t="s">
        <v>273</v>
      </c>
      <c r="V4773" s="5">
        <v>43673</v>
      </c>
      <c r="W4773" s="5">
        <v>42599</v>
      </c>
      <c r="X4773" s="1">
        <v>693000</v>
      </c>
      <c r="Y4773" s="1">
        <v>693000</v>
      </c>
      <c r="Z4773" s="5">
        <v>42599</v>
      </c>
      <c r="AA4773" s="1">
        <v>705647</v>
      </c>
      <c r="AB4773" s="1" t="s">
        <v>275</v>
      </c>
      <c r="AC4773" s="5">
        <v>42698</v>
      </c>
      <c r="AF4773" s="1">
        <v>10027</v>
      </c>
      <c r="AI4773" s="1" t="s">
        <v>52</v>
      </c>
      <c r="AJ4773" s="1">
        <v>2016</v>
      </c>
      <c r="AK4773" s="1" t="s">
        <v>108</v>
      </c>
      <c r="AL4773" s="1">
        <v>115</v>
      </c>
    </row>
    <row r="4774" spans="1:38" x14ac:dyDescent="0.2">
      <c r="A4774" s="2" t="str">
        <f>HYPERLINK("https://www.compass.com/listing/2231-adam-clayton-powell-jr-boulevard-unit-ph18-manhattan-ny-10027/192575579717994625/","2231 Adam Clayton Powell Jr Blvd, Unit PH18")</f>
        <v>2231 Adam Clayton Powell Jr Blvd, Unit PH18</v>
      </c>
      <c r="B4774" s="2" t="str">
        <f t="shared" si="806"/>
        <v>The Aurum</v>
      </c>
      <c r="C4774" s="1" t="s">
        <v>85</v>
      </c>
      <c r="D4774" s="1" t="s">
        <v>41</v>
      </c>
      <c r="E4774" s="3">
        <v>703660</v>
      </c>
      <c r="F4774" s="1">
        <v>1217.4048442906501</v>
      </c>
      <c r="G4774" s="1">
        <v>3</v>
      </c>
      <c r="H4774" s="1">
        <v>1</v>
      </c>
      <c r="I4774" s="1">
        <v>1</v>
      </c>
      <c r="J4774" s="1">
        <v>1</v>
      </c>
      <c r="M4774" s="1">
        <v>578</v>
      </c>
      <c r="N4774" s="1">
        <v>551</v>
      </c>
      <c r="O4774" s="1">
        <v>654</v>
      </c>
      <c r="P4774" s="1">
        <v>103</v>
      </c>
      <c r="Q4774" s="1" t="s">
        <v>42</v>
      </c>
      <c r="S4774" s="1" t="s">
        <v>42</v>
      </c>
      <c r="T4774" s="1" t="s">
        <v>273</v>
      </c>
      <c r="V4774" s="5">
        <v>43672</v>
      </c>
      <c r="W4774" s="5">
        <v>42599</v>
      </c>
      <c r="X4774" s="1">
        <v>671000</v>
      </c>
      <c r="Y4774" s="1">
        <v>671000</v>
      </c>
      <c r="Z4774" s="5">
        <v>42599</v>
      </c>
      <c r="AA4774" s="1">
        <v>703660</v>
      </c>
      <c r="AB4774" s="1" t="s">
        <v>275</v>
      </c>
      <c r="AC4774" s="5">
        <v>42685</v>
      </c>
      <c r="AF4774" s="1">
        <v>10027</v>
      </c>
      <c r="AI4774" s="1" t="s">
        <v>52</v>
      </c>
      <c r="AJ4774" s="1">
        <v>2016</v>
      </c>
      <c r="AK4774" s="1" t="s">
        <v>108</v>
      </c>
      <c r="AL4774" s="1">
        <v>115</v>
      </c>
    </row>
    <row r="4775" spans="1:38" x14ac:dyDescent="0.2">
      <c r="A4775" s="2" t="str">
        <f>HYPERLINK("https://www.compass.com/listing/2231-adam-clayton-powell-jr-boulevard-unit-ph20-manhattan-ny-10027/192575606192445681/","2231 Adam Clayton Powell Jr Blvd, Unit PH20")</f>
        <v>2231 Adam Clayton Powell Jr Blvd, Unit PH20</v>
      </c>
      <c r="B4775" s="2" t="str">
        <f t="shared" si="806"/>
        <v>The Aurum</v>
      </c>
      <c r="C4775" s="1" t="s">
        <v>85</v>
      </c>
      <c r="D4775" s="1" t="s">
        <v>41</v>
      </c>
      <c r="E4775" s="3">
        <v>713793</v>
      </c>
      <c r="F4775" s="1">
        <v>1142.0688</v>
      </c>
      <c r="G4775" s="1">
        <v>3</v>
      </c>
      <c r="H4775" s="1">
        <v>1</v>
      </c>
      <c r="I4775" s="1">
        <v>1</v>
      </c>
      <c r="J4775" s="1">
        <v>1</v>
      </c>
      <c r="M4775" s="1">
        <v>625</v>
      </c>
      <c r="N4775" s="1">
        <v>596</v>
      </c>
      <c r="O4775" s="1">
        <v>707</v>
      </c>
      <c r="P4775" s="1">
        <v>111</v>
      </c>
      <c r="Q4775" s="1" t="s">
        <v>42</v>
      </c>
      <c r="S4775" s="1" t="s">
        <v>42</v>
      </c>
      <c r="T4775" s="1" t="s">
        <v>273</v>
      </c>
      <c r="U4775" s="1">
        <v>56</v>
      </c>
      <c r="V4775" s="5">
        <v>43670</v>
      </c>
      <c r="W4775" s="5">
        <v>42607</v>
      </c>
      <c r="X4775" s="1">
        <v>701000</v>
      </c>
      <c r="Y4775" s="1">
        <v>701000</v>
      </c>
      <c r="Z4775" s="5">
        <v>42663</v>
      </c>
      <c r="AA4775" s="1">
        <v>713793</v>
      </c>
      <c r="AB4775" s="1" t="s">
        <v>275</v>
      </c>
      <c r="AC4775" s="5">
        <v>42740</v>
      </c>
      <c r="AF4775" s="1">
        <v>10027</v>
      </c>
      <c r="AI4775" s="1" t="s">
        <v>52</v>
      </c>
      <c r="AJ4775" s="1">
        <v>2016</v>
      </c>
      <c r="AK4775" s="1" t="s">
        <v>108</v>
      </c>
      <c r="AL4775" s="1">
        <v>115</v>
      </c>
    </row>
    <row r="4776" spans="1:38" x14ac:dyDescent="0.2">
      <c r="A4776" s="2" t="str">
        <f>HYPERLINK("https://www.compass.com/listing/695-1st-avenue-unit-34j-manhattan-ny-10016/259693815126834481/","695 1st Ave, Unit 34J")</f>
        <v>695 1st Ave, Unit 34J</v>
      </c>
      <c r="B4776" s="2" t="str">
        <f>HYPERLINK("https://www.compass.com/building/one-united-nations-park-manhattan-ny/282058773630059653/","One United Nations Park")</f>
        <v>One United Nations Park</v>
      </c>
      <c r="C4776" s="1" t="s">
        <v>59</v>
      </c>
      <c r="D4776" s="1" t="s">
        <v>41</v>
      </c>
      <c r="E4776" s="3">
        <v>1770000</v>
      </c>
      <c r="F4776" s="1">
        <v>2478.9915966386502</v>
      </c>
      <c r="G4776" s="1">
        <v>3</v>
      </c>
      <c r="H4776" s="1">
        <v>1</v>
      </c>
      <c r="I4776" s="1">
        <v>1</v>
      </c>
      <c r="J4776" s="1">
        <v>1</v>
      </c>
      <c r="K4776" s="1">
        <v>1</v>
      </c>
      <c r="M4776" s="1">
        <v>714</v>
      </c>
      <c r="N4776" s="1">
        <v>957</v>
      </c>
      <c r="O4776" s="1">
        <v>2138</v>
      </c>
      <c r="P4776" s="1">
        <v>1181</v>
      </c>
      <c r="Q4776" s="1" t="s">
        <v>42</v>
      </c>
      <c r="S4776" s="1" t="s">
        <v>42</v>
      </c>
      <c r="T4776" s="1" t="s">
        <v>273</v>
      </c>
      <c r="U4776" s="1">
        <v>164</v>
      </c>
      <c r="V4776" s="5">
        <v>44421</v>
      </c>
      <c r="W4776" s="5">
        <v>43579</v>
      </c>
      <c r="X4776" s="1">
        <v>1770000</v>
      </c>
      <c r="Y4776" s="1">
        <v>1770000</v>
      </c>
      <c r="Z4776" s="5">
        <v>44237</v>
      </c>
      <c r="AA4776" s="1">
        <v>1770000</v>
      </c>
      <c r="AB4776" s="1" t="s">
        <v>275</v>
      </c>
      <c r="AC4776" s="5">
        <v>44412</v>
      </c>
      <c r="AF4776" s="1">
        <v>10016</v>
      </c>
      <c r="AJ4776" s="1">
        <v>2019</v>
      </c>
      <c r="AK4776" s="1" t="s">
        <v>46</v>
      </c>
      <c r="AL4776" s="1">
        <v>148</v>
      </c>
    </row>
    <row r="4777" spans="1:38" x14ac:dyDescent="0.2">
      <c r="A4777" s="2" t="str">
        <f>HYPERLINK("https://www.compass.com/listing/456-west-167th-street-unit-2g-manhattan-ny-10032/29435100227703713/","456 W 167th St, Unit 2G")</f>
        <v>456 W 167th St, Unit 2G</v>
      </c>
      <c r="B4777" s="2" t="str">
        <f t="shared" ref="B4777:B4782" si="807">HYPERLINK("https://www.compass.com/building/edgecombe-parc-manhattan-ny/282005897969005013/","Edgecombe Parc")</f>
        <v>Edgecombe Parc</v>
      </c>
      <c r="C4777" s="1" t="s">
        <v>93</v>
      </c>
      <c r="D4777" s="1" t="s">
        <v>41</v>
      </c>
      <c r="E4777" s="3">
        <v>375180</v>
      </c>
      <c r="F4777" s="1">
        <v>672.36559139784902</v>
      </c>
      <c r="G4777" s="1">
        <v>3</v>
      </c>
      <c r="H4777" s="1">
        <v>1</v>
      </c>
      <c r="I4777" s="1">
        <v>1</v>
      </c>
      <c r="J4777" s="1">
        <v>1</v>
      </c>
      <c r="M4777" s="1">
        <v>558</v>
      </c>
      <c r="N4777" s="1">
        <v>301</v>
      </c>
      <c r="O4777" s="1">
        <v>629</v>
      </c>
      <c r="P4777" s="1">
        <v>328</v>
      </c>
      <c r="Q4777" s="1" t="s">
        <v>42</v>
      </c>
      <c r="S4777" s="1" t="s">
        <v>42</v>
      </c>
      <c r="T4777" s="1" t="s">
        <v>273</v>
      </c>
      <c r="U4777" s="1">
        <v>60</v>
      </c>
      <c r="V4777" s="5">
        <v>43685</v>
      </c>
      <c r="W4777" s="5">
        <v>41544</v>
      </c>
      <c r="X4777" s="1">
        <v>375000</v>
      </c>
      <c r="Y4777" s="1">
        <v>375000</v>
      </c>
      <c r="Z4777" s="5">
        <v>41604</v>
      </c>
      <c r="AA4777" s="1">
        <v>375180</v>
      </c>
      <c r="AB4777" s="1" t="s">
        <v>3377</v>
      </c>
      <c r="AC4777" s="5">
        <v>41911</v>
      </c>
      <c r="AF4777" s="1">
        <v>10032</v>
      </c>
      <c r="AI4777" s="1" t="s">
        <v>211</v>
      </c>
      <c r="AJ4777" s="1">
        <v>2014</v>
      </c>
      <c r="AK4777" s="1" t="s">
        <v>215</v>
      </c>
      <c r="AL4777" s="1">
        <v>49</v>
      </c>
    </row>
    <row r="4778" spans="1:38" x14ac:dyDescent="0.2">
      <c r="A4778" s="2" t="str">
        <f>HYPERLINK("https://www.compass.com/listing/456-west-167th-street-unit-4h-manhattan-ny-10032/29435106988985777/","456 W 167th St, Unit 4H")</f>
        <v>456 W 167th St, Unit 4H</v>
      </c>
      <c r="B4778" s="2" t="str">
        <f t="shared" si="807"/>
        <v>Edgecombe Parc</v>
      </c>
      <c r="C4778" s="1" t="s">
        <v>93</v>
      </c>
      <c r="D4778" s="1" t="s">
        <v>41</v>
      </c>
      <c r="E4778" s="3">
        <v>339690</v>
      </c>
      <c r="F4778" s="1">
        <v>672.65346534653395</v>
      </c>
      <c r="G4778" s="1">
        <v>3</v>
      </c>
      <c r="H4778" s="1">
        <v>1</v>
      </c>
      <c r="I4778" s="1">
        <v>1</v>
      </c>
      <c r="J4778" s="1">
        <v>1</v>
      </c>
      <c r="K4778" s="1">
        <v>1</v>
      </c>
      <c r="M4778" s="1">
        <v>505</v>
      </c>
      <c r="N4778" s="1">
        <v>273</v>
      </c>
      <c r="O4778" s="1">
        <v>570</v>
      </c>
      <c r="P4778" s="1">
        <v>297</v>
      </c>
      <c r="Q4778" s="1" t="s">
        <v>42</v>
      </c>
      <c r="S4778" s="1" t="s">
        <v>42</v>
      </c>
      <c r="T4778" s="1" t="s">
        <v>273</v>
      </c>
      <c r="U4778" s="1">
        <v>40</v>
      </c>
      <c r="V4778" s="5">
        <v>43740</v>
      </c>
      <c r="W4778" s="5">
        <v>41573</v>
      </c>
      <c r="X4778" s="1">
        <v>340000</v>
      </c>
      <c r="Y4778" s="1">
        <v>340000</v>
      </c>
      <c r="Z4778" s="5">
        <v>41613</v>
      </c>
      <c r="AA4778" s="1">
        <v>339690</v>
      </c>
      <c r="AB4778" s="1" t="s">
        <v>3378</v>
      </c>
      <c r="AC4778" s="5">
        <v>41857</v>
      </c>
      <c r="AF4778" s="1">
        <v>10032</v>
      </c>
      <c r="AI4778" s="1" t="s">
        <v>238</v>
      </c>
      <c r="AJ4778" s="1">
        <v>2014</v>
      </c>
      <c r="AK4778" s="1" t="s">
        <v>175</v>
      </c>
      <c r="AL4778" s="1">
        <v>49</v>
      </c>
    </row>
    <row r="4779" spans="1:38" x14ac:dyDescent="0.2">
      <c r="A4779" s="2" t="str">
        <f>HYPERLINK("https://www.compass.com/listing/456-west-167th-street-unit-6h-manhattan-ny-10032/29435113733362801/","456 W 167th St, Unit 6H")</f>
        <v>456 W 167th St, Unit 6H</v>
      </c>
      <c r="B4779" s="2" t="str">
        <f t="shared" si="807"/>
        <v>Edgecombe Parc</v>
      </c>
      <c r="C4779" s="1" t="s">
        <v>93</v>
      </c>
      <c r="D4779" s="1" t="s">
        <v>41</v>
      </c>
      <c r="E4779" s="3">
        <v>375202</v>
      </c>
      <c r="F4779" s="1">
        <v>742.97425742574205</v>
      </c>
      <c r="G4779" s="1">
        <v>3</v>
      </c>
      <c r="H4779" s="1">
        <v>1</v>
      </c>
      <c r="I4779" s="1">
        <v>1</v>
      </c>
      <c r="J4779" s="1">
        <v>1</v>
      </c>
      <c r="K4779" s="1">
        <v>1</v>
      </c>
      <c r="M4779" s="1">
        <v>505</v>
      </c>
      <c r="N4779" s="1">
        <v>306</v>
      </c>
      <c r="O4779" s="1">
        <v>639</v>
      </c>
      <c r="P4779" s="1">
        <v>333</v>
      </c>
      <c r="Q4779" s="1" t="s">
        <v>42</v>
      </c>
      <c r="S4779" s="1" t="s">
        <v>42</v>
      </c>
      <c r="T4779" s="1" t="s">
        <v>273</v>
      </c>
      <c r="V4779" s="5">
        <v>43741</v>
      </c>
      <c r="W4779" s="5">
        <v>41643</v>
      </c>
      <c r="X4779" s="1">
        <v>380000</v>
      </c>
      <c r="Y4779" s="1">
        <v>380000</v>
      </c>
      <c r="Z4779" s="5">
        <v>41643</v>
      </c>
      <c r="AA4779" s="1">
        <v>375202</v>
      </c>
      <c r="AB4779" s="1" t="s">
        <v>3379</v>
      </c>
      <c r="AC4779" s="5">
        <v>41863</v>
      </c>
      <c r="AF4779" s="1">
        <v>10032</v>
      </c>
      <c r="AI4779" s="1" t="s">
        <v>211</v>
      </c>
      <c r="AJ4779" s="1">
        <v>2014</v>
      </c>
      <c r="AK4779" s="1" t="s">
        <v>175</v>
      </c>
      <c r="AL4779" s="1">
        <v>49</v>
      </c>
    </row>
    <row r="4780" spans="1:38" x14ac:dyDescent="0.2">
      <c r="A4780" s="2" t="str">
        <f>HYPERLINK("https://www.compass.com/listing/456-west-167th-street-unit-3h-manhattan-ny-10032/4852315539382473921/","456 W 167th St, Unit 3H")</f>
        <v>456 W 167th St, Unit 3H</v>
      </c>
      <c r="B4780" s="2" t="str">
        <f t="shared" si="807"/>
        <v>Edgecombe Parc</v>
      </c>
      <c r="C4780" s="1" t="s">
        <v>93</v>
      </c>
      <c r="D4780" s="1" t="s">
        <v>41</v>
      </c>
      <c r="E4780" s="3">
        <v>340000</v>
      </c>
      <c r="F4780" s="1">
        <v>673.26732673267304</v>
      </c>
      <c r="G4780" s="1">
        <v>3</v>
      </c>
      <c r="H4780" s="1">
        <v>1</v>
      </c>
      <c r="I4780" s="1">
        <v>1</v>
      </c>
      <c r="J4780" s="1">
        <v>1</v>
      </c>
      <c r="K4780" s="1">
        <v>1</v>
      </c>
      <c r="M4780" s="1">
        <v>505</v>
      </c>
      <c r="N4780" s="1">
        <v>274</v>
      </c>
      <c r="O4780" s="1">
        <v>572</v>
      </c>
      <c r="P4780" s="1">
        <v>298</v>
      </c>
      <c r="Q4780" s="1" t="s">
        <v>42</v>
      </c>
      <c r="S4780" s="1" t="s">
        <v>42</v>
      </c>
      <c r="T4780" s="1" t="s">
        <v>273</v>
      </c>
      <c r="V4780" s="5">
        <v>43741</v>
      </c>
      <c r="W4780" s="5">
        <v>41643</v>
      </c>
      <c r="X4780" s="1">
        <v>340000</v>
      </c>
      <c r="Y4780" s="1">
        <v>340000</v>
      </c>
      <c r="Z4780" s="5">
        <v>41643</v>
      </c>
      <c r="AA4780" s="1">
        <v>340000</v>
      </c>
      <c r="AB4780" s="1" t="s">
        <v>275</v>
      </c>
      <c r="AC4780" s="5">
        <v>41905</v>
      </c>
      <c r="AF4780" s="1">
        <v>10032</v>
      </c>
      <c r="AI4780" s="1" t="s">
        <v>211</v>
      </c>
      <c r="AJ4780" s="1">
        <v>2014</v>
      </c>
      <c r="AK4780" s="1" t="s">
        <v>175</v>
      </c>
      <c r="AL4780" s="1">
        <v>49</v>
      </c>
    </row>
    <row r="4781" spans="1:38" x14ac:dyDescent="0.2">
      <c r="A4781" s="2" t="str">
        <f>HYPERLINK("https://www.compass.com/listing/456-west-167th-street-unit-5h-manhattan-ny-10032/4852315539978065217/","456 W 167th St, Unit 5H")</f>
        <v>456 W 167th St, Unit 5H</v>
      </c>
      <c r="B4781" s="2" t="str">
        <f t="shared" si="807"/>
        <v>Edgecombe Parc</v>
      </c>
      <c r="C4781" s="1" t="s">
        <v>93</v>
      </c>
      <c r="D4781" s="1" t="s">
        <v>41</v>
      </c>
      <c r="E4781" s="3">
        <v>350000</v>
      </c>
      <c r="F4781" s="1">
        <v>693.06930693069296</v>
      </c>
      <c r="G4781" s="1">
        <v>3</v>
      </c>
      <c r="H4781" s="1">
        <v>1</v>
      </c>
      <c r="I4781" s="1">
        <v>1</v>
      </c>
      <c r="J4781" s="1">
        <v>1</v>
      </c>
      <c r="K4781" s="1">
        <v>1</v>
      </c>
      <c r="M4781" s="1">
        <v>505</v>
      </c>
      <c r="N4781" s="1">
        <v>282</v>
      </c>
      <c r="O4781" s="1">
        <v>589</v>
      </c>
      <c r="P4781" s="1">
        <v>307</v>
      </c>
      <c r="Q4781" s="1" t="s">
        <v>42</v>
      </c>
      <c r="S4781" s="1" t="s">
        <v>42</v>
      </c>
      <c r="T4781" s="1" t="s">
        <v>273</v>
      </c>
      <c r="V4781" s="5">
        <v>43741</v>
      </c>
      <c r="W4781" s="5">
        <v>41643</v>
      </c>
      <c r="X4781" s="1">
        <v>350000</v>
      </c>
      <c r="Y4781" s="1">
        <v>350000</v>
      </c>
      <c r="Z4781" s="5">
        <v>41643</v>
      </c>
      <c r="AA4781" s="1">
        <v>350000</v>
      </c>
      <c r="AB4781" s="1" t="s">
        <v>275</v>
      </c>
      <c r="AC4781" s="5">
        <v>41905</v>
      </c>
      <c r="AF4781" s="1">
        <v>10032</v>
      </c>
      <c r="AI4781" s="1" t="s">
        <v>211</v>
      </c>
      <c r="AJ4781" s="1">
        <v>2014</v>
      </c>
      <c r="AK4781" s="1" t="s">
        <v>175</v>
      </c>
      <c r="AL4781" s="1">
        <v>49</v>
      </c>
    </row>
    <row r="4782" spans="1:38" x14ac:dyDescent="0.2">
      <c r="A4782" s="2" t="str">
        <f>HYPERLINK("https://www.compass.com/listing/456-west-167th-street-unit-2h-manhattan-ny-10032/4852315540514936305/","456 W 167th St, Unit 2H")</f>
        <v>456 W 167th St, Unit 2H</v>
      </c>
      <c r="B4782" s="2" t="str">
        <f t="shared" si="807"/>
        <v>Edgecombe Parc</v>
      </c>
      <c r="C4782" s="1" t="s">
        <v>93</v>
      </c>
      <c r="D4782" s="1" t="s">
        <v>41</v>
      </c>
      <c r="E4782" s="3">
        <v>340000</v>
      </c>
      <c r="F4782" s="1">
        <v>673.26732673267304</v>
      </c>
      <c r="G4782" s="1">
        <v>3</v>
      </c>
      <c r="H4782" s="1">
        <v>1</v>
      </c>
      <c r="I4782" s="1">
        <v>1</v>
      </c>
      <c r="J4782" s="1">
        <v>1</v>
      </c>
      <c r="K4782" s="1">
        <v>1</v>
      </c>
      <c r="M4782" s="1">
        <v>505</v>
      </c>
      <c r="N4782" s="1">
        <v>274</v>
      </c>
      <c r="O4782" s="1">
        <v>572</v>
      </c>
      <c r="P4782" s="1">
        <v>298</v>
      </c>
      <c r="Q4782" s="1" t="s">
        <v>42</v>
      </c>
      <c r="S4782" s="1" t="s">
        <v>42</v>
      </c>
      <c r="T4782" s="1" t="s">
        <v>273</v>
      </c>
      <c r="V4782" s="5">
        <v>43741</v>
      </c>
      <c r="W4782" s="5">
        <v>41643</v>
      </c>
      <c r="X4782" s="1">
        <v>340000</v>
      </c>
      <c r="Y4782" s="1">
        <v>340000</v>
      </c>
      <c r="Z4782" s="5">
        <v>41643</v>
      </c>
      <c r="AA4782" s="1">
        <v>340000</v>
      </c>
      <c r="AB4782" s="1" t="s">
        <v>275</v>
      </c>
      <c r="AC4782" s="5">
        <v>41905</v>
      </c>
      <c r="AF4782" s="1">
        <v>10032</v>
      </c>
      <c r="AI4782" s="1" t="s">
        <v>211</v>
      </c>
      <c r="AJ4782" s="1">
        <v>2014</v>
      </c>
      <c r="AK4782" s="1" t="s">
        <v>175</v>
      </c>
      <c r="AL4782" s="1">
        <v>49</v>
      </c>
    </row>
    <row r="4783" spans="1:38" x14ac:dyDescent="0.2">
      <c r="A4783" s="2" t="str">
        <f>HYPERLINK("https://www.compass.com/listing/2231-adam-clayton-powell-jr-boulevard-unit-608-manhattan-ny-10027/192575545073048657/","2231 Adam Clayton Powell Jr Blvd, Unit 608")</f>
        <v>2231 Adam Clayton Powell Jr Blvd, Unit 608</v>
      </c>
      <c r="B4783" s="2" t="str">
        <f t="shared" ref="B4783:B4786" si="808">HYPERLINK("https://www.compass.com/building/the-aurum-manhattan-ny/307451641162444869/","The Aurum")</f>
        <v>The Aurum</v>
      </c>
      <c r="C4783" s="1" t="s">
        <v>85</v>
      </c>
      <c r="D4783" s="1" t="s">
        <v>41</v>
      </c>
      <c r="E4783" s="3">
        <v>731103</v>
      </c>
      <c r="F4783" s="1">
        <v>1126.5069337442201</v>
      </c>
      <c r="G4783" s="1">
        <v>3</v>
      </c>
      <c r="H4783" s="1">
        <v>1</v>
      </c>
      <c r="I4783" s="1">
        <v>1</v>
      </c>
      <c r="J4783" s="1">
        <v>1</v>
      </c>
      <c r="M4783" s="1">
        <v>649</v>
      </c>
      <c r="N4783" s="1">
        <v>619</v>
      </c>
      <c r="O4783" s="1">
        <v>734</v>
      </c>
      <c r="P4783" s="1">
        <v>115</v>
      </c>
      <c r="Q4783" s="1" t="s">
        <v>42</v>
      </c>
      <c r="S4783" s="1" t="s">
        <v>42</v>
      </c>
      <c r="T4783" s="1" t="s">
        <v>273</v>
      </c>
      <c r="U4783" s="1">
        <v>64</v>
      </c>
      <c r="V4783" s="5">
        <v>43668</v>
      </c>
      <c r="W4783" s="5">
        <v>42486</v>
      </c>
      <c r="X4783" s="1">
        <v>703000</v>
      </c>
      <c r="Y4783" s="1">
        <v>703000</v>
      </c>
      <c r="Z4783" s="5">
        <v>42550</v>
      </c>
      <c r="AA4783" s="1">
        <v>731103</v>
      </c>
      <c r="AB4783" s="1" t="s">
        <v>275</v>
      </c>
      <c r="AC4783" s="5">
        <v>42714</v>
      </c>
      <c r="AF4783" s="1">
        <v>10027</v>
      </c>
      <c r="AI4783" s="1" t="s">
        <v>52</v>
      </c>
      <c r="AJ4783" s="1">
        <v>2016</v>
      </c>
      <c r="AK4783" s="1" t="s">
        <v>108</v>
      </c>
      <c r="AL4783" s="1">
        <v>115</v>
      </c>
    </row>
    <row r="4784" spans="1:38" x14ac:dyDescent="0.2">
      <c r="A4784" s="2" t="str">
        <f>HYPERLINK("https://www.compass.com/listing/2231-adam-clayton-powell-jr-boulevard-unit-ph12-manhattan-ny-10027/192575645593759777/","2231 Adam Clayton Powell Jr Blvd, Unit PH12")</f>
        <v>2231 Adam Clayton Powell Jr Blvd, Unit PH12</v>
      </c>
      <c r="B4784" s="2" t="str">
        <f t="shared" si="808"/>
        <v>The Aurum</v>
      </c>
      <c r="C4784" s="1" t="s">
        <v>85</v>
      </c>
      <c r="D4784" s="1" t="s">
        <v>41</v>
      </c>
      <c r="E4784" s="3">
        <v>801362</v>
      </c>
      <c r="F4784" s="1">
        <v>1313.7081967213101</v>
      </c>
      <c r="G4784" s="1">
        <v>3</v>
      </c>
      <c r="H4784" s="1">
        <v>1</v>
      </c>
      <c r="I4784" s="1">
        <v>1</v>
      </c>
      <c r="J4784" s="1">
        <v>1</v>
      </c>
      <c r="M4784" s="1">
        <v>610</v>
      </c>
      <c r="N4784" s="1">
        <v>582</v>
      </c>
      <c r="O4784" s="1">
        <v>690</v>
      </c>
      <c r="P4784" s="1">
        <v>108</v>
      </c>
      <c r="Q4784" s="1" t="s">
        <v>42</v>
      </c>
      <c r="S4784" s="1" t="s">
        <v>42</v>
      </c>
      <c r="T4784" s="1" t="s">
        <v>273</v>
      </c>
      <c r="V4784" s="5">
        <v>43668</v>
      </c>
      <c r="W4784" s="5">
        <v>42550</v>
      </c>
      <c r="X4784" s="1">
        <v>787000</v>
      </c>
      <c r="Y4784" s="1">
        <v>787000</v>
      </c>
      <c r="Z4784" s="5">
        <v>42550</v>
      </c>
      <c r="AA4784" s="1">
        <v>801362</v>
      </c>
      <c r="AB4784" s="1" t="s">
        <v>275</v>
      </c>
      <c r="AC4784" s="5">
        <v>42773</v>
      </c>
      <c r="AF4784" s="1">
        <v>10027</v>
      </c>
      <c r="AI4784" s="1" t="s">
        <v>133</v>
      </c>
      <c r="AJ4784" s="1">
        <v>2016</v>
      </c>
      <c r="AK4784" s="1" t="s">
        <v>108</v>
      </c>
      <c r="AL4784" s="1">
        <v>115</v>
      </c>
    </row>
    <row r="4785" spans="1:38" x14ac:dyDescent="0.2">
      <c r="A4785" s="2" t="str">
        <f>HYPERLINK("https://www.compass.com/listing/2231-adam-clayton-powell-jr-boulevard-unit-619-manhattan-ny-10027/192575646231241585/","2231 Adam Clayton Powell Jr Blvd, Unit 619")</f>
        <v>2231 Adam Clayton Powell Jr Blvd, Unit 619</v>
      </c>
      <c r="B4785" s="2" t="str">
        <f t="shared" si="808"/>
        <v>The Aurum</v>
      </c>
      <c r="C4785" s="1" t="s">
        <v>85</v>
      </c>
      <c r="D4785" s="1" t="s">
        <v>41</v>
      </c>
      <c r="E4785" s="3">
        <v>831401</v>
      </c>
      <c r="F4785" s="1">
        <v>1074.16149870801</v>
      </c>
      <c r="G4785" s="1">
        <v>3</v>
      </c>
      <c r="H4785" s="1">
        <v>1</v>
      </c>
      <c r="I4785" s="1">
        <v>1</v>
      </c>
      <c r="J4785" s="1">
        <v>1</v>
      </c>
      <c r="M4785" s="1">
        <v>774</v>
      </c>
      <c r="N4785" s="1">
        <v>738</v>
      </c>
      <c r="O4785" s="1">
        <v>875</v>
      </c>
      <c r="P4785" s="1">
        <v>137</v>
      </c>
      <c r="Q4785" s="1" t="s">
        <v>42</v>
      </c>
      <c r="S4785" s="1" t="s">
        <v>42</v>
      </c>
      <c r="T4785" s="1" t="s">
        <v>273</v>
      </c>
      <c r="U4785" s="1">
        <v>106</v>
      </c>
      <c r="V4785" s="5">
        <v>43668</v>
      </c>
      <c r="W4785" s="5">
        <v>42486</v>
      </c>
      <c r="X4785" s="1">
        <v>816500</v>
      </c>
      <c r="Y4785" s="1">
        <v>816500</v>
      </c>
      <c r="Z4785" s="5">
        <v>42627</v>
      </c>
      <c r="AA4785" s="1">
        <v>831401</v>
      </c>
      <c r="AB4785" s="1" t="s">
        <v>275</v>
      </c>
      <c r="AC4785" s="5">
        <v>42781</v>
      </c>
      <c r="AF4785" s="1">
        <v>10027</v>
      </c>
      <c r="AI4785" s="1" t="s">
        <v>52</v>
      </c>
      <c r="AJ4785" s="1">
        <v>2016</v>
      </c>
      <c r="AK4785" s="1" t="s">
        <v>108</v>
      </c>
      <c r="AL4785" s="1">
        <v>115</v>
      </c>
    </row>
    <row r="4786" spans="1:38" x14ac:dyDescent="0.2">
      <c r="A4786" s="2" t="str">
        <f>HYPERLINK("https://www.compass.com/listing/2231-adam-clayton-powell-jr-boulevard-unit-419-manhattan-ny-10027/70927484719322177/","2231 Adam Clayton Powell Jr Blvd, Unit 419")</f>
        <v>2231 Adam Clayton Powell Jr Blvd, Unit 419</v>
      </c>
      <c r="B4786" s="2" t="str">
        <f t="shared" si="808"/>
        <v>The Aurum</v>
      </c>
      <c r="C4786" s="1" t="s">
        <v>85</v>
      </c>
      <c r="D4786" s="1" t="s">
        <v>41</v>
      </c>
      <c r="E4786" s="3">
        <v>778961</v>
      </c>
      <c r="F4786" s="1">
        <v>1006.40956072351</v>
      </c>
      <c r="G4786" s="1">
        <v>3</v>
      </c>
      <c r="H4786" s="1">
        <v>1</v>
      </c>
      <c r="I4786" s="1">
        <v>1</v>
      </c>
      <c r="J4786" s="1">
        <v>1</v>
      </c>
      <c r="M4786" s="1">
        <v>774</v>
      </c>
      <c r="N4786" s="1">
        <v>738</v>
      </c>
      <c r="O4786" s="1">
        <v>875</v>
      </c>
      <c r="P4786" s="1">
        <v>137</v>
      </c>
      <c r="Q4786" s="1" t="s">
        <v>42</v>
      </c>
      <c r="S4786" s="1" t="s">
        <v>42</v>
      </c>
      <c r="T4786" s="1" t="s">
        <v>273</v>
      </c>
      <c r="V4786" s="5">
        <v>43641</v>
      </c>
      <c r="W4786" s="5">
        <v>42486</v>
      </c>
      <c r="X4786" s="1">
        <v>789500</v>
      </c>
      <c r="Y4786" s="1">
        <v>789500</v>
      </c>
      <c r="Z4786" s="5">
        <v>42486</v>
      </c>
      <c r="AA4786" s="1">
        <v>778961</v>
      </c>
      <c r="AB4786" s="1" t="s">
        <v>275</v>
      </c>
      <c r="AC4786" s="5">
        <v>42724</v>
      </c>
      <c r="AF4786" s="1">
        <v>10027</v>
      </c>
      <c r="AI4786" s="1" t="s">
        <v>52</v>
      </c>
      <c r="AJ4786" s="1">
        <v>2016</v>
      </c>
      <c r="AK4786" s="1" t="s">
        <v>108</v>
      </c>
      <c r="AL4786" s="1">
        <v>115</v>
      </c>
    </row>
    <row r="4787" spans="1:38" x14ac:dyDescent="0.2">
      <c r="A4787" s="2" t="str">
        <f>HYPERLINK("https://www.compass.com/listing/325-lexington-avenue-unit-23c-manhattan-ny-10016/29379725029876849/","325 Lexington Ave, Unit 23C")</f>
        <v>325 Lexington Ave, Unit 23C</v>
      </c>
      <c r="B4787" s="2" t="str">
        <f t="shared" ref="B4787:B4789" si="809">HYPERLINK("https://www.compass.com/building/325-lex-condominium-manhattan-ny/281939882467713365/","325 Lex Condominium")</f>
        <v>325 Lex Condominium</v>
      </c>
      <c r="C4787" s="1" t="s">
        <v>59</v>
      </c>
      <c r="D4787" s="1" t="s">
        <v>41</v>
      </c>
      <c r="E4787" s="3">
        <v>2494713</v>
      </c>
      <c r="F4787" s="1">
        <v>2192.1906854130002</v>
      </c>
      <c r="G4787" s="1">
        <v>4</v>
      </c>
      <c r="H4787" s="1">
        <v>2</v>
      </c>
      <c r="I4787" s="1">
        <v>2</v>
      </c>
      <c r="J4787" s="1">
        <v>2</v>
      </c>
      <c r="K4787" s="1">
        <v>2</v>
      </c>
      <c r="M4787" s="4">
        <v>1138</v>
      </c>
      <c r="N4787" s="1">
        <v>1652</v>
      </c>
      <c r="O4787" s="1">
        <v>2012</v>
      </c>
      <c r="P4787" s="1">
        <v>360</v>
      </c>
      <c r="Q4787" s="1" t="s">
        <v>42</v>
      </c>
      <c r="S4787" s="1" t="s">
        <v>42</v>
      </c>
      <c r="T4787" s="1" t="s">
        <v>273</v>
      </c>
      <c r="U4787" s="1">
        <v>22</v>
      </c>
      <c r="V4787" s="5">
        <v>43651</v>
      </c>
      <c r="W4787" s="5">
        <v>42104</v>
      </c>
      <c r="X4787" s="1">
        <v>2450000</v>
      </c>
      <c r="Y4787" s="1">
        <v>2450000</v>
      </c>
      <c r="Z4787" s="5">
        <v>42126</v>
      </c>
      <c r="AA4787" s="1">
        <v>2494713</v>
      </c>
      <c r="AB4787" s="1" t="s">
        <v>3380</v>
      </c>
      <c r="AC4787" s="5">
        <v>42185</v>
      </c>
      <c r="AF4787" s="1">
        <v>10016</v>
      </c>
      <c r="AI4787" s="1" t="s">
        <v>60</v>
      </c>
      <c r="AJ4787" s="1">
        <v>2014</v>
      </c>
      <c r="AK4787" s="1" t="s">
        <v>108</v>
      </c>
      <c r="AL4787" s="1">
        <v>125</v>
      </c>
    </row>
    <row r="4788" spans="1:38" x14ac:dyDescent="0.2">
      <c r="A4788" s="2" t="str">
        <f>HYPERLINK("https://www.compass.com/listing/325-lexington-avenue-unit-29a-manhattan-ny-10016/29379735683414817/","325 Lexington Ave, Unit 29A")</f>
        <v>325 Lexington Ave, Unit 29A</v>
      </c>
      <c r="B4788" s="2" t="str">
        <f t="shared" si="809"/>
        <v>325 Lex Condominium</v>
      </c>
      <c r="C4788" s="1" t="s">
        <v>59</v>
      </c>
      <c r="D4788" s="1" t="s">
        <v>41</v>
      </c>
      <c r="E4788" s="3">
        <v>2749275</v>
      </c>
      <c r="F4788" s="1">
        <v>2490.2853260869501</v>
      </c>
      <c r="G4788" s="1">
        <v>4</v>
      </c>
      <c r="H4788" s="1">
        <v>2</v>
      </c>
      <c r="I4788" s="1">
        <v>2</v>
      </c>
      <c r="J4788" s="1">
        <v>2</v>
      </c>
      <c r="K4788" s="1">
        <v>2</v>
      </c>
      <c r="M4788" s="4">
        <v>1104</v>
      </c>
      <c r="N4788" s="1">
        <v>1646</v>
      </c>
      <c r="O4788" s="1">
        <v>2005</v>
      </c>
      <c r="P4788" s="1">
        <v>359</v>
      </c>
      <c r="Q4788" s="1" t="s">
        <v>42</v>
      </c>
      <c r="S4788" s="1" t="s">
        <v>42</v>
      </c>
      <c r="T4788" s="1" t="s">
        <v>273</v>
      </c>
      <c r="V4788" s="5">
        <v>43654</v>
      </c>
      <c r="W4788" s="5">
        <v>41985</v>
      </c>
      <c r="X4788" s="1">
        <v>2700000</v>
      </c>
      <c r="Y4788" s="1">
        <v>2700000</v>
      </c>
      <c r="Z4788" s="5">
        <v>41985</v>
      </c>
      <c r="AA4788" s="1">
        <v>2749275</v>
      </c>
      <c r="AB4788" s="1" t="s">
        <v>3381</v>
      </c>
      <c r="AC4788" s="5">
        <v>42046</v>
      </c>
      <c r="AF4788" s="1">
        <v>10016</v>
      </c>
      <c r="AI4788" s="1" t="s">
        <v>60</v>
      </c>
      <c r="AJ4788" s="1">
        <v>2014</v>
      </c>
      <c r="AK4788" s="1" t="s">
        <v>108</v>
      </c>
      <c r="AL4788" s="1">
        <v>125</v>
      </c>
    </row>
    <row r="4789" spans="1:38" x14ac:dyDescent="0.2">
      <c r="A4789" s="2" t="str">
        <f>HYPERLINK("https://www.compass.com/listing/325-lexington-avenue-unit-31c-manhattan-ny-10016/70926567123015041/","325 Lexington Ave, Unit 31C")</f>
        <v>325 Lexington Ave, Unit 31C</v>
      </c>
      <c r="B4789" s="2" t="str">
        <f t="shared" si="809"/>
        <v>325 Lex Condominium</v>
      </c>
      <c r="C4789" s="1" t="s">
        <v>59</v>
      </c>
      <c r="D4789" s="1" t="s">
        <v>41</v>
      </c>
      <c r="E4789" s="3">
        <v>2905013</v>
      </c>
      <c r="F4789" s="1">
        <v>2648.14266180492</v>
      </c>
      <c r="G4789" s="1">
        <v>4</v>
      </c>
      <c r="H4789" s="1">
        <v>2</v>
      </c>
      <c r="I4789" s="1">
        <v>2</v>
      </c>
      <c r="J4789" s="1">
        <v>2</v>
      </c>
      <c r="K4789" s="1">
        <v>2</v>
      </c>
      <c r="M4789" s="4">
        <v>1097</v>
      </c>
      <c r="N4789" s="1">
        <v>1650</v>
      </c>
      <c r="O4789" s="1">
        <v>2009</v>
      </c>
      <c r="P4789" s="1">
        <v>359</v>
      </c>
      <c r="Q4789" s="1" t="s">
        <v>42</v>
      </c>
      <c r="S4789" s="1" t="s">
        <v>42</v>
      </c>
      <c r="T4789" s="1" t="s">
        <v>273</v>
      </c>
      <c r="U4789" s="1">
        <v>250</v>
      </c>
      <c r="V4789" s="5">
        <v>42998</v>
      </c>
      <c r="W4789" s="5">
        <v>42116</v>
      </c>
      <c r="X4789" s="1">
        <v>2850000</v>
      </c>
      <c r="Y4789" s="1">
        <v>2850000</v>
      </c>
      <c r="AA4789" s="1">
        <v>2905012.5</v>
      </c>
      <c r="AB4789" s="1" t="s">
        <v>405</v>
      </c>
      <c r="AC4789" s="5">
        <v>42538</v>
      </c>
      <c r="AF4789" s="1">
        <v>10016</v>
      </c>
      <c r="AI4789" s="1" t="s">
        <v>205</v>
      </c>
      <c r="AJ4789" s="1">
        <v>2014</v>
      </c>
      <c r="AK4789" s="1" t="s">
        <v>108</v>
      </c>
      <c r="AL4789" s="1">
        <v>125</v>
      </c>
    </row>
    <row r="4790" spans="1:38" x14ac:dyDescent="0.2">
      <c r="A4790" s="2" t="str">
        <f>HYPERLINK("https://www.compass.com/listing/695-1st-avenue-unit-28l-manhattan-ny-10016/804183567227395385/","695 1st Ave, Unit 28L")</f>
        <v>695 1st Ave, Unit 28L</v>
      </c>
      <c r="B4790" s="2" t="str">
        <f t="shared" ref="B4790:B4791" si="810">HYPERLINK("https://www.compass.com/building/one-united-nations-park-manhattan-ny/282058773630059653/","One United Nations Park")</f>
        <v>One United Nations Park</v>
      </c>
      <c r="C4790" s="1" t="s">
        <v>59</v>
      </c>
      <c r="D4790" s="1" t="s">
        <v>41</v>
      </c>
      <c r="E4790" s="3">
        <v>1195000</v>
      </c>
      <c r="F4790" s="1">
        <v>1572.3684210526301</v>
      </c>
      <c r="G4790" s="1">
        <v>3</v>
      </c>
      <c r="H4790" s="1">
        <v>1</v>
      </c>
      <c r="I4790" s="1">
        <v>1</v>
      </c>
      <c r="J4790" s="1">
        <v>1</v>
      </c>
      <c r="K4790" s="1">
        <v>1</v>
      </c>
      <c r="M4790" s="1">
        <v>760</v>
      </c>
      <c r="N4790" s="1">
        <v>1019</v>
      </c>
      <c r="O4790" s="1">
        <v>2229</v>
      </c>
      <c r="P4790" s="1">
        <v>1210</v>
      </c>
      <c r="Q4790" s="1" t="s">
        <v>42</v>
      </c>
      <c r="S4790" s="1" t="s">
        <v>42</v>
      </c>
      <c r="T4790" s="1" t="s">
        <v>273</v>
      </c>
      <c r="U4790" s="1">
        <v>220</v>
      </c>
      <c r="V4790" s="5">
        <v>44412</v>
      </c>
      <c r="W4790" s="5">
        <v>44062</v>
      </c>
      <c r="X4790" s="1">
        <v>1385000</v>
      </c>
      <c r="Y4790" s="1">
        <v>1250000</v>
      </c>
      <c r="Z4790" s="5">
        <v>44283</v>
      </c>
      <c r="AA4790" s="1">
        <v>1195000</v>
      </c>
      <c r="AB4790" s="1" t="s">
        <v>275</v>
      </c>
      <c r="AC4790" s="5">
        <v>44410</v>
      </c>
      <c r="AF4790" s="1">
        <v>10016</v>
      </c>
      <c r="AJ4790" s="1">
        <v>2019</v>
      </c>
      <c r="AK4790" s="1" t="s">
        <v>46</v>
      </c>
      <c r="AL4790" s="1">
        <v>148</v>
      </c>
    </row>
    <row r="4791" spans="1:38" x14ac:dyDescent="0.2">
      <c r="A4791" s="2" t="str">
        <f>HYPERLINK("https://www.compass.com/listing/695-1st-avenue-unit-30j-manhattan-ny-10016/271337613745517809/","695 1st Ave, Unit 30J")</f>
        <v>695 1st Ave, Unit 30J</v>
      </c>
      <c r="B4791" s="2" t="str">
        <f t="shared" si="810"/>
        <v>One United Nations Park</v>
      </c>
      <c r="C4791" s="1" t="s">
        <v>59</v>
      </c>
      <c r="D4791" s="1" t="s">
        <v>41</v>
      </c>
      <c r="E4791" s="3">
        <v>1190000</v>
      </c>
      <c r="F4791" s="1">
        <v>1666.6666666666599</v>
      </c>
      <c r="G4791" s="1">
        <v>3</v>
      </c>
      <c r="H4791" s="1">
        <v>1</v>
      </c>
      <c r="I4791" s="1">
        <v>1</v>
      </c>
      <c r="J4791" s="1">
        <v>1</v>
      </c>
      <c r="K4791" s="1">
        <v>1</v>
      </c>
      <c r="M4791" s="1">
        <v>714</v>
      </c>
      <c r="N4791" s="1">
        <v>957</v>
      </c>
      <c r="O4791" s="1">
        <v>2094</v>
      </c>
      <c r="P4791" s="1">
        <v>1137</v>
      </c>
      <c r="Q4791" s="1" t="s">
        <v>42</v>
      </c>
      <c r="S4791" s="1" t="s">
        <v>42</v>
      </c>
      <c r="T4791" s="1" t="s">
        <v>273</v>
      </c>
      <c r="U4791" s="1">
        <v>345</v>
      </c>
      <c r="V4791" s="5">
        <v>44421</v>
      </c>
      <c r="W4791" s="5">
        <v>43623</v>
      </c>
      <c r="X4791" s="1">
        <v>1690000</v>
      </c>
      <c r="Y4791" s="1">
        <v>1250000</v>
      </c>
      <c r="Z4791" s="5">
        <v>44174</v>
      </c>
      <c r="AA4791" s="1">
        <v>1190000</v>
      </c>
      <c r="AB4791" s="1" t="s">
        <v>275</v>
      </c>
      <c r="AC4791" s="5">
        <v>44413</v>
      </c>
      <c r="AF4791" s="1">
        <v>10016</v>
      </c>
      <c r="AJ4791" s="1">
        <v>2019</v>
      </c>
      <c r="AK4791" s="1" t="s">
        <v>46</v>
      </c>
      <c r="AL4791" s="1">
        <v>148</v>
      </c>
    </row>
    <row r="4792" spans="1:38" x14ac:dyDescent="0.2">
      <c r="A4792" s="2" t="str">
        <f>HYPERLINK("https://www.compass.com/listing/285-west-110th-street-unit-5h-manhattan-ny-10026/4852274729559539649/","285 W 110th St, Unit 5H")</f>
        <v>285 W 110th St, Unit 5H</v>
      </c>
      <c r="B4792" s="2" t="str">
        <f t="shared" ref="B4792:B4793" si="811">HYPERLINK("https://www.compass.com/building/circa-central-park-manhattan-ny/282059072692321269/","Circa Central Park")</f>
        <v>Circa Central Park</v>
      </c>
      <c r="C4792" s="1" t="s">
        <v>85</v>
      </c>
      <c r="D4792" s="1" t="s">
        <v>41</v>
      </c>
      <c r="E4792" s="3">
        <v>3592386</v>
      </c>
      <c r="F4792" s="1">
        <v>2412.6165211551302</v>
      </c>
      <c r="G4792" s="1">
        <v>4</v>
      </c>
      <c r="H4792" s="1">
        <v>3</v>
      </c>
      <c r="I4792" s="1">
        <v>3</v>
      </c>
      <c r="J4792" s="1">
        <v>3</v>
      </c>
      <c r="K4792" s="1">
        <v>3</v>
      </c>
      <c r="M4792" s="4">
        <v>1489</v>
      </c>
      <c r="N4792" s="1">
        <v>1859</v>
      </c>
      <c r="O4792" s="1">
        <v>2042</v>
      </c>
      <c r="P4792" s="1">
        <v>183</v>
      </c>
      <c r="Q4792" s="1" t="s">
        <v>42</v>
      </c>
      <c r="S4792" s="1" t="s">
        <v>42</v>
      </c>
      <c r="T4792" s="1" t="s">
        <v>273</v>
      </c>
      <c r="V4792" s="5">
        <v>43664</v>
      </c>
      <c r="W4792" s="5">
        <v>42649</v>
      </c>
      <c r="X4792" s="1">
        <v>3300000</v>
      </c>
      <c r="Y4792" s="1">
        <v>3300000</v>
      </c>
      <c r="Z4792" s="5">
        <v>42649</v>
      </c>
      <c r="AA4792" s="1">
        <v>3592386</v>
      </c>
      <c r="AB4792" s="1" t="s">
        <v>275</v>
      </c>
      <c r="AC4792" s="5">
        <v>42909</v>
      </c>
      <c r="AF4792" s="1">
        <v>10026</v>
      </c>
      <c r="AI4792" s="1" t="s">
        <v>48</v>
      </c>
      <c r="AJ4792" s="1">
        <v>2017</v>
      </c>
      <c r="AK4792" s="1" t="s">
        <v>46</v>
      </c>
      <c r="AL4792" s="1">
        <v>38</v>
      </c>
    </row>
    <row r="4793" spans="1:38" x14ac:dyDescent="0.2">
      <c r="A4793" s="2" t="str">
        <f>HYPERLINK("https://www.compass.com/listing/285-west-110th-street-unit-6a-manhattan-ny-10026/4852279981155296577/","285 W 110th St, Unit 6A")</f>
        <v>285 W 110th St, Unit 6A</v>
      </c>
      <c r="B4793" s="2" t="str">
        <f t="shared" si="811"/>
        <v>Circa Central Park</v>
      </c>
      <c r="C4793" s="1" t="s">
        <v>85</v>
      </c>
      <c r="D4793" s="1" t="s">
        <v>41</v>
      </c>
      <c r="E4793" s="3">
        <v>3843893</v>
      </c>
      <c r="F4793" s="1">
        <v>2437.4717818642898</v>
      </c>
      <c r="G4793" s="1">
        <v>4</v>
      </c>
      <c r="H4793" s="1">
        <v>3</v>
      </c>
      <c r="I4793" s="1">
        <v>3</v>
      </c>
      <c r="J4793" s="1">
        <v>3</v>
      </c>
      <c r="K4793" s="1">
        <v>3</v>
      </c>
      <c r="M4793" s="4">
        <v>1577</v>
      </c>
      <c r="N4793" s="1">
        <v>2067</v>
      </c>
      <c r="O4793" s="1">
        <v>2265</v>
      </c>
      <c r="P4793" s="1">
        <v>198</v>
      </c>
      <c r="Q4793" s="1" t="s">
        <v>42</v>
      </c>
      <c r="S4793" s="1" t="s">
        <v>42</v>
      </c>
      <c r="T4793" s="1" t="s">
        <v>273</v>
      </c>
      <c r="V4793" s="5">
        <v>43650</v>
      </c>
      <c r="W4793" s="5">
        <v>42649</v>
      </c>
      <c r="X4793" s="1">
        <v>3600000</v>
      </c>
      <c r="Y4793" s="1">
        <v>3600000</v>
      </c>
      <c r="Z4793" s="5">
        <v>42649</v>
      </c>
      <c r="AA4793" s="1">
        <v>3843893</v>
      </c>
      <c r="AB4793" s="1" t="s">
        <v>275</v>
      </c>
      <c r="AC4793" s="5">
        <v>42924</v>
      </c>
      <c r="AF4793" s="1">
        <v>10026</v>
      </c>
      <c r="AI4793" s="1" t="s">
        <v>48</v>
      </c>
      <c r="AJ4793" s="1">
        <v>2017</v>
      </c>
      <c r="AK4793" s="1" t="s">
        <v>46</v>
      </c>
      <c r="AL4793" s="1">
        <v>38</v>
      </c>
    </row>
    <row r="4794" spans="1:38" x14ac:dyDescent="0.2">
      <c r="A4794" s="2" t="str">
        <f>HYPERLINK("https://www.compass.com/listing/425-west-50th-street-unit-14ab-manhattan-ny-10019/4852270814822673777/","425 W 50th St, Unit 14AB")</f>
        <v>425 W 50th St, Unit 14AB</v>
      </c>
      <c r="B4794" s="2" t="str">
        <f>HYPERLINK("https://www.compass.com/building/stella-tower-manhattan-ny/281945855710262181/","Stella Tower")</f>
        <v>Stella Tower</v>
      </c>
      <c r="C4794" s="1" t="s">
        <v>90</v>
      </c>
      <c r="D4794" s="1" t="s">
        <v>41</v>
      </c>
      <c r="E4794" s="3">
        <v>6900000</v>
      </c>
      <c r="F4794" s="1">
        <v>2698.4747751271002</v>
      </c>
      <c r="G4794" s="1">
        <v>8</v>
      </c>
      <c r="H4794" s="1">
        <v>4</v>
      </c>
      <c r="I4794" s="1">
        <v>4</v>
      </c>
      <c r="J4794" s="1">
        <v>3.5</v>
      </c>
      <c r="M4794" s="4">
        <v>2557</v>
      </c>
      <c r="N4794" s="1">
        <v>3176</v>
      </c>
      <c r="O4794" s="1">
        <v>6365</v>
      </c>
      <c r="P4794" s="1">
        <v>3189</v>
      </c>
      <c r="Q4794" s="1" t="s">
        <v>42</v>
      </c>
      <c r="S4794" s="1" t="s">
        <v>42</v>
      </c>
      <c r="T4794" s="1" t="s">
        <v>273</v>
      </c>
      <c r="U4794" s="1">
        <v>603</v>
      </c>
      <c r="V4794" s="5">
        <v>43670</v>
      </c>
      <c r="W4794" s="5">
        <v>42206</v>
      </c>
      <c r="X4794" s="1">
        <v>8600000</v>
      </c>
      <c r="Y4794" s="1">
        <v>6900000</v>
      </c>
      <c r="AA4794" s="1">
        <v>6900000</v>
      </c>
      <c r="AB4794" s="1" t="s">
        <v>275</v>
      </c>
      <c r="AC4794" s="5">
        <v>42809</v>
      </c>
      <c r="AF4794" s="1">
        <v>10019</v>
      </c>
      <c r="AI4794" s="1" t="s">
        <v>319</v>
      </c>
      <c r="AJ4794" s="1">
        <v>1930</v>
      </c>
      <c r="AK4794" s="1" t="s">
        <v>46</v>
      </c>
      <c r="AL4794" s="1">
        <v>51</v>
      </c>
    </row>
    <row r="4795" spans="1:38" x14ac:dyDescent="0.2">
      <c r="A4795" s="2" t="str">
        <f>HYPERLINK("https://www.compass.com/listing/456-west-167th-street-unit-4c-manhattan-ny-10032/29435104665344161/","456 W 167th St, Unit 4C")</f>
        <v>456 W 167th St, Unit 4C</v>
      </c>
      <c r="B4795" s="2" t="str">
        <f t="shared" ref="B4795:B4797" si="812">HYPERLINK("https://www.compass.com/building/edgecombe-parc-manhattan-ny/282005897969005013/","Edgecombe Parc")</f>
        <v>Edgecombe Parc</v>
      </c>
      <c r="C4795" s="1" t="s">
        <v>93</v>
      </c>
      <c r="D4795" s="1" t="s">
        <v>41</v>
      </c>
      <c r="E4795" s="3">
        <v>530000</v>
      </c>
      <c r="F4795" s="1">
        <v>799.39668174962196</v>
      </c>
      <c r="G4795" s="1">
        <v>3</v>
      </c>
      <c r="H4795" s="1">
        <v>1</v>
      </c>
      <c r="I4795" s="1">
        <v>1</v>
      </c>
      <c r="J4795" s="1">
        <v>1</v>
      </c>
      <c r="M4795" s="1">
        <v>663</v>
      </c>
      <c r="N4795" s="1">
        <v>344</v>
      </c>
      <c r="O4795" s="1">
        <v>940</v>
      </c>
      <c r="P4795" s="1">
        <v>596</v>
      </c>
      <c r="Q4795" s="1" t="s">
        <v>42</v>
      </c>
      <c r="S4795" s="1" t="s">
        <v>42</v>
      </c>
      <c r="T4795" s="1" t="s">
        <v>273</v>
      </c>
      <c r="U4795" s="1">
        <v>35</v>
      </c>
      <c r="V4795" s="5">
        <v>43665</v>
      </c>
      <c r="W4795" s="5">
        <v>42714</v>
      </c>
      <c r="X4795" s="1">
        <v>539000</v>
      </c>
      <c r="Y4795" s="1">
        <v>539000</v>
      </c>
      <c r="Z4795" s="5">
        <v>42749</v>
      </c>
      <c r="AA4795" s="1">
        <v>530000</v>
      </c>
      <c r="AB4795" s="1" t="s">
        <v>3382</v>
      </c>
      <c r="AC4795" s="5">
        <v>42781</v>
      </c>
      <c r="AF4795" s="1">
        <v>10032</v>
      </c>
      <c r="AI4795" s="1" t="s">
        <v>61</v>
      </c>
      <c r="AJ4795" s="1">
        <v>2014</v>
      </c>
      <c r="AK4795" s="1" t="s">
        <v>215</v>
      </c>
      <c r="AL4795" s="1">
        <v>49</v>
      </c>
    </row>
    <row r="4796" spans="1:38" x14ac:dyDescent="0.2">
      <c r="A4796" s="2" t="str">
        <f>HYPERLINK("https://www.compass.com/listing/456-west-167th-street-unit-2f-manhattan-ny-10032/803421156258291625/","456 W 167th St, Unit 2F")</f>
        <v>456 W 167th St, Unit 2F</v>
      </c>
      <c r="B4796" s="2" t="str">
        <f t="shared" si="812"/>
        <v>Edgecombe Parc</v>
      </c>
      <c r="C4796" s="1" t="s">
        <v>93</v>
      </c>
      <c r="D4796" s="1" t="s">
        <v>41</v>
      </c>
      <c r="E4796" s="3">
        <v>505000</v>
      </c>
      <c r="F4796" s="1">
        <v>905.01792114695297</v>
      </c>
      <c r="G4796" s="1">
        <v>3</v>
      </c>
      <c r="H4796" s="1">
        <v>1</v>
      </c>
      <c r="I4796" s="1">
        <v>1</v>
      </c>
      <c r="J4796" s="1">
        <v>1</v>
      </c>
      <c r="K4796" s="1">
        <v>1</v>
      </c>
      <c r="M4796" s="1">
        <v>558</v>
      </c>
      <c r="N4796" s="1">
        <v>301</v>
      </c>
      <c r="O4796" s="1">
        <v>890</v>
      </c>
      <c r="P4796" s="1">
        <v>589</v>
      </c>
      <c r="Q4796" s="1" t="s">
        <v>42</v>
      </c>
      <c r="S4796" s="1" t="s">
        <v>42</v>
      </c>
      <c r="T4796" s="1" t="s">
        <v>273</v>
      </c>
      <c r="U4796" s="1">
        <v>86</v>
      </c>
      <c r="V4796" s="5">
        <v>43873</v>
      </c>
      <c r="W4796" s="5">
        <v>43621</v>
      </c>
      <c r="X4796" s="1">
        <v>519000</v>
      </c>
      <c r="Y4796" s="1">
        <v>519000</v>
      </c>
      <c r="AA4796" s="1">
        <v>505000</v>
      </c>
      <c r="AB4796" s="1" t="s">
        <v>3383</v>
      </c>
      <c r="AC4796" s="5">
        <v>43712</v>
      </c>
      <c r="AF4796" s="1">
        <v>10032</v>
      </c>
      <c r="AI4796" s="1" t="s">
        <v>203</v>
      </c>
      <c r="AJ4796" s="1">
        <v>2014</v>
      </c>
      <c r="AK4796" s="1" t="s">
        <v>175</v>
      </c>
      <c r="AL4796" s="1">
        <v>49</v>
      </c>
    </row>
    <row r="4797" spans="1:38" x14ac:dyDescent="0.2">
      <c r="A4797" s="2" t="str">
        <f>HYPERLINK("https://www.compass.com/listing/456-west-167th-street-unit-7e-manhattan-ny-10032/136973249849426257/","456 W 167th St, Unit 7E")</f>
        <v>456 W 167th St, Unit 7E</v>
      </c>
      <c r="B4797" s="2" t="str">
        <f t="shared" si="812"/>
        <v>Edgecombe Parc</v>
      </c>
      <c r="C4797" s="1" t="s">
        <v>93</v>
      </c>
      <c r="D4797" s="1" t="s">
        <v>41</v>
      </c>
      <c r="E4797" s="3">
        <v>609500</v>
      </c>
      <c r="F4797" s="1">
        <v>870.71428571428498</v>
      </c>
      <c r="G4797" s="1">
        <v>4</v>
      </c>
      <c r="H4797" s="1">
        <v>2</v>
      </c>
      <c r="I4797" s="1">
        <v>1</v>
      </c>
      <c r="J4797" s="1">
        <v>1</v>
      </c>
      <c r="K4797" s="1">
        <v>1</v>
      </c>
      <c r="M4797" s="1">
        <v>700</v>
      </c>
      <c r="N4797" s="1">
        <v>520</v>
      </c>
      <c r="O4797" s="1">
        <v>1302.33</v>
      </c>
      <c r="P4797" s="1">
        <v>782.33333333333303</v>
      </c>
      <c r="Q4797" s="1" t="s">
        <v>42</v>
      </c>
      <c r="S4797" s="1" t="s">
        <v>42</v>
      </c>
      <c r="T4797" s="1" t="s">
        <v>273</v>
      </c>
      <c r="U4797" s="1">
        <v>55</v>
      </c>
      <c r="V4797" s="5">
        <v>43638</v>
      </c>
      <c r="W4797" s="5">
        <v>43441</v>
      </c>
      <c r="X4797" s="1">
        <v>629000</v>
      </c>
      <c r="Y4797" s="1">
        <v>629000</v>
      </c>
      <c r="Z4797" s="5">
        <v>43496</v>
      </c>
      <c r="AA4797" s="1">
        <v>609500</v>
      </c>
      <c r="AB4797" s="1" t="s">
        <v>3384</v>
      </c>
      <c r="AC4797" s="5">
        <v>43546</v>
      </c>
      <c r="AF4797" s="1">
        <v>10032</v>
      </c>
      <c r="AI4797" s="1" t="s">
        <v>193</v>
      </c>
      <c r="AJ4797" s="1">
        <v>2014</v>
      </c>
      <c r="AK4797" s="1" t="s">
        <v>215</v>
      </c>
      <c r="AL4797" s="1">
        <v>49</v>
      </c>
    </row>
    <row r="4798" spans="1:38" x14ac:dyDescent="0.2">
      <c r="A4798" s="2" t="str">
        <f>HYPERLINK("https://www.compass.com/listing/2231-adam-clayton-powell-jr-boulevard-unit-ph19-manhattan-ny-10027/192575563075007633/","2231 Adam Clayton Powell Jr Blvd, Unit PH19")</f>
        <v>2231 Adam Clayton Powell Jr Blvd, Unit PH19</v>
      </c>
      <c r="B4798" s="2" t="str">
        <f>HYPERLINK("https://www.compass.com/building/the-aurum-manhattan-ny/307451641162444869/","The Aurum")</f>
        <v>The Aurum</v>
      </c>
      <c r="C4798" s="1" t="s">
        <v>85</v>
      </c>
      <c r="D4798" s="1" t="s">
        <v>41</v>
      </c>
      <c r="E4798" s="3">
        <v>476580</v>
      </c>
      <c r="F4798" s="1">
        <v>1132.01900237529</v>
      </c>
      <c r="G4798" s="1">
        <v>2.5</v>
      </c>
      <c r="H4798" s="1" t="s">
        <v>153</v>
      </c>
      <c r="I4798" s="1">
        <v>1</v>
      </c>
      <c r="J4798" s="1">
        <v>1</v>
      </c>
      <c r="M4798" s="1">
        <v>421</v>
      </c>
      <c r="N4798" s="1">
        <v>402</v>
      </c>
      <c r="O4798" s="1">
        <v>477</v>
      </c>
      <c r="P4798" s="1">
        <v>75</v>
      </c>
      <c r="Q4798" s="1" t="s">
        <v>42</v>
      </c>
      <c r="S4798" s="1" t="s">
        <v>42</v>
      </c>
      <c r="T4798" s="1" t="s">
        <v>273</v>
      </c>
      <c r="V4798" s="5">
        <v>43670</v>
      </c>
      <c r="W4798" s="5">
        <v>42599</v>
      </c>
      <c r="X4798" s="1">
        <v>470000</v>
      </c>
      <c r="Y4798" s="1">
        <v>470000</v>
      </c>
      <c r="Z4798" s="5">
        <v>42599</v>
      </c>
      <c r="AA4798" s="1">
        <v>476580</v>
      </c>
      <c r="AB4798" s="1" t="s">
        <v>275</v>
      </c>
      <c r="AC4798" s="5">
        <v>42721</v>
      </c>
      <c r="AF4798" s="1">
        <v>10027</v>
      </c>
      <c r="AI4798" s="1" t="s">
        <v>52</v>
      </c>
      <c r="AJ4798" s="1">
        <v>2016</v>
      </c>
      <c r="AK4798" s="1" t="s">
        <v>108</v>
      </c>
      <c r="AL4798" s="1">
        <v>115</v>
      </c>
    </row>
    <row r="4799" spans="1:38" x14ac:dyDescent="0.2">
      <c r="A4799" s="2" t="str">
        <f>HYPERLINK("https://www.compass.com/listing/456-west-167th-street-unit-4a-manhattan-ny-10032/29435103448995969/","456 W 167th St, Unit 4A")</f>
        <v>456 W 167th St, Unit 4A</v>
      </c>
      <c r="B4799" s="2" t="str">
        <f t="shared" ref="B4799:B4802" si="813">HYPERLINK("https://www.compass.com/building/edgecombe-parc-manhattan-ny/282005897969005013/","Edgecombe Parc")</f>
        <v>Edgecombe Parc</v>
      </c>
      <c r="C4799" s="1" t="s">
        <v>93</v>
      </c>
      <c r="D4799" s="1" t="s">
        <v>41</v>
      </c>
      <c r="E4799" s="3">
        <v>583457</v>
      </c>
      <c r="F4799" s="1">
        <v>616.110876451953</v>
      </c>
      <c r="G4799" s="1">
        <v>5</v>
      </c>
      <c r="H4799" s="1">
        <v>2</v>
      </c>
      <c r="I4799" s="1">
        <v>2</v>
      </c>
      <c r="J4799" s="1">
        <v>2</v>
      </c>
      <c r="K4799" s="1">
        <v>2</v>
      </c>
      <c r="M4799" s="1">
        <v>947</v>
      </c>
      <c r="N4799" s="1">
        <v>473</v>
      </c>
      <c r="O4799" s="1">
        <v>987</v>
      </c>
      <c r="P4799" s="1">
        <v>514</v>
      </c>
      <c r="Q4799" s="1" t="s">
        <v>42</v>
      </c>
      <c r="S4799" s="1" t="s">
        <v>42</v>
      </c>
      <c r="T4799" s="1" t="s">
        <v>273</v>
      </c>
      <c r="V4799" s="5">
        <v>43741</v>
      </c>
      <c r="W4799" s="5">
        <v>41829</v>
      </c>
      <c r="X4799" s="1">
        <v>588000</v>
      </c>
      <c r="Y4799" s="1">
        <v>588000</v>
      </c>
      <c r="Z4799" s="5">
        <v>41829</v>
      </c>
      <c r="AA4799" s="1">
        <v>583457</v>
      </c>
      <c r="AB4799" s="1" t="s">
        <v>3385</v>
      </c>
      <c r="AC4799" s="5">
        <v>41892</v>
      </c>
      <c r="AF4799" s="1">
        <v>10032</v>
      </c>
      <c r="AI4799" s="1" t="s">
        <v>238</v>
      </c>
      <c r="AJ4799" s="1">
        <v>2014</v>
      </c>
      <c r="AK4799" s="1" t="s">
        <v>175</v>
      </c>
      <c r="AL4799" s="1">
        <v>49</v>
      </c>
    </row>
    <row r="4800" spans="1:38" x14ac:dyDescent="0.2">
      <c r="A4800" s="2" t="str">
        <f>HYPERLINK("https://www.compass.com/listing/456-west-167th-street-unit-7c-manhattan-ny-10032/29435114949710977/","456 W 167th St, Unit 7C")</f>
        <v>456 W 167th St, Unit 7C</v>
      </c>
      <c r="B4800" s="2" t="str">
        <f t="shared" si="813"/>
        <v>Edgecombe Parc</v>
      </c>
      <c r="C4800" s="1" t="s">
        <v>93</v>
      </c>
      <c r="D4800" s="1" t="s">
        <v>41</v>
      </c>
      <c r="E4800" s="3">
        <v>535661</v>
      </c>
      <c r="F4800" s="1">
        <v>735.798076923076</v>
      </c>
      <c r="G4800" s="1">
        <v>4</v>
      </c>
      <c r="H4800" s="1">
        <v>1</v>
      </c>
      <c r="I4800" s="1">
        <v>2</v>
      </c>
      <c r="J4800" s="1">
        <v>2</v>
      </c>
      <c r="K4800" s="1">
        <v>2</v>
      </c>
      <c r="M4800" s="1">
        <v>728</v>
      </c>
      <c r="N4800" s="1">
        <v>433</v>
      </c>
      <c r="O4800" s="1">
        <v>903</v>
      </c>
      <c r="P4800" s="1">
        <v>470</v>
      </c>
      <c r="Q4800" s="1" t="s">
        <v>42</v>
      </c>
      <c r="S4800" s="1" t="s">
        <v>42</v>
      </c>
      <c r="T4800" s="1" t="s">
        <v>273</v>
      </c>
      <c r="V4800" s="5">
        <v>43741</v>
      </c>
      <c r="W4800" s="5">
        <v>41829</v>
      </c>
      <c r="X4800" s="1">
        <v>538000</v>
      </c>
      <c r="Y4800" s="1">
        <v>538000</v>
      </c>
      <c r="Z4800" s="5">
        <v>41829</v>
      </c>
      <c r="AA4800" s="1">
        <v>535661</v>
      </c>
      <c r="AB4800" s="1" t="s">
        <v>3386</v>
      </c>
      <c r="AC4800" s="5">
        <v>41912</v>
      </c>
      <c r="AF4800" s="1">
        <v>10032</v>
      </c>
      <c r="AI4800" s="1" t="s">
        <v>238</v>
      </c>
      <c r="AJ4800" s="1">
        <v>2014</v>
      </c>
      <c r="AK4800" s="1" t="s">
        <v>175</v>
      </c>
      <c r="AL4800" s="1">
        <v>49</v>
      </c>
    </row>
    <row r="4801" spans="1:38" x14ac:dyDescent="0.2">
      <c r="A4801" s="2" t="str">
        <f>HYPERLINK("https://www.compass.com/listing/456-west-167th-street-unit-2b-manhattan-ny-10032/29435097795007361/","456 W 167th St, Unit 2B")</f>
        <v>456 W 167th St, Unit 2B</v>
      </c>
      <c r="B4801" s="2" t="str">
        <f t="shared" si="813"/>
        <v>Edgecombe Parc</v>
      </c>
      <c r="C4801" s="1" t="s">
        <v>93</v>
      </c>
      <c r="D4801" s="1" t="s">
        <v>41</v>
      </c>
      <c r="E4801" s="3">
        <v>499902</v>
      </c>
      <c r="F4801" s="1">
        <v>658.63241106719295</v>
      </c>
      <c r="G4801" s="1">
        <v>5</v>
      </c>
      <c r="H4801" s="1">
        <v>2</v>
      </c>
      <c r="I4801" s="1">
        <v>2</v>
      </c>
      <c r="J4801" s="1">
        <v>2</v>
      </c>
      <c r="K4801" s="1">
        <v>2</v>
      </c>
      <c r="M4801" s="1">
        <v>759</v>
      </c>
      <c r="N4801" s="1">
        <v>401</v>
      </c>
      <c r="O4801" s="1">
        <v>837</v>
      </c>
      <c r="P4801" s="1">
        <v>436</v>
      </c>
      <c r="Q4801" s="1" t="s">
        <v>42</v>
      </c>
      <c r="S4801" s="1" t="s">
        <v>42</v>
      </c>
      <c r="T4801" s="1" t="s">
        <v>273</v>
      </c>
      <c r="U4801" s="1">
        <v>59</v>
      </c>
      <c r="V4801" s="5">
        <v>43740</v>
      </c>
      <c r="W4801" s="5">
        <v>41846</v>
      </c>
      <c r="X4801" s="1">
        <v>498000</v>
      </c>
      <c r="Y4801" s="1">
        <v>498000</v>
      </c>
      <c r="Z4801" s="5">
        <v>41905</v>
      </c>
      <c r="AA4801" s="1">
        <v>499902</v>
      </c>
      <c r="AB4801" s="1" t="s">
        <v>3387</v>
      </c>
      <c r="AC4801" s="5">
        <v>41964</v>
      </c>
      <c r="AF4801" s="1">
        <v>10032</v>
      </c>
      <c r="AI4801" s="1" t="s">
        <v>61</v>
      </c>
      <c r="AJ4801" s="1">
        <v>2014</v>
      </c>
      <c r="AK4801" s="1" t="s">
        <v>175</v>
      </c>
      <c r="AL4801" s="1">
        <v>49</v>
      </c>
    </row>
    <row r="4802" spans="1:38" x14ac:dyDescent="0.2">
      <c r="A4802" s="2" t="str">
        <f>HYPERLINK("https://www.compass.com/listing/456-west-167th-street-unit-3a-manhattan-ny-10032/29435100638809425/","456 W 167th St, Unit 3A")</f>
        <v>456 W 167th St, Unit 3A</v>
      </c>
      <c r="B4802" s="2" t="str">
        <f t="shared" si="813"/>
        <v>Edgecombe Parc</v>
      </c>
      <c r="C4802" s="1" t="s">
        <v>93</v>
      </c>
      <c r="D4802" s="1" t="s">
        <v>41</v>
      </c>
      <c r="E4802" s="3">
        <v>590585</v>
      </c>
      <c r="F4802" s="1">
        <v>623.63780359028499</v>
      </c>
      <c r="G4802" s="1">
        <v>5</v>
      </c>
      <c r="H4802" s="1">
        <v>2</v>
      </c>
      <c r="I4802" s="1">
        <v>2</v>
      </c>
      <c r="J4802" s="1">
        <v>2</v>
      </c>
      <c r="K4802" s="1">
        <v>2</v>
      </c>
      <c r="M4802" s="1">
        <v>947</v>
      </c>
      <c r="N4802" s="1">
        <v>474</v>
      </c>
      <c r="O4802" s="1">
        <v>989</v>
      </c>
      <c r="P4802" s="1">
        <v>515</v>
      </c>
      <c r="Q4802" s="1" t="s">
        <v>42</v>
      </c>
      <c r="S4802" s="1" t="s">
        <v>42</v>
      </c>
      <c r="T4802" s="1" t="s">
        <v>273</v>
      </c>
      <c r="U4802" s="1">
        <v>45</v>
      </c>
      <c r="V4802" s="5">
        <v>43741</v>
      </c>
      <c r="W4802" s="5">
        <v>41846</v>
      </c>
      <c r="X4802" s="1">
        <v>588000</v>
      </c>
      <c r="Y4802" s="1">
        <v>588000</v>
      </c>
      <c r="Z4802" s="5">
        <v>41891</v>
      </c>
      <c r="AA4802" s="1">
        <v>590585</v>
      </c>
      <c r="AB4802" s="1" t="s">
        <v>3388</v>
      </c>
      <c r="AC4802" s="5">
        <v>41963</v>
      </c>
      <c r="AF4802" s="1">
        <v>10032</v>
      </c>
      <c r="AI4802" s="1" t="s">
        <v>238</v>
      </c>
      <c r="AJ4802" s="1">
        <v>2014</v>
      </c>
      <c r="AK4802" s="1" t="s">
        <v>175</v>
      </c>
      <c r="AL4802" s="1">
        <v>49</v>
      </c>
    </row>
    <row r="4803" spans="1:38" x14ac:dyDescent="0.2">
      <c r="A4803" s="2" t="str">
        <f>HYPERLINK("https://www.compass.com/listing/325-lexington-avenue-unit-9a-manhattan-ny-10016/29379696290510993/","325 Lexington Ave, Unit 9A")</f>
        <v>325 Lexington Ave, Unit 9A</v>
      </c>
      <c r="B4803" s="2" t="str">
        <f t="shared" ref="B4803:B4806" si="814">HYPERLINK("https://www.compass.com/building/325-lex-condominium-manhattan-ny/281939882467713365/","325 Lex Condominium")</f>
        <v>325 Lex Condominium</v>
      </c>
      <c r="C4803" s="1" t="s">
        <v>59</v>
      </c>
      <c r="D4803" s="1" t="s">
        <v>41</v>
      </c>
      <c r="E4803" s="3">
        <v>2698363</v>
      </c>
      <c r="F4803" s="1">
        <v>2176.09879032258</v>
      </c>
      <c r="G4803" s="1">
        <v>4</v>
      </c>
      <c r="H4803" s="1">
        <v>2</v>
      </c>
      <c r="I4803" s="1">
        <v>2</v>
      </c>
      <c r="J4803" s="1">
        <v>2</v>
      </c>
      <c r="K4803" s="1">
        <v>2</v>
      </c>
      <c r="M4803" s="4">
        <v>1240</v>
      </c>
      <c r="N4803" s="1">
        <v>1911</v>
      </c>
      <c r="O4803" s="1">
        <v>2327</v>
      </c>
      <c r="P4803" s="1">
        <v>416</v>
      </c>
      <c r="Q4803" s="1" t="s">
        <v>42</v>
      </c>
      <c r="S4803" s="1" t="s">
        <v>42</v>
      </c>
      <c r="T4803" s="1" t="s">
        <v>273</v>
      </c>
      <c r="V4803" s="5">
        <v>42209</v>
      </c>
      <c r="W4803" s="5">
        <v>42083</v>
      </c>
      <c r="X4803" s="1">
        <v>2650000</v>
      </c>
      <c r="Y4803" s="1">
        <v>2650000</v>
      </c>
      <c r="Z4803" s="5">
        <v>42084</v>
      </c>
      <c r="AA4803" s="1">
        <v>2698362.5</v>
      </c>
      <c r="AB4803" s="1" t="s">
        <v>3389</v>
      </c>
      <c r="AC4803" s="5">
        <v>42184</v>
      </c>
      <c r="AF4803" s="1">
        <v>10016</v>
      </c>
      <c r="AI4803" s="1" t="s">
        <v>2883</v>
      </c>
      <c r="AJ4803" s="1">
        <v>2014</v>
      </c>
      <c r="AK4803" s="1" t="s">
        <v>108</v>
      </c>
      <c r="AL4803" s="1">
        <v>125</v>
      </c>
    </row>
    <row r="4804" spans="1:38" x14ac:dyDescent="0.2">
      <c r="A4804" s="2" t="str">
        <f>HYPERLINK("https://www.compass.com/listing/325-lexington-avenue-unit-29c-manhattan-ny-10016/29379736488660001/","325 Lexington Ave, Unit 29C")</f>
        <v>325 Lexington Ave, Unit 29C</v>
      </c>
      <c r="B4804" s="2" t="str">
        <f t="shared" si="814"/>
        <v>325 Lex Condominium</v>
      </c>
      <c r="C4804" s="1" t="s">
        <v>59</v>
      </c>
      <c r="D4804" s="1" t="s">
        <v>41</v>
      </c>
      <c r="E4804" s="3">
        <v>2489621</v>
      </c>
      <c r="F4804" s="1">
        <v>2269.48131267092</v>
      </c>
      <c r="G4804" s="1">
        <v>4</v>
      </c>
      <c r="H4804" s="1">
        <v>2</v>
      </c>
      <c r="I4804" s="1">
        <v>2</v>
      </c>
      <c r="J4804" s="1">
        <v>2</v>
      </c>
      <c r="K4804" s="1">
        <v>2</v>
      </c>
      <c r="M4804" s="4">
        <v>1097</v>
      </c>
      <c r="N4804" s="1">
        <v>1636</v>
      </c>
      <c r="O4804" s="1">
        <v>1992</v>
      </c>
      <c r="P4804" s="1">
        <v>356</v>
      </c>
      <c r="Q4804" s="1" t="s">
        <v>42</v>
      </c>
      <c r="S4804" s="1" t="s">
        <v>42</v>
      </c>
      <c r="T4804" s="1" t="s">
        <v>273</v>
      </c>
      <c r="U4804" s="1">
        <v>48</v>
      </c>
      <c r="V4804" s="5">
        <v>43656</v>
      </c>
      <c r="W4804" s="5">
        <v>42047</v>
      </c>
      <c r="X4804" s="1">
        <v>2445000</v>
      </c>
      <c r="Y4804" s="1">
        <v>2445000</v>
      </c>
      <c r="Z4804" s="5">
        <v>42095</v>
      </c>
      <c r="AA4804" s="1">
        <v>2489621</v>
      </c>
      <c r="AB4804" s="1" t="s">
        <v>3390</v>
      </c>
      <c r="AC4804" s="5">
        <v>42126</v>
      </c>
      <c r="AF4804" s="1">
        <v>10016</v>
      </c>
      <c r="AI4804" s="1" t="s">
        <v>60</v>
      </c>
      <c r="AJ4804" s="1">
        <v>2014</v>
      </c>
      <c r="AK4804" s="1" t="s">
        <v>108</v>
      </c>
      <c r="AL4804" s="1">
        <v>125</v>
      </c>
    </row>
    <row r="4805" spans="1:38" x14ac:dyDescent="0.2">
      <c r="A4805" s="2" t="str">
        <f>HYPERLINK("https://www.compass.com/listing/325-lexington-avenue-unit-30c-manhattan-ny-10016/29379737637899313/","325 Lexington Ave, Unit 30C")</f>
        <v>325 Lexington Ave, Unit 30C</v>
      </c>
      <c r="B4805" s="2" t="str">
        <f t="shared" si="814"/>
        <v>325 Lex Condominium</v>
      </c>
      <c r="C4805" s="1" t="s">
        <v>59</v>
      </c>
      <c r="D4805" s="1" t="s">
        <v>41</v>
      </c>
      <c r="E4805" s="3">
        <v>2495000</v>
      </c>
      <c r="F4805" s="1">
        <v>2274.3846855059201</v>
      </c>
      <c r="G4805" s="1">
        <v>4</v>
      </c>
      <c r="H4805" s="1">
        <v>2</v>
      </c>
      <c r="I4805" s="1">
        <v>2</v>
      </c>
      <c r="J4805" s="1">
        <v>2</v>
      </c>
      <c r="K4805" s="1">
        <v>2</v>
      </c>
      <c r="M4805" s="4">
        <v>1097</v>
      </c>
      <c r="N4805" s="1">
        <v>1644</v>
      </c>
      <c r="O4805" s="1">
        <v>2002</v>
      </c>
      <c r="P4805" s="1">
        <v>358</v>
      </c>
      <c r="Q4805" s="1" t="s">
        <v>42</v>
      </c>
      <c r="S4805" s="1" t="s">
        <v>42</v>
      </c>
      <c r="T4805" s="1" t="s">
        <v>273</v>
      </c>
      <c r="V4805" s="5">
        <v>43651</v>
      </c>
      <c r="W4805" s="5">
        <v>42101</v>
      </c>
      <c r="X4805" s="1">
        <v>2495000</v>
      </c>
      <c r="Y4805" s="1">
        <v>2495000</v>
      </c>
      <c r="Z4805" s="5">
        <v>42101</v>
      </c>
      <c r="AA4805" s="1">
        <v>2495000</v>
      </c>
      <c r="AB4805" s="1" t="s">
        <v>3391</v>
      </c>
      <c r="AC4805" s="5">
        <v>42170</v>
      </c>
      <c r="AF4805" s="1">
        <v>10016</v>
      </c>
      <c r="AI4805" s="1" t="s">
        <v>60</v>
      </c>
      <c r="AJ4805" s="1">
        <v>2014</v>
      </c>
      <c r="AK4805" s="1" t="s">
        <v>108</v>
      </c>
      <c r="AL4805" s="1">
        <v>125</v>
      </c>
    </row>
    <row r="4806" spans="1:38" x14ac:dyDescent="0.2">
      <c r="A4806" s="2" t="str">
        <f>HYPERLINK("https://www.compass.com/listing/325-lexington-avenue-unit-25c-manhattan-ny-10016/29379728091724481/","325 Lexington Ave, Unit 25C")</f>
        <v>325 Lexington Ave, Unit 25C</v>
      </c>
      <c r="B4806" s="2" t="str">
        <f t="shared" si="814"/>
        <v>325 Lex Condominium</v>
      </c>
      <c r="C4806" s="1" t="s">
        <v>59</v>
      </c>
      <c r="D4806" s="1" t="s">
        <v>41</v>
      </c>
      <c r="E4806" s="3">
        <v>2464165</v>
      </c>
      <c r="F4806" s="1">
        <v>2165.3471001757398</v>
      </c>
      <c r="H4806" s="1">
        <v>2</v>
      </c>
      <c r="J4806" s="1">
        <v>2</v>
      </c>
      <c r="K4806" s="1">
        <v>2</v>
      </c>
      <c r="M4806" s="4">
        <v>1138</v>
      </c>
      <c r="N4806" s="1">
        <v>1667</v>
      </c>
      <c r="O4806" s="1">
        <v>2030</v>
      </c>
      <c r="P4806" s="1">
        <v>363</v>
      </c>
      <c r="Q4806" s="1" t="s">
        <v>42</v>
      </c>
      <c r="S4806" s="1" t="s">
        <v>42</v>
      </c>
      <c r="T4806" s="1" t="s">
        <v>273</v>
      </c>
      <c r="AA4806" s="1">
        <v>2464165</v>
      </c>
      <c r="AB4806" s="1" t="s">
        <v>3392</v>
      </c>
      <c r="AC4806" s="5">
        <v>41771</v>
      </c>
      <c r="AF4806" s="1">
        <v>10016</v>
      </c>
      <c r="AI4806" s="1" t="s">
        <v>60</v>
      </c>
      <c r="AJ4806" s="1">
        <v>2014</v>
      </c>
      <c r="AK4806" s="1" t="s">
        <v>55</v>
      </c>
      <c r="AL4806" s="1">
        <v>125</v>
      </c>
    </row>
    <row r="4807" spans="1:38" x14ac:dyDescent="0.2">
      <c r="A4807" s="2" t="str">
        <f>HYPERLINK("https://www.compass.com/listing/456-west-167th-street-unit-2f-manhattan-ny-10032/29435099825117265/","456 W 167th St, Unit 2F")</f>
        <v>456 W 167th St, Unit 2F</v>
      </c>
      <c r="B4807" s="2" t="str">
        <f>HYPERLINK("https://www.compass.com/building/edgecombe-parc-manhattan-ny/282005897969005013/","Edgecombe Parc")</f>
        <v>Edgecombe Parc</v>
      </c>
      <c r="C4807" s="1" t="s">
        <v>93</v>
      </c>
      <c r="D4807" s="1" t="s">
        <v>41</v>
      </c>
      <c r="E4807" s="3">
        <v>468000</v>
      </c>
      <c r="F4807" s="1">
        <v>838.70967741935397</v>
      </c>
      <c r="G4807" s="1">
        <v>3</v>
      </c>
      <c r="H4807" s="1">
        <v>1</v>
      </c>
      <c r="I4807" s="1">
        <v>1</v>
      </c>
      <c r="J4807" s="1">
        <v>1</v>
      </c>
      <c r="K4807" s="1">
        <v>1</v>
      </c>
      <c r="M4807" s="1">
        <v>558</v>
      </c>
      <c r="N4807" s="1">
        <v>301.82</v>
      </c>
      <c r="O4807" s="1">
        <v>451.82</v>
      </c>
      <c r="P4807" s="1">
        <v>150</v>
      </c>
      <c r="Q4807" s="1" t="s">
        <v>42</v>
      </c>
      <c r="S4807" s="1" t="s">
        <v>42</v>
      </c>
      <c r="T4807" s="1" t="s">
        <v>273</v>
      </c>
      <c r="U4807" s="1">
        <v>14</v>
      </c>
      <c r="V4807" s="5">
        <v>43680</v>
      </c>
      <c r="W4807" s="5">
        <v>42151</v>
      </c>
      <c r="X4807" s="1">
        <v>499000</v>
      </c>
      <c r="Y4807" s="1">
        <v>499000</v>
      </c>
      <c r="Z4807" s="5">
        <v>42165</v>
      </c>
      <c r="AA4807" s="1">
        <v>468000</v>
      </c>
      <c r="AB4807" s="1" t="s">
        <v>3393</v>
      </c>
      <c r="AC4807" s="5">
        <v>42284</v>
      </c>
      <c r="AF4807" s="1">
        <v>10032</v>
      </c>
      <c r="AI4807" s="1" t="s">
        <v>203</v>
      </c>
      <c r="AJ4807" s="1">
        <v>2014</v>
      </c>
      <c r="AK4807" s="1" t="s">
        <v>115</v>
      </c>
      <c r="AL4807" s="1">
        <v>49</v>
      </c>
    </row>
    <row r="4808" spans="1:38" x14ac:dyDescent="0.2">
      <c r="A4808" s="2" t="str">
        <f>HYPERLINK("https://www.compass.com/listing/16-west-40th-street-unit-24b-manhattan-ny-10018/26850080384416081/","16 W 40th St, Unit 24B")</f>
        <v>16 W 40th St, Unit 24B</v>
      </c>
      <c r="B4808" s="2" t="str">
        <f t="shared" ref="B4808:B4809" si="815">HYPERLINK("https://www.compass.com/building/the-bryant-manhattan-ny/281942863485395813/","The Bryant")</f>
        <v>The Bryant</v>
      </c>
      <c r="C4808" s="1" t="s">
        <v>126</v>
      </c>
      <c r="D4808" s="1" t="s">
        <v>41</v>
      </c>
      <c r="E4808" s="3">
        <v>2893000</v>
      </c>
      <c r="F4808" s="1">
        <v>2693.6685288640501</v>
      </c>
      <c r="G4808" s="1">
        <v>3</v>
      </c>
      <c r="H4808" s="1">
        <v>1</v>
      </c>
      <c r="I4808" s="1">
        <v>1</v>
      </c>
      <c r="J4808" s="1">
        <v>1</v>
      </c>
      <c r="K4808" s="1">
        <v>1</v>
      </c>
      <c r="M4808" s="4">
        <v>1074</v>
      </c>
      <c r="N4808" s="1">
        <v>1914</v>
      </c>
      <c r="O4808" s="1">
        <v>3564</v>
      </c>
      <c r="P4808" s="1">
        <v>1650</v>
      </c>
      <c r="Q4808" s="1" t="s">
        <v>42</v>
      </c>
      <c r="S4808" s="1" t="s">
        <v>42</v>
      </c>
      <c r="T4808" s="1" t="s">
        <v>273</v>
      </c>
      <c r="U4808" s="1">
        <v>91</v>
      </c>
      <c r="V4808" s="5">
        <v>43642</v>
      </c>
      <c r="W4808" s="5">
        <v>43103</v>
      </c>
      <c r="X4808" s="1">
        <v>3025000</v>
      </c>
      <c r="Y4808" s="1">
        <v>3025000</v>
      </c>
      <c r="Z4808" s="5">
        <v>43294</v>
      </c>
      <c r="AA4808" s="1">
        <v>2893000</v>
      </c>
      <c r="AB4808" s="1" t="s">
        <v>3394</v>
      </c>
      <c r="AC4808" s="5">
        <v>43461</v>
      </c>
      <c r="AF4808" s="1">
        <v>10018</v>
      </c>
      <c r="AI4808" s="1" t="s">
        <v>58</v>
      </c>
      <c r="AJ4808" s="1">
        <v>2017</v>
      </c>
      <c r="AK4808" s="1" t="s">
        <v>46</v>
      </c>
      <c r="AL4808" s="1">
        <v>57</v>
      </c>
    </row>
    <row r="4809" spans="1:38" x14ac:dyDescent="0.2">
      <c r="A4809" s="2" t="str">
        <f>HYPERLINK("https://www.compass.com/listing/16-west-40th-street-unit-18b-manhattan-ny-10018/29514378361514385/","16 W 40th St, Unit 18B")</f>
        <v>16 W 40th St, Unit 18B</v>
      </c>
      <c r="B4809" s="2" t="str">
        <f t="shared" si="815"/>
        <v>The Bryant</v>
      </c>
      <c r="C4809" s="1" t="s">
        <v>126</v>
      </c>
      <c r="D4809" s="1" t="s">
        <v>41</v>
      </c>
      <c r="E4809" s="3">
        <v>2650000</v>
      </c>
      <c r="F4809" s="1">
        <v>2467.4115456238301</v>
      </c>
      <c r="G4809" s="1">
        <v>3</v>
      </c>
      <c r="H4809" s="1">
        <v>1</v>
      </c>
      <c r="I4809" s="1">
        <v>1</v>
      </c>
      <c r="J4809" s="1">
        <v>1</v>
      </c>
      <c r="K4809" s="1">
        <v>1</v>
      </c>
      <c r="M4809" s="4">
        <v>1074</v>
      </c>
      <c r="N4809" s="1">
        <v>1859</v>
      </c>
      <c r="O4809" s="1">
        <v>3462</v>
      </c>
      <c r="P4809" s="1">
        <v>1603</v>
      </c>
      <c r="Q4809" s="1" t="s">
        <v>42</v>
      </c>
      <c r="S4809" s="1" t="s">
        <v>42</v>
      </c>
      <c r="T4809" s="1" t="s">
        <v>273</v>
      </c>
      <c r="U4809" s="1">
        <v>149</v>
      </c>
      <c r="V4809" s="5">
        <v>43644</v>
      </c>
      <c r="W4809" s="5">
        <v>43215</v>
      </c>
      <c r="X4809" s="1">
        <v>2735000</v>
      </c>
      <c r="Y4809" s="1">
        <v>2735000</v>
      </c>
      <c r="Z4809" s="5">
        <v>43364</v>
      </c>
      <c r="AA4809" s="1">
        <v>2650000</v>
      </c>
      <c r="AB4809" s="1" t="s">
        <v>3395</v>
      </c>
      <c r="AC4809" s="5">
        <v>43473</v>
      </c>
      <c r="AF4809" s="1">
        <v>10018</v>
      </c>
      <c r="AI4809" s="1" t="s">
        <v>58</v>
      </c>
      <c r="AJ4809" s="1">
        <v>2017</v>
      </c>
      <c r="AK4809" s="1" t="s">
        <v>46</v>
      </c>
      <c r="AL4809" s="1">
        <v>57</v>
      </c>
    </row>
    <row r="4810" spans="1:38" x14ac:dyDescent="0.2">
      <c r="A4810" s="2" t="str">
        <f>HYPERLINK("https://www.compass.com/listing/456-west-167th-street-unit-7b-manhattan-ny-10032/29435114480015681/","456 W 167th St, Unit 7B")</f>
        <v>456 W 167th St, Unit 7B</v>
      </c>
      <c r="B4810" s="2" t="str">
        <f t="shared" ref="B4810:B4812" si="816">HYPERLINK("https://www.compass.com/building/edgecombe-parc-manhattan-ny/282005897969005013/","Edgecombe Parc")</f>
        <v>Edgecombe Parc</v>
      </c>
      <c r="C4810" s="1" t="s">
        <v>93</v>
      </c>
      <c r="D4810" s="1" t="s">
        <v>41</v>
      </c>
      <c r="E4810" s="3">
        <v>826819</v>
      </c>
      <c r="F4810" s="1">
        <v>863.06784968684701</v>
      </c>
      <c r="G4810" s="1">
        <v>6</v>
      </c>
      <c r="H4810" s="1">
        <v>3</v>
      </c>
      <c r="I4810" s="1">
        <v>2</v>
      </c>
      <c r="J4810" s="1">
        <v>2</v>
      </c>
      <c r="K4810" s="1">
        <v>2</v>
      </c>
      <c r="M4810" s="1">
        <v>958</v>
      </c>
      <c r="N4810" s="1">
        <v>682</v>
      </c>
      <c r="O4810" s="1">
        <v>1424</v>
      </c>
      <c r="P4810" s="1">
        <v>742</v>
      </c>
      <c r="Q4810" s="1" t="s">
        <v>42</v>
      </c>
      <c r="S4810" s="1" t="s">
        <v>42</v>
      </c>
      <c r="T4810" s="1" t="s">
        <v>273</v>
      </c>
      <c r="U4810" s="1">
        <v>325</v>
      </c>
      <c r="V4810" s="5">
        <v>43741</v>
      </c>
      <c r="W4810" s="5">
        <v>41545</v>
      </c>
      <c r="X4810" s="1">
        <v>848000</v>
      </c>
      <c r="Y4810" s="1">
        <v>848000</v>
      </c>
      <c r="Z4810" s="5">
        <v>41870</v>
      </c>
      <c r="AA4810" s="1">
        <v>826819</v>
      </c>
      <c r="AB4810" s="1" t="s">
        <v>3396</v>
      </c>
      <c r="AC4810" s="5">
        <v>41948</v>
      </c>
      <c r="AF4810" s="1">
        <v>10032</v>
      </c>
      <c r="AI4810" s="1" t="s">
        <v>211</v>
      </c>
      <c r="AJ4810" s="1">
        <v>2014</v>
      </c>
      <c r="AK4810" s="1" t="s">
        <v>175</v>
      </c>
      <c r="AL4810" s="1">
        <v>49</v>
      </c>
    </row>
    <row r="4811" spans="1:38" x14ac:dyDescent="0.2">
      <c r="A4811" s="2" t="str">
        <f>HYPERLINK("https://www.compass.com/listing/456-west-167th-street-unit-2f-manhattan-ny-10032/268609412124496785/","456 W 167th St, Unit 2F")</f>
        <v>456 W 167th St, Unit 2F</v>
      </c>
      <c r="B4811" s="2" t="str">
        <f t="shared" si="816"/>
        <v>Edgecombe Parc</v>
      </c>
      <c r="C4811" s="1" t="s">
        <v>93</v>
      </c>
      <c r="D4811" s="1" t="s">
        <v>41</v>
      </c>
      <c r="E4811" s="3">
        <v>505000</v>
      </c>
      <c r="F4811" s="1">
        <v>905.01792114695297</v>
      </c>
      <c r="G4811" s="1">
        <v>3</v>
      </c>
      <c r="H4811" s="1">
        <v>1</v>
      </c>
      <c r="I4811" s="1">
        <v>1</v>
      </c>
      <c r="J4811" s="1">
        <v>1</v>
      </c>
      <c r="K4811" s="1">
        <v>1</v>
      </c>
      <c r="M4811" s="1">
        <v>558</v>
      </c>
      <c r="N4811" s="1">
        <v>301</v>
      </c>
      <c r="O4811" s="1">
        <v>890</v>
      </c>
      <c r="P4811" s="1">
        <v>589</v>
      </c>
      <c r="Q4811" s="1" t="s">
        <v>42</v>
      </c>
      <c r="S4811" s="1" t="s">
        <v>42</v>
      </c>
      <c r="T4811" s="1" t="s">
        <v>273</v>
      </c>
      <c r="U4811" s="1">
        <v>26</v>
      </c>
      <c r="V4811" s="5">
        <v>43859</v>
      </c>
      <c r="W4811" s="5">
        <v>43622</v>
      </c>
      <c r="X4811" s="1">
        <v>519000</v>
      </c>
      <c r="Y4811" s="1">
        <v>519000</v>
      </c>
      <c r="Z4811" s="5">
        <v>43648</v>
      </c>
      <c r="AA4811" s="1">
        <v>505000</v>
      </c>
      <c r="AB4811" s="1" t="s">
        <v>3383</v>
      </c>
      <c r="AC4811" s="5">
        <v>43712</v>
      </c>
      <c r="AF4811" s="1">
        <v>10032</v>
      </c>
      <c r="AI4811" s="1" t="s">
        <v>203</v>
      </c>
      <c r="AJ4811" s="1">
        <v>2014</v>
      </c>
      <c r="AK4811" s="1" t="s">
        <v>175</v>
      </c>
      <c r="AL4811" s="1">
        <v>49</v>
      </c>
    </row>
    <row r="4812" spans="1:38" x14ac:dyDescent="0.2">
      <c r="A4812" s="2" t="str">
        <f>HYPERLINK("https://www.compass.com/listing/456-west-167th-street-unit-7d-manhattan-ny-10032/29435115721529681/","456 W 167th St, Unit 7D")</f>
        <v>456 W 167th St, Unit 7D</v>
      </c>
      <c r="B4812" s="2" t="str">
        <f t="shared" si="816"/>
        <v>Edgecombe Parc</v>
      </c>
      <c r="C4812" s="1" t="s">
        <v>93</v>
      </c>
      <c r="D4812" s="1" t="s">
        <v>41</v>
      </c>
      <c r="E4812" s="3">
        <v>835000</v>
      </c>
      <c r="F4812" s="1">
        <v>713.06575576430396</v>
      </c>
      <c r="G4812" s="1">
        <v>4.5</v>
      </c>
      <c r="H4812" s="1">
        <v>2</v>
      </c>
      <c r="I4812" s="1">
        <v>2</v>
      </c>
      <c r="J4812" s="1">
        <v>2</v>
      </c>
      <c r="K4812" s="1">
        <v>2</v>
      </c>
      <c r="M4812" s="4">
        <v>1171</v>
      </c>
      <c r="N4812" s="1">
        <v>788</v>
      </c>
      <c r="O4812" s="1">
        <v>2010</v>
      </c>
      <c r="P4812" s="1">
        <v>1222</v>
      </c>
      <c r="Q4812" s="1" t="s">
        <v>42</v>
      </c>
      <c r="S4812" s="1" t="s">
        <v>42</v>
      </c>
      <c r="T4812" s="1" t="s">
        <v>273</v>
      </c>
      <c r="U4812" s="1">
        <v>140</v>
      </c>
      <c r="V4812" s="5">
        <v>43648</v>
      </c>
      <c r="W4812" s="5">
        <v>42991</v>
      </c>
      <c r="X4812" s="1">
        <v>1025000</v>
      </c>
      <c r="Y4812" s="1">
        <v>850000</v>
      </c>
      <c r="Z4812" s="5">
        <v>43131</v>
      </c>
      <c r="AA4812" s="1">
        <v>835000</v>
      </c>
      <c r="AB4812" s="1" t="s">
        <v>3397</v>
      </c>
      <c r="AC4812" s="5">
        <v>43227</v>
      </c>
      <c r="AF4812" s="1">
        <v>10032</v>
      </c>
      <c r="AI4812" s="1" t="s">
        <v>3398</v>
      </c>
      <c r="AJ4812" s="1">
        <v>2014</v>
      </c>
      <c r="AK4812" s="1" t="s">
        <v>175</v>
      </c>
      <c r="AL4812" s="1">
        <v>49</v>
      </c>
    </row>
    <row r="4813" spans="1:38" x14ac:dyDescent="0.2">
      <c r="A4813" s="2" t="str">
        <f>HYPERLINK("https://www.compass.com/listing/138-east-50th-street-unit-16b-manhattan-ny-10022/591761752008812857/","138 E 50th St, Unit 16B")</f>
        <v>138 E 50th St, Unit 16B</v>
      </c>
      <c r="B4813" s="2" t="str">
        <f>HYPERLINK("https://www.compass.com/building/the-centrale-manhattan-ny/281941497232811621/","The Centrale")</f>
        <v>The Centrale</v>
      </c>
      <c r="C4813" s="1" t="s">
        <v>116</v>
      </c>
      <c r="D4813" s="1" t="s">
        <v>41</v>
      </c>
      <c r="E4813" s="3">
        <v>1600000</v>
      </c>
      <c r="F4813" s="1">
        <v>1889.0200708382499</v>
      </c>
      <c r="H4813" s="1">
        <v>1</v>
      </c>
      <c r="J4813" s="1">
        <v>1.5</v>
      </c>
      <c r="K4813" s="1">
        <v>1</v>
      </c>
      <c r="L4813" s="1">
        <v>1</v>
      </c>
      <c r="M4813" s="1">
        <v>847</v>
      </c>
      <c r="N4813" s="1">
        <v>844</v>
      </c>
      <c r="O4813" s="1">
        <v>2455</v>
      </c>
      <c r="P4813" s="1">
        <v>1611</v>
      </c>
      <c r="Q4813" s="1" t="s">
        <v>42</v>
      </c>
      <c r="S4813" s="1" t="s">
        <v>42</v>
      </c>
      <c r="T4813" s="1" t="s">
        <v>273</v>
      </c>
      <c r="AA4813" s="1">
        <v>1600000</v>
      </c>
      <c r="AB4813" s="1" t="s">
        <v>3399</v>
      </c>
      <c r="AC4813" s="5">
        <v>44056</v>
      </c>
      <c r="AF4813" s="1">
        <v>10022</v>
      </c>
      <c r="AI4813" s="1" t="s">
        <v>118</v>
      </c>
      <c r="AJ4813" s="1">
        <v>2019</v>
      </c>
      <c r="AK4813" s="1" t="s">
        <v>55</v>
      </c>
      <c r="AL4813" s="1">
        <v>124</v>
      </c>
    </row>
    <row r="4814" spans="1:38" x14ac:dyDescent="0.2">
      <c r="A4814" s="2" t="str">
        <f>HYPERLINK("https://www.compass.com/listing/2231-adam-clayton-powell-jr-boulevard-unit-514-manhattan-ny-10027/192575448830529681/","2231 Adam Clayton Powell Jr Blvd, Unit 514")</f>
        <v>2231 Adam Clayton Powell Jr Blvd, Unit 514</v>
      </c>
      <c r="B4814" s="2" t="str">
        <f t="shared" ref="B4814:B4825" si="817">HYPERLINK("https://www.compass.com/building/the-aurum-manhattan-ny/307451641162444869/","The Aurum")</f>
        <v>The Aurum</v>
      </c>
      <c r="C4814" s="1" t="s">
        <v>85</v>
      </c>
      <c r="D4814" s="1" t="s">
        <v>41</v>
      </c>
      <c r="E4814" s="3">
        <v>699537</v>
      </c>
      <c r="F4814" s="1">
        <v>1077.8690292757999</v>
      </c>
      <c r="G4814" s="1">
        <v>3</v>
      </c>
      <c r="H4814" s="1">
        <v>1</v>
      </c>
      <c r="I4814" s="1">
        <v>1</v>
      </c>
      <c r="J4814" s="1">
        <v>1</v>
      </c>
      <c r="M4814" s="1">
        <v>649</v>
      </c>
      <c r="N4814" s="1">
        <v>619</v>
      </c>
      <c r="O4814" s="1">
        <v>734</v>
      </c>
      <c r="P4814" s="1">
        <v>115</v>
      </c>
      <c r="Q4814" s="1" t="s">
        <v>42</v>
      </c>
      <c r="S4814" s="1" t="s">
        <v>42</v>
      </c>
      <c r="T4814" s="1" t="s">
        <v>273</v>
      </c>
      <c r="U4814" s="1">
        <v>35</v>
      </c>
      <c r="V4814" s="5">
        <v>43665</v>
      </c>
      <c r="W4814" s="5">
        <v>42707</v>
      </c>
      <c r="X4814" s="1">
        <v>687000</v>
      </c>
      <c r="Y4814" s="1">
        <v>687000</v>
      </c>
      <c r="Z4814" s="5">
        <v>42742</v>
      </c>
      <c r="AA4814" s="1">
        <v>699537</v>
      </c>
      <c r="AB4814" s="1" t="s">
        <v>275</v>
      </c>
      <c r="AC4814" s="5">
        <v>42783</v>
      </c>
      <c r="AF4814" s="1">
        <v>10027</v>
      </c>
      <c r="AI4814" s="1" t="s">
        <v>52</v>
      </c>
      <c r="AJ4814" s="1">
        <v>2016</v>
      </c>
      <c r="AK4814" s="1" t="s">
        <v>108</v>
      </c>
      <c r="AL4814" s="1">
        <v>115</v>
      </c>
    </row>
    <row r="4815" spans="1:38" x14ac:dyDescent="0.2">
      <c r="A4815" s="2" t="str">
        <f>HYPERLINK("https://www.compass.com/listing/2231-adam-clayton-powell-jr-boulevard-unit-605-manhattan-ny-10027/192575544552937313/","2231 Adam Clayton Powell Jr Blvd, Unit 605")</f>
        <v>2231 Adam Clayton Powell Jr Blvd, Unit 605</v>
      </c>
      <c r="B4815" s="2" t="str">
        <f t="shared" si="817"/>
        <v>The Aurum</v>
      </c>
      <c r="C4815" s="1" t="s">
        <v>85</v>
      </c>
      <c r="D4815" s="1" t="s">
        <v>41</v>
      </c>
      <c r="E4815" s="3">
        <v>705647</v>
      </c>
      <c r="F4815" s="1">
        <v>1111.2551181102299</v>
      </c>
      <c r="G4815" s="1">
        <v>3</v>
      </c>
      <c r="H4815" s="1">
        <v>1</v>
      </c>
      <c r="I4815" s="1">
        <v>1</v>
      </c>
      <c r="J4815" s="1">
        <v>1</v>
      </c>
      <c r="M4815" s="1">
        <v>635</v>
      </c>
      <c r="N4815" s="1">
        <v>605</v>
      </c>
      <c r="O4815" s="1">
        <v>742</v>
      </c>
      <c r="P4815" s="1">
        <v>137</v>
      </c>
      <c r="Q4815" s="1" t="s">
        <v>42</v>
      </c>
      <c r="S4815" s="1" t="s">
        <v>42</v>
      </c>
      <c r="T4815" s="1" t="s">
        <v>273</v>
      </c>
      <c r="U4815" s="1">
        <v>31</v>
      </c>
      <c r="V4815" s="5">
        <v>43668</v>
      </c>
      <c r="W4815" s="5">
        <v>42511</v>
      </c>
      <c r="X4815" s="1">
        <v>693000</v>
      </c>
      <c r="Y4815" s="1">
        <v>693000</v>
      </c>
      <c r="Z4815" s="5">
        <v>42542</v>
      </c>
      <c r="AA4815" s="1">
        <v>705647</v>
      </c>
      <c r="AB4815" s="1" t="s">
        <v>275</v>
      </c>
      <c r="AC4815" s="5">
        <v>42761</v>
      </c>
      <c r="AF4815" s="1">
        <v>10027</v>
      </c>
      <c r="AI4815" s="1" t="s">
        <v>52</v>
      </c>
      <c r="AJ4815" s="1">
        <v>2016</v>
      </c>
      <c r="AK4815" s="1" t="s">
        <v>108</v>
      </c>
      <c r="AL4815" s="1">
        <v>115</v>
      </c>
    </row>
    <row r="4816" spans="1:38" x14ac:dyDescent="0.2">
      <c r="A4816" s="2" t="str">
        <f>HYPERLINK("https://www.compass.com/listing/2231-adam-clayton-powell-jr-boulevard-unit-606-manhattan-ny-10027/192575544854891697/","2231 Adam Clayton Powell Jr Blvd, Unit 606")</f>
        <v>2231 Adam Clayton Powell Jr Blvd, Unit 606</v>
      </c>
      <c r="B4816" s="2" t="str">
        <f t="shared" si="817"/>
        <v>The Aurum</v>
      </c>
      <c r="C4816" s="1" t="s">
        <v>85</v>
      </c>
      <c r="D4816" s="1" t="s">
        <v>41</v>
      </c>
      <c r="E4816" s="3">
        <v>686809</v>
      </c>
      <c r="F4816" s="1">
        <v>1081.5889763779501</v>
      </c>
      <c r="G4816" s="1">
        <v>3</v>
      </c>
      <c r="H4816" s="1">
        <v>1</v>
      </c>
      <c r="I4816" s="1">
        <v>1</v>
      </c>
      <c r="J4816" s="1">
        <v>1</v>
      </c>
      <c r="M4816" s="1">
        <v>635</v>
      </c>
      <c r="N4816" s="1">
        <v>606</v>
      </c>
      <c r="O4816" s="1">
        <v>719</v>
      </c>
      <c r="P4816" s="1">
        <v>113</v>
      </c>
      <c r="Q4816" s="1" t="s">
        <v>42</v>
      </c>
      <c r="S4816" s="1" t="s">
        <v>42</v>
      </c>
      <c r="T4816" s="1" t="s">
        <v>273</v>
      </c>
      <c r="U4816" s="1">
        <v>45</v>
      </c>
      <c r="V4816" s="5">
        <v>43665</v>
      </c>
      <c r="W4816" s="5">
        <v>42486</v>
      </c>
      <c r="X4816" s="1">
        <v>674500</v>
      </c>
      <c r="Y4816" s="1">
        <v>674500</v>
      </c>
      <c r="Z4816" s="5">
        <v>42531</v>
      </c>
      <c r="AA4816" s="1">
        <v>686809</v>
      </c>
      <c r="AB4816" s="1" t="s">
        <v>275</v>
      </c>
      <c r="AC4816" s="5">
        <v>42710</v>
      </c>
      <c r="AF4816" s="1">
        <v>10027</v>
      </c>
      <c r="AI4816" s="1" t="s">
        <v>52</v>
      </c>
      <c r="AJ4816" s="1">
        <v>2016</v>
      </c>
      <c r="AK4816" s="1" t="s">
        <v>108</v>
      </c>
      <c r="AL4816" s="1">
        <v>115</v>
      </c>
    </row>
    <row r="4817" spans="1:38" x14ac:dyDescent="0.2">
      <c r="A4817" s="2" t="str">
        <f>HYPERLINK("https://www.compass.com/listing/2231-adam-clayton-powell-jr-boulevard-unit-520-manhattan-ny-10027/192575545425352801/","2231 Adam Clayton Powell Jr Blvd, Unit 520")</f>
        <v>2231 Adam Clayton Powell Jr Blvd, Unit 520</v>
      </c>
      <c r="B4817" s="2" t="str">
        <f t="shared" si="817"/>
        <v>The Aurum</v>
      </c>
      <c r="C4817" s="1" t="s">
        <v>85</v>
      </c>
      <c r="D4817" s="1" t="s">
        <v>41</v>
      </c>
      <c r="E4817" s="3">
        <v>678000</v>
      </c>
      <c r="F4817" s="1">
        <v>1109.6563011456601</v>
      </c>
      <c r="G4817" s="1">
        <v>3</v>
      </c>
      <c r="H4817" s="1">
        <v>1</v>
      </c>
      <c r="I4817" s="1">
        <v>1</v>
      </c>
      <c r="J4817" s="1">
        <v>1</v>
      </c>
      <c r="M4817" s="1">
        <v>611</v>
      </c>
      <c r="N4817" s="1">
        <v>583</v>
      </c>
      <c r="O4817" s="1">
        <v>691</v>
      </c>
      <c r="P4817" s="1">
        <v>108</v>
      </c>
      <c r="Q4817" s="1" t="s">
        <v>42</v>
      </c>
      <c r="S4817" s="1" t="s">
        <v>42</v>
      </c>
      <c r="T4817" s="1" t="s">
        <v>273</v>
      </c>
      <c r="U4817" s="1">
        <v>40</v>
      </c>
      <c r="V4817" s="5">
        <v>43606</v>
      </c>
      <c r="W4817" s="5">
        <v>42586</v>
      </c>
      <c r="X4817" s="1">
        <v>678000</v>
      </c>
      <c r="Y4817" s="1">
        <v>678000</v>
      </c>
      <c r="Z4817" s="5">
        <v>42627</v>
      </c>
      <c r="AA4817" s="1">
        <v>690373</v>
      </c>
      <c r="AB4817" s="1" t="s">
        <v>275</v>
      </c>
      <c r="AC4817" s="5">
        <v>42717</v>
      </c>
      <c r="AF4817" s="1">
        <v>10027</v>
      </c>
      <c r="AI4817" s="1" t="s">
        <v>52</v>
      </c>
      <c r="AJ4817" s="1">
        <v>2016</v>
      </c>
      <c r="AK4817" s="1" t="s">
        <v>108</v>
      </c>
      <c r="AL4817" s="1">
        <v>115</v>
      </c>
    </row>
    <row r="4818" spans="1:38" x14ac:dyDescent="0.2">
      <c r="A4818" s="2" t="str">
        <f>HYPERLINK("https://www.compass.com/listing/2231-adam-clayton-powell-jr-boulevard-unit-616-manhattan-ny-10027/192575546708774641/","2231 Adam Clayton Powell Jr Blvd, Unit 616")</f>
        <v>2231 Adam Clayton Powell Jr Blvd, Unit 616</v>
      </c>
      <c r="B4818" s="2" t="str">
        <f t="shared" si="817"/>
        <v>The Aurum</v>
      </c>
      <c r="C4818" s="1" t="s">
        <v>85</v>
      </c>
      <c r="D4818" s="1" t="s">
        <v>41</v>
      </c>
      <c r="E4818" s="3">
        <v>700556</v>
      </c>
      <c r="F4818" s="1">
        <v>1071.1865443424999</v>
      </c>
      <c r="G4818" s="1">
        <v>3</v>
      </c>
      <c r="H4818" s="1">
        <v>1</v>
      </c>
      <c r="I4818" s="1">
        <v>1</v>
      </c>
      <c r="J4818" s="1">
        <v>1</v>
      </c>
      <c r="M4818" s="1">
        <v>654</v>
      </c>
      <c r="N4818" s="1">
        <v>624</v>
      </c>
      <c r="O4818" s="1">
        <v>740</v>
      </c>
      <c r="P4818" s="1">
        <v>116</v>
      </c>
      <c r="Q4818" s="1" t="s">
        <v>42</v>
      </c>
      <c r="S4818" s="1" t="s">
        <v>42</v>
      </c>
      <c r="T4818" s="1" t="s">
        <v>273</v>
      </c>
      <c r="U4818" s="1">
        <v>7</v>
      </c>
      <c r="V4818" s="5">
        <v>43670</v>
      </c>
      <c r="W4818" s="5">
        <v>42592</v>
      </c>
      <c r="X4818" s="1">
        <v>688000</v>
      </c>
      <c r="Y4818" s="1">
        <v>688000</v>
      </c>
      <c r="Z4818" s="5">
        <v>42599</v>
      </c>
      <c r="AA4818" s="1">
        <v>700556</v>
      </c>
      <c r="AB4818" s="1" t="s">
        <v>275</v>
      </c>
      <c r="AC4818" s="5">
        <v>42732</v>
      </c>
      <c r="AF4818" s="1">
        <v>10027</v>
      </c>
      <c r="AI4818" s="1" t="s">
        <v>52</v>
      </c>
      <c r="AJ4818" s="1">
        <v>2016</v>
      </c>
      <c r="AK4818" s="1" t="s">
        <v>108</v>
      </c>
      <c r="AL4818" s="1">
        <v>115</v>
      </c>
    </row>
    <row r="4819" spans="1:38" x14ac:dyDescent="0.2">
      <c r="A4819" s="2" t="str">
        <f>HYPERLINK("https://www.compass.com/listing/2231-adam-clayton-powell-jr-boulevard-unit-406-manhattan-ny-10027/192575554325687105/","2231 Adam Clayton Powell Jr Blvd, Unit 406")</f>
        <v>2231 Adam Clayton Powell Jr Blvd, Unit 406</v>
      </c>
      <c r="B4819" s="2" t="str">
        <f t="shared" si="817"/>
        <v>The Aurum</v>
      </c>
      <c r="C4819" s="1" t="s">
        <v>85</v>
      </c>
      <c r="D4819" s="1" t="s">
        <v>41</v>
      </c>
      <c r="E4819" s="3">
        <v>684264</v>
      </c>
      <c r="F4819" s="1">
        <v>1077.5811023622</v>
      </c>
      <c r="G4819" s="1">
        <v>3</v>
      </c>
      <c r="H4819" s="1">
        <v>1</v>
      </c>
      <c r="I4819" s="1">
        <v>1</v>
      </c>
      <c r="J4819" s="1">
        <v>1</v>
      </c>
      <c r="M4819" s="1">
        <v>635</v>
      </c>
      <c r="N4819" s="1">
        <v>606</v>
      </c>
      <c r="O4819" s="1">
        <v>719</v>
      </c>
      <c r="P4819" s="1">
        <v>113</v>
      </c>
      <c r="Q4819" s="1" t="s">
        <v>42</v>
      </c>
      <c r="S4819" s="1" t="s">
        <v>42</v>
      </c>
      <c r="T4819" s="1" t="s">
        <v>273</v>
      </c>
      <c r="V4819" s="5">
        <v>43665</v>
      </c>
      <c r="W4819" s="5">
        <v>42557</v>
      </c>
      <c r="X4819" s="1">
        <v>672000</v>
      </c>
      <c r="Y4819" s="1">
        <v>672000</v>
      </c>
      <c r="Z4819" s="5">
        <v>42557</v>
      </c>
      <c r="AA4819" s="1">
        <v>684264</v>
      </c>
      <c r="AB4819" s="1" t="s">
        <v>275</v>
      </c>
      <c r="AC4819" s="5">
        <v>42724</v>
      </c>
      <c r="AF4819" s="1">
        <v>10027</v>
      </c>
      <c r="AI4819" s="1" t="s">
        <v>52</v>
      </c>
      <c r="AJ4819" s="1">
        <v>2016</v>
      </c>
      <c r="AK4819" s="1" t="s">
        <v>108</v>
      </c>
      <c r="AL4819" s="1">
        <v>115</v>
      </c>
    </row>
    <row r="4820" spans="1:38" x14ac:dyDescent="0.2">
      <c r="A4820" s="2" t="str">
        <f>HYPERLINK("https://www.compass.com/listing/2231-adam-clayton-powell-jr-boulevard-unit-408-manhattan-ny-10027/192575554753488609/","2231 Adam Clayton Powell Jr Blvd, Unit 408")</f>
        <v>2231 Adam Clayton Powell Jr Blvd, Unit 408</v>
      </c>
      <c r="B4820" s="2" t="str">
        <f t="shared" si="817"/>
        <v>The Aurum</v>
      </c>
      <c r="C4820" s="1" t="s">
        <v>85</v>
      </c>
      <c r="D4820" s="1" t="s">
        <v>41</v>
      </c>
      <c r="E4820" s="3">
        <v>700556</v>
      </c>
      <c r="F4820" s="1">
        <v>1079.43913713405</v>
      </c>
      <c r="G4820" s="1">
        <v>3</v>
      </c>
      <c r="H4820" s="1">
        <v>1</v>
      </c>
      <c r="I4820" s="1">
        <v>1</v>
      </c>
      <c r="J4820" s="1">
        <v>1</v>
      </c>
      <c r="M4820" s="1">
        <v>649</v>
      </c>
      <c r="N4820" s="1">
        <v>619</v>
      </c>
      <c r="O4820" s="1">
        <v>734</v>
      </c>
      <c r="P4820" s="1">
        <v>115</v>
      </c>
      <c r="Q4820" s="1" t="s">
        <v>42</v>
      </c>
      <c r="S4820" s="1" t="s">
        <v>42</v>
      </c>
      <c r="T4820" s="1" t="s">
        <v>273</v>
      </c>
      <c r="V4820" s="5">
        <v>43672</v>
      </c>
      <c r="W4820" s="5">
        <v>42557</v>
      </c>
      <c r="X4820" s="1">
        <v>688000</v>
      </c>
      <c r="Y4820" s="1">
        <v>688000</v>
      </c>
      <c r="Z4820" s="5">
        <v>42557</v>
      </c>
      <c r="AA4820" s="1">
        <v>700556</v>
      </c>
      <c r="AB4820" s="1" t="s">
        <v>275</v>
      </c>
      <c r="AC4820" s="5">
        <v>42703</v>
      </c>
      <c r="AF4820" s="1">
        <v>10027</v>
      </c>
      <c r="AI4820" s="1" t="s">
        <v>52</v>
      </c>
      <c r="AJ4820" s="1">
        <v>2016</v>
      </c>
      <c r="AK4820" s="1" t="s">
        <v>108</v>
      </c>
      <c r="AL4820" s="1">
        <v>115</v>
      </c>
    </row>
    <row r="4821" spans="1:38" x14ac:dyDescent="0.2">
      <c r="A4821" s="2" t="str">
        <f>HYPERLINK("https://www.compass.com/listing/2231-adam-clayton-powell-jr-boulevard-unit-505-manhattan-ny-10027/192575572344369905/","2231 Adam Clayton Powell Jr Blvd, Unit 505")</f>
        <v>2231 Adam Clayton Powell Jr Blvd, Unit 505</v>
      </c>
      <c r="B4821" s="2" t="str">
        <f t="shared" si="817"/>
        <v>The Aurum</v>
      </c>
      <c r="C4821" s="1" t="s">
        <v>85</v>
      </c>
      <c r="D4821" s="1" t="s">
        <v>41</v>
      </c>
      <c r="E4821" s="3">
        <v>693428</v>
      </c>
      <c r="F4821" s="1">
        <v>1092.0125984251899</v>
      </c>
      <c r="G4821" s="1">
        <v>3</v>
      </c>
      <c r="H4821" s="1">
        <v>1</v>
      </c>
      <c r="I4821" s="1">
        <v>1</v>
      </c>
      <c r="J4821" s="1">
        <v>1</v>
      </c>
      <c r="M4821" s="1">
        <v>635</v>
      </c>
      <c r="N4821" s="1">
        <v>605</v>
      </c>
      <c r="O4821" s="1">
        <v>718</v>
      </c>
      <c r="P4821" s="1">
        <v>113</v>
      </c>
      <c r="Q4821" s="1" t="s">
        <v>42</v>
      </c>
      <c r="S4821" s="1" t="s">
        <v>42</v>
      </c>
      <c r="T4821" s="1" t="s">
        <v>273</v>
      </c>
      <c r="U4821" s="1">
        <v>25</v>
      </c>
      <c r="V4821" s="5">
        <v>43670</v>
      </c>
      <c r="W4821" s="5">
        <v>42486</v>
      </c>
      <c r="X4821" s="1">
        <v>681000</v>
      </c>
      <c r="Y4821" s="1">
        <v>681000</v>
      </c>
      <c r="Z4821" s="5">
        <v>42511</v>
      </c>
      <c r="AA4821" s="1">
        <v>693428</v>
      </c>
      <c r="AB4821" s="1" t="s">
        <v>275</v>
      </c>
      <c r="AC4821" s="5">
        <v>42727</v>
      </c>
      <c r="AF4821" s="1">
        <v>10027</v>
      </c>
      <c r="AI4821" s="1" t="s">
        <v>52</v>
      </c>
      <c r="AJ4821" s="1">
        <v>2016</v>
      </c>
      <c r="AK4821" s="1" t="s">
        <v>108</v>
      </c>
      <c r="AL4821" s="1">
        <v>115</v>
      </c>
    </row>
    <row r="4822" spans="1:38" x14ac:dyDescent="0.2">
      <c r="A4822" s="2" t="str">
        <f>HYPERLINK("https://www.compass.com/listing/2231-adam-clayton-powell-jr-boulevard-unit-518-manhattan-ny-10027/192575581429288161/","2231 Adam Clayton Powell Jr Blvd, Unit 518")</f>
        <v>2231 Adam Clayton Powell Jr Blvd, Unit 518</v>
      </c>
      <c r="B4822" s="2" t="str">
        <f t="shared" si="817"/>
        <v>The Aurum</v>
      </c>
      <c r="C4822" s="1" t="s">
        <v>85</v>
      </c>
      <c r="D4822" s="1" t="s">
        <v>41</v>
      </c>
      <c r="E4822" s="3">
        <v>694446</v>
      </c>
      <c r="F4822" s="1">
        <v>1021.24411764705</v>
      </c>
      <c r="G4822" s="1">
        <v>3</v>
      </c>
      <c r="H4822" s="1">
        <v>1</v>
      </c>
      <c r="I4822" s="1">
        <v>1</v>
      </c>
      <c r="J4822" s="1">
        <v>1</v>
      </c>
      <c r="M4822" s="1">
        <v>680</v>
      </c>
      <c r="N4822" s="1">
        <v>720</v>
      </c>
      <c r="O4822" s="1">
        <v>839</v>
      </c>
      <c r="P4822" s="1">
        <v>119</v>
      </c>
      <c r="Q4822" s="1" t="s">
        <v>42</v>
      </c>
      <c r="S4822" s="1" t="s">
        <v>42</v>
      </c>
      <c r="T4822" s="1" t="s">
        <v>273</v>
      </c>
      <c r="V4822" s="5">
        <v>43665</v>
      </c>
      <c r="W4822" s="5">
        <v>42486</v>
      </c>
      <c r="X4822" s="1">
        <v>692500</v>
      </c>
      <c r="Y4822" s="1">
        <v>692500</v>
      </c>
      <c r="Z4822" s="5">
        <v>42486</v>
      </c>
      <c r="AA4822" s="1">
        <v>694446</v>
      </c>
      <c r="AB4822" s="1" t="s">
        <v>275</v>
      </c>
      <c r="AC4822" s="5">
        <v>42718</v>
      </c>
      <c r="AF4822" s="1">
        <v>10027</v>
      </c>
      <c r="AI4822" s="1" t="s">
        <v>52</v>
      </c>
      <c r="AJ4822" s="1">
        <v>2016</v>
      </c>
      <c r="AK4822" s="1" t="s">
        <v>108</v>
      </c>
      <c r="AL4822" s="1">
        <v>115</v>
      </c>
    </row>
    <row r="4823" spans="1:38" x14ac:dyDescent="0.2">
      <c r="A4823" s="2" t="str">
        <f>HYPERLINK("https://www.compass.com/listing/2231-adam-clayton-powell-jr-boulevard-unit-508-manhattan-ny-10027/192575628673917937/","2231 Adam Clayton Powell Jr Blvd, Unit 508")</f>
        <v>2231 Adam Clayton Powell Jr Blvd, Unit 508</v>
      </c>
      <c r="B4823" s="2" t="str">
        <f t="shared" si="817"/>
        <v>The Aurum</v>
      </c>
      <c r="C4823" s="1" t="s">
        <v>85</v>
      </c>
      <c r="D4823" s="1" t="s">
        <v>41</v>
      </c>
      <c r="E4823" s="3">
        <v>692410</v>
      </c>
      <c r="F4823" s="1">
        <v>1066.8875192604</v>
      </c>
      <c r="G4823" s="1">
        <v>3</v>
      </c>
      <c r="H4823" s="1">
        <v>1</v>
      </c>
      <c r="I4823" s="1">
        <v>1</v>
      </c>
      <c r="J4823" s="1">
        <v>1</v>
      </c>
      <c r="M4823" s="1">
        <v>649</v>
      </c>
      <c r="N4823" s="1">
        <v>619</v>
      </c>
      <c r="O4823" s="1">
        <v>734</v>
      </c>
      <c r="P4823" s="1">
        <v>115</v>
      </c>
      <c r="Q4823" s="1" t="s">
        <v>42</v>
      </c>
      <c r="S4823" s="1" t="s">
        <v>42</v>
      </c>
      <c r="T4823" s="1" t="s">
        <v>273</v>
      </c>
      <c r="V4823" s="5">
        <v>43670</v>
      </c>
      <c r="W4823" s="5">
        <v>42486</v>
      </c>
      <c r="X4823" s="1">
        <v>688000</v>
      </c>
      <c r="Y4823" s="1">
        <v>688000</v>
      </c>
      <c r="Z4823" s="5">
        <v>42486</v>
      </c>
      <c r="AA4823" s="1">
        <v>692410</v>
      </c>
      <c r="AB4823" s="1" t="s">
        <v>275</v>
      </c>
      <c r="AC4823" s="5">
        <v>42721</v>
      </c>
      <c r="AF4823" s="1">
        <v>10027</v>
      </c>
      <c r="AI4823" s="1" t="s">
        <v>52</v>
      </c>
      <c r="AJ4823" s="1">
        <v>2016</v>
      </c>
      <c r="AK4823" s="1" t="s">
        <v>108</v>
      </c>
      <c r="AL4823" s="1">
        <v>115</v>
      </c>
    </row>
    <row r="4824" spans="1:38" x14ac:dyDescent="0.2">
      <c r="A4824" s="2" t="str">
        <f>HYPERLINK("https://www.compass.com/listing/2231-adam-clayton-powell-jr-boulevard-unit-517-manhattan-ny-10027/192575629806344961/","2231 Adam Clayton Powell Jr Blvd, Unit 517")</f>
        <v>2231 Adam Clayton Powell Jr Blvd, Unit 517</v>
      </c>
      <c r="B4824" s="2" t="str">
        <f t="shared" si="817"/>
        <v>The Aurum</v>
      </c>
      <c r="C4824" s="1" t="s">
        <v>85</v>
      </c>
      <c r="D4824" s="1" t="s">
        <v>41</v>
      </c>
      <c r="E4824" s="3">
        <v>684363</v>
      </c>
      <c r="F4824" s="1">
        <v>1051.2488479262599</v>
      </c>
      <c r="G4824" s="1">
        <v>3</v>
      </c>
      <c r="H4824" s="1">
        <v>1</v>
      </c>
      <c r="I4824" s="1">
        <v>1</v>
      </c>
      <c r="J4824" s="1">
        <v>1</v>
      </c>
      <c r="M4824" s="1">
        <v>651</v>
      </c>
      <c r="N4824" s="1">
        <v>621</v>
      </c>
      <c r="O4824" s="1">
        <v>737</v>
      </c>
      <c r="P4824" s="1">
        <v>116</v>
      </c>
      <c r="Q4824" s="1" t="s">
        <v>42</v>
      </c>
      <c r="S4824" s="1" t="s">
        <v>42</v>
      </c>
      <c r="T4824" s="1" t="s">
        <v>273</v>
      </c>
      <c r="V4824" s="5">
        <v>43668</v>
      </c>
      <c r="W4824" s="5">
        <v>42531</v>
      </c>
      <c r="X4824" s="1">
        <v>672000</v>
      </c>
      <c r="Y4824" s="1">
        <v>672000</v>
      </c>
      <c r="Z4824" s="5">
        <v>42531</v>
      </c>
      <c r="AA4824" s="1">
        <v>684363</v>
      </c>
      <c r="AB4824" s="1" t="s">
        <v>275</v>
      </c>
      <c r="AC4824" s="5">
        <v>42728</v>
      </c>
      <c r="AF4824" s="1">
        <v>10027</v>
      </c>
      <c r="AI4824" s="1" t="s">
        <v>52</v>
      </c>
      <c r="AJ4824" s="1">
        <v>2016</v>
      </c>
      <c r="AK4824" s="1" t="s">
        <v>108</v>
      </c>
      <c r="AL4824" s="1">
        <v>115</v>
      </c>
    </row>
    <row r="4825" spans="1:38" x14ac:dyDescent="0.2">
      <c r="A4825" s="2" t="str">
        <f>HYPERLINK("https://www.compass.com/listing/2231-adam-clayton-powell-jr-boulevard-unit-618-manhattan-ny-10027/192575646457786657/","2231 Adam Clayton Powell Jr Blvd, Unit 618")</f>
        <v>2231 Adam Clayton Powell Jr Blvd, Unit 618</v>
      </c>
      <c r="B4825" s="2" t="str">
        <f t="shared" si="817"/>
        <v>The Aurum</v>
      </c>
      <c r="C4825" s="1" t="s">
        <v>85</v>
      </c>
      <c r="D4825" s="1" t="s">
        <v>41</v>
      </c>
      <c r="E4825" s="3">
        <v>720411</v>
      </c>
      <c r="F4825" s="1">
        <v>1076.8475336322799</v>
      </c>
      <c r="G4825" s="1">
        <v>3</v>
      </c>
      <c r="H4825" s="1">
        <v>1</v>
      </c>
      <c r="I4825" s="1">
        <v>1</v>
      </c>
      <c r="J4825" s="1">
        <v>1</v>
      </c>
      <c r="M4825" s="1">
        <v>669</v>
      </c>
      <c r="N4825" s="1">
        <v>638</v>
      </c>
      <c r="O4825" s="1">
        <v>757</v>
      </c>
      <c r="P4825" s="1">
        <v>119</v>
      </c>
      <c r="Q4825" s="1" t="s">
        <v>42</v>
      </c>
      <c r="S4825" s="1" t="s">
        <v>42</v>
      </c>
      <c r="T4825" s="1" t="s">
        <v>273</v>
      </c>
      <c r="U4825" s="1">
        <v>20</v>
      </c>
      <c r="V4825" s="5">
        <v>43673</v>
      </c>
      <c r="W4825" s="5">
        <v>42511</v>
      </c>
      <c r="X4825" s="1">
        <v>707500</v>
      </c>
      <c r="Y4825" s="1">
        <v>707500</v>
      </c>
      <c r="Z4825" s="5">
        <v>42531</v>
      </c>
      <c r="AA4825" s="1">
        <v>720411</v>
      </c>
      <c r="AB4825" s="1" t="s">
        <v>275</v>
      </c>
      <c r="AC4825" s="5">
        <v>42705</v>
      </c>
      <c r="AF4825" s="1">
        <v>10027</v>
      </c>
      <c r="AI4825" s="1" t="s">
        <v>52</v>
      </c>
      <c r="AJ4825" s="1">
        <v>2016</v>
      </c>
      <c r="AK4825" s="1" t="s">
        <v>108</v>
      </c>
      <c r="AL4825" s="1">
        <v>115</v>
      </c>
    </row>
    <row r="4826" spans="1:38" x14ac:dyDescent="0.2">
      <c r="A4826" s="2" t="str">
        <f>HYPERLINK("https://www.compass.com/listing/456-west-167th-street-unit-2c-manhattan-ny-10032/639164096593889801/","456 W 167th St, Unit 2C")</f>
        <v>456 W 167th St, Unit 2C</v>
      </c>
      <c r="B4826" s="2" t="str">
        <f>HYPERLINK("https://www.compass.com/building/edgecombe-parc-manhattan-ny/282005897969005013/","Edgecombe Parc")</f>
        <v>Edgecombe Parc</v>
      </c>
      <c r="C4826" s="1" t="s">
        <v>93</v>
      </c>
      <c r="D4826" s="1" t="s">
        <v>41</v>
      </c>
      <c r="E4826" s="3">
        <v>485000</v>
      </c>
      <c r="F4826" s="1">
        <v>731.52337858220199</v>
      </c>
      <c r="G4826" s="1">
        <v>3</v>
      </c>
      <c r="H4826" s="1">
        <v>1</v>
      </c>
      <c r="I4826" s="1">
        <v>1</v>
      </c>
      <c r="J4826" s="1">
        <v>1</v>
      </c>
      <c r="K4826" s="1">
        <v>1</v>
      </c>
      <c r="M4826" s="1">
        <v>663</v>
      </c>
      <c r="N4826" s="1">
        <v>487</v>
      </c>
      <c r="O4826" s="1">
        <v>1068</v>
      </c>
      <c r="P4826" s="1">
        <v>581</v>
      </c>
      <c r="Q4826" s="1" t="s">
        <v>42</v>
      </c>
      <c r="S4826" s="1" t="s">
        <v>42</v>
      </c>
      <c r="T4826" s="1" t="s">
        <v>273</v>
      </c>
      <c r="V4826" s="5">
        <v>44338</v>
      </c>
      <c r="W4826" s="5">
        <v>44134</v>
      </c>
      <c r="X4826" s="1">
        <v>500000</v>
      </c>
      <c r="Y4826" s="1">
        <v>500000</v>
      </c>
      <c r="Z4826" s="5">
        <v>44134</v>
      </c>
      <c r="AA4826" s="1">
        <v>485000</v>
      </c>
      <c r="AB4826" s="1" t="s">
        <v>3400</v>
      </c>
      <c r="AC4826" s="5">
        <v>44335</v>
      </c>
      <c r="AF4826" s="1">
        <v>10032</v>
      </c>
      <c r="AI4826" s="1" t="s">
        <v>65</v>
      </c>
      <c r="AJ4826" s="1">
        <v>2014</v>
      </c>
      <c r="AK4826" s="1" t="s">
        <v>175</v>
      </c>
      <c r="AL4826" s="1">
        <v>49</v>
      </c>
    </row>
    <row r="4827" spans="1:38" x14ac:dyDescent="0.2">
      <c r="A4827" s="2" t="str">
        <f>HYPERLINK("https://www.compass.com/listing/695-1st-avenue-unit-32a-manhattan-ny-10016/597166176617449385/","695 1st Ave, Unit 32A")</f>
        <v>695 1st Ave, Unit 32A</v>
      </c>
      <c r="B4827" s="2" t="str">
        <f t="shared" ref="B4827:B4828" si="818">HYPERLINK("https://www.compass.com/building/one-united-nations-park-manhattan-ny/282058773630059653/","One United Nations Park")</f>
        <v>One United Nations Park</v>
      </c>
      <c r="C4827" s="1" t="s">
        <v>59</v>
      </c>
      <c r="D4827" s="1" t="s">
        <v>41</v>
      </c>
      <c r="E4827" s="3">
        <v>1280000</v>
      </c>
      <c r="F4827" s="1">
        <v>1643.1322207958899</v>
      </c>
      <c r="G4827" s="1">
        <v>3</v>
      </c>
      <c r="H4827" s="1">
        <v>1</v>
      </c>
      <c r="I4827" s="1">
        <v>1</v>
      </c>
      <c r="J4827" s="1">
        <v>1</v>
      </c>
      <c r="K4827" s="1">
        <v>1</v>
      </c>
      <c r="M4827" s="1">
        <v>779</v>
      </c>
      <c r="N4827" s="1">
        <v>1044</v>
      </c>
      <c r="O4827" s="1">
        <v>2284</v>
      </c>
      <c r="P4827" s="1">
        <v>1240</v>
      </c>
      <c r="Q4827" s="1" t="s">
        <v>42</v>
      </c>
      <c r="S4827" s="1" t="s">
        <v>42</v>
      </c>
      <c r="T4827" s="1" t="s">
        <v>273</v>
      </c>
      <c r="V4827" s="5">
        <v>44421</v>
      </c>
      <c r="W4827" s="5">
        <v>44075</v>
      </c>
      <c r="X4827" s="1">
        <v>1395000</v>
      </c>
      <c r="Y4827" s="1">
        <v>1395000</v>
      </c>
      <c r="Z4827" s="5">
        <v>44202</v>
      </c>
      <c r="AA4827" s="1">
        <v>1280000</v>
      </c>
      <c r="AB4827" s="1" t="s">
        <v>275</v>
      </c>
      <c r="AC4827" s="5">
        <v>44417</v>
      </c>
      <c r="AF4827" s="1">
        <v>10016</v>
      </c>
      <c r="AJ4827" s="1">
        <v>2019</v>
      </c>
      <c r="AK4827" s="1" t="s">
        <v>46</v>
      </c>
      <c r="AL4827" s="1">
        <v>148</v>
      </c>
    </row>
    <row r="4828" spans="1:38" x14ac:dyDescent="0.2">
      <c r="A4828" s="2" t="str">
        <f>HYPERLINK("https://www.compass.com/listing/695-1st-avenue-unit-32j-manhattan-ny-10016/688529984910476601/","695 1st Ave, Unit 32J")</f>
        <v>695 1st Ave, Unit 32J</v>
      </c>
      <c r="B4828" s="2" t="str">
        <f t="shared" si="818"/>
        <v>One United Nations Park</v>
      </c>
      <c r="C4828" s="1" t="s">
        <v>59</v>
      </c>
      <c r="D4828" s="1" t="s">
        <v>41</v>
      </c>
      <c r="E4828" s="3">
        <v>1400000</v>
      </c>
      <c r="F4828" s="1">
        <v>1960.7843137254899</v>
      </c>
      <c r="G4828" s="1">
        <v>3</v>
      </c>
      <c r="H4828" s="1">
        <v>1</v>
      </c>
      <c r="I4828" s="1">
        <v>1</v>
      </c>
      <c r="J4828" s="1">
        <v>1</v>
      </c>
      <c r="K4828" s="1">
        <v>1</v>
      </c>
      <c r="M4828" s="1">
        <v>714</v>
      </c>
      <c r="N4828" s="1">
        <v>957</v>
      </c>
      <c r="O4828" s="1">
        <v>2094</v>
      </c>
      <c r="P4828" s="1">
        <v>1137</v>
      </c>
      <c r="Q4828" s="1" t="s">
        <v>42</v>
      </c>
      <c r="S4828" s="1" t="s">
        <v>42</v>
      </c>
      <c r="T4828" s="1" t="s">
        <v>273</v>
      </c>
      <c r="V4828" s="5">
        <v>44421</v>
      </c>
      <c r="W4828" s="5">
        <v>44201</v>
      </c>
      <c r="X4828" s="1">
        <v>1730000</v>
      </c>
      <c r="Y4828" s="1">
        <v>1730000</v>
      </c>
      <c r="Z4828" s="5">
        <v>44202</v>
      </c>
      <c r="AA4828" s="1">
        <v>1400000</v>
      </c>
      <c r="AB4828" s="1" t="s">
        <v>275</v>
      </c>
      <c r="AC4828" s="5">
        <v>44419</v>
      </c>
      <c r="AF4828" s="1">
        <v>10016</v>
      </c>
      <c r="AJ4828" s="1">
        <v>2019</v>
      </c>
      <c r="AK4828" s="1" t="s">
        <v>46</v>
      </c>
      <c r="AL4828" s="1">
        <v>148</v>
      </c>
    </row>
    <row r="4829" spans="1:38" x14ac:dyDescent="0.2">
      <c r="A4829" s="2" t="str">
        <f>HYPERLINK("https://www.compass.com/listing/2231-adam-clayton-powell-jr-boulevard-unit-210-manhattan-ny-10027/192575440852960977/","2231 Adam Clayton Powell Jr Blvd, Unit 210")</f>
        <v>2231 Adam Clayton Powell Jr Blvd, Unit 210</v>
      </c>
      <c r="B4829" s="2" t="str">
        <f>HYPERLINK("https://www.compass.com/building/the-aurum-manhattan-ny/307451641162444869/","The Aurum")</f>
        <v>The Aurum</v>
      </c>
      <c r="C4829" s="1" t="s">
        <v>85</v>
      </c>
      <c r="D4829" s="1" t="s">
        <v>41</v>
      </c>
      <c r="E4829" s="3">
        <v>10</v>
      </c>
      <c r="F4829" s="1">
        <v>8.8495575221238902E-3</v>
      </c>
      <c r="G4829" s="1">
        <v>5</v>
      </c>
      <c r="H4829" s="1">
        <v>3</v>
      </c>
      <c r="I4829" s="1">
        <v>2</v>
      </c>
      <c r="J4829" s="1">
        <v>2</v>
      </c>
      <c r="M4829" s="4">
        <v>1130</v>
      </c>
      <c r="N4829" s="1">
        <v>1078</v>
      </c>
      <c r="O4829" s="1">
        <v>1279</v>
      </c>
      <c r="P4829" s="1">
        <v>201</v>
      </c>
      <c r="Q4829" s="1" t="s">
        <v>42</v>
      </c>
      <c r="S4829" s="1" t="s">
        <v>42</v>
      </c>
      <c r="T4829" s="1" t="s">
        <v>273</v>
      </c>
      <c r="U4829" s="1">
        <v>41</v>
      </c>
      <c r="V4829" s="5">
        <v>43745</v>
      </c>
      <c r="W4829" s="5">
        <v>42622</v>
      </c>
      <c r="X4829" s="1">
        <v>1260000</v>
      </c>
      <c r="Y4829" s="1">
        <v>1260000</v>
      </c>
      <c r="Z4829" s="5">
        <v>42663</v>
      </c>
      <c r="AA4829" s="1">
        <v>10</v>
      </c>
      <c r="AB4829" s="1" t="s">
        <v>275</v>
      </c>
      <c r="AC4829" s="5">
        <v>42733</v>
      </c>
      <c r="AF4829" s="1">
        <v>10027</v>
      </c>
      <c r="AI4829" s="1" t="s">
        <v>133</v>
      </c>
      <c r="AJ4829" s="1">
        <v>2016</v>
      </c>
      <c r="AK4829" s="1" t="s">
        <v>108</v>
      </c>
      <c r="AL4829" s="1">
        <v>115</v>
      </c>
    </row>
    <row r="4830" spans="1:38" x14ac:dyDescent="0.2">
      <c r="A4830" s="2" t="str">
        <f>HYPERLINK("https://www.compass.com/listing/456-west-167th-street-unit-7e-manhattan-ny-10032/29435116082173073/","456 W 167th St, Unit 7E")</f>
        <v>456 W 167th St, Unit 7E</v>
      </c>
      <c r="B4830" s="2" t="str">
        <f>HYPERLINK("https://www.compass.com/building/edgecombe-parc-manhattan-ny/282005897969005013/","Edgecombe Parc")</f>
        <v>Edgecombe Parc</v>
      </c>
      <c r="C4830" s="1" t="s">
        <v>93</v>
      </c>
      <c r="D4830" s="1" t="s">
        <v>41</v>
      </c>
      <c r="E4830" s="3">
        <v>588549</v>
      </c>
      <c r="F4830" s="1">
        <v>852.96956521739105</v>
      </c>
      <c r="G4830" s="1">
        <v>4</v>
      </c>
      <c r="H4830" s="1">
        <v>2</v>
      </c>
      <c r="I4830" s="1">
        <v>1</v>
      </c>
      <c r="J4830" s="1">
        <v>1</v>
      </c>
      <c r="K4830" s="1">
        <v>1</v>
      </c>
      <c r="M4830" s="1">
        <v>690</v>
      </c>
      <c r="N4830" s="1">
        <v>473</v>
      </c>
      <c r="O4830" s="1">
        <v>987</v>
      </c>
      <c r="P4830" s="1">
        <v>514</v>
      </c>
      <c r="Q4830" s="1" t="s">
        <v>42</v>
      </c>
      <c r="S4830" s="1" t="s">
        <v>42</v>
      </c>
      <c r="T4830" s="1" t="s">
        <v>273</v>
      </c>
      <c r="V4830" s="5">
        <v>43741</v>
      </c>
      <c r="W4830" s="5">
        <v>41829</v>
      </c>
      <c r="X4830" s="1">
        <v>588000</v>
      </c>
      <c r="Y4830" s="1">
        <v>588000</v>
      </c>
      <c r="Z4830" s="5">
        <v>41829</v>
      </c>
      <c r="AA4830" s="1">
        <v>588549</v>
      </c>
      <c r="AB4830" s="1" t="s">
        <v>3401</v>
      </c>
      <c r="AC4830" s="5">
        <v>41860</v>
      </c>
      <c r="AF4830" s="1">
        <v>10032</v>
      </c>
      <c r="AI4830" s="1" t="s">
        <v>238</v>
      </c>
      <c r="AJ4830" s="1">
        <v>2014</v>
      </c>
      <c r="AK4830" s="1" t="s">
        <v>175</v>
      </c>
      <c r="AL4830" s="1">
        <v>49</v>
      </c>
    </row>
    <row r="4831" spans="1:38" x14ac:dyDescent="0.2">
      <c r="A4831" s="2" t="str">
        <f>HYPERLINK("https://www.compass.com/listing/285-west-110th-street-unit-3a-manhattan-ny-10026/4852290137830198353/","285 W 110th St, Unit 3A")</f>
        <v>285 W 110th St, Unit 3A</v>
      </c>
      <c r="B4831" s="2" t="str">
        <f>HYPERLINK("https://www.compass.com/building/circa-central-park-manhattan-ny/282059072692321269/","Circa Central Park")</f>
        <v>Circa Central Park</v>
      </c>
      <c r="C4831" s="1" t="s">
        <v>85</v>
      </c>
      <c r="D4831" s="1" t="s">
        <v>41</v>
      </c>
      <c r="E4831" s="3">
        <v>3436746</v>
      </c>
      <c r="F4831" s="1">
        <v>2179.2935954343602</v>
      </c>
      <c r="G4831" s="1">
        <v>4</v>
      </c>
      <c r="H4831" s="1">
        <v>3</v>
      </c>
      <c r="I4831" s="1">
        <v>3</v>
      </c>
      <c r="J4831" s="1">
        <v>3</v>
      </c>
      <c r="K4831" s="1">
        <v>3</v>
      </c>
      <c r="M4831" s="4">
        <v>1577</v>
      </c>
      <c r="N4831" s="1">
        <v>1926.24</v>
      </c>
      <c r="O4831" s="1">
        <v>2110.29</v>
      </c>
      <c r="P4831" s="1">
        <v>184.083333333333</v>
      </c>
      <c r="Q4831" s="1" t="s">
        <v>42</v>
      </c>
      <c r="S4831" s="1" t="s">
        <v>42</v>
      </c>
      <c r="T4831" s="1" t="s">
        <v>273</v>
      </c>
      <c r="U4831" s="1">
        <v>4</v>
      </c>
      <c r="V4831" s="5">
        <v>43649</v>
      </c>
      <c r="W4831" s="5">
        <v>43007</v>
      </c>
      <c r="X4831" s="1">
        <v>3075150</v>
      </c>
      <c r="Y4831" s="1">
        <v>3075150</v>
      </c>
      <c r="Z4831" s="5">
        <v>43011</v>
      </c>
      <c r="AA4831" s="1">
        <v>3436746</v>
      </c>
      <c r="AB4831" s="1" t="s">
        <v>275</v>
      </c>
      <c r="AC4831" s="5">
        <v>43090</v>
      </c>
      <c r="AF4831" s="1">
        <v>10026</v>
      </c>
      <c r="AI4831" s="1" t="s">
        <v>48</v>
      </c>
      <c r="AJ4831" s="1">
        <v>2017</v>
      </c>
      <c r="AK4831" s="1" t="s">
        <v>46</v>
      </c>
      <c r="AL4831" s="1">
        <v>38</v>
      </c>
    </row>
    <row r="4832" spans="1:38" x14ac:dyDescent="0.2">
      <c r="A4832" s="2" t="str">
        <f>HYPERLINK("https://www.compass.com/listing/16-west-40th-street-unit-17c-manhattan-ny-10018/29375082405041377/","16 W 40th St, Unit 17C")</f>
        <v>16 W 40th St, Unit 17C</v>
      </c>
      <c r="B4832" s="2" t="str">
        <f>HYPERLINK("https://www.compass.com/building/the-bryant-manhattan-ny/281942863485395813/","The Bryant")</f>
        <v>The Bryant</v>
      </c>
      <c r="C4832" s="1" t="s">
        <v>126</v>
      </c>
      <c r="D4832" s="1" t="s">
        <v>41</v>
      </c>
      <c r="E4832" s="3">
        <v>2817850</v>
      </c>
      <c r="F4832" s="1">
        <v>2180.9984520123799</v>
      </c>
      <c r="G4832" s="1">
        <v>3</v>
      </c>
      <c r="H4832" s="1">
        <v>2</v>
      </c>
      <c r="I4832" s="1">
        <v>2</v>
      </c>
      <c r="J4832" s="1">
        <v>2</v>
      </c>
      <c r="K4832" s="1">
        <v>2</v>
      </c>
      <c r="M4832" s="4">
        <v>1292</v>
      </c>
      <c r="N4832" s="1">
        <v>2226</v>
      </c>
      <c r="O4832" s="1">
        <v>4145</v>
      </c>
      <c r="P4832" s="1">
        <v>1919</v>
      </c>
      <c r="Q4832" s="1" t="s">
        <v>42</v>
      </c>
      <c r="S4832" s="1" t="s">
        <v>42</v>
      </c>
      <c r="T4832" s="1" t="s">
        <v>273</v>
      </c>
      <c r="U4832" s="1">
        <v>9</v>
      </c>
      <c r="V4832" s="5">
        <v>43633</v>
      </c>
      <c r="W4832" s="5">
        <v>42424</v>
      </c>
      <c r="X4832" s="1">
        <v>2905000</v>
      </c>
      <c r="Y4832" s="1">
        <v>2905000</v>
      </c>
      <c r="Z4832" s="5">
        <v>42433</v>
      </c>
      <c r="AA4832" s="1">
        <v>2817850</v>
      </c>
      <c r="AB4832" s="1" t="s">
        <v>3402</v>
      </c>
      <c r="AC4832" s="5">
        <v>43272</v>
      </c>
      <c r="AF4832" s="1">
        <v>10018</v>
      </c>
      <c r="AI4832" s="1" t="s">
        <v>58</v>
      </c>
      <c r="AJ4832" s="1">
        <v>2017</v>
      </c>
      <c r="AK4832" s="1" t="s">
        <v>46</v>
      </c>
      <c r="AL4832" s="1">
        <v>57</v>
      </c>
    </row>
    <row r="4833" spans="1:38" x14ac:dyDescent="0.2">
      <c r="A4833" s="2" t="str">
        <f>HYPERLINK("https://www.compass.com/listing/1-west-end-avenue-unit-22f-manhattan-ny-10069/29397367916614049/","1 W End Ave, Unit 22F")</f>
        <v>1 W End Ave, Unit 22F</v>
      </c>
      <c r="B4833" s="2" t="str">
        <f t="shared" ref="B4833:B4834" si="819">HYPERLINK("https://www.compass.com/building/1-w-end-ave-manhattan-ny-10069/455676159137755317/","1 W End Ave")</f>
        <v>1 W End Ave</v>
      </c>
      <c r="C4833" s="1" t="s">
        <v>57</v>
      </c>
      <c r="D4833" s="1" t="s">
        <v>41</v>
      </c>
      <c r="E4833" s="3">
        <v>9617096</v>
      </c>
      <c r="F4833" s="1">
        <v>2236.0140362706302</v>
      </c>
      <c r="H4833" s="1">
        <v>4</v>
      </c>
      <c r="J4833" s="1">
        <v>4.5</v>
      </c>
      <c r="K4833" s="1">
        <v>4</v>
      </c>
      <c r="L4833" s="1">
        <v>1</v>
      </c>
      <c r="M4833" s="4">
        <v>4301</v>
      </c>
      <c r="N4833" s="1">
        <v>2721</v>
      </c>
      <c r="O4833" s="1">
        <v>2916</v>
      </c>
      <c r="P4833" s="1">
        <v>195</v>
      </c>
      <c r="Q4833" s="1" t="s">
        <v>42</v>
      </c>
      <c r="S4833" s="1" t="s">
        <v>42</v>
      </c>
      <c r="T4833" s="1" t="s">
        <v>273</v>
      </c>
      <c r="AA4833" s="1">
        <v>9617096.3699999992</v>
      </c>
      <c r="AB4833" s="1" t="s">
        <v>3403</v>
      </c>
      <c r="AC4833" s="5">
        <v>43019</v>
      </c>
      <c r="AF4833" s="1">
        <v>10069</v>
      </c>
      <c r="AI4833" s="1" t="s">
        <v>76</v>
      </c>
      <c r="AJ4833" s="1">
        <v>2017</v>
      </c>
      <c r="AK4833" s="1" t="s">
        <v>55</v>
      </c>
      <c r="AL4833" s="1">
        <v>246</v>
      </c>
    </row>
    <row r="4834" spans="1:38" x14ac:dyDescent="0.2">
      <c r="A4834" s="2" t="str">
        <f>HYPERLINK("https://www.compass.com/listing/1-west-end-avenue-unit-40c-manhattan-ny-10069/324912178532049745/","1 W End Ave, Unit 40C")</f>
        <v>1 W End Ave, Unit 40C</v>
      </c>
      <c r="B4834" s="2" t="str">
        <f t="shared" si="819"/>
        <v>1 W End Ave</v>
      </c>
      <c r="C4834" s="1" t="s">
        <v>57</v>
      </c>
      <c r="D4834" s="1" t="s">
        <v>41</v>
      </c>
      <c r="E4834" s="3">
        <v>5792887</v>
      </c>
      <c r="F4834" s="1">
        <v>2580.3505077950999</v>
      </c>
      <c r="H4834" s="1">
        <v>3</v>
      </c>
      <c r="J4834" s="1">
        <v>3.5</v>
      </c>
      <c r="K4834" s="1">
        <v>3</v>
      </c>
      <c r="L4834" s="1">
        <v>1</v>
      </c>
      <c r="M4834" s="4">
        <v>2245</v>
      </c>
      <c r="N4834" s="1">
        <v>2638</v>
      </c>
      <c r="O4834" s="1">
        <v>2638</v>
      </c>
      <c r="Q4834" s="1" t="s">
        <v>42</v>
      </c>
      <c r="S4834" s="1" t="s">
        <v>42</v>
      </c>
      <c r="T4834" s="1" t="s">
        <v>273</v>
      </c>
      <c r="AA4834" s="1">
        <v>5792886.8899999997</v>
      </c>
      <c r="AB4834" s="1" t="s">
        <v>3404</v>
      </c>
      <c r="AC4834" s="5">
        <v>43664</v>
      </c>
      <c r="AF4834" s="1">
        <v>10069</v>
      </c>
      <c r="AI4834" s="1" t="s">
        <v>76</v>
      </c>
      <c r="AJ4834" s="1">
        <v>2017</v>
      </c>
      <c r="AK4834" s="1" t="s">
        <v>55</v>
      </c>
      <c r="AL4834" s="1">
        <v>246</v>
      </c>
    </row>
    <row r="4835" spans="1:38" x14ac:dyDescent="0.2">
      <c r="A4835" s="2" t="str">
        <f>HYPERLINK("https://www.compass.com/listing/70-west-139th-street-unit-5b-manhattan-ny-10037/29515137186588401/","70 W 139th St, Unit 5B")</f>
        <v>70 W 139th St, Unit 5B</v>
      </c>
      <c r="B4835" s="2" t="str">
        <f t="shared" ref="B4835:B4837" si="820">HYPERLINK("https://www.compass.com/building/70-w-139th-st-manhattan-ny-10037/292920118235647477/","70 W 139th St")</f>
        <v>70 W 139th St</v>
      </c>
      <c r="C4835" s="1" t="s">
        <v>85</v>
      </c>
      <c r="D4835" s="1" t="s">
        <v>41</v>
      </c>
      <c r="E4835" s="3">
        <v>972429</v>
      </c>
      <c r="F4835" s="1">
        <v>967.59104477611902</v>
      </c>
      <c r="G4835" s="1">
        <v>4</v>
      </c>
      <c r="H4835" s="1">
        <v>2</v>
      </c>
      <c r="I4835" s="1">
        <v>2</v>
      </c>
      <c r="J4835" s="1">
        <v>2</v>
      </c>
      <c r="M4835" s="4">
        <v>1005</v>
      </c>
      <c r="N4835" s="1">
        <v>717</v>
      </c>
      <c r="O4835" s="1">
        <v>747</v>
      </c>
      <c r="P4835" s="1">
        <v>30</v>
      </c>
      <c r="Q4835" s="1" t="s">
        <v>42</v>
      </c>
      <c r="S4835" s="1" t="s">
        <v>42</v>
      </c>
      <c r="T4835" s="1" t="s">
        <v>273</v>
      </c>
      <c r="U4835" s="1">
        <v>6</v>
      </c>
      <c r="V4835" s="5">
        <v>43641</v>
      </c>
      <c r="W4835" s="5">
        <v>43201</v>
      </c>
      <c r="X4835" s="1">
        <v>975000</v>
      </c>
      <c r="Y4835" s="1">
        <v>975000</v>
      </c>
      <c r="Z4835" s="5">
        <v>43207</v>
      </c>
      <c r="AA4835" s="1">
        <v>972429</v>
      </c>
      <c r="AB4835" s="1" t="s">
        <v>3405</v>
      </c>
      <c r="AC4835" s="5">
        <v>43440</v>
      </c>
      <c r="AF4835" s="1">
        <v>10037</v>
      </c>
      <c r="AI4835" s="1" t="s">
        <v>48</v>
      </c>
      <c r="AJ4835" s="1">
        <v>2018</v>
      </c>
      <c r="AK4835" s="1" t="s">
        <v>108</v>
      </c>
      <c r="AL4835" s="1">
        <v>64</v>
      </c>
    </row>
    <row r="4836" spans="1:38" x14ac:dyDescent="0.2">
      <c r="A4836" s="2" t="str">
        <f>HYPERLINK("https://www.compass.com/listing/70-west-139th-street-unit-6b-manhattan-ny-10037/29515137480230641/","70 W 139th St, Unit 6B")</f>
        <v>70 W 139th St, Unit 6B</v>
      </c>
      <c r="B4836" s="2" t="str">
        <f t="shared" si="820"/>
        <v>70 W 139th St</v>
      </c>
      <c r="C4836" s="1" t="s">
        <v>85</v>
      </c>
      <c r="D4836" s="1" t="s">
        <v>41</v>
      </c>
      <c r="E4836" s="3">
        <v>965086</v>
      </c>
      <c r="F4836" s="1">
        <v>960.28457711442695</v>
      </c>
      <c r="G4836" s="1">
        <v>4</v>
      </c>
      <c r="H4836" s="1">
        <v>2</v>
      </c>
      <c r="I4836" s="1">
        <v>2</v>
      </c>
      <c r="J4836" s="1">
        <v>2</v>
      </c>
      <c r="K4836" s="1">
        <v>2</v>
      </c>
      <c r="M4836" s="4">
        <v>1005</v>
      </c>
      <c r="N4836" s="1">
        <v>717</v>
      </c>
      <c r="O4836" s="1">
        <v>747</v>
      </c>
      <c r="P4836" s="1">
        <v>30</v>
      </c>
      <c r="Q4836" s="1" t="s">
        <v>42</v>
      </c>
      <c r="S4836" s="1" t="s">
        <v>42</v>
      </c>
      <c r="T4836" s="1" t="s">
        <v>273</v>
      </c>
      <c r="V4836" s="5">
        <v>43648</v>
      </c>
      <c r="W4836" s="5">
        <v>43375</v>
      </c>
      <c r="X4836" s="1">
        <v>995000</v>
      </c>
      <c r="Y4836" s="1">
        <v>995000</v>
      </c>
      <c r="Z4836" s="5">
        <v>43375</v>
      </c>
      <c r="AA4836" s="1">
        <v>965086</v>
      </c>
      <c r="AB4836" s="1" t="s">
        <v>3406</v>
      </c>
      <c r="AC4836" s="5">
        <v>43440</v>
      </c>
      <c r="AF4836" s="1">
        <v>10037</v>
      </c>
      <c r="AI4836" s="1" t="s">
        <v>48</v>
      </c>
      <c r="AJ4836" s="1">
        <v>2018</v>
      </c>
      <c r="AK4836" s="1" t="s">
        <v>108</v>
      </c>
      <c r="AL4836" s="1">
        <v>64</v>
      </c>
    </row>
    <row r="4837" spans="1:38" x14ac:dyDescent="0.2">
      <c r="A4837" s="2" t="str">
        <f>HYPERLINK("https://www.compass.com/listing/70-west-139th-street-unit-4b-manhattan-ny-10037/29515138319091489/","70 W 139th St, Unit 4B")</f>
        <v>70 W 139th St, Unit 4B</v>
      </c>
      <c r="B4837" s="2" t="str">
        <f t="shared" si="820"/>
        <v>70 W 139th St</v>
      </c>
      <c r="C4837" s="1" t="s">
        <v>85</v>
      </c>
      <c r="D4837" s="1" t="s">
        <v>41</v>
      </c>
      <c r="E4837" s="3">
        <v>915000</v>
      </c>
      <c r="F4837" s="1">
        <v>910.447761194029</v>
      </c>
      <c r="G4837" s="1">
        <v>4</v>
      </c>
      <c r="H4837" s="1">
        <v>2</v>
      </c>
      <c r="I4837" s="1">
        <v>2</v>
      </c>
      <c r="J4837" s="1">
        <v>2</v>
      </c>
      <c r="M4837" s="4">
        <v>1005</v>
      </c>
      <c r="N4837" s="1">
        <v>717</v>
      </c>
      <c r="O4837" s="1">
        <v>717</v>
      </c>
      <c r="Q4837" s="1" t="s">
        <v>42</v>
      </c>
      <c r="S4837" s="1" t="s">
        <v>42</v>
      </c>
      <c r="T4837" s="1" t="s">
        <v>273</v>
      </c>
      <c r="U4837" s="1">
        <v>3</v>
      </c>
      <c r="V4837" s="5">
        <v>43648</v>
      </c>
      <c r="W4837" s="5">
        <v>43186</v>
      </c>
      <c r="X4837" s="1">
        <v>965000</v>
      </c>
      <c r="Y4837" s="1">
        <v>965000</v>
      </c>
      <c r="Z4837" s="5">
        <v>43189</v>
      </c>
      <c r="AA4837" s="1">
        <v>915000</v>
      </c>
      <c r="AB4837" s="1" t="s">
        <v>3407</v>
      </c>
      <c r="AC4837" s="5">
        <v>43447</v>
      </c>
      <c r="AF4837" s="1">
        <v>10037</v>
      </c>
      <c r="AI4837" s="1" t="s">
        <v>48</v>
      </c>
      <c r="AJ4837" s="1">
        <v>2018</v>
      </c>
      <c r="AK4837" s="1" t="s">
        <v>108</v>
      </c>
      <c r="AL4837" s="1">
        <v>64</v>
      </c>
    </row>
    <row r="4838" spans="1:38" x14ac:dyDescent="0.2">
      <c r="A4838" s="2" t="str">
        <f>HYPERLINK("https://www.compass.com/listing/2231-adam-clayton-powell-jr-boulevard-unit-413-manhattan-ny-10027/192575560600314321/","2231 Adam Clayton Powell Jr Blvd, Unit 413")</f>
        <v>2231 Adam Clayton Powell Jr Blvd, Unit 413</v>
      </c>
      <c r="B4838" s="2" t="str">
        <f>HYPERLINK("https://www.compass.com/building/the-aurum-manhattan-ny/307451641162444869/","The Aurum")</f>
        <v>The Aurum</v>
      </c>
      <c r="C4838" s="1" t="s">
        <v>85</v>
      </c>
      <c r="D4838" s="1" t="s">
        <v>41</v>
      </c>
      <c r="E4838" s="3">
        <v>558001</v>
      </c>
      <c r="F4838" s="1">
        <v>1109.3459244532801</v>
      </c>
      <c r="G4838" s="1">
        <v>2.5</v>
      </c>
      <c r="H4838" s="1" t="s">
        <v>153</v>
      </c>
      <c r="I4838" s="1">
        <v>1</v>
      </c>
      <c r="J4838" s="1">
        <v>1</v>
      </c>
      <c r="M4838" s="1">
        <v>503</v>
      </c>
      <c r="N4838" s="1">
        <v>480</v>
      </c>
      <c r="O4838" s="1">
        <v>569</v>
      </c>
      <c r="P4838" s="1">
        <v>89</v>
      </c>
      <c r="Q4838" s="1" t="s">
        <v>42</v>
      </c>
      <c r="S4838" s="1" t="s">
        <v>42</v>
      </c>
      <c r="T4838" s="1" t="s">
        <v>273</v>
      </c>
      <c r="V4838" s="5">
        <v>43668</v>
      </c>
      <c r="W4838" s="5">
        <v>42531</v>
      </c>
      <c r="X4838" s="1">
        <v>548000</v>
      </c>
      <c r="Y4838" s="1">
        <v>548000</v>
      </c>
      <c r="Z4838" s="5">
        <v>42531</v>
      </c>
      <c r="AA4838" s="1">
        <v>558001</v>
      </c>
      <c r="AB4838" s="1" t="s">
        <v>275</v>
      </c>
      <c r="AC4838" s="5">
        <v>42754</v>
      </c>
      <c r="AF4838" s="1">
        <v>10027</v>
      </c>
      <c r="AI4838" s="1" t="s">
        <v>52</v>
      </c>
      <c r="AJ4838" s="1">
        <v>2016</v>
      </c>
      <c r="AK4838" s="1" t="s">
        <v>108</v>
      </c>
      <c r="AL4838" s="1">
        <v>115</v>
      </c>
    </row>
    <row r="4839" spans="1:38" x14ac:dyDescent="0.2">
      <c r="A4839" s="2" t="str">
        <f>HYPERLINK("https://www.compass.com/listing/70-west-139th-street-unit-7b-manhattan-ny-10037/324548059660588321/","70 W 139th St, Unit 7B")</f>
        <v>70 W 139th St, Unit 7B</v>
      </c>
      <c r="B4839" s="2" t="str">
        <f>HYPERLINK("https://www.compass.com/building/70-w-139th-st-manhattan-ny-10037/292920118235647477/","70 W 139th St")</f>
        <v>70 W 139th St</v>
      </c>
      <c r="C4839" s="1" t="s">
        <v>85</v>
      </c>
      <c r="D4839" s="1" t="s">
        <v>41</v>
      </c>
      <c r="E4839" s="3">
        <v>946055</v>
      </c>
      <c r="F4839" s="1">
        <v>941.34795024875598</v>
      </c>
      <c r="G4839" s="1">
        <v>4</v>
      </c>
      <c r="H4839" s="1">
        <v>2</v>
      </c>
      <c r="I4839" s="1">
        <v>2</v>
      </c>
      <c r="J4839" s="1">
        <v>2</v>
      </c>
      <c r="K4839" s="1">
        <v>2</v>
      </c>
      <c r="M4839" s="4">
        <v>1005</v>
      </c>
      <c r="N4839" s="1">
        <v>699</v>
      </c>
      <c r="O4839" s="1">
        <v>729</v>
      </c>
      <c r="P4839" s="1">
        <v>30</v>
      </c>
      <c r="Q4839" s="1" t="s">
        <v>129</v>
      </c>
      <c r="S4839" s="1" t="s">
        <v>42</v>
      </c>
      <c r="T4839" s="1" t="s">
        <v>273</v>
      </c>
      <c r="U4839" s="1">
        <v>44</v>
      </c>
      <c r="V4839" s="5">
        <v>43809</v>
      </c>
      <c r="W4839" s="5">
        <v>43700</v>
      </c>
      <c r="X4839" s="1">
        <v>949000</v>
      </c>
      <c r="Y4839" s="1">
        <v>949000</v>
      </c>
      <c r="Z4839" s="5">
        <v>43744</v>
      </c>
      <c r="AA4839" s="1">
        <v>946054.69</v>
      </c>
      <c r="AB4839" s="1" t="s">
        <v>3408</v>
      </c>
      <c r="AC4839" s="5">
        <v>43795</v>
      </c>
      <c r="AF4839" s="1">
        <v>10037</v>
      </c>
      <c r="AI4839" s="1" t="s">
        <v>238</v>
      </c>
      <c r="AJ4839" s="1">
        <v>2018</v>
      </c>
      <c r="AK4839" s="1" t="s">
        <v>73</v>
      </c>
      <c r="AL4839" s="1">
        <v>64</v>
      </c>
    </row>
    <row r="4840" spans="1:38" x14ac:dyDescent="0.2">
      <c r="A4840" s="2" t="str">
        <f>HYPERLINK("https://www.compass.com/listing/2231-adam-clayton-powell-jr-boulevard-unit-201-manhattan-ny-10027/192575461178512769/","2231 Adam Clayton Powell Jr Blvd, Unit 201")</f>
        <v>2231 Adam Clayton Powell Jr Blvd, Unit 201</v>
      </c>
      <c r="B4840" s="2" t="str">
        <f t="shared" ref="B4840:B4851" si="821">HYPERLINK("https://www.compass.com/building/the-aurum-manhattan-ny/307451641162444869/","The Aurum")</f>
        <v>The Aurum</v>
      </c>
      <c r="C4840" s="1" t="s">
        <v>85</v>
      </c>
      <c r="D4840" s="1" t="s">
        <v>41</v>
      </c>
      <c r="E4840" s="3">
        <v>705647</v>
      </c>
      <c r="F4840" s="1">
        <v>1037.71617647058</v>
      </c>
      <c r="G4840" s="1">
        <v>3</v>
      </c>
      <c r="H4840" s="1">
        <v>1</v>
      </c>
      <c r="I4840" s="1">
        <v>1</v>
      </c>
      <c r="J4840" s="1">
        <v>1</v>
      </c>
      <c r="M4840" s="1">
        <v>680</v>
      </c>
      <c r="N4840" s="1">
        <v>648</v>
      </c>
      <c r="O4840" s="1">
        <v>769</v>
      </c>
      <c r="P4840" s="1">
        <v>121</v>
      </c>
      <c r="Q4840" s="1" t="s">
        <v>42</v>
      </c>
      <c r="S4840" s="1" t="s">
        <v>42</v>
      </c>
      <c r="T4840" s="1" t="s">
        <v>273</v>
      </c>
      <c r="U4840" s="1">
        <v>38</v>
      </c>
      <c r="V4840" s="5">
        <v>43665</v>
      </c>
      <c r="W4840" s="5">
        <v>42724</v>
      </c>
      <c r="X4840" s="1">
        <v>693000</v>
      </c>
      <c r="Y4840" s="1">
        <v>693000</v>
      </c>
      <c r="Z4840" s="5">
        <v>42762</v>
      </c>
      <c r="AA4840" s="1">
        <v>705647</v>
      </c>
      <c r="AB4840" s="1" t="s">
        <v>275</v>
      </c>
      <c r="AC4840" s="5">
        <v>42796</v>
      </c>
      <c r="AF4840" s="1">
        <v>10027</v>
      </c>
      <c r="AI4840" s="1" t="s">
        <v>52</v>
      </c>
      <c r="AJ4840" s="1">
        <v>2016</v>
      </c>
      <c r="AK4840" s="1" t="s">
        <v>108</v>
      </c>
      <c r="AL4840" s="1">
        <v>115</v>
      </c>
    </row>
    <row r="4841" spans="1:38" x14ac:dyDescent="0.2">
      <c r="A4841" s="2" t="str">
        <f>HYPERLINK("https://www.compass.com/listing/2231-adam-clayton-powell-jr-boulevard-unit-305-manhattan-ny-10027/192575538898978081/","2231 Adam Clayton Powell Jr Blvd, Unit 305")</f>
        <v>2231 Adam Clayton Powell Jr Blvd, Unit 305</v>
      </c>
      <c r="B4841" s="2" t="str">
        <f t="shared" si="821"/>
        <v>The Aurum</v>
      </c>
      <c r="C4841" s="1" t="s">
        <v>85</v>
      </c>
      <c r="D4841" s="1" t="s">
        <v>41</v>
      </c>
      <c r="E4841" s="3">
        <v>702592</v>
      </c>
      <c r="F4841" s="1">
        <v>1106.4440944881801</v>
      </c>
      <c r="G4841" s="1">
        <v>3</v>
      </c>
      <c r="H4841" s="1">
        <v>1</v>
      </c>
      <c r="I4841" s="1">
        <v>1</v>
      </c>
      <c r="J4841" s="1">
        <v>1</v>
      </c>
      <c r="M4841" s="1">
        <v>635</v>
      </c>
      <c r="N4841" s="1">
        <v>605</v>
      </c>
      <c r="O4841" s="1">
        <v>718</v>
      </c>
      <c r="P4841" s="1">
        <v>113</v>
      </c>
      <c r="Q4841" s="1" t="s">
        <v>42</v>
      </c>
      <c r="S4841" s="1" t="s">
        <v>42</v>
      </c>
      <c r="T4841" s="1" t="s">
        <v>273</v>
      </c>
      <c r="U4841" s="1">
        <v>36</v>
      </c>
      <c r="V4841" s="5">
        <v>43668</v>
      </c>
      <c r="W4841" s="5">
        <v>42627</v>
      </c>
      <c r="X4841" s="1">
        <v>690000</v>
      </c>
      <c r="Y4841" s="1">
        <v>690000</v>
      </c>
      <c r="Z4841" s="5">
        <v>42663</v>
      </c>
      <c r="AA4841" s="1">
        <v>702592</v>
      </c>
      <c r="AB4841" s="1" t="s">
        <v>275</v>
      </c>
      <c r="AC4841" s="5">
        <v>42746</v>
      </c>
      <c r="AF4841" s="1">
        <v>10027</v>
      </c>
      <c r="AI4841" s="1" t="s">
        <v>52</v>
      </c>
      <c r="AJ4841" s="1">
        <v>2016</v>
      </c>
      <c r="AK4841" s="1" t="s">
        <v>108</v>
      </c>
      <c r="AL4841" s="1">
        <v>115</v>
      </c>
    </row>
    <row r="4842" spans="1:38" x14ac:dyDescent="0.2">
      <c r="A4842" s="2" t="str">
        <f>HYPERLINK("https://www.compass.com/listing/2231-adam-clayton-powell-jr-boulevard-unit-601-manhattan-ny-10027/192575545811193233/","2231 Adam Clayton Powell Jr Blvd, Unit 601")</f>
        <v>2231 Adam Clayton Powell Jr Blvd, Unit 601</v>
      </c>
      <c r="B4842" s="2" t="str">
        <f t="shared" si="821"/>
        <v>The Aurum</v>
      </c>
      <c r="C4842" s="1" t="s">
        <v>85</v>
      </c>
      <c r="D4842" s="1" t="s">
        <v>41</v>
      </c>
      <c r="E4842" s="3">
        <v>680191</v>
      </c>
      <c r="F4842" s="1">
        <v>1131.76539101497</v>
      </c>
      <c r="G4842" s="1">
        <v>3</v>
      </c>
      <c r="H4842" s="1">
        <v>1</v>
      </c>
      <c r="I4842" s="1">
        <v>1</v>
      </c>
      <c r="J4842" s="1">
        <v>1</v>
      </c>
      <c r="M4842" s="1">
        <v>601</v>
      </c>
      <c r="N4842" s="1">
        <v>573</v>
      </c>
      <c r="O4842" s="1">
        <v>680</v>
      </c>
      <c r="P4842" s="1">
        <v>107</v>
      </c>
      <c r="Q4842" s="1" t="s">
        <v>42</v>
      </c>
      <c r="S4842" s="1" t="s">
        <v>42</v>
      </c>
      <c r="T4842" s="1" t="s">
        <v>273</v>
      </c>
      <c r="V4842" s="5">
        <v>43665</v>
      </c>
      <c r="W4842" s="5">
        <v>42634</v>
      </c>
      <c r="X4842" s="1">
        <v>668000</v>
      </c>
      <c r="Y4842" s="1">
        <v>668000</v>
      </c>
      <c r="Z4842" s="5">
        <v>42634</v>
      </c>
      <c r="AA4842" s="1">
        <v>680191</v>
      </c>
      <c r="AB4842" s="1" t="s">
        <v>275</v>
      </c>
      <c r="AC4842" s="5">
        <v>42692</v>
      </c>
      <c r="AF4842" s="1">
        <v>10027</v>
      </c>
      <c r="AI4842" s="1" t="s">
        <v>52</v>
      </c>
      <c r="AJ4842" s="1">
        <v>2016</v>
      </c>
      <c r="AK4842" s="1" t="s">
        <v>108</v>
      </c>
      <c r="AL4842" s="1">
        <v>115</v>
      </c>
    </row>
    <row r="4843" spans="1:38" x14ac:dyDescent="0.2">
      <c r="A4843" s="2" t="str">
        <f>HYPERLINK("https://www.compass.com/listing/2231-adam-clayton-powell-jr-boulevard-unit-603-manhattan-ny-10027/192575546071293265/","2231 Adam Clayton Powell Jr Blvd, Unit 603")</f>
        <v>2231 Adam Clayton Powell Jr Blvd, Unit 603</v>
      </c>
      <c r="B4843" s="2" t="str">
        <f t="shared" si="821"/>
        <v>The Aurum</v>
      </c>
      <c r="C4843" s="1" t="s">
        <v>85</v>
      </c>
      <c r="D4843" s="1" t="s">
        <v>41</v>
      </c>
      <c r="E4843" s="3">
        <v>710738</v>
      </c>
      <c r="F4843" s="1">
        <v>1046.7422680412301</v>
      </c>
      <c r="G4843" s="1">
        <v>3</v>
      </c>
      <c r="H4843" s="1">
        <v>1</v>
      </c>
      <c r="I4843" s="1">
        <v>1</v>
      </c>
      <c r="J4843" s="1">
        <v>1</v>
      </c>
      <c r="M4843" s="1">
        <v>679</v>
      </c>
      <c r="N4843" s="1">
        <v>648</v>
      </c>
      <c r="O4843" s="1">
        <v>769</v>
      </c>
      <c r="P4843" s="1">
        <v>121</v>
      </c>
      <c r="Q4843" s="1" t="s">
        <v>42</v>
      </c>
      <c r="S4843" s="1" t="s">
        <v>42</v>
      </c>
      <c r="T4843" s="1" t="s">
        <v>273</v>
      </c>
      <c r="V4843" s="5">
        <v>43672</v>
      </c>
      <c r="W4843" s="5">
        <v>42543</v>
      </c>
      <c r="X4843" s="1">
        <v>698000</v>
      </c>
      <c r="Y4843" s="1">
        <v>698000</v>
      </c>
      <c r="Z4843" s="5">
        <v>42543</v>
      </c>
      <c r="AA4843" s="1">
        <v>710738</v>
      </c>
      <c r="AB4843" s="1" t="s">
        <v>275</v>
      </c>
      <c r="AC4843" s="5">
        <v>42691</v>
      </c>
      <c r="AF4843" s="1">
        <v>10027</v>
      </c>
      <c r="AI4843" s="1" t="s">
        <v>52</v>
      </c>
      <c r="AJ4843" s="1">
        <v>2016</v>
      </c>
      <c r="AK4843" s="1" t="s">
        <v>108</v>
      </c>
      <c r="AL4843" s="1">
        <v>115</v>
      </c>
    </row>
    <row r="4844" spans="1:38" x14ac:dyDescent="0.2">
      <c r="A4844" s="2" t="str">
        <f>HYPERLINK("https://www.compass.com/listing/2231-adam-clayton-powell-jr-boulevard-unit-617-manhattan-ny-10027/192575547077926641/","2231 Adam Clayton Powell Jr Blvd, Unit 617")</f>
        <v>2231 Adam Clayton Powell Jr Blvd, Unit 617</v>
      </c>
      <c r="B4844" s="2" t="str">
        <f t="shared" si="821"/>
        <v>The Aurum</v>
      </c>
      <c r="C4844" s="1" t="s">
        <v>85</v>
      </c>
      <c r="D4844" s="1" t="s">
        <v>41</v>
      </c>
      <c r="E4844" s="3">
        <v>699537</v>
      </c>
      <c r="F4844" s="1">
        <v>1074.55760368663</v>
      </c>
      <c r="G4844" s="1">
        <v>3</v>
      </c>
      <c r="H4844" s="1">
        <v>1</v>
      </c>
      <c r="I4844" s="1">
        <v>1</v>
      </c>
      <c r="J4844" s="1">
        <v>1</v>
      </c>
      <c r="M4844" s="1">
        <v>651</v>
      </c>
      <c r="N4844" s="1">
        <v>626</v>
      </c>
      <c r="O4844" s="1">
        <v>742</v>
      </c>
      <c r="P4844" s="1">
        <v>116</v>
      </c>
      <c r="Q4844" s="1" t="s">
        <v>42</v>
      </c>
      <c r="S4844" s="1" t="s">
        <v>42</v>
      </c>
      <c r="T4844" s="1" t="s">
        <v>273</v>
      </c>
      <c r="U4844" s="1">
        <v>70</v>
      </c>
      <c r="V4844" s="5">
        <v>43672</v>
      </c>
      <c r="W4844" s="5">
        <v>42557</v>
      </c>
      <c r="X4844" s="1">
        <v>687000</v>
      </c>
      <c r="Y4844" s="1">
        <v>687000</v>
      </c>
      <c r="Z4844" s="5">
        <v>42627</v>
      </c>
      <c r="AA4844" s="1">
        <v>699537</v>
      </c>
      <c r="AB4844" s="1" t="s">
        <v>275</v>
      </c>
      <c r="AC4844" s="5">
        <v>42691</v>
      </c>
      <c r="AF4844" s="1">
        <v>10027</v>
      </c>
      <c r="AI4844" s="1" t="s">
        <v>52</v>
      </c>
      <c r="AJ4844" s="1">
        <v>2016</v>
      </c>
      <c r="AK4844" s="1" t="s">
        <v>108</v>
      </c>
      <c r="AL4844" s="1">
        <v>115</v>
      </c>
    </row>
    <row r="4845" spans="1:38" x14ac:dyDescent="0.2">
      <c r="A4845" s="2" t="str">
        <f>HYPERLINK("https://www.compass.com/listing/2231-adam-clayton-powell-jr-boulevard-unit-503-manhattan-ny-10027/192575549284113809/","2231 Adam Clayton Powell Jr Blvd, Unit 503")</f>
        <v>2231 Adam Clayton Powell Jr Blvd, Unit 503</v>
      </c>
      <c r="B4845" s="2" t="str">
        <f t="shared" si="821"/>
        <v>The Aurum</v>
      </c>
      <c r="C4845" s="1" t="s">
        <v>85</v>
      </c>
      <c r="D4845" s="1" t="s">
        <v>41</v>
      </c>
      <c r="E4845" s="3">
        <v>696483</v>
      </c>
      <c r="F4845" s="1">
        <v>1025.74815905743</v>
      </c>
      <c r="G4845" s="1">
        <v>3</v>
      </c>
      <c r="H4845" s="1">
        <v>1</v>
      </c>
      <c r="I4845" s="1">
        <v>1</v>
      </c>
      <c r="J4845" s="1">
        <v>1</v>
      </c>
      <c r="M4845" s="1">
        <v>679</v>
      </c>
      <c r="N4845" s="1">
        <v>648</v>
      </c>
      <c r="O4845" s="1">
        <v>769</v>
      </c>
      <c r="P4845" s="1">
        <v>121</v>
      </c>
      <c r="Q4845" s="1" t="s">
        <v>42</v>
      </c>
      <c r="S4845" s="1" t="s">
        <v>42</v>
      </c>
      <c r="T4845" s="1" t="s">
        <v>273</v>
      </c>
      <c r="V4845" s="5">
        <v>43670</v>
      </c>
      <c r="W4845" s="5">
        <v>42557</v>
      </c>
      <c r="X4845" s="1">
        <v>698000</v>
      </c>
      <c r="Y4845" s="1">
        <v>698000</v>
      </c>
      <c r="Z4845" s="5">
        <v>42557</v>
      </c>
      <c r="AA4845" s="1">
        <v>696483</v>
      </c>
      <c r="AB4845" s="1" t="s">
        <v>275</v>
      </c>
      <c r="AC4845" s="5">
        <v>42725</v>
      </c>
      <c r="AF4845" s="1">
        <v>10027</v>
      </c>
      <c r="AI4845" s="1" t="s">
        <v>52</v>
      </c>
      <c r="AJ4845" s="1">
        <v>2016</v>
      </c>
      <c r="AK4845" s="1" t="s">
        <v>108</v>
      </c>
      <c r="AL4845" s="1">
        <v>115</v>
      </c>
    </row>
    <row r="4846" spans="1:38" x14ac:dyDescent="0.2">
      <c r="A4846" s="2" t="str">
        <f>HYPERLINK("https://www.compass.com/listing/2231-adam-clayton-powell-jr-boulevard-unit-414-manhattan-ny-10027/192575573476832481/","2231 Adam Clayton Powell Jr Blvd, Unit 414")</f>
        <v>2231 Adam Clayton Powell Jr Blvd, Unit 414</v>
      </c>
      <c r="B4846" s="2" t="str">
        <f t="shared" si="821"/>
        <v>The Aurum</v>
      </c>
      <c r="C4846" s="1" t="s">
        <v>85</v>
      </c>
      <c r="D4846" s="1" t="s">
        <v>41</v>
      </c>
      <c r="E4846" s="3">
        <v>680191</v>
      </c>
      <c r="F4846" s="1">
        <v>1048.0600924499199</v>
      </c>
      <c r="G4846" s="1">
        <v>3</v>
      </c>
      <c r="H4846" s="1">
        <v>1</v>
      </c>
      <c r="I4846" s="1">
        <v>1</v>
      </c>
      <c r="J4846" s="1">
        <v>1</v>
      </c>
      <c r="M4846" s="1">
        <v>649</v>
      </c>
      <c r="N4846" s="1">
        <v>619</v>
      </c>
      <c r="O4846" s="1">
        <v>734</v>
      </c>
      <c r="P4846" s="1">
        <v>115</v>
      </c>
      <c r="Q4846" s="1" t="s">
        <v>42</v>
      </c>
      <c r="S4846" s="1" t="s">
        <v>42</v>
      </c>
      <c r="T4846" s="1" t="s">
        <v>273</v>
      </c>
      <c r="V4846" s="5">
        <v>43665</v>
      </c>
      <c r="W4846" s="5">
        <v>42742</v>
      </c>
      <c r="X4846" s="1">
        <v>668000</v>
      </c>
      <c r="Y4846" s="1">
        <v>668000</v>
      </c>
      <c r="Z4846" s="5">
        <v>42742</v>
      </c>
      <c r="AA4846" s="1">
        <v>680191</v>
      </c>
      <c r="AB4846" s="1" t="s">
        <v>275</v>
      </c>
      <c r="AC4846" s="5">
        <v>42784</v>
      </c>
      <c r="AF4846" s="1">
        <v>10027</v>
      </c>
      <c r="AI4846" s="1" t="s">
        <v>52</v>
      </c>
      <c r="AJ4846" s="1">
        <v>2016</v>
      </c>
      <c r="AK4846" s="1" t="s">
        <v>108</v>
      </c>
      <c r="AL4846" s="1">
        <v>115</v>
      </c>
    </row>
    <row r="4847" spans="1:38" x14ac:dyDescent="0.2">
      <c r="A4847" s="2" t="str">
        <f>HYPERLINK("https://www.compass.com/listing/2231-adam-clayton-powell-jr-boulevard-unit-418-manhattan-ny-10027/192575574441575697/","2231 Adam Clayton Powell Jr Blvd, Unit 418")</f>
        <v>2231 Adam Clayton Powell Jr Blvd, Unit 418</v>
      </c>
      <c r="B4847" s="2" t="str">
        <f t="shared" si="821"/>
        <v>The Aurum</v>
      </c>
      <c r="C4847" s="1" t="s">
        <v>85</v>
      </c>
      <c r="D4847" s="1" t="s">
        <v>41</v>
      </c>
      <c r="E4847" s="3">
        <v>709717</v>
      </c>
      <c r="F4847" s="1">
        <v>1060.8624813153899</v>
      </c>
      <c r="G4847" s="1">
        <v>3</v>
      </c>
      <c r="H4847" s="1">
        <v>1</v>
      </c>
      <c r="I4847" s="1">
        <v>1</v>
      </c>
      <c r="J4847" s="1">
        <v>1</v>
      </c>
      <c r="M4847" s="1">
        <v>669</v>
      </c>
      <c r="N4847" s="1">
        <v>639</v>
      </c>
      <c r="O4847" s="1">
        <v>758</v>
      </c>
      <c r="P4847" s="1">
        <v>119</v>
      </c>
      <c r="Q4847" s="1" t="s">
        <v>42</v>
      </c>
      <c r="S4847" s="1" t="s">
        <v>42</v>
      </c>
      <c r="T4847" s="1" t="s">
        <v>273</v>
      </c>
      <c r="U4847" s="1">
        <v>56</v>
      </c>
      <c r="V4847" s="5">
        <v>43673</v>
      </c>
      <c r="W4847" s="5">
        <v>42607</v>
      </c>
      <c r="X4847" s="1">
        <v>697000</v>
      </c>
      <c r="Y4847" s="1">
        <v>697000</v>
      </c>
      <c r="Z4847" s="5">
        <v>42663</v>
      </c>
      <c r="AA4847" s="1">
        <v>709717</v>
      </c>
      <c r="AB4847" s="1" t="s">
        <v>275</v>
      </c>
      <c r="AC4847" s="5">
        <v>42718</v>
      </c>
      <c r="AF4847" s="1">
        <v>10027</v>
      </c>
      <c r="AI4847" s="1" t="s">
        <v>52</v>
      </c>
      <c r="AJ4847" s="1">
        <v>2016</v>
      </c>
      <c r="AK4847" s="1" t="s">
        <v>108</v>
      </c>
      <c r="AL4847" s="1">
        <v>115</v>
      </c>
    </row>
    <row r="4848" spans="1:38" x14ac:dyDescent="0.2">
      <c r="A4848" s="2" t="str">
        <f>HYPERLINK("https://www.compass.com/listing/2231-adam-clayton-powell-jr-boulevard-unit-303-manhattan-ny-10027/192575596780390865/","2231 Adam Clayton Powell Jr Blvd, Unit 303")</f>
        <v>2231 Adam Clayton Powell Jr Blvd, Unit 303</v>
      </c>
      <c r="B4848" s="2" t="str">
        <f t="shared" si="821"/>
        <v>The Aurum</v>
      </c>
      <c r="C4848" s="1" t="s">
        <v>85</v>
      </c>
      <c r="D4848" s="1" t="s">
        <v>41</v>
      </c>
      <c r="E4848" s="3">
        <v>706665</v>
      </c>
      <c r="F4848" s="1">
        <v>1039.2132352941101</v>
      </c>
      <c r="G4848" s="1">
        <v>3</v>
      </c>
      <c r="H4848" s="1">
        <v>1</v>
      </c>
      <c r="I4848" s="1">
        <v>1</v>
      </c>
      <c r="J4848" s="1">
        <v>1</v>
      </c>
      <c r="M4848" s="1">
        <v>680</v>
      </c>
      <c r="N4848" s="1">
        <v>648</v>
      </c>
      <c r="O4848" s="1">
        <v>769</v>
      </c>
      <c r="P4848" s="1">
        <v>121</v>
      </c>
      <c r="Q4848" s="1" t="s">
        <v>42</v>
      </c>
      <c r="S4848" s="1" t="s">
        <v>42</v>
      </c>
      <c r="T4848" s="1" t="s">
        <v>273</v>
      </c>
      <c r="U4848" s="1">
        <v>22</v>
      </c>
      <c r="V4848" s="5">
        <v>43673</v>
      </c>
      <c r="W4848" s="5">
        <v>42627</v>
      </c>
      <c r="X4848" s="1">
        <v>694000</v>
      </c>
      <c r="Y4848" s="1">
        <v>694000</v>
      </c>
      <c r="Z4848" s="5">
        <v>42649</v>
      </c>
      <c r="AA4848" s="1">
        <v>706665</v>
      </c>
      <c r="AB4848" s="1" t="s">
        <v>275</v>
      </c>
      <c r="AC4848" s="5">
        <v>42720</v>
      </c>
      <c r="AF4848" s="1">
        <v>10027</v>
      </c>
      <c r="AI4848" s="1" t="s">
        <v>52</v>
      </c>
      <c r="AJ4848" s="1">
        <v>2016</v>
      </c>
      <c r="AK4848" s="1" t="s">
        <v>108</v>
      </c>
      <c r="AL4848" s="1">
        <v>115</v>
      </c>
    </row>
    <row r="4849" spans="1:38" x14ac:dyDescent="0.2">
      <c r="A4849" s="2" t="str">
        <f>HYPERLINK("https://www.compass.com/listing/2231-adam-clayton-powell-jr-boulevard-unit-506-manhattan-ny-10027/192575628950706849/","2231 Adam Clayton Powell Jr Blvd, Unit 506")</f>
        <v>2231 Adam Clayton Powell Jr Blvd, Unit 506</v>
      </c>
      <c r="B4849" s="2" t="str">
        <f t="shared" si="821"/>
        <v>The Aurum</v>
      </c>
      <c r="C4849" s="1" t="s">
        <v>85</v>
      </c>
      <c r="D4849" s="1" t="s">
        <v>41</v>
      </c>
      <c r="E4849" s="3">
        <v>702592</v>
      </c>
      <c r="F4849" s="1">
        <v>1106.4440944881801</v>
      </c>
      <c r="G4849" s="1">
        <v>3</v>
      </c>
      <c r="H4849" s="1">
        <v>1</v>
      </c>
      <c r="I4849" s="1">
        <v>1</v>
      </c>
      <c r="J4849" s="1">
        <v>1</v>
      </c>
      <c r="M4849" s="1">
        <v>635</v>
      </c>
      <c r="N4849" s="1">
        <v>606</v>
      </c>
      <c r="O4849" s="1">
        <v>719</v>
      </c>
      <c r="P4849" s="1">
        <v>113</v>
      </c>
      <c r="Q4849" s="1" t="s">
        <v>42</v>
      </c>
      <c r="S4849" s="1" t="s">
        <v>42</v>
      </c>
      <c r="T4849" s="1" t="s">
        <v>273</v>
      </c>
      <c r="V4849" s="5">
        <v>43668</v>
      </c>
      <c r="W4849" s="5">
        <v>42634</v>
      </c>
      <c r="X4849" s="1">
        <v>690000</v>
      </c>
      <c r="Y4849" s="1">
        <v>690000</v>
      </c>
      <c r="Z4849" s="5">
        <v>42634</v>
      </c>
      <c r="AA4849" s="1">
        <v>702592</v>
      </c>
      <c r="AB4849" s="1" t="s">
        <v>275</v>
      </c>
      <c r="AC4849" s="5">
        <v>42748</v>
      </c>
      <c r="AF4849" s="1">
        <v>10027</v>
      </c>
      <c r="AI4849" s="1" t="s">
        <v>52</v>
      </c>
      <c r="AJ4849" s="1">
        <v>2016</v>
      </c>
      <c r="AK4849" s="1" t="s">
        <v>108</v>
      </c>
      <c r="AL4849" s="1">
        <v>115</v>
      </c>
    </row>
    <row r="4850" spans="1:38" x14ac:dyDescent="0.2">
      <c r="A4850" s="2" t="str">
        <f>HYPERLINK("https://www.compass.com/listing/2231-adam-clayton-powell-jr-boulevard-unit-620-manhattan-ny-10027/4852265513121754113/","2231 Adam Clayton Powell Jr Blvd, Unit 620")</f>
        <v>2231 Adam Clayton Powell Jr Blvd, Unit 620</v>
      </c>
      <c r="B4850" s="2" t="str">
        <f t="shared" si="821"/>
        <v>The Aurum</v>
      </c>
      <c r="C4850" s="1" t="s">
        <v>85</v>
      </c>
      <c r="D4850" s="1" t="s">
        <v>41</v>
      </c>
      <c r="E4850" s="3">
        <v>692410</v>
      </c>
      <c r="F4850" s="1">
        <v>1133.24058919803</v>
      </c>
      <c r="G4850" s="1">
        <v>3</v>
      </c>
      <c r="H4850" s="1">
        <v>1</v>
      </c>
      <c r="I4850" s="1">
        <v>1</v>
      </c>
      <c r="J4850" s="1">
        <v>1</v>
      </c>
      <c r="M4850" s="1">
        <v>611</v>
      </c>
      <c r="N4850" s="1">
        <v>582</v>
      </c>
      <c r="O4850" s="1">
        <v>690</v>
      </c>
      <c r="P4850" s="1">
        <v>108</v>
      </c>
      <c r="Q4850" s="1" t="s">
        <v>42</v>
      </c>
      <c r="S4850" s="1" t="s">
        <v>42</v>
      </c>
      <c r="T4850" s="1" t="s">
        <v>273</v>
      </c>
      <c r="V4850" s="5">
        <v>43670</v>
      </c>
      <c r="W4850" s="5">
        <v>42550</v>
      </c>
      <c r="X4850" s="1">
        <v>680000</v>
      </c>
      <c r="Y4850" s="1">
        <v>680000</v>
      </c>
      <c r="Z4850" s="5">
        <v>42550</v>
      </c>
      <c r="AA4850" s="1">
        <v>692410</v>
      </c>
      <c r="AB4850" s="1" t="s">
        <v>275</v>
      </c>
      <c r="AC4850" s="5">
        <v>42732</v>
      </c>
      <c r="AF4850" s="1">
        <v>10027</v>
      </c>
      <c r="AI4850" s="1" t="s">
        <v>52</v>
      </c>
      <c r="AJ4850" s="1">
        <v>2016</v>
      </c>
      <c r="AK4850" s="1" t="s">
        <v>108</v>
      </c>
      <c r="AL4850" s="1">
        <v>115</v>
      </c>
    </row>
    <row r="4851" spans="1:38" x14ac:dyDescent="0.2">
      <c r="A4851" s="2" t="str">
        <f>HYPERLINK("https://www.compass.com/listing/2231-adam-clayton-powell-jr-boulevard-unit-419-manhattan-ny-10027/29585673585543441/","2231 Adam Clayton Powell Jr Blvd, Unit 419")</f>
        <v>2231 Adam Clayton Powell Jr Blvd, Unit 419</v>
      </c>
      <c r="B4851" s="2" t="str">
        <f t="shared" si="821"/>
        <v>The Aurum</v>
      </c>
      <c r="C4851" s="1" t="s">
        <v>85</v>
      </c>
      <c r="D4851" s="1" t="s">
        <v>41</v>
      </c>
      <c r="E4851" s="3">
        <v>829500</v>
      </c>
      <c r="F4851" s="1">
        <v>1071.7054263565799</v>
      </c>
      <c r="G4851" s="1">
        <v>3</v>
      </c>
      <c r="H4851" s="1">
        <v>1</v>
      </c>
      <c r="I4851" s="1">
        <v>1</v>
      </c>
      <c r="J4851" s="1">
        <v>1</v>
      </c>
      <c r="M4851" s="1">
        <v>774</v>
      </c>
      <c r="N4851" s="1">
        <v>738</v>
      </c>
      <c r="O4851" s="1">
        <v>876</v>
      </c>
      <c r="P4851" s="1">
        <v>138</v>
      </c>
      <c r="Q4851" s="1" t="s">
        <v>42</v>
      </c>
      <c r="S4851" s="1" t="s">
        <v>42</v>
      </c>
      <c r="T4851" s="1" t="s">
        <v>273</v>
      </c>
      <c r="U4851" s="1">
        <v>223</v>
      </c>
      <c r="V4851" s="5">
        <v>43641</v>
      </c>
      <c r="W4851" s="5">
        <v>43123</v>
      </c>
      <c r="X4851" s="1">
        <v>859800</v>
      </c>
      <c r="Y4851" s="1">
        <v>829500</v>
      </c>
      <c r="Z4851" s="5">
        <v>43369</v>
      </c>
      <c r="AA4851" s="1">
        <v>829500</v>
      </c>
      <c r="AB4851" s="1" t="s">
        <v>275</v>
      </c>
      <c r="AC4851" s="5">
        <v>43434</v>
      </c>
      <c r="AF4851" s="1">
        <v>10027</v>
      </c>
      <c r="AI4851" s="1" t="s">
        <v>174</v>
      </c>
      <c r="AJ4851" s="1">
        <v>2016</v>
      </c>
      <c r="AK4851" s="1" t="s">
        <v>108</v>
      </c>
      <c r="AL4851" s="1">
        <v>115</v>
      </c>
    </row>
    <row r="4852" spans="1:38" x14ac:dyDescent="0.2">
      <c r="A4852" s="2" t="str">
        <f>HYPERLINK("https://www.compass.com/listing/53-west-53rd-street-unit-23a-manhattan-ny-10019/23954491749439873/","53 W 53rd St, Unit 23A")</f>
        <v>53 W 53rd St, Unit 23A</v>
      </c>
      <c r="B4852" s="2" t="str">
        <f t="shared" ref="B4852:B4857" si="822">HYPERLINK("https://www.compass.com/building/53-west-53-manhattan-ny/281946357818781477/","53 West 53")</f>
        <v>53 West 53</v>
      </c>
      <c r="C4852" s="1" t="s">
        <v>139</v>
      </c>
      <c r="D4852" s="1" t="s">
        <v>41</v>
      </c>
      <c r="E4852" s="3">
        <v>7512594</v>
      </c>
      <c r="F4852" s="1">
        <v>2245.9174140508198</v>
      </c>
      <c r="G4852" s="1">
        <v>4</v>
      </c>
      <c r="H4852" s="1">
        <v>2</v>
      </c>
      <c r="I4852" s="1">
        <v>3</v>
      </c>
      <c r="J4852" s="1">
        <v>2.5</v>
      </c>
      <c r="K4852" s="1">
        <v>2</v>
      </c>
      <c r="L4852" s="1">
        <v>1</v>
      </c>
      <c r="M4852" s="4">
        <v>3345</v>
      </c>
      <c r="N4852" s="1">
        <v>7182</v>
      </c>
      <c r="O4852" s="1">
        <v>10167</v>
      </c>
      <c r="P4852" s="1">
        <v>2985</v>
      </c>
      <c r="Q4852" s="1" t="s">
        <v>42</v>
      </c>
      <c r="S4852" s="1" t="s">
        <v>42</v>
      </c>
      <c r="T4852" s="1" t="s">
        <v>273</v>
      </c>
      <c r="U4852" s="1">
        <v>34</v>
      </c>
      <c r="V4852" s="5">
        <v>44138</v>
      </c>
      <c r="W4852" s="5">
        <v>43013</v>
      </c>
      <c r="X4852" s="1">
        <v>8450000</v>
      </c>
      <c r="Y4852" s="1">
        <v>8450000</v>
      </c>
      <c r="Z4852" s="5">
        <v>43557</v>
      </c>
      <c r="AA4852" s="1">
        <v>7512593.75</v>
      </c>
      <c r="AB4852" s="1" t="s">
        <v>3409</v>
      </c>
      <c r="AC4852" s="5">
        <v>44120</v>
      </c>
      <c r="AF4852" s="1">
        <v>10019</v>
      </c>
      <c r="AJ4852" s="1">
        <v>2018</v>
      </c>
      <c r="AK4852" s="1" t="s">
        <v>46</v>
      </c>
      <c r="AL4852" s="1">
        <v>145</v>
      </c>
    </row>
    <row r="4853" spans="1:38" x14ac:dyDescent="0.2">
      <c r="A4853" s="2" t="str">
        <f>HYPERLINK("https://www.compass.com/listing/53-west-53rd-street-unit-40b-manhattan-ny-10019/264283117689263393/","53 W 53rd St, Unit 40B")</f>
        <v>53 W 53rd St, Unit 40B</v>
      </c>
      <c r="B4853" s="2" t="str">
        <f t="shared" si="822"/>
        <v>53 West 53</v>
      </c>
      <c r="C4853" s="1" t="s">
        <v>139</v>
      </c>
      <c r="D4853" s="1" t="s">
        <v>41</v>
      </c>
      <c r="E4853" s="3">
        <v>7232575</v>
      </c>
      <c r="F4853" s="1">
        <v>3568.1179082387698</v>
      </c>
      <c r="G4853" s="1">
        <v>5</v>
      </c>
      <c r="H4853" s="1">
        <v>2</v>
      </c>
      <c r="I4853" s="1">
        <v>3</v>
      </c>
      <c r="J4853" s="1">
        <v>2.5</v>
      </c>
      <c r="K4853" s="1">
        <v>2</v>
      </c>
      <c r="L4853" s="1">
        <v>1</v>
      </c>
      <c r="M4853" s="4">
        <v>2027</v>
      </c>
      <c r="N4853" s="1">
        <v>4095</v>
      </c>
      <c r="O4853" s="1">
        <v>6050</v>
      </c>
      <c r="P4853" s="1">
        <v>1955</v>
      </c>
      <c r="Q4853" s="1" t="s">
        <v>42</v>
      </c>
      <c r="S4853" s="1" t="s">
        <v>42</v>
      </c>
      <c r="T4853" s="1" t="s">
        <v>273</v>
      </c>
      <c r="V4853" s="5">
        <v>44067</v>
      </c>
      <c r="W4853" s="5">
        <v>43616</v>
      </c>
      <c r="X4853" s="1">
        <v>7100000</v>
      </c>
      <c r="Y4853" s="1">
        <v>7100000</v>
      </c>
      <c r="Z4853" s="5">
        <v>43616</v>
      </c>
      <c r="AA4853" s="1">
        <v>7232575</v>
      </c>
      <c r="AB4853" s="1" t="s">
        <v>3410</v>
      </c>
      <c r="AC4853" s="5">
        <v>44022</v>
      </c>
      <c r="AF4853" s="1">
        <v>10019</v>
      </c>
      <c r="AJ4853" s="1">
        <v>2018</v>
      </c>
      <c r="AK4853" s="1" t="s">
        <v>46</v>
      </c>
      <c r="AL4853" s="1">
        <v>145</v>
      </c>
    </row>
    <row r="4854" spans="1:38" x14ac:dyDescent="0.2">
      <c r="A4854" s="2" t="str">
        <f>HYPERLINK("https://www.compass.com/listing/53-west-53rd-street-unit-37a-manhattan-ny-10019/28876189170940993/","53 W 53rd St, Unit 37A")</f>
        <v>53 W 53rd St, Unit 37A</v>
      </c>
      <c r="B4854" s="2" t="str">
        <f t="shared" si="822"/>
        <v>53 West 53</v>
      </c>
      <c r="C4854" s="1" t="s">
        <v>139</v>
      </c>
      <c r="D4854" s="1" t="s">
        <v>41</v>
      </c>
      <c r="E4854" s="3">
        <v>8261008</v>
      </c>
      <c r="F4854" s="1">
        <v>2776.8092436974698</v>
      </c>
      <c r="G4854" s="1">
        <v>5</v>
      </c>
      <c r="H4854" s="1">
        <v>2</v>
      </c>
      <c r="I4854" s="1">
        <v>3</v>
      </c>
      <c r="J4854" s="1">
        <v>2.5</v>
      </c>
      <c r="K4854" s="1">
        <v>2</v>
      </c>
      <c r="L4854" s="1">
        <v>1</v>
      </c>
      <c r="M4854" s="4">
        <v>2975</v>
      </c>
      <c r="N4854" s="1">
        <v>6811</v>
      </c>
      <c r="O4854" s="1">
        <v>9642</v>
      </c>
      <c r="P4854" s="1">
        <v>2831</v>
      </c>
      <c r="Q4854" s="1" t="s">
        <v>42</v>
      </c>
      <c r="S4854" s="1" t="s">
        <v>42</v>
      </c>
      <c r="T4854" s="1" t="s">
        <v>273</v>
      </c>
      <c r="U4854" s="1">
        <v>177</v>
      </c>
      <c r="V4854" s="5">
        <v>44133</v>
      </c>
      <c r="W4854" s="5">
        <v>42991</v>
      </c>
      <c r="X4854" s="1">
        <v>9595000</v>
      </c>
      <c r="Y4854" s="1">
        <v>9595000</v>
      </c>
      <c r="Z4854" s="5">
        <v>43546</v>
      </c>
      <c r="AA4854" s="1">
        <v>8261007.5</v>
      </c>
      <c r="AB4854" s="1" t="s">
        <v>3411</v>
      </c>
      <c r="AC4854" s="5">
        <v>44132</v>
      </c>
      <c r="AF4854" s="1">
        <v>10019</v>
      </c>
      <c r="AJ4854" s="1">
        <v>2018</v>
      </c>
      <c r="AK4854" s="1" t="s">
        <v>46</v>
      </c>
      <c r="AL4854" s="1">
        <v>145</v>
      </c>
    </row>
    <row r="4855" spans="1:38" x14ac:dyDescent="0.2">
      <c r="A4855" s="2" t="str">
        <f>HYPERLINK("https://www.compass.com/listing/53-west-53rd-street-unit-38a-manhattan-ny-10019/322266339795864801/","53 W 53rd St, Unit 38A")</f>
        <v>53 W 53rd St, Unit 38A</v>
      </c>
      <c r="B4855" s="2" t="str">
        <f t="shared" si="822"/>
        <v>53 West 53</v>
      </c>
      <c r="C4855" s="1" t="s">
        <v>139</v>
      </c>
      <c r="D4855" s="1" t="s">
        <v>41</v>
      </c>
      <c r="E4855" s="3">
        <v>8169000</v>
      </c>
      <c r="F4855" s="1">
        <v>2788.0546075085299</v>
      </c>
      <c r="G4855" s="1">
        <v>5</v>
      </c>
      <c r="H4855" s="1">
        <v>2</v>
      </c>
      <c r="I4855" s="1">
        <v>3</v>
      </c>
      <c r="J4855" s="1">
        <v>2.5</v>
      </c>
      <c r="K4855" s="1">
        <v>2</v>
      </c>
      <c r="L4855" s="1">
        <v>1</v>
      </c>
      <c r="M4855" s="4">
        <v>2930</v>
      </c>
      <c r="N4855" s="1">
        <v>6738</v>
      </c>
      <c r="O4855" s="1">
        <v>9539</v>
      </c>
      <c r="P4855" s="1">
        <v>2801</v>
      </c>
      <c r="Q4855" s="1" t="s">
        <v>42</v>
      </c>
      <c r="S4855" s="1" t="s">
        <v>42</v>
      </c>
      <c r="T4855" s="1" t="s">
        <v>273</v>
      </c>
      <c r="V4855" s="5">
        <v>44084</v>
      </c>
      <c r="W4855" s="5">
        <v>43696</v>
      </c>
      <c r="X4855" s="1">
        <v>10650000</v>
      </c>
      <c r="Y4855" s="1">
        <v>10650000</v>
      </c>
      <c r="Z4855" s="5">
        <v>43696</v>
      </c>
      <c r="AA4855" s="1">
        <v>8169000</v>
      </c>
      <c r="AB4855" s="1" t="s">
        <v>3412</v>
      </c>
      <c r="AC4855" s="5">
        <v>44082</v>
      </c>
      <c r="AF4855" s="1">
        <v>10019</v>
      </c>
      <c r="AJ4855" s="1">
        <v>2018</v>
      </c>
      <c r="AK4855" s="1" t="s">
        <v>46</v>
      </c>
      <c r="AL4855" s="1">
        <v>145</v>
      </c>
    </row>
    <row r="4856" spans="1:38" x14ac:dyDescent="0.2">
      <c r="A4856" s="2" t="str">
        <f>HYPERLINK("https://www.compass.com/listing/53-west-53rd-street-unit-37b-manhattan-ny-10019/398519215049453969/","53 W 53rd St, Unit 37B")</f>
        <v>53 W 53rd St, Unit 37B</v>
      </c>
      <c r="B4856" s="2" t="str">
        <f t="shared" si="822"/>
        <v>53 West 53</v>
      </c>
      <c r="C4856" s="1" t="s">
        <v>139</v>
      </c>
      <c r="D4856" s="1" t="s">
        <v>41</v>
      </c>
      <c r="E4856" s="3">
        <v>5640000</v>
      </c>
      <c r="F4856" s="1">
        <v>2770.1375245579502</v>
      </c>
      <c r="G4856" s="1">
        <v>4</v>
      </c>
      <c r="H4856" s="1">
        <v>2</v>
      </c>
      <c r="I4856" s="1">
        <v>3</v>
      </c>
      <c r="J4856" s="1">
        <v>2.5</v>
      </c>
      <c r="K4856" s="1">
        <v>2</v>
      </c>
      <c r="L4856" s="1">
        <v>1</v>
      </c>
      <c r="M4856" s="4">
        <v>2036</v>
      </c>
      <c r="N4856" s="1">
        <v>5342</v>
      </c>
      <c r="O4856" s="1">
        <v>7280</v>
      </c>
      <c r="P4856" s="1">
        <v>1938</v>
      </c>
      <c r="Q4856" s="1" t="s">
        <v>42</v>
      </c>
      <c r="S4856" s="1" t="s">
        <v>42</v>
      </c>
      <c r="T4856" s="1" t="s">
        <v>273</v>
      </c>
      <c r="U4856" s="1">
        <v>15</v>
      </c>
      <c r="V4856" s="5">
        <v>44000</v>
      </c>
      <c r="W4856" s="5">
        <v>43801</v>
      </c>
      <c r="X4856" s="1">
        <v>6515000</v>
      </c>
      <c r="Y4856" s="1">
        <v>6515000</v>
      </c>
      <c r="Z4856" s="5">
        <v>43817</v>
      </c>
      <c r="AA4856" s="1">
        <v>5640000</v>
      </c>
      <c r="AB4856" s="1" t="s">
        <v>3413</v>
      </c>
      <c r="AC4856" s="5">
        <v>43998</v>
      </c>
      <c r="AF4856" s="1">
        <v>10019</v>
      </c>
      <c r="AJ4856" s="1">
        <v>2018</v>
      </c>
      <c r="AK4856" s="1" t="s">
        <v>46</v>
      </c>
      <c r="AL4856" s="1">
        <v>145</v>
      </c>
    </row>
    <row r="4857" spans="1:38" x14ac:dyDescent="0.2">
      <c r="A4857" s="2" t="str">
        <f>HYPERLINK("https://www.compass.com/listing/53-west-53rd-street-unit-36b-manhattan-ny-10019/425332326174373393/","53 W 53rd St, Unit 36B")</f>
        <v>53 W 53rd St, Unit 36B</v>
      </c>
      <c r="B4857" s="2" t="str">
        <f t="shared" si="822"/>
        <v>53 West 53</v>
      </c>
      <c r="C4857" s="1" t="s">
        <v>139</v>
      </c>
      <c r="D4857" s="1" t="s">
        <v>41</v>
      </c>
      <c r="E4857" s="3">
        <v>5600000</v>
      </c>
      <c r="F4857" s="1">
        <v>2746.4443354585501</v>
      </c>
      <c r="G4857" s="1">
        <v>5</v>
      </c>
      <c r="H4857" s="1">
        <v>2</v>
      </c>
      <c r="I4857" s="1">
        <v>3</v>
      </c>
      <c r="J4857" s="1">
        <v>2.5</v>
      </c>
      <c r="K4857" s="1">
        <v>2</v>
      </c>
      <c r="L4857" s="1">
        <v>1</v>
      </c>
      <c r="M4857" s="4">
        <v>2039</v>
      </c>
      <c r="N4857" s="1">
        <v>1932</v>
      </c>
      <c r="O4857" s="1">
        <v>6434</v>
      </c>
      <c r="P4857" s="1">
        <v>4502</v>
      </c>
      <c r="Q4857" s="1" t="s">
        <v>42</v>
      </c>
      <c r="S4857" s="1" t="s">
        <v>42</v>
      </c>
      <c r="T4857" s="1" t="s">
        <v>273</v>
      </c>
      <c r="U4857" s="1">
        <v>9</v>
      </c>
      <c r="V4857" s="5">
        <v>44223</v>
      </c>
      <c r="W4857" s="5">
        <v>43838</v>
      </c>
      <c r="X4857" s="1">
        <v>6475000</v>
      </c>
      <c r="Y4857" s="1">
        <v>6475000</v>
      </c>
      <c r="AA4857" s="1">
        <v>5600000</v>
      </c>
      <c r="AB4857" s="1" t="s">
        <v>3414</v>
      </c>
      <c r="AC4857" s="5">
        <v>44155</v>
      </c>
      <c r="AF4857" s="1">
        <v>10019</v>
      </c>
      <c r="AJ4857" s="1">
        <v>2018</v>
      </c>
      <c r="AK4857" s="1" t="s">
        <v>46</v>
      </c>
      <c r="AL4857" s="1">
        <v>145</v>
      </c>
    </row>
    <row r="4858" spans="1:38" x14ac:dyDescent="0.2">
      <c r="A4858" s="2" t="str">
        <f>HYPERLINK("https://www.compass.com/listing/2231-adam-clayton-powell-jr-boulevard-unit-614-manhattan-ny-10027/4852284923052039489/","2231 Adam Clayton Powell Jr Blvd, Unit 614")</f>
        <v>2231 Adam Clayton Powell Jr Blvd, Unit 614</v>
      </c>
      <c r="B4858" s="2" t="str">
        <f>HYPERLINK("https://www.compass.com/building/the-aurum-manhattan-ny/307451641162444869/","The Aurum")</f>
        <v>The Aurum</v>
      </c>
      <c r="C4858" s="1" t="s">
        <v>85</v>
      </c>
      <c r="D4858" s="1" t="s">
        <v>41</v>
      </c>
      <c r="E4858" s="3">
        <v>707683</v>
      </c>
      <c r="F4858" s="1">
        <v>1114.4614173228299</v>
      </c>
      <c r="G4858" s="1">
        <v>3</v>
      </c>
      <c r="H4858" s="1">
        <v>1</v>
      </c>
      <c r="I4858" s="1">
        <v>1</v>
      </c>
      <c r="J4858" s="1">
        <v>1</v>
      </c>
      <c r="M4858" s="1">
        <v>635</v>
      </c>
      <c r="N4858" s="1">
        <v>619</v>
      </c>
      <c r="O4858" s="1">
        <v>734</v>
      </c>
      <c r="P4858" s="1">
        <v>115</v>
      </c>
      <c r="Q4858" s="1" t="s">
        <v>42</v>
      </c>
      <c r="S4858" s="1" t="s">
        <v>42</v>
      </c>
      <c r="T4858" s="1" t="s">
        <v>273</v>
      </c>
      <c r="V4858" s="5">
        <v>43668</v>
      </c>
      <c r="W4858" s="5">
        <v>42855</v>
      </c>
      <c r="X4858" s="1">
        <v>695000</v>
      </c>
      <c r="Y4858" s="1">
        <v>695000</v>
      </c>
      <c r="Z4858" s="5">
        <v>42855</v>
      </c>
      <c r="AA4858" s="1">
        <v>707683</v>
      </c>
      <c r="AB4858" s="1" t="s">
        <v>275</v>
      </c>
      <c r="AC4858" s="5">
        <v>42896</v>
      </c>
      <c r="AF4858" s="1">
        <v>10027</v>
      </c>
      <c r="AI4858" s="1" t="s">
        <v>52</v>
      </c>
      <c r="AJ4858" s="1">
        <v>2016</v>
      </c>
      <c r="AK4858" s="1" t="s">
        <v>108</v>
      </c>
      <c r="AL4858" s="1">
        <v>115</v>
      </c>
    </row>
    <row r="4859" spans="1:38" x14ac:dyDescent="0.2">
      <c r="A4859" s="2" t="str">
        <f>HYPERLINK("https://www.compass.com/listing/456-west-167th-street-unit-3d-manhattan-ny-10032/606628285839295257/","456 W 167th St, Unit 3D")</f>
        <v>456 W 167th St, Unit 3D</v>
      </c>
      <c r="B4859" s="2" t="str">
        <f>HYPERLINK("https://www.compass.com/building/edgecombe-parc-manhattan-ny/282005897969005013/","Edgecombe Parc")</f>
        <v>Edgecombe Parc</v>
      </c>
      <c r="C4859" s="1" t="s">
        <v>93</v>
      </c>
      <c r="D4859" s="1" t="s">
        <v>41</v>
      </c>
      <c r="E4859" s="3">
        <v>499000</v>
      </c>
      <c r="F4859" s="1">
        <v>685.43956043955995</v>
      </c>
      <c r="G4859" s="1">
        <v>4</v>
      </c>
      <c r="H4859" s="1">
        <v>2</v>
      </c>
      <c r="I4859" s="1">
        <v>2</v>
      </c>
      <c r="J4859" s="1">
        <v>2</v>
      </c>
      <c r="K4859" s="1">
        <v>2</v>
      </c>
      <c r="M4859" s="1">
        <v>728</v>
      </c>
      <c r="N4859" s="1">
        <v>626.64</v>
      </c>
      <c r="O4859" s="1">
        <v>1299.0899999999999</v>
      </c>
      <c r="P4859" s="1">
        <v>672.41666666666595</v>
      </c>
      <c r="Q4859" s="1" t="s">
        <v>42</v>
      </c>
      <c r="S4859" s="1" t="s">
        <v>42</v>
      </c>
      <c r="T4859" s="1" t="s">
        <v>273</v>
      </c>
      <c r="U4859" s="1">
        <v>213</v>
      </c>
      <c r="V4859" s="5">
        <v>44390</v>
      </c>
      <c r="W4859" s="5">
        <v>44088</v>
      </c>
      <c r="X4859" s="1">
        <v>595000</v>
      </c>
      <c r="Y4859" s="1">
        <v>540000</v>
      </c>
      <c r="Z4859" s="5">
        <v>44301</v>
      </c>
      <c r="AA4859" s="1">
        <v>499000</v>
      </c>
      <c r="AB4859" s="1" t="s">
        <v>3415</v>
      </c>
      <c r="AC4859" s="5">
        <v>44386</v>
      </c>
      <c r="AF4859" s="1">
        <v>10032</v>
      </c>
      <c r="AI4859" s="1" t="s">
        <v>3416</v>
      </c>
      <c r="AJ4859" s="1">
        <v>2014</v>
      </c>
      <c r="AK4859" s="1" t="s">
        <v>115</v>
      </c>
      <c r="AL4859" s="1">
        <v>49</v>
      </c>
    </row>
    <row r="4860" spans="1:38" x14ac:dyDescent="0.2">
      <c r="A4860" s="2" t="str">
        <f>HYPERLINK("https://www.compass.com/listing/2231-adam-clayton-powell-jr-boulevard-unit-405-manhattan-ny-10027/192575555198049505/","2231 Adam Clayton Powell Jr Blvd, Unit 405")</f>
        <v>2231 Adam Clayton Powell Jr Blvd, Unit 405</v>
      </c>
      <c r="B4860" s="2" t="str">
        <f t="shared" ref="B4860:B4864" si="823">HYPERLINK("https://www.compass.com/building/the-aurum-manhattan-ny/307451641162444869/","The Aurum")</f>
        <v>The Aurum</v>
      </c>
      <c r="C4860" s="1" t="s">
        <v>85</v>
      </c>
      <c r="D4860" s="1" t="s">
        <v>41</v>
      </c>
      <c r="E4860" s="3">
        <v>664917</v>
      </c>
      <c r="F4860" s="1">
        <v>1048.7649842271201</v>
      </c>
      <c r="G4860" s="1">
        <v>3</v>
      </c>
      <c r="H4860" s="1">
        <v>1</v>
      </c>
      <c r="I4860" s="1">
        <v>1</v>
      </c>
      <c r="J4860" s="1">
        <v>1</v>
      </c>
      <c r="M4860" s="1">
        <v>634</v>
      </c>
      <c r="N4860" s="1">
        <v>605</v>
      </c>
      <c r="O4860" s="1">
        <v>718</v>
      </c>
      <c r="P4860" s="1">
        <v>113</v>
      </c>
      <c r="Q4860" s="1" t="s">
        <v>42</v>
      </c>
      <c r="S4860" s="1" t="s">
        <v>42</v>
      </c>
      <c r="T4860" s="1" t="s">
        <v>273</v>
      </c>
      <c r="V4860" s="5">
        <v>43672</v>
      </c>
      <c r="W4860" s="5">
        <v>42486</v>
      </c>
      <c r="X4860" s="1">
        <v>671000</v>
      </c>
      <c r="Y4860" s="1">
        <v>671000</v>
      </c>
      <c r="Z4860" s="5">
        <v>42486</v>
      </c>
      <c r="AA4860" s="1">
        <v>664917</v>
      </c>
      <c r="AB4860" s="1" t="s">
        <v>275</v>
      </c>
      <c r="AC4860" s="5">
        <v>42724</v>
      </c>
      <c r="AF4860" s="1">
        <v>10027</v>
      </c>
      <c r="AI4860" s="1" t="s">
        <v>52</v>
      </c>
      <c r="AJ4860" s="1">
        <v>2016</v>
      </c>
      <c r="AK4860" s="1" t="s">
        <v>108</v>
      </c>
      <c r="AL4860" s="1">
        <v>115</v>
      </c>
    </row>
    <row r="4861" spans="1:38" x14ac:dyDescent="0.2">
      <c r="A4861" s="2" t="str">
        <f>HYPERLINK("https://www.compass.com/listing/2231-adam-clayton-powell-jr-boulevard-unit-306-manhattan-ny-10027/192575556624166049/","2231 Adam Clayton Powell Jr Blvd, Unit 306")</f>
        <v>2231 Adam Clayton Powell Jr Blvd, Unit 306</v>
      </c>
      <c r="B4861" s="2" t="str">
        <f t="shared" si="823"/>
        <v>The Aurum</v>
      </c>
      <c r="C4861" s="1" t="s">
        <v>85</v>
      </c>
      <c r="D4861" s="1" t="s">
        <v>41</v>
      </c>
      <c r="E4861" s="3">
        <v>651680</v>
      </c>
      <c r="F4861" s="1">
        <v>1026.2677165354301</v>
      </c>
      <c r="G4861" s="1">
        <v>3</v>
      </c>
      <c r="H4861" s="1">
        <v>1</v>
      </c>
      <c r="I4861" s="1">
        <v>1</v>
      </c>
      <c r="J4861" s="1">
        <v>1</v>
      </c>
      <c r="M4861" s="1">
        <v>635</v>
      </c>
      <c r="N4861" s="1">
        <v>606</v>
      </c>
      <c r="O4861" s="1">
        <v>719</v>
      </c>
      <c r="P4861" s="1">
        <v>113</v>
      </c>
      <c r="Q4861" s="1" t="s">
        <v>42</v>
      </c>
      <c r="S4861" s="1" t="s">
        <v>42</v>
      </c>
      <c r="T4861" s="1" t="s">
        <v>273</v>
      </c>
      <c r="U4861" s="1">
        <v>21</v>
      </c>
      <c r="V4861" s="5">
        <v>43668</v>
      </c>
      <c r="W4861" s="5">
        <v>42486</v>
      </c>
      <c r="X4861" s="1">
        <v>640000</v>
      </c>
      <c r="Y4861" s="1">
        <v>640000</v>
      </c>
      <c r="Z4861" s="5">
        <v>42507</v>
      </c>
      <c r="AA4861" s="1">
        <v>651680</v>
      </c>
      <c r="AB4861" s="1" t="s">
        <v>275</v>
      </c>
      <c r="AC4861" s="5">
        <v>42802</v>
      </c>
      <c r="AF4861" s="1">
        <v>10027</v>
      </c>
      <c r="AI4861" s="1" t="s">
        <v>52</v>
      </c>
      <c r="AJ4861" s="1">
        <v>2016</v>
      </c>
      <c r="AK4861" s="1" t="s">
        <v>108</v>
      </c>
      <c r="AL4861" s="1">
        <v>115</v>
      </c>
    </row>
    <row r="4862" spans="1:38" x14ac:dyDescent="0.2">
      <c r="A4862" s="2" t="str">
        <f>HYPERLINK("https://www.compass.com/listing/2231-adam-clayton-powell-jr-boulevard-unit-203-manhattan-ny-10027/192575557781776305/","2231 Adam Clayton Powell Jr Blvd, Unit 203")</f>
        <v>2231 Adam Clayton Powell Jr Blvd, Unit 203</v>
      </c>
      <c r="B4862" s="2" t="str">
        <f t="shared" si="823"/>
        <v>The Aurum</v>
      </c>
      <c r="C4862" s="1" t="s">
        <v>85</v>
      </c>
      <c r="D4862" s="1" t="s">
        <v>41</v>
      </c>
      <c r="E4862" s="3">
        <v>656771</v>
      </c>
      <c r="F4862" s="1">
        <v>1035.91640378548</v>
      </c>
      <c r="G4862" s="1">
        <v>3</v>
      </c>
      <c r="H4862" s="1">
        <v>1</v>
      </c>
      <c r="I4862" s="1">
        <v>1</v>
      </c>
      <c r="J4862" s="1">
        <v>1</v>
      </c>
      <c r="M4862" s="1">
        <v>634</v>
      </c>
      <c r="N4862" s="1">
        <v>605</v>
      </c>
      <c r="O4862" s="1">
        <v>718</v>
      </c>
      <c r="P4862" s="1">
        <v>113</v>
      </c>
      <c r="Q4862" s="1" t="s">
        <v>42</v>
      </c>
      <c r="S4862" s="1" t="s">
        <v>42</v>
      </c>
      <c r="T4862" s="1" t="s">
        <v>273</v>
      </c>
      <c r="U4862" s="1">
        <v>45</v>
      </c>
      <c r="V4862" s="5">
        <v>43672</v>
      </c>
      <c r="W4862" s="5">
        <v>42486</v>
      </c>
      <c r="X4862" s="1">
        <v>645000</v>
      </c>
      <c r="Y4862" s="1">
        <v>645000</v>
      </c>
      <c r="Z4862" s="5">
        <v>42531</v>
      </c>
      <c r="AA4862" s="1">
        <v>656771</v>
      </c>
      <c r="AB4862" s="1" t="s">
        <v>275</v>
      </c>
      <c r="AC4862" s="5">
        <v>42741</v>
      </c>
      <c r="AF4862" s="1">
        <v>10027</v>
      </c>
      <c r="AI4862" s="1" t="s">
        <v>52</v>
      </c>
      <c r="AJ4862" s="1">
        <v>2016</v>
      </c>
      <c r="AK4862" s="1" t="s">
        <v>108</v>
      </c>
      <c r="AL4862" s="1">
        <v>115</v>
      </c>
    </row>
    <row r="4863" spans="1:38" x14ac:dyDescent="0.2">
      <c r="A4863" s="2" t="str">
        <f>HYPERLINK("https://www.compass.com/listing/2231-adam-clayton-powell-jr-boulevard-unit-404-manhattan-ny-10027/192575562848462209/","2231 Adam Clayton Powell Jr Blvd, Unit 404")</f>
        <v>2231 Adam Clayton Powell Jr Blvd, Unit 404</v>
      </c>
      <c r="B4863" s="2" t="str">
        <f t="shared" si="823"/>
        <v>The Aurum</v>
      </c>
      <c r="C4863" s="1" t="s">
        <v>85</v>
      </c>
      <c r="D4863" s="1" t="s">
        <v>41</v>
      </c>
      <c r="E4863" s="3">
        <v>668990</v>
      </c>
      <c r="F4863" s="1">
        <v>1053.52755905511</v>
      </c>
      <c r="G4863" s="1">
        <v>3</v>
      </c>
      <c r="H4863" s="1">
        <v>1</v>
      </c>
      <c r="I4863" s="1">
        <v>1</v>
      </c>
      <c r="J4863" s="1">
        <v>1</v>
      </c>
      <c r="M4863" s="1">
        <v>635</v>
      </c>
      <c r="N4863" s="1">
        <v>606</v>
      </c>
      <c r="O4863" s="1">
        <v>719</v>
      </c>
      <c r="P4863" s="1">
        <v>113</v>
      </c>
      <c r="Q4863" s="1" t="s">
        <v>42</v>
      </c>
      <c r="S4863" s="1" t="s">
        <v>42</v>
      </c>
      <c r="T4863" s="1" t="s">
        <v>273</v>
      </c>
      <c r="V4863" s="5">
        <v>43672</v>
      </c>
      <c r="W4863" s="5">
        <v>42486</v>
      </c>
      <c r="X4863" s="1">
        <v>673000</v>
      </c>
      <c r="Y4863" s="1">
        <v>673000</v>
      </c>
      <c r="Z4863" s="5">
        <v>42486</v>
      </c>
      <c r="AA4863" s="1">
        <v>668990</v>
      </c>
      <c r="AB4863" s="1" t="s">
        <v>275</v>
      </c>
      <c r="AC4863" s="5">
        <v>42726</v>
      </c>
      <c r="AF4863" s="1">
        <v>10027</v>
      </c>
      <c r="AI4863" s="1" t="s">
        <v>52</v>
      </c>
      <c r="AJ4863" s="1">
        <v>2016</v>
      </c>
      <c r="AK4863" s="1" t="s">
        <v>108</v>
      </c>
      <c r="AL4863" s="1">
        <v>115</v>
      </c>
    </row>
    <row r="4864" spans="1:38" x14ac:dyDescent="0.2">
      <c r="A4864" s="2" t="str">
        <f>HYPERLINK("https://www.compass.com/listing/2231-adam-clayton-powell-jr-boulevard-unit-417-manhattan-ny-10027/192575629529556113/","2231 Adam Clayton Powell Jr Blvd, Unit 417")</f>
        <v>2231 Adam Clayton Powell Jr Blvd, Unit 417</v>
      </c>
      <c r="B4864" s="2" t="str">
        <f t="shared" si="823"/>
        <v>The Aurum</v>
      </c>
      <c r="C4864" s="1" t="s">
        <v>85</v>
      </c>
      <c r="D4864" s="1" t="s">
        <v>41</v>
      </c>
      <c r="E4864" s="3">
        <v>663899</v>
      </c>
      <c r="F4864" s="1">
        <v>1019.81413210445</v>
      </c>
      <c r="G4864" s="1">
        <v>3</v>
      </c>
      <c r="H4864" s="1">
        <v>1</v>
      </c>
      <c r="I4864" s="1">
        <v>1</v>
      </c>
      <c r="J4864" s="1">
        <v>1</v>
      </c>
      <c r="M4864" s="1">
        <v>651</v>
      </c>
      <c r="N4864" s="1">
        <v>621</v>
      </c>
      <c r="O4864" s="1">
        <v>737</v>
      </c>
      <c r="P4864" s="1">
        <v>116</v>
      </c>
      <c r="Q4864" s="1" t="s">
        <v>42</v>
      </c>
      <c r="S4864" s="1" t="s">
        <v>42</v>
      </c>
      <c r="T4864" s="1" t="s">
        <v>273</v>
      </c>
      <c r="V4864" s="5">
        <v>43672</v>
      </c>
      <c r="W4864" s="5">
        <v>42486</v>
      </c>
      <c r="X4864" s="1">
        <v>674000</v>
      </c>
      <c r="Y4864" s="1">
        <v>674000</v>
      </c>
      <c r="Z4864" s="5">
        <v>42486</v>
      </c>
      <c r="AA4864" s="1">
        <v>663899</v>
      </c>
      <c r="AB4864" s="1" t="s">
        <v>275</v>
      </c>
      <c r="AC4864" s="5">
        <v>42733</v>
      </c>
      <c r="AF4864" s="1">
        <v>10027</v>
      </c>
      <c r="AI4864" s="1" t="s">
        <v>52</v>
      </c>
      <c r="AJ4864" s="1">
        <v>2016</v>
      </c>
      <c r="AK4864" s="1" t="s">
        <v>108</v>
      </c>
      <c r="AL4864" s="1">
        <v>115</v>
      </c>
    </row>
    <row r="4865" spans="1:38" x14ac:dyDescent="0.2">
      <c r="A4865" s="2" t="str">
        <f>HYPERLINK("https://www.compass.com/listing/695-1st-avenue-unit-33l-manhattan-ny-10016/755263209353567337/","695 1st Ave, Unit 33L")</f>
        <v>695 1st Ave, Unit 33L</v>
      </c>
      <c r="B4865" s="2" t="str">
        <f>HYPERLINK("https://www.compass.com/building/one-united-nations-park-manhattan-ny/282058773630059653/","One United Nations Park")</f>
        <v>One United Nations Park</v>
      </c>
      <c r="C4865" s="1" t="s">
        <v>59</v>
      </c>
      <c r="D4865" s="1" t="s">
        <v>41</v>
      </c>
      <c r="E4865" s="3">
        <v>1670000</v>
      </c>
      <c r="F4865" s="1">
        <v>1602.68714011516</v>
      </c>
      <c r="G4865" s="1">
        <v>3</v>
      </c>
      <c r="H4865" s="1">
        <v>1</v>
      </c>
      <c r="I4865" s="1">
        <v>2</v>
      </c>
      <c r="J4865" s="1">
        <v>1.5</v>
      </c>
      <c r="K4865" s="1">
        <v>1</v>
      </c>
      <c r="L4865" s="1">
        <v>1</v>
      </c>
      <c r="M4865" s="4">
        <v>1042</v>
      </c>
      <c r="N4865" s="1">
        <v>1397</v>
      </c>
      <c r="O4865" s="1">
        <v>3056</v>
      </c>
      <c r="P4865" s="1">
        <v>1659</v>
      </c>
      <c r="Q4865" s="1" t="s">
        <v>42</v>
      </c>
      <c r="S4865" s="1" t="s">
        <v>42</v>
      </c>
      <c r="T4865" s="1" t="s">
        <v>273</v>
      </c>
      <c r="U4865" s="1">
        <v>8</v>
      </c>
      <c r="V4865" s="5">
        <v>44401</v>
      </c>
      <c r="W4865" s="5">
        <v>44293</v>
      </c>
      <c r="X4865" s="1">
        <v>1670000</v>
      </c>
      <c r="Y4865" s="1">
        <v>1670000</v>
      </c>
      <c r="Z4865" s="5">
        <v>44302</v>
      </c>
      <c r="AA4865" s="1">
        <v>1670000</v>
      </c>
      <c r="AB4865" s="1" t="s">
        <v>275</v>
      </c>
      <c r="AC4865" s="5">
        <v>44400</v>
      </c>
      <c r="AF4865" s="1">
        <v>10016</v>
      </c>
      <c r="AJ4865" s="1">
        <v>2019</v>
      </c>
      <c r="AK4865" s="1" t="s">
        <v>46</v>
      </c>
      <c r="AL4865" s="1">
        <v>148</v>
      </c>
    </row>
    <row r="4866" spans="1:38" x14ac:dyDescent="0.2">
      <c r="A4866" s="2" t="str">
        <f>HYPERLINK("https://www.compass.com/listing/456-west-167th-street-unit-1d-manhattan-ny-10032/29435096628990833/","456 W 167th St, Unit 1D")</f>
        <v>456 W 167th St, Unit 1D</v>
      </c>
      <c r="B4866" s="2" t="str">
        <f>HYPERLINK("https://www.compass.com/building/edgecombe-parc-manhattan-ny/282005897969005013/","Edgecombe Parc")</f>
        <v>Edgecombe Parc</v>
      </c>
      <c r="C4866" s="1" t="s">
        <v>93</v>
      </c>
      <c r="D4866" s="1" t="s">
        <v>41</v>
      </c>
      <c r="E4866" s="3">
        <v>628000</v>
      </c>
      <c r="F4866" s="1">
        <v>862.637362637362</v>
      </c>
      <c r="G4866" s="1">
        <v>4</v>
      </c>
      <c r="H4866" s="1">
        <v>1</v>
      </c>
      <c r="I4866" s="1">
        <v>2</v>
      </c>
      <c r="J4866" s="1">
        <v>2</v>
      </c>
      <c r="M4866" s="1">
        <v>728</v>
      </c>
      <c r="N4866" s="1">
        <v>425</v>
      </c>
      <c r="O4866" s="1">
        <v>1141</v>
      </c>
      <c r="P4866" s="1">
        <v>716</v>
      </c>
      <c r="Q4866" s="1" t="s">
        <v>42</v>
      </c>
      <c r="S4866" s="1" t="s">
        <v>42</v>
      </c>
      <c r="T4866" s="1" t="s">
        <v>273</v>
      </c>
      <c r="U4866" s="1">
        <v>30</v>
      </c>
      <c r="V4866" s="5">
        <v>43665</v>
      </c>
      <c r="W4866" s="5">
        <v>42824</v>
      </c>
      <c r="X4866" s="1">
        <v>618000</v>
      </c>
      <c r="Y4866" s="1">
        <v>618000</v>
      </c>
      <c r="Z4866" s="5">
        <v>42854</v>
      </c>
      <c r="AA4866" s="1">
        <v>628000</v>
      </c>
      <c r="AB4866" s="1" t="s">
        <v>3303</v>
      </c>
      <c r="AC4866" s="5">
        <v>42916</v>
      </c>
      <c r="AF4866" s="1">
        <v>10032</v>
      </c>
      <c r="AI4866" s="1" t="s">
        <v>61</v>
      </c>
      <c r="AJ4866" s="1">
        <v>2014</v>
      </c>
      <c r="AK4866" s="1" t="s">
        <v>175</v>
      </c>
      <c r="AL4866" s="1">
        <v>49</v>
      </c>
    </row>
    <row r="4867" spans="1:38" x14ac:dyDescent="0.2">
      <c r="A4867" s="2" t="str">
        <f>HYPERLINK("https://www.compass.com/listing/70-west-139th-street-unit-6g-manhattan-ny-10037/324548058863421617/","70 W 139th St, Unit 6G")</f>
        <v>70 W 139th St, Unit 6G</v>
      </c>
      <c r="B4867" s="2" t="str">
        <f t="shared" ref="B4867:B4868" si="824">HYPERLINK("https://www.compass.com/building/70-w-139th-st-manhattan-ny-10037/292920118235647477/","70 W 139th St")</f>
        <v>70 W 139th St</v>
      </c>
      <c r="C4867" s="1" t="s">
        <v>85</v>
      </c>
      <c r="D4867" s="1" t="s">
        <v>41</v>
      </c>
      <c r="E4867" s="3">
        <v>608755</v>
      </c>
      <c r="F4867" s="1">
        <v>893.91286343612296</v>
      </c>
      <c r="G4867" s="1">
        <v>3</v>
      </c>
      <c r="H4867" s="1">
        <v>1</v>
      </c>
      <c r="I4867" s="1">
        <v>1</v>
      </c>
      <c r="J4867" s="1">
        <v>1</v>
      </c>
      <c r="K4867" s="1">
        <v>1</v>
      </c>
      <c r="M4867" s="1">
        <v>681</v>
      </c>
      <c r="N4867" s="1">
        <v>472</v>
      </c>
      <c r="O4867" s="1">
        <v>492</v>
      </c>
      <c r="P4867" s="1">
        <v>20</v>
      </c>
      <c r="Q4867" s="1" t="s">
        <v>129</v>
      </c>
      <c r="S4867" s="1" t="s">
        <v>42</v>
      </c>
      <c r="T4867" s="1" t="s">
        <v>273</v>
      </c>
      <c r="U4867" s="1">
        <v>83</v>
      </c>
      <c r="V4867" s="5">
        <v>43830</v>
      </c>
      <c r="W4867" s="5">
        <v>43700</v>
      </c>
      <c r="X4867" s="1">
        <v>635000</v>
      </c>
      <c r="Y4867" s="1">
        <v>635000</v>
      </c>
      <c r="Z4867" s="5">
        <v>43783</v>
      </c>
      <c r="AA4867" s="1">
        <v>608754.66</v>
      </c>
      <c r="AB4867" s="1" t="s">
        <v>3417</v>
      </c>
      <c r="AC4867" s="5">
        <v>43822</v>
      </c>
      <c r="AF4867" s="1">
        <v>10037</v>
      </c>
      <c r="AI4867" s="1" t="s">
        <v>203</v>
      </c>
      <c r="AJ4867" s="1">
        <v>2018</v>
      </c>
      <c r="AK4867" s="1" t="s">
        <v>3418</v>
      </c>
      <c r="AL4867" s="1">
        <v>64</v>
      </c>
    </row>
    <row r="4868" spans="1:38" x14ac:dyDescent="0.2">
      <c r="A4868" s="2" t="str">
        <f>HYPERLINK("https://www.compass.com/listing/70-west-139th-street-unit-8i-manhattan-ny-10037/324548060037977297/","70 W 139th St, Unit 8I")</f>
        <v>70 W 139th St, Unit 8I</v>
      </c>
      <c r="B4868" s="2" t="str">
        <f t="shared" si="824"/>
        <v>70 W 139th St</v>
      </c>
      <c r="C4868" s="1" t="s">
        <v>85</v>
      </c>
      <c r="D4868" s="1" t="s">
        <v>41</v>
      </c>
      <c r="E4868" s="3">
        <v>608755</v>
      </c>
      <c r="F4868" s="1">
        <v>909.94768310911797</v>
      </c>
      <c r="G4868" s="1">
        <v>3</v>
      </c>
      <c r="H4868" s="1">
        <v>1</v>
      </c>
      <c r="I4868" s="1">
        <v>1</v>
      </c>
      <c r="J4868" s="1">
        <v>1</v>
      </c>
      <c r="K4868" s="1">
        <v>1</v>
      </c>
      <c r="M4868" s="1">
        <v>669</v>
      </c>
      <c r="N4868" s="1">
        <v>463</v>
      </c>
      <c r="O4868" s="1">
        <v>483</v>
      </c>
      <c r="P4868" s="1">
        <v>20</v>
      </c>
      <c r="Q4868" s="1" t="s">
        <v>129</v>
      </c>
      <c r="S4868" s="1" t="s">
        <v>42</v>
      </c>
      <c r="T4868" s="1" t="s">
        <v>273</v>
      </c>
      <c r="U4868" s="1">
        <v>112</v>
      </c>
      <c r="V4868" s="5">
        <v>44377</v>
      </c>
      <c r="W4868" s="5">
        <v>43700</v>
      </c>
      <c r="X4868" s="1">
        <v>635000</v>
      </c>
      <c r="Y4868" s="1">
        <v>635000</v>
      </c>
      <c r="Z4868" s="5">
        <v>43812</v>
      </c>
      <c r="AA4868" s="1">
        <v>608755</v>
      </c>
      <c r="AB4868" s="1" t="s">
        <v>3419</v>
      </c>
      <c r="AC4868" s="5">
        <v>43830</v>
      </c>
      <c r="AF4868" s="1">
        <v>10037</v>
      </c>
      <c r="AI4868" s="1" t="s">
        <v>238</v>
      </c>
      <c r="AJ4868" s="1">
        <v>2018</v>
      </c>
      <c r="AK4868" s="1" t="s">
        <v>73</v>
      </c>
      <c r="AL4868" s="1">
        <v>64</v>
      </c>
    </row>
    <row r="4869" spans="1:38" x14ac:dyDescent="0.2">
      <c r="A4869" s="2" t="str">
        <f>HYPERLINK("https://www.compass.com/listing/53-west-53rd-street-unit-50b-manhattan-ny-10019/28876196359978689/","53 W 53rd St, Unit 50B")</f>
        <v>53 W 53rd St, Unit 50B</v>
      </c>
      <c r="B4869" s="2" t="str">
        <f>HYPERLINK("https://www.compass.com/building/53-west-53-manhattan-ny/281946357818781477/","53 West 53")</f>
        <v>53 West 53</v>
      </c>
      <c r="C4869" s="1" t="s">
        <v>139</v>
      </c>
      <c r="D4869" s="1" t="s">
        <v>41</v>
      </c>
      <c r="E4869" s="3">
        <v>9000000</v>
      </c>
      <c r="F4869" s="1">
        <v>2626.2036766851402</v>
      </c>
      <c r="G4869" s="1">
        <v>6</v>
      </c>
      <c r="H4869" s="1">
        <v>3</v>
      </c>
      <c r="I4869" s="1">
        <v>4</v>
      </c>
      <c r="J4869" s="1">
        <v>3.5</v>
      </c>
      <c r="K4869" s="1">
        <v>3</v>
      </c>
      <c r="L4869" s="1">
        <v>1</v>
      </c>
      <c r="M4869" s="4">
        <v>3427</v>
      </c>
      <c r="N4869" s="1">
        <v>8044</v>
      </c>
      <c r="O4869" s="1">
        <v>11392</v>
      </c>
      <c r="P4869" s="1">
        <v>3348</v>
      </c>
      <c r="Q4869" s="1" t="s">
        <v>42</v>
      </c>
      <c r="S4869" s="1" t="s">
        <v>42</v>
      </c>
      <c r="T4869" s="1" t="s">
        <v>273</v>
      </c>
      <c r="U4869" s="1">
        <v>26</v>
      </c>
      <c r="V4869" s="5">
        <v>44286</v>
      </c>
      <c r="W4869" s="5">
        <v>44252</v>
      </c>
      <c r="Y4869" s="1">
        <v>11125000</v>
      </c>
      <c r="Z4869" s="5">
        <v>44279</v>
      </c>
      <c r="AA4869" s="1">
        <v>9000000</v>
      </c>
      <c r="AB4869" s="1" t="s">
        <v>3420</v>
      </c>
      <c r="AC4869" s="5">
        <v>44285</v>
      </c>
      <c r="AF4869" s="1">
        <v>10019</v>
      </c>
      <c r="AJ4869" s="1">
        <v>2018</v>
      </c>
      <c r="AK4869" s="1" t="s">
        <v>46</v>
      </c>
      <c r="AL4869" s="1">
        <v>145</v>
      </c>
    </row>
    <row r="4870" spans="1:38" x14ac:dyDescent="0.2">
      <c r="A4870" s="2" t="str">
        <f>HYPERLINK("https://www.compass.com/listing/16-west-40th-street-unit-20c-manhattan-ny-10018/29514373873608929/","16 W 40th St, Unit 20C")</f>
        <v>16 W 40th St, Unit 20C</v>
      </c>
      <c r="B4870" s="2" t="str">
        <f t="shared" ref="B4870:B4872" si="825">HYPERLINK("https://www.compass.com/building/the-bryant-manhattan-ny/281942863485395813/","The Bryant")</f>
        <v>The Bryant</v>
      </c>
      <c r="C4870" s="1" t="s">
        <v>126</v>
      </c>
      <c r="D4870" s="1" t="s">
        <v>41</v>
      </c>
      <c r="E4870" s="3">
        <v>3258400</v>
      </c>
      <c r="F4870" s="1">
        <v>2451.7682468020998</v>
      </c>
      <c r="G4870" s="1">
        <v>3</v>
      </c>
      <c r="H4870" s="1">
        <v>2</v>
      </c>
      <c r="I4870" s="1">
        <v>3</v>
      </c>
      <c r="J4870" s="1">
        <v>2.5</v>
      </c>
      <c r="K4870" s="1">
        <v>2</v>
      </c>
      <c r="L4870" s="1">
        <v>1</v>
      </c>
      <c r="M4870" s="4">
        <v>1329</v>
      </c>
      <c r="N4870" s="1">
        <v>2323</v>
      </c>
      <c r="O4870" s="1">
        <v>4326</v>
      </c>
      <c r="P4870" s="1">
        <v>2003</v>
      </c>
      <c r="Q4870" s="1" t="s">
        <v>42</v>
      </c>
      <c r="S4870" s="1" t="s">
        <v>42</v>
      </c>
      <c r="T4870" s="1" t="s">
        <v>273</v>
      </c>
      <c r="U4870" s="1">
        <v>50</v>
      </c>
      <c r="V4870" s="5">
        <v>43647</v>
      </c>
      <c r="W4870" s="5">
        <v>42339</v>
      </c>
      <c r="X4870" s="1">
        <v>3275000</v>
      </c>
      <c r="Y4870" s="1">
        <v>3275000</v>
      </c>
      <c r="Z4870" s="5">
        <v>42389</v>
      </c>
      <c r="AA4870" s="1">
        <v>3258400</v>
      </c>
      <c r="AB4870" s="1" t="s">
        <v>3421</v>
      </c>
      <c r="AC4870" s="5">
        <v>43419</v>
      </c>
      <c r="AF4870" s="1">
        <v>10018</v>
      </c>
      <c r="AI4870" s="1" t="s">
        <v>58</v>
      </c>
      <c r="AJ4870" s="1">
        <v>2017</v>
      </c>
      <c r="AK4870" s="1" t="s">
        <v>46</v>
      </c>
      <c r="AL4870" s="1">
        <v>57</v>
      </c>
    </row>
    <row r="4871" spans="1:38" x14ac:dyDescent="0.2">
      <c r="A4871" s="2" t="str">
        <f>HYPERLINK("https://www.compass.com/listing/16-west-40th-street-unit-24c-manhattan-ny-10018/29514374846687489/","16 W 40th St, Unit 24C")</f>
        <v>16 W 40th St, Unit 24C</v>
      </c>
      <c r="B4871" s="2" t="str">
        <f t="shared" si="825"/>
        <v>The Bryant</v>
      </c>
      <c r="C4871" s="1" t="s">
        <v>126</v>
      </c>
      <c r="D4871" s="1" t="s">
        <v>41</v>
      </c>
      <c r="E4871" s="3">
        <v>3565000</v>
      </c>
      <c r="F4871" s="1">
        <v>2682.4680210684701</v>
      </c>
      <c r="G4871" s="1">
        <v>3</v>
      </c>
      <c r="H4871" s="1">
        <v>2</v>
      </c>
      <c r="I4871" s="1">
        <v>3</v>
      </c>
      <c r="J4871" s="1">
        <v>2.5</v>
      </c>
      <c r="K4871" s="1">
        <v>2</v>
      </c>
      <c r="L4871" s="1">
        <v>1</v>
      </c>
      <c r="M4871" s="4">
        <v>1329</v>
      </c>
      <c r="N4871" s="1">
        <v>2369</v>
      </c>
      <c r="O4871" s="1">
        <v>4411</v>
      </c>
      <c r="P4871" s="1">
        <v>2042</v>
      </c>
      <c r="Q4871" s="1" t="s">
        <v>42</v>
      </c>
      <c r="S4871" s="1" t="s">
        <v>42</v>
      </c>
      <c r="T4871" s="1" t="s">
        <v>273</v>
      </c>
      <c r="U4871" s="1">
        <v>2</v>
      </c>
      <c r="V4871" s="5">
        <v>43633</v>
      </c>
      <c r="W4871" s="5">
        <v>42439</v>
      </c>
      <c r="X4871" s="1">
        <v>3620000</v>
      </c>
      <c r="Y4871" s="1">
        <v>3620000</v>
      </c>
      <c r="Z4871" s="5">
        <v>42441</v>
      </c>
      <c r="AA4871" s="1">
        <v>3565000</v>
      </c>
      <c r="AB4871" s="1" t="s">
        <v>3422</v>
      </c>
      <c r="AC4871" s="5">
        <v>43448</v>
      </c>
      <c r="AF4871" s="1">
        <v>10018</v>
      </c>
      <c r="AI4871" s="1" t="s">
        <v>58</v>
      </c>
      <c r="AJ4871" s="1">
        <v>2017</v>
      </c>
      <c r="AK4871" s="1" t="s">
        <v>46</v>
      </c>
      <c r="AL4871" s="1">
        <v>57</v>
      </c>
    </row>
    <row r="4872" spans="1:38" x14ac:dyDescent="0.2">
      <c r="A4872" s="2" t="str">
        <f>HYPERLINK("https://www.compass.com/listing/16-west-40th-street-unit-23c-manhattan-ny-10018/29514376004370049/","16 W 40th St, Unit 23C")</f>
        <v>16 W 40th St, Unit 23C</v>
      </c>
      <c r="B4872" s="2" t="str">
        <f t="shared" si="825"/>
        <v>The Bryant</v>
      </c>
      <c r="C4872" s="1" t="s">
        <v>126</v>
      </c>
      <c r="D4872" s="1" t="s">
        <v>41</v>
      </c>
      <c r="E4872" s="3">
        <v>3565000</v>
      </c>
      <c r="F4872" s="1">
        <v>2682.4680210684701</v>
      </c>
      <c r="G4872" s="1">
        <v>3</v>
      </c>
      <c r="H4872" s="1">
        <v>2</v>
      </c>
      <c r="I4872" s="1">
        <v>2</v>
      </c>
      <c r="J4872" s="1">
        <v>2.5</v>
      </c>
      <c r="K4872" s="1">
        <v>2</v>
      </c>
      <c r="L4872" s="1">
        <v>1</v>
      </c>
      <c r="M4872" s="4">
        <v>1329</v>
      </c>
      <c r="N4872" s="1">
        <v>2357</v>
      </c>
      <c r="O4872" s="1">
        <v>4389</v>
      </c>
      <c r="P4872" s="1">
        <v>2032</v>
      </c>
      <c r="Q4872" s="1" t="s">
        <v>42</v>
      </c>
      <c r="S4872" s="1" t="s">
        <v>42</v>
      </c>
      <c r="T4872" s="1" t="s">
        <v>273</v>
      </c>
      <c r="U4872" s="1">
        <v>2</v>
      </c>
      <c r="V4872" s="5">
        <v>43648</v>
      </c>
      <c r="W4872" s="5">
        <v>42465</v>
      </c>
      <c r="X4872" s="1">
        <v>3565000</v>
      </c>
      <c r="Y4872" s="1">
        <v>3565000</v>
      </c>
      <c r="Z4872" s="5">
        <v>42467</v>
      </c>
      <c r="AA4872" s="1">
        <v>3565000</v>
      </c>
      <c r="AB4872" s="1" t="s">
        <v>3423</v>
      </c>
      <c r="AC4872" s="5">
        <v>43342</v>
      </c>
      <c r="AF4872" s="1">
        <v>10018</v>
      </c>
      <c r="AI4872" s="1" t="s">
        <v>58</v>
      </c>
      <c r="AJ4872" s="1">
        <v>2017</v>
      </c>
      <c r="AK4872" s="1" t="s">
        <v>46</v>
      </c>
      <c r="AL4872" s="1">
        <v>57</v>
      </c>
    </row>
    <row r="4873" spans="1:38" x14ac:dyDescent="0.2">
      <c r="A4873" s="2" t="str">
        <f>HYPERLINK("https://www.compass.com/listing/53-west-53rd-street-unit-36c-manhattan-ny-10019/425348091128626801/","53 W 53rd St, Unit 36C")</f>
        <v>53 W 53rd St, Unit 36C</v>
      </c>
      <c r="B4873" s="2" t="str">
        <f>HYPERLINK("https://www.compass.com/building/53-west-53-manhattan-ny/281946357818781477/","53 West 53")</f>
        <v>53 West 53</v>
      </c>
      <c r="C4873" s="1" t="s">
        <v>139</v>
      </c>
      <c r="D4873" s="1" t="s">
        <v>41</v>
      </c>
      <c r="E4873" s="3">
        <v>6500000</v>
      </c>
      <c r="F4873" s="1">
        <v>2632.6447954637501</v>
      </c>
      <c r="G4873" s="1">
        <v>6</v>
      </c>
      <c r="H4873" s="1">
        <v>3</v>
      </c>
      <c r="I4873" s="1">
        <v>2</v>
      </c>
      <c r="J4873" s="1">
        <v>1.5</v>
      </c>
      <c r="K4873" s="1">
        <v>1</v>
      </c>
      <c r="L4873" s="1">
        <v>1</v>
      </c>
      <c r="M4873" s="4">
        <v>2469</v>
      </c>
      <c r="N4873" s="1">
        <v>5451</v>
      </c>
      <c r="O4873" s="1">
        <v>7790</v>
      </c>
      <c r="P4873" s="1">
        <v>2339</v>
      </c>
      <c r="Q4873" s="1" t="s">
        <v>42</v>
      </c>
      <c r="S4873" s="1" t="s">
        <v>42</v>
      </c>
      <c r="T4873" s="1" t="s">
        <v>273</v>
      </c>
      <c r="U4873" s="1">
        <v>9</v>
      </c>
      <c r="V4873" s="5">
        <v>44223</v>
      </c>
      <c r="W4873" s="5">
        <v>43838</v>
      </c>
      <c r="X4873" s="1">
        <v>7570000</v>
      </c>
      <c r="Y4873" s="1">
        <v>7570000</v>
      </c>
      <c r="AA4873" s="1">
        <v>6500000</v>
      </c>
      <c r="AB4873" s="1" t="s">
        <v>3424</v>
      </c>
      <c r="AC4873" s="5">
        <v>44155</v>
      </c>
      <c r="AF4873" s="1">
        <v>10019</v>
      </c>
      <c r="AJ4873" s="1">
        <v>2018</v>
      </c>
      <c r="AK4873" s="1" t="s">
        <v>46</v>
      </c>
      <c r="AL4873" s="1">
        <v>145</v>
      </c>
    </row>
    <row r="4874" spans="1:38" x14ac:dyDescent="0.2">
      <c r="A4874" s="2" t="str">
        <f>HYPERLINK("https://www.compass.com/listing/217-west-57th-street-unit-59n-manhattan-ny-10019/633431692738453945/","217 W 57th St, Unit 59N")</f>
        <v>217 W 57th St, Unit 59N</v>
      </c>
      <c r="B4874" s="2" t="str">
        <f>HYPERLINK("https://www.compass.com/building/central-park-tower-manhattan-ny/292845475244082085/","Central Park Tower")</f>
        <v>Central Park Tower</v>
      </c>
      <c r="C4874" s="1" t="s">
        <v>139</v>
      </c>
      <c r="D4874" s="1" t="s">
        <v>41</v>
      </c>
      <c r="E4874" s="3">
        <v>7864025</v>
      </c>
      <c r="F4874" s="1">
        <v>5480.1567944250801</v>
      </c>
      <c r="G4874" s="1">
        <v>4.5</v>
      </c>
      <c r="H4874" s="1">
        <v>2</v>
      </c>
      <c r="I4874" s="1">
        <v>3</v>
      </c>
      <c r="J4874" s="1">
        <v>2.5</v>
      </c>
      <c r="K4874" s="1">
        <v>2</v>
      </c>
      <c r="L4874" s="1">
        <v>1</v>
      </c>
      <c r="M4874" s="4">
        <v>1435</v>
      </c>
      <c r="N4874" s="1">
        <v>1950</v>
      </c>
      <c r="O4874" s="1">
        <v>5563</v>
      </c>
      <c r="P4874" s="1">
        <v>3613</v>
      </c>
      <c r="Q4874" s="1" t="s">
        <v>42</v>
      </c>
      <c r="S4874" s="1" t="s">
        <v>42</v>
      </c>
      <c r="T4874" s="1" t="s">
        <v>273</v>
      </c>
      <c r="U4874" s="1">
        <v>168</v>
      </c>
      <c r="V4874" s="5">
        <v>44383</v>
      </c>
      <c r="W4874" s="5">
        <v>44125</v>
      </c>
      <c r="X4874" s="1">
        <v>8900000</v>
      </c>
      <c r="Y4874" s="1">
        <v>8900000</v>
      </c>
      <c r="AA4874" s="1">
        <v>7864025</v>
      </c>
      <c r="AB4874" s="1" t="s">
        <v>3425</v>
      </c>
      <c r="AC4874" s="5">
        <v>44364</v>
      </c>
      <c r="AF4874" s="1">
        <v>10019</v>
      </c>
      <c r="AI4874" s="1" t="s">
        <v>48</v>
      </c>
      <c r="AJ4874" s="1">
        <v>2020</v>
      </c>
      <c r="AK4874" s="1" t="s">
        <v>108</v>
      </c>
      <c r="AL4874" s="1">
        <v>179</v>
      </c>
    </row>
    <row r="4875" spans="1:38" x14ac:dyDescent="0.2">
      <c r="A4875" s="2" t="str">
        <f>HYPERLINK("https://www.compass.com/listing/16-west-40th-street-unit-19c-manhattan-ny-10018/29514373160631793/","16 W 40th St, Unit 19C")</f>
        <v>16 W 40th St, Unit 19C</v>
      </c>
      <c r="B4875" s="2" t="str">
        <f t="shared" ref="B4875:B4876" si="826">HYPERLINK("https://www.compass.com/building/the-bryant-manhattan-ny/281942863485395813/","The Bryant")</f>
        <v>The Bryant</v>
      </c>
      <c r="C4875" s="1" t="s">
        <v>126</v>
      </c>
      <c r="D4875" s="1" t="s">
        <v>41</v>
      </c>
      <c r="E4875" s="3">
        <v>3075000</v>
      </c>
      <c r="F4875" s="1">
        <v>2313.7697516930002</v>
      </c>
      <c r="G4875" s="1">
        <v>4</v>
      </c>
      <c r="H4875" s="1">
        <v>2</v>
      </c>
      <c r="I4875" s="1">
        <v>3</v>
      </c>
      <c r="J4875" s="1">
        <v>2.5</v>
      </c>
      <c r="K4875" s="1">
        <v>2</v>
      </c>
      <c r="L4875" s="1">
        <v>1</v>
      </c>
      <c r="M4875" s="4">
        <v>1329</v>
      </c>
      <c r="N4875" s="1">
        <v>2312</v>
      </c>
      <c r="O4875" s="1">
        <v>4305</v>
      </c>
      <c r="P4875" s="1">
        <v>1993</v>
      </c>
      <c r="Q4875" s="1" t="s">
        <v>42</v>
      </c>
      <c r="S4875" s="1" t="s">
        <v>42</v>
      </c>
      <c r="T4875" s="1" t="s">
        <v>273</v>
      </c>
      <c r="U4875" s="1">
        <v>6</v>
      </c>
      <c r="V4875" s="5">
        <v>43648</v>
      </c>
      <c r="W4875" s="5">
        <v>42389</v>
      </c>
      <c r="X4875" s="1">
        <v>3100000</v>
      </c>
      <c r="Y4875" s="1">
        <v>3100000</v>
      </c>
      <c r="Z4875" s="5">
        <v>42395</v>
      </c>
      <c r="AA4875" s="1">
        <v>3075000</v>
      </c>
      <c r="AB4875" s="1" t="s">
        <v>3426</v>
      </c>
      <c r="AC4875" s="5">
        <v>43438</v>
      </c>
      <c r="AF4875" s="1">
        <v>10018</v>
      </c>
      <c r="AI4875" s="1" t="s">
        <v>58</v>
      </c>
      <c r="AJ4875" s="1">
        <v>2017</v>
      </c>
      <c r="AK4875" s="1" t="s">
        <v>46</v>
      </c>
      <c r="AL4875" s="1">
        <v>57</v>
      </c>
    </row>
    <row r="4876" spans="1:38" x14ac:dyDescent="0.2">
      <c r="A4876" s="2" t="str">
        <f>HYPERLINK("https://www.compass.com/listing/16-west-40th-street-unit-22c-manhattan-ny-10018/29514376289486305/","16 W 40th St, Unit 22C")</f>
        <v>16 W 40th St, Unit 22C</v>
      </c>
      <c r="B4876" s="2" t="str">
        <f t="shared" si="826"/>
        <v>The Bryant</v>
      </c>
      <c r="C4876" s="1" t="s">
        <v>126</v>
      </c>
      <c r="D4876" s="1" t="s">
        <v>41</v>
      </c>
      <c r="E4876" s="3">
        <v>3386000</v>
      </c>
      <c r="F4876" s="1">
        <v>2547.7802859292701</v>
      </c>
      <c r="G4876" s="1">
        <v>3</v>
      </c>
      <c r="H4876" s="1">
        <v>2</v>
      </c>
      <c r="I4876" s="1">
        <v>2</v>
      </c>
      <c r="J4876" s="1">
        <v>2.5</v>
      </c>
      <c r="K4876" s="1">
        <v>2</v>
      </c>
      <c r="L4876" s="1">
        <v>1</v>
      </c>
      <c r="M4876" s="4">
        <v>1329</v>
      </c>
      <c r="N4876" s="1">
        <v>2346</v>
      </c>
      <c r="O4876" s="1">
        <v>4368</v>
      </c>
      <c r="P4876" s="1">
        <v>2022</v>
      </c>
      <c r="Q4876" s="1" t="s">
        <v>42</v>
      </c>
      <c r="S4876" s="1" t="s">
        <v>42</v>
      </c>
      <c r="T4876" s="1" t="s">
        <v>273</v>
      </c>
      <c r="U4876" s="1">
        <v>183</v>
      </c>
      <c r="V4876" s="5">
        <v>43633</v>
      </c>
      <c r="W4876" s="5">
        <v>42473</v>
      </c>
      <c r="X4876" s="1">
        <v>3510000</v>
      </c>
      <c r="Y4876" s="1">
        <v>3510000</v>
      </c>
      <c r="Z4876" s="5">
        <v>42656</v>
      </c>
      <c r="AA4876" s="1">
        <v>3386000</v>
      </c>
      <c r="AB4876" s="1" t="s">
        <v>3427</v>
      </c>
      <c r="AC4876" s="5">
        <v>43355</v>
      </c>
      <c r="AF4876" s="1">
        <v>10018</v>
      </c>
      <c r="AI4876" s="1" t="s">
        <v>58</v>
      </c>
      <c r="AJ4876" s="1">
        <v>2017</v>
      </c>
      <c r="AK4876" s="1" t="s">
        <v>46</v>
      </c>
      <c r="AL4876" s="1">
        <v>57</v>
      </c>
    </row>
    <row r="4877" spans="1:38" x14ac:dyDescent="0.2">
      <c r="A4877" s="2" t="str">
        <f>HYPERLINK("https://www.compass.com/listing/325-lexington-avenue-unit-pha-manhattan-ny-10016/29379739399568209/","325 Lexington Ave, Unit PHA")</f>
        <v>325 Lexington Ave, Unit PHA</v>
      </c>
      <c r="B4877" s="2" t="str">
        <f>HYPERLINK("https://www.compass.com/building/325-lex-condominium-manhattan-ny/281939882467713365/","325 Lex Condominium")</f>
        <v>325 Lex Condominium</v>
      </c>
      <c r="C4877" s="1" t="s">
        <v>59</v>
      </c>
      <c r="D4877" s="1" t="s">
        <v>41</v>
      </c>
      <c r="E4877" s="3">
        <v>7514685</v>
      </c>
      <c r="F4877" s="1">
        <v>2971.4056939501702</v>
      </c>
      <c r="G4877" s="1">
        <v>5</v>
      </c>
      <c r="H4877" s="1">
        <v>3</v>
      </c>
      <c r="I4877" s="1">
        <v>3</v>
      </c>
      <c r="J4877" s="1">
        <v>3</v>
      </c>
      <c r="K4877" s="1">
        <v>3</v>
      </c>
      <c r="M4877" s="4">
        <v>2529</v>
      </c>
      <c r="N4877" s="1">
        <v>4160</v>
      </c>
      <c r="O4877" s="1">
        <v>5066</v>
      </c>
      <c r="P4877" s="1">
        <v>906</v>
      </c>
      <c r="Q4877" s="1" t="s">
        <v>42</v>
      </c>
      <c r="S4877" s="1" t="s">
        <v>42</v>
      </c>
      <c r="T4877" s="1" t="s">
        <v>273</v>
      </c>
      <c r="U4877" s="1">
        <v>33</v>
      </c>
      <c r="V4877" s="5">
        <v>43654</v>
      </c>
      <c r="W4877" s="5">
        <v>41921</v>
      </c>
      <c r="X4877" s="1">
        <v>7000000</v>
      </c>
      <c r="Y4877" s="1">
        <v>8250000</v>
      </c>
      <c r="Z4877" s="5">
        <v>41954</v>
      </c>
      <c r="AA4877" s="1">
        <v>7514685</v>
      </c>
      <c r="AB4877" s="1" t="s">
        <v>3428</v>
      </c>
      <c r="AC4877" s="5">
        <v>42047</v>
      </c>
      <c r="AF4877" s="1">
        <v>10016</v>
      </c>
      <c r="AI4877" s="1" t="s">
        <v>2883</v>
      </c>
      <c r="AJ4877" s="1">
        <v>2014</v>
      </c>
      <c r="AK4877" s="1" t="s">
        <v>108</v>
      </c>
      <c r="AL4877" s="1">
        <v>125</v>
      </c>
    </row>
    <row r="4878" spans="1:38" x14ac:dyDescent="0.2">
      <c r="A4878" s="2" t="str">
        <f>HYPERLINK("https://www.compass.com/listing/53-west-53rd-street-unit-72a-manhattan-ny-10019/222965262205405729/","53 W 53rd St, Unit 72A")</f>
        <v>53 W 53rd St, Unit 72A</v>
      </c>
      <c r="B4878" s="2" t="str">
        <f>HYPERLINK("https://www.compass.com/building/53-west-53-manhattan-ny/281946357818781477/","53 West 53")</f>
        <v>53 West 53</v>
      </c>
      <c r="C4878" s="1" t="s">
        <v>139</v>
      </c>
      <c r="D4878" s="1" t="s">
        <v>41</v>
      </c>
      <c r="E4878" s="3">
        <v>29939550</v>
      </c>
      <c r="F4878" s="1">
        <v>6863.72077028885</v>
      </c>
      <c r="G4878" s="1">
        <v>5</v>
      </c>
      <c r="H4878" s="1">
        <v>3</v>
      </c>
      <c r="I4878" s="1">
        <v>4</v>
      </c>
      <c r="J4878" s="1">
        <v>3.5</v>
      </c>
      <c r="K4878" s="1">
        <v>3</v>
      </c>
      <c r="L4878" s="1">
        <v>1</v>
      </c>
      <c r="M4878" s="4">
        <v>4362</v>
      </c>
      <c r="N4878" s="1">
        <v>11300</v>
      </c>
      <c r="O4878" s="1">
        <v>15997</v>
      </c>
      <c r="P4878" s="1">
        <v>4697</v>
      </c>
      <c r="Q4878" s="1" t="s">
        <v>42</v>
      </c>
      <c r="S4878" s="1" t="s">
        <v>42</v>
      </c>
      <c r="T4878" s="1" t="s">
        <v>273</v>
      </c>
      <c r="V4878" s="5">
        <v>44075</v>
      </c>
      <c r="W4878" s="5">
        <v>43559</v>
      </c>
      <c r="X4878" s="1">
        <v>33575000</v>
      </c>
      <c r="Y4878" s="1">
        <v>33575000</v>
      </c>
      <c r="Z4878" s="5">
        <v>43559</v>
      </c>
      <c r="AA4878" s="1">
        <v>29939550</v>
      </c>
      <c r="AB4878" s="1" t="s">
        <v>3429</v>
      </c>
      <c r="AC4878" s="5">
        <v>44074</v>
      </c>
      <c r="AF4878" s="1">
        <v>10019</v>
      </c>
      <c r="AJ4878" s="1">
        <v>2018</v>
      </c>
      <c r="AK4878" s="1" t="s">
        <v>46</v>
      </c>
      <c r="AL4878" s="1">
        <v>145</v>
      </c>
    </row>
    <row r="4879" spans="1:38" x14ac:dyDescent="0.2">
      <c r="A4879" s="2" t="str">
        <f>HYPERLINK("https://www.compass.com/listing/16-west-40th-street-unit-21a-manhattan-ny-10018/29026655339143361/","16 W 40th St, Unit 21A")</f>
        <v>16 W 40th St, Unit 21A</v>
      </c>
      <c r="B4879" s="2" t="str">
        <f t="shared" ref="B4879:B4884" si="827">HYPERLINK("https://www.compass.com/building/the-bryant-manhattan-ny/281942863485395813/","The Bryant")</f>
        <v>The Bryant</v>
      </c>
      <c r="C4879" s="1" t="s">
        <v>126</v>
      </c>
      <c r="D4879" s="1" t="s">
        <v>41</v>
      </c>
      <c r="E4879" s="3">
        <v>3950000</v>
      </c>
      <c r="F4879" s="1">
        <v>2839.6836808051698</v>
      </c>
      <c r="G4879" s="1">
        <v>3.5</v>
      </c>
      <c r="H4879" s="1">
        <v>2</v>
      </c>
      <c r="I4879" s="1">
        <v>2</v>
      </c>
      <c r="J4879" s="1">
        <v>2.5</v>
      </c>
      <c r="K4879" s="1">
        <v>2</v>
      </c>
      <c r="L4879" s="1">
        <v>1</v>
      </c>
      <c r="M4879" s="4">
        <v>1391</v>
      </c>
      <c r="N4879" s="1">
        <v>2444</v>
      </c>
      <c r="O4879" s="1">
        <v>4550</v>
      </c>
      <c r="P4879" s="1">
        <v>2106</v>
      </c>
      <c r="Q4879" s="1" t="s">
        <v>42</v>
      </c>
      <c r="S4879" s="1" t="s">
        <v>42</v>
      </c>
      <c r="T4879" s="1" t="s">
        <v>273</v>
      </c>
      <c r="V4879" s="5">
        <v>43642</v>
      </c>
      <c r="W4879" s="5">
        <v>42824</v>
      </c>
      <c r="X4879" s="1">
        <v>4120000</v>
      </c>
      <c r="Y4879" s="1">
        <v>4120000</v>
      </c>
      <c r="Z4879" s="5">
        <v>42824</v>
      </c>
      <c r="AA4879" s="1">
        <v>3950000</v>
      </c>
      <c r="AB4879" s="1" t="s">
        <v>3430</v>
      </c>
      <c r="AC4879" s="5">
        <v>43280</v>
      </c>
      <c r="AF4879" s="1">
        <v>10018</v>
      </c>
      <c r="AI4879" s="1" t="s">
        <v>58</v>
      </c>
      <c r="AJ4879" s="1">
        <v>2017</v>
      </c>
      <c r="AK4879" s="1" t="s">
        <v>46</v>
      </c>
      <c r="AL4879" s="1">
        <v>57</v>
      </c>
    </row>
    <row r="4880" spans="1:38" x14ac:dyDescent="0.2">
      <c r="A4880" s="2" t="str">
        <f>HYPERLINK("https://www.compass.com/listing/16-west-40th-street-unit-16a-manhattan-ny-10018/29375080861535969/","16 W 40th St, Unit 16A")</f>
        <v>16 W 40th St, Unit 16A</v>
      </c>
      <c r="B4880" s="2" t="str">
        <f t="shared" si="827"/>
        <v>The Bryant</v>
      </c>
      <c r="C4880" s="1" t="s">
        <v>126</v>
      </c>
      <c r="D4880" s="1" t="s">
        <v>41</v>
      </c>
      <c r="E4880" s="3">
        <v>3700000</v>
      </c>
      <c r="F4880" s="1">
        <v>2665.7060518731901</v>
      </c>
      <c r="G4880" s="1">
        <v>3</v>
      </c>
      <c r="H4880" s="1">
        <v>2</v>
      </c>
      <c r="I4880" s="1">
        <v>2</v>
      </c>
      <c r="J4880" s="1">
        <v>2.5</v>
      </c>
      <c r="K4880" s="1">
        <v>2</v>
      </c>
      <c r="L4880" s="1">
        <v>1</v>
      </c>
      <c r="M4880" s="4">
        <v>1388</v>
      </c>
      <c r="N4880" s="1">
        <v>2379</v>
      </c>
      <c r="O4880" s="1">
        <v>4430</v>
      </c>
      <c r="P4880" s="1">
        <v>2051</v>
      </c>
      <c r="Q4880" s="1" t="s">
        <v>42</v>
      </c>
      <c r="S4880" s="1" t="s">
        <v>42</v>
      </c>
      <c r="T4880" s="1" t="s">
        <v>273</v>
      </c>
      <c r="U4880" s="1">
        <v>149</v>
      </c>
      <c r="V4880" s="5">
        <v>43633</v>
      </c>
      <c r="W4880" s="5">
        <v>42402</v>
      </c>
      <c r="X4880" s="1">
        <v>3820000</v>
      </c>
      <c r="Y4880" s="1">
        <v>3820000</v>
      </c>
      <c r="Z4880" s="5">
        <v>42551</v>
      </c>
      <c r="AA4880" s="1">
        <v>3700000</v>
      </c>
      <c r="AB4880" s="1" t="s">
        <v>3431</v>
      </c>
      <c r="AC4880" s="5">
        <v>43059</v>
      </c>
      <c r="AF4880" s="1">
        <v>10018</v>
      </c>
      <c r="AI4880" s="1" t="s">
        <v>58</v>
      </c>
      <c r="AJ4880" s="1">
        <v>2017</v>
      </c>
      <c r="AK4880" s="1" t="s">
        <v>46</v>
      </c>
      <c r="AL4880" s="1">
        <v>57</v>
      </c>
    </row>
    <row r="4881" spans="1:38" x14ac:dyDescent="0.2">
      <c r="A4881" s="2" t="str">
        <f>HYPERLINK("https://www.compass.com/listing/16-west-40th-street-unit-19a-manhattan-ny-10018/29375083998951201/","16 W 40th St, Unit 19A")</f>
        <v>16 W 40th St, Unit 19A</v>
      </c>
      <c r="B4881" s="2" t="str">
        <f t="shared" si="827"/>
        <v>The Bryant</v>
      </c>
      <c r="C4881" s="1" t="s">
        <v>126</v>
      </c>
      <c r="D4881" s="1" t="s">
        <v>41</v>
      </c>
      <c r="E4881" s="3">
        <v>3800000</v>
      </c>
      <c r="F4881" s="1">
        <v>2731.8475916606699</v>
      </c>
      <c r="G4881" s="1">
        <v>3.5</v>
      </c>
      <c r="H4881" s="1">
        <v>2</v>
      </c>
      <c r="I4881" s="1">
        <v>2</v>
      </c>
      <c r="J4881" s="1">
        <v>2.5</v>
      </c>
      <c r="K4881" s="1">
        <v>2</v>
      </c>
      <c r="L4881" s="1">
        <v>1</v>
      </c>
      <c r="M4881" s="4">
        <v>1391</v>
      </c>
      <c r="N4881" s="1">
        <v>2420</v>
      </c>
      <c r="O4881" s="1">
        <v>4506</v>
      </c>
      <c r="P4881" s="1">
        <v>2086</v>
      </c>
      <c r="Q4881" s="1" t="s">
        <v>42</v>
      </c>
      <c r="S4881" s="1" t="s">
        <v>42</v>
      </c>
      <c r="T4881" s="1" t="s">
        <v>273</v>
      </c>
      <c r="U4881" s="1">
        <v>15</v>
      </c>
      <c r="V4881" s="5">
        <v>43631</v>
      </c>
      <c r="W4881" s="5">
        <v>43158</v>
      </c>
      <c r="X4881" s="1">
        <v>4000000</v>
      </c>
      <c r="Y4881" s="1">
        <v>4000000</v>
      </c>
      <c r="Z4881" s="5">
        <v>43173</v>
      </c>
      <c r="AA4881" s="1">
        <v>3800000</v>
      </c>
      <c r="AB4881" s="1" t="s">
        <v>3432</v>
      </c>
      <c r="AC4881" s="5">
        <v>43217</v>
      </c>
      <c r="AF4881" s="1">
        <v>10018</v>
      </c>
      <c r="AI4881" s="1" t="s">
        <v>58</v>
      </c>
      <c r="AJ4881" s="1">
        <v>2017</v>
      </c>
      <c r="AK4881" s="1" t="s">
        <v>46</v>
      </c>
      <c r="AL4881" s="1">
        <v>57</v>
      </c>
    </row>
    <row r="4882" spans="1:38" x14ac:dyDescent="0.2">
      <c r="A4882" s="2" t="str">
        <f>HYPERLINK("https://www.compass.com/listing/16-west-40th-street-unit-20a-manhattan-ny-10018/29375085248853809/","16 W 40th St, Unit 20A")</f>
        <v>16 W 40th St, Unit 20A</v>
      </c>
      <c r="B4882" s="2" t="str">
        <f t="shared" si="827"/>
        <v>The Bryant</v>
      </c>
      <c r="C4882" s="1" t="s">
        <v>126</v>
      </c>
      <c r="D4882" s="1" t="s">
        <v>41</v>
      </c>
      <c r="E4882" s="3">
        <v>3925000</v>
      </c>
      <c r="F4882" s="1">
        <v>2821.7109992810902</v>
      </c>
      <c r="G4882" s="1">
        <v>3</v>
      </c>
      <c r="H4882" s="1">
        <v>2</v>
      </c>
      <c r="I4882" s="1">
        <v>2</v>
      </c>
      <c r="J4882" s="1">
        <v>2.5</v>
      </c>
      <c r="K4882" s="1">
        <v>2</v>
      </c>
      <c r="L4882" s="1">
        <v>1</v>
      </c>
      <c r="M4882" s="4">
        <v>1391</v>
      </c>
      <c r="N4882" s="1">
        <v>2432</v>
      </c>
      <c r="O4882" s="1">
        <v>4528</v>
      </c>
      <c r="P4882" s="1">
        <v>2096</v>
      </c>
      <c r="Q4882" s="1" t="s">
        <v>42</v>
      </c>
      <c r="S4882" s="1" t="s">
        <v>42</v>
      </c>
      <c r="T4882" s="1" t="s">
        <v>273</v>
      </c>
      <c r="U4882" s="1">
        <v>111</v>
      </c>
      <c r="V4882" s="5">
        <v>43633</v>
      </c>
      <c r="W4882" s="5">
        <v>42881</v>
      </c>
      <c r="X4882" s="1">
        <v>4060000</v>
      </c>
      <c r="Y4882" s="1">
        <v>4060000</v>
      </c>
      <c r="Z4882" s="5">
        <v>42992</v>
      </c>
      <c r="AA4882" s="1">
        <v>3925000</v>
      </c>
      <c r="AB4882" s="1" t="s">
        <v>3433</v>
      </c>
      <c r="AC4882" s="5">
        <v>43164</v>
      </c>
      <c r="AF4882" s="1">
        <v>10018</v>
      </c>
      <c r="AI4882" s="1" t="s">
        <v>58</v>
      </c>
      <c r="AJ4882" s="1">
        <v>2017</v>
      </c>
      <c r="AK4882" s="1" t="s">
        <v>46</v>
      </c>
      <c r="AL4882" s="1">
        <v>57</v>
      </c>
    </row>
    <row r="4883" spans="1:38" x14ac:dyDescent="0.2">
      <c r="A4883" s="2" t="str">
        <f>HYPERLINK("https://www.compass.com/listing/16-west-40th-street-unit-23a-manhattan-ny-10018/29375086809059137/","16 W 40th St, Unit 23A")</f>
        <v>16 W 40th St, Unit 23A</v>
      </c>
      <c r="B4883" s="2" t="str">
        <f t="shared" si="827"/>
        <v>The Bryant</v>
      </c>
      <c r="C4883" s="1" t="s">
        <v>126</v>
      </c>
      <c r="D4883" s="1" t="s">
        <v>41</v>
      </c>
      <c r="E4883" s="3">
        <v>4209446</v>
      </c>
      <c r="F4883" s="1">
        <v>3026.2012940330601</v>
      </c>
      <c r="G4883" s="1">
        <v>3</v>
      </c>
      <c r="H4883" s="1">
        <v>2</v>
      </c>
      <c r="I4883" s="1">
        <v>2</v>
      </c>
      <c r="J4883" s="1">
        <v>2.5</v>
      </c>
      <c r="K4883" s="1">
        <v>2</v>
      </c>
      <c r="L4883" s="1">
        <v>1</v>
      </c>
      <c r="M4883" s="4">
        <v>1391</v>
      </c>
      <c r="N4883" s="1">
        <v>2467</v>
      </c>
      <c r="O4883" s="1">
        <v>4594</v>
      </c>
      <c r="P4883" s="1">
        <v>2127</v>
      </c>
      <c r="Q4883" s="1" t="s">
        <v>42</v>
      </c>
      <c r="S4883" s="1" t="s">
        <v>42</v>
      </c>
      <c r="T4883" s="1" t="s">
        <v>273</v>
      </c>
      <c r="U4883" s="1">
        <v>7</v>
      </c>
      <c r="V4883" s="5">
        <v>43633</v>
      </c>
      <c r="W4883" s="5">
        <v>42398</v>
      </c>
      <c r="X4883" s="1">
        <v>4240000</v>
      </c>
      <c r="Y4883" s="1">
        <v>4240000</v>
      </c>
      <c r="Z4883" s="5">
        <v>42405</v>
      </c>
      <c r="AA4883" s="1">
        <v>4209446</v>
      </c>
      <c r="AB4883" s="1" t="s">
        <v>3434</v>
      </c>
      <c r="AC4883" s="5">
        <v>43274</v>
      </c>
      <c r="AF4883" s="1">
        <v>10018</v>
      </c>
      <c r="AI4883" s="1" t="s">
        <v>3330</v>
      </c>
      <c r="AJ4883" s="1">
        <v>2017</v>
      </c>
      <c r="AK4883" s="1" t="s">
        <v>46</v>
      </c>
      <c r="AL4883" s="1">
        <v>57</v>
      </c>
    </row>
    <row r="4884" spans="1:38" x14ac:dyDescent="0.2">
      <c r="A4884" s="2" t="str">
        <f>HYPERLINK("https://www.compass.com/listing/16-west-40th-street-unit-18a-manhattan-ny-10018/29375083168403201/","16 W 40th St, Unit 18A")</f>
        <v>16 W 40th St, Unit 18A</v>
      </c>
      <c r="B4884" s="2" t="str">
        <f t="shared" si="827"/>
        <v>The Bryant</v>
      </c>
      <c r="C4884" s="1" t="s">
        <v>126</v>
      </c>
      <c r="D4884" s="1" t="s">
        <v>41</v>
      </c>
      <c r="E4884" s="3">
        <v>3810000</v>
      </c>
      <c r="F4884" s="1">
        <v>2739.0366642703002</v>
      </c>
      <c r="G4884" s="1">
        <v>3</v>
      </c>
      <c r="H4884" s="1">
        <v>2</v>
      </c>
      <c r="I4884" s="1">
        <v>2</v>
      </c>
      <c r="J4884" s="1">
        <v>2.5</v>
      </c>
      <c r="K4884" s="1">
        <v>2</v>
      </c>
      <c r="L4884" s="1">
        <v>1</v>
      </c>
      <c r="M4884" s="4">
        <v>1391</v>
      </c>
      <c r="N4884" s="1">
        <v>2408</v>
      </c>
      <c r="O4884" s="1">
        <v>4484</v>
      </c>
      <c r="P4884" s="1">
        <v>2076</v>
      </c>
      <c r="Q4884" s="1" t="s">
        <v>42</v>
      </c>
      <c r="S4884" s="1" t="s">
        <v>42</v>
      </c>
      <c r="T4884" s="1" t="s">
        <v>273</v>
      </c>
      <c r="U4884" s="1">
        <v>100</v>
      </c>
      <c r="V4884" s="5">
        <v>43633</v>
      </c>
      <c r="W4884" s="5">
        <v>42551</v>
      </c>
      <c r="X4884" s="1">
        <v>3940000</v>
      </c>
      <c r="Y4884" s="1">
        <v>3940000</v>
      </c>
      <c r="Z4884" s="5">
        <v>42651</v>
      </c>
      <c r="AA4884" s="1">
        <v>3810000</v>
      </c>
      <c r="AB4884" s="1" t="s">
        <v>3435</v>
      </c>
      <c r="AC4884" s="5">
        <v>43252</v>
      </c>
      <c r="AF4884" s="1">
        <v>10018</v>
      </c>
      <c r="AI4884" s="1" t="s">
        <v>58</v>
      </c>
      <c r="AJ4884" s="1">
        <v>2017</v>
      </c>
      <c r="AK4884" s="1" t="s">
        <v>46</v>
      </c>
      <c r="AL4884" s="1">
        <v>57</v>
      </c>
    </row>
    <row r="4885" spans="1:38" x14ac:dyDescent="0.2">
      <c r="A4885" s="2" t="str">
        <f>HYPERLINK("https://www.compass.com/listing/217-west-57th-street-unit-34c-manhattan-ny-10019/633436016688371969/","217 W 57th St, Unit 34C")</f>
        <v>217 W 57th St, Unit 34C</v>
      </c>
      <c r="B4885" s="2" t="str">
        <f>HYPERLINK("https://www.compass.com/building/central-park-tower-manhattan-ny/292845475244082085/","Central Park Tower")</f>
        <v>Central Park Tower</v>
      </c>
      <c r="C4885" s="1" t="s">
        <v>139</v>
      </c>
      <c r="D4885" s="1" t="s">
        <v>41</v>
      </c>
      <c r="E4885" s="3">
        <v>11232500</v>
      </c>
      <c r="F4885" s="1">
        <v>4503.8091419406501</v>
      </c>
      <c r="G4885" s="1">
        <v>5.5</v>
      </c>
      <c r="H4885" s="1">
        <v>3</v>
      </c>
      <c r="I4885" s="1">
        <v>4</v>
      </c>
      <c r="J4885" s="1">
        <v>3.5</v>
      </c>
      <c r="K4885" s="1">
        <v>3</v>
      </c>
      <c r="L4885" s="1">
        <v>1</v>
      </c>
      <c r="M4885" s="4">
        <v>2494</v>
      </c>
      <c r="N4885" s="1">
        <v>3153</v>
      </c>
      <c r="O4885" s="1">
        <v>8996</v>
      </c>
      <c r="P4885" s="1">
        <v>5843</v>
      </c>
      <c r="Q4885" s="1" t="s">
        <v>42</v>
      </c>
      <c r="S4885" s="1" t="s">
        <v>42</v>
      </c>
      <c r="T4885" s="1" t="s">
        <v>273</v>
      </c>
      <c r="U4885" s="1">
        <v>191</v>
      </c>
      <c r="V4885" s="5">
        <v>44420</v>
      </c>
      <c r="W4885" s="5">
        <v>44125</v>
      </c>
      <c r="X4885" s="1">
        <v>12900000</v>
      </c>
      <c r="Y4885" s="1">
        <v>12900000</v>
      </c>
      <c r="AA4885" s="1">
        <v>11232500</v>
      </c>
      <c r="AB4885" s="1" t="s">
        <v>3436</v>
      </c>
      <c r="AC4885" s="5">
        <v>44364</v>
      </c>
      <c r="AF4885" s="1">
        <v>10019</v>
      </c>
      <c r="AI4885" s="1" t="s">
        <v>140</v>
      </c>
      <c r="AJ4885" s="1">
        <v>2020</v>
      </c>
      <c r="AK4885" s="1" t="s">
        <v>108</v>
      </c>
      <c r="AL4885" s="1">
        <v>179</v>
      </c>
    </row>
    <row r="4886" spans="1:38" x14ac:dyDescent="0.2">
      <c r="A4886" s="2" t="str">
        <f>HYPERLINK("https://www.compass.com/listing/2231-adam-clayton-powell-jr-boulevard-unit-513-manhattan-ny-10027/192575562831684977/","2231 Adam Clayton Powell Jr Blvd, Unit 513")</f>
        <v>2231 Adam Clayton Powell Jr Blvd, Unit 513</v>
      </c>
      <c r="B4886" s="2" t="str">
        <f t="shared" ref="B4886:B4887" si="828">HYPERLINK("https://www.compass.com/building/the-aurum-manhattan-ny/307451641162444869/","The Aurum")</f>
        <v>The Aurum</v>
      </c>
      <c r="C4886" s="1" t="s">
        <v>85</v>
      </c>
      <c r="D4886" s="1" t="s">
        <v>41</v>
      </c>
      <c r="E4886" s="3">
        <v>558001</v>
      </c>
      <c r="F4886" s="1">
        <v>1109.3459244532801</v>
      </c>
      <c r="G4886" s="1">
        <v>2.5</v>
      </c>
      <c r="H4886" s="1" t="s">
        <v>153</v>
      </c>
      <c r="I4886" s="1">
        <v>1</v>
      </c>
      <c r="J4886" s="1">
        <v>1</v>
      </c>
      <c r="M4886" s="1">
        <v>503</v>
      </c>
      <c r="N4886" s="1">
        <v>480</v>
      </c>
      <c r="O4886" s="1">
        <v>569</v>
      </c>
      <c r="P4886" s="1">
        <v>89</v>
      </c>
      <c r="Q4886" s="1" t="s">
        <v>42</v>
      </c>
      <c r="S4886" s="1" t="s">
        <v>42</v>
      </c>
      <c r="T4886" s="1" t="s">
        <v>273</v>
      </c>
      <c r="V4886" s="5">
        <v>43666</v>
      </c>
      <c r="W4886" s="5">
        <v>42599</v>
      </c>
      <c r="X4886" s="1">
        <v>548000</v>
      </c>
      <c r="Y4886" s="1">
        <v>548000</v>
      </c>
      <c r="Z4886" s="5">
        <v>42599</v>
      </c>
      <c r="AA4886" s="1">
        <v>558001</v>
      </c>
      <c r="AB4886" s="1" t="s">
        <v>275</v>
      </c>
      <c r="AC4886" s="5">
        <v>42808</v>
      </c>
      <c r="AF4886" s="1">
        <v>10027</v>
      </c>
      <c r="AI4886" s="1" t="s">
        <v>52</v>
      </c>
      <c r="AJ4886" s="1">
        <v>2016</v>
      </c>
      <c r="AK4886" s="1" t="s">
        <v>108</v>
      </c>
      <c r="AL4886" s="1">
        <v>115</v>
      </c>
    </row>
    <row r="4887" spans="1:38" x14ac:dyDescent="0.2">
      <c r="A4887" s="2" t="str">
        <f>HYPERLINK("https://www.compass.com/listing/2231-adam-clayton-powell-jr-boulevard-unit-314-manhattan-ny-10027/192575570507264033/","2231 Adam Clayton Powell Jr Blvd, Unit 314")</f>
        <v>2231 Adam Clayton Powell Jr Blvd, Unit 314</v>
      </c>
      <c r="B4887" s="2" t="str">
        <f t="shared" si="828"/>
        <v>The Aurum</v>
      </c>
      <c r="C4887" s="1" t="s">
        <v>85</v>
      </c>
      <c r="D4887" s="1" t="s">
        <v>41</v>
      </c>
      <c r="E4887" s="3">
        <v>632000</v>
      </c>
      <c r="F4887" s="1">
        <v>982.89269051321901</v>
      </c>
      <c r="G4887" s="1">
        <v>3</v>
      </c>
      <c r="H4887" s="1">
        <v>1</v>
      </c>
      <c r="I4887" s="1">
        <v>1</v>
      </c>
      <c r="J4887" s="1">
        <v>1</v>
      </c>
      <c r="M4887" s="1">
        <v>643</v>
      </c>
      <c r="N4887" s="1">
        <v>619</v>
      </c>
      <c r="O4887" s="1">
        <v>734</v>
      </c>
      <c r="P4887" s="1">
        <v>115</v>
      </c>
      <c r="Q4887" s="1" t="s">
        <v>42</v>
      </c>
      <c r="S4887" s="1" t="s">
        <v>42</v>
      </c>
      <c r="T4887" s="1" t="s">
        <v>273</v>
      </c>
      <c r="V4887" s="5">
        <v>43668</v>
      </c>
      <c r="W4887" s="5">
        <v>42486</v>
      </c>
      <c r="X4887" s="1">
        <v>634000</v>
      </c>
      <c r="Y4887" s="1">
        <v>634000</v>
      </c>
      <c r="Z4887" s="5">
        <v>42486</v>
      </c>
      <c r="AA4887" s="1">
        <v>632000</v>
      </c>
      <c r="AB4887" s="1" t="s">
        <v>275</v>
      </c>
      <c r="AC4887" s="5">
        <v>42762</v>
      </c>
      <c r="AF4887" s="1">
        <v>10027</v>
      </c>
      <c r="AI4887" s="1" t="s">
        <v>52</v>
      </c>
      <c r="AJ4887" s="1">
        <v>2016</v>
      </c>
      <c r="AK4887" s="1" t="s">
        <v>108</v>
      </c>
      <c r="AL4887" s="1">
        <v>115</v>
      </c>
    </row>
    <row r="4888" spans="1:38" x14ac:dyDescent="0.2">
      <c r="A4888" s="2" t="str">
        <f>HYPERLINK("https://www.compass.com/listing/325-lexington-avenue-unit-9a-manhattan-ny-10016/803351604682275185/","325 Lexington Ave, Unit 9A")</f>
        <v>325 Lexington Ave, Unit 9A</v>
      </c>
      <c r="B4888" s="2" t="str">
        <f>HYPERLINK("https://www.compass.com/building/325-lex-condominium-manhattan-ny/281939882467713365/","325 Lex Condominium")</f>
        <v>325 Lex Condominium</v>
      </c>
      <c r="C4888" s="1" t="s">
        <v>59</v>
      </c>
      <c r="D4888" s="1" t="s">
        <v>41</v>
      </c>
      <c r="E4888" s="3">
        <v>2698363</v>
      </c>
      <c r="F4888" s="1">
        <v>2176.09879032258</v>
      </c>
      <c r="G4888" s="1">
        <v>4</v>
      </c>
      <c r="H4888" s="1">
        <v>2</v>
      </c>
      <c r="I4888" s="1">
        <v>2</v>
      </c>
      <c r="J4888" s="1">
        <v>2</v>
      </c>
      <c r="K4888" s="1">
        <v>2</v>
      </c>
      <c r="M4888" s="4">
        <v>1240</v>
      </c>
      <c r="Q4888" s="1" t="s">
        <v>42</v>
      </c>
      <c r="S4888" s="1" t="s">
        <v>42</v>
      </c>
      <c r="T4888" s="1" t="s">
        <v>273</v>
      </c>
      <c r="U4888" s="1">
        <v>146</v>
      </c>
      <c r="V4888" s="5">
        <v>42993</v>
      </c>
      <c r="W4888" s="5">
        <v>41964</v>
      </c>
      <c r="AA4888" s="1">
        <v>2698362.5</v>
      </c>
      <c r="AB4888" s="1" t="s">
        <v>3389</v>
      </c>
      <c r="AC4888" s="5">
        <v>42184</v>
      </c>
      <c r="AF4888" s="1">
        <v>10016</v>
      </c>
      <c r="AI4888" s="1" t="s">
        <v>2087</v>
      </c>
      <c r="AJ4888" s="1">
        <v>2014</v>
      </c>
      <c r="AK4888" s="1" t="s">
        <v>108</v>
      </c>
      <c r="AL4888" s="1">
        <v>125</v>
      </c>
    </row>
    <row r="4889" spans="1:38" x14ac:dyDescent="0.2">
      <c r="A4889" s="2" t="str">
        <f>HYPERLINK("https://www.compass.com/listing/2231-adam-clayton-powell-jr-boulevard-unit-319-manhattan-ny-10027/4852276211516191009/","2231 Adam Clayton Powell Jr Blvd, Unit 319")</f>
        <v>2231 Adam Clayton Powell Jr Blvd, Unit 319</v>
      </c>
      <c r="B4889" s="2" t="str">
        <f>HYPERLINK("https://www.compass.com/building/the-aurum-manhattan-ny/307451641162444869/","The Aurum")</f>
        <v>The Aurum</v>
      </c>
      <c r="C4889" s="1" t="s">
        <v>85</v>
      </c>
      <c r="D4889" s="1" t="s">
        <v>41</v>
      </c>
      <c r="E4889" s="3">
        <v>770815</v>
      </c>
      <c r="F4889" s="1">
        <v>995.88501291989598</v>
      </c>
      <c r="G4889" s="1">
        <v>3</v>
      </c>
      <c r="H4889" s="1">
        <v>1</v>
      </c>
      <c r="I4889" s="1">
        <v>1</v>
      </c>
      <c r="J4889" s="1">
        <v>1</v>
      </c>
      <c r="M4889" s="1">
        <v>774</v>
      </c>
      <c r="N4889" s="1">
        <v>738</v>
      </c>
      <c r="O4889" s="1">
        <v>875</v>
      </c>
      <c r="P4889" s="1">
        <v>137</v>
      </c>
      <c r="Q4889" s="1" t="s">
        <v>42</v>
      </c>
      <c r="S4889" s="1" t="s">
        <v>42</v>
      </c>
      <c r="T4889" s="1" t="s">
        <v>273</v>
      </c>
      <c r="U4889" s="1">
        <v>71</v>
      </c>
      <c r="V4889" s="5">
        <v>43666</v>
      </c>
      <c r="W4889" s="5">
        <v>42593</v>
      </c>
      <c r="X4889" s="1">
        <v>757000</v>
      </c>
      <c r="Y4889" s="1">
        <v>757000</v>
      </c>
      <c r="AA4889" s="1">
        <v>770815</v>
      </c>
      <c r="AB4889" s="1" t="s">
        <v>275</v>
      </c>
      <c r="AC4889" s="5">
        <v>42766</v>
      </c>
      <c r="AF4889" s="1">
        <v>10027</v>
      </c>
      <c r="AI4889" s="1" t="s">
        <v>52</v>
      </c>
      <c r="AJ4889" s="1">
        <v>2016</v>
      </c>
      <c r="AK4889" s="1" t="s">
        <v>108</v>
      </c>
      <c r="AL4889" s="1">
        <v>115</v>
      </c>
    </row>
    <row r="4890" spans="1:38" x14ac:dyDescent="0.2">
      <c r="A4890" s="2" t="str">
        <f>HYPERLINK("https://www.compass.com/listing/456-west-167th-street-unit-3d-manhattan-ny-10032/29435101846768993/","456 W 167th St, Unit 3D")</f>
        <v>456 W 167th St, Unit 3D</v>
      </c>
      <c r="B4890" s="2" t="str">
        <f t="shared" ref="B4890:B4891" si="829">HYPERLINK("https://www.compass.com/building/edgecombe-parc-manhattan-ny/282005897969005013/","Edgecombe Parc")</f>
        <v>Edgecombe Parc</v>
      </c>
      <c r="C4890" s="1" t="s">
        <v>93</v>
      </c>
      <c r="D4890" s="1" t="s">
        <v>41</v>
      </c>
      <c r="E4890" s="3">
        <v>504972</v>
      </c>
      <c r="F4890" s="1">
        <v>693.642857142857</v>
      </c>
      <c r="H4890" s="1">
        <v>2</v>
      </c>
      <c r="J4890" s="1">
        <v>2</v>
      </c>
      <c r="K4890" s="1">
        <v>2</v>
      </c>
      <c r="M4890" s="1">
        <v>728</v>
      </c>
      <c r="N4890" s="1">
        <v>626.64</v>
      </c>
      <c r="O4890" s="1">
        <v>1299.0899999999999</v>
      </c>
      <c r="P4890" s="1">
        <v>672.41666666666595</v>
      </c>
      <c r="Q4890" s="1" t="s">
        <v>42</v>
      </c>
      <c r="S4890" s="1" t="s">
        <v>42</v>
      </c>
      <c r="T4890" s="1" t="s">
        <v>273</v>
      </c>
      <c r="AA4890" s="1">
        <v>504972</v>
      </c>
      <c r="AB4890" s="1" t="s">
        <v>3437</v>
      </c>
      <c r="AC4890" s="5">
        <v>41989</v>
      </c>
      <c r="AF4890" s="1">
        <v>10032</v>
      </c>
      <c r="AI4890" s="1" t="s">
        <v>48</v>
      </c>
      <c r="AJ4890" s="1">
        <v>2014</v>
      </c>
      <c r="AK4890" s="1" t="s">
        <v>70</v>
      </c>
      <c r="AL4890" s="1">
        <v>49</v>
      </c>
    </row>
    <row r="4891" spans="1:38" x14ac:dyDescent="0.2">
      <c r="A4891" s="2" t="str">
        <f>HYPERLINK("https://www.compass.com/listing/456-west-167th-street-unit-6d-manhattan-ny-10032/29435112223480097/","456 W 167th St, Unit 6D")</f>
        <v>456 W 167th St, Unit 6D</v>
      </c>
      <c r="B4891" s="2" t="str">
        <f t="shared" si="829"/>
        <v>Edgecombe Parc</v>
      </c>
      <c r="C4891" s="1" t="s">
        <v>93</v>
      </c>
      <c r="D4891" s="1" t="s">
        <v>41</v>
      </c>
      <c r="E4891" s="3">
        <v>519308</v>
      </c>
      <c r="F4891" s="1">
        <v>713.33447802197804</v>
      </c>
      <c r="H4891" s="1">
        <v>2</v>
      </c>
      <c r="J4891" s="1">
        <v>2</v>
      </c>
      <c r="M4891" s="1">
        <v>728</v>
      </c>
      <c r="N4891" s="1">
        <v>417</v>
      </c>
      <c r="O4891" s="1">
        <v>1293</v>
      </c>
      <c r="P4891" s="1">
        <v>876</v>
      </c>
      <c r="Q4891" s="1" t="s">
        <v>42</v>
      </c>
      <c r="S4891" s="1" t="s">
        <v>42</v>
      </c>
      <c r="T4891" s="1" t="s">
        <v>273</v>
      </c>
      <c r="AA4891" s="1">
        <v>519307.5</v>
      </c>
      <c r="AB4891" s="1" t="s">
        <v>3438</v>
      </c>
      <c r="AC4891" s="5">
        <v>41967</v>
      </c>
      <c r="AF4891" s="1">
        <v>10032</v>
      </c>
      <c r="AI4891" s="1" t="s">
        <v>48</v>
      </c>
      <c r="AJ4891" s="1">
        <v>2014</v>
      </c>
      <c r="AK4891" s="1" t="s">
        <v>70</v>
      </c>
      <c r="AL4891" s="1">
        <v>49</v>
      </c>
    </row>
    <row r="4892" spans="1:38" x14ac:dyDescent="0.2">
      <c r="A4892" s="2" t="str">
        <f>HYPERLINK("https://www.compass.com/listing/151-lenox-avenue-unit-2-manhattan-ny-10026/803339733660658457/","151 Lenox Ave, Unit 2")</f>
        <v>151 Lenox Ave, Unit 2</v>
      </c>
      <c r="B4892" s="2" t="str">
        <f>HYPERLINK("https://www.compass.com/building/151-lenox-ave-manhattan-ny-10026/281974820214762821/","151 Lenox Ave")</f>
        <v>151 Lenox Ave</v>
      </c>
      <c r="C4892" s="1" t="s">
        <v>85</v>
      </c>
      <c r="D4892" s="1" t="s">
        <v>41</v>
      </c>
      <c r="E4892" s="3">
        <v>975000</v>
      </c>
      <c r="F4892" s="1">
        <v>815.21739130434696</v>
      </c>
      <c r="G4892" s="1">
        <v>4</v>
      </c>
      <c r="H4892" s="1">
        <v>2</v>
      </c>
      <c r="I4892" s="1">
        <v>2</v>
      </c>
      <c r="J4892" s="1">
        <v>2</v>
      </c>
      <c r="K4892" s="1">
        <v>2</v>
      </c>
      <c r="M4892" s="4">
        <v>1196</v>
      </c>
      <c r="N4892" s="1">
        <v>745</v>
      </c>
      <c r="O4892" s="1">
        <v>2240</v>
      </c>
      <c r="P4892" s="1">
        <v>1495</v>
      </c>
      <c r="Q4892" s="1" t="s">
        <v>249</v>
      </c>
      <c r="S4892" s="1" t="s">
        <v>250</v>
      </c>
      <c r="T4892" s="1" t="s">
        <v>273</v>
      </c>
      <c r="U4892" s="1">
        <v>30</v>
      </c>
      <c r="V4892" s="5">
        <v>44040</v>
      </c>
      <c r="W4892" s="5">
        <v>44005</v>
      </c>
      <c r="X4892" s="1">
        <v>995000</v>
      </c>
      <c r="Y4892" s="1">
        <v>995000</v>
      </c>
      <c r="AA4892" s="1">
        <v>975000</v>
      </c>
      <c r="AB4892" s="1" t="s">
        <v>3439</v>
      </c>
      <c r="AC4892" s="5">
        <v>44036</v>
      </c>
      <c r="AF4892" s="1">
        <v>10026</v>
      </c>
      <c r="AJ4892" s="1">
        <v>1910</v>
      </c>
      <c r="AL4892" s="1">
        <v>5</v>
      </c>
    </row>
    <row r="4893" spans="1:38" x14ac:dyDescent="0.2">
      <c r="A4893" s="2" t="str">
        <f>HYPERLINK("https://www.compass.com/listing/53-west-53rd-street-unit-18f-manhattan-ny-10019/212942233291272785/","53 W 53rd St, Unit 18F")</f>
        <v>53 W 53rd St, Unit 18F</v>
      </c>
      <c r="B4893" s="2" t="str">
        <f t="shared" ref="B4893:B4899" si="830">HYPERLINK("https://www.compass.com/building/53-west-53-manhattan-ny/281946357818781477/","53 West 53")</f>
        <v>53 West 53</v>
      </c>
      <c r="C4893" s="1" t="s">
        <v>139</v>
      </c>
      <c r="D4893" s="1" t="s">
        <v>41</v>
      </c>
      <c r="E4893" s="3">
        <v>3197948</v>
      </c>
      <c r="F4893" s="1">
        <v>2247.3278285312699</v>
      </c>
      <c r="G4893" s="1">
        <v>4</v>
      </c>
      <c r="H4893" s="1">
        <v>1</v>
      </c>
      <c r="I4893" s="1">
        <v>2</v>
      </c>
      <c r="J4893" s="1">
        <v>1.5</v>
      </c>
      <c r="K4893" s="1">
        <v>1</v>
      </c>
      <c r="L4893" s="1">
        <v>1</v>
      </c>
      <c r="M4893" s="4">
        <v>1423</v>
      </c>
      <c r="N4893" s="1">
        <v>2983</v>
      </c>
      <c r="O4893" s="1">
        <v>4223</v>
      </c>
      <c r="P4893" s="1">
        <v>1240</v>
      </c>
      <c r="Q4893" s="1" t="s">
        <v>42</v>
      </c>
      <c r="S4893" s="1" t="s">
        <v>42</v>
      </c>
      <c r="T4893" s="1" t="s">
        <v>273</v>
      </c>
      <c r="V4893" s="5">
        <v>44204</v>
      </c>
      <c r="W4893" s="5">
        <v>43545</v>
      </c>
      <c r="X4893" s="1">
        <v>3185000</v>
      </c>
      <c r="Y4893" s="1">
        <v>3185000</v>
      </c>
      <c r="Z4893" s="5">
        <v>43546</v>
      </c>
      <c r="AA4893" s="1">
        <v>3197947.5</v>
      </c>
      <c r="AB4893" s="1" t="s">
        <v>3440</v>
      </c>
      <c r="AC4893" s="5">
        <v>44203</v>
      </c>
      <c r="AF4893" s="1">
        <v>10019</v>
      </c>
      <c r="AJ4893" s="1">
        <v>2018</v>
      </c>
      <c r="AK4893" s="1" t="s">
        <v>46</v>
      </c>
      <c r="AL4893" s="1">
        <v>145</v>
      </c>
    </row>
    <row r="4894" spans="1:38" x14ac:dyDescent="0.2">
      <c r="A4894" s="2" t="str">
        <f>HYPERLINK("https://www.compass.com/listing/53-west-53rd-street-unit-17f-manhattan-ny-10019/238179104103409265/","53 W 53rd St, Unit 17F")</f>
        <v>53 W 53rd St, Unit 17F</v>
      </c>
      <c r="B4894" s="2" t="str">
        <f t="shared" si="830"/>
        <v>53 West 53</v>
      </c>
      <c r="C4894" s="1" t="s">
        <v>139</v>
      </c>
      <c r="D4894" s="1" t="s">
        <v>41</v>
      </c>
      <c r="E4894" s="3">
        <v>3032294</v>
      </c>
      <c r="F4894" s="1">
        <v>2089.79583046175</v>
      </c>
      <c r="G4894" s="1">
        <v>4</v>
      </c>
      <c r="H4894" s="1">
        <v>1</v>
      </c>
      <c r="I4894" s="1">
        <v>2</v>
      </c>
      <c r="J4894" s="1">
        <v>1.5</v>
      </c>
      <c r="K4894" s="1">
        <v>1</v>
      </c>
      <c r="L4894" s="1">
        <v>1</v>
      </c>
      <c r="M4894" s="4">
        <v>1451</v>
      </c>
      <c r="N4894" s="1">
        <v>3026</v>
      </c>
      <c r="O4894" s="1">
        <v>4284</v>
      </c>
      <c r="P4894" s="1">
        <v>1258</v>
      </c>
      <c r="Q4894" s="1" t="s">
        <v>42</v>
      </c>
      <c r="S4894" s="1" t="s">
        <v>42</v>
      </c>
      <c r="T4894" s="1" t="s">
        <v>273</v>
      </c>
      <c r="V4894" s="5">
        <v>44130</v>
      </c>
      <c r="W4894" s="5">
        <v>43580</v>
      </c>
      <c r="X4894" s="1">
        <v>3175000</v>
      </c>
      <c r="Y4894" s="1">
        <v>3175000</v>
      </c>
      <c r="Z4894" s="5">
        <v>43580</v>
      </c>
      <c r="AA4894" s="1">
        <v>3032293.75</v>
      </c>
      <c r="AB4894" s="1" t="s">
        <v>3441</v>
      </c>
      <c r="AC4894" s="5">
        <v>44126</v>
      </c>
      <c r="AF4894" s="1">
        <v>10019</v>
      </c>
      <c r="AJ4894" s="1">
        <v>2018</v>
      </c>
      <c r="AK4894" s="1" t="s">
        <v>46</v>
      </c>
      <c r="AL4894" s="1">
        <v>145</v>
      </c>
    </row>
    <row r="4895" spans="1:38" x14ac:dyDescent="0.2">
      <c r="A4895" s="2" t="str">
        <f>HYPERLINK("https://www.compass.com/listing/53-west-53rd-street-unit-15i-manhattan-ny-10019/23954418256911457/","53 W 53rd St, Unit 15I")</f>
        <v>53 W 53rd St, Unit 15I</v>
      </c>
      <c r="B4895" s="2" t="str">
        <f t="shared" si="830"/>
        <v>53 West 53</v>
      </c>
      <c r="C4895" s="1" t="s">
        <v>139</v>
      </c>
      <c r="D4895" s="1" t="s">
        <v>41</v>
      </c>
      <c r="E4895" s="3">
        <v>3150000</v>
      </c>
      <c r="F4895" s="1">
        <v>2121.2121212121201</v>
      </c>
      <c r="G4895" s="1">
        <v>3</v>
      </c>
      <c r="H4895" s="1">
        <v>1</v>
      </c>
      <c r="I4895" s="1">
        <v>2</v>
      </c>
      <c r="J4895" s="1">
        <v>1.5</v>
      </c>
      <c r="K4895" s="1">
        <v>1</v>
      </c>
      <c r="L4895" s="1">
        <v>1</v>
      </c>
      <c r="M4895" s="4">
        <v>1485</v>
      </c>
      <c r="N4895" s="1">
        <v>3067</v>
      </c>
      <c r="O4895" s="1">
        <v>4340</v>
      </c>
      <c r="P4895" s="1">
        <v>1273</v>
      </c>
      <c r="Q4895" s="1" t="s">
        <v>42</v>
      </c>
      <c r="S4895" s="1" t="s">
        <v>42</v>
      </c>
      <c r="T4895" s="1" t="s">
        <v>273</v>
      </c>
      <c r="U4895" s="1">
        <v>87</v>
      </c>
      <c r="V4895" s="5">
        <v>44149</v>
      </c>
      <c r="W4895" s="5">
        <v>42924</v>
      </c>
      <c r="X4895" s="1">
        <v>3255000</v>
      </c>
      <c r="Y4895" s="1">
        <v>3255000</v>
      </c>
      <c r="Z4895" s="5">
        <v>43553</v>
      </c>
      <c r="AA4895" s="1">
        <v>3150000</v>
      </c>
      <c r="AB4895" s="1" t="s">
        <v>3442</v>
      </c>
      <c r="AC4895" s="5">
        <v>44147</v>
      </c>
      <c r="AF4895" s="1">
        <v>10019</v>
      </c>
      <c r="AJ4895" s="1">
        <v>2018</v>
      </c>
      <c r="AK4895" s="1" t="s">
        <v>46</v>
      </c>
      <c r="AL4895" s="1">
        <v>145</v>
      </c>
    </row>
    <row r="4896" spans="1:38" x14ac:dyDescent="0.2">
      <c r="A4896" s="2" t="str">
        <f>HYPERLINK("https://www.compass.com/listing/53-west-53rd-street-unit-22e-manhattan-ny-10019/272324453113847761/","53 W 53rd St, Unit 22E")</f>
        <v>53 W 53rd St, Unit 22E</v>
      </c>
      <c r="B4896" s="2" t="str">
        <f t="shared" si="830"/>
        <v>53 West 53</v>
      </c>
      <c r="C4896" s="1" t="s">
        <v>139</v>
      </c>
      <c r="D4896" s="1" t="s">
        <v>41</v>
      </c>
      <c r="E4896" s="3">
        <v>3534938</v>
      </c>
      <c r="F4896" s="1">
        <v>2599.21875</v>
      </c>
      <c r="G4896" s="1">
        <v>3</v>
      </c>
      <c r="H4896" s="1">
        <v>1</v>
      </c>
      <c r="I4896" s="1">
        <v>2</v>
      </c>
      <c r="J4896" s="1">
        <v>1.5</v>
      </c>
      <c r="K4896" s="1">
        <v>1</v>
      </c>
      <c r="L4896" s="1">
        <v>1</v>
      </c>
      <c r="M4896" s="4">
        <v>1360</v>
      </c>
      <c r="N4896" s="1">
        <v>2531</v>
      </c>
      <c r="O4896" s="1">
        <v>3739</v>
      </c>
      <c r="P4896" s="1">
        <v>1208</v>
      </c>
      <c r="Q4896" s="1" t="s">
        <v>42</v>
      </c>
      <c r="S4896" s="1" t="s">
        <v>42</v>
      </c>
      <c r="T4896" s="1" t="s">
        <v>273</v>
      </c>
      <c r="V4896" s="5">
        <v>43860</v>
      </c>
      <c r="W4896" s="5">
        <v>43627</v>
      </c>
      <c r="X4896" s="1">
        <v>3700000</v>
      </c>
      <c r="Y4896" s="1">
        <v>3700000</v>
      </c>
      <c r="Z4896" s="5">
        <v>43628</v>
      </c>
      <c r="AA4896" s="1">
        <v>3534937.5</v>
      </c>
      <c r="AB4896" s="1" t="s">
        <v>3443</v>
      </c>
      <c r="AC4896" s="5">
        <v>43858</v>
      </c>
      <c r="AF4896" s="1">
        <v>10019</v>
      </c>
      <c r="AJ4896" s="1">
        <v>2018</v>
      </c>
      <c r="AK4896" s="1" t="s">
        <v>46</v>
      </c>
      <c r="AL4896" s="1">
        <v>145</v>
      </c>
    </row>
    <row r="4897" spans="1:38" x14ac:dyDescent="0.2">
      <c r="A4897" s="2" t="str">
        <f>HYPERLINK("https://www.compass.com/listing/53-west-53rd-street-unit-16b-manhattan-ny-10019/28876196980735745/","53 W 53rd St, Unit 16B")</f>
        <v>53 W 53rd St, Unit 16B</v>
      </c>
      <c r="B4897" s="2" t="str">
        <f t="shared" si="830"/>
        <v>53 West 53</v>
      </c>
      <c r="C4897" s="1" t="s">
        <v>139</v>
      </c>
      <c r="D4897" s="1" t="s">
        <v>41</v>
      </c>
      <c r="E4897" s="3">
        <v>3484481</v>
      </c>
      <c r="F4897" s="1">
        <v>2884.5043460264901</v>
      </c>
      <c r="G4897" s="1">
        <v>3.5</v>
      </c>
      <c r="H4897" s="1">
        <v>1</v>
      </c>
      <c r="I4897" s="1">
        <v>2</v>
      </c>
      <c r="J4897" s="1">
        <v>1.5</v>
      </c>
      <c r="K4897" s="1">
        <v>1</v>
      </c>
      <c r="L4897" s="1">
        <v>1</v>
      </c>
      <c r="M4897" s="4">
        <v>1208</v>
      </c>
      <c r="N4897" s="1">
        <v>2507</v>
      </c>
      <c r="O4897" s="1">
        <v>3549</v>
      </c>
      <c r="P4897" s="1">
        <v>1042</v>
      </c>
      <c r="Q4897" s="1" t="s">
        <v>42</v>
      </c>
      <c r="S4897" s="1" t="s">
        <v>42</v>
      </c>
      <c r="T4897" s="1" t="s">
        <v>273</v>
      </c>
      <c r="U4897" s="1">
        <v>48</v>
      </c>
      <c r="V4897" s="5">
        <v>44133</v>
      </c>
      <c r="W4897" s="5">
        <v>42705</v>
      </c>
      <c r="X4897" s="1">
        <v>3450000</v>
      </c>
      <c r="Y4897" s="1">
        <v>3555000</v>
      </c>
      <c r="Z4897" s="5">
        <v>43648</v>
      </c>
      <c r="AA4897" s="1">
        <v>3484481.25</v>
      </c>
      <c r="AB4897" s="1" t="s">
        <v>3444</v>
      </c>
      <c r="AC4897" s="5">
        <v>44131</v>
      </c>
      <c r="AF4897" s="1">
        <v>10019</v>
      </c>
      <c r="AJ4897" s="1">
        <v>2018</v>
      </c>
      <c r="AK4897" s="1" t="s">
        <v>46</v>
      </c>
      <c r="AL4897" s="1">
        <v>145</v>
      </c>
    </row>
    <row r="4898" spans="1:38" x14ac:dyDescent="0.2">
      <c r="A4898" s="2" t="str">
        <f>HYPERLINK("https://www.compass.com/listing/53-west-53rd-street-unit-22c-manhattan-ny-10019/29026646380049057/","53 W 53rd St, Unit 22C")</f>
        <v>53 W 53rd St, Unit 22C</v>
      </c>
      <c r="B4898" s="2" t="str">
        <f t="shared" si="830"/>
        <v>53 West 53</v>
      </c>
      <c r="C4898" s="1" t="s">
        <v>139</v>
      </c>
      <c r="D4898" s="1" t="s">
        <v>41</v>
      </c>
      <c r="E4898" s="3">
        <v>3327586</v>
      </c>
      <c r="F4898" s="1">
        <v>2091.50612822124</v>
      </c>
      <c r="G4898" s="1">
        <v>4</v>
      </c>
      <c r="H4898" s="1">
        <v>1</v>
      </c>
      <c r="I4898" s="1">
        <v>2</v>
      </c>
      <c r="J4898" s="1">
        <v>1.5</v>
      </c>
      <c r="K4898" s="1">
        <v>1</v>
      </c>
      <c r="L4898" s="1">
        <v>1</v>
      </c>
      <c r="M4898" s="4">
        <v>1591</v>
      </c>
      <c r="N4898" s="1">
        <v>2961</v>
      </c>
      <c r="O4898" s="1">
        <v>4374</v>
      </c>
      <c r="P4898" s="1">
        <v>1413</v>
      </c>
      <c r="Q4898" s="1" t="s">
        <v>42</v>
      </c>
      <c r="S4898" s="1" t="s">
        <v>42</v>
      </c>
      <c r="T4898" s="1" t="s">
        <v>273</v>
      </c>
      <c r="U4898" s="1">
        <v>92</v>
      </c>
      <c r="V4898" s="5">
        <v>43866</v>
      </c>
      <c r="W4898" s="5">
        <v>42395</v>
      </c>
      <c r="X4898" s="1">
        <v>3480000</v>
      </c>
      <c r="Y4898" s="1">
        <v>3585000</v>
      </c>
      <c r="Z4898" s="5">
        <v>43607</v>
      </c>
      <c r="AA4898" s="1">
        <v>3327586.25</v>
      </c>
      <c r="AB4898" s="1" t="s">
        <v>3445</v>
      </c>
      <c r="AC4898" s="5">
        <v>43864</v>
      </c>
      <c r="AF4898" s="1">
        <v>10019</v>
      </c>
      <c r="AJ4898" s="1">
        <v>2018</v>
      </c>
      <c r="AK4898" s="1" t="s">
        <v>46</v>
      </c>
      <c r="AL4898" s="1">
        <v>145</v>
      </c>
    </row>
    <row r="4899" spans="1:38" x14ac:dyDescent="0.2">
      <c r="A4899" s="2" t="str">
        <f>HYPERLINK("https://www.compass.com/listing/53-west-53rd-street-unit-24f-manhattan-ny-10019/425318248841644529/","53 W 53rd St, Unit 24F")</f>
        <v>53 W 53rd St, Unit 24F</v>
      </c>
      <c r="B4899" s="2" t="str">
        <f t="shared" si="830"/>
        <v>53 West 53</v>
      </c>
      <c r="C4899" s="1" t="s">
        <v>139</v>
      </c>
      <c r="D4899" s="1" t="s">
        <v>41</v>
      </c>
      <c r="E4899" s="3">
        <v>3027203</v>
      </c>
      <c r="G4899" s="1">
        <v>3</v>
      </c>
      <c r="H4899" s="1">
        <v>1</v>
      </c>
      <c r="I4899" s="1">
        <v>2</v>
      </c>
      <c r="J4899" s="1">
        <v>1.5</v>
      </c>
      <c r="K4899" s="1">
        <v>1</v>
      </c>
      <c r="L4899" s="1">
        <v>1</v>
      </c>
      <c r="N4899" s="1">
        <v>2612</v>
      </c>
      <c r="O4899" s="1">
        <v>3733</v>
      </c>
      <c r="P4899" s="1">
        <v>1121</v>
      </c>
      <c r="Q4899" s="1" t="s">
        <v>42</v>
      </c>
      <c r="S4899" s="1" t="s">
        <v>42</v>
      </c>
      <c r="T4899" s="1" t="s">
        <v>273</v>
      </c>
      <c r="U4899" s="1">
        <v>1625</v>
      </c>
      <c r="V4899" s="5">
        <v>43839</v>
      </c>
      <c r="W4899" s="5">
        <v>42212</v>
      </c>
      <c r="AA4899" s="1">
        <v>3027202.5</v>
      </c>
      <c r="AB4899" s="1" t="s">
        <v>3446</v>
      </c>
      <c r="AC4899" s="5">
        <v>43837</v>
      </c>
      <c r="AF4899" s="1">
        <v>10019</v>
      </c>
      <c r="AJ4899" s="1">
        <v>2018</v>
      </c>
      <c r="AK4899" s="1" t="s">
        <v>46</v>
      </c>
      <c r="AL4899" s="1">
        <v>145</v>
      </c>
    </row>
    <row r="4900" spans="1:38" x14ac:dyDescent="0.2">
      <c r="A4900" s="2" t="str">
        <f>HYPERLINK("https://www.compass.com/listing/695-1st-avenue-unit-32l-manhattan-ny-10016/804184212856764081/","695 1st Ave, Unit 32L")</f>
        <v>695 1st Ave, Unit 32L</v>
      </c>
      <c r="B4900" s="2" t="str">
        <f>HYPERLINK("https://www.compass.com/building/one-united-nations-park-manhattan-ny/282058773630059653/","One United Nations Park")</f>
        <v>One United Nations Park</v>
      </c>
      <c r="C4900" s="1" t="s">
        <v>59</v>
      </c>
      <c r="D4900" s="1" t="s">
        <v>41</v>
      </c>
      <c r="E4900" s="3">
        <v>1650000</v>
      </c>
      <c r="F4900" s="1">
        <v>1583.49328214971</v>
      </c>
      <c r="G4900" s="1">
        <v>3</v>
      </c>
      <c r="H4900" s="1">
        <v>1</v>
      </c>
      <c r="I4900" s="1">
        <v>2</v>
      </c>
      <c r="J4900" s="1">
        <v>1.5</v>
      </c>
      <c r="K4900" s="1">
        <v>1</v>
      </c>
      <c r="L4900" s="1">
        <v>1</v>
      </c>
      <c r="M4900" s="4">
        <v>1042</v>
      </c>
      <c r="N4900" s="1">
        <v>1397</v>
      </c>
      <c r="O4900" s="1">
        <v>3056</v>
      </c>
      <c r="P4900" s="1">
        <v>1659</v>
      </c>
      <c r="Q4900" s="1" t="s">
        <v>42</v>
      </c>
      <c r="S4900" s="1" t="s">
        <v>42</v>
      </c>
      <c r="T4900" s="1" t="s">
        <v>273</v>
      </c>
      <c r="V4900" s="5">
        <v>44411</v>
      </c>
      <c r="W4900" s="5">
        <v>44139</v>
      </c>
      <c r="X4900" s="1">
        <v>1650000</v>
      </c>
      <c r="Y4900" s="1">
        <v>1650000</v>
      </c>
      <c r="Z4900" s="5">
        <v>44139</v>
      </c>
      <c r="AA4900" s="1">
        <v>1650000</v>
      </c>
      <c r="AB4900" s="1" t="s">
        <v>275</v>
      </c>
      <c r="AC4900" s="5">
        <v>44406</v>
      </c>
      <c r="AF4900" s="1">
        <v>10016</v>
      </c>
      <c r="AJ4900" s="1">
        <v>2019</v>
      </c>
      <c r="AK4900" s="1" t="s">
        <v>49</v>
      </c>
      <c r="AL4900" s="1">
        <v>148</v>
      </c>
    </row>
    <row r="4901" spans="1:38" x14ac:dyDescent="0.2">
      <c r="A4901" s="2" t="str">
        <f>HYPERLINK("https://www.compass.com/listing/53-west-53rd-street-unit-33a-manhattan-ny-10019/23954409767631217/","53 W 53rd St, Unit 33A")</f>
        <v>53 W 53rd St, Unit 33A</v>
      </c>
      <c r="B4901" s="2" t="str">
        <f>HYPERLINK("https://www.compass.com/building/53-west-53-manhattan-ny/281946357818781477/","53 West 53")</f>
        <v>53 West 53</v>
      </c>
      <c r="C4901" s="1" t="s">
        <v>139</v>
      </c>
      <c r="D4901" s="1" t="s">
        <v>41</v>
      </c>
      <c r="E4901" s="3">
        <v>8230000</v>
      </c>
      <c r="F4901" s="1">
        <v>2621.8540936603999</v>
      </c>
      <c r="G4901" s="1">
        <v>5.5</v>
      </c>
      <c r="H4901" s="1">
        <v>3</v>
      </c>
      <c r="I4901" s="1">
        <v>4</v>
      </c>
      <c r="J4901" s="1">
        <v>3.5</v>
      </c>
      <c r="K4901" s="1">
        <v>3</v>
      </c>
      <c r="L4901" s="1">
        <v>1</v>
      </c>
      <c r="M4901" s="4">
        <v>3139</v>
      </c>
      <c r="N4901" s="1">
        <v>7059</v>
      </c>
      <c r="O4901" s="1">
        <v>9993</v>
      </c>
      <c r="P4901" s="1">
        <v>2934</v>
      </c>
      <c r="Q4901" s="1" t="s">
        <v>42</v>
      </c>
      <c r="S4901" s="1" t="s">
        <v>42</v>
      </c>
      <c r="T4901" s="1" t="s">
        <v>273</v>
      </c>
      <c r="U4901" s="1">
        <v>46</v>
      </c>
      <c r="V4901" s="5">
        <v>44075</v>
      </c>
      <c r="W4901" s="5">
        <v>43363</v>
      </c>
      <c r="X4901" s="1">
        <v>9640000</v>
      </c>
      <c r="Y4901" s="1">
        <v>9640000</v>
      </c>
      <c r="Z4901" s="5">
        <v>43621</v>
      </c>
      <c r="AA4901" s="1">
        <v>8230000</v>
      </c>
      <c r="AB4901" s="1" t="s">
        <v>3447</v>
      </c>
      <c r="AC4901" s="5">
        <v>44071</v>
      </c>
      <c r="AF4901" s="1">
        <v>10019</v>
      </c>
      <c r="AJ4901" s="1">
        <v>2018</v>
      </c>
      <c r="AK4901" s="1" t="s">
        <v>46</v>
      </c>
      <c r="AL4901" s="1">
        <v>145</v>
      </c>
    </row>
    <row r="4902" spans="1:38" x14ac:dyDescent="0.2">
      <c r="A4902" s="2" t="str">
        <f>HYPERLINK("https://www.compass.com/listing/325-lexington-avenue-unit-phb-manhattan-ny-10016/29379739760272721/","325 Lexington Ave, Unit PHB")</f>
        <v>325 Lexington Ave, Unit PHB</v>
      </c>
      <c r="B4902" s="2" t="str">
        <f>HYPERLINK("https://www.compass.com/building/325-lex-condominium-manhattan-ny/281939882467713365/","325 Lex Condominium")</f>
        <v>325 Lex Condominium</v>
      </c>
      <c r="C4902" s="1" t="s">
        <v>59</v>
      </c>
      <c r="D4902" s="1" t="s">
        <v>41</v>
      </c>
      <c r="E4902" s="3">
        <v>8655125</v>
      </c>
      <c r="F4902" s="1">
        <v>3494.1966088009599</v>
      </c>
      <c r="G4902" s="1">
        <v>5</v>
      </c>
      <c r="H4902" s="1">
        <v>3</v>
      </c>
      <c r="I4902" s="1">
        <v>3</v>
      </c>
      <c r="J4902" s="1">
        <v>3</v>
      </c>
      <c r="K4902" s="1">
        <v>3</v>
      </c>
      <c r="M4902" s="4">
        <v>2477</v>
      </c>
      <c r="N4902" s="1">
        <v>4191</v>
      </c>
      <c r="O4902" s="1">
        <v>5103</v>
      </c>
      <c r="P4902" s="1">
        <v>912</v>
      </c>
      <c r="Q4902" s="1" t="s">
        <v>42</v>
      </c>
      <c r="S4902" s="1" t="s">
        <v>42</v>
      </c>
      <c r="T4902" s="1" t="s">
        <v>273</v>
      </c>
      <c r="U4902" s="1">
        <v>196</v>
      </c>
      <c r="V4902" s="5">
        <v>43654</v>
      </c>
      <c r="W4902" s="5">
        <v>41961</v>
      </c>
      <c r="X4902" s="1">
        <v>8500000</v>
      </c>
      <c r="Y4902" s="1">
        <v>8500000</v>
      </c>
      <c r="Z4902" s="5">
        <v>42157</v>
      </c>
      <c r="AA4902" s="1">
        <v>8655125</v>
      </c>
      <c r="AB4902" s="1" t="s">
        <v>3448</v>
      </c>
      <c r="AC4902" s="5">
        <v>42159</v>
      </c>
      <c r="AF4902" s="1">
        <v>10016</v>
      </c>
      <c r="AI4902" s="1" t="s">
        <v>3449</v>
      </c>
      <c r="AJ4902" s="1">
        <v>2014</v>
      </c>
      <c r="AK4902" s="1" t="s">
        <v>108</v>
      </c>
      <c r="AL4902" s="1">
        <v>125</v>
      </c>
    </row>
    <row r="4903" spans="1:38" x14ac:dyDescent="0.2">
      <c r="A4903" s="2" t="str">
        <f>HYPERLINK("https://www.compass.com/listing/456-west-167th-street-unit-6a-manhattan-ny-10032/29435110696750561/","456 W 167th St, Unit 6A")</f>
        <v>456 W 167th St, Unit 6A</v>
      </c>
      <c r="B4903" s="2" t="str">
        <f>HYPERLINK("https://www.compass.com/building/edgecombe-parc-manhattan-ny/282005897969005013/","Edgecombe Parc")</f>
        <v>Edgecombe Parc</v>
      </c>
      <c r="C4903" s="1" t="s">
        <v>93</v>
      </c>
      <c r="D4903" s="1" t="s">
        <v>41</v>
      </c>
      <c r="E4903" s="3">
        <v>631315</v>
      </c>
      <c r="F4903" s="1">
        <v>666.64730728616598</v>
      </c>
      <c r="H4903" s="1">
        <v>2</v>
      </c>
      <c r="J4903" s="1">
        <v>2</v>
      </c>
      <c r="K4903" s="1">
        <v>2</v>
      </c>
      <c r="M4903" s="1">
        <v>947</v>
      </c>
      <c r="N4903" s="1">
        <v>801</v>
      </c>
      <c r="O4903" s="1">
        <v>1643</v>
      </c>
      <c r="P4903" s="1">
        <v>842</v>
      </c>
      <c r="Q4903" s="1" t="s">
        <v>42</v>
      </c>
      <c r="S4903" s="1" t="s">
        <v>42</v>
      </c>
      <c r="T4903" s="1" t="s">
        <v>273</v>
      </c>
      <c r="AA4903" s="1">
        <v>631315</v>
      </c>
      <c r="AB4903" s="1" t="s">
        <v>3450</v>
      </c>
      <c r="AC4903" s="5">
        <v>41934</v>
      </c>
      <c r="AF4903" s="1">
        <v>10032</v>
      </c>
      <c r="AI4903" s="1" t="s">
        <v>48</v>
      </c>
      <c r="AJ4903" s="1">
        <v>2014</v>
      </c>
      <c r="AK4903" s="1" t="s">
        <v>70</v>
      </c>
      <c r="AL4903" s="1">
        <v>49</v>
      </c>
    </row>
    <row r="4904" spans="1:38" x14ac:dyDescent="0.2">
      <c r="A4904" s="2" t="str">
        <f>HYPERLINK("https://www.compass.com/listing/70-west-139th-street-unit-7i-manhattan-ny-10037/380349262604179553/","70 W 139th St, Unit 7I")</f>
        <v>70 W 139th St, Unit 7I</v>
      </c>
      <c r="B4904" s="2" t="str">
        <f>HYPERLINK("https://www.compass.com/building/70-w-139th-st-manhattan-ny-10037/292920118235647477/","70 W 139th St")</f>
        <v>70 W 139th St</v>
      </c>
      <c r="C4904" s="1" t="s">
        <v>85</v>
      </c>
      <c r="D4904" s="1" t="s">
        <v>41</v>
      </c>
      <c r="E4904" s="3">
        <v>635749</v>
      </c>
      <c r="F4904" s="1">
        <v>950.29708520179304</v>
      </c>
      <c r="G4904" s="1">
        <v>3</v>
      </c>
      <c r="H4904" s="1">
        <v>1</v>
      </c>
      <c r="I4904" s="1">
        <v>1</v>
      </c>
      <c r="J4904" s="1">
        <v>1</v>
      </c>
      <c r="K4904" s="1">
        <v>1</v>
      </c>
      <c r="M4904" s="1">
        <v>669</v>
      </c>
      <c r="N4904" s="1">
        <v>463</v>
      </c>
      <c r="O4904" s="1">
        <v>483</v>
      </c>
      <c r="P4904" s="1">
        <v>20</v>
      </c>
      <c r="Q4904" s="1" t="s">
        <v>129</v>
      </c>
      <c r="S4904" s="1" t="s">
        <v>42</v>
      </c>
      <c r="T4904" s="1" t="s">
        <v>273</v>
      </c>
      <c r="U4904" s="1">
        <v>35</v>
      </c>
      <c r="V4904" s="5">
        <v>43885</v>
      </c>
      <c r="W4904" s="5">
        <v>43777</v>
      </c>
      <c r="X4904" s="1">
        <v>649000</v>
      </c>
      <c r="Y4904" s="1">
        <v>649000</v>
      </c>
      <c r="Z4904" s="5">
        <v>43812</v>
      </c>
      <c r="AA4904" s="1">
        <v>635748.75</v>
      </c>
      <c r="AB4904" s="1" t="s">
        <v>3451</v>
      </c>
      <c r="AC4904" s="5">
        <v>43875</v>
      </c>
      <c r="AF4904" s="1">
        <v>10037</v>
      </c>
      <c r="AI4904" s="1" t="s">
        <v>238</v>
      </c>
      <c r="AJ4904" s="1">
        <v>2018</v>
      </c>
      <c r="AK4904" s="1" t="s">
        <v>73</v>
      </c>
      <c r="AL4904" s="1">
        <v>64</v>
      </c>
    </row>
    <row r="4905" spans="1:38" x14ac:dyDescent="0.2">
      <c r="A4905" s="2" t="str">
        <f>HYPERLINK("https://www.compass.com/listing/138-east-50th-street-unit-29b-manhattan-ny-10022/365776243904747473/","138 E 50th St, Unit 29B")</f>
        <v>138 E 50th St, Unit 29B</v>
      </c>
      <c r="B4905" s="2" t="str">
        <f t="shared" ref="B4905:B4906" si="831">HYPERLINK("https://www.compass.com/building/the-centrale-manhattan-ny/281941497232811621/","The Centrale")</f>
        <v>The Centrale</v>
      </c>
      <c r="C4905" s="1" t="s">
        <v>116</v>
      </c>
      <c r="D4905" s="1" t="s">
        <v>41</v>
      </c>
      <c r="E4905" s="3">
        <v>1610000</v>
      </c>
      <c r="F4905" s="1">
        <v>2072.0720720720701</v>
      </c>
      <c r="G4905" s="1">
        <v>3</v>
      </c>
      <c r="H4905" s="1">
        <v>1</v>
      </c>
      <c r="I4905" s="1">
        <v>1</v>
      </c>
      <c r="J4905" s="1">
        <v>1</v>
      </c>
      <c r="K4905" s="1">
        <v>1</v>
      </c>
      <c r="M4905" s="1">
        <v>777</v>
      </c>
      <c r="N4905" s="1">
        <v>824</v>
      </c>
      <c r="O4905" s="1">
        <v>2397</v>
      </c>
      <c r="P4905" s="1">
        <v>1573</v>
      </c>
      <c r="Q4905" s="1" t="s">
        <v>42</v>
      </c>
      <c r="S4905" s="1" t="s">
        <v>42</v>
      </c>
      <c r="T4905" s="1" t="s">
        <v>273</v>
      </c>
      <c r="U4905" s="1">
        <v>586</v>
      </c>
      <c r="V4905" s="5">
        <v>44105</v>
      </c>
      <c r="W4905" s="5">
        <v>43348</v>
      </c>
      <c r="X4905" s="1">
        <v>1725000</v>
      </c>
      <c r="Y4905" s="1">
        <v>1725000</v>
      </c>
      <c r="Z4905" s="5">
        <v>44029</v>
      </c>
      <c r="AA4905" s="1">
        <v>1610000</v>
      </c>
      <c r="AB4905" s="1" t="s">
        <v>3452</v>
      </c>
      <c r="AC4905" s="5">
        <v>44089</v>
      </c>
      <c r="AF4905" s="1">
        <v>10022</v>
      </c>
      <c r="AI4905" s="1" t="s">
        <v>48</v>
      </c>
      <c r="AJ4905" s="1">
        <v>2019</v>
      </c>
      <c r="AK4905" s="1" t="s">
        <v>55</v>
      </c>
      <c r="AL4905" s="1">
        <v>124</v>
      </c>
    </row>
    <row r="4906" spans="1:38" x14ac:dyDescent="0.2">
      <c r="A4906" s="2" t="str">
        <f>HYPERLINK("https://www.compass.com/listing/138-east-50th-street-unit-27b-manhattan-ny-10022/440514551960925841/","138 E 50th St, Unit 27B")</f>
        <v>138 E 50th St, Unit 27B</v>
      </c>
      <c r="B4906" s="2" t="str">
        <f t="shared" si="831"/>
        <v>The Centrale</v>
      </c>
      <c r="C4906" s="1" t="s">
        <v>116</v>
      </c>
      <c r="D4906" s="1" t="s">
        <v>41</v>
      </c>
      <c r="E4906" s="3">
        <v>1600000</v>
      </c>
      <c r="F4906" s="1">
        <v>2059.2020592020499</v>
      </c>
      <c r="G4906" s="1">
        <v>3</v>
      </c>
      <c r="H4906" s="1">
        <v>1</v>
      </c>
      <c r="I4906" s="1">
        <v>1</v>
      </c>
      <c r="J4906" s="1">
        <v>1</v>
      </c>
      <c r="K4906" s="1">
        <v>1</v>
      </c>
      <c r="M4906" s="1">
        <v>777</v>
      </c>
      <c r="N4906" s="1">
        <v>817</v>
      </c>
      <c r="O4906" s="1">
        <v>2375</v>
      </c>
      <c r="P4906" s="1">
        <v>1558</v>
      </c>
      <c r="Q4906" s="1" t="s">
        <v>42</v>
      </c>
      <c r="S4906" s="1" t="s">
        <v>42</v>
      </c>
      <c r="T4906" s="1" t="s">
        <v>273</v>
      </c>
      <c r="V4906" s="5">
        <v>44225</v>
      </c>
      <c r="W4906" s="5">
        <v>43859</v>
      </c>
      <c r="X4906" s="1">
        <v>1600000</v>
      </c>
      <c r="Y4906" s="1">
        <v>1600000</v>
      </c>
      <c r="Z4906" s="5">
        <v>43860</v>
      </c>
      <c r="AA4906" s="1">
        <v>1600000</v>
      </c>
      <c r="AB4906" s="1" t="s">
        <v>3453</v>
      </c>
      <c r="AC4906" s="5">
        <v>43983</v>
      </c>
      <c r="AF4906" s="1">
        <v>10022</v>
      </c>
      <c r="AI4906" s="1" t="s">
        <v>48</v>
      </c>
      <c r="AJ4906" s="1">
        <v>2019</v>
      </c>
      <c r="AK4906" s="1" t="s">
        <v>55</v>
      </c>
      <c r="AL4906" s="1">
        <v>124</v>
      </c>
    </row>
    <row r="4907" spans="1:38" x14ac:dyDescent="0.2">
      <c r="A4907" s="2" t="str">
        <f>HYPERLINK("https://www.compass.com/listing/456-west-167th-street-unit-4f-manhattan-ny-10032/40059931772174257/","456 W 167th St, Unit 4F")</f>
        <v>456 W 167th St, Unit 4F</v>
      </c>
      <c r="B4907" s="2" t="str">
        <f>HYPERLINK("https://www.compass.com/building/edgecombe-parc-manhattan-ny/282005897969005013/","Edgecombe Parc")</f>
        <v>Edgecombe Parc</v>
      </c>
      <c r="C4907" s="1" t="s">
        <v>93</v>
      </c>
      <c r="D4907" s="1" t="s">
        <v>41</v>
      </c>
      <c r="E4907" s="3">
        <v>500000</v>
      </c>
      <c r="F4907" s="1">
        <v>909.09090909090901</v>
      </c>
      <c r="G4907" s="1">
        <v>3</v>
      </c>
      <c r="H4907" s="1">
        <v>1</v>
      </c>
      <c r="I4907" s="1">
        <v>1</v>
      </c>
      <c r="J4907" s="1">
        <v>1</v>
      </c>
      <c r="K4907" s="1">
        <v>1</v>
      </c>
      <c r="M4907" s="1">
        <v>550</v>
      </c>
      <c r="N4907" s="1">
        <v>409.04</v>
      </c>
      <c r="O4907" s="1">
        <v>942.37</v>
      </c>
      <c r="P4907" s="1">
        <v>533.33333333333303</v>
      </c>
      <c r="Q4907" s="1" t="s">
        <v>42</v>
      </c>
      <c r="S4907" s="1" t="s">
        <v>42</v>
      </c>
      <c r="T4907" s="1" t="s">
        <v>273</v>
      </c>
      <c r="U4907" s="1">
        <v>120</v>
      </c>
      <c r="V4907" s="5">
        <v>43806</v>
      </c>
      <c r="W4907" s="5">
        <v>43307</v>
      </c>
      <c r="X4907" s="1">
        <v>515000</v>
      </c>
      <c r="Y4907" s="1">
        <v>515000</v>
      </c>
      <c r="Z4907" s="5">
        <v>43427</v>
      </c>
      <c r="AA4907" s="1">
        <v>500000</v>
      </c>
      <c r="AB4907" s="1" t="s">
        <v>3454</v>
      </c>
      <c r="AC4907" s="5">
        <v>43455</v>
      </c>
      <c r="AF4907" s="1">
        <v>10032</v>
      </c>
      <c r="AI4907" s="1" t="s">
        <v>193</v>
      </c>
      <c r="AJ4907" s="1">
        <v>2014</v>
      </c>
      <c r="AK4907" s="1" t="s">
        <v>115</v>
      </c>
      <c r="AL4907" s="1">
        <v>49</v>
      </c>
    </row>
    <row r="4908" spans="1:38" x14ac:dyDescent="0.2">
      <c r="A4908" s="2" t="str">
        <f>HYPERLINK("https://www.compass.com/listing/695-1st-avenue-unit-30g-manhattan-ny-10016/723133311669144569/","695 1st Ave, Unit 30G")</f>
        <v>695 1st Ave, Unit 30G</v>
      </c>
      <c r="B4908" s="2" t="str">
        <f>HYPERLINK("https://www.compass.com/building/one-united-nations-park-manhattan-ny/282058773630059653/","One United Nations Park")</f>
        <v>One United Nations Park</v>
      </c>
      <c r="C4908" s="1" t="s">
        <v>59</v>
      </c>
      <c r="D4908" s="1" t="s">
        <v>41</v>
      </c>
      <c r="E4908" s="3">
        <v>2400000</v>
      </c>
      <c r="F4908" s="1">
        <v>1463.4146341463399</v>
      </c>
      <c r="G4908" s="1">
        <v>4</v>
      </c>
      <c r="H4908" s="1">
        <v>2</v>
      </c>
      <c r="I4908" s="1">
        <v>2</v>
      </c>
      <c r="J4908" s="1">
        <v>1.5</v>
      </c>
      <c r="K4908" s="1">
        <v>1</v>
      </c>
      <c r="L4908" s="1">
        <v>1</v>
      </c>
      <c r="M4908" s="4">
        <v>1640</v>
      </c>
      <c r="N4908" s="1">
        <v>2198</v>
      </c>
      <c r="O4908" s="1">
        <v>4809</v>
      </c>
      <c r="P4908" s="1">
        <v>2611</v>
      </c>
      <c r="Q4908" s="1" t="s">
        <v>42</v>
      </c>
      <c r="S4908" s="1" t="s">
        <v>42</v>
      </c>
      <c r="T4908" s="1" t="s">
        <v>273</v>
      </c>
      <c r="V4908" s="5">
        <v>44412</v>
      </c>
      <c r="W4908" s="5">
        <v>44249</v>
      </c>
      <c r="X4908" s="1">
        <v>2570000</v>
      </c>
      <c r="Y4908" s="1">
        <v>2570000</v>
      </c>
      <c r="Z4908" s="5">
        <v>44250</v>
      </c>
      <c r="AA4908" s="1">
        <v>2400000</v>
      </c>
      <c r="AB4908" s="1" t="s">
        <v>275</v>
      </c>
      <c r="AC4908" s="5">
        <v>44410</v>
      </c>
      <c r="AF4908" s="1">
        <v>10016</v>
      </c>
      <c r="AJ4908" s="1">
        <v>2019</v>
      </c>
      <c r="AK4908" s="1" t="s">
        <v>46</v>
      </c>
      <c r="AL4908" s="1">
        <v>148</v>
      </c>
    </row>
    <row r="4909" spans="1:38" x14ac:dyDescent="0.2">
      <c r="A4909" s="2" t="str">
        <f>HYPERLINK("https://www.compass.com/listing/16-west-40th-street-unit-29c-manhattan-ny-10018/29514375719102769/","16 W 40th St, Unit 29C")</f>
        <v>16 W 40th St, Unit 29C</v>
      </c>
      <c r="B4909" s="2" t="str">
        <f>HYPERLINK("https://www.compass.com/building/the-bryant-manhattan-ny/281942863485395813/","The Bryant")</f>
        <v>The Bryant</v>
      </c>
      <c r="C4909" s="1" t="s">
        <v>126</v>
      </c>
      <c r="D4909" s="1" t="s">
        <v>41</v>
      </c>
      <c r="E4909" s="3">
        <v>3972500</v>
      </c>
      <c r="F4909" s="1">
        <v>2989.0895410082699</v>
      </c>
      <c r="G4909" s="1">
        <v>4</v>
      </c>
      <c r="H4909" s="1">
        <v>2</v>
      </c>
      <c r="I4909" s="1">
        <v>2</v>
      </c>
      <c r="J4909" s="1">
        <v>2</v>
      </c>
      <c r="K4909" s="1">
        <v>2</v>
      </c>
      <c r="M4909" s="4">
        <v>1329</v>
      </c>
      <c r="N4909" s="1">
        <v>2424.94</v>
      </c>
      <c r="O4909" s="1">
        <v>4515.2700000000004</v>
      </c>
      <c r="P4909" s="1">
        <v>2090.3333333333298</v>
      </c>
      <c r="Q4909" s="1" t="s">
        <v>42</v>
      </c>
      <c r="S4909" s="1" t="s">
        <v>42</v>
      </c>
      <c r="T4909" s="1" t="s">
        <v>273</v>
      </c>
      <c r="U4909" s="1">
        <v>9</v>
      </c>
      <c r="V4909" s="5">
        <v>43669</v>
      </c>
      <c r="W4909" s="5">
        <v>42501</v>
      </c>
      <c r="X4909" s="1">
        <v>4000000</v>
      </c>
      <c r="Y4909" s="1">
        <v>4000000</v>
      </c>
      <c r="Z4909" s="5">
        <v>42510</v>
      </c>
      <c r="AA4909" s="1">
        <v>3972500</v>
      </c>
      <c r="AB4909" s="1" t="s">
        <v>3455</v>
      </c>
      <c r="AC4909" s="5">
        <v>43648</v>
      </c>
      <c r="AF4909" s="1">
        <v>10018</v>
      </c>
      <c r="AI4909" s="1" t="s">
        <v>58</v>
      </c>
      <c r="AJ4909" s="1">
        <v>2017</v>
      </c>
      <c r="AK4909" s="1" t="s">
        <v>46</v>
      </c>
      <c r="AL4909" s="1">
        <v>57</v>
      </c>
    </row>
    <row r="4910" spans="1:38" x14ac:dyDescent="0.2">
      <c r="A4910" s="2" t="str">
        <f>HYPERLINK("https://www.compass.com/listing/100-east-53rd-street-unit-42b-manhattan-ny-10022/455499705137747489/","100 E 53rd St, Unit 42B")</f>
        <v>100 E 53rd St, Unit 42B</v>
      </c>
      <c r="B4910" s="2" t="str">
        <f t="shared" ref="B4910:B4911" si="832">HYPERLINK("https://www.compass.com/building/100-east-53rd-street-manhattan-ny/281952230490310325/","100 East 53rd Street ")</f>
        <v xml:space="preserve">100 East 53rd Street </v>
      </c>
      <c r="C4910" s="1" t="s">
        <v>116</v>
      </c>
      <c r="D4910" s="1" t="s">
        <v>41</v>
      </c>
      <c r="E4910" s="3">
        <v>3488220</v>
      </c>
      <c r="F4910" s="1">
        <v>2536.8870909090901</v>
      </c>
      <c r="H4910" s="1">
        <v>1</v>
      </c>
      <c r="J4910" s="1">
        <v>1.5</v>
      </c>
      <c r="M4910" s="4">
        <v>1375</v>
      </c>
      <c r="N4910" s="1">
        <v>2289</v>
      </c>
      <c r="O4910" s="1">
        <v>4498</v>
      </c>
      <c r="P4910" s="1">
        <v>2209</v>
      </c>
      <c r="Q4910" s="1" t="s">
        <v>42</v>
      </c>
      <c r="S4910" s="1" t="s">
        <v>42</v>
      </c>
      <c r="T4910" s="1" t="s">
        <v>273</v>
      </c>
      <c r="AA4910" s="1">
        <v>3488219.75</v>
      </c>
      <c r="AB4910" s="1" t="s">
        <v>3456</v>
      </c>
      <c r="AC4910" s="5">
        <v>43521</v>
      </c>
      <c r="AF4910" s="1">
        <v>10022</v>
      </c>
      <c r="AJ4910" s="1">
        <v>2017</v>
      </c>
      <c r="AK4910" s="1" t="s">
        <v>49</v>
      </c>
      <c r="AL4910" s="1">
        <v>94</v>
      </c>
    </row>
    <row r="4911" spans="1:38" x14ac:dyDescent="0.2">
      <c r="A4911" s="2" t="str">
        <f>HYPERLINK("https://www.compass.com/listing/100-east-53rd-street-unit-46b-manhattan-ny-10022/455499706093731521/","100 E 53rd St, Unit 46B")</f>
        <v>100 E 53rd St, Unit 46B</v>
      </c>
      <c r="B4911" s="2" t="str">
        <f t="shared" si="832"/>
        <v xml:space="preserve">100 East 53rd Street </v>
      </c>
      <c r="C4911" s="1" t="s">
        <v>116</v>
      </c>
      <c r="D4911" s="1" t="s">
        <v>41</v>
      </c>
      <c r="E4911" s="3">
        <v>3770275</v>
      </c>
      <c r="F4911" s="1">
        <v>2742.01818181818</v>
      </c>
      <c r="H4911" s="1">
        <v>1</v>
      </c>
      <c r="J4911" s="1">
        <v>1.5</v>
      </c>
      <c r="K4911" s="1">
        <v>1</v>
      </c>
      <c r="M4911" s="4">
        <v>1375</v>
      </c>
      <c r="N4911" s="1">
        <v>2289</v>
      </c>
      <c r="O4911" s="1">
        <v>4498</v>
      </c>
      <c r="P4911" s="1">
        <v>2209</v>
      </c>
      <c r="Q4911" s="1" t="s">
        <v>42</v>
      </c>
      <c r="S4911" s="1" t="s">
        <v>42</v>
      </c>
      <c r="T4911" s="1" t="s">
        <v>273</v>
      </c>
      <c r="AA4911" s="1">
        <v>3770275</v>
      </c>
      <c r="AB4911" s="1" t="s">
        <v>3457</v>
      </c>
      <c r="AC4911" s="5">
        <v>43518</v>
      </c>
      <c r="AF4911" s="1">
        <v>10022</v>
      </c>
      <c r="AJ4911" s="1">
        <v>2017</v>
      </c>
      <c r="AK4911" s="1" t="s">
        <v>49</v>
      </c>
      <c r="AL4911" s="1">
        <v>94</v>
      </c>
    </row>
    <row r="4912" spans="1:38" x14ac:dyDescent="0.2">
      <c r="A4912" s="2" t="str">
        <f>HYPERLINK("https://www.compass.com/listing/16-west-40th-street-unit-17a-manhattan-ny-10018/29514374200819249/","16 W 40th St, Unit 17A")</f>
        <v>16 W 40th St, Unit 17A</v>
      </c>
      <c r="B4912" s="2" t="str">
        <f t="shared" ref="B4912:B4913" si="833">HYPERLINK("https://www.compass.com/building/the-bryant-manhattan-ny/281942863485395813/","The Bryant")</f>
        <v>The Bryant</v>
      </c>
      <c r="C4912" s="1" t="s">
        <v>126</v>
      </c>
      <c r="D4912" s="1" t="s">
        <v>41</v>
      </c>
      <c r="E4912" s="3">
        <v>3730000</v>
      </c>
      <c r="F4912" s="1">
        <v>2681.5240833932398</v>
      </c>
      <c r="G4912" s="1">
        <v>3</v>
      </c>
      <c r="H4912" s="1">
        <v>2</v>
      </c>
      <c r="I4912" s="1">
        <v>2</v>
      </c>
      <c r="J4912" s="1">
        <v>2.5</v>
      </c>
      <c r="K4912" s="1">
        <v>2</v>
      </c>
      <c r="L4912" s="1">
        <v>1</v>
      </c>
      <c r="M4912" s="4">
        <v>1391</v>
      </c>
      <c r="N4912" s="1">
        <v>2396</v>
      </c>
      <c r="O4912" s="1">
        <v>4462</v>
      </c>
      <c r="P4912" s="1">
        <v>2066</v>
      </c>
      <c r="Q4912" s="1" t="s">
        <v>42</v>
      </c>
      <c r="S4912" s="1" t="s">
        <v>42</v>
      </c>
      <c r="T4912" s="1" t="s">
        <v>273</v>
      </c>
      <c r="U4912" s="1">
        <v>45</v>
      </c>
      <c r="V4912" s="5">
        <v>43642</v>
      </c>
      <c r="W4912" s="5">
        <v>43173</v>
      </c>
      <c r="X4912" s="1">
        <v>3880000</v>
      </c>
      <c r="Y4912" s="1">
        <v>3880000</v>
      </c>
      <c r="Z4912" s="5">
        <v>43218</v>
      </c>
      <c r="AA4912" s="1">
        <v>3730000</v>
      </c>
      <c r="AB4912" s="1" t="s">
        <v>3458</v>
      </c>
      <c r="AC4912" s="5">
        <v>43334</v>
      </c>
      <c r="AF4912" s="1">
        <v>10018</v>
      </c>
      <c r="AI4912" s="1" t="s">
        <v>58</v>
      </c>
      <c r="AJ4912" s="1">
        <v>2017</v>
      </c>
      <c r="AK4912" s="1" t="s">
        <v>46</v>
      </c>
      <c r="AL4912" s="1">
        <v>57</v>
      </c>
    </row>
    <row r="4913" spans="1:38" x14ac:dyDescent="0.2">
      <c r="A4913" s="2" t="str">
        <f>HYPERLINK("https://www.compass.com/listing/16-west-40th-street-unit-21c-manhattan-ny-10018/29514372246273489/","16 W 40th St, Unit 21C")</f>
        <v>16 W 40th St, Unit 21C</v>
      </c>
      <c r="B4913" s="2" t="str">
        <f t="shared" si="833"/>
        <v>The Bryant</v>
      </c>
      <c r="C4913" s="1" t="s">
        <v>126</v>
      </c>
      <c r="D4913" s="1" t="s">
        <v>41</v>
      </c>
      <c r="E4913" s="3">
        <v>3324586</v>
      </c>
      <c r="F4913" s="1">
        <v>2501.5696012039102</v>
      </c>
      <c r="G4913" s="1">
        <v>3</v>
      </c>
      <c r="H4913" s="1">
        <v>2</v>
      </c>
      <c r="I4913" s="1">
        <v>3</v>
      </c>
      <c r="J4913" s="1">
        <v>2.5</v>
      </c>
      <c r="K4913" s="1">
        <v>2</v>
      </c>
      <c r="L4913" s="1">
        <v>1</v>
      </c>
      <c r="M4913" s="4">
        <v>1329</v>
      </c>
      <c r="N4913" s="1">
        <v>2335</v>
      </c>
      <c r="O4913" s="1">
        <v>4348</v>
      </c>
      <c r="P4913" s="1">
        <v>2013</v>
      </c>
      <c r="Q4913" s="1" t="s">
        <v>42</v>
      </c>
      <c r="S4913" s="1" t="s">
        <v>42</v>
      </c>
      <c r="T4913" s="1" t="s">
        <v>273</v>
      </c>
      <c r="U4913" s="1">
        <v>77</v>
      </c>
      <c r="V4913" s="5">
        <v>43633</v>
      </c>
      <c r="W4913" s="5">
        <v>42396</v>
      </c>
      <c r="X4913" s="1">
        <v>3390000</v>
      </c>
      <c r="Y4913" s="1">
        <v>3390000</v>
      </c>
      <c r="Z4913" s="5">
        <v>42473</v>
      </c>
      <c r="AA4913" s="1">
        <v>3324586</v>
      </c>
      <c r="AB4913" s="1" t="s">
        <v>3459</v>
      </c>
      <c r="AC4913" s="5">
        <v>43396</v>
      </c>
      <c r="AF4913" s="1">
        <v>10018</v>
      </c>
      <c r="AI4913" s="1" t="s">
        <v>3330</v>
      </c>
      <c r="AJ4913" s="1">
        <v>2017</v>
      </c>
      <c r="AK4913" s="1" t="s">
        <v>46</v>
      </c>
      <c r="AL4913" s="1">
        <v>57</v>
      </c>
    </row>
    <row r="4914" spans="1:38" x14ac:dyDescent="0.2">
      <c r="A4914" s="2" t="str">
        <f>HYPERLINK("https://www.compass.com/listing/456-west-167th-street-unit-1mb-manhattan-ny-10032/29435094070529249/","456 W 167th St, Unit 1MB")</f>
        <v>456 W 167th St, Unit 1MB</v>
      </c>
      <c r="B4914" s="2" t="str">
        <f>HYPERLINK("https://www.compass.com/building/edgecombe-parc-manhattan-ny/282005897969005013/","Edgecombe Parc")</f>
        <v>Edgecombe Parc</v>
      </c>
      <c r="C4914" s="1" t="s">
        <v>93</v>
      </c>
      <c r="D4914" s="1" t="s">
        <v>41</v>
      </c>
      <c r="E4914" s="3">
        <v>676500</v>
      </c>
      <c r="F4914" s="1">
        <v>623.502304147465</v>
      </c>
      <c r="G4914" s="1">
        <v>2</v>
      </c>
      <c r="H4914" s="1" t="s">
        <v>99</v>
      </c>
      <c r="I4914" s="1">
        <v>1</v>
      </c>
      <c r="J4914" s="1">
        <v>1</v>
      </c>
      <c r="M4914" s="4">
        <v>1085</v>
      </c>
      <c r="N4914" s="1">
        <v>594</v>
      </c>
      <c r="O4914" s="1">
        <v>594</v>
      </c>
      <c r="Q4914" s="1" t="s">
        <v>2921</v>
      </c>
      <c r="S4914" s="1" t="s">
        <v>100</v>
      </c>
      <c r="T4914" s="1" t="s">
        <v>273</v>
      </c>
      <c r="U4914" s="1">
        <v>185</v>
      </c>
      <c r="V4914" s="5">
        <v>43664</v>
      </c>
      <c r="W4914" s="5">
        <v>42511</v>
      </c>
      <c r="X4914" s="1">
        <v>738000</v>
      </c>
      <c r="Y4914" s="1">
        <v>738000</v>
      </c>
      <c r="AA4914" s="1">
        <v>676500</v>
      </c>
      <c r="AB4914" s="1" t="s">
        <v>3460</v>
      </c>
      <c r="AC4914" s="5">
        <v>42696</v>
      </c>
      <c r="AF4914" s="1">
        <v>10032</v>
      </c>
      <c r="AI4914" s="1" t="s">
        <v>48</v>
      </c>
      <c r="AJ4914" s="1">
        <v>2014</v>
      </c>
      <c r="AK4914" s="1" t="s">
        <v>115</v>
      </c>
      <c r="AL4914" s="1">
        <v>49</v>
      </c>
    </row>
    <row r="4915" spans="1:38" x14ac:dyDescent="0.2">
      <c r="A4915" s="2" t="str">
        <f>HYPERLINK("https://www.compass.com/listing/16-west-40th-street-unit-22a-manhattan-ny-10018/161420283490616097/","16 W 40th St, Unit 22A")</f>
        <v>16 W 40th St, Unit 22A</v>
      </c>
      <c r="B4915" s="2" t="str">
        <f>HYPERLINK("https://www.compass.com/building/the-bryant-manhattan-ny/281942863485395813/","The Bryant")</f>
        <v>The Bryant</v>
      </c>
      <c r="C4915" s="1" t="s">
        <v>126</v>
      </c>
      <c r="D4915" s="1" t="s">
        <v>41</v>
      </c>
      <c r="E4915" s="3">
        <v>3500000</v>
      </c>
      <c r="F4915" s="1">
        <v>2516.1754133716699</v>
      </c>
      <c r="G4915" s="1">
        <v>3.5</v>
      </c>
      <c r="H4915" s="1">
        <v>2</v>
      </c>
      <c r="I4915" s="1">
        <v>3</v>
      </c>
      <c r="J4915" s="1">
        <v>2.5</v>
      </c>
      <c r="K4915" s="1">
        <v>2</v>
      </c>
      <c r="L4915" s="1">
        <v>1</v>
      </c>
      <c r="M4915" s="4">
        <v>1391</v>
      </c>
      <c r="N4915" s="1">
        <v>2661</v>
      </c>
      <c r="O4915" s="1">
        <v>4862</v>
      </c>
      <c r="P4915" s="1">
        <v>2201</v>
      </c>
      <c r="Q4915" s="1" t="s">
        <v>42</v>
      </c>
      <c r="S4915" s="1" t="s">
        <v>42</v>
      </c>
      <c r="T4915" s="1" t="s">
        <v>273</v>
      </c>
      <c r="U4915" s="1">
        <v>399</v>
      </c>
      <c r="V4915" s="5">
        <v>44005</v>
      </c>
      <c r="W4915" s="5">
        <v>43438</v>
      </c>
      <c r="X4915" s="1">
        <v>4180000</v>
      </c>
      <c r="Y4915" s="1">
        <v>3995000</v>
      </c>
      <c r="Z4915" s="5">
        <v>43959</v>
      </c>
      <c r="AA4915" s="1">
        <v>3500000</v>
      </c>
      <c r="AB4915" s="1" t="s">
        <v>3461</v>
      </c>
      <c r="AC4915" s="5">
        <v>43987</v>
      </c>
      <c r="AF4915" s="1">
        <v>10018</v>
      </c>
      <c r="AI4915" s="1" t="s">
        <v>58</v>
      </c>
      <c r="AJ4915" s="1">
        <v>2017</v>
      </c>
      <c r="AK4915" s="1" t="s">
        <v>46</v>
      </c>
      <c r="AL4915" s="1">
        <v>57</v>
      </c>
    </row>
    <row r="4916" spans="1:38" x14ac:dyDescent="0.2">
      <c r="A4916" s="2" t="str">
        <f>HYPERLINK("https://www.compass.com/listing/138-east-50th-street-unit-17b-manhattan-ny-10022/536111092584463617/","138 E 50th St, Unit 17B")</f>
        <v>138 E 50th St, Unit 17B</v>
      </c>
      <c r="B4916" s="2" t="str">
        <f t="shared" ref="B4916:B4917" si="834">HYPERLINK("https://www.compass.com/building/the-centrale-manhattan-ny/281941497232811621/","The Centrale")</f>
        <v>The Centrale</v>
      </c>
      <c r="C4916" s="1" t="s">
        <v>116</v>
      </c>
      <c r="D4916" s="1" t="s">
        <v>41</v>
      </c>
      <c r="E4916" s="3">
        <v>1407729</v>
      </c>
      <c r="F4916" s="1">
        <v>1662.01814639905</v>
      </c>
      <c r="G4916" s="1">
        <v>3.5</v>
      </c>
      <c r="H4916" s="1">
        <v>1</v>
      </c>
      <c r="I4916" s="1">
        <v>2</v>
      </c>
      <c r="J4916" s="1">
        <v>1.5</v>
      </c>
      <c r="K4916" s="1">
        <v>1</v>
      </c>
      <c r="L4916" s="1">
        <v>1</v>
      </c>
      <c r="M4916" s="1">
        <v>847</v>
      </c>
      <c r="N4916" s="1">
        <v>850</v>
      </c>
      <c r="O4916" s="1">
        <v>2117</v>
      </c>
      <c r="P4916" s="1">
        <v>1267</v>
      </c>
      <c r="Q4916" s="1" t="s">
        <v>42</v>
      </c>
      <c r="S4916" s="1" t="s">
        <v>42</v>
      </c>
      <c r="T4916" s="1" t="s">
        <v>273</v>
      </c>
      <c r="U4916" s="1">
        <v>286</v>
      </c>
      <c r="V4916" s="5">
        <v>44324</v>
      </c>
      <c r="W4916" s="5">
        <v>43991</v>
      </c>
      <c r="X4916" s="1">
        <v>1760000</v>
      </c>
      <c r="Y4916" s="1">
        <v>1760000</v>
      </c>
      <c r="Z4916" s="5">
        <v>44290</v>
      </c>
      <c r="AA4916" s="1">
        <v>1407729.37</v>
      </c>
      <c r="AB4916" s="1" t="s">
        <v>3462</v>
      </c>
      <c r="AC4916" s="5">
        <v>44292</v>
      </c>
      <c r="AF4916" s="1">
        <v>10022</v>
      </c>
      <c r="AI4916" s="1" t="s">
        <v>48</v>
      </c>
      <c r="AJ4916" s="1">
        <v>2019</v>
      </c>
      <c r="AK4916" s="1" t="s">
        <v>55</v>
      </c>
      <c r="AL4916" s="1">
        <v>124</v>
      </c>
    </row>
    <row r="4917" spans="1:38" x14ac:dyDescent="0.2">
      <c r="A4917" s="2" t="str">
        <f>HYPERLINK("https://www.compass.com/listing/138-east-50th-street-unit-18b-manhattan-ny-10022/545738787626826361/","138 E 50th St, Unit 18B")</f>
        <v>138 E 50th St, Unit 18B</v>
      </c>
      <c r="B4917" s="2" t="str">
        <f t="shared" si="834"/>
        <v>The Centrale</v>
      </c>
      <c r="C4917" s="1" t="s">
        <v>116</v>
      </c>
      <c r="D4917" s="1" t="s">
        <v>41</v>
      </c>
      <c r="E4917" s="3">
        <v>1500000</v>
      </c>
      <c r="F4917" s="1">
        <v>1770.9563164108599</v>
      </c>
      <c r="G4917" s="1">
        <v>3.5</v>
      </c>
      <c r="H4917" s="1">
        <v>1</v>
      </c>
      <c r="I4917" s="1">
        <v>2</v>
      </c>
      <c r="J4917" s="1">
        <v>1.5</v>
      </c>
      <c r="K4917" s="1">
        <v>1</v>
      </c>
      <c r="L4917" s="1">
        <v>1</v>
      </c>
      <c r="M4917" s="1">
        <v>847</v>
      </c>
      <c r="N4917" s="1">
        <v>853</v>
      </c>
      <c r="O4917" s="1">
        <v>2480</v>
      </c>
      <c r="P4917" s="1">
        <v>1627</v>
      </c>
      <c r="Q4917" s="1" t="s">
        <v>42</v>
      </c>
      <c r="S4917" s="1" t="s">
        <v>42</v>
      </c>
      <c r="T4917" s="1" t="s">
        <v>273</v>
      </c>
      <c r="V4917" s="5">
        <v>44314</v>
      </c>
      <c r="W4917" s="5">
        <v>44004</v>
      </c>
      <c r="X4917" s="1">
        <v>1775000</v>
      </c>
      <c r="Y4917" s="1">
        <v>1775000</v>
      </c>
      <c r="Z4917" s="5">
        <v>44005</v>
      </c>
      <c r="AA4917" s="1">
        <v>1500000</v>
      </c>
      <c r="AB4917" s="1" t="s">
        <v>3463</v>
      </c>
      <c r="AC4917" s="5">
        <v>44232</v>
      </c>
      <c r="AF4917" s="1">
        <v>10022</v>
      </c>
      <c r="AI4917" s="1" t="s">
        <v>48</v>
      </c>
      <c r="AJ4917" s="1">
        <v>2019</v>
      </c>
      <c r="AK4917" s="1" t="s">
        <v>55</v>
      </c>
      <c r="AL4917" s="1">
        <v>124</v>
      </c>
    </row>
    <row r="4918" spans="1:38" x14ac:dyDescent="0.2">
      <c r="A4918" s="2" t="str">
        <f>HYPERLINK("https://www.compass.com/listing/456-west-167th-street-unit-7d-manhattan-ny-10032/29435115721529697/","456 W 167th St, Unit 7D")</f>
        <v>456 W 167th St, Unit 7D</v>
      </c>
      <c r="B4918" s="2" t="str">
        <f t="shared" ref="B4918:B4919" si="835">HYPERLINK("https://www.compass.com/building/edgecombe-parc-manhattan-ny/282005897969005013/","Edgecombe Parc")</f>
        <v>Edgecombe Parc</v>
      </c>
      <c r="C4918" s="1" t="s">
        <v>93</v>
      </c>
      <c r="D4918" s="1" t="s">
        <v>41</v>
      </c>
      <c r="E4918" s="3">
        <v>911334</v>
      </c>
      <c r="F4918" s="1">
        <v>778.25256191289498</v>
      </c>
      <c r="H4918" s="1">
        <v>2</v>
      </c>
      <c r="J4918" s="1">
        <v>2</v>
      </c>
      <c r="M4918" s="4">
        <v>1171</v>
      </c>
      <c r="N4918" s="1">
        <v>787</v>
      </c>
      <c r="O4918" s="1">
        <v>1643</v>
      </c>
      <c r="P4918" s="1">
        <v>856</v>
      </c>
      <c r="Q4918" s="1" t="s">
        <v>42</v>
      </c>
      <c r="S4918" s="1" t="s">
        <v>42</v>
      </c>
      <c r="T4918" s="1" t="s">
        <v>273</v>
      </c>
      <c r="AA4918" s="1">
        <v>911333.75</v>
      </c>
      <c r="AB4918" s="1" t="s">
        <v>3464</v>
      </c>
      <c r="AC4918" s="5">
        <v>42100</v>
      </c>
      <c r="AF4918" s="1">
        <v>10032</v>
      </c>
      <c r="AI4918" s="1" t="s">
        <v>48</v>
      </c>
      <c r="AJ4918" s="1">
        <v>2014</v>
      </c>
      <c r="AK4918" s="1" t="s">
        <v>70</v>
      </c>
      <c r="AL4918" s="1">
        <v>49</v>
      </c>
    </row>
    <row r="4919" spans="1:38" x14ac:dyDescent="0.2">
      <c r="A4919" s="2" t="str">
        <f>HYPERLINK("https://www.compass.com/listing/456-west-167th-street-unit-7a-manhattan-ny-10032/70916018339323905/","456 W 167th St, Unit 7A")</f>
        <v>456 W 167th St, Unit 7A</v>
      </c>
      <c r="B4919" s="2" t="str">
        <f t="shared" si="835"/>
        <v>Edgecombe Parc</v>
      </c>
      <c r="C4919" s="1" t="s">
        <v>93</v>
      </c>
      <c r="D4919" s="1" t="s">
        <v>41</v>
      </c>
      <c r="E4919" s="3">
        <v>824783</v>
      </c>
      <c r="F4919" s="1">
        <v>860.04431699687098</v>
      </c>
      <c r="H4919" s="1">
        <v>2</v>
      </c>
      <c r="J4919" s="1">
        <v>2</v>
      </c>
      <c r="M4919" s="1">
        <v>959</v>
      </c>
      <c r="N4919" s="1">
        <v>682</v>
      </c>
      <c r="O4919" s="1">
        <v>1424</v>
      </c>
      <c r="P4919" s="1">
        <v>742</v>
      </c>
      <c r="Q4919" s="1" t="s">
        <v>42</v>
      </c>
      <c r="S4919" s="1" t="s">
        <v>42</v>
      </c>
      <c r="T4919" s="1" t="s">
        <v>273</v>
      </c>
      <c r="AA4919" s="1">
        <v>824782.5</v>
      </c>
      <c r="AB4919" s="1" t="s">
        <v>3465</v>
      </c>
      <c r="AC4919" s="5">
        <v>42118</v>
      </c>
      <c r="AF4919" s="1">
        <v>10032</v>
      </c>
      <c r="AI4919" s="1" t="s">
        <v>48</v>
      </c>
      <c r="AJ4919" s="1">
        <v>2014</v>
      </c>
      <c r="AK4919" s="1" t="s">
        <v>70</v>
      </c>
      <c r="AL4919" s="1">
        <v>49</v>
      </c>
    </row>
    <row r="4920" spans="1:38" x14ac:dyDescent="0.2">
      <c r="A4920" s="2" t="str">
        <f>HYPERLINK("https://www.compass.com/listing/16-west-40th-street-unit-26c-manhattan-ny-10018/29514371893897345/","16 W 40th St, Unit 26C")</f>
        <v>16 W 40th St, Unit 26C</v>
      </c>
      <c r="B4920" s="2" t="str">
        <f t="shared" ref="B4920:B4926" si="836">HYPERLINK("https://www.compass.com/building/the-bryant-manhattan-ny/281942863485395813/","The Bryant")</f>
        <v>The Bryant</v>
      </c>
      <c r="C4920" s="1" t="s">
        <v>126</v>
      </c>
      <c r="D4920" s="1" t="s">
        <v>41</v>
      </c>
      <c r="E4920" s="3">
        <v>3765000</v>
      </c>
      <c r="F4920" s="1">
        <v>2832.95711060948</v>
      </c>
      <c r="G4920" s="1">
        <v>3</v>
      </c>
      <c r="H4920" s="1">
        <v>2</v>
      </c>
      <c r="I4920" s="1">
        <v>3</v>
      </c>
      <c r="J4920" s="1">
        <v>2.5</v>
      </c>
      <c r="K4920" s="1">
        <v>2</v>
      </c>
      <c r="L4920" s="1">
        <v>1</v>
      </c>
      <c r="M4920" s="4">
        <v>1329</v>
      </c>
      <c r="N4920" s="1">
        <v>2391</v>
      </c>
      <c r="O4920" s="1">
        <v>4452</v>
      </c>
      <c r="P4920" s="1">
        <v>2061</v>
      </c>
      <c r="Q4920" s="1" t="s">
        <v>42</v>
      </c>
      <c r="S4920" s="1" t="s">
        <v>42</v>
      </c>
      <c r="T4920" s="1" t="s">
        <v>273</v>
      </c>
      <c r="U4920" s="1">
        <v>5</v>
      </c>
      <c r="V4920" s="5">
        <v>43641</v>
      </c>
      <c r="W4920" s="5">
        <v>42392</v>
      </c>
      <c r="X4920" s="1">
        <v>3830000</v>
      </c>
      <c r="Y4920" s="1">
        <v>3830000</v>
      </c>
      <c r="Z4920" s="5">
        <v>42397</v>
      </c>
      <c r="AA4920" s="1">
        <v>3765000</v>
      </c>
      <c r="AB4920" s="1" t="s">
        <v>3466</v>
      </c>
      <c r="AC4920" s="5">
        <v>43518</v>
      </c>
      <c r="AF4920" s="1">
        <v>10018</v>
      </c>
      <c r="AI4920" s="1" t="s">
        <v>58</v>
      </c>
      <c r="AJ4920" s="1">
        <v>2017</v>
      </c>
      <c r="AK4920" s="1" t="s">
        <v>46</v>
      </c>
      <c r="AL4920" s="1">
        <v>57</v>
      </c>
    </row>
    <row r="4921" spans="1:38" x14ac:dyDescent="0.2">
      <c r="A4921" s="2" t="str">
        <f>HYPERLINK("https://www.compass.com/listing/16-west-40th-street-unit-26a-manhattan-ny-10018/29514373579965825/","16 W 40th St, Unit 26A")</f>
        <v>16 W 40th St, Unit 26A</v>
      </c>
      <c r="B4921" s="2" t="str">
        <f t="shared" si="836"/>
        <v>The Bryant</v>
      </c>
      <c r="C4921" s="1" t="s">
        <v>126</v>
      </c>
      <c r="D4921" s="1" t="s">
        <v>41</v>
      </c>
      <c r="E4921" s="3">
        <v>5203258</v>
      </c>
      <c r="F4921" s="1">
        <v>3153.4896969696902</v>
      </c>
      <c r="G4921" s="1">
        <v>3</v>
      </c>
      <c r="H4921" s="1">
        <v>2</v>
      </c>
      <c r="I4921" s="1">
        <v>3</v>
      </c>
      <c r="J4921" s="1">
        <v>2.5</v>
      </c>
      <c r="K4921" s="1">
        <v>2</v>
      </c>
      <c r="L4921" s="1">
        <v>1</v>
      </c>
      <c r="M4921" s="4">
        <v>1650</v>
      </c>
      <c r="N4921" s="1">
        <v>2968</v>
      </c>
      <c r="O4921" s="1">
        <v>5527</v>
      </c>
      <c r="P4921" s="1">
        <v>2559</v>
      </c>
      <c r="Q4921" s="1" t="s">
        <v>42</v>
      </c>
      <c r="S4921" s="1" t="s">
        <v>42</v>
      </c>
      <c r="T4921" s="1" t="s">
        <v>273</v>
      </c>
      <c r="U4921" s="1">
        <v>3</v>
      </c>
      <c r="V4921" s="5">
        <v>43648</v>
      </c>
      <c r="W4921" s="5">
        <v>42389</v>
      </c>
      <c r="X4921" s="1">
        <v>5110000</v>
      </c>
      <c r="Y4921" s="1">
        <v>5110000</v>
      </c>
      <c r="Z4921" s="5">
        <v>42392</v>
      </c>
      <c r="AA4921" s="1">
        <v>5203258</v>
      </c>
      <c r="AB4921" s="1" t="s">
        <v>3467</v>
      </c>
      <c r="AC4921" s="5">
        <v>43536</v>
      </c>
      <c r="AF4921" s="1">
        <v>10018</v>
      </c>
      <c r="AI4921" s="1" t="s">
        <v>58</v>
      </c>
      <c r="AJ4921" s="1">
        <v>2017</v>
      </c>
      <c r="AK4921" s="1" t="s">
        <v>46</v>
      </c>
      <c r="AL4921" s="1">
        <v>57</v>
      </c>
    </row>
    <row r="4922" spans="1:38" x14ac:dyDescent="0.2">
      <c r="A4922" s="2" t="str">
        <f>HYPERLINK("https://www.compass.com/listing/16-west-40th-street-unit-29a-manhattan-ny-10018/29514374544655777/","16 W 40th St, Unit 29A")</f>
        <v>16 W 40th St, Unit 29A</v>
      </c>
      <c r="B4922" s="2" t="str">
        <f t="shared" si="836"/>
        <v>The Bryant</v>
      </c>
      <c r="C4922" s="1" t="s">
        <v>126</v>
      </c>
      <c r="D4922" s="1" t="s">
        <v>41</v>
      </c>
      <c r="E4922" s="3">
        <v>5508733</v>
      </c>
      <c r="F4922" s="1">
        <v>3338.62575757575</v>
      </c>
      <c r="G4922" s="1">
        <v>4</v>
      </c>
      <c r="H4922" s="1">
        <v>2</v>
      </c>
      <c r="I4922" s="1">
        <v>3</v>
      </c>
      <c r="J4922" s="1">
        <v>2.5</v>
      </c>
      <c r="K4922" s="1">
        <v>2</v>
      </c>
      <c r="L4922" s="1">
        <v>1</v>
      </c>
      <c r="M4922" s="4">
        <v>1650</v>
      </c>
      <c r="N4922" s="1">
        <v>3011</v>
      </c>
      <c r="O4922" s="1">
        <v>5606</v>
      </c>
      <c r="P4922" s="1">
        <v>2595</v>
      </c>
      <c r="Q4922" s="1" t="s">
        <v>42</v>
      </c>
      <c r="S4922" s="1" t="s">
        <v>42</v>
      </c>
      <c r="T4922" s="1" t="s">
        <v>273</v>
      </c>
      <c r="U4922" s="1">
        <v>5</v>
      </c>
      <c r="V4922" s="5">
        <v>43669</v>
      </c>
      <c r="W4922" s="5">
        <v>42419</v>
      </c>
      <c r="X4922" s="1">
        <v>5410000</v>
      </c>
      <c r="Y4922" s="1">
        <v>5410000</v>
      </c>
      <c r="Z4922" s="5">
        <v>42424</v>
      </c>
      <c r="AA4922" s="1">
        <v>5508732.5</v>
      </c>
      <c r="AB4922" s="1" t="s">
        <v>3468</v>
      </c>
      <c r="AC4922" s="5">
        <v>43661</v>
      </c>
      <c r="AF4922" s="1">
        <v>10018</v>
      </c>
      <c r="AI4922" s="1" t="s">
        <v>58</v>
      </c>
      <c r="AJ4922" s="1">
        <v>2017</v>
      </c>
      <c r="AK4922" s="1" t="s">
        <v>46</v>
      </c>
      <c r="AL4922" s="1">
        <v>57</v>
      </c>
    </row>
    <row r="4923" spans="1:38" x14ac:dyDescent="0.2">
      <c r="A4923" s="2" t="str">
        <f>HYPERLINK("https://www.compass.com/listing/16-west-40th-street-unit-27c-manhattan-ny-10018/29514375140343377/","16 W 40th St, Unit 27C")</f>
        <v>16 W 40th St, Unit 27C</v>
      </c>
      <c r="B4923" s="2" t="str">
        <f t="shared" si="836"/>
        <v>The Bryant</v>
      </c>
      <c r="C4923" s="1" t="s">
        <v>126</v>
      </c>
      <c r="D4923" s="1" t="s">
        <v>41</v>
      </c>
      <c r="E4923" s="3">
        <v>3955901</v>
      </c>
      <c r="F4923" s="1">
        <v>2976.59969902182</v>
      </c>
      <c r="G4923" s="1">
        <v>3</v>
      </c>
      <c r="H4923" s="1">
        <v>2</v>
      </c>
      <c r="I4923" s="1">
        <v>3</v>
      </c>
      <c r="J4923" s="1">
        <v>2.5</v>
      </c>
      <c r="K4923" s="1">
        <v>2</v>
      </c>
      <c r="L4923" s="1">
        <v>1</v>
      </c>
      <c r="M4923" s="4">
        <v>1329</v>
      </c>
      <c r="N4923" s="1">
        <v>2402</v>
      </c>
      <c r="O4923" s="1">
        <v>4473</v>
      </c>
      <c r="P4923" s="1">
        <v>2071</v>
      </c>
      <c r="Q4923" s="1" t="s">
        <v>42</v>
      </c>
      <c r="S4923" s="1" t="s">
        <v>42</v>
      </c>
      <c r="T4923" s="1" t="s">
        <v>273</v>
      </c>
      <c r="U4923" s="1">
        <v>12</v>
      </c>
      <c r="V4923" s="5">
        <v>43659</v>
      </c>
      <c r="W4923" s="5">
        <v>42397</v>
      </c>
      <c r="X4923" s="1">
        <v>3885000</v>
      </c>
      <c r="Y4923" s="1">
        <v>3885000</v>
      </c>
      <c r="Z4923" s="5">
        <v>42409</v>
      </c>
      <c r="AA4923" s="1">
        <v>3955901</v>
      </c>
      <c r="AB4923" s="1" t="s">
        <v>3469</v>
      </c>
      <c r="AC4923" s="5">
        <v>43573</v>
      </c>
      <c r="AF4923" s="1">
        <v>10018</v>
      </c>
      <c r="AI4923" s="1" t="s">
        <v>3330</v>
      </c>
      <c r="AJ4923" s="1">
        <v>2017</v>
      </c>
      <c r="AK4923" s="1" t="s">
        <v>46</v>
      </c>
      <c r="AL4923" s="1">
        <v>57</v>
      </c>
    </row>
    <row r="4924" spans="1:38" x14ac:dyDescent="0.2">
      <c r="A4924" s="2" t="str">
        <f>HYPERLINK("https://www.compass.com/listing/16-west-40th-street-unit-28c-manhattan-ny-10018/29514375433848257/","16 W 40th St, Unit 28C")</f>
        <v>16 W 40th St, Unit 28C</v>
      </c>
      <c r="B4924" s="2" t="str">
        <f t="shared" si="836"/>
        <v>The Bryant</v>
      </c>
      <c r="C4924" s="1" t="s">
        <v>126</v>
      </c>
      <c r="D4924" s="1" t="s">
        <v>41</v>
      </c>
      <c r="E4924" s="3">
        <v>3895000</v>
      </c>
      <c r="F4924" s="1">
        <v>2930.7750188111299</v>
      </c>
      <c r="G4924" s="1">
        <v>4</v>
      </c>
      <c r="H4924" s="1">
        <v>2</v>
      </c>
      <c r="I4924" s="1">
        <v>3</v>
      </c>
      <c r="J4924" s="1">
        <v>2.5</v>
      </c>
      <c r="K4924" s="1">
        <v>2</v>
      </c>
      <c r="L4924" s="1">
        <v>1</v>
      </c>
      <c r="M4924" s="4">
        <v>1329</v>
      </c>
      <c r="N4924" s="1">
        <v>2414</v>
      </c>
      <c r="O4924" s="1">
        <v>4495</v>
      </c>
      <c r="P4924" s="1">
        <v>2081</v>
      </c>
      <c r="Q4924" s="1" t="s">
        <v>42</v>
      </c>
      <c r="S4924" s="1" t="s">
        <v>42</v>
      </c>
      <c r="T4924" s="1" t="s">
        <v>273</v>
      </c>
      <c r="U4924" s="1">
        <v>5</v>
      </c>
      <c r="V4924" s="5">
        <v>43659</v>
      </c>
      <c r="W4924" s="5">
        <v>42494</v>
      </c>
      <c r="X4924" s="1">
        <v>3940000</v>
      </c>
      <c r="Y4924" s="1">
        <v>3940000</v>
      </c>
      <c r="Z4924" s="5">
        <v>42499</v>
      </c>
      <c r="AA4924" s="1">
        <v>3895000</v>
      </c>
      <c r="AB4924" s="1" t="s">
        <v>3470</v>
      </c>
      <c r="AC4924" s="5">
        <v>43593</v>
      </c>
      <c r="AF4924" s="1">
        <v>10018</v>
      </c>
      <c r="AI4924" s="1" t="s">
        <v>58</v>
      </c>
      <c r="AJ4924" s="1">
        <v>2017</v>
      </c>
      <c r="AK4924" s="1" t="s">
        <v>46</v>
      </c>
      <c r="AL4924" s="1">
        <v>57</v>
      </c>
    </row>
    <row r="4925" spans="1:38" x14ac:dyDescent="0.2">
      <c r="A4925" s="2" t="str">
        <f>HYPERLINK("https://www.compass.com/listing/16-west-40th-street-unit-28a-manhattan-ny-10018/29514376557963601/","16 W 40th St, Unit 28A")</f>
        <v>16 W 40th St, Unit 28A</v>
      </c>
      <c r="B4925" s="2" t="str">
        <f t="shared" si="836"/>
        <v>The Bryant</v>
      </c>
      <c r="C4925" s="1" t="s">
        <v>126</v>
      </c>
      <c r="D4925" s="1" t="s">
        <v>41</v>
      </c>
      <c r="E4925" s="3">
        <v>4850000</v>
      </c>
      <c r="F4925" s="1">
        <v>2939.3939393939299</v>
      </c>
      <c r="G4925" s="1">
        <v>3</v>
      </c>
      <c r="H4925" s="1">
        <v>2</v>
      </c>
      <c r="I4925" s="1">
        <v>3</v>
      </c>
      <c r="J4925" s="1">
        <v>2.5</v>
      </c>
      <c r="K4925" s="1">
        <v>2</v>
      </c>
      <c r="L4925" s="1">
        <v>1</v>
      </c>
      <c r="M4925" s="4">
        <v>1650</v>
      </c>
      <c r="N4925" s="1">
        <v>2997</v>
      </c>
      <c r="O4925" s="1">
        <v>5580</v>
      </c>
      <c r="P4925" s="1">
        <v>2583</v>
      </c>
      <c r="Q4925" s="1" t="s">
        <v>42</v>
      </c>
      <c r="S4925" s="1" t="s">
        <v>42</v>
      </c>
      <c r="T4925" s="1" t="s">
        <v>273</v>
      </c>
      <c r="U4925" s="1">
        <v>143</v>
      </c>
      <c r="V4925" s="5">
        <v>43615</v>
      </c>
      <c r="W4925" s="5">
        <v>42646</v>
      </c>
      <c r="X4925" s="1">
        <v>5325000</v>
      </c>
      <c r="Y4925" s="1">
        <v>5325000</v>
      </c>
      <c r="Z4925" s="5">
        <v>42790</v>
      </c>
      <c r="AA4925" s="1">
        <v>4850000</v>
      </c>
      <c r="AB4925" s="1" t="s">
        <v>3471</v>
      </c>
      <c r="AC4925" s="5">
        <v>43614</v>
      </c>
      <c r="AF4925" s="1">
        <v>10018</v>
      </c>
      <c r="AI4925" s="1" t="s">
        <v>58</v>
      </c>
      <c r="AJ4925" s="1">
        <v>2017</v>
      </c>
      <c r="AK4925" s="1" t="s">
        <v>46</v>
      </c>
      <c r="AL4925" s="1">
        <v>57</v>
      </c>
    </row>
    <row r="4926" spans="1:38" x14ac:dyDescent="0.2">
      <c r="A4926" s="2" t="str">
        <f>HYPERLINK("https://www.compass.com/listing/16-west-40th-street-unit-25c-manhattan-ny-10018/29514378940286529/","16 W 40th St, Unit 25C")</f>
        <v>16 W 40th St, Unit 25C</v>
      </c>
      <c r="B4926" s="2" t="str">
        <f t="shared" si="836"/>
        <v>The Bryant</v>
      </c>
      <c r="C4926" s="1" t="s">
        <v>126</v>
      </c>
      <c r="D4926" s="1" t="s">
        <v>41</v>
      </c>
      <c r="E4926" s="3">
        <v>3620000</v>
      </c>
      <c r="F4926" s="1">
        <v>2723.85252069225</v>
      </c>
      <c r="G4926" s="1">
        <v>3</v>
      </c>
      <c r="H4926" s="1">
        <v>2</v>
      </c>
      <c r="I4926" s="1">
        <v>3</v>
      </c>
      <c r="J4926" s="1">
        <v>2.5</v>
      </c>
      <c r="K4926" s="1">
        <v>2</v>
      </c>
      <c r="L4926" s="1">
        <v>1</v>
      </c>
      <c r="M4926" s="4">
        <v>1329</v>
      </c>
      <c r="N4926" s="1">
        <v>2380</v>
      </c>
      <c r="O4926" s="1">
        <v>4431</v>
      </c>
      <c r="P4926" s="1">
        <v>2051</v>
      </c>
      <c r="Q4926" s="1" t="s">
        <v>42</v>
      </c>
      <c r="S4926" s="1" t="s">
        <v>42</v>
      </c>
      <c r="T4926" s="1" t="s">
        <v>273</v>
      </c>
      <c r="U4926" s="1">
        <v>23</v>
      </c>
      <c r="V4926" s="5">
        <v>43633</v>
      </c>
      <c r="W4926" s="5">
        <v>42823</v>
      </c>
      <c r="X4926" s="1">
        <v>3740000</v>
      </c>
      <c r="Y4926" s="1">
        <v>3740000</v>
      </c>
      <c r="Z4926" s="5">
        <v>42846</v>
      </c>
      <c r="AA4926" s="1">
        <v>3620000</v>
      </c>
      <c r="AB4926" s="1" t="s">
        <v>3472</v>
      </c>
      <c r="AC4926" s="5">
        <v>43488</v>
      </c>
      <c r="AF4926" s="1">
        <v>10018</v>
      </c>
      <c r="AI4926" s="1" t="s">
        <v>58</v>
      </c>
      <c r="AJ4926" s="1">
        <v>2017</v>
      </c>
      <c r="AK4926" s="1" t="s">
        <v>46</v>
      </c>
      <c r="AL4926" s="1">
        <v>57</v>
      </c>
    </row>
    <row r="4927" spans="1:38" x14ac:dyDescent="0.2">
      <c r="A4927" s="2" t="str">
        <f>HYPERLINK("https://www.compass.com/listing/456-west-167th-street-unit-2h-manhattan-ny-10032/483996378046462185/","456 W 167th St, Unit 2H")</f>
        <v>456 W 167th St, Unit 2H</v>
      </c>
      <c r="B4927" s="2" t="str">
        <f>HYPERLINK("https://www.compass.com/building/edgecombe-parc-manhattan-ny/282005897969005013/","Edgecombe Parc")</f>
        <v>Edgecombe Parc</v>
      </c>
      <c r="C4927" s="1" t="s">
        <v>93</v>
      </c>
      <c r="D4927" s="1" t="s">
        <v>41</v>
      </c>
      <c r="E4927" s="3">
        <v>1061158</v>
      </c>
      <c r="F4927" s="1">
        <v>2101.3019801980199</v>
      </c>
      <c r="H4927" s="1">
        <v>1</v>
      </c>
      <c r="J4927" s="1">
        <v>1</v>
      </c>
      <c r="K4927" s="1">
        <v>1</v>
      </c>
      <c r="M4927" s="1">
        <v>505</v>
      </c>
      <c r="N4927" s="1">
        <v>274</v>
      </c>
      <c r="O4927" s="1">
        <v>572</v>
      </c>
      <c r="P4927" s="1">
        <v>298</v>
      </c>
      <c r="Q4927" s="1" t="s">
        <v>42</v>
      </c>
      <c r="S4927" s="1" t="s">
        <v>42</v>
      </c>
      <c r="T4927" s="1" t="s">
        <v>273</v>
      </c>
      <c r="AA4927" s="1">
        <v>1061157.5</v>
      </c>
      <c r="AB4927" s="1" t="s">
        <v>3473</v>
      </c>
      <c r="AC4927" s="5">
        <v>41893</v>
      </c>
      <c r="AF4927" s="1">
        <v>10032</v>
      </c>
      <c r="AI4927" s="1" t="s">
        <v>48</v>
      </c>
      <c r="AJ4927" s="1">
        <v>2014</v>
      </c>
      <c r="AK4927" s="1" t="s">
        <v>70</v>
      </c>
      <c r="AL4927" s="1">
        <v>49</v>
      </c>
    </row>
    <row r="4928" spans="1:38" x14ac:dyDescent="0.2">
      <c r="A4928" s="2" t="str">
        <f>HYPERLINK("https://www.compass.com/listing/138-east-50th-street-unit-30b-manhattan-ny-10022/440514549335586689/","138 E 50th St, Unit 30B")</f>
        <v>138 E 50th St, Unit 30B</v>
      </c>
      <c r="B4928" s="2" t="str">
        <f t="shared" ref="B4928:B4929" si="837">HYPERLINK("https://www.compass.com/building/the-centrale-manhattan-ny/281941497232811621/","The Centrale")</f>
        <v>The Centrale</v>
      </c>
      <c r="C4928" s="1" t="s">
        <v>116</v>
      </c>
      <c r="D4928" s="1" t="s">
        <v>41</v>
      </c>
      <c r="E4928" s="3">
        <v>1700478</v>
      </c>
      <c r="F4928" s="1">
        <v>2188.5167310167299</v>
      </c>
      <c r="G4928" s="1">
        <v>3</v>
      </c>
      <c r="H4928" s="1">
        <v>1</v>
      </c>
      <c r="I4928" s="1">
        <v>1</v>
      </c>
      <c r="J4928" s="1">
        <v>1</v>
      </c>
      <c r="K4928" s="1">
        <v>1</v>
      </c>
      <c r="M4928" s="1">
        <v>777</v>
      </c>
      <c r="N4928" s="1">
        <v>828</v>
      </c>
      <c r="O4928" s="1">
        <v>2408</v>
      </c>
      <c r="P4928" s="1">
        <v>1580</v>
      </c>
      <c r="Q4928" s="1" t="s">
        <v>42</v>
      </c>
      <c r="S4928" s="1" t="s">
        <v>42</v>
      </c>
      <c r="T4928" s="1" t="s">
        <v>273</v>
      </c>
      <c r="V4928" s="5">
        <v>44225</v>
      </c>
      <c r="W4928" s="5">
        <v>43859</v>
      </c>
      <c r="X4928" s="1">
        <v>1680000</v>
      </c>
      <c r="Y4928" s="1">
        <v>1680000</v>
      </c>
      <c r="Z4928" s="5">
        <v>43860</v>
      </c>
      <c r="AA4928" s="1">
        <v>1700477.5</v>
      </c>
      <c r="AB4928" s="1" t="s">
        <v>3474</v>
      </c>
      <c r="AC4928" s="5">
        <v>44103</v>
      </c>
      <c r="AF4928" s="1">
        <v>10022</v>
      </c>
      <c r="AI4928" s="1" t="s">
        <v>48</v>
      </c>
      <c r="AJ4928" s="1">
        <v>2019</v>
      </c>
      <c r="AK4928" s="1" t="s">
        <v>55</v>
      </c>
      <c r="AL4928" s="1">
        <v>124</v>
      </c>
    </row>
    <row r="4929" spans="1:38" x14ac:dyDescent="0.2">
      <c r="A4929" s="2" t="str">
        <f>HYPERLINK("https://www.compass.com/listing/138-east-50th-street-unit-31b-manhattan-ny-10022/440514550106987169/","138 E 50th St, Unit 31B")</f>
        <v>138 E 50th St, Unit 31B</v>
      </c>
      <c r="B4929" s="2" t="str">
        <f t="shared" si="837"/>
        <v>The Centrale</v>
      </c>
      <c r="C4929" s="1" t="s">
        <v>116</v>
      </c>
      <c r="D4929" s="1" t="s">
        <v>41</v>
      </c>
      <c r="E4929" s="3">
        <v>1735000</v>
      </c>
      <c r="F4929" s="1">
        <v>2232.9472329472301</v>
      </c>
      <c r="G4929" s="1">
        <v>3</v>
      </c>
      <c r="H4929" s="1">
        <v>1</v>
      </c>
      <c r="I4929" s="1">
        <v>1</v>
      </c>
      <c r="J4929" s="1">
        <v>1</v>
      </c>
      <c r="K4929" s="1">
        <v>1</v>
      </c>
      <c r="M4929" s="1">
        <v>777</v>
      </c>
      <c r="N4929" s="1">
        <v>832</v>
      </c>
      <c r="O4929" s="1">
        <v>2420</v>
      </c>
      <c r="P4929" s="1">
        <v>1588</v>
      </c>
      <c r="Q4929" s="1" t="s">
        <v>42</v>
      </c>
      <c r="S4929" s="1" t="s">
        <v>42</v>
      </c>
      <c r="T4929" s="1" t="s">
        <v>273</v>
      </c>
      <c r="V4929" s="5">
        <v>43993</v>
      </c>
      <c r="W4929" s="5">
        <v>43859</v>
      </c>
      <c r="X4929" s="1">
        <v>1735000</v>
      </c>
      <c r="Y4929" s="1">
        <v>1735000</v>
      </c>
      <c r="Z4929" s="5">
        <v>43860</v>
      </c>
      <c r="AA4929" s="1">
        <v>1735000</v>
      </c>
      <c r="AB4929" s="1" t="s">
        <v>3475</v>
      </c>
      <c r="AC4929" s="5">
        <v>43950</v>
      </c>
      <c r="AF4929" s="1">
        <v>10022</v>
      </c>
      <c r="AI4929" s="1" t="s">
        <v>118</v>
      </c>
      <c r="AJ4929" s="1">
        <v>2019</v>
      </c>
      <c r="AK4929" s="1" t="s">
        <v>55</v>
      </c>
      <c r="AL4929" s="1">
        <v>124</v>
      </c>
    </row>
    <row r="4930" spans="1:38" x14ac:dyDescent="0.2">
      <c r="A4930" s="2" t="str">
        <f>HYPERLINK("https://www.compass.com/listing/53-west-53rd-street-unit-36bc-manhattan-ny-10019/639880207032234689/","53 W 53rd St, Unit 36BC")</f>
        <v>53 W 53rd St, Unit 36BC</v>
      </c>
      <c r="B4930" s="2" t="str">
        <f>HYPERLINK("https://www.compass.com/building/53-west-53-manhattan-ny/281946357818781477/","53 West 53")</f>
        <v>53 West 53</v>
      </c>
      <c r="C4930" s="1" t="s">
        <v>139</v>
      </c>
      <c r="D4930" s="1" t="s">
        <v>41</v>
      </c>
      <c r="E4930" s="3">
        <v>14045000</v>
      </c>
      <c r="F4930" s="1">
        <v>3115.57231588287</v>
      </c>
      <c r="G4930" s="1">
        <v>11</v>
      </c>
      <c r="H4930" s="1">
        <v>5</v>
      </c>
      <c r="I4930" s="1">
        <v>7</v>
      </c>
      <c r="J4930" s="1">
        <v>6</v>
      </c>
      <c r="K4930" s="1">
        <v>5</v>
      </c>
      <c r="L4930" s="1">
        <v>2</v>
      </c>
      <c r="M4930" s="4">
        <v>4508</v>
      </c>
      <c r="N4930" s="1">
        <v>10274</v>
      </c>
      <c r="O4930" s="1">
        <v>14545</v>
      </c>
      <c r="P4930" s="1">
        <v>4271</v>
      </c>
      <c r="Q4930" s="1" t="s">
        <v>42</v>
      </c>
      <c r="S4930" s="1" t="s">
        <v>42</v>
      </c>
      <c r="T4930" s="1" t="s">
        <v>273</v>
      </c>
      <c r="V4930" s="5">
        <v>44156</v>
      </c>
      <c r="W4930" s="5">
        <v>44134</v>
      </c>
      <c r="X4930" s="1">
        <v>14045000</v>
      </c>
      <c r="Y4930" s="1">
        <v>14045000</v>
      </c>
      <c r="Z4930" s="5">
        <v>44135</v>
      </c>
      <c r="AA4930" s="1">
        <v>14045000</v>
      </c>
      <c r="AB4930" s="1" t="s">
        <v>275</v>
      </c>
      <c r="AC4930" s="5">
        <v>44155</v>
      </c>
      <c r="AF4930" s="1">
        <v>10019</v>
      </c>
      <c r="AJ4930" s="1">
        <v>2018</v>
      </c>
      <c r="AK4930" s="1" t="s">
        <v>46</v>
      </c>
      <c r="AL4930" s="1">
        <v>145</v>
      </c>
    </row>
    <row r="4931" spans="1:38" x14ac:dyDescent="0.2">
      <c r="A4931" s="2" t="str">
        <f>HYPERLINK("https://www.compass.com/listing/16-west-40th-street-unit-27b-manhattan-ny-10018/212826673513560801/","16 W 40th St, Unit 27B")</f>
        <v>16 W 40th St, Unit 27B</v>
      </c>
      <c r="B4931" s="2" t="str">
        <f t="shared" ref="B4931:B4933" si="838">HYPERLINK("https://www.compass.com/building/the-bryant-manhattan-ny/281942863485395813/","The Bryant")</f>
        <v>The Bryant</v>
      </c>
      <c r="C4931" s="1" t="s">
        <v>126</v>
      </c>
      <c r="D4931" s="1" t="s">
        <v>41</v>
      </c>
      <c r="E4931" s="3">
        <v>4800000</v>
      </c>
      <c r="F4931" s="1">
        <v>2550.4782146652401</v>
      </c>
      <c r="G4931" s="1">
        <v>5</v>
      </c>
      <c r="H4931" s="1">
        <v>2</v>
      </c>
      <c r="I4931" s="1">
        <v>3</v>
      </c>
      <c r="J4931" s="1">
        <v>2.5</v>
      </c>
      <c r="K4931" s="1">
        <v>2</v>
      </c>
      <c r="L4931" s="1">
        <v>1</v>
      </c>
      <c r="M4931" s="4">
        <v>1882</v>
      </c>
      <c r="N4931" s="1">
        <v>3687</v>
      </c>
      <c r="O4931" s="1">
        <v>6736</v>
      </c>
      <c r="P4931" s="1">
        <v>3049</v>
      </c>
      <c r="Q4931" s="1" t="s">
        <v>42</v>
      </c>
      <c r="S4931" s="1" t="s">
        <v>42</v>
      </c>
      <c r="T4931" s="1" t="s">
        <v>273</v>
      </c>
      <c r="U4931" s="1">
        <v>293</v>
      </c>
      <c r="V4931" s="5">
        <v>43851</v>
      </c>
      <c r="W4931" s="5">
        <v>43545</v>
      </c>
      <c r="X4931" s="1">
        <v>5760000</v>
      </c>
      <c r="Y4931" s="1">
        <v>5440000</v>
      </c>
      <c r="AA4931" s="1">
        <v>4800000</v>
      </c>
      <c r="AB4931" s="1" t="s">
        <v>3476</v>
      </c>
      <c r="AC4931" s="5">
        <v>43838</v>
      </c>
      <c r="AF4931" s="1">
        <v>10018</v>
      </c>
      <c r="AI4931" s="1" t="s">
        <v>58</v>
      </c>
      <c r="AJ4931" s="1">
        <v>2017</v>
      </c>
      <c r="AK4931" s="1" t="s">
        <v>46</v>
      </c>
      <c r="AL4931" s="1">
        <v>57</v>
      </c>
    </row>
    <row r="4932" spans="1:38" x14ac:dyDescent="0.2">
      <c r="A4932" s="2" t="str">
        <f>HYPERLINK("https://www.compass.com/listing/16-west-40th-street-unit-30b-manhattan-ny-10018/29514372841810081/","16 W 40th St, Unit 30B")</f>
        <v>16 W 40th St, Unit 30B</v>
      </c>
      <c r="B4932" s="2" t="str">
        <f t="shared" si="838"/>
        <v>The Bryant</v>
      </c>
      <c r="C4932" s="1" t="s">
        <v>126</v>
      </c>
      <c r="D4932" s="1" t="s">
        <v>41</v>
      </c>
      <c r="E4932" s="3">
        <v>5995000</v>
      </c>
      <c r="F4932" s="1">
        <v>2898.9361702127599</v>
      </c>
      <c r="G4932" s="1">
        <v>4</v>
      </c>
      <c r="H4932" s="1">
        <v>3</v>
      </c>
      <c r="I4932" s="1">
        <v>3</v>
      </c>
      <c r="J4932" s="1">
        <v>3</v>
      </c>
      <c r="K4932" s="1">
        <v>3</v>
      </c>
      <c r="M4932" s="4">
        <v>2068</v>
      </c>
      <c r="N4932" s="1">
        <v>4108</v>
      </c>
      <c r="O4932" s="1">
        <v>7505</v>
      </c>
      <c r="P4932" s="1">
        <v>3397</v>
      </c>
      <c r="Q4932" s="1" t="s">
        <v>42</v>
      </c>
      <c r="S4932" s="1" t="s">
        <v>42</v>
      </c>
      <c r="T4932" s="1" t="s">
        <v>273</v>
      </c>
      <c r="U4932" s="1">
        <v>903</v>
      </c>
      <c r="V4932" s="5">
        <v>43791</v>
      </c>
      <c r="W4932" s="5">
        <v>42791</v>
      </c>
      <c r="X4932" s="1">
        <v>6715000</v>
      </c>
      <c r="Y4932" s="1">
        <v>6715000</v>
      </c>
      <c r="Z4932" s="5">
        <v>43694</v>
      </c>
      <c r="AA4932" s="1">
        <v>5995000</v>
      </c>
      <c r="AB4932" s="1" t="s">
        <v>3477</v>
      </c>
      <c r="AC4932" s="5">
        <v>43774</v>
      </c>
      <c r="AF4932" s="1">
        <v>10018</v>
      </c>
      <c r="AI4932" s="1" t="s">
        <v>58</v>
      </c>
      <c r="AJ4932" s="1">
        <v>2017</v>
      </c>
      <c r="AK4932" s="1" t="s">
        <v>46</v>
      </c>
      <c r="AL4932" s="1">
        <v>57</v>
      </c>
    </row>
    <row r="4933" spans="1:38" x14ac:dyDescent="0.2">
      <c r="A4933" s="2" t="str">
        <f>HYPERLINK("https://www.compass.com/listing/16-west-40th-street-unit-30a-manhattan-ny-10018/29514377170290177/","16 W 40th St, Unit 30A")</f>
        <v>16 W 40th St, Unit 30A</v>
      </c>
      <c r="B4933" s="2" t="str">
        <f t="shared" si="838"/>
        <v>The Bryant</v>
      </c>
      <c r="C4933" s="1" t="s">
        <v>126</v>
      </c>
      <c r="D4933" s="1" t="s">
        <v>41</v>
      </c>
      <c r="E4933" s="3">
        <v>8500000</v>
      </c>
      <c r="F4933" s="1">
        <v>3140.0073882526699</v>
      </c>
      <c r="G4933" s="1">
        <v>6</v>
      </c>
      <c r="H4933" s="1">
        <v>4</v>
      </c>
      <c r="I4933" s="1">
        <v>4</v>
      </c>
      <c r="J4933" s="1">
        <v>4</v>
      </c>
      <c r="K4933" s="1">
        <v>4</v>
      </c>
      <c r="M4933" s="4">
        <v>2707</v>
      </c>
      <c r="N4933" s="1">
        <v>5378</v>
      </c>
      <c r="O4933" s="1">
        <v>9824</v>
      </c>
      <c r="P4933" s="1">
        <v>4446</v>
      </c>
      <c r="Q4933" s="1" t="s">
        <v>42</v>
      </c>
      <c r="S4933" s="1" t="s">
        <v>42</v>
      </c>
      <c r="T4933" s="1" t="s">
        <v>273</v>
      </c>
      <c r="U4933" s="1">
        <v>768</v>
      </c>
      <c r="V4933" s="5">
        <v>43775</v>
      </c>
      <c r="W4933" s="5">
        <v>42761</v>
      </c>
      <c r="X4933" s="1">
        <v>9435000</v>
      </c>
      <c r="Y4933" s="1">
        <v>9435000</v>
      </c>
      <c r="Z4933" s="5">
        <v>43530</v>
      </c>
      <c r="AA4933" s="1">
        <v>8500000</v>
      </c>
      <c r="AB4933" s="1" t="s">
        <v>3478</v>
      </c>
      <c r="AC4933" s="5">
        <v>43738</v>
      </c>
      <c r="AF4933" s="1">
        <v>10018</v>
      </c>
      <c r="AI4933" s="1" t="s">
        <v>58</v>
      </c>
      <c r="AJ4933" s="1">
        <v>2017</v>
      </c>
      <c r="AK4933" s="1" t="s">
        <v>46</v>
      </c>
      <c r="AL4933" s="1">
        <v>57</v>
      </c>
    </row>
    <row r="4934" spans="1:38" x14ac:dyDescent="0.2">
      <c r="A4934" s="2" t="str">
        <f>HYPERLINK("https://www.compass.com/listing/138-east-50th-street-unit-28b-manhattan-ny-10022/440514548630360313/","138 E 50th St, Unit 28B")</f>
        <v>138 E 50th St, Unit 28B</v>
      </c>
      <c r="B4934" s="2" t="str">
        <f t="shared" ref="B4934:B4935" si="839">HYPERLINK("https://www.compass.com/building/the-centrale-manhattan-ny/281941497232811621/","The Centrale")</f>
        <v>The Centrale</v>
      </c>
      <c r="C4934" s="1" t="s">
        <v>116</v>
      </c>
      <c r="D4934" s="1" t="s">
        <v>41</v>
      </c>
      <c r="E4934" s="3">
        <v>1832850</v>
      </c>
      <c r="F4934" s="1">
        <v>2358.8803088803002</v>
      </c>
      <c r="G4934" s="1">
        <v>3</v>
      </c>
      <c r="H4934" s="1">
        <v>1</v>
      </c>
      <c r="I4934" s="1">
        <v>1</v>
      </c>
      <c r="J4934" s="1">
        <v>1</v>
      </c>
      <c r="K4934" s="1">
        <v>1</v>
      </c>
      <c r="M4934" s="1">
        <v>777</v>
      </c>
      <c r="N4934" s="1">
        <v>820</v>
      </c>
      <c r="O4934" s="1">
        <v>2385</v>
      </c>
      <c r="P4934" s="1">
        <v>1565</v>
      </c>
      <c r="Q4934" s="1" t="s">
        <v>42</v>
      </c>
      <c r="S4934" s="1" t="s">
        <v>42</v>
      </c>
      <c r="T4934" s="1" t="s">
        <v>273</v>
      </c>
      <c r="U4934" s="1">
        <v>50</v>
      </c>
      <c r="V4934" s="5">
        <v>44427</v>
      </c>
      <c r="W4934" s="5">
        <v>43859</v>
      </c>
      <c r="AA4934" s="1">
        <v>1832850</v>
      </c>
      <c r="AB4934" s="1" t="s">
        <v>3479</v>
      </c>
      <c r="AC4934" s="5">
        <v>43979</v>
      </c>
      <c r="AF4934" s="1">
        <v>10022</v>
      </c>
      <c r="AI4934" s="1" t="s">
        <v>48</v>
      </c>
      <c r="AJ4934" s="1">
        <v>2019</v>
      </c>
      <c r="AK4934" s="1" t="s">
        <v>55</v>
      </c>
      <c r="AL4934" s="1">
        <v>124</v>
      </c>
    </row>
    <row r="4935" spans="1:38" x14ac:dyDescent="0.2">
      <c r="A4935" s="2" t="str">
        <f>HYPERLINK("https://www.compass.com/listing/138-east-50th-street-unit-32b-manhattan-ny-10022/440514550954116329/","138 E 50th St, Unit 32B")</f>
        <v>138 E 50th St, Unit 32B</v>
      </c>
      <c r="B4935" s="2" t="str">
        <f t="shared" si="839"/>
        <v>The Centrale</v>
      </c>
      <c r="C4935" s="1" t="s">
        <v>116</v>
      </c>
      <c r="D4935" s="1" t="s">
        <v>41</v>
      </c>
      <c r="E4935" s="3">
        <v>1750000</v>
      </c>
      <c r="F4935" s="1">
        <v>2252.2522522522499</v>
      </c>
      <c r="G4935" s="1">
        <v>3</v>
      </c>
      <c r="H4935" s="1">
        <v>1</v>
      </c>
      <c r="I4935" s="1">
        <v>1</v>
      </c>
      <c r="J4935" s="1">
        <v>1</v>
      </c>
      <c r="K4935" s="1">
        <v>1</v>
      </c>
      <c r="M4935" s="1">
        <v>777</v>
      </c>
      <c r="N4935" s="1">
        <v>836</v>
      </c>
      <c r="O4935" s="1">
        <v>2431</v>
      </c>
      <c r="P4935" s="1">
        <v>1595</v>
      </c>
      <c r="Q4935" s="1" t="s">
        <v>42</v>
      </c>
      <c r="S4935" s="1" t="s">
        <v>42</v>
      </c>
      <c r="T4935" s="1" t="s">
        <v>273</v>
      </c>
      <c r="U4935" s="1">
        <v>50</v>
      </c>
      <c r="V4935" s="5">
        <v>44427</v>
      </c>
      <c r="W4935" s="5">
        <v>43859</v>
      </c>
      <c r="AA4935" s="1">
        <v>1750000</v>
      </c>
      <c r="AB4935" s="1" t="s">
        <v>3480</v>
      </c>
      <c r="AC4935" s="5">
        <v>43973</v>
      </c>
      <c r="AF4935" s="1">
        <v>10022</v>
      </c>
      <c r="AI4935" s="1" t="s">
        <v>48</v>
      </c>
      <c r="AJ4935" s="1">
        <v>2019</v>
      </c>
      <c r="AK4935" s="1" t="s">
        <v>55</v>
      </c>
      <c r="AL4935" s="1">
        <v>124</v>
      </c>
    </row>
    <row r="4936" spans="1:38" x14ac:dyDescent="0.2">
      <c r="A4936" s="2" t="str">
        <f>HYPERLINK("https://www.compass.com/listing/695-1st-avenue-unit-34k-manhattan-ny-10016/731375914347291001/","695 1st Ave, Unit 34K")</f>
        <v>695 1st Ave, Unit 34K</v>
      </c>
      <c r="B4936" s="2" t="str">
        <f>HYPERLINK("https://www.compass.com/building/one-united-nations-park-manhattan-ny/282058773630059653/","One United Nations Park")</f>
        <v>One United Nations Park</v>
      </c>
      <c r="C4936" s="1" t="s">
        <v>59</v>
      </c>
      <c r="D4936" s="1" t="s">
        <v>41</v>
      </c>
      <c r="E4936" s="3">
        <v>2250000</v>
      </c>
      <c r="F4936" s="1">
        <v>1549.5867768595001</v>
      </c>
      <c r="G4936" s="1">
        <v>4</v>
      </c>
      <c r="H4936" s="1">
        <v>2</v>
      </c>
      <c r="I4936" s="1">
        <v>2</v>
      </c>
      <c r="J4936" s="1">
        <v>2</v>
      </c>
      <c r="K4936" s="1">
        <v>2</v>
      </c>
      <c r="M4936" s="4">
        <v>1452</v>
      </c>
      <c r="N4936" s="1">
        <v>2311</v>
      </c>
      <c r="O4936" s="1">
        <v>4257</v>
      </c>
      <c r="P4936" s="1">
        <v>1946</v>
      </c>
      <c r="Q4936" s="1" t="s">
        <v>42</v>
      </c>
      <c r="S4936" s="1" t="s">
        <v>42</v>
      </c>
      <c r="T4936" s="1" t="s">
        <v>273</v>
      </c>
      <c r="U4936" s="1">
        <v>41</v>
      </c>
      <c r="V4936" s="5">
        <v>44421</v>
      </c>
      <c r="W4936" s="5">
        <v>44260</v>
      </c>
      <c r="X4936" s="1">
        <v>2250000</v>
      </c>
      <c r="Y4936" s="1">
        <v>2250000</v>
      </c>
      <c r="Z4936" s="5">
        <v>44302</v>
      </c>
      <c r="AA4936" s="1">
        <v>2250000</v>
      </c>
      <c r="AB4936" s="1" t="s">
        <v>275</v>
      </c>
      <c r="AC4936" s="5">
        <v>44420</v>
      </c>
      <c r="AF4936" s="1">
        <v>10016</v>
      </c>
      <c r="AJ4936" s="1">
        <v>2019</v>
      </c>
      <c r="AK4936" s="1" t="s">
        <v>46</v>
      </c>
      <c r="AL4936" s="1">
        <v>148</v>
      </c>
    </row>
    <row r="4937" spans="1:38" x14ac:dyDescent="0.2">
      <c r="A4937" s="2" t="str">
        <f>HYPERLINK("https://www.compass.com/listing/138-east-50th-street-unit-14b-manhattan-ny-10022/545738822322218249/","138 E 50th St, Unit 14B")</f>
        <v>138 E 50th St, Unit 14B</v>
      </c>
      <c r="B4937" s="2" t="str">
        <f t="shared" ref="B4937:B4938" si="840">HYPERLINK("https://www.compass.com/building/the-centrale-manhattan-ny/281941497232811621/","The Centrale")</f>
        <v>The Centrale</v>
      </c>
      <c r="C4937" s="1" t="s">
        <v>116</v>
      </c>
      <c r="D4937" s="1" t="s">
        <v>41</v>
      </c>
      <c r="E4937" s="3">
        <v>1365473</v>
      </c>
      <c r="F4937" s="1">
        <v>1612.12898465171</v>
      </c>
      <c r="G4937" s="1">
        <v>3.5</v>
      </c>
      <c r="H4937" s="1">
        <v>1</v>
      </c>
      <c r="I4937" s="1">
        <v>2</v>
      </c>
      <c r="J4937" s="1">
        <v>1.5</v>
      </c>
      <c r="K4937" s="1">
        <v>1</v>
      </c>
      <c r="L4937" s="1">
        <v>1</v>
      </c>
      <c r="M4937" s="1">
        <v>847</v>
      </c>
      <c r="N4937" s="1">
        <v>836</v>
      </c>
      <c r="O4937" s="1">
        <v>2431</v>
      </c>
      <c r="P4937" s="1">
        <v>1595</v>
      </c>
      <c r="Q4937" s="1" t="s">
        <v>42</v>
      </c>
      <c r="S4937" s="1" t="s">
        <v>42</v>
      </c>
      <c r="T4937" s="1" t="s">
        <v>273</v>
      </c>
      <c r="V4937" s="5">
        <v>44427</v>
      </c>
      <c r="W4937" s="5">
        <v>44004</v>
      </c>
      <c r="X4937" s="1">
        <v>1680000</v>
      </c>
      <c r="Y4937" s="1">
        <v>1680000</v>
      </c>
      <c r="Z4937" s="5">
        <v>44005</v>
      </c>
      <c r="AA4937" s="1">
        <v>1365473.25</v>
      </c>
      <c r="AB4937" s="1" t="s">
        <v>3481</v>
      </c>
      <c r="AC4937" s="5">
        <v>44092</v>
      </c>
      <c r="AF4937" s="1">
        <v>10022</v>
      </c>
      <c r="AI4937" s="1" t="s">
        <v>48</v>
      </c>
      <c r="AJ4937" s="1">
        <v>2019</v>
      </c>
      <c r="AK4937" s="1" t="s">
        <v>55</v>
      </c>
      <c r="AL4937" s="1">
        <v>124</v>
      </c>
    </row>
    <row r="4938" spans="1:38" x14ac:dyDescent="0.2">
      <c r="A4938" s="2" t="str">
        <f>HYPERLINK("https://www.compass.com/listing/138-east-50th-street-unit-27a-manhattan-ny-10022/223399149071034737/","138 E 50th St, Unit 27A")</f>
        <v>138 E 50th St, Unit 27A</v>
      </c>
      <c r="B4938" s="2" t="str">
        <f t="shared" si="840"/>
        <v>The Centrale</v>
      </c>
      <c r="C4938" s="1" t="s">
        <v>116</v>
      </c>
      <c r="D4938" s="1" t="s">
        <v>41</v>
      </c>
      <c r="E4938" s="3">
        <v>2680000</v>
      </c>
      <c r="F4938" s="1">
        <v>2581.8882466281302</v>
      </c>
      <c r="G4938" s="1">
        <v>3.5</v>
      </c>
      <c r="H4938" s="1">
        <v>1</v>
      </c>
      <c r="I4938" s="1">
        <v>2</v>
      </c>
      <c r="J4938" s="1">
        <v>1.5</v>
      </c>
      <c r="K4938" s="1">
        <v>1</v>
      </c>
      <c r="L4938" s="1">
        <v>1</v>
      </c>
      <c r="M4938" s="4">
        <v>1038</v>
      </c>
      <c r="N4938" s="1">
        <v>1091</v>
      </c>
      <c r="O4938" s="1">
        <v>3173</v>
      </c>
      <c r="P4938" s="1">
        <v>2082</v>
      </c>
      <c r="Q4938" s="1" t="s">
        <v>42</v>
      </c>
      <c r="S4938" s="1" t="s">
        <v>42</v>
      </c>
      <c r="T4938" s="1" t="s">
        <v>273</v>
      </c>
      <c r="U4938" s="1">
        <v>260</v>
      </c>
      <c r="V4938" s="5">
        <v>43712</v>
      </c>
      <c r="W4938" s="5">
        <v>43348</v>
      </c>
      <c r="X4938" s="1">
        <v>2680000</v>
      </c>
      <c r="Y4938" s="1">
        <v>2680000</v>
      </c>
      <c r="AA4938" s="1">
        <v>2680000</v>
      </c>
      <c r="AB4938" s="1" t="s">
        <v>275</v>
      </c>
      <c r="AC4938" s="5">
        <v>43608</v>
      </c>
      <c r="AF4938" s="1">
        <v>10022</v>
      </c>
      <c r="AI4938" s="1" t="s">
        <v>118</v>
      </c>
      <c r="AJ4938" s="1">
        <v>2019</v>
      </c>
      <c r="AK4938" s="1" t="s">
        <v>55</v>
      </c>
      <c r="AL4938" s="1">
        <v>124</v>
      </c>
    </row>
    <row r="4939" spans="1:38" x14ac:dyDescent="0.2">
      <c r="A4939" s="2" t="str">
        <f>HYPERLINK("https://www.compass.com/listing/695-1st-avenue-unit-30h-manhattan-ny-10016/643713983578515377/","695 1st Ave, Unit 30H")</f>
        <v>695 1st Ave, Unit 30H</v>
      </c>
      <c r="B4939" s="2" t="str">
        <f t="shared" ref="B4939:B4943" si="841">HYPERLINK("https://www.compass.com/building/one-united-nations-park-manhattan-ny/282058773630059653/","One United Nations Park")</f>
        <v>One United Nations Park</v>
      </c>
      <c r="C4939" s="1" t="s">
        <v>59</v>
      </c>
      <c r="D4939" s="1" t="s">
        <v>41</v>
      </c>
      <c r="E4939" s="3">
        <v>2765000</v>
      </c>
      <c r="F4939" s="1">
        <v>1520.9020902090199</v>
      </c>
      <c r="G4939" s="1">
        <v>4</v>
      </c>
      <c r="H4939" s="1">
        <v>2</v>
      </c>
      <c r="I4939" s="1">
        <v>3</v>
      </c>
      <c r="J4939" s="1">
        <v>2.5</v>
      </c>
      <c r="K4939" s="1">
        <v>2</v>
      </c>
      <c r="L4939" s="1">
        <v>1</v>
      </c>
      <c r="M4939" s="4">
        <v>1818</v>
      </c>
      <c r="N4939" s="1">
        <v>2480</v>
      </c>
      <c r="O4939" s="1">
        <v>5425</v>
      </c>
      <c r="P4939" s="1">
        <v>2945</v>
      </c>
      <c r="Q4939" s="1" t="s">
        <v>42</v>
      </c>
      <c r="S4939" s="1" t="s">
        <v>42</v>
      </c>
      <c r="T4939" s="1" t="s">
        <v>273</v>
      </c>
      <c r="U4939" s="1">
        <v>162</v>
      </c>
      <c r="V4939" s="5">
        <v>44421</v>
      </c>
      <c r="W4939" s="5">
        <v>44139</v>
      </c>
      <c r="X4939" s="1">
        <v>3150000</v>
      </c>
      <c r="Y4939" s="1">
        <v>3150000</v>
      </c>
      <c r="Z4939" s="5">
        <v>44302</v>
      </c>
      <c r="AA4939" s="1">
        <v>2765000</v>
      </c>
      <c r="AB4939" s="1" t="s">
        <v>275</v>
      </c>
      <c r="AC4939" s="5">
        <v>44418</v>
      </c>
      <c r="AF4939" s="1">
        <v>10016</v>
      </c>
      <c r="AJ4939" s="1">
        <v>2019</v>
      </c>
      <c r="AK4939" s="1" t="s">
        <v>46</v>
      </c>
      <c r="AL4939" s="1">
        <v>148</v>
      </c>
    </row>
    <row r="4940" spans="1:38" x14ac:dyDescent="0.2">
      <c r="A4940" s="2" t="str">
        <f>HYPERLINK("https://www.compass.com/listing/695-1st-avenue-unit-33d-manhattan-ny-10016/623282807204266921/","695 1st Ave, Unit 33D")</f>
        <v>695 1st Ave, Unit 33D</v>
      </c>
      <c r="B4940" s="2" t="str">
        <f t="shared" si="841"/>
        <v>One United Nations Park</v>
      </c>
      <c r="C4940" s="1" t="s">
        <v>59</v>
      </c>
      <c r="D4940" s="1" t="s">
        <v>41</v>
      </c>
      <c r="E4940" s="3">
        <v>2400000</v>
      </c>
      <c r="F4940" s="1">
        <v>1534.5268542199401</v>
      </c>
      <c r="G4940" s="1">
        <v>4</v>
      </c>
      <c r="H4940" s="1">
        <v>2</v>
      </c>
      <c r="I4940" s="1">
        <v>3</v>
      </c>
      <c r="J4940" s="1">
        <v>2.5</v>
      </c>
      <c r="K4940" s="1">
        <v>2</v>
      </c>
      <c r="L4940" s="1">
        <v>1</v>
      </c>
      <c r="M4940" s="4">
        <v>1564</v>
      </c>
      <c r="N4940" s="1">
        <v>2097</v>
      </c>
      <c r="O4940" s="1">
        <v>4587</v>
      </c>
      <c r="P4940" s="1">
        <v>2490</v>
      </c>
      <c r="Q4940" s="1" t="s">
        <v>42</v>
      </c>
      <c r="S4940" s="1" t="s">
        <v>42</v>
      </c>
      <c r="T4940" s="1" t="s">
        <v>273</v>
      </c>
      <c r="V4940" s="5">
        <v>44421</v>
      </c>
      <c r="W4940" s="5">
        <v>44111</v>
      </c>
      <c r="X4940" s="1">
        <v>3025000</v>
      </c>
      <c r="Y4940" s="1">
        <v>3025000</v>
      </c>
      <c r="Z4940" s="5">
        <v>44309</v>
      </c>
      <c r="AA4940" s="1">
        <v>2400000</v>
      </c>
      <c r="AB4940" s="1" t="s">
        <v>275</v>
      </c>
      <c r="AC4940" s="5">
        <v>44418</v>
      </c>
      <c r="AF4940" s="1">
        <v>10016</v>
      </c>
      <c r="AJ4940" s="1">
        <v>2019</v>
      </c>
      <c r="AK4940" s="1" t="s">
        <v>46</v>
      </c>
      <c r="AL4940" s="1">
        <v>148</v>
      </c>
    </row>
    <row r="4941" spans="1:38" x14ac:dyDescent="0.2">
      <c r="A4941" s="2" t="str">
        <f>HYPERLINK("https://www.compass.com/listing/695-1st-avenue-unit-30b-manhattan-ny-10016/271335059347266833/","695 1st Ave, Unit 30B")</f>
        <v>695 1st Ave, Unit 30B</v>
      </c>
      <c r="B4941" s="2" t="str">
        <f t="shared" si="841"/>
        <v>One United Nations Park</v>
      </c>
      <c r="C4941" s="1" t="s">
        <v>59</v>
      </c>
      <c r="D4941" s="1" t="s">
        <v>41</v>
      </c>
      <c r="E4941" s="3">
        <v>1892500</v>
      </c>
      <c r="F4941" s="1">
        <v>1459.13646877409</v>
      </c>
      <c r="G4941" s="1">
        <v>4</v>
      </c>
      <c r="H4941" s="1">
        <v>2</v>
      </c>
      <c r="I4941" s="1">
        <v>2</v>
      </c>
      <c r="J4941" s="1">
        <v>2</v>
      </c>
      <c r="K4941" s="1">
        <v>2</v>
      </c>
      <c r="M4941" s="4">
        <v>1297</v>
      </c>
      <c r="N4941" s="1">
        <v>1739</v>
      </c>
      <c r="O4941" s="1">
        <v>3884</v>
      </c>
      <c r="P4941" s="1">
        <v>2145</v>
      </c>
      <c r="Q4941" s="1" t="s">
        <v>42</v>
      </c>
      <c r="S4941" s="1" t="s">
        <v>42</v>
      </c>
      <c r="T4941" s="1" t="s">
        <v>273</v>
      </c>
      <c r="U4941" s="1">
        <v>127</v>
      </c>
      <c r="V4941" s="5">
        <v>44421</v>
      </c>
      <c r="W4941" s="5">
        <v>43623</v>
      </c>
      <c r="X4941" s="1">
        <v>2890000</v>
      </c>
      <c r="Y4941" s="1">
        <v>2595000</v>
      </c>
      <c r="Z4941" s="5">
        <v>44237</v>
      </c>
      <c r="AA4941" s="1">
        <v>1892500</v>
      </c>
      <c r="AB4941" s="1" t="s">
        <v>275</v>
      </c>
      <c r="AC4941" s="5">
        <v>44420</v>
      </c>
      <c r="AF4941" s="1">
        <v>10016</v>
      </c>
      <c r="AJ4941" s="1">
        <v>2019</v>
      </c>
      <c r="AK4941" s="1" t="s">
        <v>46</v>
      </c>
      <c r="AL4941" s="1">
        <v>148</v>
      </c>
    </row>
    <row r="4942" spans="1:38" x14ac:dyDescent="0.2">
      <c r="A4942" s="2" t="str">
        <f>HYPERLINK("https://www.compass.com/listing/695-1st-avenue-unit-32k-manhattan-ny-10016/728310736394252057/","695 1st Ave, Unit 32K")</f>
        <v>695 1st Ave, Unit 32K</v>
      </c>
      <c r="B4942" s="2" t="str">
        <f t="shared" si="841"/>
        <v>One United Nations Park</v>
      </c>
      <c r="C4942" s="1" t="s">
        <v>59</v>
      </c>
      <c r="D4942" s="1" t="s">
        <v>41</v>
      </c>
      <c r="E4942" s="3">
        <v>2140000</v>
      </c>
      <c r="F4942" s="1">
        <v>1473.82920110192</v>
      </c>
      <c r="G4942" s="1">
        <v>4</v>
      </c>
      <c r="H4942" s="1">
        <v>2</v>
      </c>
      <c r="I4942" s="1">
        <v>2</v>
      </c>
      <c r="J4942" s="1">
        <v>2</v>
      </c>
      <c r="K4942" s="1">
        <v>2</v>
      </c>
      <c r="M4942" s="4">
        <v>1452</v>
      </c>
      <c r="N4942" s="1">
        <v>1946</v>
      </c>
      <c r="O4942" s="1">
        <v>4257</v>
      </c>
      <c r="P4942" s="1">
        <v>2311</v>
      </c>
      <c r="Q4942" s="1" t="s">
        <v>42</v>
      </c>
      <c r="S4942" s="1" t="s">
        <v>42</v>
      </c>
      <c r="T4942" s="1" t="s">
        <v>273</v>
      </c>
      <c r="V4942" s="5">
        <v>44421</v>
      </c>
      <c r="W4942" s="5">
        <v>44256</v>
      </c>
      <c r="X4942" s="1">
        <v>2140000</v>
      </c>
      <c r="Y4942" s="1">
        <v>2140000</v>
      </c>
      <c r="Z4942" s="5">
        <v>44257</v>
      </c>
      <c r="AA4942" s="1">
        <v>2140000</v>
      </c>
      <c r="AB4942" s="1" t="s">
        <v>275</v>
      </c>
      <c r="AC4942" s="5">
        <v>44412</v>
      </c>
      <c r="AF4942" s="1">
        <v>10016</v>
      </c>
      <c r="AJ4942" s="1">
        <v>2019</v>
      </c>
      <c r="AK4942" s="1" t="s">
        <v>46</v>
      </c>
      <c r="AL4942" s="1">
        <v>148</v>
      </c>
    </row>
    <row r="4943" spans="1:38" x14ac:dyDescent="0.2">
      <c r="A4943" s="2" t="str">
        <f>HYPERLINK("https://www.compass.com/listing/695-1st-avenue-unit-33k-manhattan-ny-10016/688529560640028057/","695 1st Ave, Unit 33K")</f>
        <v>695 1st Ave, Unit 33K</v>
      </c>
      <c r="B4943" s="2" t="str">
        <f t="shared" si="841"/>
        <v>One United Nations Park</v>
      </c>
      <c r="C4943" s="1" t="s">
        <v>59</v>
      </c>
      <c r="D4943" s="1" t="s">
        <v>41</v>
      </c>
      <c r="E4943" s="3">
        <v>2160000</v>
      </c>
      <c r="F4943" s="1">
        <v>1487.60330578512</v>
      </c>
      <c r="G4943" s="1">
        <v>4</v>
      </c>
      <c r="H4943" s="1">
        <v>2</v>
      </c>
      <c r="I4943" s="1">
        <v>2</v>
      </c>
      <c r="J4943" s="1">
        <v>2</v>
      </c>
      <c r="K4943" s="1">
        <v>2</v>
      </c>
      <c r="M4943" s="4">
        <v>1452</v>
      </c>
      <c r="N4943" s="1">
        <v>1946</v>
      </c>
      <c r="O4943" s="1">
        <v>4257</v>
      </c>
      <c r="P4943" s="1">
        <v>2311</v>
      </c>
      <c r="Q4943" s="1" t="s">
        <v>42</v>
      </c>
      <c r="S4943" s="1" t="s">
        <v>42</v>
      </c>
      <c r="T4943" s="1" t="s">
        <v>273</v>
      </c>
      <c r="V4943" s="5">
        <v>44421</v>
      </c>
      <c r="W4943" s="5">
        <v>44201</v>
      </c>
      <c r="X4943" s="1">
        <v>2160000</v>
      </c>
      <c r="Y4943" s="1">
        <v>2160000</v>
      </c>
      <c r="Z4943" s="5">
        <v>44202</v>
      </c>
      <c r="AA4943" s="1">
        <v>2160000</v>
      </c>
      <c r="AB4943" s="1" t="s">
        <v>275</v>
      </c>
      <c r="AC4943" s="5">
        <v>44420</v>
      </c>
      <c r="AF4943" s="1">
        <v>10016</v>
      </c>
      <c r="AJ4943" s="1">
        <v>2019</v>
      </c>
      <c r="AK4943" s="1" t="s">
        <v>46</v>
      </c>
      <c r="AL4943" s="1">
        <v>148</v>
      </c>
    </row>
    <row r="4944" spans="1:38" x14ac:dyDescent="0.2">
      <c r="A4944" s="2" t="str">
        <f>HYPERLINK("https://www.compass.com/listing/217-west-57th-street-unit-55e-manhattan-ny-10019/841046786398801489/","217 W 57th St, Unit 55E")</f>
        <v>217 W 57th St, Unit 55E</v>
      </c>
      <c r="B4944" s="2" t="str">
        <f t="shared" ref="B4944:B4945" si="842">HYPERLINK("https://www.compass.com/building/central-park-tower-manhattan-ny/292845475244082085/","Central Park Tower")</f>
        <v>Central Park Tower</v>
      </c>
      <c r="C4944" s="1" t="s">
        <v>139</v>
      </c>
      <c r="D4944" s="1" t="s">
        <v>41</v>
      </c>
      <c r="E4944" s="3">
        <v>16336250</v>
      </c>
      <c r="F4944" s="1">
        <v>4856.1979785968997</v>
      </c>
      <c r="H4944" s="1">
        <v>3</v>
      </c>
      <c r="J4944" s="1">
        <v>3.5</v>
      </c>
      <c r="K4944" s="1">
        <v>3</v>
      </c>
      <c r="L4944" s="1">
        <v>1</v>
      </c>
      <c r="M4944" s="4">
        <v>3364</v>
      </c>
      <c r="N4944" s="1">
        <v>4519</v>
      </c>
      <c r="O4944" s="1">
        <v>12894</v>
      </c>
      <c r="P4944" s="1">
        <v>8375</v>
      </c>
      <c r="Q4944" s="1" t="s">
        <v>42</v>
      </c>
      <c r="S4944" s="1" t="s">
        <v>42</v>
      </c>
      <c r="T4944" s="1" t="s">
        <v>273</v>
      </c>
      <c r="AA4944" s="1">
        <v>16336250</v>
      </c>
      <c r="AB4944" s="1" t="s">
        <v>3482</v>
      </c>
      <c r="AC4944" s="5">
        <v>44377</v>
      </c>
      <c r="AF4944" s="1">
        <v>10019</v>
      </c>
      <c r="AI4944" s="1" t="s">
        <v>101</v>
      </c>
      <c r="AJ4944" s="1">
        <v>2020</v>
      </c>
      <c r="AL4944" s="1">
        <v>179</v>
      </c>
    </row>
    <row r="4945" spans="1:38" x14ac:dyDescent="0.2">
      <c r="A4945" s="2" t="str">
        <f>HYPERLINK("https://www.compass.com/listing/217-west-57th-street-unit-58e-manhattan-ny-10019/841759999072424689/","217 W 57th St, Unit 58E")</f>
        <v>217 W 57th St, Unit 58E</v>
      </c>
      <c r="B4945" s="2" t="str">
        <f t="shared" si="842"/>
        <v>Central Park Tower</v>
      </c>
      <c r="C4945" s="1" t="s">
        <v>139</v>
      </c>
      <c r="D4945" s="1" t="s">
        <v>41</v>
      </c>
      <c r="E4945" s="3">
        <v>18969785</v>
      </c>
      <c r="Q4945" s="1" t="s">
        <v>42</v>
      </c>
      <c r="S4945" s="1" t="s">
        <v>42</v>
      </c>
      <c r="T4945" s="1" t="s">
        <v>273</v>
      </c>
      <c r="AA4945" s="1">
        <v>18969785</v>
      </c>
      <c r="AB4945" s="1" t="s">
        <v>3483</v>
      </c>
      <c r="AC4945" s="5">
        <v>44385</v>
      </c>
      <c r="AF4945" s="1">
        <v>10019</v>
      </c>
      <c r="AI4945" s="1" t="s">
        <v>101</v>
      </c>
      <c r="AJ4945" s="1">
        <v>2020</v>
      </c>
      <c r="AL4945" s="1">
        <v>179</v>
      </c>
    </row>
    <row r="4946" spans="1:38" x14ac:dyDescent="0.2">
      <c r="A4946" s="2" t="str">
        <f>HYPERLINK("https://www.compass.com/listing/77-east-110th-street-unit-2a-manhattan-ny-10029/258447631968151057/","77 E 110th St, Unit 2A")</f>
        <v>77 E 110th St, Unit 2A</v>
      </c>
      <c r="B4946" s="2" t="str">
        <f>HYPERLINK("https://www.compass.com/building/77-condominiums-manhattan-ny/281992190891244549/","77 Condominiums")</f>
        <v>77 Condominiums</v>
      </c>
      <c r="C4946" s="1" t="s">
        <v>85</v>
      </c>
      <c r="D4946" s="1" t="s">
        <v>41</v>
      </c>
      <c r="E4946" s="3">
        <v>1160000</v>
      </c>
      <c r="F4946" s="1">
        <v>928.74299439551601</v>
      </c>
      <c r="G4946" s="1">
        <v>4</v>
      </c>
      <c r="H4946" s="1">
        <v>3</v>
      </c>
      <c r="I4946" s="1">
        <v>2</v>
      </c>
      <c r="J4946" s="1">
        <v>2</v>
      </c>
      <c r="K4946" s="1">
        <v>2</v>
      </c>
      <c r="M4946" s="4">
        <v>1249</v>
      </c>
      <c r="N4946" s="1">
        <v>421</v>
      </c>
      <c r="O4946" s="1">
        <v>474</v>
      </c>
      <c r="P4946" s="1">
        <v>53</v>
      </c>
      <c r="Q4946" s="1" t="s">
        <v>42</v>
      </c>
      <c r="S4946" s="1" t="s">
        <v>42</v>
      </c>
      <c r="T4946" s="1" t="s">
        <v>273</v>
      </c>
      <c r="U4946" s="1">
        <v>1</v>
      </c>
      <c r="V4946" s="5">
        <v>44427</v>
      </c>
      <c r="W4946" s="5">
        <v>43607</v>
      </c>
      <c r="X4946" s="1">
        <v>1210500</v>
      </c>
      <c r="Y4946" s="1">
        <v>1210500</v>
      </c>
      <c r="Z4946" s="5">
        <v>43608</v>
      </c>
      <c r="AA4946" s="1">
        <v>1160000</v>
      </c>
      <c r="AB4946" s="1" t="s">
        <v>3484</v>
      </c>
      <c r="AC4946" s="5">
        <v>43662</v>
      </c>
      <c r="AF4946" s="1">
        <v>10029</v>
      </c>
      <c r="AI4946" s="1" t="s">
        <v>192</v>
      </c>
      <c r="AJ4946" s="1">
        <v>2013</v>
      </c>
      <c r="AK4946" s="1" t="s">
        <v>55</v>
      </c>
      <c r="AL4946" s="1">
        <v>20</v>
      </c>
    </row>
    <row r="4947" spans="1:38" x14ac:dyDescent="0.2">
      <c r="A4947" s="2" t="str">
        <f>HYPERLINK("https://www.compass.com/listing/51-east-131st-street-unit-4b-manhattan-ny-10037/4852275111048265105/","51 E 131st St, Unit 4B")</f>
        <v>51 E 131st St, Unit 4B</v>
      </c>
      <c r="B4947" s="2" t="str">
        <f>HYPERLINK("https://www.compass.com/building/the-style-manhattan-ny/282066541707564085/","The Style")</f>
        <v>The Style</v>
      </c>
      <c r="C4947" s="1" t="s">
        <v>424</v>
      </c>
      <c r="D4947" s="1" t="s">
        <v>41</v>
      </c>
      <c r="E4947" s="3">
        <v>629000</v>
      </c>
      <c r="F4947" s="1">
        <v>969.18335901386695</v>
      </c>
      <c r="G4947" s="1">
        <v>3</v>
      </c>
      <c r="H4947" s="1">
        <v>1</v>
      </c>
      <c r="I4947" s="1">
        <v>1</v>
      </c>
      <c r="J4947" s="1">
        <v>1</v>
      </c>
      <c r="M4947" s="1">
        <v>649</v>
      </c>
      <c r="N4947" s="1">
        <v>537</v>
      </c>
      <c r="O4947" s="1">
        <v>1140</v>
      </c>
      <c r="P4947" s="1">
        <v>603</v>
      </c>
      <c r="Q4947" s="1" t="s">
        <v>42</v>
      </c>
      <c r="S4947" s="1" t="s">
        <v>42</v>
      </c>
      <c r="T4947" s="1" t="s">
        <v>273</v>
      </c>
      <c r="U4947" s="1">
        <v>70</v>
      </c>
      <c r="V4947" s="5">
        <v>43666</v>
      </c>
      <c r="W4947" s="5">
        <v>42593</v>
      </c>
      <c r="X4947" s="1">
        <v>629000</v>
      </c>
      <c r="Y4947" s="1">
        <v>629000</v>
      </c>
      <c r="Z4947" s="5">
        <v>42762</v>
      </c>
      <c r="AA4947" s="1">
        <v>629000</v>
      </c>
      <c r="AB4947" s="1" t="s">
        <v>275</v>
      </c>
      <c r="AC4947" s="5">
        <v>42908</v>
      </c>
      <c r="AF4947" s="1">
        <v>10037</v>
      </c>
      <c r="AI4947" s="1" t="s">
        <v>3485</v>
      </c>
      <c r="AJ4947" s="1">
        <v>2016</v>
      </c>
      <c r="AK4947" s="1" t="s">
        <v>3486</v>
      </c>
      <c r="AL4947" s="1">
        <v>12</v>
      </c>
    </row>
    <row r="4948" spans="1:38" x14ac:dyDescent="0.2">
      <c r="A4948" s="2" t="str">
        <f>HYPERLINK("https://www.compass.com/listing/2231-adam-clayton-powell-jr-boulevard-unit-ph1-manhattan-ny-10027/4852269577561717025/","2231 Adam Clayton Powell Jr Blvd, Unit PH1")</f>
        <v>2231 Adam Clayton Powell Jr Blvd, Unit PH1</v>
      </c>
      <c r="B4948" s="2" t="str">
        <f>HYPERLINK("https://www.compass.com/building/the-aurum-manhattan-ny/307451641162444869/","The Aurum")</f>
        <v>The Aurum</v>
      </c>
      <c r="C4948" s="1" t="s">
        <v>84</v>
      </c>
      <c r="D4948" s="1" t="s">
        <v>41</v>
      </c>
      <c r="E4948" s="3">
        <v>1083000</v>
      </c>
      <c r="F4948" s="1">
        <v>1272.6204465334899</v>
      </c>
      <c r="G4948" s="1">
        <v>4</v>
      </c>
      <c r="H4948" s="1">
        <v>2</v>
      </c>
      <c r="I4948" s="1">
        <v>2</v>
      </c>
      <c r="J4948" s="1">
        <v>2</v>
      </c>
      <c r="M4948" s="1">
        <v>851</v>
      </c>
      <c r="N4948" s="1">
        <v>812</v>
      </c>
      <c r="O4948" s="1">
        <v>963</v>
      </c>
      <c r="P4948" s="1">
        <v>151</v>
      </c>
      <c r="Q4948" s="1" t="s">
        <v>42</v>
      </c>
      <c r="S4948" s="1" t="s">
        <v>42</v>
      </c>
      <c r="T4948" s="1" t="s">
        <v>273</v>
      </c>
      <c r="U4948" s="1">
        <v>14</v>
      </c>
      <c r="V4948" s="5">
        <v>42865</v>
      </c>
      <c r="W4948" s="5">
        <v>42492</v>
      </c>
      <c r="X4948" s="1">
        <v>1059000</v>
      </c>
      <c r="Y4948" s="1">
        <v>1083000</v>
      </c>
      <c r="Z4948" s="5">
        <v>42507</v>
      </c>
      <c r="AB4948" s="1" t="s">
        <v>275</v>
      </c>
      <c r="AC4948" s="5">
        <v>42865</v>
      </c>
      <c r="AF4948" s="1">
        <v>10027</v>
      </c>
      <c r="AI4948" s="1" t="s">
        <v>133</v>
      </c>
      <c r="AJ4948" s="1">
        <v>2016</v>
      </c>
      <c r="AK4948" s="1" t="s">
        <v>108</v>
      </c>
      <c r="AL4948" s="1">
        <v>115</v>
      </c>
    </row>
    <row r="4949" spans="1:38" x14ac:dyDescent="0.2">
      <c r="A4949" s="2" t="str">
        <f>HYPERLINK("https://www.compass.com/listing/695-1st-avenue-unit-30e-manhattan-ny-10016/441980104542122745/","695 1st Ave, Unit 30E")</f>
        <v>695 1st Ave, Unit 30E</v>
      </c>
      <c r="B4949" s="2" t="str">
        <f>HYPERLINK("https://www.compass.com/building/one-united-nations-park-manhattan-ny/282058773630059653/","One United Nations Park")</f>
        <v>One United Nations Park</v>
      </c>
      <c r="C4949" s="1" t="s">
        <v>59</v>
      </c>
      <c r="D4949" s="1" t="s">
        <v>41</v>
      </c>
      <c r="E4949" s="3">
        <v>3985000</v>
      </c>
      <c r="F4949" s="1">
        <v>1848.3302411873799</v>
      </c>
      <c r="G4949" s="1">
        <v>5</v>
      </c>
      <c r="H4949" s="1">
        <v>3</v>
      </c>
      <c r="I4949" s="1">
        <v>3</v>
      </c>
      <c r="J4949" s="1">
        <v>2.5</v>
      </c>
      <c r="K4949" s="1">
        <v>2</v>
      </c>
      <c r="L4949" s="1">
        <v>1</v>
      </c>
      <c r="M4949" s="4">
        <v>2156</v>
      </c>
      <c r="N4949" s="1">
        <v>2927</v>
      </c>
      <c r="O4949" s="1">
        <v>6403</v>
      </c>
      <c r="P4949" s="1">
        <v>3476</v>
      </c>
      <c r="Q4949" s="1" t="s">
        <v>42</v>
      </c>
      <c r="S4949" s="1" t="s">
        <v>42</v>
      </c>
      <c r="T4949" s="1" t="s">
        <v>273</v>
      </c>
      <c r="U4949" s="1">
        <v>50</v>
      </c>
      <c r="V4949" s="5">
        <v>44411</v>
      </c>
      <c r="W4949" s="5">
        <v>43861</v>
      </c>
      <c r="X4949" s="1">
        <v>4750000</v>
      </c>
      <c r="Y4949" s="1">
        <v>4750000</v>
      </c>
      <c r="Z4949" s="5">
        <v>44174</v>
      </c>
      <c r="AA4949" s="1">
        <v>3985000</v>
      </c>
      <c r="AB4949" s="1" t="s">
        <v>275</v>
      </c>
      <c r="AC4949" s="5">
        <v>44406</v>
      </c>
      <c r="AF4949" s="1">
        <v>10016</v>
      </c>
      <c r="AI4949" s="1" t="s">
        <v>131</v>
      </c>
      <c r="AJ4949" s="1">
        <v>2019</v>
      </c>
      <c r="AK4949" s="1" t="s">
        <v>46</v>
      </c>
      <c r="AL4949" s="1">
        <v>148</v>
      </c>
    </row>
    <row r="4950" spans="1:38" x14ac:dyDescent="0.2">
      <c r="A4950" s="2" t="str">
        <f>HYPERLINK("https://www.compass.com/listing/2231-adam-clayton-powell-jr-boulevard-unit-516-manhattan-ny-10027/4703729651455914609/","2231 Adam Clayton Powell Jr Blvd, Unit 516")</f>
        <v>2231 Adam Clayton Powell Jr Blvd, Unit 516</v>
      </c>
      <c r="B4950" s="2" t="str">
        <f t="shared" ref="B4950:B4951" si="843">HYPERLINK("https://www.compass.com/building/the-aurum-manhattan-ny/307451641162444869/","The Aurum")</f>
        <v>The Aurum</v>
      </c>
      <c r="C4950" s="1" t="s">
        <v>84</v>
      </c>
      <c r="D4950" s="1" t="s">
        <v>41</v>
      </c>
      <c r="E4950" s="3">
        <v>697000</v>
      </c>
      <c r="F4950" s="1">
        <v>1097.63779527559</v>
      </c>
      <c r="G4950" s="1">
        <v>3</v>
      </c>
      <c r="H4950" s="1">
        <v>1</v>
      </c>
      <c r="I4950" s="1">
        <v>1</v>
      </c>
      <c r="J4950" s="1">
        <v>1</v>
      </c>
      <c r="M4950" s="1">
        <v>635</v>
      </c>
      <c r="N4950" s="1">
        <v>623.71</v>
      </c>
      <c r="O4950" s="1">
        <v>739.77</v>
      </c>
      <c r="P4950" s="1">
        <v>116.083333333333</v>
      </c>
      <c r="Q4950" s="1" t="s">
        <v>42</v>
      </c>
      <c r="S4950" s="1" t="s">
        <v>42</v>
      </c>
      <c r="T4950" s="1" t="s">
        <v>273</v>
      </c>
      <c r="V4950" s="5">
        <v>42839</v>
      </c>
      <c r="W4950" s="5">
        <v>42832</v>
      </c>
      <c r="X4950" s="1">
        <v>697000</v>
      </c>
      <c r="Y4950" s="1">
        <v>697000</v>
      </c>
      <c r="AA4950" s="1">
        <v>697000</v>
      </c>
      <c r="AB4950" s="1" t="s">
        <v>275</v>
      </c>
      <c r="AC4950" s="5">
        <v>42832</v>
      </c>
      <c r="AF4950" s="1">
        <v>10027</v>
      </c>
      <c r="AI4950" s="1" t="s">
        <v>52</v>
      </c>
      <c r="AJ4950" s="1">
        <v>2016</v>
      </c>
      <c r="AK4950" s="1" t="s">
        <v>108</v>
      </c>
      <c r="AL4950" s="1">
        <v>115</v>
      </c>
    </row>
    <row r="4951" spans="1:38" x14ac:dyDescent="0.2">
      <c r="A4951" s="2" t="str">
        <f>HYPERLINK("https://www.compass.com/listing/2231-adam-clayton-powell-jr-boulevard-unit-ph13-manhattan-ny-10027/192575592183468769/","2231 Adam Clayton Powell Jr Blvd, Unit PH13")</f>
        <v>2231 Adam Clayton Powell Jr Blvd, Unit PH13</v>
      </c>
      <c r="B4951" s="2" t="str">
        <f t="shared" si="843"/>
        <v>The Aurum</v>
      </c>
      <c r="C4951" s="1" t="s">
        <v>84</v>
      </c>
      <c r="D4951" s="1" t="s">
        <v>41</v>
      </c>
      <c r="E4951" s="3">
        <v>1115000</v>
      </c>
      <c r="F4951" s="1">
        <v>1307.1512309495799</v>
      </c>
      <c r="G4951" s="1">
        <v>4</v>
      </c>
      <c r="H4951" s="1">
        <v>2</v>
      </c>
      <c r="I4951" s="1">
        <v>2</v>
      </c>
      <c r="J4951" s="1">
        <v>2</v>
      </c>
      <c r="M4951" s="1">
        <v>853</v>
      </c>
      <c r="N4951" s="1">
        <v>814</v>
      </c>
      <c r="O4951" s="1">
        <v>969</v>
      </c>
      <c r="P4951" s="1">
        <v>155</v>
      </c>
      <c r="Q4951" s="1" t="s">
        <v>42</v>
      </c>
      <c r="S4951" s="1" t="s">
        <v>42</v>
      </c>
      <c r="T4951" s="1" t="s">
        <v>273</v>
      </c>
      <c r="U4951" s="1">
        <v>33</v>
      </c>
      <c r="V4951" s="5">
        <v>42838</v>
      </c>
      <c r="W4951" s="5">
        <v>42459</v>
      </c>
      <c r="X4951" s="1">
        <v>1115000</v>
      </c>
      <c r="Y4951" s="1">
        <v>1115000</v>
      </c>
      <c r="Z4951" s="5">
        <v>42493</v>
      </c>
      <c r="AB4951" s="1" t="s">
        <v>275</v>
      </c>
      <c r="AC4951" s="5">
        <v>42703</v>
      </c>
      <c r="AF4951" s="1">
        <v>10027</v>
      </c>
      <c r="AI4951" s="1" t="s">
        <v>764</v>
      </c>
      <c r="AJ4951" s="1">
        <v>2016</v>
      </c>
      <c r="AK4951" s="1" t="s">
        <v>108</v>
      </c>
      <c r="AL4951" s="1">
        <v>115</v>
      </c>
    </row>
    <row r="4952" spans="1:38" x14ac:dyDescent="0.2">
      <c r="A4952" s="2" t="str">
        <f>HYPERLINK("https://www.compass.com/listing/70-west-139th-street-unit-8g-manhattan-ny-10037/369431494528641633/","70 W 139th St, Unit 8G")</f>
        <v>70 W 139th St, Unit 8G</v>
      </c>
      <c r="B4952" s="2" t="str">
        <f>HYPERLINK("https://www.compass.com/building/70-w-139th-st-manhattan-ny-10037/292920118235647477/","70 W 139th St")</f>
        <v>70 W 139th St</v>
      </c>
      <c r="C4952" s="1" t="s">
        <v>84</v>
      </c>
      <c r="D4952" s="1" t="s">
        <v>41</v>
      </c>
      <c r="E4952" s="3">
        <v>631500</v>
      </c>
      <c r="F4952" s="1">
        <v>927.31277533039599</v>
      </c>
      <c r="G4952" s="1">
        <v>3</v>
      </c>
      <c r="H4952" s="1">
        <v>1</v>
      </c>
      <c r="I4952" s="1">
        <v>1</v>
      </c>
      <c r="J4952" s="1">
        <v>1</v>
      </c>
      <c r="K4952" s="1">
        <v>1</v>
      </c>
      <c r="M4952" s="1">
        <v>681</v>
      </c>
      <c r="N4952" s="1">
        <v>472</v>
      </c>
      <c r="O4952" s="1">
        <v>492</v>
      </c>
      <c r="P4952" s="1">
        <v>20</v>
      </c>
      <c r="Q4952" s="1" t="s">
        <v>42</v>
      </c>
      <c r="S4952" s="1" t="s">
        <v>42</v>
      </c>
      <c r="T4952" s="1" t="s">
        <v>273</v>
      </c>
      <c r="U4952" s="1">
        <v>78</v>
      </c>
      <c r="V4952" s="5">
        <v>43763</v>
      </c>
      <c r="W4952" s="5">
        <v>43683</v>
      </c>
      <c r="X4952" s="1">
        <v>815000</v>
      </c>
      <c r="Y4952" s="1">
        <v>815000</v>
      </c>
      <c r="Z4952" s="5">
        <v>43762</v>
      </c>
      <c r="AA4952" s="1">
        <v>631500</v>
      </c>
      <c r="AB4952" s="1" t="s">
        <v>3487</v>
      </c>
      <c r="AC4952" s="5">
        <v>43761</v>
      </c>
      <c r="AF4952" s="1">
        <v>10037</v>
      </c>
      <c r="AI4952" s="1" t="s">
        <v>238</v>
      </c>
      <c r="AJ4952" s="1">
        <v>2018</v>
      </c>
      <c r="AL4952" s="1">
        <v>64</v>
      </c>
    </row>
    <row r="4953" spans="1:38" x14ac:dyDescent="0.2">
      <c r="A4953" s="2" t="str">
        <f>HYPERLINK("https://www.compass.com/listing/2231-adam-clayton-powell-jr-boulevard-unit-403-manhattan-ny-10027/192575563720913137/","2231 Adam Clayton Powell Jr Blvd, Unit 403")</f>
        <v>2231 Adam Clayton Powell Jr Blvd, Unit 403</v>
      </c>
      <c r="B4953" s="2" t="str">
        <f t="shared" ref="B4953:B4956" si="844">HYPERLINK("https://www.compass.com/building/the-aurum-manhattan-ny/307451641162444869/","The Aurum")</f>
        <v>The Aurum</v>
      </c>
      <c r="C4953" s="1" t="s">
        <v>84</v>
      </c>
      <c r="D4953" s="1" t="s">
        <v>41</v>
      </c>
      <c r="E4953" s="3">
        <v>688000</v>
      </c>
      <c r="F4953" s="1">
        <v>1013.25478645066</v>
      </c>
      <c r="G4953" s="1">
        <v>3</v>
      </c>
      <c r="H4953" s="1">
        <v>1</v>
      </c>
      <c r="I4953" s="1">
        <v>1</v>
      </c>
      <c r="J4953" s="1">
        <v>1</v>
      </c>
      <c r="M4953" s="1">
        <v>679</v>
      </c>
      <c r="N4953" s="1">
        <v>648</v>
      </c>
      <c r="O4953" s="1">
        <v>769</v>
      </c>
      <c r="P4953" s="1">
        <v>121</v>
      </c>
      <c r="Q4953" s="1" t="s">
        <v>42</v>
      </c>
      <c r="S4953" s="1" t="s">
        <v>42</v>
      </c>
      <c r="T4953" s="1" t="s">
        <v>273</v>
      </c>
      <c r="U4953" s="1">
        <v>49</v>
      </c>
      <c r="V4953" s="5">
        <v>42838</v>
      </c>
      <c r="W4953" s="5">
        <v>42542</v>
      </c>
      <c r="X4953" s="1">
        <v>1</v>
      </c>
      <c r="Y4953" s="1">
        <v>1</v>
      </c>
      <c r="Z4953" s="5">
        <v>42592</v>
      </c>
      <c r="AB4953" s="1" t="s">
        <v>275</v>
      </c>
      <c r="AC4953" s="5">
        <v>42762</v>
      </c>
      <c r="AF4953" s="1">
        <v>10027</v>
      </c>
      <c r="AI4953" s="1" t="s">
        <v>52</v>
      </c>
      <c r="AJ4953" s="1">
        <v>2016</v>
      </c>
      <c r="AK4953" s="1" t="s">
        <v>108</v>
      </c>
      <c r="AL4953" s="1">
        <v>115</v>
      </c>
    </row>
    <row r="4954" spans="1:38" x14ac:dyDescent="0.2">
      <c r="A4954" s="2" t="str">
        <f>HYPERLINK("https://www.compass.com/listing/2231-adam-clayton-powell-jr-boulevard-unit-504-manhattan-ny-10027/192575629168863121/","2231 Adam Clayton Powell Jr Blvd, Unit 504")</f>
        <v>2231 Adam Clayton Powell Jr Blvd, Unit 504</v>
      </c>
      <c r="B4954" s="2" t="str">
        <f t="shared" si="844"/>
        <v>The Aurum</v>
      </c>
      <c r="C4954" s="1" t="s">
        <v>84</v>
      </c>
      <c r="D4954" s="1" t="s">
        <v>41</v>
      </c>
      <c r="E4954" s="3">
        <v>687000</v>
      </c>
      <c r="F4954" s="1">
        <v>1081.8897637795201</v>
      </c>
      <c r="G4954" s="1">
        <v>3</v>
      </c>
      <c r="H4954" s="1">
        <v>1</v>
      </c>
      <c r="I4954" s="1">
        <v>1</v>
      </c>
      <c r="J4954" s="1">
        <v>1</v>
      </c>
      <c r="M4954" s="1">
        <v>635</v>
      </c>
      <c r="N4954" s="1">
        <v>606</v>
      </c>
      <c r="O4954" s="1">
        <v>719</v>
      </c>
      <c r="P4954" s="1">
        <v>113</v>
      </c>
      <c r="Q4954" s="1" t="s">
        <v>42</v>
      </c>
      <c r="S4954" s="1" t="s">
        <v>42</v>
      </c>
      <c r="T4954" s="1" t="s">
        <v>273</v>
      </c>
      <c r="U4954" s="1">
        <v>57</v>
      </c>
      <c r="V4954" s="5">
        <v>42838</v>
      </c>
      <c r="W4954" s="5">
        <v>42542</v>
      </c>
      <c r="X4954" s="1">
        <v>683000</v>
      </c>
      <c r="Y4954" s="1">
        <v>687000</v>
      </c>
      <c r="Z4954" s="5">
        <v>42600</v>
      </c>
      <c r="AB4954" s="1" t="s">
        <v>275</v>
      </c>
      <c r="AC4954" s="5">
        <v>42838</v>
      </c>
      <c r="AF4954" s="1">
        <v>10027</v>
      </c>
      <c r="AI4954" s="1" t="s">
        <v>52</v>
      </c>
      <c r="AJ4954" s="1">
        <v>2016</v>
      </c>
      <c r="AK4954" s="1" t="s">
        <v>108</v>
      </c>
      <c r="AL4954" s="1">
        <v>115</v>
      </c>
    </row>
    <row r="4955" spans="1:38" x14ac:dyDescent="0.2">
      <c r="A4955" s="2" t="str">
        <f>HYPERLINK("https://www.compass.com/listing/2231-adam-clayton-powell-jr-boulevard-unit-316-manhattan-ny-10027/4853137699839678289/","2231 Adam Clayton Powell Jr Blvd, Unit 316")</f>
        <v>2231 Adam Clayton Powell Jr Blvd, Unit 316</v>
      </c>
      <c r="B4955" s="2" t="str">
        <f t="shared" si="844"/>
        <v>The Aurum</v>
      </c>
      <c r="C4955" s="1" t="s">
        <v>84</v>
      </c>
      <c r="D4955" s="1" t="s">
        <v>41</v>
      </c>
      <c r="E4955" s="3">
        <v>656000</v>
      </c>
      <c r="F4955" s="1">
        <v>1003.05810397553</v>
      </c>
      <c r="G4955" s="1">
        <v>3</v>
      </c>
      <c r="H4955" s="1">
        <v>1</v>
      </c>
      <c r="I4955" s="1">
        <v>1</v>
      </c>
      <c r="J4955" s="1">
        <v>1</v>
      </c>
      <c r="M4955" s="1">
        <v>654</v>
      </c>
      <c r="N4955" s="1">
        <v>624</v>
      </c>
      <c r="O4955" s="1">
        <v>740</v>
      </c>
      <c r="P4955" s="1">
        <v>116</v>
      </c>
      <c r="Q4955" s="1" t="s">
        <v>42</v>
      </c>
      <c r="S4955" s="1" t="s">
        <v>42</v>
      </c>
      <c r="T4955" s="1" t="s">
        <v>273</v>
      </c>
      <c r="U4955" s="1">
        <v>33</v>
      </c>
      <c r="V4955" s="5">
        <v>43222</v>
      </c>
      <c r="W4955" s="5">
        <v>42459</v>
      </c>
      <c r="X4955" s="1">
        <v>656000</v>
      </c>
      <c r="Y4955" s="1">
        <v>656000</v>
      </c>
      <c r="Z4955" s="5">
        <v>42493</v>
      </c>
      <c r="AA4955" s="1">
        <v>656000</v>
      </c>
      <c r="AB4955" s="1" t="s">
        <v>275</v>
      </c>
      <c r="AC4955" s="5">
        <v>42761</v>
      </c>
      <c r="AF4955" s="1">
        <v>10027</v>
      </c>
      <c r="AI4955" s="1" t="s">
        <v>52</v>
      </c>
      <c r="AJ4955" s="1">
        <v>2016</v>
      </c>
      <c r="AK4955" s="1" t="s">
        <v>108</v>
      </c>
      <c r="AL4955" s="1">
        <v>115</v>
      </c>
    </row>
    <row r="4956" spans="1:38" x14ac:dyDescent="0.2">
      <c r="A4956" s="2" t="str">
        <f>HYPERLINK("https://www.compass.com/listing/2231-adam-clayton-powell-jr-boulevard-unit-ph9-manhattan-ny-10027/192575646994640753/","2231 Adam Clayton Powell Jr Blvd, Unit PH9")</f>
        <v>2231 Adam Clayton Powell Jr Blvd, Unit PH9</v>
      </c>
      <c r="B4956" s="2" t="str">
        <f t="shared" si="844"/>
        <v>The Aurum</v>
      </c>
      <c r="C4956" s="1" t="s">
        <v>84</v>
      </c>
      <c r="D4956" s="1" t="s">
        <v>41</v>
      </c>
      <c r="E4956" s="3">
        <v>1085000</v>
      </c>
      <c r="F4956" s="1">
        <v>1267.52336448598</v>
      </c>
      <c r="G4956" s="1">
        <v>3</v>
      </c>
      <c r="H4956" s="1">
        <v>1</v>
      </c>
      <c r="I4956" s="1">
        <v>1</v>
      </c>
      <c r="J4956" s="1">
        <v>1</v>
      </c>
      <c r="M4956" s="1">
        <v>856</v>
      </c>
      <c r="N4956" s="1">
        <v>816</v>
      </c>
      <c r="O4956" s="1">
        <v>968</v>
      </c>
      <c r="P4956" s="1">
        <v>152</v>
      </c>
      <c r="Q4956" s="1" t="s">
        <v>42</v>
      </c>
      <c r="S4956" s="1" t="s">
        <v>42</v>
      </c>
      <c r="T4956" s="1" t="s">
        <v>273</v>
      </c>
      <c r="U4956" s="1">
        <v>140</v>
      </c>
      <c r="V4956" s="5">
        <v>42838</v>
      </c>
      <c r="W4956" s="5">
        <v>42459</v>
      </c>
      <c r="X4956" s="1">
        <v>1085000</v>
      </c>
      <c r="Y4956" s="1">
        <v>1085000</v>
      </c>
      <c r="Z4956" s="5">
        <v>42600</v>
      </c>
      <c r="AB4956" s="1" t="s">
        <v>275</v>
      </c>
      <c r="AC4956" s="5">
        <v>42703</v>
      </c>
      <c r="AF4956" s="1">
        <v>10027</v>
      </c>
      <c r="AI4956" s="1" t="s">
        <v>133</v>
      </c>
      <c r="AJ4956" s="1">
        <v>2016</v>
      </c>
      <c r="AK4956" s="1" t="s">
        <v>108</v>
      </c>
      <c r="AL4956" s="1">
        <v>115</v>
      </c>
    </row>
    <row r="4957" spans="1:38" x14ac:dyDescent="0.2">
      <c r="A4957" s="2" t="str">
        <f>HYPERLINK("https://www.compass.com/listing/51-east-131st-street-unit-4a-manhattan-ny-10037/29428814341754865/","51 E 131st St, Unit 4A")</f>
        <v>51 E 131st St, Unit 4A</v>
      </c>
      <c r="B4957" s="2" t="str">
        <f>HYPERLINK("https://www.compass.com/building/the-style-manhattan-ny/282066541707564085/","The Style")</f>
        <v>The Style</v>
      </c>
      <c r="C4957" s="1" t="s">
        <v>424</v>
      </c>
      <c r="D4957" s="1" t="s">
        <v>41</v>
      </c>
      <c r="E4957" s="3">
        <v>563244</v>
      </c>
      <c r="F4957" s="1">
        <v>957.89795918367304</v>
      </c>
      <c r="G4957" s="1">
        <v>3</v>
      </c>
      <c r="H4957" s="1">
        <v>1</v>
      </c>
      <c r="I4957" s="1">
        <v>1</v>
      </c>
      <c r="J4957" s="1">
        <v>1</v>
      </c>
      <c r="M4957" s="1">
        <v>588</v>
      </c>
      <c r="N4957" s="1">
        <v>482</v>
      </c>
      <c r="O4957" s="1">
        <v>1023</v>
      </c>
      <c r="P4957" s="1">
        <v>541</v>
      </c>
      <c r="Q4957" s="1" t="s">
        <v>42</v>
      </c>
      <c r="S4957" s="1" t="s">
        <v>42</v>
      </c>
      <c r="T4957" s="1" t="s">
        <v>273</v>
      </c>
      <c r="U4957" s="1">
        <v>56</v>
      </c>
      <c r="V4957" s="5">
        <v>43666</v>
      </c>
      <c r="W4957" s="5">
        <v>42593</v>
      </c>
      <c r="X4957" s="1">
        <v>561000</v>
      </c>
      <c r="Y4957" s="1">
        <v>561000</v>
      </c>
      <c r="Z4957" s="5">
        <v>42649</v>
      </c>
      <c r="AA4957" s="1">
        <v>563244</v>
      </c>
      <c r="AB4957" s="1" t="s">
        <v>3488</v>
      </c>
      <c r="AC4957" s="5">
        <v>42912</v>
      </c>
      <c r="AF4957" s="1">
        <v>10037</v>
      </c>
      <c r="AI4957" s="1" t="s">
        <v>3485</v>
      </c>
      <c r="AJ4957" s="1">
        <v>2016</v>
      </c>
      <c r="AK4957" s="1" t="s">
        <v>257</v>
      </c>
      <c r="AL4957" s="1">
        <v>12</v>
      </c>
    </row>
    <row r="4958" spans="1:38" x14ac:dyDescent="0.2">
      <c r="A4958" s="2" t="str">
        <f>HYPERLINK("https://www.compass.com/listing/2231-adam-clayton-powell-jr-boulevard-unit-ph12-manhattan-ny-10027/841509432432500913/","2231 Adam Clayton Powell Jr Blvd, Unit PH12")</f>
        <v>2231 Adam Clayton Powell Jr Blvd, Unit PH12</v>
      </c>
      <c r="B4958" s="1" t="s">
        <v>3489</v>
      </c>
      <c r="C4958" s="1" t="s">
        <v>85</v>
      </c>
      <c r="D4958" s="1" t="s">
        <v>41</v>
      </c>
      <c r="E4958" s="3">
        <v>787000</v>
      </c>
      <c r="F4958" s="1">
        <v>1290.1639344262201</v>
      </c>
      <c r="G4958" s="1">
        <v>3</v>
      </c>
      <c r="H4958" s="1">
        <v>1</v>
      </c>
      <c r="J4958" s="1">
        <v>1</v>
      </c>
      <c r="M4958" s="1">
        <v>610</v>
      </c>
      <c r="N4958" s="1">
        <v>581.75</v>
      </c>
      <c r="O4958" s="1">
        <v>690</v>
      </c>
      <c r="P4958" s="1">
        <v>108.25</v>
      </c>
      <c r="Q4958" s="1" t="s">
        <v>42</v>
      </c>
      <c r="S4958" s="1" t="s">
        <v>42</v>
      </c>
      <c r="T4958" s="1" t="s">
        <v>273</v>
      </c>
      <c r="V4958" s="5">
        <v>42775</v>
      </c>
      <c r="AA4958" s="1">
        <v>787000</v>
      </c>
      <c r="AB4958" s="1" t="s">
        <v>275</v>
      </c>
      <c r="AC4958" s="5">
        <v>42775</v>
      </c>
      <c r="AF4958" s="1">
        <v>10027</v>
      </c>
      <c r="AI4958" s="1" t="s">
        <v>483</v>
      </c>
      <c r="AJ4958" s="1">
        <v>2016</v>
      </c>
      <c r="AK4958" s="1" t="s">
        <v>136</v>
      </c>
    </row>
    <row r="4959" spans="1:38" x14ac:dyDescent="0.2">
      <c r="A4959" s="2" t="str">
        <f>HYPERLINK("https://www.compass.com/listing/51-east-131st-street-unit-1c-manhattan-ny-10037/10135391726281521/","51 E 131st St, Unit 1C")</f>
        <v>51 E 131st St, Unit 1C</v>
      </c>
      <c r="B4959" s="2" t="str">
        <f t="shared" ref="B4959:B4960" si="845">HYPERLINK("https://www.compass.com/building/the-style-manhattan-ny/282066541707564085/","The Style")</f>
        <v>The Style</v>
      </c>
      <c r="C4959" s="1" t="s">
        <v>424</v>
      </c>
      <c r="D4959" s="1" t="s">
        <v>41</v>
      </c>
      <c r="E4959" s="3">
        <v>860000</v>
      </c>
      <c r="F4959" s="1">
        <v>821.394460362941</v>
      </c>
      <c r="G4959" s="1">
        <v>3</v>
      </c>
      <c r="H4959" s="1">
        <v>1</v>
      </c>
      <c r="I4959" s="1">
        <v>2</v>
      </c>
      <c r="J4959" s="1">
        <v>1.5</v>
      </c>
      <c r="M4959" s="4">
        <v>1047</v>
      </c>
      <c r="N4959" s="1">
        <v>744</v>
      </c>
      <c r="O4959" s="1">
        <v>1579</v>
      </c>
      <c r="P4959" s="1">
        <v>835</v>
      </c>
      <c r="Q4959" s="1" t="s">
        <v>42</v>
      </c>
      <c r="S4959" s="1" t="s">
        <v>42</v>
      </c>
      <c r="T4959" s="1" t="s">
        <v>273</v>
      </c>
      <c r="U4959" s="1">
        <v>476</v>
      </c>
      <c r="V4959" s="5">
        <v>43648</v>
      </c>
      <c r="W4959" s="5">
        <v>42769</v>
      </c>
      <c r="X4959" s="1">
        <v>899000</v>
      </c>
      <c r="Y4959" s="1">
        <v>869000</v>
      </c>
      <c r="Z4959" s="5">
        <v>43245</v>
      </c>
      <c r="AA4959" s="1">
        <v>860000</v>
      </c>
      <c r="AB4959" s="1" t="s">
        <v>275</v>
      </c>
      <c r="AC4959" s="5">
        <v>43251</v>
      </c>
      <c r="AF4959" s="1">
        <v>10037</v>
      </c>
      <c r="AI4959" s="1" t="s">
        <v>3485</v>
      </c>
      <c r="AJ4959" s="1">
        <v>2016</v>
      </c>
      <c r="AK4959" s="1" t="s">
        <v>257</v>
      </c>
      <c r="AL4959" s="1">
        <v>12</v>
      </c>
    </row>
    <row r="4960" spans="1:38" x14ac:dyDescent="0.2">
      <c r="A4960" s="2" t="str">
        <f>HYPERLINK("https://www.compass.com/listing/51-east-131st-street-unit-2b-manhattan-ny-10037/29428813041520609/","51 E 131st St, Unit 2B")</f>
        <v>51 E 131st St, Unit 2B</v>
      </c>
      <c r="B4960" s="2" t="str">
        <f t="shared" si="845"/>
        <v>The Style</v>
      </c>
      <c r="C4960" s="1" t="s">
        <v>424</v>
      </c>
      <c r="D4960" s="1" t="s">
        <v>41</v>
      </c>
      <c r="E4960" s="3">
        <v>622151</v>
      </c>
      <c r="F4960" s="1">
        <v>967.57542768273697</v>
      </c>
      <c r="G4960" s="1">
        <v>3</v>
      </c>
      <c r="H4960" s="1">
        <v>1</v>
      </c>
      <c r="I4960" s="1">
        <v>1</v>
      </c>
      <c r="J4960" s="1">
        <v>1</v>
      </c>
      <c r="M4960" s="1">
        <v>643</v>
      </c>
      <c r="N4960" s="1">
        <v>523</v>
      </c>
      <c r="O4960" s="1">
        <v>1110</v>
      </c>
      <c r="P4960" s="1">
        <v>587</v>
      </c>
      <c r="Q4960" s="1" t="s">
        <v>42</v>
      </c>
      <c r="S4960" s="1" t="s">
        <v>42</v>
      </c>
      <c r="T4960" s="1" t="s">
        <v>273</v>
      </c>
      <c r="U4960" s="1">
        <v>374</v>
      </c>
      <c r="V4960" s="5">
        <v>43650</v>
      </c>
      <c r="W4960" s="5">
        <v>42630</v>
      </c>
      <c r="X4960" s="1">
        <v>595000</v>
      </c>
      <c r="Y4960" s="1">
        <v>611000</v>
      </c>
      <c r="Z4960" s="5">
        <v>43004</v>
      </c>
      <c r="AA4960" s="1">
        <v>622151</v>
      </c>
      <c r="AB4960" s="1" t="s">
        <v>3490</v>
      </c>
      <c r="AC4960" s="5">
        <v>43032</v>
      </c>
      <c r="AF4960" s="1">
        <v>10037</v>
      </c>
      <c r="AI4960" s="1" t="s">
        <v>3485</v>
      </c>
      <c r="AJ4960" s="1">
        <v>2016</v>
      </c>
      <c r="AK4960" s="1" t="s">
        <v>55</v>
      </c>
      <c r="AL4960" s="1">
        <v>12</v>
      </c>
    </row>
    <row r="4961" spans="1:38" x14ac:dyDescent="0.2">
      <c r="A4961" s="2" t="str">
        <f>HYPERLINK("https://www.compass.com/listing/15-hudson-yards-unit-35f-manhattan-ny-10001/215906556821161729/","15 Hudson Yards, Unit 35F")</f>
        <v>15 Hudson Yards, Unit 35F</v>
      </c>
      <c r="B4961" s="2" t="str">
        <f t="shared" ref="B4961:B4968" si="846">HYPERLINK("https://www.compass.com/building/fifteen-hudson-yards-manhattan-ny/282058587512011909/","Fifteen Hudson Yards")</f>
        <v>Fifteen Hudson Yards</v>
      </c>
      <c r="C4961" s="1" t="s">
        <v>77</v>
      </c>
      <c r="D4961" s="1" t="s">
        <v>41</v>
      </c>
      <c r="E4961" s="3">
        <v>2462823</v>
      </c>
      <c r="F4961" s="1">
        <v>2361.2876318312501</v>
      </c>
      <c r="G4961" s="1">
        <v>3</v>
      </c>
      <c r="H4961" s="1">
        <v>1</v>
      </c>
      <c r="I4961" s="1">
        <v>1</v>
      </c>
      <c r="J4961" s="1">
        <v>1</v>
      </c>
      <c r="K4961" s="1">
        <v>1</v>
      </c>
      <c r="M4961" s="4">
        <v>1043</v>
      </c>
      <c r="N4961" s="1">
        <v>2253</v>
      </c>
      <c r="O4961" s="1">
        <v>2284</v>
      </c>
      <c r="P4961" s="1">
        <v>31</v>
      </c>
      <c r="Q4961" s="1" t="s">
        <v>42</v>
      </c>
      <c r="S4961" s="1" t="s">
        <v>42</v>
      </c>
      <c r="T4961" s="1" t="s">
        <v>273</v>
      </c>
      <c r="U4961" s="1">
        <v>875</v>
      </c>
      <c r="V4961" s="5">
        <v>43643</v>
      </c>
      <c r="W4961" s="5">
        <v>42674</v>
      </c>
      <c r="X4961" s="1">
        <v>2415000</v>
      </c>
      <c r="Y4961" s="1">
        <v>2462823</v>
      </c>
      <c r="AA4961" s="1">
        <v>2462823</v>
      </c>
      <c r="AB4961" s="1" t="s">
        <v>275</v>
      </c>
      <c r="AC4961" s="5">
        <v>43549</v>
      </c>
      <c r="AF4961" s="1">
        <v>10001</v>
      </c>
      <c r="AJ4961" s="1">
        <v>2018</v>
      </c>
      <c r="AK4961" s="1" t="s">
        <v>46</v>
      </c>
      <c r="AL4961" s="1">
        <v>285</v>
      </c>
    </row>
    <row r="4962" spans="1:38" x14ac:dyDescent="0.2">
      <c r="A4962" s="2" t="str">
        <f>HYPERLINK("https://www.compass.com/listing/15-hudson-yards-unit-38f-manhattan-ny-10001/223946916692495697/","15 Hudson Yards, Unit 38F")</f>
        <v>15 Hudson Yards, Unit 38F</v>
      </c>
      <c r="B4962" s="2" t="str">
        <f t="shared" si="846"/>
        <v>Fifteen Hudson Yards</v>
      </c>
      <c r="C4962" s="1" t="s">
        <v>77</v>
      </c>
      <c r="D4962" s="1" t="s">
        <v>41</v>
      </c>
      <c r="E4962" s="3">
        <v>2485000</v>
      </c>
      <c r="F4962" s="1">
        <v>2382.55033557047</v>
      </c>
      <c r="G4962" s="1">
        <v>3</v>
      </c>
      <c r="H4962" s="1">
        <v>1</v>
      </c>
      <c r="I4962" s="1">
        <v>1</v>
      </c>
      <c r="J4962" s="1">
        <v>1</v>
      </c>
      <c r="K4962" s="1">
        <v>1</v>
      </c>
      <c r="M4962" s="4">
        <v>1043</v>
      </c>
      <c r="N4962" s="1">
        <v>2272</v>
      </c>
      <c r="O4962" s="1">
        <v>2304</v>
      </c>
      <c r="P4962" s="1">
        <v>32</v>
      </c>
      <c r="Q4962" s="1" t="s">
        <v>42</v>
      </c>
      <c r="S4962" s="1" t="s">
        <v>42</v>
      </c>
      <c r="T4962" s="1" t="s">
        <v>273</v>
      </c>
      <c r="U4962" s="1">
        <v>234</v>
      </c>
      <c r="V4962" s="5">
        <v>43649</v>
      </c>
      <c r="W4962" s="5">
        <v>43319</v>
      </c>
      <c r="X4962" s="1">
        <v>2485000</v>
      </c>
      <c r="Y4962" s="1">
        <v>2485000</v>
      </c>
      <c r="AA4962" s="1">
        <v>2485000</v>
      </c>
      <c r="AB4962" s="1" t="s">
        <v>275</v>
      </c>
      <c r="AC4962" s="5">
        <v>43553</v>
      </c>
      <c r="AF4962" s="1">
        <v>10001</v>
      </c>
      <c r="AJ4962" s="1">
        <v>2018</v>
      </c>
      <c r="AK4962" s="1" t="s">
        <v>46</v>
      </c>
      <c r="AL4962" s="1">
        <v>285</v>
      </c>
    </row>
    <row r="4963" spans="1:38" x14ac:dyDescent="0.2">
      <c r="A4963" s="2" t="str">
        <f>HYPERLINK("https://www.compass.com/listing/15-hudson-yards-unit-28b-manhattan-ny-10001/228061655861359681/","15 Hudson Yards, Unit 28B")</f>
        <v>15 Hudson Yards, Unit 28B</v>
      </c>
      <c r="B4963" s="2" t="str">
        <f t="shared" si="846"/>
        <v>Fifteen Hudson Yards</v>
      </c>
      <c r="C4963" s="1" t="s">
        <v>77</v>
      </c>
      <c r="D4963" s="1" t="s">
        <v>41</v>
      </c>
      <c r="E4963" s="3">
        <v>2264265</v>
      </c>
      <c r="F4963" s="1">
        <v>2660.7109283196201</v>
      </c>
      <c r="G4963" s="1">
        <v>3</v>
      </c>
      <c r="H4963" s="1">
        <v>1</v>
      </c>
      <c r="I4963" s="1">
        <v>1</v>
      </c>
      <c r="J4963" s="1">
        <v>1</v>
      </c>
      <c r="K4963" s="1">
        <v>1</v>
      </c>
      <c r="M4963" s="1">
        <v>851</v>
      </c>
      <c r="N4963" s="1">
        <v>1871</v>
      </c>
      <c r="O4963" s="1">
        <v>1897</v>
      </c>
      <c r="P4963" s="1">
        <v>26</v>
      </c>
      <c r="Q4963" s="1" t="s">
        <v>42</v>
      </c>
      <c r="S4963" s="1" t="s">
        <v>42</v>
      </c>
      <c r="T4963" s="1" t="s">
        <v>273</v>
      </c>
      <c r="U4963" s="1">
        <v>741</v>
      </c>
      <c r="V4963" s="5">
        <v>43673</v>
      </c>
      <c r="W4963" s="5">
        <v>42823</v>
      </c>
      <c r="X4963" s="1">
        <v>2220000</v>
      </c>
      <c r="Y4963" s="1">
        <v>2220000</v>
      </c>
      <c r="AA4963" s="1">
        <v>2264265</v>
      </c>
      <c r="AB4963" s="1" t="s">
        <v>275</v>
      </c>
      <c r="AC4963" s="5">
        <v>43564</v>
      </c>
      <c r="AF4963" s="1">
        <v>10001</v>
      </c>
      <c r="AJ4963" s="1">
        <v>2018</v>
      </c>
      <c r="AK4963" s="1" t="s">
        <v>46</v>
      </c>
      <c r="AL4963" s="1">
        <v>285</v>
      </c>
    </row>
    <row r="4964" spans="1:38" x14ac:dyDescent="0.2">
      <c r="A4964" s="2" t="str">
        <f>HYPERLINK("https://www.compass.com/listing/15-hudson-yards-unit-32b-manhattan-ny-10001/231639964822115409/","15 Hudson Yards, Unit 32B")</f>
        <v>15 Hudson Yards, Unit 32B</v>
      </c>
      <c r="B4964" s="2" t="str">
        <f t="shared" si="846"/>
        <v>Fifteen Hudson Yards</v>
      </c>
      <c r="C4964" s="1" t="s">
        <v>77</v>
      </c>
      <c r="D4964" s="1" t="s">
        <v>41</v>
      </c>
      <c r="E4964" s="3">
        <v>2162440</v>
      </c>
      <c r="F4964" s="1">
        <v>2544.0470588235198</v>
      </c>
      <c r="G4964" s="1">
        <v>3</v>
      </c>
      <c r="H4964" s="1">
        <v>1</v>
      </c>
      <c r="I4964" s="1">
        <v>1</v>
      </c>
      <c r="J4964" s="1">
        <v>1</v>
      </c>
      <c r="K4964" s="1">
        <v>1</v>
      </c>
      <c r="M4964" s="1">
        <v>850</v>
      </c>
      <c r="N4964" s="1">
        <v>1897</v>
      </c>
      <c r="O4964" s="1">
        <v>1923</v>
      </c>
      <c r="P4964" s="1">
        <v>26</v>
      </c>
      <c r="Q4964" s="1" t="s">
        <v>42</v>
      </c>
      <c r="S4964" s="1" t="s">
        <v>42</v>
      </c>
      <c r="T4964" s="1" t="s">
        <v>273</v>
      </c>
      <c r="U4964" s="1">
        <v>928</v>
      </c>
      <c r="V4964" s="5">
        <v>43673</v>
      </c>
      <c r="W4964" s="5">
        <v>42639</v>
      </c>
      <c r="X4964" s="1">
        <v>2120000</v>
      </c>
      <c r="Y4964" s="1">
        <v>2120000</v>
      </c>
      <c r="AA4964" s="1">
        <v>2162440</v>
      </c>
      <c r="AB4964" s="1" t="s">
        <v>275</v>
      </c>
      <c r="AC4964" s="5">
        <v>43567</v>
      </c>
      <c r="AF4964" s="1">
        <v>10001</v>
      </c>
      <c r="AJ4964" s="1">
        <v>2018</v>
      </c>
      <c r="AK4964" s="1" t="s">
        <v>46</v>
      </c>
      <c r="AL4964" s="1">
        <v>285</v>
      </c>
    </row>
    <row r="4965" spans="1:38" x14ac:dyDescent="0.2">
      <c r="A4965" s="2" t="str">
        <f>HYPERLINK("https://www.compass.com/listing/15-hudson-yards-unit-36f-manhattan-ny-10001/231852351198115681/","15 Hudson Yards, Unit 36F")</f>
        <v>15 Hudson Yards, Unit 36F</v>
      </c>
      <c r="B4965" s="2" t="str">
        <f t="shared" si="846"/>
        <v>Fifteen Hudson Yards</v>
      </c>
      <c r="C4965" s="1" t="s">
        <v>77</v>
      </c>
      <c r="D4965" s="1" t="s">
        <v>41</v>
      </c>
      <c r="E4965" s="3">
        <v>2513736</v>
      </c>
      <c r="F4965" s="1">
        <v>2410.10162991371</v>
      </c>
      <c r="G4965" s="1">
        <v>3</v>
      </c>
      <c r="H4965" s="1">
        <v>1</v>
      </c>
      <c r="I4965" s="1">
        <v>1</v>
      </c>
      <c r="J4965" s="1">
        <v>1</v>
      </c>
      <c r="K4965" s="1">
        <v>1</v>
      </c>
      <c r="M4965" s="4">
        <v>1043</v>
      </c>
      <c r="N4965" s="1">
        <v>2264</v>
      </c>
      <c r="O4965" s="1">
        <v>2295</v>
      </c>
      <c r="P4965" s="1">
        <v>31</v>
      </c>
      <c r="Q4965" s="1" t="s">
        <v>42</v>
      </c>
      <c r="S4965" s="1" t="s">
        <v>42</v>
      </c>
      <c r="T4965" s="1" t="s">
        <v>273</v>
      </c>
      <c r="U4965" s="1">
        <v>573</v>
      </c>
      <c r="V4965" s="5">
        <v>43594</v>
      </c>
      <c r="W4965" s="5">
        <v>42998</v>
      </c>
      <c r="X4965" s="1">
        <v>2513736</v>
      </c>
      <c r="Y4965" s="1">
        <v>2465000</v>
      </c>
      <c r="AA4965" s="1">
        <v>2513736</v>
      </c>
      <c r="AB4965" s="1" t="s">
        <v>275</v>
      </c>
      <c r="AC4965" s="5">
        <v>43571</v>
      </c>
      <c r="AF4965" s="1">
        <v>10001</v>
      </c>
      <c r="AJ4965" s="1">
        <v>2018</v>
      </c>
      <c r="AK4965" s="1" t="s">
        <v>46</v>
      </c>
      <c r="AL4965" s="1">
        <v>285</v>
      </c>
    </row>
    <row r="4966" spans="1:38" x14ac:dyDescent="0.2">
      <c r="A4966" s="2" t="str">
        <f>HYPERLINK("https://www.compass.com/listing/15-hudson-yards-unit-33b-manhattan-ny-10001/262207483274119985/","15 Hudson Yards, Unit 33B")</f>
        <v>15 Hudson Yards, Unit 33B</v>
      </c>
      <c r="B4966" s="2" t="str">
        <f t="shared" si="846"/>
        <v>Fifteen Hudson Yards</v>
      </c>
      <c r="C4966" s="1" t="s">
        <v>77</v>
      </c>
      <c r="D4966" s="1" t="s">
        <v>41</v>
      </c>
      <c r="E4966" s="3">
        <v>2145000</v>
      </c>
      <c r="F4966" s="1">
        <v>2523.5294117646999</v>
      </c>
      <c r="G4966" s="1">
        <v>3</v>
      </c>
      <c r="H4966" s="1">
        <v>1</v>
      </c>
      <c r="I4966" s="1">
        <v>1</v>
      </c>
      <c r="J4966" s="1">
        <v>1</v>
      </c>
      <c r="K4966" s="1">
        <v>1</v>
      </c>
      <c r="M4966" s="1">
        <v>850</v>
      </c>
      <c r="N4966" s="1">
        <v>1904</v>
      </c>
      <c r="O4966" s="1">
        <v>1930</v>
      </c>
      <c r="P4966" s="1">
        <v>26</v>
      </c>
      <c r="Q4966" s="1" t="s">
        <v>42</v>
      </c>
      <c r="S4966" s="1" t="s">
        <v>42</v>
      </c>
      <c r="T4966" s="1" t="s">
        <v>273</v>
      </c>
      <c r="U4966" s="1">
        <v>966</v>
      </c>
      <c r="V4966" s="5">
        <v>43614</v>
      </c>
      <c r="W4966" s="5">
        <v>42642</v>
      </c>
      <c r="AA4966" s="1">
        <v>2145000</v>
      </c>
      <c r="AB4966" s="1" t="s">
        <v>275</v>
      </c>
      <c r="AC4966" s="5">
        <v>43608</v>
      </c>
      <c r="AF4966" s="1">
        <v>10001</v>
      </c>
      <c r="AJ4966" s="1">
        <v>2018</v>
      </c>
      <c r="AK4966" s="1" t="s">
        <v>46</v>
      </c>
      <c r="AL4966" s="1">
        <v>285</v>
      </c>
    </row>
    <row r="4967" spans="1:38" x14ac:dyDescent="0.2">
      <c r="A4967" s="2" t="str">
        <f>HYPERLINK("https://www.compass.com/listing/15-hudson-yards-unit-33f-manhattan-ny-10001/283099972008786657/","15 Hudson Yards, Unit 33F")</f>
        <v>15 Hudson Yards, Unit 33F</v>
      </c>
      <c r="B4967" s="2" t="str">
        <f t="shared" si="846"/>
        <v>Fifteen Hudson Yards</v>
      </c>
      <c r="C4967" s="1" t="s">
        <v>77</v>
      </c>
      <c r="D4967" s="1" t="s">
        <v>41</v>
      </c>
      <c r="E4967" s="3">
        <v>2483688</v>
      </c>
      <c r="F4967" s="1">
        <v>2358.6780626780601</v>
      </c>
      <c r="G4967" s="1">
        <v>3</v>
      </c>
      <c r="H4967" s="1">
        <v>1</v>
      </c>
      <c r="I4967" s="1">
        <v>1</v>
      </c>
      <c r="J4967" s="1">
        <v>1</v>
      </c>
      <c r="K4967" s="1">
        <v>1</v>
      </c>
      <c r="M4967" s="4">
        <v>1053</v>
      </c>
      <c r="N4967" s="1">
        <v>2253</v>
      </c>
      <c r="O4967" s="1">
        <v>2284</v>
      </c>
      <c r="P4967" s="1">
        <v>31</v>
      </c>
      <c r="Q4967" s="1" t="s">
        <v>42</v>
      </c>
      <c r="S4967" s="1" t="s">
        <v>42</v>
      </c>
      <c r="T4967" s="1" t="s">
        <v>273</v>
      </c>
      <c r="U4967" s="1">
        <v>421</v>
      </c>
      <c r="V4967" s="5">
        <v>43643</v>
      </c>
      <c r="W4967" s="5">
        <v>43131</v>
      </c>
      <c r="X4967" s="1">
        <v>2483688</v>
      </c>
      <c r="Y4967" s="1">
        <v>2483688</v>
      </c>
      <c r="AA4967" s="1">
        <v>2483688</v>
      </c>
      <c r="AB4967" s="1" t="s">
        <v>275</v>
      </c>
      <c r="AC4967" s="5">
        <v>43553</v>
      </c>
      <c r="AF4967" s="1">
        <v>10001</v>
      </c>
      <c r="AJ4967" s="1">
        <v>2018</v>
      </c>
      <c r="AK4967" s="1" t="s">
        <v>46</v>
      </c>
      <c r="AL4967" s="1">
        <v>285</v>
      </c>
    </row>
    <row r="4968" spans="1:38" x14ac:dyDescent="0.2">
      <c r="A4968" s="2" t="str">
        <f>HYPERLINK("https://www.compass.com/listing/15-hudson-yards-unit-39b-manhattan-ny-10001/309345260945604801/","15 Hudson Yards, Unit 39B")</f>
        <v>15 Hudson Yards, Unit 39B</v>
      </c>
      <c r="B4968" s="2" t="str">
        <f t="shared" si="846"/>
        <v>Fifteen Hudson Yards</v>
      </c>
      <c r="C4968" s="1" t="s">
        <v>77</v>
      </c>
      <c r="D4968" s="1" t="s">
        <v>41</v>
      </c>
      <c r="E4968" s="3">
        <v>2226150</v>
      </c>
      <c r="F4968" s="1">
        <v>2628.27626918536</v>
      </c>
      <c r="G4968" s="1">
        <v>3</v>
      </c>
      <c r="H4968" s="1">
        <v>1</v>
      </c>
      <c r="I4968" s="1">
        <v>1</v>
      </c>
      <c r="J4968" s="1">
        <v>1</v>
      </c>
      <c r="K4968" s="1">
        <v>1</v>
      </c>
      <c r="M4968" s="1">
        <v>847</v>
      </c>
      <c r="N4968" s="1">
        <v>1940</v>
      </c>
      <c r="O4968" s="1">
        <v>1967</v>
      </c>
      <c r="P4968" s="1">
        <v>27</v>
      </c>
      <c r="Q4968" s="1" t="s">
        <v>42</v>
      </c>
      <c r="S4968" s="1" t="s">
        <v>42</v>
      </c>
      <c r="T4968" s="1" t="s">
        <v>273</v>
      </c>
      <c r="U4968" s="1">
        <v>992</v>
      </c>
      <c r="V4968" s="5">
        <v>43679</v>
      </c>
      <c r="W4968" s="5">
        <v>42684</v>
      </c>
      <c r="AA4968" s="1">
        <v>2226150</v>
      </c>
      <c r="AB4968" s="1" t="s">
        <v>275</v>
      </c>
      <c r="AC4968" s="5">
        <v>43676</v>
      </c>
      <c r="AF4968" s="1">
        <v>10001</v>
      </c>
      <c r="AJ4968" s="1">
        <v>2018</v>
      </c>
      <c r="AK4968" s="1" t="s">
        <v>46</v>
      </c>
      <c r="AL4968" s="1">
        <v>285</v>
      </c>
    </row>
    <row r="4969" spans="1:38" x14ac:dyDescent="0.2">
      <c r="A4969" s="2" t="str">
        <f>HYPERLINK("https://www.compass.com/listing/371-west-126th-street-unit-1b-manhattan-ny-10027/29432968816737601/","371 W 126th St, Unit 1B")</f>
        <v>371 W 126th St, Unit 1B</v>
      </c>
      <c r="B4969" s="2" t="str">
        <f>HYPERLINK("https://www.compass.com/building/371-w-126th-st-manhattan-ny-10027/281982301896805285/","371 W 126th St")</f>
        <v>371 W 126th St</v>
      </c>
      <c r="C4969" s="1" t="s">
        <v>3491</v>
      </c>
      <c r="D4969" s="1" t="s">
        <v>41</v>
      </c>
      <c r="E4969" s="3">
        <v>560038</v>
      </c>
      <c r="F4969" s="1">
        <v>515.68830570902298</v>
      </c>
      <c r="H4969" s="1">
        <v>1</v>
      </c>
      <c r="J4969" s="1">
        <v>1.5</v>
      </c>
      <c r="K4969" s="1">
        <v>1</v>
      </c>
      <c r="L4969" s="1">
        <v>1</v>
      </c>
      <c r="M4969" s="4">
        <v>1086</v>
      </c>
      <c r="N4969" s="1">
        <v>556</v>
      </c>
      <c r="O4969" s="1">
        <v>564</v>
      </c>
      <c r="P4969" s="1">
        <v>8</v>
      </c>
      <c r="Q4969" s="1" t="s">
        <v>42</v>
      </c>
      <c r="S4969" s="1" t="s">
        <v>42</v>
      </c>
      <c r="T4969" s="1" t="s">
        <v>273</v>
      </c>
      <c r="AA4969" s="1">
        <v>560037.5</v>
      </c>
      <c r="AB4969" s="1" t="s">
        <v>3492</v>
      </c>
      <c r="AC4969" s="5">
        <v>42944</v>
      </c>
      <c r="AF4969" s="1">
        <v>10027</v>
      </c>
      <c r="AJ4969" s="1">
        <v>2008</v>
      </c>
      <c r="AL4969" s="1">
        <v>12</v>
      </c>
    </row>
    <row r="4970" spans="1:38" x14ac:dyDescent="0.2">
      <c r="A4970" s="2" t="str">
        <f>HYPERLINK("https://www.compass.com/listing/15-hudson-yards-unit-37g-manhattan-ny-10001/791218535735147673/","15 Hudson Yards, Unit 37G")</f>
        <v>15 Hudson Yards, Unit 37G</v>
      </c>
      <c r="B4970" s="2" t="str">
        <f>HYPERLINK("https://www.compass.com/building/fifteen-hudson-yards-manhattan-ny/282058587512011909/","Fifteen Hudson Yards")</f>
        <v>Fifteen Hudson Yards</v>
      </c>
      <c r="C4970" s="1" t="s">
        <v>77</v>
      </c>
      <c r="D4970" s="1" t="s">
        <v>41</v>
      </c>
      <c r="E4970" s="3">
        <v>3519377</v>
      </c>
      <c r="F4970" s="1">
        <v>2415.4954083733701</v>
      </c>
      <c r="G4970" s="1">
        <v>4.5</v>
      </c>
      <c r="H4970" s="1">
        <v>2</v>
      </c>
      <c r="I4970" s="1">
        <v>3</v>
      </c>
      <c r="J4970" s="1">
        <v>2.5</v>
      </c>
      <c r="K4970" s="1">
        <v>2</v>
      </c>
      <c r="L4970" s="1">
        <v>1</v>
      </c>
      <c r="M4970" s="4">
        <v>1457</v>
      </c>
      <c r="N4970" s="1">
        <v>3607</v>
      </c>
      <c r="O4970" s="1">
        <v>3653</v>
      </c>
      <c r="P4970" s="1">
        <v>46</v>
      </c>
      <c r="Q4970" s="1" t="s">
        <v>42</v>
      </c>
      <c r="S4970" s="1" t="s">
        <v>42</v>
      </c>
      <c r="T4970" s="1" t="s">
        <v>273</v>
      </c>
      <c r="U4970" s="1">
        <v>1</v>
      </c>
      <c r="V4970" s="5">
        <v>44373</v>
      </c>
      <c r="W4970" s="5">
        <v>44342</v>
      </c>
      <c r="X4970" s="1">
        <v>4465000</v>
      </c>
      <c r="Y4970" s="1">
        <v>4465000</v>
      </c>
      <c r="Z4970" s="5">
        <v>44344</v>
      </c>
      <c r="AA4970" s="1">
        <v>3519376.81</v>
      </c>
      <c r="AB4970" s="1" t="s">
        <v>295</v>
      </c>
      <c r="AC4970" s="5">
        <v>44369</v>
      </c>
      <c r="AF4970" s="1">
        <v>10001</v>
      </c>
      <c r="AJ4970" s="1">
        <v>2018</v>
      </c>
      <c r="AK4970" s="1" t="s">
        <v>46</v>
      </c>
      <c r="AL4970" s="1">
        <v>285</v>
      </c>
    </row>
    <row r="4971" spans="1:38" x14ac:dyDescent="0.2">
      <c r="A4971" s="2" t="str">
        <f>HYPERLINK("https://www.compass.com/listing/138-east-50th-street-unit-28c-manhattan-ny-10022/726588096675488649/","138 E 50th St, Unit 28C")</f>
        <v>138 E 50th St, Unit 28C</v>
      </c>
      <c r="B4971" s="2" t="str">
        <f t="shared" ref="B4971:B4973" si="847">HYPERLINK("https://www.compass.com/building/the-centrale-manhattan-ny/281941497232811621/","The Centrale")</f>
        <v>The Centrale</v>
      </c>
      <c r="C4971" s="1" t="s">
        <v>116</v>
      </c>
      <c r="D4971" s="1" t="s">
        <v>41</v>
      </c>
      <c r="E4971" s="3">
        <v>2039046</v>
      </c>
      <c r="F4971" s="1">
        <v>1527.3750037453101</v>
      </c>
      <c r="H4971" s="1">
        <v>2</v>
      </c>
      <c r="J4971" s="1">
        <v>2</v>
      </c>
      <c r="K4971" s="1">
        <v>2</v>
      </c>
      <c r="M4971" s="4">
        <v>1335</v>
      </c>
      <c r="N4971" s="1">
        <v>1413</v>
      </c>
      <c r="O4971" s="1">
        <v>3518</v>
      </c>
      <c r="P4971" s="1">
        <v>2105</v>
      </c>
      <c r="Q4971" s="1" t="s">
        <v>42</v>
      </c>
      <c r="S4971" s="1" t="s">
        <v>42</v>
      </c>
      <c r="T4971" s="1" t="s">
        <v>273</v>
      </c>
      <c r="AA4971" s="1">
        <v>2039045.63</v>
      </c>
      <c r="AB4971" s="1" t="s">
        <v>3493</v>
      </c>
      <c r="AC4971" s="5">
        <v>44224</v>
      </c>
      <c r="AF4971" s="1">
        <v>10022</v>
      </c>
      <c r="AI4971" s="1" t="s">
        <v>118</v>
      </c>
      <c r="AJ4971" s="1">
        <v>2019</v>
      </c>
      <c r="AK4971" s="1" t="s">
        <v>55</v>
      </c>
      <c r="AL4971" s="1">
        <v>124</v>
      </c>
    </row>
    <row r="4972" spans="1:38" x14ac:dyDescent="0.2">
      <c r="A4972" s="2" t="str">
        <f>HYPERLINK("https://www.compass.com/listing/138-east-50th-street-unit-26c-manhattan-ny-10022/728766039635826481/","138 E 50th St, Unit 26C")</f>
        <v>138 E 50th St, Unit 26C</v>
      </c>
      <c r="B4972" s="2" t="str">
        <f t="shared" si="847"/>
        <v>The Centrale</v>
      </c>
      <c r="C4972" s="1" t="s">
        <v>116</v>
      </c>
      <c r="D4972" s="1" t="s">
        <v>41</v>
      </c>
      <c r="E4972" s="3">
        <v>2039046</v>
      </c>
      <c r="F4972" s="1">
        <v>1527.3750037453101</v>
      </c>
      <c r="H4972" s="1">
        <v>2</v>
      </c>
      <c r="J4972" s="1">
        <v>2</v>
      </c>
      <c r="K4972" s="1">
        <v>2</v>
      </c>
      <c r="M4972" s="4">
        <v>1335</v>
      </c>
      <c r="N4972" s="1">
        <v>1400</v>
      </c>
      <c r="O4972" s="1">
        <v>3485</v>
      </c>
      <c r="P4972" s="1">
        <v>2085</v>
      </c>
      <c r="Q4972" s="1" t="s">
        <v>42</v>
      </c>
      <c r="S4972" s="1" t="s">
        <v>42</v>
      </c>
      <c r="T4972" s="1" t="s">
        <v>273</v>
      </c>
      <c r="AA4972" s="1">
        <v>2039045.63</v>
      </c>
      <c r="AB4972" s="1" t="s">
        <v>3494</v>
      </c>
      <c r="AC4972" s="5">
        <v>44224</v>
      </c>
      <c r="AF4972" s="1">
        <v>10022</v>
      </c>
      <c r="AI4972" s="1" t="s">
        <v>118</v>
      </c>
      <c r="AJ4972" s="1">
        <v>2019</v>
      </c>
      <c r="AK4972" s="1" t="s">
        <v>55</v>
      </c>
      <c r="AL4972" s="1">
        <v>124</v>
      </c>
    </row>
    <row r="4973" spans="1:38" x14ac:dyDescent="0.2">
      <c r="A4973" s="2" t="str">
        <f>HYPERLINK("https://www.compass.com/listing/138-east-50th-street-unit-31c-manhattan-ny-10022/728766052864937641/","138 E 50th St, Unit 31C")</f>
        <v>138 E 50th St, Unit 31C</v>
      </c>
      <c r="B4973" s="2" t="str">
        <f t="shared" si="847"/>
        <v>The Centrale</v>
      </c>
      <c r="C4973" s="1" t="s">
        <v>116</v>
      </c>
      <c r="D4973" s="1" t="s">
        <v>41</v>
      </c>
      <c r="E4973" s="3">
        <v>2039046</v>
      </c>
      <c r="F4973" s="1">
        <v>1527.3750037453101</v>
      </c>
      <c r="H4973" s="1">
        <v>2</v>
      </c>
      <c r="J4973" s="1">
        <v>2</v>
      </c>
      <c r="K4973" s="1">
        <v>2</v>
      </c>
      <c r="M4973" s="4">
        <v>1335</v>
      </c>
      <c r="N4973" s="1">
        <v>1433</v>
      </c>
      <c r="O4973" s="1">
        <v>3567</v>
      </c>
      <c r="P4973" s="1">
        <v>2134</v>
      </c>
      <c r="Q4973" s="1" t="s">
        <v>42</v>
      </c>
      <c r="S4973" s="1" t="s">
        <v>42</v>
      </c>
      <c r="T4973" s="1" t="s">
        <v>273</v>
      </c>
      <c r="AA4973" s="1">
        <v>2039045.63</v>
      </c>
      <c r="AB4973" s="1" t="s">
        <v>3495</v>
      </c>
      <c r="AC4973" s="5">
        <v>44224</v>
      </c>
      <c r="AF4973" s="1">
        <v>10022</v>
      </c>
      <c r="AI4973" s="1" t="s">
        <v>118</v>
      </c>
      <c r="AJ4973" s="1">
        <v>2019</v>
      </c>
      <c r="AK4973" s="1" t="s">
        <v>55</v>
      </c>
      <c r="AL4973" s="1">
        <v>124</v>
      </c>
    </row>
    <row r="4974" spans="1:38" x14ac:dyDescent="0.2">
      <c r="A4974" s="2" t="str">
        <f>HYPERLINK("https://www.compass.com/listing/77-east-110th-street-unit-3a-manhattan-ny-10029/29427497430977329/","77 E 110th St, Unit 3A")</f>
        <v>77 E 110th St, Unit 3A</v>
      </c>
      <c r="B4974" s="2" t="str">
        <f t="shared" ref="B4974:B4975" si="848">HYPERLINK("https://www.compass.com/building/77-condominiums-manhattan-ny/281992190891244549/","77 Condominiums")</f>
        <v>77 Condominiums</v>
      </c>
      <c r="C4974" s="1" t="s">
        <v>85</v>
      </c>
      <c r="D4974" s="1" t="s">
        <v>41</v>
      </c>
      <c r="E4974" s="3">
        <v>173394</v>
      </c>
      <c r="F4974" s="1">
        <v>167.85479186834399</v>
      </c>
      <c r="H4974" s="1">
        <v>2</v>
      </c>
      <c r="J4974" s="1">
        <v>1.5</v>
      </c>
      <c r="K4974" s="1">
        <v>1</v>
      </c>
      <c r="L4974" s="1">
        <v>1</v>
      </c>
      <c r="M4974" s="4">
        <v>1033</v>
      </c>
      <c r="N4974" s="1">
        <v>333</v>
      </c>
      <c r="O4974" s="1">
        <v>374</v>
      </c>
      <c r="P4974" s="1">
        <v>41</v>
      </c>
      <c r="Q4974" s="1" t="s">
        <v>42</v>
      </c>
      <c r="S4974" s="1" t="s">
        <v>42</v>
      </c>
      <c r="T4974" s="1" t="s">
        <v>273</v>
      </c>
      <c r="AA4974" s="1">
        <v>173394</v>
      </c>
      <c r="AB4974" s="1" t="s">
        <v>3496</v>
      </c>
      <c r="AC4974" s="5">
        <v>42500</v>
      </c>
      <c r="AF4974" s="1">
        <v>10029</v>
      </c>
      <c r="AI4974" s="1" t="s">
        <v>48</v>
      </c>
      <c r="AJ4974" s="1">
        <v>2013</v>
      </c>
      <c r="AL4974" s="1">
        <v>20</v>
      </c>
    </row>
    <row r="4975" spans="1:38" x14ac:dyDescent="0.2">
      <c r="A4975" s="2" t="str">
        <f>HYPERLINK("https://www.compass.com/listing/77-east-110th-street-unit-3b-manhattan-ny-10029/29427497724595073/","77 E 110th St, Unit 3B")</f>
        <v>77 E 110th St, Unit 3B</v>
      </c>
      <c r="B4975" s="2" t="str">
        <f t="shared" si="848"/>
        <v>77 Condominiums</v>
      </c>
      <c r="C4975" s="1" t="s">
        <v>85</v>
      </c>
      <c r="D4975" s="1" t="s">
        <v>41</v>
      </c>
      <c r="E4975" s="3">
        <v>173394</v>
      </c>
      <c r="F4975" s="1">
        <v>182.328075709779</v>
      </c>
      <c r="H4975" s="1">
        <v>2</v>
      </c>
      <c r="J4975" s="1">
        <v>1.5</v>
      </c>
      <c r="K4975" s="1">
        <v>1</v>
      </c>
      <c r="L4975" s="1">
        <v>1</v>
      </c>
      <c r="M4975" s="1">
        <v>951</v>
      </c>
      <c r="N4975" s="1">
        <v>384</v>
      </c>
      <c r="O4975" s="1">
        <v>428</v>
      </c>
      <c r="P4975" s="1">
        <v>44</v>
      </c>
      <c r="Q4975" s="1" t="s">
        <v>42</v>
      </c>
      <c r="S4975" s="1" t="s">
        <v>42</v>
      </c>
      <c r="T4975" s="1" t="s">
        <v>273</v>
      </c>
      <c r="AA4975" s="1">
        <v>173394</v>
      </c>
      <c r="AB4975" s="1" t="s">
        <v>3497</v>
      </c>
      <c r="AC4975" s="5">
        <v>42779</v>
      </c>
      <c r="AF4975" s="1">
        <v>10029</v>
      </c>
      <c r="AI4975" s="1" t="s">
        <v>48</v>
      </c>
      <c r="AJ4975" s="1">
        <v>2013</v>
      </c>
      <c r="AL4975" s="1">
        <v>20</v>
      </c>
    </row>
    <row r="4976" spans="1:38" x14ac:dyDescent="0.2">
      <c r="A4976" s="2" t="str">
        <f>HYPERLINK("https://www.compass.com/listing/48-east-132nd-street-unit-4d-manhattan-ny-10037/29428818896822993/","48 E 132nd St, Unit 4D")</f>
        <v>48 E 132nd St, Unit 4D</v>
      </c>
      <c r="B4976" s="2" t="str">
        <f>HYPERLINK("https://www.compass.com/building/48-e-132nd-st-manhattan-ny-10037/282028625274876293/","48 E 132nd St")</f>
        <v>48 E 132nd St</v>
      </c>
      <c r="C4976" s="1" t="s">
        <v>84</v>
      </c>
      <c r="D4976" s="1" t="s">
        <v>41</v>
      </c>
      <c r="E4976" s="3">
        <v>408642</v>
      </c>
      <c r="F4976" s="1">
        <v>959.25352112676001</v>
      </c>
      <c r="H4976" s="1">
        <v>1</v>
      </c>
      <c r="J4976" s="1">
        <v>1</v>
      </c>
      <c r="K4976" s="1">
        <v>1</v>
      </c>
      <c r="M4976" s="1">
        <v>426</v>
      </c>
      <c r="N4976" s="1">
        <v>416</v>
      </c>
      <c r="O4976" s="1">
        <v>1010</v>
      </c>
      <c r="P4976" s="1">
        <v>594</v>
      </c>
      <c r="Q4976" s="1" t="s">
        <v>42</v>
      </c>
      <c r="S4976" s="1" t="s">
        <v>42</v>
      </c>
      <c r="T4976" s="1" t="s">
        <v>273</v>
      </c>
      <c r="AA4976" s="1">
        <v>408642</v>
      </c>
      <c r="AB4976" s="1" t="s">
        <v>3498</v>
      </c>
      <c r="AC4976" s="5">
        <v>42929</v>
      </c>
      <c r="AF4976" s="1">
        <v>10037</v>
      </c>
      <c r="AI4976" s="1" t="s">
        <v>80</v>
      </c>
      <c r="AJ4976" s="1">
        <v>2016</v>
      </c>
      <c r="AL4976" s="1">
        <v>19</v>
      </c>
    </row>
    <row r="4977" spans="1:38" x14ac:dyDescent="0.2">
      <c r="A4977" s="2" t="str">
        <f>HYPERLINK("https://www.compass.com/listing/15-hudson-yards-unit-30f-manhattan-ny-10001/207137206303794369/","15 Hudson Yards, Unit 30F")</f>
        <v>15 Hudson Yards, Unit 30F</v>
      </c>
      <c r="B4977" s="2" t="str">
        <f t="shared" ref="B4977:B4980" si="849">HYPERLINK("https://www.compass.com/building/fifteen-hudson-yards-manhattan-ny/282058587512011909/","Fifteen Hudson Yards")</f>
        <v>Fifteen Hudson Yards</v>
      </c>
      <c r="C4977" s="1" t="s">
        <v>77</v>
      </c>
      <c r="D4977" s="1" t="s">
        <v>41</v>
      </c>
      <c r="E4977" s="3">
        <v>2387455</v>
      </c>
      <c r="F4977" s="1">
        <v>2286.8342911877298</v>
      </c>
      <c r="G4977" s="1">
        <v>2</v>
      </c>
      <c r="H4977" s="1">
        <v>1</v>
      </c>
      <c r="I4977" s="1">
        <v>1</v>
      </c>
      <c r="J4977" s="1">
        <v>1</v>
      </c>
      <c r="K4977" s="1">
        <v>1</v>
      </c>
      <c r="M4977" s="4">
        <v>1044</v>
      </c>
      <c r="N4977" s="1">
        <v>2234</v>
      </c>
      <c r="O4977" s="1">
        <v>2265</v>
      </c>
      <c r="P4977" s="1">
        <v>31</v>
      </c>
      <c r="Q4977" s="1" t="s">
        <v>42</v>
      </c>
      <c r="S4977" s="1" t="s">
        <v>42</v>
      </c>
      <c r="T4977" s="1" t="s">
        <v>273</v>
      </c>
      <c r="U4977" s="1">
        <v>886</v>
      </c>
      <c r="V4977" s="5">
        <v>43587</v>
      </c>
      <c r="W4977" s="5">
        <v>42650</v>
      </c>
      <c r="AA4977" s="1">
        <v>2387455</v>
      </c>
      <c r="AB4977" s="1" t="s">
        <v>275</v>
      </c>
      <c r="AC4977" s="5">
        <v>43536</v>
      </c>
      <c r="AF4977" s="1">
        <v>10001</v>
      </c>
      <c r="AJ4977" s="1">
        <v>2018</v>
      </c>
      <c r="AK4977" s="1" t="s">
        <v>46</v>
      </c>
      <c r="AL4977" s="1">
        <v>285</v>
      </c>
    </row>
    <row r="4978" spans="1:38" x14ac:dyDescent="0.2">
      <c r="A4978" s="2" t="str">
        <f>HYPERLINK("https://www.compass.com/listing/15-hudson-yards-unit-25f-manhattan-ny-10001/273866889225150321/","15 Hudson Yards, Unit 25F")</f>
        <v>15 Hudson Yards, Unit 25F</v>
      </c>
      <c r="B4978" s="2" t="str">
        <f t="shared" si="849"/>
        <v>Fifteen Hudson Yards</v>
      </c>
      <c r="C4978" s="1" t="s">
        <v>77</v>
      </c>
      <c r="D4978" s="1" t="s">
        <v>41</v>
      </c>
      <c r="E4978" s="3">
        <v>2390453</v>
      </c>
      <c r="F4978" s="1">
        <v>2289.7059386973101</v>
      </c>
      <c r="G4978" s="1">
        <v>3</v>
      </c>
      <c r="H4978" s="1">
        <v>1</v>
      </c>
      <c r="I4978" s="1">
        <v>1</v>
      </c>
      <c r="J4978" s="1">
        <v>1</v>
      </c>
      <c r="K4978" s="1">
        <v>1</v>
      </c>
      <c r="M4978" s="4">
        <v>1044</v>
      </c>
      <c r="N4978" s="1">
        <v>2221</v>
      </c>
      <c r="O4978" s="1">
        <v>2252</v>
      </c>
      <c r="P4978" s="1">
        <v>31</v>
      </c>
      <c r="Q4978" s="1" t="s">
        <v>42</v>
      </c>
      <c r="S4978" s="1" t="s">
        <v>42</v>
      </c>
      <c r="T4978" s="1" t="s">
        <v>273</v>
      </c>
      <c r="U4978" s="1">
        <v>737</v>
      </c>
      <c r="V4978" s="5">
        <v>43649</v>
      </c>
      <c r="W4978" s="5">
        <v>42823</v>
      </c>
      <c r="X4978" s="1">
        <v>2390453</v>
      </c>
      <c r="Y4978" s="1">
        <v>2390454</v>
      </c>
      <c r="AA4978" s="1">
        <v>2390453</v>
      </c>
      <c r="AB4978" s="1" t="s">
        <v>275</v>
      </c>
      <c r="AC4978" s="5">
        <v>43560</v>
      </c>
      <c r="AF4978" s="1">
        <v>10001</v>
      </c>
      <c r="AJ4978" s="1">
        <v>2018</v>
      </c>
      <c r="AK4978" s="1" t="s">
        <v>49</v>
      </c>
      <c r="AL4978" s="1">
        <v>285</v>
      </c>
    </row>
    <row r="4979" spans="1:38" x14ac:dyDescent="0.2">
      <c r="A4979" s="2" t="str">
        <f>HYPERLINK("https://www.compass.com/listing/15-hudson-yards-unit-24b-manhattan-ny-10001/369495955006411361/","15 Hudson Yards, Unit 24B")</f>
        <v>15 Hudson Yards, Unit 24B</v>
      </c>
      <c r="B4979" s="2" t="str">
        <f t="shared" si="849"/>
        <v>Fifteen Hudson Yards</v>
      </c>
      <c r="C4979" s="1" t="s">
        <v>77</v>
      </c>
      <c r="D4979" s="1" t="s">
        <v>41</v>
      </c>
      <c r="E4979" s="3">
        <v>2120000</v>
      </c>
      <c r="F4979" s="1">
        <v>2491.1868390129198</v>
      </c>
      <c r="G4979" s="1">
        <v>3</v>
      </c>
      <c r="H4979" s="1">
        <v>1</v>
      </c>
      <c r="I4979" s="1">
        <v>1</v>
      </c>
      <c r="J4979" s="1">
        <v>1</v>
      </c>
      <c r="K4979" s="1">
        <v>1</v>
      </c>
      <c r="M4979" s="1">
        <v>851</v>
      </c>
      <c r="N4979" s="1">
        <v>1849</v>
      </c>
      <c r="O4979" s="1">
        <v>1875</v>
      </c>
      <c r="P4979" s="1">
        <v>26</v>
      </c>
      <c r="Q4979" s="1" t="s">
        <v>42</v>
      </c>
      <c r="S4979" s="1" t="s">
        <v>42</v>
      </c>
      <c r="T4979" s="1" t="s">
        <v>273</v>
      </c>
      <c r="U4979" s="1">
        <v>56</v>
      </c>
      <c r="V4979" s="5">
        <v>43762</v>
      </c>
      <c r="W4979" s="5">
        <v>43704</v>
      </c>
      <c r="AA4979" s="1">
        <v>2120000</v>
      </c>
      <c r="AB4979" s="1" t="s">
        <v>275</v>
      </c>
      <c r="AC4979" s="5">
        <v>43760</v>
      </c>
      <c r="AF4979" s="1">
        <v>10001</v>
      </c>
      <c r="AJ4979" s="1">
        <v>2018</v>
      </c>
      <c r="AK4979" s="1" t="s">
        <v>49</v>
      </c>
      <c r="AL4979" s="1">
        <v>285</v>
      </c>
    </row>
    <row r="4980" spans="1:38" x14ac:dyDescent="0.2">
      <c r="A4980" s="2" t="str">
        <f>HYPERLINK("https://www.compass.com/listing/15-hudson-yards-unit-37b-manhattan-ny-10001/466613714314395681/","15 Hudson Yards, Unit 37B")</f>
        <v>15 Hudson Yards, Unit 37B</v>
      </c>
      <c r="B4980" s="2" t="str">
        <f t="shared" si="849"/>
        <v>Fifteen Hudson Yards</v>
      </c>
      <c r="C4980" s="1" t="s">
        <v>77</v>
      </c>
      <c r="D4980" s="1" t="s">
        <v>41</v>
      </c>
      <c r="E4980" s="3">
        <v>2445000</v>
      </c>
      <c r="F4980" s="1">
        <v>2883.2547169811301</v>
      </c>
      <c r="G4980" s="1">
        <v>3</v>
      </c>
      <c r="H4980" s="1">
        <v>1</v>
      </c>
      <c r="I4980" s="1">
        <v>1</v>
      </c>
      <c r="J4980" s="1">
        <v>1</v>
      </c>
      <c r="K4980" s="1">
        <v>1</v>
      </c>
      <c r="M4980" s="1">
        <v>848</v>
      </c>
      <c r="N4980" s="1">
        <v>1934</v>
      </c>
      <c r="O4980" s="1">
        <v>1961</v>
      </c>
      <c r="P4980" s="1">
        <v>27</v>
      </c>
      <c r="Q4980" s="1" t="s">
        <v>42</v>
      </c>
      <c r="S4980" s="1" t="s">
        <v>42</v>
      </c>
      <c r="T4980" s="1" t="s">
        <v>273</v>
      </c>
      <c r="U4980" s="1">
        <v>217</v>
      </c>
      <c r="V4980" s="5">
        <v>43896</v>
      </c>
      <c r="W4980" s="5">
        <v>43677</v>
      </c>
      <c r="X4980" s="1">
        <v>2445000</v>
      </c>
      <c r="Y4980" s="1">
        <v>2445000</v>
      </c>
      <c r="AA4980" s="1">
        <v>2445000</v>
      </c>
      <c r="AB4980" s="1" t="s">
        <v>275</v>
      </c>
      <c r="AC4980" s="5">
        <v>43894</v>
      </c>
      <c r="AF4980" s="1">
        <v>10001</v>
      </c>
      <c r="AJ4980" s="1">
        <v>2018</v>
      </c>
      <c r="AK4980" s="1" t="s">
        <v>46</v>
      </c>
      <c r="AL4980" s="1">
        <v>285</v>
      </c>
    </row>
    <row r="4981" spans="1:38" x14ac:dyDescent="0.2">
      <c r="A4981" s="2" t="str">
        <f>HYPERLINK("https://www.compass.com/listing/70-west-139th-street-unit-4i-manhattan-ny-10037/396096514645372513/","70 W 139th St, Unit 4I")</f>
        <v>70 W 139th St, Unit 4I</v>
      </c>
      <c r="B4981" s="2" t="str">
        <f>HYPERLINK("https://www.compass.com/building/70-w-139th-st-manhattan-ny-10037/292920118235647477/","70 W 139th St")</f>
        <v>70 W 139th St</v>
      </c>
      <c r="C4981" s="1" t="s">
        <v>84</v>
      </c>
      <c r="D4981" s="1" t="s">
        <v>41</v>
      </c>
      <c r="E4981" s="3">
        <v>465381</v>
      </c>
      <c r="F4981" s="1">
        <v>695.636771300448</v>
      </c>
      <c r="H4981" s="1">
        <v>1</v>
      </c>
      <c r="J4981" s="1">
        <v>1</v>
      </c>
      <c r="K4981" s="1">
        <v>1</v>
      </c>
      <c r="M4981" s="1">
        <v>669</v>
      </c>
      <c r="N4981" s="1">
        <v>19</v>
      </c>
      <c r="O4981" s="1">
        <v>398</v>
      </c>
      <c r="P4981" s="1">
        <v>379</v>
      </c>
      <c r="Q4981" s="1" t="s">
        <v>42</v>
      </c>
      <c r="S4981" s="1" t="s">
        <v>42</v>
      </c>
      <c r="T4981" s="1" t="s">
        <v>273</v>
      </c>
      <c r="AA4981" s="1">
        <v>465381</v>
      </c>
      <c r="AB4981" s="1" t="s">
        <v>3499</v>
      </c>
      <c r="AC4981" s="5">
        <v>43790</v>
      </c>
      <c r="AF4981" s="1">
        <v>10037</v>
      </c>
      <c r="AI4981" s="1" t="s">
        <v>48</v>
      </c>
      <c r="AJ4981" s="1">
        <v>2018</v>
      </c>
      <c r="AL4981" s="1">
        <v>64</v>
      </c>
    </row>
    <row r="4982" spans="1:38" x14ac:dyDescent="0.2">
      <c r="A4982" s="2" t="str">
        <f>HYPERLINK("https://www.compass.com/listing/51-east-131st-street-unit-6a-manhattan-ny-10037/29428815214237521/","51 E 131st St, Unit 6A")</f>
        <v>51 E 131st St, Unit 6A</v>
      </c>
      <c r="B4982" s="2" t="str">
        <f t="shared" ref="B4982:B4984" si="850">HYPERLINK("https://www.compass.com/building/the-style-manhattan-ny/282066541707564085/","The Style")</f>
        <v>The Style</v>
      </c>
      <c r="C4982" s="1" t="s">
        <v>424</v>
      </c>
      <c r="D4982" s="1" t="s">
        <v>41</v>
      </c>
      <c r="E4982" s="3">
        <v>591603</v>
      </c>
      <c r="F4982" s="1">
        <v>1006.1275510204</v>
      </c>
      <c r="G4982" s="1">
        <v>3</v>
      </c>
      <c r="H4982" s="1">
        <v>1</v>
      </c>
      <c r="I4982" s="1">
        <v>1</v>
      </c>
      <c r="J4982" s="1">
        <v>1</v>
      </c>
      <c r="M4982" s="1">
        <v>588</v>
      </c>
      <c r="N4982" s="1">
        <v>482</v>
      </c>
      <c r="O4982" s="1">
        <v>482</v>
      </c>
      <c r="Q4982" s="1" t="s">
        <v>42</v>
      </c>
      <c r="S4982" s="1" t="s">
        <v>42</v>
      </c>
      <c r="T4982" s="1" t="s">
        <v>273</v>
      </c>
      <c r="U4982" s="1">
        <v>135</v>
      </c>
      <c r="V4982" s="5">
        <v>43666</v>
      </c>
      <c r="W4982" s="5">
        <v>42647</v>
      </c>
      <c r="X4982" s="1">
        <v>581000</v>
      </c>
      <c r="Y4982" s="1">
        <v>581000</v>
      </c>
      <c r="Z4982" s="5">
        <v>42782</v>
      </c>
      <c r="AA4982" s="1">
        <v>591603</v>
      </c>
      <c r="AB4982" s="1" t="s">
        <v>3500</v>
      </c>
      <c r="AC4982" s="5">
        <v>42928</v>
      </c>
      <c r="AF4982" s="1">
        <v>10037</v>
      </c>
      <c r="AI4982" s="1" t="s">
        <v>3501</v>
      </c>
      <c r="AJ4982" s="1">
        <v>2016</v>
      </c>
      <c r="AK4982" s="1" t="s">
        <v>257</v>
      </c>
      <c r="AL4982" s="1">
        <v>12</v>
      </c>
    </row>
    <row r="4983" spans="1:38" x14ac:dyDescent="0.2">
      <c r="A4983" s="2" t="str">
        <f>HYPERLINK("https://www.compass.com/listing/51-east-131st-street-unit-5a-manhattan-ny-10037/4852275173451110017/","51 E 131st St, Unit 5A")</f>
        <v>51 E 131st St, Unit 5A</v>
      </c>
      <c r="B4983" s="2" t="str">
        <f t="shared" si="850"/>
        <v>The Style</v>
      </c>
      <c r="C4983" s="1" t="s">
        <v>424</v>
      </c>
      <c r="D4983" s="1" t="s">
        <v>41</v>
      </c>
      <c r="E4983" s="3">
        <v>585000</v>
      </c>
      <c r="F4983" s="1">
        <v>994.89795918367304</v>
      </c>
      <c r="G4983" s="1">
        <v>3</v>
      </c>
      <c r="H4983" s="1">
        <v>1</v>
      </c>
      <c r="I4983" s="1">
        <v>1</v>
      </c>
      <c r="J4983" s="1">
        <v>1</v>
      </c>
      <c r="M4983" s="1">
        <v>588</v>
      </c>
      <c r="N4983" s="1">
        <v>482</v>
      </c>
      <c r="O4983" s="1">
        <v>1023</v>
      </c>
      <c r="P4983" s="1">
        <v>541</v>
      </c>
      <c r="Q4983" s="1" t="s">
        <v>42</v>
      </c>
      <c r="S4983" s="1" t="s">
        <v>42</v>
      </c>
      <c r="T4983" s="1" t="s">
        <v>273</v>
      </c>
      <c r="V4983" s="5">
        <v>43666</v>
      </c>
      <c r="W4983" s="5">
        <v>42796</v>
      </c>
      <c r="X4983" s="1">
        <v>585000</v>
      </c>
      <c r="Y4983" s="1">
        <v>585000</v>
      </c>
      <c r="Z4983" s="5">
        <v>42796</v>
      </c>
      <c r="AA4983" s="1">
        <v>585000</v>
      </c>
      <c r="AB4983" s="1" t="s">
        <v>275</v>
      </c>
      <c r="AC4983" s="5">
        <v>42909</v>
      </c>
      <c r="AF4983" s="1">
        <v>10037</v>
      </c>
      <c r="AI4983" s="1" t="s">
        <v>3485</v>
      </c>
      <c r="AJ4983" s="1">
        <v>2016</v>
      </c>
      <c r="AK4983" s="1" t="s">
        <v>3486</v>
      </c>
      <c r="AL4983" s="1">
        <v>12</v>
      </c>
    </row>
    <row r="4984" spans="1:38" x14ac:dyDescent="0.2">
      <c r="A4984" s="2" t="str">
        <f>HYPERLINK("https://www.compass.com/listing/51-east-131st-street-unit-2a-manhattan-ny-10037/20314439488111553/","51 E 131st St, Unit 2A")</f>
        <v>51 E 131st St, Unit 2A</v>
      </c>
      <c r="B4984" s="2" t="str">
        <f t="shared" si="850"/>
        <v>The Style</v>
      </c>
      <c r="C4984" s="1" t="s">
        <v>424</v>
      </c>
      <c r="D4984" s="1" t="s">
        <v>41</v>
      </c>
      <c r="E4984" s="3">
        <v>539882</v>
      </c>
      <c r="F4984" s="1">
        <v>915.05423728813503</v>
      </c>
      <c r="G4984" s="1">
        <v>2</v>
      </c>
      <c r="H4984" s="1" t="s">
        <v>99</v>
      </c>
      <c r="I4984" s="1">
        <v>1</v>
      </c>
      <c r="J4984" s="1">
        <v>1</v>
      </c>
      <c r="M4984" s="1">
        <v>590</v>
      </c>
      <c r="N4984" s="1">
        <v>560</v>
      </c>
      <c r="O4984" s="1">
        <v>1031</v>
      </c>
      <c r="P4984" s="1">
        <v>471</v>
      </c>
      <c r="Q4984" s="1" t="s">
        <v>42</v>
      </c>
      <c r="S4984" s="1" t="s">
        <v>42</v>
      </c>
      <c r="T4984" s="1" t="s">
        <v>273</v>
      </c>
      <c r="U4984" s="1">
        <v>257</v>
      </c>
      <c r="V4984" s="5">
        <v>43647</v>
      </c>
      <c r="W4984" s="5">
        <v>42909</v>
      </c>
      <c r="X4984" s="1">
        <v>555000</v>
      </c>
      <c r="Y4984" s="1">
        <v>535000</v>
      </c>
      <c r="Z4984" s="5">
        <v>43298</v>
      </c>
      <c r="AA4984" s="1">
        <v>539882</v>
      </c>
      <c r="AB4984" s="1" t="s">
        <v>3502</v>
      </c>
      <c r="AC4984" s="5">
        <v>43312</v>
      </c>
      <c r="AF4984" s="1">
        <v>10037</v>
      </c>
      <c r="AI4984" s="1" t="s">
        <v>1015</v>
      </c>
      <c r="AJ4984" s="1">
        <v>2016</v>
      </c>
      <c r="AK4984" s="1" t="s">
        <v>257</v>
      </c>
      <c r="AL4984" s="1">
        <v>12</v>
      </c>
    </row>
    <row r="4985" spans="1:38" x14ac:dyDescent="0.2">
      <c r="A4985" s="2" t="str">
        <f>HYPERLINK("https://www.compass.com/listing/48-east-132nd-street-unit-3c-manhattan-ny-10037/29428817655255073/","48 E 132nd St, Unit 3C")</f>
        <v>48 E 132nd St, Unit 3C</v>
      </c>
      <c r="B4985" s="2" t="str">
        <f t="shared" ref="B4985:B4987" si="851">HYPERLINK("https://www.compass.com/building/48-e-132nd-st-manhattan-ny-10037/282028625274876293/","48 E 132nd St")</f>
        <v>48 E 132nd St</v>
      </c>
      <c r="C4985" s="1" t="s">
        <v>84</v>
      </c>
      <c r="D4985" s="1" t="s">
        <v>41</v>
      </c>
      <c r="E4985" s="3">
        <v>390390</v>
      </c>
      <c r="F4985" s="1">
        <v>975.97500000000002</v>
      </c>
      <c r="H4985" s="1" t="s">
        <v>153</v>
      </c>
      <c r="J4985" s="1">
        <v>1</v>
      </c>
      <c r="K4985" s="1">
        <v>1</v>
      </c>
      <c r="M4985" s="1">
        <v>400</v>
      </c>
      <c r="N4985" s="1">
        <v>395</v>
      </c>
      <c r="O4985" s="1">
        <v>654</v>
      </c>
      <c r="P4985" s="1">
        <v>259</v>
      </c>
      <c r="Q4985" s="1" t="s">
        <v>42</v>
      </c>
      <c r="S4985" s="1" t="s">
        <v>42</v>
      </c>
      <c r="T4985" s="1" t="s">
        <v>273</v>
      </c>
      <c r="AA4985" s="1">
        <v>390390</v>
      </c>
      <c r="AB4985" s="1" t="s">
        <v>3503</v>
      </c>
      <c r="AC4985" s="5">
        <v>42928</v>
      </c>
      <c r="AF4985" s="1">
        <v>10037</v>
      </c>
      <c r="AI4985" s="1" t="s">
        <v>80</v>
      </c>
      <c r="AJ4985" s="1">
        <v>2016</v>
      </c>
      <c r="AL4985" s="1">
        <v>19</v>
      </c>
    </row>
    <row r="4986" spans="1:38" x14ac:dyDescent="0.2">
      <c r="A4986" s="2" t="str">
        <f>HYPERLINK("https://www.compass.com/listing/48-east-132nd-street-unit-3d-manhattan-ny-10037/29428817974076097/","48 E 132nd St, Unit 3D")</f>
        <v>48 E 132nd St, Unit 3D</v>
      </c>
      <c r="B4986" s="2" t="str">
        <f t="shared" si="851"/>
        <v>48 E 132nd St</v>
      </c>
      <c r="C4986" s="1" t="s">
        <v>84</v>
      </c>
      <c r="D4986" s="1" t="s">
        <v>41</v>
      </c>
      <c r="E4986" s="3">
        <v>413712</v>
      </c>
      <c r="F4986" s="1">
        <v>973.44</v>
      </c>
      <c r="H4986" s="1" t="s">
        <v>99</v>
      </c>
      <c r="J4986" s="1">
        <v>1</v>
      </c>
      <c r="K4986" s="1">
        <v>1</v>
      </c>
      <c r="M4986" s="1">
        <v>425</v>
      </c>
      <c r="N4986" s="1">
        <v>415</v>
      </c>
      <c r="O4986" s="1">
        <v>1081</v>
      </c>
      <c r="P4986" s="1">
        <v>666</v>
      </c>
      <c r="Q4986" s="1" t="s">
        <v>42</v>
      </c>
      <c r="S4986" s="1" t="s">
        <v>42</v>
      </c>
      <c r="T4986" s="1" t="s">
        <v>273</v>
      </c>
      <c r="AA4986" s="1">
        <v>413712</v>
      </c>
      <c r="AB4986" s="1" t="s">
        <v>3504</v>
      </c>
      <c r="AC4986" s="5">
        <v>42914</v>
      </c>
      <c r="AF4986" s="1">
        <v>10037</v>
      </c>
      <c r="AI4986" s="1" t="s">
        <v>80</v>
      </c>
      <c r="AJ4986" s="1">
        <v>2016</v>
      </c>
      <c r="AL4986" s="1">
        <v>19</v>
      </c>
    </row>
    <row r="4987" spans="1:38" x14ac:dyDescent="0.2">
      <c r="A4987" s="2" t="str">
        <f>HYPERLINK("https://www.compass.com/listing/48-east-132nd-street-unit-4e-manhattan-ny-10037/380801078166411713/","48 E 132nd St, Unit 4E")</f>
        <v>48 E 132nd St, Unit 4E</v>
      </c>
      <c r="B4987" s="2" t="str">
        <f t="shared" si="851"/>
        <v>48 E 132nd St</v>
      </c>
      <c r="C4987" s="1" t="s">
        <v>84</v>
      </c>
      <c r="D4987" s="1" t="s">
        <v>41</v>
      </c>
      <c r="E4987" s="3">
        <v>456300</v>
      </c>
      <c r="F4987" s="1">
        <v>1030.02257336343</v>
      </c>
      <c r="H4987" s="1" t="s">
        <v>99</v>
      </c>
      <c r="J4987" s="1">
        <v>1</v>
      </c>
      <c r="K4987" s="1">
        <v>1</v>
      </c>
      <c r="M4987" s="1">
        <v>443</v>
      </c>
      <c r="N4987" s="1">
        <v>406</v>
      </c>
      <c r="O4987" s="1">
        <v>1016</v>
      </c>
      <c r="P4987" s="1">
        <v>610</v>
      </c>
      <c r="Q4987" s="1" t="s">
        <v>42</v>
      </c>
      <c r="S4987" s="1" t="s">
        <v>42</v>
      </c>
      <c r="T4987" s="1" t="s">
        <v>273</v>
      </c>
      <c r="AA4987" s="1">
        <v>456300</v>
      </c>
      <c r="AB4987" s="1" t="s">
        <v>3505</v>
      </c>
      <c r="AC4987" s="5">
        <v>42964</v>
      </c>
      <c r="AF4987" s="1">
        <v>10037</v>
      </c>
      <c r="AI4987" s="1" t="s">
        <v>80</v>
      </c>
      <c r="AJ4987" s="1">
        <v>2016</v>
      </c>
      <c r="AL4987" s="1">
        <v>19</v>
      </c>
    </row>
    <row r="4988" spans="1:38" x14ac:dyDescent="0.2">
      <c r="A4988" s="2" t="str">
        <f>HYPERLINK("https://www.compass.com/listing/51-east-131st-street-unit-5e-manhattan-ny-10037/4852279418111925201/","51 E 131st St, Unit 5E")</f>
        <v>51 E 131st St, Unit 5E</v>
      </c>
      <c r="B4988" s="2" t="str">
        <f t="shared" ref="B4988:B4991" si="852">HYPERLINK("https://www.compass.com/building/the-style-manhattan-ny/282066541707564085/","The Style")</f>
        <v>The Style</v>
      </c>
      <c r="C4988" s="1" t="s">
        <v>424</v>
      </c>
      <c r="D4988" s="1" t="s">
        <v>41</v>
      </c>
      <c r="E4988" s="3">
        <v>429000</v>
      </c>
      <c r="F4988" s="1">
        <v>1067.1641791044699</v>
      </c>
      <c r="G4988" s="1">
        <v>2</v>
      </c>
      <c r="H4988" s="1" t="s">
        <v>99</v>
      </c>
      <c r="I4988" s="1">
        <v>1</v>
      </c>
      <c r="J4988" s="1">
        <v>1</v>
      </c>
      <c r="M4988" s="1">
        <v>402</v>
      </c>
      <c r="N4988" s="1">
        <v>364</v>
      </c>
      <c r="O4988" s="1">
        <v>773</v>
      </c>
      <c r="P4988" s="1">
        <v>409</v>
      </c>
      <c r="Q4988" s="1" t="s">
        <v>42</v>
      </c>
      <c r="S4988" s="1" t="s">
        <v>42</v>
      </c>
      <c r="T4988" s="1" t="s">
        <v>273</v>
      </c>
      <c r="V4988" s="5">
        <v>43650</v>
      </c>
      <c r="W4988" s="5">
        <v>42790</v>
      </c>
      <c r="X4988" s="1">
        <v>429000</v>
      </c>
      <c r="Y4988" s="1">
        <v>429000</v>
      </c>
      <c r="Z4988" s="5">
        <v>42790</v>
      </c>
      <c r="AA4988" s="1">
        <v>429000</v>
      </c>
      <c r="AB4988" s="1" t="s">
        <v>275</v>
      </c>
      <c r="AC4988" s="5">
        <v>42971</v>
      </c>
      <c r="AF4988" s="1">
        <v>10037</v>
      </c>
      <c r="AI4988" s="1" t="s">
        <v>3485</v>
      </c>
      <c r="AJ4988" s="1">
        <v>2016</v>
      </c>
      <c r="AK4988" s="1" t="s">
        <v>3486</v>
      </c>
      <c r="AL4988" s="1">
        <v>12</v>
      </c>
    </row>
    <row r="4989" spans="1:38" x14ac:dyDescent="0.2">
      <c r="A4989" s="2" t="str">
        <f>HYPERLINK("https://www.compass.com/listing/51-east-131st-street-unit-5c-manhattan-ny-10037/4818290049470708497/","51 E 131st St, Unit 5C")</f>
        <v>51 E 131st St, Unit 5C</v>
      </c>
      <c r="B4989" s="2" t="str">
        <f t="shared" si="852"/>
        <v>The Style</v>
      </c>
      <c r="C4989" s="1" t="s">
        <v>424</v>
      </c>
      <c r="D4989" s="1" t="s">
        <v>41</v>
      </c>
      <c r="E4989" s="3">
        <v>849000</v>
      </c>
      <c r="F4989" s="1">
        <v>989.51048951048904</v>
      </c>
      <c r="G4989" s="1">
        <v>4</v>
      </c>
      <c r="H4989" s="1">
        <v>2</v>
      </c>
      <c r="I4989" s="1">
        <v>2</v>
      </c>
      <c r="J4989" s="1">
        <v>2</v>
      </c>
      <c r="M4989" s="1">
        <v>858</v>
      </c>
      <c r="N4989" s="1">
        <v>793</v>
      </c>
      <c r="O4989" s="1">
        <v>1501</v>
      </c>
      <c r="P4989" s="1">
        <v>708</v>
      </c>
      <c r="Q4989" s="1" t="s">
        <v>42</v>
      </c>
      <c r="S4989" s="1" t="s">
        <v>42</v>
      </c>
      <c r="T4989" s="1" t="s">
        <v>273</v>
      </c>
      <c r="U4989" s="1">
        <v>252</v>
      </c>
      <c r="V4989" s="5">
        <v>43649</v>
      </c>
      <c r="W4989" s="5">
        <v>42873</v>
      </c>
      <c r="X4989" s="1">
        <v>849000</v>
      </c>
      <c r="Y4989" s="1">
        <v>849000</v>
      </c>
      <c r="Z4989" s="5">
        <v>43125</v>
      </c>
      <c r="AA4989" s="1">
        <v>849000</v>
      </c>
      <c r="AB4989" s="1" t="s">
        <v>275</v>
      </c>
      <c r="AC4989" s="5">
        <v>43172</v>
      </c>
      <c r="AF4989" s="1">
        <v>10037</v>
      </c>
      <c r="AI4989" s="1" t="s">
        <v>3485</v>
      </c>
      <c r="AJ4989" s="1">
        <v>2016</v>
      </c>
      <c r="AK4989" s="1" t="s">
        <v>257</v>
      </c>
      <c r="AL4989" s="1">
        <v>12</v>
      </c>
    </row>
    <row r="4990" spans="1:38" x14ac:dyDescent="0.2">
      <c r="A4990" s="2" t="str">
        <f>HYPERLINK("https://www.compass.com/listing/51-east-131st-street-unit-phd-manhattan-ny-10037/4852278121761611313/","51 E 131st St, Unit PHD")</f>
        <v>51 E 131st St, Unit PHD</v>
      </c>
      <c r="B4990" s="2" t="str">
        <f t="shared" si="852"/>
        <v>The Style</v>
      </c>
      <c r="C4990" s="1" t="s">
        <v>424</v>
      </c>
      <c r="D4990" s="1" t="s">
        <v>41</v>
      </c>
      <c r="E4990" s="3">
        <v>863000</v>
      </c>
      <c r="F4990" s="1">
        <v>1005.8275058275</v>
      </c>
      <c r="G4990" s="1">
        <v>4</v>
      </c>
      <c r="H4990" s="1">
        <v>2</v>
      </c>
      <c r="I4990" s="1">
        <v>2</v>
      </c>
      <c r="J4990" s="1">
        <v>2</v>
      </c>
      <c r="M4990" s="1">
        <v>858</v>
      </c>
      <c r="N4990" s="1">
        <v>824</v>
      </c>
      <c r="O4990" s="1">
        <v>1517</v>
      </c>
      <c r="P4990" s="1">
        <v>693</v>
      </c>
      <c r="Q4990" s="1" t="s">
        <v>42</v>
      </c>
      <c r="S4990" s="1" t="s">
        <v>42</v>
      </c>
      <c r="T4990" s="1" t="s">
        <v>273</v>
      </c>
      <c r="V4990" s="5">
        <v>43666</v>
      </c>
      <c r="W4990" s="5">
        <v>42893</v>
      </c>
      <c r="X4990" s="1">
        <v>863000</v>
      </c>
      <c r="Y4990" s="1">
        <v>863000</v>
      </c>
      <c r="Z4990" s="5">
        <v>42893</v>
      </c>
      <c r="AA4990" s="1">
        <v>863000</v>
      </c>
      <c r="AB4990" s="1" t="s">
        <v>275</v>
      </c>
      <c r="AC4990" s="5">
        <v>42936</v>
      </c>
      <c r="AF4990" s="1">
        <v>10037</v>
      </c>
      <c r="AI4990" s="1" t="s">
        <v>3485</v>
      </c>
      <c r="AJ4990" s="1">
        <v>2016</v>
      </c>
      <c r="AK4990" s="1" t="s">
        <v>55</v>
      </c>
      <c r="AL4990" s="1">
        <v>12</v>
      </c>
    </row>
    <row r="4991" spans="1:38" x14ac:dyDescent="0.2">
      <c r="A4991" s="2" t="str">
        <f>HYPERLINK("https://www.compass.com/listing/51-east-131st-street-unit-4c-manhattan-ny-10037/4852278088853099073/","51 E 131st St, Unit 4C")</f>
        <v>51 E 131st St, Unit 4C</v>
      </c>
      <c r="B4991" s="2" t="str">
        <f t="shared" si="852"/>
        <v>The Style</v>
      </c>
      <c r="C4991" s="1" t="s">
        <v>84</v>
      </c>
      <c r="D4991" s="1" t="s">
        <v>41</v>
      </c>
      <c r="F4991" s="1">
        <v>966.20046620046605</v>
      </c>
      <c r="G4991" s="1">
        <v>4</v>
      </c>
      <c r="H4991" s="1">
        <v>2</v>
      </c>
      <c r="I4991" s="1">
        <v>2</v>
      </c>
      <c r="J4991" s="1">
        <v>2</v>
      </c>
      <c r="M4991" s="1">
        <v>858</v>
      </c>
      <c r="N4991" s="1">
        <v>825</v>
      </c>
      <c r="O4991" s="1">
        <v>1518</v>
      </c>
      <c r="P4991" s="1">
        <v>693</v>
      </c>
      <c r="Q4991" s="1" t="s">
        <v>42</v>
      </c>
      <c r="S4991" s="1" t="s">
        <v>42</v>
      </c>
      <c r="T4991" s="1" t="s">
        <v>273</v>
      </c>
      <c r="U4991" s="1">
        <v>243</v>
      </c>
      <c r="V4991" s="5">
        <v>42963</v>
      </c>
      <c r="W4991" s="5">
        <v>42629</v>
      </c>
      <c r="X4991" s="1">
        <v>829000</v>
      </c>
      <c r="Y4991" s="1">
        <v>829000</v>
      </c>
      <c r="Z4991" s="5">
        <v>42908</v>
      </c>
      <c r="AB4991" s="1" t="s">
        <v>275</v>
      </c>
      <c r="AC4991" s="5">
        <v>42963</v>
      </c>
      <c r="AF4991" s="1">
        <v>10037</v>
      </c>
      <c r="AI4991" s="1" t="s">
        <v>3485</v>
      </c>
      <c r="AJ4991" s="1">
        <v>2016</v>
      </c>
      <c r="AK4991" s="1" t="s">
        <v>257</v>
      </c>
      <c r="AL4991" s="1">
        <v>12</v>
      </c>
    </row>
    <row r="4992" spans="1:38" x14ac:dyDescent="0.2">
      <c r="A4992" s="2" t="str">
        <f>HYPERLINK("https://www.compass.com/listing/2231-adam-clayton-powell-jr-boulevard-unit-513-manhattan-ny-10027/593942436718659977/","2231 Adam Clayton Powell Jr Blvd, Unit 513")</f>
        <v>2231 Adam Clayton Powell Jr Blvd, Unit 513</v>
      </c>
      <c r="B4992" s="2" t="str">
        <f t="shared" ref="B4992:B4993" si="853">HYPERLINK("https://www.compass.com/building/the-aurum-manhattan-ny/307451641162444869/","The Aurum")</f>
        <v>The Aurum</v>
      </c>
      <c r="C4992" s="1" t="s">
        <v>84</v>
      </c>
      <c r="D4992" s="1" t="s">
        <v>41</v>
      </c>
      <c r="E4992" s="3">
        <v>529000</v>
      </c>
      <c r="F4992" s="1">
        <v>1051.68986083499</v>
      </c>
      <c r="H4992" s="1" t="s">
        <v>153</v>
      </c>
      <c r="J4992" s="1">
        <v>1</v>
      </c>
      <c r="K4992" s="1">
        <v>1</v>
      </c>
      <c r="M4992" s="1">
        <v>503</v>
      </c>
      <c r="N4992" s="1">
        <v>473</v>
      </c>
      <c r="O4992" s="1">
        <v>546</v>
      </c>
      <c r="P4992" s="1">
        <v>73</v>
      </c>
      <c r="Q4992" s="1" t="s">
        <v>42</v>
      </c>
      <c r="S4992" s="1" t="s">
        <v>42</v>
      </c>
      <c r="T4992" s="1" t="s">
        <v>273</v>
      </c>
      <c r="AA4992" s="1">
        <v>529000</v>
      </c>
      <c r="AB4992" s="1" t="s">
        <v>3506</v>
      </c>
      <c r="AC4992" s="5">
        <v>44056</v>
      </c>
      <c r="AF4992" s="1">
        <v>10027</v>
      </c>
      <c r="AI4992" s="1" t="s">
        <v>52</v>
      </c>
      <c r="AJ4992" s="1">
        <v>2016</v>
      </c>
      <c r="AK4992" s="1" t="s">
        <v>55</v>
      </c>
      <c r="AL4992" s="1">
        <v>115</v>
      </c>
    </row>
    <row r="4993" spans="1:38" x14ac:dyDescent="0.2">
      <c r="A4993" s="2" t="str">
        <f>HYPERLINK("https://www.compass.com/listing/2231-adam-clayton-powell-jr-boulevard-unit-ph3-manhattan-ny-10027/4852284187236908225/","2231 Adam Clayton Powell Jr Blvd, Unit PH3")</f>
        <v>2231 Adam Clayton Powell Jr Blvd, Unit PH3</v>
      </c>
      <c r="B4993" s="2" t="str">
        <f t="shared" si="853"/>
        <v>The Aurum</v>
      </c>
      <c r="C4993" s="1" t="s">
        <v>84</v>
      </c>
      <c r="D4993" s="1" t="s">
        <v>41</v>
      </c>
      <c r="E4993" s="3">
        <v>1080000</v>
      </c>
      <c r="F4993" s="1">
        <v>1114.5510835913301</v>
      </c>
      <c r="G4993" s="1">
        <v>4</v>
      </c>
      <c r="H4993" s="1">
        <v>2</v>
      </c>
      <c r="I4993" s="1">
        <v>2</v>
      </c>
      <c r="J4993" s="1">
        <v>2</v>
      </c>
      <c r="M4993" s="1">
        <v>969</v>
      </c>
      <c r="N4993" s="1">
        <v>924</v>
      </c>
      <c r="O4993" s="1">
        <v>1096</v>
      </c>
      <c r="P4993" s="1">
        <v>172</v>
      </c>
      <c r="Q4993" s="1" t="s">
        <v>42</v>
      </c>
      <c r="S4993" s="1" t="s">
        <v>42</v>
      </c>
      <c r="T4993" s="1" t="s">
        <v>273</v>
      </c>
      <c r="U4993" s="1">
        <v>128</v>
      </c>
      <c r="V4993" s="5">
        <v>43040</v>
      </c>
      <c r="W4993" s="5">
        <v>42598</v>
      </c>
      <c r="X4993" s="1">
        <v>1195000</v>
      </c>
      <c r="Y4993" s="1">
        <v>1195000</v>
      </c>
      <c r="AA4993" s="1">
        <v>1080000</v>
      </c>
      <c r="AB4993" s="1" t="s">
        <v>275</v>
      </c>
      <c r="AC4993" s="5">
        <v>42726</v>
      </c>
      <c r="AF4993" s="1">
        <v>10027</v>
      </c>
      <c r="AI4993" s="1" t="s">
        <v>52</v>
      </c>
      <c r="AJ4993" s="1">
        <v>2016</v>
      </c>
      <c r="AK4993" s="1" t="s">
        <v>55</v>
      </c>
      <c r="AL4993" s="1">
        <v>115</v>
      </c>
    </row>
    <row r="4994" spans="1:38" x14ac:dyDescent="0.2">
      <c r="A4994" s="2" t="str">
        <f>HYPERLINK("https://www.compass.com/listing/51-east-131st-street-unit-3b-manhattan-ny-10037/29428813872060225/","51 E 131st St, Unit 3B")</f>
        <v>51 E 131st St, Unit 3B</v>
      </c>
      <c r="B4994" s="2" t="str">
        <f t="shared" ref="B4994:B5008" si="854">HYPERLINK("https://www.compass.com/building/the-style-manhattan-ny/282066541707564085/","The Style")</f>
        <v>The Style</v>
      </c>
      <c r="C4994" s="1" t="s">
        <v>424</v>
      </c>
      <c r="D4994" s="1" t="s">
        <v>41</v>
      </c>
      <c r="E4994" s="3">
        <v>635388</v>
      </c>
      <c r="F4994" s="1">
        <v>979.02619414483797</v>
      </c>
      <c r="G4994" s="1">
        <v>3</v>
      </c>
      <c r="H4994" s="1">
        <v>1</v>
      </c>
      <c r="I4994" s="1">
        <v>1</v>
      </c>
      <c r="J4994" s="1">
        <v>1</v>
      </c>
      <c r="M4994" s="1">
        <v>649</v>
      </c>
      <c r="N4994" s="1">
        <v>961</v>
      </c>
      <c r="O4994" s="1">
        <v>1564</v>
      </c>
      <c r="P4994" s="1">
        <v>603</v>
      </c>
      <c r="Q4994" s="1" t="s">
        <v>42</v>
      </c>
      <c r="S4994" s="1" t="s">
        <v>42</v>
      </c>
      <c r="T4994" s="1" t="s">
        <v>273</v>
      </c>
      <c r="V4994" s="5">
        <v>43666</v>
      </c>
      <c r="W4994" s="5">
        <v>42788</v>
      </c>
      <c r="X4994" s="1">
        <v>624000</v>
      </c>
      <c r="Y4994" s="1">
        <v>624000</v>
      </c>
      <c r="Z4994" s="5">
        <v>42788</v>
      </c>
      <c r="AA4994" s="1">
        <v>635388</v>
      </c>
      <c r="AB4994" s="1" t="s">
        <v>3507</v>
      </c>
      <c r="AC4994" s="5">
        <v>42916</v>
      </c>
      <c r="AF4994" s="1">
        <v>10037</v>
      </c>
      <c r="AI4994" s="1" t="s">
        <v>3485</v>
      </c>
      <c r="AJ4994" s="1">
        <v>2016</v>
      </c>
      <c r="AK4994" s="1" t="s">
        <v>257</v>
      </c>
      <c r="AL4994" s="1">
        <v>12</v>
      </c>
    </row>
    <row r="4995" spans="1:38" x14ac:dyDescent="0.2">
      <c r="A4995" s="2" t="str">
        <f>HYPERLINK("https://www.compass.com/listing/51-east-131st-street-unit-3a-manhattan-ny-10037/29428813486170753/","51 E 131st St, Unit 3A")</f>
        <v>51 E 131st St, Unit 3A</v>
      </c>
      <c r="B4995" s="2" t="str">
        <f t="shared" si="854"/>
        <v>The Style</v>
      </c>
      <c r="C4995" s="1" t="s">
        <v>424</v>
      </c>
      <c r="D4995" s="1" t="s">
        <v>41</v>
      </c>
      <c r="E4995" s="3">
        <v>566147</v>
      </c>
      <c r="F4995" s="1">
        <v>962.83503401360497</v>
      </c>
      <c r="G4995" s="1">
        <v>2</v>
      </c>
      <c r="H4995" s="1" t="s">
        <v>99</v>
      </c>
      <c r="I4995" s="1">
        <v>1</v>
      </c>
      <c r="J4995" s="1">
        <v>1</v>
      </c>
      <c r="M4995" s="1">
        <v>588</v>
      </c>
      <c r="N4995" s="1">
        <v>482</v>
      </c>
      <c r="O4995" s="1">
        <v>1023</v>
      </c>
      <c r="P4995" s="1">
        <v>541</v>
      </c>
      <c r="Q4995" s="1" t="s">
        <v>42</v>
      </c>
      <c r="S4995" s="1" t="s">
        <v>42</v>
      </c>
      <c r="T4995" s="1" t="s">
        <v>273</v>
      </c>
      <c r="V4995" s="5">
        <v>43666</v>
      </c>
      <c r="W4995" s="5">
        <v>42707</v>
      </c>
      <c r="X4995" s="1">
        <v>556000</v>
      </c>
      <c r="Y4995" s="1">
        <v>556000</v>
      </c>
      <c r="Z4995" s="5">
        <v>42707</v>
      </c>
      <c r="AA4995" s="1">
        <v>566147</v>
      </c>
      <c r="AB4995" s="1" t="s">
        <v>3508</v>
      </c>
      <c r="AC4995" s="5">
        <v>42912</v>
      </c>
      <c r="AF4995" s="1">
        <v>10037</v>
      </c>
      <c r="AI4995" s="1" t="s">
        <v>3501</v>
      </c>
      <c r="AJ4995" s="1">
        <v>2016</v>
      </c>
      <c r="AK4995" s="1" t="s">
        <v>3486</v>
      </c>
      <c r="AL4995" s="1">
        <v>12</v>
      </c>
    </row>
    <row r="4996" spans="1:38" x14ac:dyDescent="0.2">
      <c r="A4996" s="2" t="str">
        <f>HYPERLINK("https://www.compass.com/listing/51-east-131st-street-unit-phf-manhattan-ny-10037/4852278057756526257/","51 E 131st St, Unit PHF")</f>
        <v>51 E 131st St, Unit PHF</v>
      </c>
      <c r="B4996" s="2" t="str">
        <f t="shared" si="854"/>
        <v>The Style</v>
      </c>
      <c r="C4996" s="1" t="s">
        <v>424</v>
      </c>
      <c r="D4996" s="1" t="s">
        <v>41</v>
      </c>
      <c r="E4996" s="3">
        <v>623317</v>
      </c>
      <c r="F4996" s="1">
        <v>1154.2907407407399</v>
      </c>
      <c r="G4996" s="1">
        <v>2</v>
      </c>
      <c r="H4996" s="1" t="s">
        <v>99</v>
      </c>
      <c r="I4996" s="1">
        <v>1</v>
      </c>
      <c r="J4996" s="1">
        <v>1</v>
      </c>
      <c r="M4996" s="1">
        <v>540</v>
      </c>
      <c r="N4996" s="1">
        <v>507</v>
      </c>
      <c r="O4996" s="1">
        <v>1076</v>
      </c>
      <c r="P4996" s="1">
        <v>569</v>
      </c>
      <c r="Q4996" s="1" t="s">
        <v>42</v>
      </c>
      <c r="S4996" s="1" t="s">
        <v>42</v>
      </c>
      <c r="T4996" s="1" t="s">
        <v>273</v>
      </c>
      <c r="U4996" s="1">
        <v>102</v>
      </c>
      <c r="V4996" s="5">
        <v>43666</v>
      </c>
      <c r="W4996" s="5">
        <v>42769</v>
      </c>
      <c r="X4996" s="1">
        <v>623317</v>
      </c>
      <c r="Y4996" s="1">
        <v>623317</v>
      </c>
      <c r="Z4996" s="5">
        <v>42871</v>
      </c>
      <c r="AA4996" s="1">
        <v>623317</v>
      </c>
      <c r="AB4996" s="1" t="s">
        <v>275</v>
      </c>
      <c r="AC4996" s="5">
        <v>42924</v>
      </c>
      <c r="AF4996" s="1">
        <v>10037</v>
      </c>
      <c r="AI4996" s="1" t="s">
        <v>1039</v>
      </c>
      <c r="AJ4996" s="1">
        <v>2016</v>
      </c>
      <c r="AK4996" s="1" t="s">
        <v>3486</v>
      </c>
      <c r="AL4996" s="1">
        <v>12</v>
      </c>
    </row>
    <row r="4997" spans="1:38" x14ac:dyDescent="0.2">
      <c r="A4997" s="2" t="str">
        <f>HYPERLINK("https://www.compass.com/listing/51-east-131st-street-unit-1b-manhattan-ny-10037/29428812596991793/","51 E 131st St, Unit 1B")</f>
        <v>51 E 131st St, Unit 1B</v>
      </c>
      <c r="B4997" s="2" t="str">
        <f t="shared" si="854"/>
        <v>The Style</v>
      </c>
      <c r="C4997" s="1" t="s">
        <v>424</v>
      </c>
      <c r="D4997" s="1" t="s">
        <v>41</v>
      </c>
      <c r="E4997" s="3">
        <v>455286</v>
      </c>
      <c r="F4997" s="1">
        <v>1044.23394495412</v>
      </c>
      <c r="G4997" s="1">
        <v>2</v>
      </c>
      <c r="H4997" s="1" t="s">
        <v>99</v>
      </c>
      <c r="I4997" s="1">
        <v>1</v>
      </c>
      <c r="J4997" s="1">
        <v>1</v>
      </c>
      <c r="M4997" s="1">
        <v>436</v>
      </c>
      <c r="N4997" s="1">
        <v>384</v>
      </c>
      <c r="O4997" s="1">
        <v>815</v>
      </c>
      <c r="P4997" s="1">
        <v>431</v>
      </c>
      <c r="Q4997" s="1" t="s">
        <v>42</v>
      </c>
      <c r="S4997" s="1" t="s">
        <v>42</v>
      </c>
      <c r="T4997" s="1" t="s">
        <v>273</v>
      </c>
      <c r="V4997" s="5">
        <v>43666</v>
      </c>
      <c r="W4997" s="5">
        <v>42707</v>
      </c>
      <c r="X4997" s="1">
        <v>449000</v>
      </c>
      <c r="Y4997" s="1">
        <v>449000</v>
      </c>
      <c r="Z4997" s="5">
        <v>42707</v>
      </c>
      <c r="AA4997" s="1">
        <v>455286</v>
      </c>
      <c r="AB4997" s="1" t="s">
        <v>3509</v>
      </c>
      <c r="AC4997" s="5">
        <v>42935</v>
      </c>
      <c r="AF4997" s="1">
        <v>10037</v>
      </c>
      <c r="AI4997" s="1" t="s">
        <v>1039</v>
      </c>
      <c r="AJ4997" s="1">
        <v>2016</v>
      </c>
      <c r="AK4997" s="1" t="s">
        <v>257</v>
      </c>
      <c r="AL4997" s="1">
        <v>12</v>
      </c>
    </row>
    <row r="4998" spans="1:38" x14ac:dyDescent="0.2">
      <c r="A4998" s="2" t="str">
        <f>HYPERLINK("https://www.compass.com/listing/51-east-131st-street-unit-5d-manhattan-ny-10037/4852274664833035921/","51 E 131st St, Unit 5D")</f>
        <v>51 E 131st St, Unit 5D</v>
      </c>
      <c r="B4998" s="2" t="str">
        <f t="shared" si="854"/>
        <v>The Style</v>
      </c>
      <c r="C4998" s="1" t="s">
        <v>424</v>
      </c>
      <c r="D4998" s="1" t="s">
        <v>41</v>
      </c>
      <c r="E4998" s="3">
        <v>398800</v>
      </c>
      <c r="F4998" s="1">
        <v>936.15023474178395</v>
      </c>
      <c r="G4998" s="1">
        <v>2</v>
      </c>
      <c r="H4998" s="1" t="s">
        <v>99</v>
      </c>
      <c r="I4998" s="1">
        <v>1</v>
      </c>
      <c r="J4998" s="1">
        <v>1</v>
      </c>
      <c r="M4998" s="1">
        <v>426</v>
      </c>
      <c r="N4998" s="1">
        <v>351</v>
      </c>
      <c r="O4998" s="1">
        <v>744</v>
      </c>
      <c r="P4998" s="1">
        <v>393</v>
      </c>
      <c r="Q4998" s="1" t="s">
        <v>42</v>
      </c>
      <c r="S4998" s="1" t="s">
        <v>42</v>
      </c>
      <c r="T4998" s="1" t="s">
        <v>273</v>
      </c>
      <c r="U4998" s="1">
        <v>21</v>
      </c>
      <c r="V4998" s="5">
        <v>43666</v>
      </c>
      <c r="W4998" s="5">
        <v>42630</v>
      </c>
      <c r="X4998" s="1">
        <v>398800</v>
      </c>
      <c r="Y4998" s="1">
        <v>398800</v>
      </c>
      <c r="Z4998" s="5">
        <v>42651</v>
      </c>
      <c r="AA4998" s="1">
        <v>398800</v>
      </c>
      <c r="AB4998" s="1" t="s">
        <v>275</v>
      </c>
      <c r="AC4998" s="5">
        <v>42915</v>
      </c>
      <c r="AF4998" s="1">
        <v>10037</v>
      </c>
      <c r="AI4998" s="1" t="s">
        <v>3485</v>
      </c>
      <c r="AJ4998" s="1">
        <v>2016</v>
      </c>
      <c r="AK4998" s="1" t="s">
        <v>3486</v>
      </c>
      <c r="AL4998" s="1">
        <v>12</v>
      </c>
    </row>
    <row r="4999" spans="1:38" x14ac:dyDescent="0.2">
      <c r="A4999" s="2" t="str">
        <f>HYPERLINK("https://www.compass.com/listing/51-east-131st-street-unit-3e-manhattan-ny-10037/4852275265071494561/","51 E 131st St, Unit 3E")</f>
        <v>51 E 131st St, Unit 3E</v>
      </c>
      <c r="B4999" s="2" t="str">
        <f t="shared" si="854"/>
        <v>The Style</v>
      </c>
      <c r="C4999" s="1" t="s">
        <v>424</v>
      </c>
      <c r="D4999" s="1" t="s">
        <v>41</v>
      </c>
      <c r="E4999" s="3">
        <v>409000</v>
      </c>
      <c r="F4999" s="1">
        <v>921.17117117117095</v>
      </c>
      <c r="G4999" s="1">
        <v>2</v>
      </c>
      <c r="H4999" s="1" t="s">
        <v>99</v>
      </c>
      <c r="I4999" s="1">
        <v>1</v>
      </c>
      <c r="J4999" s="1">
        <v>1</v>
      </c>
      <c r="M4999" s="1">
        <v>444</v>
      </c>
      <c r="N4999" s="1">
        <v>365</v>
      </c>
      <c r="O4999" s="1">
        <v>775</v>
      </c>
      <c r="P4999" s="1">
        <v>410</v>
      </c>
      <c r="Q4999" s="1" t="s">
        <v>42</v>
      </c>
      <c r="S4999" s="1" t="s">
        <v>42</v>
      </c>
      <c r="T4999" s="1" t="s">
        <v>273</v>
      </c>
      <c r="U4999" s="1">
        <v>46</v>
      </c>
      <c r="V4999" s="5">
        <v>43666</v>
      </c>
      <c r="W4999" s="5">
        <v>42630</v>
      </c>
      <c r="X4999" s="1">
        <v>409000</v>
      </c>
      <c r="Y4999" s="1">
        <v>409000</v>
      </c>
      <c r="Z4999" s="5">
        <v>42676</v>
      </c>
      <c r="AA4999" s="1">
        <v>409000</v>
      </c>
      <c r="AB4999" s="1" t="s">
        <v>275</v>
      </c>
      <c r="AC4999" s="5">
        <v>42922</v>
      </c>
      <c r="AF4999" s="1">
        <v>10037</v>
      </c>
      <c r="AI4999" s="1" t="s">
        <v>3485</v>
      </c>
      <c r="AJ4999" s="1">
        <v>2016</v>
      </c>
      <c r="AK4999" s="1" t="s">
        <v>3486</v>
      </c>
      <c r="AL4999" s="1">
        <v>12</v>
      </c>
    </row>
    <row r="5000" spans="1:38" x14ac:dyDescent="0.2">
      <c r="A5000" s="2" t="str">
        <f>HYPERLINK("https://www.compass.com/listing/51-east-131st-street-unit-3f-manhattan-ny-10037/4852275355534234705/","51 E 131st St, Unit 3F")</f>
        <v>51 E 131st St, Unit 3F</v>
      </c>
      <c r="B5000" s="2" t="str">
        <f t="shared" si="854"/>
        <v>The Style</v>
      </c>
      <c r="C5000" s="1" t="s">
        <v>424</v>
      </c>
      <c r="D5000" s="1" t="s">
        <v>41</v>
      </c>
      <c r="E5000" s="3">
        <v>429000</v>
      </c>
      <c r="F5000" s="1">
        <v>934.64052287581603</v>
      </c>
      <c r="G5000" s="1">
        <v>2</v>
      </c>
      <c r="H5000" s="1" t="s">
        <v>99</v>
      </c>
      <c r="I5000" s="1">
        <v>1</v>
      </c>
      <c r="J5000" s="1">
        <v>1</v>
      </c>
      <c r="M5000" s="1">
        <v>459</v>
      </c>
      <c r="N5000" s="1">
        <v>381</v>
      </c>
      <c r="O5000" s="1">
        <v>808</v>
      </c>
      <c r="P5000" s="1">
        <v>427</v>
      </c>
      <c r="Q5000" s="1" t="s">
        <v>42</v>
      </c>
      <c r="S5000" s="1" t="s">
        <v>42</v>
      </c>
      <c r="T5000" s="1" t="s">
        <v>273</v>
      </c>
      <c r="V5000" s="5">
        <v>43666</v>
      </c>
      <c r="W5000" s="5">
        <v>42658</v>
      </c>
      <c r="X5000" s="1">
        <v>429000</v>
      </c>
      <c r="Y5000" s="1">
        <v>429000</v>
      </c>
      <c r="Z5000" s="5">
        <v>42658</v>
      </c>
      <c r="AA5000" s="1">
        <v>429000</v>
      </c>
      <c r="AB5000" s="1" t="s">
        <v>275</v>
      </c>
      <c r="AC5000" s="5">
        <v>42928</v>
      </c>
      <c r="AF5000" s="1">
        <v>10037</v>
      </c>
      <c r="AI5000" s="1" t="s">
        <v>3485</v>
      </c>
      <c r="AJ5000" s="1">
        <v>2016</v>
      </c>
      <c r="AK5000" s="1" t="s">
        <v>3486</v>
      </c>
      <c r="AL5000" s="1">
        <v>12</v>
      </c>
    </row>
    <row r="5001" spans="1:38" x14ac:dyDescent="0.2">
      <c r="A5001" s="2" t="str">
        <f>HYPERLINK("https://www.compass.com/listing/51-east-131st-street-unit-3d-manhattan-ny-10037/4852275596312453409/","51 E 131st St, Unit 3D")</f>
        <v>51 E 131st St, Unit 3D</v>
      </c>
      <c r="B5001" s="2" t="str">
        <f t="shared" si="854"/>
        <v>The Style</v>
      </c>
      <c r="C5001" s="1" t="s">
        <v>424</v>
      </c>
      <c r="D5001" s="1" t="s">
        <v>41</v>
      </c>
      <c r="E5001" s="3">
        <v>408000</v>
      </c>
      <c r="F5001" s="1">
        <v>1014.92537313432</v>
      </c>
      <c r="G5001" s="1">
        <v>2</v>
      </c>
      <c r="H5001" s="1" t="s">
        <v>99</v>
      </c>
      <c r="I5001" s="1">
        <v>1</v>
      </c>
      <c r="J5001" s="1">
        <v>1</v>
      </c>
      <c r="M5001" s="1">
        <v>402</v>
      </c>
      <c r="N5001" s="1">
        <v>408</v>
      </c>
      <c r="O5001" s="1">
        <v>751</v>
      </c>
      <c r="P5001" s="1">
        <v>343</v>
      </c>
      <c r="Q5001" s="1" t="s">
        <v>42</v>
      </c>
      <c r="S5001" s="1" t="s">
        <v>42</v>
      </c>
      <c r="T5001" s="1" t="s">
        <v>273</v>
      </c>
      <c r="V5001" s="5">
        <v>43666</v>
      </c>
      <c r="W5001" s="5">
        <v>42908</v>
      </c>
      <c r="X5001" s="1">
        <v>408000</v>
      </c>
      <c r="Y5001" s="1">
        <v>408000</v>
      </c>
      <c r="Z5001" s="5">
        <v>42908</v>
      </c>
      <c r="AA5001" s="1">
        <v>408000</v>
      </c>
      <c r="AB5001" s="1" t="s">
        <v>275</v>
      </c>
      <c r="AC5001" s="5">
        <v>42916</v>
      </c>
      <c r="AF5001" s="1">
        <v>10037</v>
      </c>
      <c r="AI5001" s="1" t="s">
        <v>3485</v>
      </c>
      <c r="AJ5001" s="1">
        <v>2016</v>
      </c>
      <c r="AK5001" s="1" t="s">
        <v>257</v>
      </c>
      <c r="AL5001" s="1">
        <v>12</v>
      </c>
    </row>
    <row r="5002" spans="1:38" x14ac:dyDescent="0.2">
      <c r="A5002" s="2" t="str">
        <f>HYPERLINK("https://www.compass.com/listing/51-east-131st-street-unit-4d-manhattan-ny-10037/4852275708333917201/","51 E 131st St, Unit 4D")</f>
        <v>51 E 131st St, Unit 4D</v>
      </c>
      <c r="B5002" s="2" t="str">
        <f t="shared" si="854"/>
        <v>The Style</v>
      </c>
      <c r="C5002" s="1" t="s">
        <v>424</v>
      </c>
      <c r="D5002" s="1" t="s">
        <v>41</v>
      </c>
      <c r="E5002" s="3">
        <v>403000</v>
      </c>
      <c r="F5002" s="1">
        <v>946.00938967136096</v>
      </c>
      <c r="G5002" s="1">
        <v>2</v>
      </c>
      <c r="H5002" s="1" t="s">
        <v>99</v>
      </c>
      <c r="I5002" s="1">
        <v>1</v>
      </c>
      <c r="J5002" s="1">
        <v>1</v>
      </c>
      <c r="M5002" s="1">
        <v>426</v>
      </c>
      <c r="N5002" s="1">
        <v>351</v>
      </c>
      <c r="O5002" s="1">
        <v>744</v>
      </c>
      <c r="P5002" s="1">
        <v>393</v>
      </c>
      <c r="Q5002" s="1" t="s">
        <v>42</v>
      </c>
      <c r="S5002" s="1" t="s">
        <v>42</v>
      </c>
      <c r="T5002" s="1" t="s">
        <v>273</v>
      </c>
      <c r="U5002" s="1">
        <v>121</v>
      </c>
      <c r="V5002" s="5">
        <v>43666</v>
      </c>
      <c r="W5002" s="5">
        <v>42661</v>
      </c>
      <c r="X5002" s="1">
        <v>395000</v>
      </c>
      <c r="Y5002" s="1">
        <v>403000</v>
      </c>
      <c r="Z5002" s="5">
        <v>42782</v>
      </c>
      <c r="AA5002" s="1">
        <v>403000</v>
      </c>
      <c r="AB5002" s="1" t="s">
        <v>275</v>
      </c>
      <c r="AC5002" s="5">
        <v>42930</v>
      </c>
      <c r="AF5002" s="1">
        <v>10037</v>
      </c>
      <c r="AI5002" s="1" t="s">
        <v>3485</v>
      </c>
      <c r="AJ5002" s="1">
        <v>2016</v>
      </c>
      <c r="AK5002" s="1" t="s">
        <v>257</v>
      </c>
      <c r="AL5002" s="1">
        <v>12</v>
      </c>
    </row>
    <row r="5003" spans="1:38" x14ac:dyDescent="0.2">
      <c r="A5003" s="2" t="str">
        <f>HYPERLINK("https://www.compass.com/listing/51-east-131st-street-unit-3c-manhattan-ny-10037/4852275711806801489/","51 E 131st St, Unit 3C")</f>
        <v>51 E 131st St, Unit 3C</v>
      </c>
      <c r="B5003" s="2" t="str">
        <f t="shared" si="854"/>
        <v>The Style</v>
      </c>
      <c r="C5003" s="1" t="s">
        <v>424</v>
      </c>
      <c r="D5003" s="1" t="s">
        <v>41</v>
      </c>
      <c r="E5003" s="3">
        <v>385000</v>
      </c>
      <c r="F5003" s="1">
        <v>962.5</v>
      </c>
      <c r="G5003" s="1">
        <v>2</v>
      </c>
      <c r="H5003" s="1" t="s">
        <v>99</v>
      </c>
      <c r="I5003" s="1">
        <v>1</v>
      </c>
      <c r="J5003" s="1">
        <v>1</v>
      </c>
      <c r="M5003" s="1">
        <v>400</v>
      </c>
      <c r="N5003" s="1">
        <v>333</v>
      </c>
      <c r="O5003" s="1">
        <v>706</v>
      </c>
      <c r="P5003" s="1">
        <v>373</v>
      </c>
      <c r="Q5003" s="1" t="s">
        <v>42</v>
      </c>
      <c r="S5003" s="1" t="s">
        <v>42</v>
      </c>
      <c r="T5003" s="1" t="s">
        <v>273</v>
      </c>
      <c r="V5003" s="5">
        <v>43666</v>
      </c>
      <c r="W5003" s="5">
        <v>42644</v>
      </c>
      <c r="X5003" s="1">
        <v>385000</v>
      </c>
      <c r="Y5003" s="1">
        <v>385000</v>
      </c>
      <c r="Z5003" s="5">
        <v>42644</v>
      </c>
      <c r="AA5003" s="1">
        <v>385000</v>
      </c>
      <c r="AB5003" s="1" t="s">
        <v>275</v>
      </c>
      <c r="AC5003" s="5">
        <v>42929</v>
      </c>
      <c r="AF5003" s="1">
        <v>10037</v>
      </c>
      <c r="AI5003" s="1" t="s">
        <v>3485</v>
      </c>
      <c r="AJ5003" s="1">
        <v>2016</v>
      </c>
      <c r="AK5003" s="1" t="s">
        <v>257</v>
      </c>
      <c r="AL5003" s="1">
        <v>12</v>
      </c>
    </row>
    <row r="5004" spans="1:38" x14ac:dyDescent="0.2">
      <c r="A5004" s="2" t="str">
        <f>HYPERLINK("https://www.compass.com/listing/51-east-131st-street-unit-2d-manhattan-ny-10037/4852275736871964001/","51 E 131st St, Unit 2D")</f>
        <v>51 E 131st St, Unit 2D</v>
      </c>
      <c r="B5004" s="2" t="str">
        <f t="shared" si="854"/>
        <v>The Style</v>
      </c>
      <c r="C5004" s="1" t="s">
        <v>424</v>
      </c>
      <c r="D5004" s="1" t="s">
        <v>41</v>
      </c>
      <c r="E5004" s="3">
        <v>391000</v>
      </c>
      <c r="F5004" s="1">
        <v>920</v>
      </c>
      <c r="G5004" s="1">
        <v>2</v>
      </c>
      <c r="H5004" s="1" t="s">
        <v>99</v>
      </c>
      <c r="I5004" s="1">
        <v>1</v>
      </c>
      <c r="J5004" s="1">
        <v>1</v>
      </c>
      <c r="M5004" s="1">
        <v>425</v>
      </c>
      <c r="N5004" s="1">
        <v>346</v>
      </c>
      <c r="O5004" s="1">
        <v>734</v>
      </c>
      <c r="P5004" s="1">
        <v>388</v>
      </c>
      <c r="Q5004" s="1" t="s">
        <v>42</v>
      </c>
      <c r="S5004" s="1" t="s">
        <v>42</v>
      </c>
      <c r="T5004" s="1" t="s">
        <v>273</v>
      </c>
      <c r="U5004" s="1">
        <v>84</v>
      </c>
      <c r="V5004" s="5">
        <v>43666</v>
      </c>
      <c r="W5004" s="5">
        <v>42704</v>
      </c>
      <c r="X5004" s="1">
        <v>391000</v>
      </c>
      <c r="Y5004" s="1">
        <v>391000</v>
      </c>
      <c r="Z5004" s="5">
        <v>42788</v>
      </c>
      <c r="AA5004" s="1">
        <v>391000</v>
      </c>
      <c r="AB5004" s="1" t="s">
        <v>275</v>
      </c>
      <c r="AC5004" s="5">
        <v>42931</v>
      </c>
      <c r="AF5004" s="1">
        <v>10037</v>
      </c>
      <c r="AI5004" s="1" t="s">
        <v>1015</v>
      </c>
      <c r="AJ5004" s="1">
        <v>2016</v>
      </c>
      <c r="AK5004" s="1" t="s">
        <v>257</v>
      </c>
      <c r="AL5004" s="1">
        <v>12</v>
      </c>
    </row>
    <row r="5005" spans="1:38" x14ac:dyDescent="0.2">
      <c r="A5005" s="2" t="str">
        <f>HYPERLINK("https://www.compass.com/listing/51-east-131st-street-unit-2c-manhattan-ny-10037/4852276010063767393/","51 E 131st St, Unit 2C")</f>
        <v>51 E 131st St, Unit 2C</v>
      </c>
      <c r="B5005" s="2" t="str">
        <f t="shared" si="854"/>
        <v>The Style</v>
      </c>
      <c r="C5005" s="1" t="s">
        <v>424</v>
      </c>
      <c r="D5005" s="1" t="s">
        <v>41</v>
      </c>
      <c r="E5005" s="3">
        <v>385000</v>
      </c>
      <c r="F5005" s="1">
        <v>957.71144278606903</v>
      </c>
      <c r="G5005" s="1">
        <v>2</v>
      </c>
      <c r="H5005" s="1" t="s">
        <v>99</v>
      </c>
      <c r="I5005" s="1">
        <v>1</v>
      </c>
      <c r="J5005" s="1">
        <v>1</v>
      </c>
      <c r="M5005" s="1">
        <v>402</v>
      </c>
      <c r="N5005" s="1">
        <v>326</v>
      </c>
      <c r="O5005" s="1">
        <v>691</v>
      </c>
      <c r="P5005" s="1">
        <v>365</v>
      </c>
      <c r="Q5005" s="1" t="s">
        <v>42</v>
      </c>
      <c r="S5005" s="1" t="s">
        <v>42</v>
      </c>
      <c r="T5005" s="1" t="s">
        <v>273</v>
      </c>
      <c r="V5005" s="5">
        <v>43666</v>
      </c>
      <c r="W5005" s="5">
        <v>42788</v>
      </c>
      <c r="X5005" s="1">
        <v>385000</v>
      </c>
      <c r="Y5005" s="1">
        <v>385000</v>
      </c>
      <c r="Z5005" s="5">
        <v>42788</v>
      </c>
      <c r="AA5005" s="1">
        <v>385000</v>
      </c>
      <c r="AB5005" s="1" t="s">
        <v>275</v>
      </c>
      <c r="AC5005" s="5">
        <v>42928</v>
      </c>
      <c r="AF5005" s="1">
        <v>10037</v>
      </c>
      <c r="AI5005" s="1" t="s">
        <v>1015</v>
      </c>
      <c r="AJ5005" s="1">
        <v>2016</v>
      </c>
      <c r="AK5005" s="1" t="s">
        <v>257</v>
      </c>
      <c r="AL5005" s="1">
        <v>12</v>
      </c>
    </row>
    <row r="5006" spans="1:38" x14ac:dyDescent="0.2">
      <c r="A5006" s="2" t="str">
        <f>HYPERLINK("https://www.compass.com/listing/51-east-131st-street-unit-2e-manhattan-ny-10037/4852278710734169233/","51 E 131st St, Unit 2E")</f>
        <v>51 E 131st St, Unit 2E</v>
      </c>
      <c r="B5006" s="2" t="str">
        <f t="shared" si="854"/>
        <v>The Style</v>
      </c>
      <c r="C5006" s="1" t="s">
        <v>424</v>
      </c>
      <c r="D5006" s="1" t="s">
        <v>41</v>
      </c>
      <c r="E5006" s="3">
        <v>418000</v>
      </c>
      <c r="F5006" s="1">
        <v>941.44144144144104</v>
      </c>
      <c r="G5006" s="1">
        <v>2</v>
      </c>
      <c r="H5006" s="1" t="s">
        <v>99</v>
      </c>
      <c r="I5006" s="1">
        <v>1</v>
      </c>
      <c r="J5006" s="1">
        <v>1</v>
      </c>
      <c r="M5006" s="1">
        <v>444</v>
      </c>
      <c r="N5006" s="1">
        <v>361</v>
      </c>
      <c r="O5006" s="1">
        <v>766</v>
      </c>
      <c r="P5006" s="1">
        <v>405</v>
      </c>
      <c r="Q5006" s="1" t="s">
        <v>42</v>
      </c>
      <c r="S5006" s="1" t="s">
        <v>42</v>
      </c>
      <c r="T5006" s="1" t="s">
        <v>273</v>
      </c>
      <c r="U5006" s="1">
        <v>72</v>
      </c>
      <c r="V5006" s="5">
        <v>43650</v>
      </c>
      <c r="W5006" s="5">
        <v>42796</v>
      </c>
      <c r="X5006" s="1">
        <v>418000</v>
      </c>
      <c r="Y5006" s="1">
        <v>418000</v>
      </c>
      <c r="Z5006" s="5">
        <v>42868</v>
      </c>
      <c r="AA5006" s="1">
        <v>418000</v>
      </c>
      <c r="AB5006" s="1" t="s">
        <v>275</v>
      </c>
      <c r="AC5006" s="5">
        <v>42949</v>
      </c>
      <c r="AF5006" s="1">
        <v>10037</v>
      </c>
      <c r="AI5006" s="1" t="s">
        <v>1015</v>
      </c>
      <c r="AJ5006" s="1">
        <v>2016</v>
      </c>
      <c r="AK5006" s="1" t="s">
        <v>3486</v>
      </c>
      <c r="AL5006" s="1">
        <v>12</v>
      </c>
    </row>
    <row r="5007" spans="1:38" x14ac:dyDescent="0.2">
      <c r="A5007" s="2" t="str">
        <f>HYPERLINK("https://www.compass.com/listing/51-east-131st-street-unit-4e-manhattan-ny-10037/4852279139987636193/","51 E 131st St, Unit 4E")</f>
        <v>51 E 131st St, Unit 4E</v>
      </c>
      <c r="B5007" s="2" t="str">
        <f t="shared" si="854"/>
        <v>The Style</v>
      </c>
      <c r="C5007" s="1" t="s">
        <v>424</v>
      </c>
      <c r="D5007" s="1" t="s">
        <v>41</v>
      </c>
      <c r="E5007" s="3">
        <v>430000</v>
      </c>
      <c r="F5007" s="1">
        <v>970.65462753950305</v>
      </c>
      <c r="G5007" s="1">
        <v>2</v>
      </c>
      <c r="H5007" s="1" t="s">
        <v>99</v>
      </c>
      <c r="I5007" s="1">
        <v>1</v>
      </c>
      <c r="J5007" s="1">
        <v>1</v>
      </c>
      <c r="M5007" s="1">
        <v>443</v>
      </c>
      <c r="N5007" s="1">
        <v>365</v>
      </c>
      <c r="O5007" s="1">
        <v>774</v>
      </c>
      <c r="P5007" s="1">
        <v>409</v>
      </c>
      <c r="Q5007" s="1" t="s">
        <v>42</v>
      </c>
      <c r="S5007" s="1" t="s">
        <v>42</v>
      </c>
      <c r="T5007" s="1" t="s">
        <v>273</v>
      </c>
      <c r="U5007" s="1">
        <v>224</v>
      </c>
      <c r="V5007" s="5">
        <v>43650</v>
      </c>
      <c r="W5007" s="5">
        <v>42704</v>
      </c>
      <c r="X5007" s="1">
        <v>419000</v>
      </c>
      <c r="Y5007" s="1">
        <v>430000</v>
      </c>
      <c r="Z5007" s="5">
        <v>42928</v>
      </c>
      <c r="AA5007" s="1">
        <v>430000</v>
      </c>
      <c r="AB5007" s="1" t="s">
        <v>275</v>
      </c>
      <c r="AC5007" s="5">
        <v>42971</v>
      </c>
      <c r="AF5007" s="1">
        <v>10037</v>
      </c>
      <c r="AI5007" s="1" t="s">
        <v>3485</v>
      </c>
      <c r="AJ5007" s="1">
        <v>2016</v>
      </c>
      <c r="AK5007" s="1" t="s">
        <v>3486</v>
      </c>
      <c r="AL5007" s="1">
        <v>12</v>
      </c>
    </row>
    <row r="5008" spans="1:38" x14ac:dyDescent="0.2">
      <c r="A5008" s="2" t="str">
        <f>HYPERLINK("https://www.compass.com/listing/51-east-131st-street-unit-2f-manhattan-ny-10037/4852283069110954273/","51 E 131st St, Unit 2F")</f>
        <v>51 E 131st St, Unit 2F</v>
      </c>
      <c r="B5008" s="2" t="str">
        <f t="shared" si="854"/>
        <v>The Style</v>
      </c>
      <c r="C5008" s="1" t="s">
        <v>424</v>
      </c>
      <c r="D5008" s="1" t="s">
        <v>41</v>
      </c>
      <c r="E5008" s="3">
        <v>423800</v>
      </c>
      <c r="F5008" s="1">
        <v>921.304347826087</v>
      </c>
      <c r="G5008" s="1">
        <v>2</v>
      </c>
      <c r="H5008" s="1" t="s">
        <v>99</v>
      </c>
      <c r="I5008" s="1">
        <v>1</v>
      </c>
      <c r="J5008" s="1">
        <v>1</v>
      </c>
      <c r="M5008" s="1">
        <v>460</v>
      </c>
      <c r="N5008" s="1">
        <v>374</v>
      </c>
      <c r="O5008" s="1">
        <v>794</v>
      </c>
      <c r="P5008" s="1">
        <v>420</v>
      </c>
      <c r="Q5008" s="1" t="s">
        <v>42</v>
      </c>
      <c r="S5008" s="1" t="s">
        <v>42</v>
      </c>
      <c r="T5008" s="1" t="s">
        <v>273</v>
      </c>
      <c r="U5008" s="1">
        <v>3</v>
      </c>
      <c r="V5008" s="5">
        <v>43666</v>
      </c>
      <c r="W5008" s="5">
        <v>42693</v>
      </c>
      <c r="X5008" s="1">
        <v>423800</v>
      </c>
      <c r="Y5008" s="1">
        <v>423800</v>
      </c>
      <c r="Z5008" s="5">
        <v>42696</v>
      </c>
      <c r="AA5008" s="1">
        <v>423800</v>
      </c>
      <c r="AB5008" s="1" t="s">
        <v>275</v>
      </c>
      <c r="AC5008" s="5">
        <v>42929</v>
      </c>
      <c r="AF5008" s="1">
        <v>10037</v>
      </c>
      <c r="AI5008" s="1" t="s">
        <v>1015</v>
      </c>
      <c r="AJ5008" s="1">
        <v>2016</v>
      </c>
      <c r="AK5008" s="1" t="s">
        <v>257</v>
      </c>
      <c r="AL5008" s="1">
        <v>12</v>
      </c>
    </row>
    <row r="5009" spans="1:38" x14ac:dyDescent="0.2">
      <c r="A5009" s="2" t="str">
        <f>HYPERLINK("https://www.compass.com/listing/15-hudson-yards-unit-32j-manhattan-ny-10001/202032176718526977/","15 Hudson Yards, Unit 32J")</f>
        <v>15 Hudson Yards, Unit 32J</v>
      </c>
      <c r="B5009" s="2" t="str">
        <f t="shared" ref="B5009:B5013" si="855">HYPERLINK("https://www.compass.com/building/fifteen-hudson-yards-manhattan-ny/282058587512011909/","Fifteen Hudson Yards")</f>
        <v>Fifteen Hudson Yards</v>
      </c>
      <c r="C5009" s="1" t="s">
        <v>77</v>
      </c>
      <c r="D5009" s="1" t="s">
        <v>41</v>
      </c>
      <c r="E5009" s="3">
        <v>2870000</v>
      </c>
      <c r="F5009" s="1">
        <v>2480.5531547104501</v>
      </c>
      <c r="G5009" s="1">
        <v>3</v>
      </c>
      <c r="H5009" s="1">
        <v>1</v>
      </c>
      <c r="I5009" s="1">
        <v>2</v>
      </c>
      <c r="J5009" s="1">
        <v>1.5</v>
      </c>
      <c r="K5009" s="1">
        <v>1</v>
      </c>
      <c r="L5009" s="1">
        <v>1</v>
      </c>
      <c r="M5009" s="4">
        <v>1157</v>
      </c>
      <c r="N5009" s="1">
        <v>2518</v>
      </c>
      <c r="O5009" s="1">
        <v>2553</v>
      </c>
      <c r="P5009" s="1">
        <v>35</v>
      </c>
      <c r="Q5009" s="1" t="s">
        <v>42</v>
      </c>
      <c r="S5009" s="1" t="s">
        <v>42</v>
      </c>
      <c r="T5009" s="1" t="s">
        <v>273</v>
      </c>
      <c r="U5009" s="1">
        <v>413</v>
      </c>
      <c r="V5009" s="5">
        <v>43531</v>
      </c>
      <c r="W5009" s="5">
        <v>43116</v>
      </c>
      <c r="X5009" s="1">
        <v>2870000</v>
      </c>
      <c r="Y5009" s="1">
        <v>2870000</v>
      </c>
      <c r="AA5009" s="1">
        <v>2870000</v>
      </c>
      <c r="AB5009" s="1" t="s">
        <v>275</v>
      </c>
      <c r="AC5009" s="5">
        <v>43529</v>
      </c>
      <c r="AF5009" s="1">
        <v>10001</v>
      </c>
      <c r="AJ5009" s="1">
        <v>2018</v>
      </c>
      <c r="AK5009" s="1" t="s">
        <v>46</v>
      </c>
      <c r="AL5009" s="1">
        <v>285</v>
      </c>
    </row>
    <row r="5010" spans="1:38" x14ac:dyDescent="0.2">
      <c r="A5010" s="2" t="str">
        <f>HYPERLINK("https://www.compass.com/listing/15-hudson-yards-unit-30j-manhattan-ny-10001/212262226730491409/","15 Hudson Yards, Unit 30J")</f>
        <v>15 Hudson Yards, Unit 30J</v>
      </c>
      <c r="B5010" s="2" t="str">
        <f t="shared" si="855"/>
        <v>Fifteen Hudson Yards</v>
      </c>
      <c r="C5010" s="1" t="s">
        <v>77</v>
      </c>
      <c r="D5010" s="1" t="s">
        <v>41</v>
      </c>
      <c r="E5010" s="3">
        <v>2794755</v>
      </c>
      <c r="F5010" s="1">
        <v>2407.1963824289401</v>
      </c>
      <c r="G5010" s="1">
        <v>3</v>
      </c>
      <c r="H5010" s="1">
        <v>1</v>
      </c>
      <c r="I5010" s="1">
        <v>2</v>
      </c>
      <c r="J5010" s="1">
        <v>1.5</v>
      </c>
      <c r="K5010" s="1">
        <v>1</v>
      </c>
      <c r="L5010" s="1">
        <v>1</v>
      </c>
      <c r="M5010" s="4">
        <v>1161</v>
      </c>
      <c r="N5010" s="1">
        <v>2508</v>
      </c>
      <c r="O5010" s="1">
        <v>2543</v>
      </c>
      <c r="P5010" s="1">
        <v>35</v>
      </c>
      <c r="Q5010" s="1" t="s">
        <v>42</v>
      </c>
      <c r="S5010" s="1" t="s">
        <v>42</v>
      </c>
      <c r="T5010" s="1" t="s">
        <v>273</v>
      </c>
      <c r="U5010" s="1">
        <v>897</v>
      </c>
      <c r="V5010" s="5">
        <v>43601</v>
      </c>
      <c r="W5010" s="5">
        <v>42645</v>
      </c>
      <c r="Y5010" s="1">
        <v>2740000</v>
      </c>
      <c r="AA5010" s="1">
        <v>2794755</v>
      </c>
      <c r="AB5010" s="1" t="s">
        <v>275</v>
      </c>
      <c r="AC5010" s="5">
        <v>43542</v>
      </c>
      <c r="AF5010" s="1">
        <v>10001</v>
      </c>
      <c r="AJ5010" s="1">
        <v>2018</v>
      </c>
      <c r="AK5010" s="1" t="s">
        <v>46</v>
      </c>
      <c r="AL5010" s="1">
        <v>285</v>
      </c>
    </row>
    <row r="5011" spans="1:38" x14ac:dyDescent="0.2">
      <c r="A5011" s="2" t="str">
        <f>HYPERLINK("https://www.compass.com/listing/15-hudson-yards-unit-31e-manhattan-ny-10001/213693715162658209/","15 Hudson Yards, Unit 31E")</f>
        <v>15 Hudson Yards, Unit 31E</v>
      </c>
      <c r="B5011" s="2" t="str">
        <f t="shared" si="855"/>
        <v>Fifteen Hudson Yards</v>
      </c>
      <c r="C5011" s="1" t="s">
        <v>77</v>
      </c>
      <c r="D5011" s="1" t="s">
        <v>41</v>
      </c>
      <c r="E5011" s="3">
        <v>2355000</v>
      </c>
      <c r="F5011" s="1">
        <v>2383.6032388663898</v>
      </c>
      <c r="G5011" s="1">
        <v>3</v>
      </c>
      <c r="H5011" s="1">
        <v>1</v>
      </c>
      <c r="I5011" s="1">
        <v>2</v>
      </c>
      <c r="J5011" s="1">
        <v>1.5</v>
      </c>
      <c r="K5011" s="1">
        <v>1</v>
      </c>
      <c r="L5011" s="1">
        <v>1</v>
      </c>
      <c r="M5011" s="1">
        <v>988</v>
      </c>
      <c r="N5011" s="1">
        <v>2158</v>
      </c>
      <c r="O5011" s="1">
        <v>2188</v>
      </c>
      <c r="P5011" s="1">
        <v>30</v>
      </c>
      <c r="Q5011" s="1" t="s">
        <v>42</v>
      </c>
      <c r="S5011" s="1" t="s">
        <v>42</v>
      </c>
      <c r="T5011" s="1" t="s">
        <v>273</v>
      </c>
      <c r="U5011" s="1">
        <v>896</v>
      </c>
      <c r="V5011" s="5">
        <v>43547</v>
      </c>
      <c r="W5011" s="5">
        <v>42649</v>
      </c>
      <c r="X5011" s="1">
        <v>2355000</v>
      </c>
      <c r="Y5011" s="1">
        <v>2355000</v>
      </c>
      <c r="AA5011" s="1">
        <v>2355000</v>
      </c>
      <c r="AB5011" s="1" t="s">
        <v>275</v>
      </c>
      <c r="AC5011" s="5">
        <v>43545</v>
      </c>
      <c r="AF5011" s="1">
        <v>10001</v>
      </c>
      <c r="AJ5011" s="1">
        <v>2018</v>
      </c>
      <c r="AK5011" s="1" t="s">
        <v>46</v>
      </c>
      <c r="AL5011" s="1">
        <v>285</v>
      </c>
    </row>
    <row r="5012" spans="1:38" x14ac:dyDescent="0.2">
      <c r="A5012" s="2" t="str">
        <f>HYPERLINK("https://www.compass.com/listing/15-hudson-yards-unit-37j-manhattan-ny-10001/239122146943592881/","15 Hudson Yards, Unit 37J")</f>
        <v>15 Hudson Yards, Unit 37J</v>
      </c>
      <c r="B5012" s="2" t="str">
        <f t="shared" si="855"/>
        <v>Fifteen Hudson Yards</v>
      </c>
      <c r="C5012" s="1" t="s">
        <v>77</v>
      </c>
      <c r="D5012" s="1" t="s">
        <v>41</v>
      </c>
      <c r="E5012" s="3">
        <v>2845000</v>
      </c>
      <c r="F5012" s="1">
        <v>2480.3836094158601</v>
      </c>
      <c r="G5012" s="1">
        <v>3</v>
      </c>
      <c r="H5012" s="1">
        <v>1</v>
      </c>
      <c r="I5012" s="1">
        <v>2</v>
      </c>
      <c r="J5012" s="1">
        <v>1.5</v>
      </c>
      <c r="K5012" s="1">
        <v>1</v>
      </c>
      <c r="L5012" s="1">
        <v>1</v>
      </c>
      <c r="M5012" s="4">
        <v>1147</v>
      </c>
      <c r="N5012" s="1">
        <v>2515</v>
      </c>
      <c r="O5012" s="1">
        <v>2550</v>
      </c>
      <c r="P5012" s="1">
        <v>35</v>
      </c>
      <c r="Q5012" s="1" t="s">
        <v>42</v>
      </c>
      <c r="S5012" s="1" t="s">
        <v>42</v>
      </c>
      <c r="T5012" s="1" t="s">
        <v>273</v>
      </c>
      <c r="U5012" s="1">
        <v>945</v>
      </c>
      <c r="V5012" s="5">
        <v>43582</v>
      </c>
      <c r="W5012" s="5">
        <v>42636</v>
      </c>
      <c r="X5012" s="1">
        <v>2845000</v>
      </c>
      <c r="Y5012" s="1">
        <v>2845000</v>
      </c>
      <c r="AA5012" s="1">
        <v>2845000</v>
      </c>
      <c r="AB5012" s="1" t="s">
        <v>275</v>
      </c>
      <c r="AC5012" s="5">
        <v>43581</v>
      </c>
      <c r="AF5012" s="1">
        <v>10001</v>
      </c>
      <c r="AJ5012" s="1">
        <v>2018</v>
      </c>
      <c r="AK5012" s="1" t="s">
        <v>46</v>
      </c>
      <c r="AL5012" s="1">
        <v>285</v>
      </c>
    </row>
    <row r="5013" spans="1:38" x14ac:dyDescent="0.2">
      <c r="A5013" s="2" t="str">
        <f>HYPERLINK("https://www.compass.com/listing/15-hudson-yards-unit-35j-manhattan-ny-10001/246930269989301633/","15 Hudson Yards, Unit 35J")</f>
        <v>15 Hudson Yards, Unit 35J</v>
      </c>
      <c r="B5013" s="2" t="str">
        <f t="shared" si="855"/>
        <v>Fifteen Hudson Yards</v>
      </c>
      <c r="C5013" s="1" t="s">
        <v>77</v>
      </c>
      <c r="D5013" s="1" t="s">
        <v>41</v>
      </c>
      <c r="E5013" s="3">
        <v>2915000</v>
      </c>
      <c r="F5013" s="1">
        <v>2532.58036490008</v>
      </c>
      <c r="G5013" s="1">
        <v>3</v>
      </c>
      <c r="H5013" s="1">
        <v>1</v>
      </c>
      <c r="I5013" s="1">
        <v>2</v>
      </c>
      <c r="J5013" s="1">
        <v>1.5</v>
      </c>
      <c r="K5013" s="1">
        <v>1</v>
      </c>
      <c r="L5013" s="1">
        <v>1</v>
      </c>
      <c r="M5013" s="4">
        <v>1151</v>
      </c>
      <c r="N5013" s="1">
        <v>2521</v>
      </c>
      <c r="O5013" s="1">
        <v>2556</v>
      </c>
      <c r="P5013" s="1">
        <v>35</v>
      </c>
      <c r="Q5013" s="1" t="s">
        <v>42</v>
      </c>
      <c r="S5013" s="1" t="s">
        <v>42</v>
      </c>
      <c r="T5013" s="1" t="s">
        <v>273</v>
      </c>
      <c r="U5013" s="1">
        <v>518</v>
      </c>
      <c r="V5013" s="5">
        <v>43593</v>
      </c>
      <c r="W5013" s="5">
        <v>43068</v>
      </c>
      <c r="X5013" s="1">
        <v>2915000</v>
      </c>
      <c r="Y5013" s="1">
        <v>2915000</v>
      </c>
      <c r="AA5013" s="1">
        <v>2915000</v>
      </c>
      <c r="AB5013" s="1" t="s">
        <v>275</v>
      </c>
      <c r="AC5013" s="5">
        <v>43587</v>
      </c>
      <c r="AF5013" s="1">
        <v>10001</v>
      </c>
      <c r="AJ5013" s="1">
        <v>2018</v>
      </c>
      <c r="AK5013" s="1" t="s">
        <v>46</v>
      </c>
      <c r="AL5013" s="1">
        <v>285</v>
      </c>
    </row>
    <row r="5014" spans="1:38" x14ac:dyDescent="0.2">
      <c r="A5014" s="2" t="str">
        <f>HYPERLINK("https://www.compass.com/listing/77-east-110th-street-unit-8b-manhattan-ny-10029/480882026107923737/","77 E 110th St, Unit 8B")</f>
        <v>77 E 110th St, Unit 8B</v>
      </c>
      <c r="B5014" s="2" t="str">
        <f>HYPERLINK("https://www.compass.com/building/77-condominiums-manhattan-ny/281992190891244549/","77 Condominiums")</f>
        <v>77 Condominiums</v>
      </c>
      <c r="C5014" s="1" t="s">
        <v>85</v>
      </c>
      <c r="D5014" s="1" t="s">
        <v>41</v>
      </c>
      <c r="E5014" s="3">
        <v>1380000</v>
      </c>
      <c r="F5014" s="1">
        <v>1175.4684838160099</v>
      </c>
      <c r="G5014" s="1">
        <v>4</v>
      </c>
      <c r="H5014" s="1">
        <v>2</v>
      </c>
      <c r="I5014" s="1">
        <v>2</v>
      </c>
      <c r="J5014" s="1">
        <v>2</v>
      </c>
      <c r="K5014" s="1">
        <v>2</v>
      </c>
      <c r="M5014" s="4">
        <v>1174</v>
      </c>
      <c r="N5014" s="1">
        <v>425.33</v>
      </c>
      <c r="O5014" s="1">
        <v>524.28</v>
      </c>
      <c r="P5014" s="1">
        <v>98.9166666666666</v>
      </c>
      <c r="Q5014" s="1" t="s">
        <v>42</v>
      </c>
      <c r="S5014" s="1" t="s">
        <v>42</v>
      </c>
      <c r="T5014" s="1" t="s">
        <v>273</v>
      </c>
      <c r="U5014" s="1">
        <v>6</v>
      </c>
      <c r="V5014" s="5">
        <v>43551</v>
      </c>
      <c r="W5014" s="5">
        <v>42319</v>
      </c>
      <c r="X5014" s="1">
        <v>1318600</v>
      </c>
      <c r="Y5014" s="1">
        <v>1318600</v>
      </c>
      <c r="Z5014" s="5">
        <v>42326</v>
      </c>
      <c r="AA5014" s="1">
        <v>1380000</v>
      </c>
      <c r="AB5014" s="1" t="s">
        <v>3510</v>
      </c>
      <c r="AC5014" s="5">
        <v>43602</v>
      </c>
      <c r="AF5014" s="1">
        <v>10029</v>
      </c>
      <c r="AI5014" s="1" t="s">
        <v>265</v>
      </c>
      <c r="AJ5014" s="1">
        <v>2013</v>
      </c>
      <c r="AK5014" s="1" t="s">
        <v>447</v>
      </c>
      <c r="AL5014" s="1">
        <v>20</v>
      </c>
    </row>
    <row r="5015" spans="1:38" x14ac:dyDescent="0.2">
      <c r="A5015" s="2" t="str">
        <f>HYPERLINK("https://www.compass.com/listing/51-east-131st-street-unit-1a-manhattan-ny-10037/29428812211102321/","51 E 131st St, Unit 1A")</f>
        <v>51 E 131st St, Unit 1A</v>
      </c>
      <c r="B5015" s="2" t="str">
        <f>HYPERLINK("https://www.compass.com/building/the-style-manhattan-ny/282066541707564085/","The Style")</f>
        <v>The Style</v>
      </c>
      <c r="C5015" s="1" t="s">
        <v>424</v>
      </c>
      <c r="D5015" s="1" t="s">
        <v>41</v>
      </c>
      <c r="E5015" s="3">
        <v>370110</v>
      </c>
      <c r="F5015" s="1">
        <v>920.67164179104395</v>
      </c>
      <c r="G5015" s="1">
        <v>2</v>
      </c>
      <c r="H5015" s="1" t="s">
        <v>99</v>
      </c>
      <c r="I5015" s="1">
        <v>1</v>
      </c>
      <c r="J5015" s="1">
        <v>1</v>
      </c>
      <c r="M5015" s="1">
        <v>402</v>
      </c>
      <c r="N5015" s="1">
        <v>327</v>
      </c>
      <c r="O5015" s="1">
        <v>694</v>
      </c>
      <c r="P5015" s="1">
        <v>367</v>
      </c>
      <c r="Q5015" s="1" t="s">
        <v>42</v>
      </c>
      <c r="S5015" s="1" t="s">
        <v>42</v>
      </c>
      <c r="T5015" s="1" t="s">
        <v>273</v>
      </c>
      <c r="U5015" s="1">
        <v>175</v>
      </c>
      <c r="V5015" s="5">
        <v>43669</v>
      </c>
      <c r="W5015" s="5">
        <v>42796</v>
      </c>
      <c r="X5015" s="1">
        <v>365000</v>
      </c>
      <c r="Y5015" s="1">
        <v>365000</v>
      </c>
      <c r="Z5015" s="5">
        <v>42971</v>
      </c>
      <c r="AA5015" s="1">
        <v>370110</v>
      </c>
      <c r="AB5015" s="1" t="s">
        <v>3511</v>
      </c>
      <c r="AC5015" s="5">
        <v>42998</v>
      </c>
      <c r="AF5015" s="1">
        <v>10037</v>
      </c>
      <c r="AI5015" s="1" t="s">
        <v>1015</v>
      </c>
      <c r="AJ5015" s="1">
        <v>2016</v>
      </c>
      <c r="AK5015" s="1" t="s">
        <v>3486</v>
      </c>
      <c r="AL5015" s="1">
        <v>12</v>
      </c>
    </row>
    <row r="5016" spans="1:38" x14ac:dyDescent="0.2">
      <c r="A5016" s="2" t="str">
        <f>HYPERLINK("https://www.compass.com/listing/77-east-110th-street-unit-8b-manhattan-ny-10029/803350641946469953/","77 E 110th St, Unit 8B")</f>
        <v>77 E 110th St, Unit 8B</v>
      </c>
      <c r="B5016" s="2" t="str">
        <f>HYPERLINK("https://www.compass.com/building/77-condominiums-manhattan-ny/281992190891244549/","77 Condominiums")</f>
        <v>77 Condominiums</v>
      </c>
      <c r="C5016" s="1" t="s">
        <v>85</v>
      </c>
      <c r="D5016" s="1" t="s">
        <v>41</v>
      </c>
      <c r="E5016" s="3">
        <v>1285000</v>
      </c>
      <c r="F5016" s="1">
        <v>1094.54855195911</v>
      </c>
      <c r="H5016" s="1">
        <v>2</v>
      </c>
      <c r="J5016" s="1">
        <v>2</v>
      </c>
      <c r="K5016" s="1">
        <v>2</v>
      </c>
      <c r="M5016" s="4">
        <v>1174</v>
      </c>
      <c r="N5016" s="1">
        <v>425.33</v>
      </c>
      <c r="O5016" s="1">
        <v>524.28</v>
      </c>
      <c r="P5016" s="1">
        <v>98.9166666666666</v>
      </c>
      <c r="Q5016" s="1" t="s">
        <v>42</v>
      </c>
      <c r="S5016" s="1" t="s">
        <v>42</v>
      </c>
      <c r="T5016" s="1" t="s">
        <v>273</v>
      </c>
      <c r="AA5016" s="1">
        <v>1285000</v>
      </c>
      <c r="AB5016" s="1" t="s">
        <v>3512</v>
      </c>
      <c r="AC5016" s="5">
        <v>42460</v>
      </c>
      <c r="AF5016" s="1">
        <v>10029</v>
      </c>
      <c r="AI5016" s="1" t="s">
        <v>48</v>
      </c>
      <c r="AJ5016" s="1">
        <v>2013</v>
      </c>
      <c r="AL5016" s="1">
        <v>20</v>
      </c>
    </row>
    <row r="5017" spans="1:38" x14ac:dyDescent="0.2">
      <c r="A5017" s="2" t="str">
        <f>HYPERLINK("https://www.compass.com/listing/15-hudson-yards-unit-25j-manhattan-ny-10001/197808175796193617/","15 Hudson Yards, Unit 25J")</f>
        <v>15 Hudson Yards, Unit 25J</v>
      </c>
      <c r="B5017" s="2" t="str">
        <f t="shared" ref="B5017:B5020" si="856">HYPERLINK("https://www.compass.com/building/fifteen-hudson-yards-manhattan-ny/282058587512011909/","Fifteen Hudson Yards")</f>
        <v>Fifteen Hudson Yards</v>
      </c>
      <c r="C5017" s="1" t="s">
        <v>77</v>
      </c>
      <c r="D5017" s="1" t="s">
        <v>41</v>
      </c>
      <c r="E5017" s="3">
        <v>2717386</v>
      </c>
      <c r="F5017" s="1">
        <v>2330.5197255574599</v>
      </c>
      <c r="G5017" s="1">
        <v>3</v>
      </c>
      <c r="H5017" s="1">
        <v>1</v>
      </c>
      <c r="I5017" s="1">
        <v>2</v>
      </c>
      <c r="J5017" s="1">
        <v>1.5</v>
      </c>
      <c r="K5017" s="1">
        <v>1</v>
      </c>
      <c r="L5017" s="1">
        <v>1</v>
      </c>
      <c r="M5017" s="4">
        <v>1166</v>
      </c>
      <c r="N5017" s="1">
        <v>2495</v>
      </c>
      <c r="O5017" s="1">
        <v>2530</v>
      </c>
      <c r="P5017" s="1">
        <v>35</v>
      </c>
      <c r="Q5017" s="1" t="s">
        <v>42</v>
      </c>
      <c r="S5017" s="1" t="s">
        <v>42</v>
      </c>
      <c r="T5017" s="1" t="s">
        <v>273</v>
      </c>
      <c r="U5017" s="1">
        <v>862</v>
      </c>
      <c r="V5017" s="5">
        <v>43573</v>
      </c>
      <c r="W5017" s="5">
        <v>42662</v>
      </c>
      <c r="X5017" s="1">
        <v>2665000</v>
      </c>
      <c r="Y5017" s="1">
        <v>2717386</v>
      </c>
      <c r="AA5017" s="1">
        <v>2717386</v>
      </c>
      <c r="AB5017" s="1" t="s">
        <v>275</v>
      </c>
      <c r="AC5017" s="5">
        <v>43524</v>
      </c>
      <c r="AF5017" s="1">
        <v>10001</v>
      </c>
      <c r="AJ5017" s="1">
        <v>2018</v>
      </c>
      <c r="AK5017" s="1" t="s">
        <v>49</v>
      </c>
      <c r="AL5017" s="1">
        <v>285</v>
      </c>
    </row>
    <row r="5018" spans="1:38" x14ac:dyDescent="0.2">
      <c r="A5018" s="2" t="str">
        <f>HYPERLINK("https://www.compass.com/listing/15-hudson-yards-unit-27j-manhattan-ny-10001/212865403842584945/","15 Hudson Yards, Unit 27J")</f>
        <v>15 Hudson Yards, Unit 27J</v>
      </c>
      <c r="B5018" s="2" t="str">
        <f t="shared" si="856"/>
        <v>Fifteen Hudson Yards</v>
      </c>
      <c r="C5018" s="1" t="s">
        <v>77</v>
      </c>
      <c r="D5018" s="1" t="s">
        <v>41</v>
      </c>
      <c r="E5018" s="3">
        <v>2747933</v>
      </c>
      <c r="F5018" s="1">
        <v>2366.8673557278198</v>
      </c>
      <c r="G5018" s="1">
        <v>3</v>
      </c>
      <c r="H5018" s="1">
        <v>1</v>
      </c>
      <c r="I5018" s="1">
        <v>2</v>
      </c>
      <c r="J5018" s="1">
        <v>1.5</v>
      </c>
      <c r="K5018" s="1">
        <v>1</v>
      </c>
      <c r="L5018" s="1">
        <v>1</v>
      </c>
      <c r="M5018" s="4">
        <v>1161</v>
      </c>
      <c r="N5018" s="1">
        <v>2496</v>
      </c>
      <c r="O5018" s="1">
        <v>2531</v>
      </c>
      <c r="P5018" s="1">
        <v>35</v>
      </c>
      <c r="Q5018" s="1" t="s">
        <v>42</v>
      </c>
      <c r="S5018" s="1" t="s">
        <v>42</v>
      </c>
      <c r="T5018" s="1" t="s">
        <v>273</v>
      </c>
      <c r="U5018" s="1">
        <v>902</v>
      </c>
      <c r="V5018" s="5">
        <v>43606</v>
      </c>
      <c r="W5018" s="5">
        <v>42642</v>
      </c>
      <c r="X5018" s="1">
        <v>2695000</v>
      </c>
      <c r="Y5018" s="1">
        <v>2695000</v>
      </c>
      <c r="AA5018" s="1">
        <v>2747933</v>
      </c>
      <c r="AB5018" s="1" t="s">
        <v>275</v>
      </c>
      <c r="AC5018" s="5">
        <v>43544</v>
      </c>
      <c r="AF5018" s="1">
        <v>10001</v>
      </c>
      <c r="AJ5018" s="1">
        <v>2018</v>
      </c>
      <c r="AK5018" s="1" t="s">
        <v>49</v>
      </c>
      <c r="AL5018" s="1">
        <v>285</v>
      </c>
    </row>
    <row r="5019" spans="1:38" x14ac:dyDescent="0.2">
      <c r="A5019" s="2" t="str">
        <f>HYPERLINK("https://www.compass.com/listing/15-hudson-yards-unit-33e-manhattan-ny-10001/218785045119244785/","15 Hudson Yards, Unit 33E")</f>
        <v>15 Hudson Yards, Unit 33E</v>
      </c>
      <c r="B5019" s="2" t="str">
        <f t="shared" si="856"/>
        <v>Fifteen Hudson Yards</v>
      </c>
      <c r="C5019" s="1" t="s">
        <v>77</v>
      </c>
      <c r="D5019" s="1" t="s">
        <v>41</v>
      </c>
      <c r="E5019" s="3">
        <v>2561882</v>
      </c>
      <c r="F5019" s="1">
        <v>2598.2576064908699</v>
      </c>
      <c r="G5019" s="1">
        <v>3</v>
      </c>
      <c r="H5019" s="1">
        <v>1</v>
      </c>
      <c r="I5019" s="1">
        <v>2</v>
      </c>
      <c r="J5019" s="1">
        <v>1.5</v>
      </c>
      <c r="K5019" s="1">
        <v>1</v>
      </c>
      <c r="L5019" s="1">
        <v>1</v>
      </c>
      <c r="M5019" s="1">
        <v>986</v>
      </c>
      <c r="N5019" s="1">
        <v>2163</v>
      </c>
      <c r="O5019" s="1">
        <v>2193</v>
      </c>
      <c r="P5019" s="1">
        <v>30</v>
      </c>
      <c r="Q5019" s="1" t="s">
        <v>42</v>
      </c>
      <c r="S5019" s="1" t="s">
        <v>42</v>
      </c>
      <c r="T5019" s="1" t="s">
        <v>273</v>
      </c>
      <c r="U5019" s="1">
        <v>681</v>
      </c>
      <c r="V5019" s="5">
        <v>43643</v>
      </c>
      <c r="W5019" s="5">
        <v>42871</v>
      </c>
      <c r="X5019" s="1">
        <v>2535000</v>
      </c>
      <c r="Y5019" s="1">
        <v>2535000</v>
      </c>
      <c r="AA5019" s="1">
        <v>2561882</v>
      </c>
      <c r="AB5019" s="1" t="s">
        <v>275</v>
      </c>
      <c r="AC5019" s="5">
        <v>43552</v>
      </c>
      <c r="AF5019" s="1">
        <v>10001</v>
      </c>
      <c r="AJ5019" s="1">
        <v>2018</v>
      </c>
      <c r="AK5019" s="1" t="s">
        <v>49</v>
      </c>
      <c r="AL5019" s="1">
        <v>285</v>
      </c>
    </row>
    <row r="5020" spans="1:38" x14ac:dyDescent="0.2">
      <c r="A5020" s="2" t="str">
        <f>HYPERLINK("https://www.compass.com/listing/15-hudson-yards-unit-31j-manhattan-ny-10001/368002163831182849/","15 Hudson Yards, Unit 31J")</f>
        <v>15 Hudson Yards, Unit 31J</v>
      </c>
      <c r="B5020" s="2" t="str">
        <f t="shared" si="856"/>
        <v>Fifteen Hudson Yards</v>
      </c>
      <c r="C5020" s="1" t="s">
        <v>77</v>
      </c>
      <c r="D5020" s="1" t="s">
        <v>41</v>
      </c>
      <c r="E5020" s="3">
        <v>2755000</v>
      </c>
      <c r="F5020" s="1">
        <v>2381.1581676750202</v>
      </c>
      <c r="G5020" s="1">
        <v>3</v>
      </c>
      <c r="H5020" s="1">
        <v>1</v>
      </c>
      <c r="I5020" s="1">
        <v>2</v>
      </c>
      <c r="J5020" s="1">
        <v>1.5</v>
      </c>
      <c r="K5020" s="1">
        <v>1</v>
      </c>
      <c r="L5020" s="1">
        <v>1</v>
      </c>
      <c r="M5020" s="4">
        <v>1157</v>
      </c>
      <c r="N5020" s="1">
        <v>2506</v>
      </c>
      <c r="O5020" s="1">
        <v>2541</v>
      </c>
      <c r="P5020" s="1">
        <v>35</v>
      </c>
      <c r="Q5020" s="1" t="s">
        <v>42</v>
      </c>
      <c r="S5020" s="1" t="s">
        <v>42</v>
      </c>
      <c r="T5020" s="1" t="s">
        <v>273</v>
      </c>
      <c r="U5020" s="1">
        <v>1117</v>
      </c>
      <c r="V5020" s="5">
        <v>43760</v>
      </c>
      <c r="W5020" s="5">
        <v>42642</v>
      </c>
      <c r="X5020" s="1">
        <v>2755000</v>
      </c>
      <c r="Y5020" s="1">
        <v>2755000</v>
      </c>
      <c r="AA5020" s="1">
        <v>2755000</v>
      </c>
      <c r="AB5020" s="1" t="s">
        <v>275</v>
      </c>
      <c r="AC5020" s="5">
        <v>43759</v>
      </c>
      <c r="AF5020" s="1">
        <v>10001</v>
      </c>
      <c r="AJ5020" s="1">
        <v>2018</v>
      </c>
      <c r="AK5020" s="1" t="s">
        <v>49</v>
      </c>
      <c r="AL5020" s="1">
        <v>285</v>
      </c>
    </row>
    <row r="5021" spans="1:38" x14ac:dyDescent="0.2">
      <c r="A5021" s="2" t="str">
        <f>HYPERLINK("https://www.compass.com/listing/138-east-50th-street-unit-27c-manhattan-ny-10022/774044824939080193/","138 E 50th St, Unit 27C")</f>
        <v>138 E 50th St, Unit 27C</v>
      </c>
      <c r="B5021" s="2" t="str">
        <f>HYPERLINK("https://www.compass.com/building/the-centrale-manhattan-ny/281941497232811621/","The Centrale")</f>
        <v>The Centrale</v>
      </c>
      <c r="C5021" s="1" t="s">
        <v>116</v>
      </c>
      <c r="D5021" s="1" t="s">
        <v>41</v>
      </c>
      <c r="E5021" s="3">
        <v>2402727</v>
      </c>
      <c r="F5021" s="1">
        <v>1799.79522846441</v>
      </c>
      <c r="G5021" s="1">
        <v>4</v>
      </c>
      <c r="H5021" s="1">
        <v>2</v>
      </c>
      <c r="I5021" s="1">
        <v>2</v>
      </c>
      <c r="J5021" s="1">
        <v>2</v>
      </c>
      <c r="K5021" s="1">
        <v>2</v>
      </c>
      <c r="M5021" s="4">
        <v>1335</v>
      </c>
      <c r="N5021" s="1">
        <v>1407</v>
      </c>
      <c r="O5021" s="1">
        <v>3502</v>
      </c>
      <c r="P5021" s="1">
        <v>2095</v>
      </c>
      <c r="Q5021" s="1" t="s">
        <v>42</v>
      </c>
      <c r="S5021" s="1" t="s">
        <v>42</v>
      </c>
      <c r="T5021" s="1" t="s">
        <v>273</v>
      </c>
      <c r="U5021" s="1">
        <v>23</v>
      </c>
      <c r="V5021" s="5">
        <v>44384</v>
      </c>
      <c r="W5021" s="5">
        <v>44319</v>
      </c>
      <c r="X5021" s="1">
        <v>1</v>
      </c>
      <c r="Y5021" s="1">
        <v>1</v>
      </c>
      <c r="Z5021" s="5">
        <v>44343</v>
      </c>
      <c r="AA5021" s="1">
        <v>2402726.63</v>
      </c>
      <c r="AB5021" s="1" t="s">
        <v>3513</v>
      </c>
      <c r="AC5021" s="5">
        <v>44364</v>
      </c>
      <c r="AF5021" s="1">
        <v>10022</v>
      </c>
      <c r="AI5021" s="1" t="s">
        <v>48</v>
      </c>
      <c r="AJ5021" s="1">
        <v>2019</v>
      </c>
      <c r="AK5021" s="1" t="s">
        <v>55</v>
      </c>
      <c r="AL5021" s="1">
        <v>124</v>
      </c>
    </row>
    <row r="5022" spans="1:38" x14ac:dyDescent="0.2">
      <c r="A5022" s="2" t="str">
        <f>HYPERLINK("https://www.compass.com/listing/51-east-131st-street-unit-6b-manhattan-ny-10037/29428815667154945/","51 E 131st St, Unit 6B")</f>
        <v>51 E 131st St, Unit 6B</v>
      </c>
      <c r="B5022" s="2" t="str">
        <f>HYPERLINK("https://www.compass.com/building/the-style-manhattan-ny/282066541707564085/","The Style")</f>
        <v>The Style</v>
      </c>
      <c r="C5022" s="1" t="s">
        <v>424</v>
      </c>
      <c r="D5022" s="1" t="s">
        <v>41</v>
      </c>
      <c r="E5022" s="3">
        <v>655209</v>
      </c>
      <c r="F5022" s="1">
        <v>1009.56702619414</v>
      </c>
      <c r="G5022" s="1">
        <v>3</v>
      </c>
      <c r="H5022" s="1">
        <v>1</v>
      </c>
      <c r="I5022" s="1">
        <v>1</v>
      </c>
      <c r="J5022" s="1">
        <v>1</v>
      </c>
      <c r="M5022" s="1">
        <v>649</v>
      </c>
      <c r="N5022" s="1">
        <v>537</v>
      </c>
      <c r="O5022" s="1">
        <v>1140</v>
      </c>
      <c r="P5022" s="1">
        <v>603</v>
      </c>
      <c r="Q5022" s="1" t="s">
        <v>42</v>
      </c>
      <c r="S5022" s="1" t="s">
        <v>42</v>
      </c>
      <c r="T5022" s="1" t="s">
        <v>273</v>
      </c>
      <c r="V5022" s="5">
        <v>43666</v>
      </c>
      <c r="W5022" s="5">
        <v>42683</v>
      </c>
      <c r="X5022" s="1">
        <v>648000</v>
      </c>
      <c r="Y5022" s="1">
        <v>648000</v>
      </c>
      <c r="Z5022" s="5">
        <v>42683</v>
      </c>
      <c r="AA5022" s="1">
        <v>655209</v>
      </c>
      <c r="AB5022" s="1" t="s">
        <v>3514</v>
      </c>
      <c r="AC5022" s="5">
        <v>42936</v>
      </c>
      <c r="AF5022" s="1">
        <v>10037</v>
      </c>
      <c r="AI5022" s="1" t="s">
        <v>3485</v>
      </c>
      <c r="AJ5022" s="1">
        <v>2016</v>
      </c>
      <c r="AK5022" s="1" t="s">
        <v>3486</v>
      </c>
      <c r="AL5022" s="1">
        <v>12</v>
      </c>
    </row>
    <row r="5023" spans="1:38" x14ac:dyDescent="0.2">
      <c r="A5023" s="2" t="str">
        <f>HYPERLINK("https://www.compass.com/listing/15-hudson-yards-unit-39e-manhattan-ny-10001/360752282362276721/","15 Hudson Yards, Unit 39E")</f>
        <v>15 Hudson Yards, Unit 39E</v>
      </c>
      <c r="B5023" s="2" t="str">
        <f>HYPERLINK("https://www.compass.com/building/fifteen-hudson-yards-manhattan-ny/282058587512011909/","Fifteen Hudson Yards")</f>
        <v>Fifteen Hudson Yards</v>
      </c>
      <c r="C5023" s="1" t="s">
        <v>77</v>
      </c>
      <c r="D5023" s="1" t="s">
        <v>41</v>
      </c>
      <c r="E5023" s="3">
        <v>2625000</v>
      </c>
      <c r="F5023" s="1">
        <v>2684.0490797545999</v>
      </c>
      <c r="G5023" s="1">
        <v>3.5</v>
      </c>
      <c r="H5023" s="1">
        <v>1</v>
      </c>
      <c r="I5023" s="1">
        <v>2</v>
      </c>
      <c r="J5023" s="1">
        <v>1.5</v>
      </c>
      <c r="K5023" s="1">
        <v>1</v>
      </c>
      <c r="L5023" s="1">
        <v>1</v>
      </c>
      <c r="M5023" s="1">
        <v>978</v>
      </c>
      <c r="N5023" s="1">
        <v>2183</v>
      </c>
      <c r="O5023" s="1">
        <v>2213</v>
      </c>
      <c r="P5023" s="1">
        <v>30</v>
      </c>
      <c r="Q5023" s="1" t="s">
        <v>42</v>
      </c>
      <c r="S5023" s="1" t="s">
        <v>42</v>
      </c>
      <c r="T5023" s="1" t="s">
        <v>273</v>
      </c>
      <c r="U5023" s="1">
        <v>108</v>
      </c>
      <c r="V5023" s="5">
        <v>43864</v>
      </c>
      <c r="W5023" s="5">
        <v>43750</v>
      </c>
      <c r="X5023" s="1">
        <v>2625000</v>
      </c>
      <c r="Y5023" s="1">
        <v>2625000</v>
      </c>
      <c r="AA5023" s="1">
        <v>2625000</v>
      </c>
      <c r="AB5023" s="1" t="s">
        <v>275</v>
      </c>
      <c r="AC5023" s="5">
        <v>43858</v>
      </c>
      <c r="AF5023" s="1">
        <v>10001</v>
      </c>
      <c r="AJ5023" s="1">
        <v>2018</v>
      </c>
      <c r="AK5023" s="1" t="s">
        <v>46</v>
      </c>
      <c r="AL5023" s="1">
        <v>285</v>
      </c>
    </row>
    <row r="5024" spans="1:38" x14ac:dyDescent="0.2">
      <c r="A5024" s="2" t="str">
        <f>HYPERLINK("https://www.compass.com/listing/51-east-131st-street-unit-phe-manhattan-ny-10037/4852275952593409585/","51 E 131st St, Unit PHE")</f>
        <v>51 E 131st St, Unit PHE</v>
      </c>
      <c r="B5024" s="2" t="str">
        <f>HYPERLINK("https://www.compass.com/building/the-style-manhattan-ny/282066541707564085/","The Style")</f>
        <v>The Style</v>
      </c>
      <c r="C5024" s="1" t="s">
        <v>424</v>
      </c>
      <c r="D5024" s="1" t="s">
        <v>41</v>
      </c>
      <c r="E5024" s="3">
        <v>699880</v>
      </c>
      <c r="F5024" s="1">
        <v>1063.6474164133699</v>
      </c>
      <c r="G5024" s="1">
        <v>3</v>
      </c>
      <c r="H5024" s="1">
        <v>1</v>
      </c>
      <c r="I5024" s="1">
        <v>1</v>
      </c>
      <c r="J5024" s="1">
        <v>1</v>
      </c>
      <c r="M5024" s="1">
        <v>658</v>
      </c>
      <c r="N5024" s="1">
        <v>576</v>
      </c>
      <c r="O5024" s="1">
        <v>1222</v>
      </c>
      <c r="P5024" s="1">
        <v>646</v>
      </c>
      <c r="Q5024" s="1" t="s">
        <v>42</v>
      </c>
      <c r="S5024" s="1" t="s">
        <v>42</v>
      </c>
      <c r="T5024" s="1" t="s">
        <v>273</v>
      </c>
      <c r="V5024" s="5">
        <v>43666</v>
      </c>
      <c r="W5024" s="5">
        <v>42683</v>
      </c>
      <c r="X5024" s="1">
        <v>699880</v>
      </c>
      <c r="Y5024" s="1">
        <v>699880</v>
      </c>
      <c r="Z5024" s="5">
        <v>42683</v>
      </c>
      <c r="AA5024" s="1">
        <v>699880</v>
      </c>
      <c r="AB5024" s="1" t="s">
        <v>275</v>
      </c>
      <c r="AC5024" s="5">
        <v>42929</v>
      </c>
      <c r="AF5024" s="1">
        <v>10037</v>
      </c>
      <c r="AI5024" s="1" t="s">
        <v>3515</v>
      </c>
      <c r="AJ5024" s="1">
        <v>2016</v>
      </c>
      <c r="AK5024" s="1" t="s">
        <v>257</v>
      </c>
      <c r="AL5024" s="1">
        <v>12</v>
      </c>
    </row>
    <row r="5025" spans="1:38" x14ac:dyDescent="0.2">
      <c r="A5025" s="2" t="str">
        <f>HYPERLINK("https://www.compass.com/listing/35-hudson-yards-unit-5404-manhattan-ny-10001/841536398737290553/","35 Hudson Yards, Unit 5404")</f>
        <v>35 Hudson Yards, Unit 5404</v>
      </c>
      <c r="B5025" s="2" t="str">
        <f>HYPERLINK("https://www.compass.com/building/35-hudson-yards-manhattan-ny/292773408544917349/","35 Hudson Yards")</f>
        <v>35 Hudson Yards</v>
      </c>
      <c r="C5025" s="1" t="s">
        <v>77</v>
      </c>
      <c r="D5025" s="1" t="s">
        <v>41</v>
      </c>
      <c r="E5025" s="3">
        <v>7003750</v>
      </c>
      <c r="F5025" s="1">
        <v>2640.9313725490101</v>
      </c>
      <c r="H5025" s="1">
        <v>3</v>
      </c>
      <c r="J5025" s="1">
        <v>3.5</v>
      </c>
      <c r="K5025" s="1">
        <v>3</v>
      </c>
      <c r="L5025" s="1">
        <v>1</v>
      </c>
      <c r="M5025" s="4">
        <v>2652</v>
      </c>
      <c r="N5025" s="1">
        <v>6955</v>
      </c>
      <c r="O5025" s="1">
        <v>7500</v>
      </c>
      <c r="P5025" s="1">
        <v>545</v>
      </c>
      <c r="Q5025" s="1" t="s">
        <v>42</v>
      </c>
      <c r="S5025" s="1" t="s">
        <v>42</v>
      </c>
      <c r="T5025" s="1" t="s">
        <v>273</v>
      </c>
      <c r="AA5025" s="1">
        <v>7003750</v>
      </c>
      <c r="AB5025" s="1" t="s">
        <v>3516</v>
      </c>
      <c r="AC5025" s="5">
        <v>44210</v>
      </c>
      <c r="AF5025" s="1">
        <v>10001</v>
      </c>
      <c r="AI5025" s="1" t="s">
        <v>48</v>
      </c>
      <c r="AJ5025" s="1">
        <v>2019</v>
      </c>
      <c r="AK5025" s="1" t="s">
        <v>55</v>
      </c>
      <c r="AL5025" s="1">
        <v>143</v>
      </c>
    </row>
    <row r="5026" spans="1:38" x14ac:dyDescent="0.2">
      <c r="A5026" s="2" t="str">
        <f>HYPERLINK("https://www.compass.com/listing/51-east-131st-street-unit-5b-manhattan-ny-10037/29428814744461969/","51 E 131st St, Unit 5B")</f>
        <v>51 E 131st St, Unit 5B</v>
      </c>
      <c r="B5026" s="2" t="str">
        <f>HYPERLINK("https://www.compass.com/building/the-style-manhattan-ny/282066541707564085/","The Style")</f>
        <v>The Style</v>
      </c>
      <c r="C5026" s="1" t="s">
        <v>424</v>
      </c>
      <c r="D5026" s="1" t="s">
        <v>41</v>
      </c>
      <c r="E5026" s="3">
        <v>650662</v>
      </c>
      <c r="F5026" s="1">
        <v>1002.56086286594</v>
      </c>
      <c r="G5026" s="1">
        <v>3</v>
      </c>
      <c r="H5026" s="1">
        <v>1</v>
      </c>
      <c r="J5026" s="1">
        <v>1</v>
      </c>
      <c r="M5026" s="1">
        <v>649</v>
      </c>
      <c r="N5026" s="1">
        <v>597</v>
      </c>
      <c r="O5026" s="1">
        <v>1199</v>
      </c>
      <c r="P5026" s="1">
        <v>602</v>
      </c>
      <c r="Q5026" s="1" t="s">
        <v>42</v>
      </c>
      <c r="S5026" s="1" t="s">
        <v>42</v>
      </c>
      <c r="T5026" s="1" t="s">
        <v>273</v>
      </c>
      <c r="V5026" s="5">
        <v>44247</v>
      </c>
      <c r="W5026" s="5">
        <v>42762</v>
      </c>
      <c r="X5026" s="1">
        <v>639000</v>
      </c>
      <c r="Y5026" s="1">
        <v>639000</v>
      </c>
      <c r="Z5026" s="5">
        <v>42762</v>
      </c>
      <c r="AA5026" s="1">
        <v>650662</v>
      </c>
      <c r="AB5026" s="1" t="s">
        <v>3517</v>
      </c>
      <c r="AC5026" s="5">
        <v>42913</v>
      </c>
      <c r="AF5026" s="1">
        <v>10037</v>
      </c>
      <c r="AI5026" s="1" t="s">
        <v>3485</v>
      </c>
      <c r="AJ5026" s="1">
        <v>2016</v>
      </c>
      <c r="AK5026" s="1" t="s">
        <v>3486</v>
      </c>
      <c r="AL5026" s="1">
        <v>12</v>
      </c>
    </row>
    <row r="5027" spans="1:38" x14ac:dyDescent="0.2">
      <c r="A5027" s="2" t="str">
        <f>HYPERLINK("https://www.compass.com/listing/138-east-50th-street-unit-22c-manhattan-ny-10022/774044807570886033/","138 E 50th St, Unit 22C")</f>
        <v>138 E 50th St, Unit 22C</v>
      </c>
      <c r="B5027" s="2" t="str">
        <f>HYPERLINK("https://www.compass.com/building/the-centrale-manhattan-ny/281941497232811621/","The Centrale")</f>
        <v>The Centrale</v>
      </c>
      <c r="C5027" s="1" t="s">
        <v>116</v>
      </c>
      <c r="D5027" s="1" t="s">
        <v>41</v>
      </c>
      <c r="E5027" s="3">
        <v>2189238</v>
      </c>
      <c r="F5027" s="1">
        <v>1930.54453262786</v>
      </c>
      <c r="G5027" s="1">
        <v>4</v>
      </c>
      <c r="H5027" s="1">
        <v>2</v>
      </c>
      <c r="I5027" s="1">
        <v>2</v>
      </c>
      <c r="J5027" s="1">
        <v>2</v>
      </c>
      <c r="K5027" s="1">
        <v>2</v>
      </c>
      <c r="M5027" s="4">
        <v>1134</v>
      </c>
      <c r="N5027" s="1">
        <v>1372</v>
      </c>
      <c r="O5027" s="1">
        <v>3416</v>
      </c>
      <c r="P5027" s="1">
        <v>2044</v>
      </c>
      <c r="Q5027" s="1" t="s">
        <v>42</v>
      </c>
      <c r="S5027" s="1" t="s">
        <v>42</v>
      </c>
      <c r="T5027" s="1" t="s">
        <v>273</v>
      </c>
      <c r="U5027" s="1">
        <v>30</v>
      </c>
      <c r="V5027" s="5">
        <v>44425</v>
      </c>
      <c r="W5027" s="5">
        <v>44319</v>
      </c>
      <c r="X5027" s="1">
        <v>1</v>
      </c>
      <c r="Y5027" s="1">
        <v>1</v>
      </c>
      <c r="Z5027" s="5">
        <v>44350</v>
      </c>
      <c r="AA5027" s="1">
        <v>2189237.5</v>
      </c>
      <c r="AB5027" s="1" t="s">
        <v>3518</v>
      </c>
      <c r="AC5027" s="5">
        <v>44399</v>
      </c>
      <c r="AF5027" s="1">
        <v>10022</v>
      </c>
      <c r="AI5027" s="1" t="s">
        <v>48</v>
      </c>
      <c r="AJ5027" s="1">
        <v>2019</v>
      </c>
      <c r="AK5027" s="1" t="s">
        <v>55</v>
      </c>
      <c r="AL5027" s="1">
        <v>124</v>
      </c>
    </row>
    <row r="5028" spans="1:38" x14ac:dyDescent="0.2">
      <c r="A5028" s="2" t="str">
        <f>HYPERLINK("https://www.compass.com/listing/35-hudson-yards-unit-6902-manhattan-ny-10001/657718540603651041/","35 Hudson Yards, Unit 6902")</f>
        <v>35 Hudson Yards, Unit 6902</v>
      </c>
      <c r="B5028" s="2" t="str">
        <f t="shared" ref="B5028:B5030" si="857">HYPERLINK("https://www.compass.com/building/35-hudson-yards-manhattan-ny/292773408544917349/","35 Hudson Yards")</f>
        <v>35 Hudson Yards</v>
      </c>
      <c r="C5028" s="1" t="s">
        <v>77</v>
      </c>
      <c r="D5028" s="1" t="s">
        <v>41</v>
      </c>
      <c r="E5028" s="3">
        <v>4733750</v>
      </c>
      <c r="F5028" s="1">
        <v>2341.1226508407499</v>
      </c>
      <c r="H5028" s="1">
        <v>2</v>
      </c>
      <c r="J5028" s="1">
        <v>2.5</v>
      </c>
      <c r="K5028" s="1">
        <v>2</v>
      </c>
      <c r="L5028" s="1">
        <v>1</v>
      </c>
      <c r="M5028" s="4">
        <v>2022</v>
      </c>
      <c r="N5028" s="1">
        <v>5849</v>
      </c>
      <c r="O5028" s="1">
        <v>6257</v>
      </c>
      <c r="P5028" s="1">
        <v>408</v>
      </c>
      <c r="Q5028" s="1" t="s">
        <v>42</v>
      </c>
      <c r="S5028" s="1" t="s">
        <v>42</v>
      </c>
      <c r="T5028" s="1" t="s">
        <v>273</v>
      </c>
      <c r="AA5028" s="1">
        <v>4733750</v>
      </c>
      <c r="AB5028" s="1" t="s">
        <v>3519</v>
      </c>
      <c r="AC5028" s="5">
        <v>44151</v>
      </c>
      <c r="AF5028" s="1">
        <v>10001</v>
      </c>
      <c r="AI5028" s="1" t="s">
        <v>48</v>
      </c>
      <c r="AJ5028" s="1">
        <v>2019</v>
      </c>
      <c r="AK5028" s="1" t="s">
        <v>55</v>
      </c>
      <c r="AL5028" s="1">
        <v>143</v>
      </c>
    </row>
    <row r="5029" spans="1:38" x14ac:dyDescent="0.2">
      <c r="A5029" s="2" t="str">
        <f>HYPERLINK("https://www.compass.com/listing/35-hudson-yards-unit-6203-manhattan-ny-10001/728760158055908649/","35 Hudson Yards, Unit 6203")</f>
        <v>35 Hudson Yards, Unit 6203</v>
      </c>
      <c r="B5029" s="2" t="str">
        <f t="shared" si="857"/>
        <v>35 Hudson Yards</v>
      </c>
      <c r="C5029" s="1" t="s">
        <v>77</v>
      </c>
      <c r="D5029" s="1" t="s">
        <v>41</v>
      </c>
      <c r="E5029" s="3">
        <v>4053750</v>
      </c>
      <c r="F5029" s="1">
        <v>2142.5739957716701</v>
      </c>
      <c r="H5029" s="1">
        <v>2</v>
      </c>
      <c r="J5029" s="1">
        <v>2.5</v>
      </c>
      <c r="K5029" s="1">
        <v>2</v>
      </c>
      <c r="L5029" s="1">
        <v>1</v>
      </c>
      <c r="M5029" s="4">
        <v>1892</v>
      </c>
      <c r="N5029" s="1">
        <v>5400</v>
      </c>
      <c r="O5029" s="1">
        <v>5776</v>
      </c>
      <c r="P5029" s="1">
        <v>376</v>
      </c>
      <c r="Q5029" s="1" t="s">
        <v>42</v>
      </c>
      <c r="S5029" s="1" t="s">
        <v>42</v>
      </c>
      <c r="T5029" s="1" t="s">
        <v>273</v>
      </c>
      <c r="AA5029" s="1">
        <v>4053750</v>
      </c>
      <c r="AB5029" s="1" t="s">
        <v>3520</v>
      </c>
      <c r="AC5029" s="5">
        <v>44243</v>
      </c>
      <c r="AF5029" s="1">
        <v>10001</v>
      </c>
      <c r="AI5029" s="1" t="s">
        <v>48</v>
      </c>
      <c r="AJ5029" s="1">
        <v>2019</v>
      </c>
      <c r="AK5029" s="1" t="s">
        <v>55</v>
      </c>
      <c r="AL5029" s="1">
        <v>143</v>
      </c>
    </row>
    <row r="5030" spans="1:38" x14ac:dyDescent="0.2">
      <c r="A5030" s="2" t="str">
        <f>HYPERLINK("https://www.compass.com/listing/35-hudson-yards-unit-5605-manhattan-ny-10001/841517437806957785/","35 Hudson Yards, Unit 5605")</f>
        <v>35 Hudson Yards, Unit 5605</v>
      </c>
      <c r="B5030" s="2" t="str">
        <f t="shared" si="857"/>
        <v>35 Hudson Yards</v>
      </c>
      <c r="C5030" s="1" t="s">
        <v>77</v>
      </c>
      <c r="D5030" s="1" t="s">
        <v>41</v>
      </c>
      <c r="E5030" s="3">
        <v>5078750</v>
      </c>
      <c r="F5030" s="1">
        <v>3403.9879356568299</v>
      </c>
      <c r="H5030" s="1">
        <v>2</v>
      </c>
      <c r="J5030" s="1">
        <v>2.5</v>
      </c>
      <c r="K5030" s="1">
        <v>2</v>
      </c>
      <c r="L5030" s="1">
        <v>1</v>
      </c>
      <c r="M5030" s="4">
        <v>1492</v>
      </c>
      <c r="N5030" s="1">
        <v>3690</v>
      </c>
      <c r="O5030" s="1">
        <v>4001</v>
      </c>
      <c r="P5030" s="1">
        <v>311</v>
      </c>
      <c r="Q5030" s="1" t="s">
        <v>42</v>
      </c>
      <c r="S5030" s="1" t="s">
        <v>42</v>
      </c>
      <c r="T5030" s="1" t="s">
        <v>273</v>
      </c>
      <c r="AA5030" s="1">
        <v>5078750</v>
      </c>
      <c r="AB5030" s="1" t="s">
        <v>3521</v>
      </c>
      <c r="AC5030" s="5">
        <v>44112</v>
      </c>
      <c r="AF5030" s="1">
        <v>10001</v>
      </c>
      <c r="AI5030" s="1" t="s">
        <v>48</v>
      </c>
      <c r="AJ5030" s="1">
        <v>2019</v>
      </c>
      <c r="AK5030" s="1" t="s">
        <v>55</v>
      </c>
      <c r="AL5030" s="1">
        <v>143</v>
      </c>
    </row>
    <row r="5031" spans="1:38" x14ac:dyDescent="0.2">
      <c r="A5031" s="2" t="str">
        <f>HYPERLINK("https://www.compass.com/listing/138-east-50th-street-unit-20c-manhattan-ny-10022/679244514103432721/","138 E 50th St, Unit 20C")</f>
        <v>138 E 50th St, Unit 20C</v>
      </c>
      <c r="B5031" s="2" t="str">
        <f>HYPERLINK("https://www.compass.com/building/the-centrale-manhattan-ny/281941497232811621/","The Centrale")</f>
        <v>The Centrale</v>
      </c>
      <c r="C5031" s="1" t="s">
        <v>116</v>
      </c>
      <c r="D5031" s="1" t="s">
        <v>41</v>
      </c>
      <c r="E5031" s="3">
        <v>2189238</v>
      </c>
      <c r="F5031" s="1">
        <v>1630.10982874162</v>
      </c>
      <c r="G5031" s="1">
        <v>4</v>
      </c>
      <c r="H5031" s="1">
        <v>2</v>
      </c>
      <c r="I5031" s="1">
        <v>2</v>
      </c>
      <c r="J5031" s="1">
        <v>2</v>
      </c>
      <c r="K5031" s="1">
        <v>2</v>
      </c>
      <c r="M5031" s="4">
        <v>1343</v>
      </c>
      <c r="N5031" s="1">
        <v>1368</v>
      </c>
      <c r="O5031" s="1">
        <v>3407</v>
      </c>
      <c r="P5031" s="1">
        <v>2039</v>
      </c>
      <c r="Q5031" s="1" t="s">
        <v>42</v>
      </c>
      <c r="S5031" s="1" t="s">
        <v>42</v>
      </c>
      <c r="T5031" s="1" t="s">
        <v>273</v>
      </c>
      <c r="U5031" s="1">
        <v>5</v>
      </c>
      <c r="V5031" s="5">
        <v>44323</v>
      </c>
      <c r="W5031" s="5">
        <v>44183</v>
      </c>
      <c r="X5031" s="1">
        <v>2770000</v>
      </c>
      <c r="Y5031" s="1">
        <v>2770000</v>
      </c>
      <c r="Z5031" s="5">
        <v>44188</v>
      </c>
      <c r="AA5031" s="1">
        <v>2189237.5</v>
      </c>
      <c r="AB5031" s="1" t="s">
        <v>3522</v>
      </c>
      <c r="AC5031" s="5">
        <v>44301</v>
      </c>
      <c r="AF5031" s="1">
        <v>10022</v>
      </c>
      <c r="AI5031" s="1" t="s">
        <v>48</v>
      </c>
      <c r="AJ5031" s="1">
        <v>2019</v>
      </c>
      <c r="AK5031" s="1" t="s">
        <v>55</v>
      </c>
      <c r="AL5031" s="1">
        <v>124</v>
      </c>
    </row>
    <row r="5032" spans="1:38" x14ac:dyDescent="0.2">
      <c r="A5032" s="2" t="str">
        <f>HYPERLINK("https://www.compass.com/listing/15-hudson-yards-unit-75c-manhattan-ny-10001/328777461470562337/","15 Hudson Yards, Unit 75C")</f>
        <v>15 Hudson Yards, Unit 75C</v>
      </c>
      <c r="B5032" s="2" t="str">
        <f>HYPERLINK("https://www.compass.com/building/fifteen-hudson-yards-manhattan-ny/282058587512011909/","Fifteen Hudson Yards")</f>
        <v>Fifteen Hudson Yards</v>
      </c>
      <c r="C5032" s="1" t="s">
        <v>77</v>
      </c>
      <c r="D5032" s="1" t="s">
        <v>41</v>
      </c>
      <c r="E5032" s="3">
        <v>3341564</v>
      </c>
      <c r="F5032" s="1">
        <v>2926.06304728546</v>
      </c>
      <c r="G5032" s="1">
        <v>3</v>
      </c>
      <c r="H5032" s="1">
        <v>1</v>
      </c>
      <c r="I5032" s="1">
        <v>2</v>
      </c>
      <c r="J5032" s="1">
        <v>1.5</v>
      </c>
      <c r="K5032" s="1">
        <v>1</v>
      </c>
      <c r="L5032" s="1">
        <v>1</v>
      </c>
      <c r="M5032" s="4">
        <v>1142</v>
      </c>
      <c r="N5032" s="1">
        <v>2653</v>
      </c>
      <c r="O5032" s="1">
        <v>2690</v>
      </c>
      <c r="P5032" s="1">
        <v>37</v>
      </c>
      <c r="Q5032" s="1" t="s">
        <v>42</v>
      </c>
      <c r="S5032" s="1" t="s">
        <v>42</v>
      </c>
      <c r="T5032" s="1" t="s">
        <v>273</v>
      </c>
      <c r="U5032" s="1">
        <v>978</v>
      </c>
      <c r="V5032" s="5">
        <v>43717</v>
      </c>
      <c r="W5032" s="5">
        <v>42727</v>
      </c>
      <c r="X5032" s="1">
        <v>3277500</v>
      </c>
      <c r="Y5032" s="1">
        <v>3277500</v>
      </c>
      <c r="AA5032" s="1">
        <v>3341564</v>
      </c>
      <c r="AB5032" s="1" t="s">
        <v>275</v>
      </c>
      <c r="AC5032" s="5">
        <v>43705</v>
      </c>
      <c r="AF5032" s="1">
        <v>10001</v>
      </c>
      <c r="AJ5032" s="1">
        <v>2018</v>
      </c>
      <c r="AK5032" s="1" t="s">
        <v>49</v>
      </c>
      <c r="AL5032" s="1">
        <v>285</v>
      </c>
    </row>
    <row r="5033" spans="1:38" x14ac:dyDescent="0.2">
      <c r="A5033" s="2" t="str">
        <f>HYPERLINK("https://www.compass.com/listing/138-east-50th-street-unit-14d-manhattan-ny-10022/466768084414873465/","138 E 50th St, Unit 14D")</f>
        <v>138 E 50th St, Unit 14D</v>
      </c>
      <c r="B5033" s="2" t="str">
        <f>HYPERLINK("https://www.compass.com/building/the-centrale-manhattan-ny/281941497232811621/","The Centrale")</f>
        <v>The Centrale</v>
      </c>
      <c r="C5033" s="1" t="s">
        <v>116</v>
      </c>
      <c r="D5033" s="1" t="s">
        <v>41</v>
      </c>
      <c r="E5033" s="3">
        <v>1900000</v>
      </c>
      <c r="F5033" s="1">
        <v>1574.1507870753901</v>
      </c>
      <c r="G5033" s="1">
        <v>4</v>
      </c>
      <c r="H5033" s="1">
        <v>2</v>
      </c>
      <c r="I5033" s="1">
        <v>2</v>
      </c>
      <c r="J5033" s="1">
        <v>2</v>
      </c>
      <c r="K5033" s="1">
        <v>2</v>
      </c>
      <c r="M5033" s="4">
        <v>1207</v>
      </c>
      <c r="N5033" s="1">
        <v>1194</v>
      </c>
      <c r="O5033" s="1">
        <v>2973</v>
      </c>
      <c r="P5033" s="1">
        <v>1779</v>
      </c>
      <c r="Q5033" s="1" t="s">
        <v>42</v>
      </c>
      <c r="S5033" s="1" t="s">
        <v>42</v>
      </c>
      <c r="T5033" s="1" t="s">
        <v>273</v>
      </c>
      <c r="U5033" s="1">
        <v>292</v>
      </c>
      <c r="V5033" s="5">
        <v>44353</v>
      </c>
      <c r="W5033" s="5">
        <v>43860</v>
      </c>
      <c r="X5033" s="1">
        <v>2395000</v>
      </c>
      <c r="Y5033" s="1">
        <v>2395000</v>
      </c>
      <c r="Z5033" s="5">
        <v>44247</v>
      </c>
      <c r="AA5033" s="1">
        <v>1900000</v>
      </c>
      <c r="AB5033" s="1" t="s">
        <v>3523</v>
      </c>
      <c r="AC5033" s="5">
        <v>44337</v>
      </c>
      <c r="AF5033" s="1">
        <v>10022</v>
      </c>
      <c r="AI5033" s="1" t="s">
        <v>48</v>
      </c>
      <c r="AJ5033" s="1">
        <v>2019</v>
      </c>
      <c r="AK5033" s="1" t="s">
        <v>55</v>
      </c>
      <c r="AL5033" s="1">
        <v>124</v>
      </c>
    </row>
    <row r="5034" spans="1:38" x14ac:dyDescent="0.2">
      <c r="A5034" s="2" t="str">
        <f>HYPERLINK("https://www.compass.com/listing/15-hudson-yards-unit-33g-manhattan-ny-10001/185955950476237441/","15 Hudson Yards, Unit 33G")</f>
        <v>15 Hudson Yards, Unit 33G</v>
      </c>
      <c r="B5034" s="2" t="str">
        <f>HYPERLINK("https://www.compass.com/building/fifteen-hudson-yards-manhattan-ny/282058587512011909/","Fifteen Hudson Yards")</f>
        <v>Fifteen Hudson Yards</v>
      </c>
      <c r="C5034" s="1" t="s">
        <v>77</v>
      </c>
      <c r="D5034" s="1" t="s">
        <v>41</v>
      </c>
      <c r="E5034" s="3">
        <v>3680000</v>
      </c>
      <c r="F5034" s="1">
        <v>2518.82272416153</v>
      </c>
      <c r="G5034" s="1">
        <v>4.5</v>
      </c>
      <c r="H5034" s="1">
        <v>2</v>
      </c>
      <c r="I5034" s="1">
        <v>3</v>
      </c>
      <c r="J5034" s="1">
        <v>2.5</v>
      </c>
      <c r="K5034" s="1">
        <v>2</v>
      </c>
      <c r="L5034" s="1">
        <v>1</v>
      </c>
      <c r="M5034" s="4">
        <v>1461</v>
      </c>
      <c r="N5034" s="1">
        <v>3598</v>
      </c>
      <c r="O5034" s="1">
        <v>3643</v>
      </c>
      <c r="P5034" s="1">
        <v>45</v>
      </c>
      <c r="Q5034" s="1" t="s">
        <v>42</v>
      </c>
      <c r="S5034" s="1" t="s">
        <v>42</v>
      </c>
      <c r="T5034" s="1" t="s">
        <v>273</v>
      </c>
      <c r="U5034" s="1">
        <v>36</v>
      </c>
      <c r="V5034" s="5">
        <v>44404</v>
      </c>
      <c r="W5034" s="5">
        <v>44281</v>
      </c>
      <c r="X5034" s="1">
        <v>3850000</v>
      </c>
      <c r="Y5034" s="1">
        <v>3850000</v>
      </c>
      <c r="Z5034" s="5">
        <v>44343</v>
      </c>
      <c r="AA5034" s="1">
        <v>3680000</v>
      </c>
      <c r="AB5034" s="1" t="s">
        <v>275</v>
      </c>
      <c r="AC5034" s="5">
        <v>44400</v>
      </c>
      <c r="AF5034" s="1">
        <v>10001</v>
      </c>
      <c r="AI5034" s="1" t="s">
        <v>182</v>
      </c>
      <c r="AJ5034" s="1">
        <v>2018</v>
      </c>
      <c r="AK5034" s="1" t="s">
        <v>46</v>
      </c>
      <c r="AL5034" s="1">
        <v>285</v>
      </c>
    </row>
    <row r="5035" spans="1:38" x14ac:dyDescent="0.2">
      <c r="A5035" s="2" t="str">
        <f>HYPERLINK("https://www.compass.com/listing/100-east-53rd-street-unit-16a-manhattan-ny-10022/455499689434029521/","100 E 53rd St, Unit 16A")</f>
        <v>100 E 53rd St, Unit 16A</v>
      </c>
      <c r="B5035" s="2" t="str">
        <f t="shared" ref="B5035:B5041" si="858">HYPERLINK("https://www.compass.com/building/100-east-53rd-street-manhattan-ny/281952230490310325/","100 East 53rd Street ")</f>
        <v xml:space="preserve">100 East 53rd Street </v>
      </c>
      <c r="C5035" s="1" t="s">
        <v>116</v>
      </c>
      <c r="D5035" s="1" t="s">
        <v>41</v>
      </c>
      <c r="E5035" s="3">
        <v>4350678</v>
      </c>
      <c r="F5035" s="1">
        <v>2208.4657360405999</v>
      </c>
      <c r="H5035" s="1">
        <v>2</v>
      </c>
      <c r="J5035" s="1">
        <v>2.5</v>
      </c>
      <c r="K5035" s="1">
        <v>2</v>
      </c>
      <c r="M5035" s="4">
        <v>1970</v>
      </c>
      <c r="N5035" s="1">
        <v>3279</v>
      </c>
      <c r="O5035" s="1">
        <v>6444</v>
      </c>
      <c r="P5035" s="1">
        <v>3165</v>
      </c>
      <c r="Q5035" s="1" t="s">
        <v>42</v>
      </c>
      <c r="S5035" s="1" t="s">
        <v>42</v>
      </c>
      <c r="T5035" s="1" t="s">
        <v>273</v>
      </c>
      <c r="AA5035" s="1">
        <v>4350677.5</v>
      </c>
      <c r="AB5035" s="1" t="s">
        <v>3524</v>
      </c>
      <c r="AC5035" s="5">
        <v>43546</v>
      </c>
      <c r="AF5035" s="1">
        <v>10022</v>
      </c>
      <c r="AJ5035" s="1">
        <v>2017</v>
      </c>
      <c r="AK5035" s="1" t="s">
        <v>49</v>
      </c>
      <c r="AL5035" s="1">
        <v>94</v>
      </c>
    </row>
    <row r="5036" spans="1:38" x14ac:dyDescent="0.2">
      <c r="A5036" s="2" t="str">
        <f>HYPERLINK("https://www.compass.com/listing/100-east-53rd-street-unit-17a-manhattan-ny-10022/455499692657225393/","100 E 53rd St, Unit 17A")</f>
        <v>100 E 53rd St, Unit 17A</v>
      </c>
      <c r="B5036" s="2" t="str">
        <f t="shared" si="858"/>
        <v xml:space="preserve">100 East 53rd Street </v>
      </c>
      <c r="C5036" s="1" t="s">
        <v>116</v>
      </c>
      <c r="D5036" s="1" t="s">
        <v>41</v>
      </c>
      <c r="E5036" s="3">
        <v>4381225</v>
      </c>
      <c r="F5036" s="1">
        <v>2223.97208121827</v>
      </c>
      <c r="H5036" s="1">
        <v>2</v>
      </c>
      <c r="J5036" s="1">
        <v>2.5</v>
      </c>
      <c r="K5036" s="1">
        <v>2</v>
      </c>
      <c r="L5036" s="1">
        <v>1</v>
      </c>
      <c r="M5036" s="4">
        <v>1970</v>
      </c>
      <c r="N5036" s="1">
        <v>3278.84</v>
      </c>
      <c r="O5036" s="1">
        <v>6443.8</v>
      </c>
      <c r="P5036" s="1">
        <v>3165</v>
      </c>
      <c r="Q5036" s="1" t="s">
        <v>42</v>
      </c>
      <c r="S5036" s="1" t="s">
        <v>42</v>
      </c>
      <c r="T5036" s="1" t="s">
        <v>273</v>
      </c>
      <c r="AA5036" s="1">
        <v>4381225</v>
      </c>
      <c r="AB5036" s="1" t="s">
        <v>3525</v>
      </c>
      <c r="AC5036" s="5">
        <v>43479</v>
      </c>
      <c r="AF5036" s="1">
        <v>10022</v>
      </c>
      <c r="AJ5036" s="1">
        <v>2017</v>
      </c>
      <c r="AK5036" s="1" t="s">
        <v>49</v>
      </c>
      <c r="AL5036" s="1">
        <v>94</v>
      </c>
    </row>
    <row r="5037" spans="1:38" x14ac:dyDescent="0.2">
      <c r="A5037" s="2" t="str">
        <f>HYPERLINK("https://www.compass.com/listing/100-east-53rd-street-unit-28a-manhattan-ny-10022/455499699567791657/","100 E 53rd St, Unit 28A")</f>
        <v>100 E 53rd St, Unit 28A</v>
      </c>
      <c r="B5037" s="2" t="str">
        <f t="shared" si="858"/>
        <v xml:space="preserve">100 East 53rd Street </v>
      </c>
      <c r="C5037" s="1" t="s">
        <v>116</v>
      </c>
      <c r="D5037" s="1" t="s">
        <v>41</v>
      </c>
      <c r="E5037" s="3">
        <v>4381225</v>
      </c>
      <c r="F5037" s="1">
        <v>2674.7405372405301</v>
      </c>
      <c r="H5037" s="1">
        <v>2</v>
      </c>
      <c r="J5037" s="1">
        <v>2.5</v>
      </c>
      <c r="K5037" s="1">
        <v>2</v>
      </c>
      <c r="L5037" s="1">
        <v>1</v>
      </c>
      <c r="M5037" s="4">
        <v>1638</v>
      </c>
      <c r="N5037" s="1">
        <v>2726.46</v>
      </c>
      <c r="O5037" s="1">
        <v>5358</v>
      </c>
      <c r="P5037" s="1">
        <v>2631.5</v>
      </c>
      <c r="Q5037" s="1" t="s">
        <v>42</v>
      </c>
      <c r="S5037" s="1" t="s">
        <v>42</v>
      </c>
      <c r="T5037" s="1" t="s">
        <v>273</v>
      </c>
      <c r="AA5037" s="1">
        <v>4381225</v>
      </c>
      <c r="AB5037" s="1" t="s">
        <v>3526</v>
      </c>
      <c r="AC5037" s="5">
        <v>43591</v>
      </c>
      <c r="AF5037" s="1">
        <v>10022</v>
      </c>
      <c r="AJ5037" s="1">
        <v>2017</v>
      </c>
      <c r="AK5037" s="1" t="s">
        <v>49</v>
      </c>
      <c r="AL5037" s="1">
        <v>94</v>
      </c>
    </row>
    <row r="5038" spans="1:38" x14ac:dyDescent="0.2">
      <c r="A5038" s="2" t="str">
        <f>HYPERLINK("https://www.compass.com/listing/100-east-53rd-street-unit-42a-manhattan-ny-10022/455499703686419337/","100 E 53rd St, Unit 42A")</f>
        <v>100 E 53rd St, Unit 42A</v>
      </c>
      <c r="B5038" s="2" t="str">
        <f t="shared" si="858"/>
        <v xml:space="preserve">100 East 53rd Street </v>
      </c>
      <c r="C5038" s="1" t="s">
        <v>116</v>
      </c>
      <c r="D5038" s="1" t="s">
        <v>41</v>
      </c>
      <c r="E5038" s="3">
        <v>5426968</v>
      </c>
      <c r="F5038" s="1">
        <v>3313.1671245421198</v>
      </c>
      <c r="H5038" s="1">
        <v>2</v>
      </c>
      <c r="J5038" s="1">
        <v>2.5</v>
      </c>
      <c r="M5038" s="4">
        <v>1638</v>
      </c>
      <c r="N5038" s="1">
        <v>2632</v>
      </c>
      <c r="O5038" s="1">
        <v>5358</v>
      </c>
      <c r="P5038" s="1">
        <v>2726</v>
      </c>
      <c r="Q5038" s="1" t="s">
        <v>42</v>
      </c>
      <c r="S5038" s="1" t="s">
        <v>42</v>
      </c>
      <c r="T5038" s="1" t="s">
        <v>273</v>
      </c>
      <c r="AA5038" s="1">
        <v>5426967.75</v>
      </c>
      <c r="AB5038" s="1" t="s">
        <v>3527</v>
      </c>
      <c r="AC5038" s="5">
        <v>43521</v>
      </c>
      <c r="AF5038" s="1">
        <v>10022</v>
      </c>
      <c r="AJ5038" s="1">
        <v>2017</v>
      </c>
      <c r="AK5038" s="1" t="s">
        <v>49</v>
      </c>
      <c r="AL5038" s="1">
        <v>94</v>
      </c>
    </row>
    <row r="5039" spans="1:38" x14ac:dyDescent="0.2">
      <c r="A5039" s="2" t="str">
        <f>HYPERLINK("https://www.compass.com/listing/100-east-53rd-street-unit-18a-manhattan-ny-10022/465539708190457969/","100 E 53rd St, Unit 18A")</f>
        <v>100 E 53rd St, Unit 18A</v>
      </c>
      <c r="B5039" s="2" t="str">
        <f t="shared" si="858"/>
        <v xml:space="preserve">100 East 53rd Street </v>
      </c>
      <c r="C5039" s="1" t="s">
        <v>116</v>
      </c>
      <c r="D5039" s="1" t="s">
        <v>41</v>
      </c>
      <c r="E5039" s="3">
        <v>4644725</v>
      </c>
      <c r="F5039" s="1">
        <v>2357.72842639593</v>
      </c>
      <c r="H5039" s="1">
        <v>2</v>
      </c>
      <c r="J5039" s="1">
        <v>2.5</v>
      </c>
      <c r="M5039" s="4">
        <v>1970</v>
      </c>
      <c r="N5039" s="1">
        <v>3279</v>
      </c>
      <c r="O5039" s="1">
        <v>6444</v>
      </c>
      <c r="P5039" s="1">
        <v>3165</v>
      </c>
      <c r="Q5039" s="1" t="s">
        <v>42</v>
      </c>
      <c r="S5039" s="1" t="s">
        <v>42</v>
      </c>
      <c r="T5039" s="1" t="s">
        <v>273</v>
      </c>
      <c r="AA5039" s="1">
        <v>4644725</v>
      </c>
      <c r="AB5039" s="1" t="s">
        <v>3528</v>
      </c>
      <c r="AC5039" s="5">
        <v>43453</v>
      </c>
      <c r="AF5039" s="1">
        <v>10022</v>
      </c>
      <c r="AJ5039" s="1">
        <v>2017</v>
      </c>
      <c r="AK5039" s="1" t="s">
        <v>49</v>
      </c>
      <c r="AL5039" s="1">
        <v>94</v>
      </c>
    </row>
    <row r="5040" spans="1:38" x14ac:dyDescent="0.2">
      <c r="A5040" s="2" t="str">
        <f>HYPERLINK("https://www.compass.com/listing/100-east-53rd-street-unit-21a-manhattan-ny-10022/465539713953404801/","100 E 53rd St, Unit 21A")</f>
        <v>100 E 53rd St, Unit 21A</v>
      </c>
      <c r="B5040" s="2" t="str">
        <f t="shared" si="858"/>
        <v xml:space="preserve">100 East 53rd Street </v>
      </c>
      <c r="C5040" s="1" t="s">
        <v>116</v>
      </c>
      <c r="D5040" s="1" t="s">
        <v>41</v>
      </c>
      <c r="E5040" s="3">
        <v>4947463</v>
      </c>
      <c r="F5040" s="1">
        <v>2511.4022842639502</v>
      </c>
      <c r="H5040" s="1">
        <v>2</v>
      </c>
      <c r="J5040" s="1">
        <v>2.5</v>
      </c>
      <c r="K5040" s="1">
        <v>2</v>
      </c>
      <c r="L5040" s="1">
        <v>1</v>
      </c>
      <c r="M5040" s="4">
        <v>1970</v>
      </c>
      <c r="N5040" s="1">
        <v>3279</v>
      </c>
      <c r="O5040" s="1">
        <v>6444</v>
      </c>
      <c r="P5040" s="1">
        <v>3165</v>
      </c>
      <c r="Q5040" s="1" t="s">
        <v>42</v>
      </c>
      <c r="S5040" s="1" t="s">
        <v>42</v>
      </c>
      <c r="T5040" s="1" t="s">
        <v>273</v>
      </c>
      <c r="AA5040" s="1">
        <v>4947462.5</v>
      </c>
      <c r="AB5040" s="1" t="s">
        <v>3529</v>
      </c>
      <c r="AC5040" s="5">
        <v>43446</v>
      </c>
      <c r="AF5040" s="1">
        <v>10022</v>
      </c>
      <c r="AJ5040" s="1">
        <v>2017</v>
      </c>
      <c r="AK5040" s="1" t="s">
        <v>49</v>
      </c>
      <c r="AL5040" s="1">
        <v>94</v>
      </c>
    </row>
    <row r="5041" spans="1:38" x14ac:dyDescent="0.2">
      <c r="A5041" s="2" t="str">
        <f>HYPERLINK("https://www.compass.com/listing/100-east-53rd-street-unit-22a-manhattan-ny-10022/465539716092225777/","100 E 53rd St, Unit 22A")</f>
        <v>100 E 53rd St, Unit 22A</v>
      </c>
      <c r="B5041" s="2" t="str">
        <f t="shared" si="858"/>
        <v xml:space="preserve">100 East 53rd Street </v>
      </c>
      <c r="C5041" s="1" t="s">
        <v>116</v>
      </c>
      <c r="D5041" s="1" t="s">
        <v>41</v>
      </c>
      <c r="E5041" s="3">
        <v>4740667</v>
      </c>
      <c r="F5041" s="1">
        <v>2406.43007614213</v>
      </c>
      <c r="H5041" s="1">
        <v>2</v>
      </c>
      <c r="J5041" s="1">
        <v>2.5</v>
      </c>
      <c r="K5041" s="1">
        <v>2</v>
      </c>
      <c r="L5041" s="1">
        <v>1</v>
      </c>
      <c r="M5041" s="4">
        <v>1970</v>
      </c>
      <c r="N5041" s="1">
        <v>3165</v>
      </c>
      <c r="O5041" s="1">
        <v>6444</v>
      </c>
      <c r="P5041" s="1">
        <v>3279</v>
      </c>
      <c r="Q5041" s="1" t="s">
        <v>42</v>
      </c>
      <c r="S5041" s="1" t="s">
        <v>42</v>
      </c>
      <c r="T5041" s="1" t="s">
        <v>273</v>
      </c>
      <c r="AA5041" s="1">
        <v>4740667.25</v>
      </c>
      <c r="AB5041" s="1" t="s">
        <v>3530</v>
      </c>
      <c r="AC5041" s="5">
        <v>43446</v>
      </c>
      <c r="AF5041" s="1">
        <v>10022</v>
      </c>
      <c r="AJ5041" s="1">
        <v>2017</v>
      </c>
      <c r="AK5041" s="1" t="s">
        <v>49</v>
      </c>
      <c r="AL5041" s="1">
        <v>94</v>
      </c>
    </row>
    <row r="5042" spans="1:38" x14ac:dyDescent="0.2">
      <c r="A5042" s="2" t="str">
        <f>HYPERLINK("https://www.compass.com/listing/15-hudson-yards-unit-70a-manhattan-ny-10001/278843171234929761/","15 Hudson Yards, Unit 70A")</f>
        <v>15 Hudson Yards, Unit 70A</v>
      </c>
      <c r="B5042" s="2" t="str">
        <f t="shared" ref="B5042:B5047" si="859">HYPERLINK("https://www.compass.com/building/fifteen-hudson-yards-manhattan-ny/282058587512011909/","Fifteen Hudson Yards")</f>
        <v>Fifteen Hudson Yards</v>
      </c>
      <c r="C5042" s="1" t="s">
        <v>77</v>
      </c>
      <c r="D5042" s="1" t="s">
        <v>41</v>
      </c>
      <c r="E5042" s="3">
        <v>9475000</v>
      </c>
      <c r="F5042" s="1">
        <v>3926.6473269788598</v>
      </c>
      <c r="G5042" s="1">
        <v>5</v>
      </c>
      <c r="H5042" s="1">
        <v>3</v>
      </c>
      <c r="I5042" s="1">
        <v>4</v>
      </c>
      <c r="J5042" s="1">
        <v>3.5</v>
      </c>
      <c r="K5042" s="1">
        <v>3</v>
      </c>
      <c r="L5042" s="1">
        <v>1</v>
      </c>
      <c r="M5042" s="4">
        <v>2413</v>
      </c>
      <c r="N5042" s="1">
        <v>5884</v>
      </c>
      <c r="O5042" s="1">
        <v>5966</v>
      </c>
      <c r="P5042" s="1">
        <v>82</v>
      </c>
      <c r="Q5042" s="1" t="s">
        <v>42</v>
      </c>
      <c r="S5042" s="1" t="s">
        <v>42</v>
      </c>
      <c r="T5042" s="1" t="s">
        <v>273</v>
      </c>
      <c r="U5042" s="1">
        <v>955</v>
      </c>
      <c r="V5042" s="5">
        <v>43637</v>
      </c>
      <c r="W5042" s="5">
        <v>42674</v>
      </c>
      <c r="AA5042" s="1">
        <v>9475000</v>
      </c>
      <c r="AB5042" s="1" t="s">
        <v>275</v>
      </c>
      <c r="AC5042" s="5">
        <v>43629</v>
      </c>
      <c r="AF5042" s="1">
        <v>10001</v>
      </c>
      <c r="AJ5042" s="1">
        <v>2018</v>
      </c>
      <c r="AK5042" s="1" t="s">
        <v>46</v>
      </c>
      <c r="AL5042" s="1">
        <v>285</v>
      </c>
    </row>
    <row r="5043" spans="1:38" x14ac:dyDescent="0.2">
      <c r="A5043" s="2" t="str">
        <f>HYPERLINK("https://www.compass.com/listing/15-hudson-yards-unit-71a-manhattan-ny-10001/281922053194469553/","15 Hudson Yards, Unit 71A")</f>
        <v>15 Hudson Yards, Unit 71A</v>
      </c>
      <c r="B5043" s="2" t="str">
        <f t="shared" si="859"/>
        <v>Fifteen Hudson Yards</v>
      </c>
      <c r="C5043" s="1" t="s">
        <v>77</v>
      </c>
      <c r="D5043" s="1" t="s">
        <v>41</v>
      </c>
      <c r="E5043" s="3">
        <v>9395000</v>
      </c>
      <c r="F5043" s="1">
        <v>3903.1990029081799</v>
      </c>
      <c r="G5043" s="1">
        <v>5</v>
      </c>
      <c r="H5043" s="1">
        <v>3</v>
      </c>
      <c r="I5043" s="1">
        <v>4</v>
      </c>
      <c r="J5043" s="1">
        <v>3.5</v>
      </c>
      <c r="K5043" s="1">
        <v>3</v>
      </c>
      <c r="L5043" s="1">
        <v>1</v>
      </c>
      <c r="M5043" s="4">
        <v>2407</v>
      </c>
      <c r="N5043" s="1">
        <v>5880</v>
      </c>
      <c r="O5043" s="1">
        <v>5962</v>
      </c>
      <c r="P5043" s="1">
        <v>82</v>
      </c>
      <c r="Q5043" s="1" t="s">
        <v>42</v>
      </c>
      <c r="S5043" s="1" t="s">
        <v>42</v>
      </c>
      <c r="T5043" s="1" t="s">
        <v>273</v>
      </c>
      <c r="U5043" s="1">
        <v>846</v>
      </c>
      <c r="V5043" s="5">
        <v>43641</v>
      </c>
      <c r="W5043" s="5">
        <v>42789</v>
      </c>
      <c r="AA5043" s="1">
        <v>9395000</v>
      </c>
      <c r="AB5043" s="1" t="s">
        <v>275</v>
      </c>
      <c r="AC5043" s="5">
        <v>43636</v>
      </c>
      <c r="AF5043" s="1">
        <v>10001</v>
      </c>
      <c r="AJ5043" s="1">
        <v>2018</v>
      </c>
      <c r="AK5043" s="1" t="s">
        <v>46</v>
      </c>
      <c r="AL5043" s="1">
        <v>285</v>
      </c>
    </row>
    <row r="5044" spans="1:38" x14ac:dyDescent="0.2">
      <c r="A5044" s="2" t="str">
        <f>HYPERLINK("https://www.compass.com/listing/15-hudson-yards-unit-32g-manhattan-ny-10001/228885143287335681/","15 Hudson Yards, Unit 32G")</f>
        <v>15 Hudson Yards, Unit 32G</v>
      </c>
      <c r="B5044" s="2" t="str">
        <f t="shared" si="859"/>
        <v>Fifteen Hudson Yards</v>
      </c>
      <c r="C5044" s="1" t="s">
        <v>77</v>
      </c>
      <c r="D5044" s="1" t="s">
        <v>41</v>
      </c>
      <c r="E5044" s="3">
        <v>4250000</v>
      </c>
      <c r="F5044" s="1">
        <v>2906.9767441860399</v>
      </c>
      <c r="G5044" s="1">
        <v>4</v>
      </c>
      <c r="H5044" s="1">
        <v>2</v>
      </c>
      <c r="I5044" s="1">
        <v>3</v>
      </c>
      <c r="J5044" s="1">
        <v>2.5</v>
      </c>
      <c r="K5044" s="1">
        <v>2</v>
      </c>
      <c r="L5044" s="1">
        <v>1</v>
      </c>
      <c r="M5044" s="4">
        <v>1462</v>
      </c>
      <c r="N5044" s="1">
        <v>3366</v>
      </c>
      <c r="O5044" s="1">
        <v>3413</v>
      </c>
      <c r="P5044" s="1">
        <v>47</v>
      </c>
      <c r="Q5044" s="1" t="s">
        <v>42</v>
      </c>
      <c r="S5044" s="1" t="s">
        <v>42</v>
      </c>
      <c r="T5044" s="1" t="s">
        <v>273</v>
      </c>
      <c r="U5044" s="1">
        <v>345</v>
      </c>
      <c r="V5044" s="5">
        <v>43568</v>
      </c>
      <c r="W5044" s="5">
        <v>43221</v>
      </c>
      <c r="X5044" s="1">
        <v>4250000</v>
      </c>
      <c r="Y5044" s="1">
        <v>4250000</v>
      </c>
      <c r="AA5044" s="1">
        <v>4250000</v>
      </c>
      <c r="AB5044" s="1" t="s">
        <v>275</v>
      </c>
      <c r="AC5044" s="5">
        <v>43566</v>
      </c>
      <c r="AF5044" s="1">
        <v>10001</v>
      </c>
      <c r="AJ5044" s="1">
        <v>2018</v>
      </c>
      <c r="AK5044" s="1" t="s">
        <v>46</v>
      </c>
      <c r="AL5044" s="1">
        <v>285</v>
      </c>
    </row>
    <row r="5045" spans="1:38" x14ac:dyDescent="0.2">
      <c r="A5045" s="2" t="str">
        <f>HYPERLINK("https://www.compass.com/listing/15-hudson-yards-unit-67c-manhattan-ny-10001/278843170765225665/","15 Hudson Yards, Unit 67C")</f>
        <v>15 Hudson Yards, Unit 67C</v>
      </c>
      <c r="B5045" s="2" t="str">
        <f t="shared" si="859"/>
        <v>Fifteen Hudson Yards</v>
      </c>
      <c r="C5045" s="1" t="s">
        <v>77</v>
      </c>
      <c r="D5045" s="1" t="s">
        <v>41</v>
      </c>
      <c r="E5045" s="3">
        <v>4875000</v>
      </c>
      <c r="F5045" s="1">
        <v>2597.2296217368098</v>
      </c>
      <c r="G5045" s="1">
        <v>4</v>
      </c>
      <c r="H5045" s="1">
        <v>2</v>
      </c>
      <c r="I5045" s="1">
        <v>3</v>
      </c>
      <c r="J5045" s="1">
        <v>2.5</v>
      </c>
      <c r="K5045" s="1">
        <v>2</v>
      </c>
      <c r="L5045" s="1">
        <v>1</v>
      </c>
      <c r="M5045" s="4">
        <v>1877</v>
      </c>
      <c r="N5045" s="1">
        <v>4080</v>
      </c>
      <c r="O5045" s="1">
        <v>4137</v>
      </c>
      <c r="P5045" s="1">
        <v>57</v>
      </c>
      <c r="Q5045" s="1" t="s">
        <v>42</v>
      </c>
      <c r="S5045" s="1" t="s">
        <v>42</v>
      </c>
      <c r="T5045" s="1" t="s">
        <v>273</v>
      </c>
      <c r="U5045" s="1">
        <v>772</v>
      </c>
      <c r="V5045" s="5">
        <v>43719</v>
      </c>
      <c r="W5045" s="5">
        <v>42861</v>
      </c>
      <c r="X5045" s="1">
        <v>4875000</v>
      </c>
      <c r="Y5045" s="1">
        <v>4875000</v>
      </c>
      <c r="AA5045" s="1">
        <v>4875000</v>
      </c>
      <c r="AB5045" s="1" t="s">
        <v>275</v>
      </c>
      <c r="AC5045" s="5">
        <v>43634</v>
      </c>
      <c r="AF5045" s="1">
        <v>10001</v>
      </c>
      <c r="AJ5045" s="1">
        <v>2018</v>
      </c>
      <c r="AK5045" s="1" t="s">
        <v>46</v>
      </c>
      <c r="AL5045" s="1">
        <v>285</v>
      </c>
    </row>
    <row r="5046" spans="1:38" x14ac:dyDescent="0.2">
      <c r="A5046" s="2" t="str">
        <f>HYPERLINK("https://www.compass.com/listing/15-hudson-yards-unit-68a-manhattan-ny-10001/307756147372990065/","15 Hudson Yards, Unit 68A")</f>
        <v>15 Hudson Yards, Unit 68A</v>
      </c>
      <c r="B5046" s="2" t="str">
        <f t="shared" si="859"/>
        <v>Fifteen Hudson Yards</v>
      </c>
      <c r="C5046" s="1" t="s">
        <v>77</v>
      </c>
      <c r="D5046" s="1" t="s">
        <v>41</v>
      </c>
      <c r="E5046" s="3">
        <v>6975000</v>
      </c>
      <c r="F5046" s="1">
        <v>3372.8239845261101</v>
      </c>
      <c r="G5046" s="1">
        <v>4</v>
      </c>
      <c r="H5046" s="1">
        <v>2</v>
      </c>
      <c r="I5046" s="1">
        <v>3</v>
      </c>
      <c r="J5046" s="1">
        <v>2.5</v>
      </c>
      <c r="K5046" s="1">
        <v>2</v>
      </c>
      <c r="L5046" s="1">
        <v>1</v>
      </c>
      <c r="M5046" s="4">
        <v>2068</v>
      </c>
      <c r="N5046" s="1">
        <v>4833</v>
      </c>
      <c r="O5046" s="1">
        <v>4900</v>
      </c>
      <c r="P5046" s="1">
        <v>67</v>
      </c>
      <c r="Q5046" s="1" t="s">
        <v>42</v>
      </c>
      <c r="S5046" s="1" t="s">
        <v>42</v>
      </c>
      <c r="T5046" s="1" t="s">
        <v>273</v>
      </c>
      <c r="U5046" s="1">
        <v>997</v>
      </c>
      <c r="V5046" s="5">
        <v>43677</v>
      </c>
      <c r="W5046" s="5">
        <v>42674</v>
      </c>
      <c r="AA5046" s="1">
        <v>6975000</v>
      </c>
      <c r="AB5046" s="1" t="s">
        <v>275</v>
      </c>
      <c r="AC5046" s="5">
        <v>43671</v>
      </c>
      <c r="AF5046" s="1">
        <v>10001</v>
      </c>
      <c r="AJ5046" s="1">
        <v>2018</v>
      </c>
      <c r="AK5046" s="1" t="s">
        <v>46</v>
      </c>
      <c r="AL5046" s="1">
        <v>285</v>
      </c>
    </row>
    <row r="5047" spans="1:38" x14ac:dyDescent="0.2">
      <c r="A5047" s="2" t="str">
        <f>HYPERLINK("https://www.compass.com/listing/15-hudson-yards-unit-65f-manhattan-ny-10001/309345261398424081/","15 Hudson Yards, Unit 65F")</f>
        <v>15 Hudson Yards, Unit 65F</v>
      </c>
      <c r="B5047" s="2" t="str">
        <f t="shared" si="859"/>
        <v>Fifteen Hudson Yards</v>
      </c>
      <c r="C5047" s="1" t="s">
        <v>77</v>
      </c>
      <c r="D5047" s="1" t="s">
        <v>41</v>
      </c>
      <c r="E5047" s="3">
        <v>4890000</v>
      </c>
      <c r="F5047" s="1">
        <v>2679.4520547945199</v>
      </c>
      <c r="G5047" s="1">
        <v>4</v>
      </c>
      <c r="H5047" s="1">
        <v>2</v>
      </c>
      <c r="I5047" s="1">
        <v>3</v>
      </c>
      <c r="J5047" s="1">
        <v>2.5</v>
      </c>
      <c r="K5047" s="1">
        <v>2</v>
      </c>
      <c r="L5047" s="1">
        <v>1</v>
      </c>
      <c r="M5047" s="4">
        <v>1825</v>
      </c>
      <c r="N5047" s="1">
        <v>3997</v>
      </c>
      <c r="O5047" s="1">
        <v>4053</v>
      </c>
      <c r="P5047" s="1">
        <v>56</v>
      </c>
      <c r="Q5047" s="1" t="s">
        <v>42</v>
      </c>
      <c r="S5047" s="1" t="s">
        <v>42</v>
      </c>
      <c r="T5047" s="1" t="s">
        <v>273</v>
      </c>
      <c r="U5047" s="1">
        <v>967</v>
      </c>
      <c r="V5047" s="5">
        <v>43679</v>
      </c>
      <c r="W5047" s="5">
        <v>42709</v>
      </c>
      <c r="AA5047" s="1">
        <v>4890000</v>
      </c>
      <c r="AB5047" s="1" t="s">
        <v>275</v>
      </c>
      <c r="AC5047" s="5">
        <v>43676</v>
      </c>
      <c r="AF5047" s="1">
        <v>10001</v>
      </c>
      <c r="AJ5047" s="1">
        <v>2018</v>
      </c>
      <c r="AK5047" s="1" t="s">
        <v>46</v>
      </c>
      <c r="AL5047" s="1">
        <v>285</v>
      </c>
    </row>
    <row r="5048" spans="1:38" x14ac:dyDescent="0.2">
      <c r="A5048" s="2" t="str">
        <f>HYPERLINK("https://www.compass.com/listing/138-east-50th-street-unit-19d-manhattan-ny-10022/440514547422861249/","138 E 50th St, Unit 19D")</f>
        <v>138 E 50th St, Unit 19D</v>
      </c>
      <c r="B5048" s="2" t="str">
        <f t="shared" ref="B5048:B5049" si="860">HYPERLINK("https://www.compass.com/building/the-centrale-manhattan-ny/281941497232811621/","The Centrale")</f>
        <v>The Centrale</v>
      </c>
      <c r="C5048" s="1" t="s">
        <v>116</v>
      </c>
      <c r="D5048" s="1" t="s">
        <v>41</v>
      </c>
      <c r="E5048" s="3">
        <v>2580000</v>
      </c>
      <c r="F5048" s="1">
        <v>2137.5310687655301</v>
      </c>
      <c r="G5048" s="1">
        <v>4</v>
      </c>
      <c r="H5048" s="1">
        <v>2</v>
      </c>
      <c r="I5048" s="1">
        <v>2</v>
      </c>
      <c r="J5048" s="1">
        <v>2</v>
      </c>
      <c r="K5048" s="1">
        <v>2</v>
      </c>
      <c r="M5048" s="4">
        <v>1207</v>
      </c>
      <c r="N5048" s="1">
        <v>1221</v>
      </c>
      <c r="O5048" s="1">
        <v>3551</v>
      </c>
      <c r="P5048" s="1">
        <v>2330</v>
      </c>
      <c r="Q5048" s="1" t="s">
        <v>42</v>
      </c>
      <c r="S5048" s="1" t="s">
        <v>42</v>
      </c>
      <c r="T5048" s="1" t="s">
        <v>273</v>
      </c>
      <c r="V5048" s="5">
        <v>43993</v>
      </c>
      <c r="W5048" s="5">
        <v>43859</v>
      </c>
      <c r="X5048" s="1">
        <v>2580000</v>
      </c>
      <c r="Y5048" s="1">
        <v>2580000</v>
      </c>
      <c r="Z5048" s="5">
        <v>43860</v>
      </c>
      <c r="AA5048" s="1">
        <v>2580000</v>
      </c>
      <c r="AB5048" s="1" t="s">
        <v>3531</v>
      </c>
      <c r="AC5048" s="5">
        <v>43962</v>
      </c>
      <c r="AF5048" s="1">
        <v>10022</v>
      </c>
      <c r="AI5048" s="1" t="s">
        <v>118</v>
      </c>
      <c r="AJ5048" s="1">
        <v>2019</v>
      </c>
      <c r="AK5048" s="1" t="s">
        <v>55</v>
      </c>
      <c r="AL5048" s="1">
        <v>124</v>
      </c>
    </row>
    <row r="5049" spans="1:38" x14ac:dyDescent="0.2">
      <c r="A5049" s="2" t="str">
        <f>HYPERLINK("https://www.compass.com/listing/138-east-50th-street-unit-18d-manhattan-ny-10022/440514552892216593/","138 E 50th St, Unit 18D")</f>
        <v>138 E 50th St, Unit 18D</v>
      </c>
      <c r="B5049" s="2" t="str">
        <f t="shared" si="860"/>
        <v>The Centrale</v>
      </c>
      <c r="C5049" s="1" t="s">
        <v>116</v>
      </c>
      <c r="D5049" s="1" t="s">
        <v>41</v>
      </c>
      <c r="E5049" s="3">
        <v>2578000</v>
      </c>
      <c r="F5049" s="1">
        <v>2135.8740679370298</v>
      </c>
      <c r="G5049" s="1">
        <v>4</v>
      </c>
      <c r="H5049" s="1">
        <v>2</v>
      </c>
      <c r="I5049" s="1">
        <v>2</v>
      </c>
      <c r="J5049" s="1">
        <v>2</v>
      </c>
      <c r="K5049" s="1">
        <v>2</v>
      </c>
      <c r="M5049" s="4">
        <v>1207</v>
      </c>
      <c r="N5049" s="1">
        <v>1215</v>
      </c>
      <c r="O5049" s="1">
        <v>3533</v>
      </c>
      <c r="P5049" s="1">
        <v>2318</v>
      </c>
      <c r="Q5049" s="1" t="s">
        <v>42</v>
      </c>
      <c r="S5049" s="1" t="s">
        <v>42</v>
      </c>
      <c r="T5049" s="1" t="s">
        <v>273</v>
      </c>
      <c r="V5049" s="5">
        <v>44225</v>
      </c>
      <c r="W5049" s="5">
        <v>43859</v>
      </c>
      <c r="X5049" s="1">
        <v>2578000</v>
      </c>
      <c r="Y5049" s="1">
        <v>2578000</v>
      </c>
      <c r="Z5049" s="5">
        <v>43860</v>
      </c>
      <c r="AA5049" s="1">
        <v>2578000</v>
      </c>
      <c r="AB5049" s="1" t="s">
        <v>3532</v>
      </c>
      <c r="AC5049" s="5">
        <v>43951</v>
      </c>
      <c r="AF5049" s="1">
        <v>10022</v>
      </c>
      <c r="AI5049" s="1" t="s">
        <v>118</v>
      </c>
      <c r="AJ5049" s="1">
        <v>2019</v>
      </c>
      <c r="AK5049" s="1" t="s">
        <v>55</v>
      </c>
      <c r="AL5049" s="1">
        <v>124</v>
      </c>
    </row>
    <row r="5050" spans="1:38" x14ac:dyDescent="0.2">
      <c r="A5050" s="2" t="str">
        <f>HYPERLINK("https://www.compass.com/listing/15-hudson-yards-unit-78f-manhattan-ny-10001/373150137049485073/","15 Hudson Yards, Unit 78F")</f>
        <v>15 Hudson Yards, Unit 78F</v>
      </c>
      <c r="B5050" s="2" t="str">
        <f>HYPERLINK("https://www.compass.com/building/fifteen-hudson-yards-manhattan-ny/282058587512011909/","Fifteen Hudson Yards")</f>
        <v>Fifteen Hudson Yards</v>
      </c>
      <c r="C5050" s="1" t="s">
        <v>77</v>
      </c>
      <c r="D5050" s="1" t="s">
        <v>41</v>
      </c>
      <c r="E5050" s="3">
        <v>5004249</v>
      </c>
      <c r="F5050" s="1">
        <v>3020.06578153289</v>
      </c>
      <c r="G5050" s="1">
        <v>4</v>
      </c>
      <c r="H5050" s="1">
        <v>2</v>
      </c>
      <c r="I5050" s="1">
        <v>2</v>
      </c>
      <c r="J5050" s="1">
        <v>1.5</v>
      </c>
      <c r="K5050" s="1">
        <v>1</v>
      </c>
      <c r="L5050" s="1">
        <v>1</v>
      </c>
      <c r="M5050" s="4">
        <v>1657</v>
      </c>
      <c r="N5050" s="1">
        <v>3821</v>
      </c>
      <c r="O5050" s="1">
        <v>3874</v>
      </c>
      <c r="P5050" s="1">
        <v>53</v>
      </c>
      <c r="Q5050" s="1" t="s">
        <v>42</v>
      </c>
      <c r="S5050" s="1" t="s">
        <v>42</v>
      </c>
      <c r="T5050" s="1" t="s">
        <v>273</v>
      </c>
      <c r="U5050" s="1">
        <v>469</v>
      </c>
      <c r="V5050" s="5">
        <v>43844</v>
      </c>
      <c r="W5050" s="5">
        <v>43292</v>
      </c>
      <c r="AA5050" s="1">
        <v>5004249</v>
      </c>
      <c r="AB5050" s="1" t="s">
        <v>275</v>
      </c>
      <c r="AC5050" s="5">
        <v>43761</v>
      </c>
      <c r="AF5050" s="1">
        <v>10001</v>
      </c>
      <c r="AJ5050" s="1">
        <v>2018</v>
      </c>
      <c r="AK5050" s="1" t="s">
        <v>46</v>
      </c>
      <c r="AL5050" s="1">
        <v>285</v>
      </c>
    </row>
    <row r="5051" spans="1:38" x14ac:dyDescent="0.2">
      <c r="A5051" s="2" t="str">
        <f>HYPERLINK("https://www.compass.com/listing/138-east-50th-street-unit-18d-manhattan-ny-10022/841554875158192001/","138 E 50th St, Unit 18D")</f>
        <v>138 E 50th St, Unit 18D</v>
      </c>
      <c r="B5051" s="2" t="str">
        <f>HYPERLINK("https://www.compass.com/building/the-centrale-manhattan-ny/281941497232811621/","The Centrale")</f>
        <v>The Centrale</v>
      </c>
      <c r="C5051" s="1" t="s">
        <v>116</v>
      </c>
      <c r="D5051" s="1" t="s">
        <v>41</v>
      </c>
      <c r="E5051" s="3">
        <v>2578000</v>
      </c>
      <c r="F5051" s="1">
        <v>2135.8740679370298</v>
      </c>
      <c r="G5051" s="1">
        <v>4</v>
      </c>
      <c r="H5051" s="1">
        <v>2</v>
      </c>
      <c r="J5051" s="1">
        <v>2</v>
      </c>
      <c r="M5051" s="4">
        <v>1207</v>
      </c>
      <c r="N5051" s="1">
        <v>1215</v>
      </c>
      <c r="O5051" s="1">
        <v>3533</v>
      </c>
      <c r="P5051" s="1">
        <v>2318</v>
      </c>
      <c r="S5051" s="1" t="s">
        <v>42</v>
      </c>
      <c r="T5051" s="1" t="s">
        <v>273</v>
      </c>
      <c r="U5051" s="1">
        <v>98</v>
      </c>
      <c r="V5051" s="5">
        <v>44104</v>
      </c>
      <c r="W5051" s="5">
        <v>43979</v>
      </c>
      <c r="X5051" s="1">
        <v>2578000</v>
      </c>
      <c r="Y5051" s="1">
        <v>2578000</v>
      </c>
      <c r="AA5051" s="1">
        <v>2578000</v>
      </c>
      <c r="AB5051" s="1" t="s">
        <v>275</v>
      </c>
      <c r="AC5051" s="5">
        <v>44102</v>
      </c>
      <c r="AF5051" s="1">
        <v>10022</v>
      </c>
      <c r="AI5051" s="1" t="s">
        <v>259</v>
      </c>
      <c r="AJ5051" s="1">
        <v>2019</v>
      </c>
      <c r="AK5051" s="1" t="s">
        <v>46</v>
      </c>
      <c r="AL5051" s="1">
        <v>124</v>
      </c>
    </row>
    <row r="5052" spans="1:38" x14ac:dyDescent="0.2">
      <c r="A5052" s="2" t="str">
        <f>HYPERLINK("https://www.compass.com/listing/15-hudson-yards-unit-74a-manhattan-ny-10001/339642857891189313/","15 Hudson Yards, Unit 74A")</f>
        <v>15 Hudson Yards, Unit 74A</v>
      </c>
      <c r="B5052" s="2" t="str">
        <f t="shared" ref="B5052:B5057" si="861">HYPERLINK("https://www.compass.com/building/fifteen-hudson-yards-manhattan-ny/282058587512011909/","Fifteen Hudson Yards")</f>
        <v>Fifteen Hudson Yards</v>
      </c>
      <c r="C5052" s="1" t="s">
        <v>77</v>
      </c>
      <c r="D5052" s="1" t="s">
        <v>41</v>
      </c>
      <c r="E5052" s="3">
        <v>8600281</v>
      </c>
      <c r="F5052" s="1">
        <v>3605.9878406708499</v>
      </c>
      <c r="G5052" s="1">
        <v>6</v>
      </c>
      <c r="H5052" s="1">
        <v>3</v>
      </c>
      <c r="I5052" s="1">
        <v>4</v>
      </c>
      <c r="J5052" s="1">
        <v>3.5</v>
      </c>
      <c r="K5052" s="1">
        <v>3</v>
      </c>
      <c r="L5052" s="1">
        <v>1</v>
      </c>
      <c r="M5052" s="4">
        <v>2385</v>
      </c>
      <c r="N5052" s="1">
        <v>5862</v>
      </c>
      <c r="O5052" s="1">
        <v>5943</v>
      </c>
      <c r="P5052" s="1">
        <v>81</v>
      </c>
      <c r="Q5052" s="1" t="s">
        <v>42</v>
      </c>
      <c r="S5052" s="1" t="s">
        <v>42</v>
      </c>
      <c r="T5052" s="1" t="s">
        <v>273</v>
      </c>
      <c r="U5052" s="1">
        <v>1015</v>
      </c>
      <c r="V5052" s="5">
        <v>43721</v>
      </c>
      <c r="W5052" s="5">
        <v>42702</v>
      </c>
      <c r="AA5052" s="1">
        <v>8600281</v>
      </c>
      <c r="AB5052" s="1" t="s">
        <v>275</v>
      </c>
      <c r="AC5052" s="5">
        <v>43718</v>
      </c>
      <c r="AF5052" s="1">
        <v>10001</v>
      </c>
      <c r="AJ5052" s="1">
        <v>2018</v>
      </c>
      <c r="AK5052" s="1" t="s">
        <v>49</v>
      </c>
      <c r="AL5052" s="1">
        <v>285</v>
      </c>
    </row>
    <row r="5053" spans="1:38" x14ac:dyDescent="0.2">
      <c r="A5053" s="2" t="str">
        <f>HYPERLINK("https://www.compass.com/listing/15-hudson-yards-unit-75a-manhattan-ny-10001/339642858226666849/","15 Hudson Yards, Unit 75A")</f>
        <v>15 Hudson Yards, Unit 75A</v>
      </c>
      <c r="B5053" s="2" t="str">
        <f t="shared" si="861"/>
        <v>Fifteen Hudson Yards</v>
      </c>
      <c r="C5053" s="1" t="s">
        <v>77</v>
      </c>
      <c r="D5053" s="1" t="s">
        <v>41</v>
      </c>
      <c r="E5053" s="3">
        <v>8618282</v>
      </c>
      <c r="F5053" s="1">
        <v>3624.1724137931001</v>
      </c>
      <c r="G5053" s="1">
        <v>6</v>
      </c>
      <c r="H5053" s="1">
        <v>3</v>
      </c>
      <c r="I5053" s="1">
        <v>4</v>
      </c>
      <c r="J5053" s="1">
        <v>3.5</v>
      </c>
      <c r="K5053" s="1">
        <v>3</v>
      </c>
      <c r="L5053" s="1">
        <v>1</v>
      </c>
      <c r="M5053" s="4">
        <v>2378</v>
      </c>
      <c r="N5053" s="1">
        <v>5856</v>
      </c>
      <c r="O5053" s="1">
        <v>5937</v>
      </c>
      <c r="P5053" s="1">
        <v>81</v>
      </c>
      <c r="Q5053" s="1" t="s">
        <v>42</v>
      </c>
      <c r="S5053" s="1" t="s">
        <v>42</v>
      </c>
      <c r="T5053" s="1" t="s">
        <v>273</v>
      </c>
      <c r="U5053" s="1">
        <v>1015</v>
      </c>
      <c r="V5053" s="5">
        <v>43721</v>
      </c>
      <c r="W5053" s="5">
        <v>42702</v>
      </c>
      <c r="AA5053" s="1">
        <v>8618282</v>
      </c>
      <c r="AB5053" s="1" t="s">
        <v>275</v>
      </c>
      <c r="AC5053" s="5">
        <v>43718</v>
      </c>
      <c r="AF5053" s="1">
        <v>10001</v>
      </c>
      <c r="AJ5053" s="1">
        <v>2018</v>
      </c>
      <c r="AK5053" s="1" t="s">
        <v>49</v>
      </c>
      <c r="AL5053" s="1">
        <v>285</v>
      </c>
    </row>
    <row r="5054" spans="1:38" x14ac:dyDescent="0.2">
      <c r="A5054" s="2" t="str">
        <f>HYPERLINK("https://www.compass.com/listing/15-hudson-yards-unit-77a-manhattan-ny-10001/339657059183795425/","15 Hudson Yards, Unit 77A")</f>
        <v>15 Hudson Yards, Unit 77A</v>
      </c>
      <c r="B5054" s="2" t="str">
        <f t="shared" si="861"/>
        <v>Fifteen Hudson Yards</v>
      </c>
      <c r="C5054" s="1" t="s">
        <v>77</v>
      </c>
      <c r="D5054" s="1" t="s">
        <v>41</v>
      </c>
      <c r="E5054" s="3">
        <v>8654286</v>
      </c>
      <c r="F5054" s="1">
        <v>3663.9652836579098</v>
      </c>
      <c r="G5054" s="1">
        <v>6</v>
      </c>
      <c r="H5054" s="1">
        <v>3</v>
      </c>
      <c r="I5054" s="1">
        <v>4</v>
      </c>
      <c r="J5054" s="1">
        <v>3.5</v>
      </c>
      <c r="K5054" s="1">
        <v>3</v>
      </c>
      <c r="L5054" s="1">
        <v>1</v>
      </c>
      <c r="M5054" s="4">
        <v>2362</v>
      </c>
      <c r="N5054" s="1">
        <v>5842</v>
      </c>
      <c r="O5054" s="1">
        <v>5923</v>
      </c>
      <c r="P5054" s="1">
        <v>81</v>
      </c>
      <c r="Q5054" s="1" t="s">
        <v>42</v>
      </c>
      <c r="S5054" s="1" t="s">
        <v>42</v>
      </c>
      <c r="T5054" s="1" t="s">
        <v>273</v>
      </c>
      <c r="U5054" s="1">
        <v>1015</v>
      </c>
      <c r="V5054" s="5">
        <v>43721</v>
      </c>
      <c r="W5054" s="5">
        <v>42702</v>
      </c>
      <c r="AA5054" s="1">
        <v>8654286</v>
      </c>
      <c r="AB5054" s="1" t="s">
        <v>275</v>
      </c>
      <c r="AC5054" s="5">
        <v>43718</v>
      </c>
      <c r="AF5054" s="1">
        <v>10001</v>
      </c>
      <c r="AJ5054" s="1">
        <v>2018</v>
      </c>
      <c r="AK5054" s="1" t="s">
        <v>49</v>
      </c>
      <c r="AL5054" s="1">
        <v>285</v>
      </c>
    </row>
    <row r="5055" spans="1:38" x14ac:dyDescent="0.2">
      <c r="A5055" s="2" t="str">
        <f>HYPERLINK("https://www.compass.com/listing/15-hudson-yards-unit-78a-manhattan-ny-10001/339657059653487361/","15 Hudson Yards, Unit 78A")</f>
        <v>15 Hudson Yards, Unit 78A</v>
      </c>
      <c r="B5055" s="2" t="str">
        <f t="shared" si="861"/>
        <v>Fifteen Hudson Yards</v>
      </c>
      <c r="C5055" s="1" t="s">
        <v>77</v>
      </c>
      <c r="D5055" s="1" t="s">
        <v>41</v>
      </c>
      <c r="E5055" s="3">
        <v>8672287</v>
      </c>
      <c r="F5055" s="1">
        <v>3685.62983425414</v>
      </c>
      <c r="G5055" s="1">
        <v>6</v>
      </c>
      <c r="H5055" s="1">
        <v>3</v>
      </c>
      <c r="I5055" s="1">
        <v>4</v>
      </c>
      <c r="J5055" s="1">
        <v>3.5</v>
      </c>
      <c r="K5055" s="1">
        <v>3</v>
      </c>
      <c r="L5055" s="1">
        <v>1</v>
      </c>
      <c r="M5055" s="4">
        <v>2353</v>
      </c>
      <c r="N5055" s="1">
        <v>5833</v>
      </c>
      <c r="O5055" s="1">
        <v>5914</v>
      </c>
      <c r="P5055" s="1">
        <v>81</v>
      </c>
      <c r="Q5055" s="1" t="s">
        <v>42</v>
      </c>
      <c r="S5055" s="1" t="s">
        <v>42</v>
      </c>
      <c r="T5055" s="1" t="s">
        <v>273</v>
      </c>
      <c r="U5055" s="1">
        <v>1015</v>
      </c>
      <c r="V5055" s="5">
        <v>43721</v>
      </c>
      <c r="W5055" s="5">
        <v>42702</v>
      </c>
      <c r="AA5055" s="1">
        <v>8672287</v>
      </c>
      <c r="AB5055" s="1" t="s">
        <v>275</v>
      </c>
      <c r="AC5055" s="5">
        <v>43718</v>
      </c>
      <c r="AF5055" s="1">
        <v>10001</v>
      </c>
      <c r="AJ5055" s="1">
        <v>2018</v>
      </c>
      <c r="AK5055" s="1" t="s">
        <v>49</v>
      </c>
      <c r="AL5055" s="1">
        <v>285</v>
      </c>
    </row>
    <row r="5056" spans="1:38" x14ac:dyDescent="0.2">
      <c r="A5056" s="2" t="str">
        <f>HYPERLINK("https://www.compass.com/listing/15-hudson-yards-unit-79a-manhattan-ny-10001/339657060182214401/","15 Hudson Yards, Unit 79A")</f>
        <v>15 Hudson Yards, Unit 79A</v>
      </c>
      <c r="B5056" s="2" t="str">
        <f t="shared" si="861"/>
        <v>Fifteen Hudson Yards</v>
      </c>
      <c r="C5056" s="1" t="s">
        <v>77</v>
      </c>
      <c r="D5056" s="1" t="s">
        <v>41</v>
      </c>
      <c r="E5056" s="3">
        <v>8690289</v>
      </c>
      <c r="F5056" s="1">
        <v>3707.4611774743998</v>
      </c>
      <c r="G5056" s="1">
        <v>5</v>
      </c>
      <c r="H5056" s="1">
        <v>3</v>
      </c>
      <c r="I5056" s="1">
        <v>4</v>
      </c>
      <c r="J5056" s="1">
        <v>3.5</v>
      </c>
      <c r="K5056" s="1">
        <v>3</v>
      </c>
      <c r="L5056" s="1">
        <v>1</v>
      </c>
      <c r="M5056" s="4">
        <v>2344</v>
      </c>
      <c r="N5056" s="1">
        <v>5825</v>
      </c>
      <c r="O5056" s="1">
        <v>5906</v>
      </c>
      <c r="P5056" s="1">
        <v>81</v>
      </c>
      <c r="Q5056" s="1" t="s">
        <v>42</v>
      </c>
      <c r="S5056" s="1" t="s">
        <v>42</v>
      </c>
      <c r="T5056" s="1" t="s">
        <v>273</v>
      </c>
      <c r="U5056" s="1">
        <v>1015</v>
      </c>
      <c r="V5056" s="5">
        <v>43721</v>
      </c>
      <c r="W5056" s="5">
        <v>42702</v>
      </c>
      <c r="AA5056" s="1">
        <v>8690289</v>
      </c>
      <c r="AB5056" s="1" t="s">
        <v>275</v>
      </c>
      <c r="AC5056" s="5">
        <v>43718</v>
      </c>
      <c r="AF5056" s="1">
        <v>10001</v>
      </c>
      <c r="AJ5056" s="1">
        <v>2018</v>
      </c>
      <c r="AK5056" s="1" t="s">
        <v>49</v>
      </c>
      <c r="AL5056" s="1">
        <v>285</v>
      </c>
    </row>
    <row r="5057" spans="1:38" x14ac:dyDescent="0.2">
      <c r="A5057" s="2" t="str">
        <f>HYPERLINK("https://www.compass.com/listing/15-hudson-yards-unit-ph83c-manhattan-ny-10001/423807410670878385/","15 Hudson Yards, Unit PH83C")</f>
        <v>15 Hudson Yards, Unit PH83C</v>
      </c>
      <c r="B5057" s="2" t="str">
        <f t="shared" si="861"/>
        <v>Fifteen Hudson Yards</v>
      </c>
      <c r="C5057" s="1" t="s">
        <v>77</v>
      </c>
      <c r="D5057" s="1" t="s">
        <v>41</v>
      </c>
      <c r="E5057" s="3">
        <v>9478398</v>
      </c>
      <c r="F5057" s="1">
        <v>3639.9377880184302</v>
      </c>
      <c r="G5057" s="1">
        <v>5</v>
      </c>
      <c r="H5057" s="1">
        <v>3</v>
      </c>
      <c r="I5057" s="1">
        <v>4</v>
      </c>
      <c r="J5057" s="1">
        <v>3.5</v>
      </c>
      <c r="K5057" s="1">
        <v>3</v>
      </c>
      <c r="L5057" s="1">
        <v>1</v>
      </c>
      <c r="M5057" s="4">
        <v>2604</v>
      </c>
      <c r="N5057" s="1">
        <v>6096</v>
      </c>
      <c r="O5057" s="1">
        <v>6181</v>
      </c>
      <c r="P5057" s="1">
        <v>85</v>
      </c>
      <c r="Q5057" s="1" t="s">
        <v>42</v>
      </c>
      <c r="S5057" s="1" t="s">
        <v>42</v>
      </c>
      <c r="T5057" s="1" t="s">
        <v>273</v>
      </c>
      <c r="U5057" s="1">
        <v>1040</v>
      </c>
      <c r="V5057" s="5">
        <v>43844</v>
      </c>
      <c r="W5057" s="5">
        <v>42793</v>
      </c>
      <c r="AA5057" s="1">
        <v>9478398</v>
      </c>
      <c r="AB5057" s="1" t="s">
        <v>275</v>
      </c>
      <c r="AC5057" s="5">
        <v>43833</v>
      </c>
      <c r="AF5057" s="1">
        <v>10001</v>
      </c>
      <c r="AJ5057" s="1">
        <v>2018</v>
      </c>
      <c r="AK5057" s="1" t="s">
        <v>46</v>
      </c>
      <c r="AL5057" s="1">
        <v>285</v>
      </c>
    </row>
    <row r="5058" spans="1:38" x14ac:dyDescent="0.2">
      <c r="A5058" s="2" t="str">
        <f>HYPERLINK("https://www.compass.com/listing/35-hudson-yards-unit-6701-manhattan-ny-10001/771989320876053561/","35 Hudson Yards, Unit 6701")</f>
        <v>35 Hudson Yards, Unit 6701</v>
      </c>
      <c r="B5058" s="2" t="str">
        <f>HYPERLINK("https://www.compass.com/building/35-hudson-yards-manhattan-ny/292773408544917349/","35 Hudson Yards")</f>
        <v>35 Hudson Yards</v>
      </c>
      <c r="C5058" s="1" t="s">
        <v>77</v>
      </c>
      <c r="D5058" s="1" t="s">
        <v>41</v>
      </c>
      <c r="E5058" s="3">
        <v>6500000</v>
      </c>
      <c r="F5058" s="1">
        <v>2529.1828793774298</v>
      </c>
      <c r="G5058" s="1">
        <v>8</v>
      </c>
      <c r="H5058" s="1">
        <v>3</v>
      </c>
      <c r="I5058" s="1">
        <v>3.5</v>
      </c>
      <c r="J5058" s="1">
        <v>3.5</v>
      </c>
      <c r="K5058" s="1">
        <v>3</v>
      </c>
      <c r="L5058" s="1">
        <v>1</v>
      </c>
      <c r="M5058" s="4">
        <v>2570</v>
      </c>
      <c r="N5058" s="1">
        <v>7570</v>
      </c>
      <c r="O5058" s="1">
        <v>8098</v>
      </c>
      <c r="P5058" s="1">
        <v>528</v>
      </c>
      <c r="Q5058" s="1" t="s">
        <v>42</v>
      </c>
      <c r="S5058" s="1" t="s">
        <v>42</v>
      </c>
      <c r="T5058" s="1" t="s">
        <v>273</v>
      </c>
      <c r="U5058" s="1">
        <v>6</v>
      </c>
      <c r="V5058" s="5">
        <v>44385</v>
      </c>
      <c r="W5058" s="5">
        <v>44316</v>
      </c>
      <c r="X5058" s="1">
        <v>9850000</v>
      </c>
      <c r="Y5058" s="1">
        <v>9850000</v>
      </c>
      <c r="Z5058" s="5">
        <v>44323</v>
      </c>
      <c r="AA5058" s="1">
        <v>6500000</v>
      </c>
      <c r="AB5058" s="1" t="s">
        <v>275</v>
      </c>
      <c r="AC5058" s="5">
        <v>44383</v>
      </c>
      <c r="AF5058" s="1">
        <v>10001</v>
      </c>
      <c r="AI5058" s="1" t="s">
        <v>48</v>
      </c>
      <c r="AJ5058" s="1">
        <v>2019</v>
      </c>
      <c r="AK5058" s="1" t="s">
        <v>108</v>
      </c>
      <c r="AL5058" s="1">
        <v>143</v>
      </c>
    </row>
    <row r="5059" spans="1:38" x14ac:dyDescent="0.2">
      <c r="A5059" s="2" t="str">
        <f>HYPERLINK("https://www.compass.com/listing/15-hudson-yards-unit-31d-manhattan-ny-10001/218785044884371441/","15 Hudson Yards, Unit 31D")</f>
        <v>15 Hudson Yards, Unit 31D</v>
      </c>
      <c r="B5059" s="2" t="str">
        <f t="shared" ref="B5059:B5068" si="862">HYPERLINK("https://www.compass.com/building/fifteen-hudson-yards-manhattan-ny/282058587512011909/","Fifteen Hudson Yards")</f>
        <v>Fifteen Hudson Yards</v>
      </c>
      <c r="C5059" s="1" t="s">
        <v>77</v>
      </c>
      <c r="D5059" s="1" t="s">
        <v>41</v>
      </c>
      <c r="E5059" s="3">
        <v>3868698</v>
      </c>
      <c r="F5059" s="1">
        <v>2468.8564135290299</v>
      </c>
      <c r="G5059" s="1">
        <v>4</v>
      </c>
      <c r="H5059" s="1">
        <v>2</v>
      </c>
      <c r="I5059" s="1">
        <v>3</v>
      </c>
      <c r="J5059" s="1">
        <v>2.5</v>
      </c>
      <c r="K5059" s="1">
        <v>2</v>
      </c>
      <c r="L5059" s="1">
        <v>1</v>
      </c>
      <c r="M5059" s="4">
        <v>1567</v>
      </c>
      <c r="N5059" s="1">
        <v>3368</v>
      </c>
      <c r="O5059" s="1">
        <v>3415</v>
      </c>
      <c r="P5059" s="1">
        <v>47</v>
      </c>
      <c r="Q5059" s="1" t="s">
        <v>42</v>
      </c>
      <c r="S5059" s="1" t="s">
        <v>42</v>
      </c>
      <c r="T5059" s="1" t="s">
        <v>273</v>
      </c>
      <c r="U5059" s="1">
        <v>762</v>
      </c>
      <c r="V5059" s="5">
        <v>43648</v>
      </c>
      <c r="W5059" s="5">
        <v>42790</v>
      </c>
      <c r="X5059" s="1">
        <v>3830000</v>
      </c>
      <c r="Y5059" s="1">
        <v>3830000</v>
      </c>
      <c r="AA5059" s="1">
        <v>3868698</v>
      </c>
      <c r="AB5059" s="1" t="s">
        <v>275</v>
      </c>
      <c r="AC5059" s="5">
        <v>43552</v>
      </c>
      <c r="AF5059" s="1">
        <v>10001</v>
      </c>
      <c r="AJ5059" s="1">
        <v>2018</v>
      </c>
      <c r="AK5059" s="1" t="s">
        <v>46</v>
      </c>
      <c r="AL5059" s="1">
        <v>285</v>
      </c>
    </row>
    <row r="5060" spans="1:38" x14ac:dyDescent="0.2">
      <c r="A5060" s="2" t="str">
        <f>HYPERLINK("https://www.compass.com/listing/15-hudson-yards-unit-64c-manhattan-ny-10001/254338535144927233/","15 Hudson Yards, Unit 64C")</f>
        <v>15 Hudson Yards, Unit 64C</v>
      </c>
      <c r="B5060" s="2" t="str">
        <f t="shared" si="862"/>
        <v>Fifteen Hudson Yards</v>
      </c>
      <c r="C5060" s="1" t="s">
        <v>77</v>
      </c>
      <c r="D5060" s="1" t="s">
        <v>41</v>
      </c>
      <c r="E5060" s="3">
        <v>4815000</v>
      </c>
      <c r="F5060" s="1">
        <v>2534.21052631578</v>
      </c>
      <c r="G5060" s="1">
        <v>4</v>
      </c>
      <c r="H5060" s="1">
        <v>2</v>
      </c>
      <c r="I5060" s="1">
        <v>3</v>
      </c>
      <c r="J5060" s="1">
        <v>2.5</v>
      </c>
      <c r="K5060" s="1">
        <v>2</v>
      </c>
      <c r="L5060" s="1">
        <v>1</v>
      </c>
      <c r="M5060" s="4">
        <v>1900</v>
      </c>
      <c r="N5060" s="1">
        <v>4098</v>
      </c>
      <c r="O5060" s="1">
        <v>4155</v>
      </c>
      <c r="P5060" s="1">
        <v>57</v>
      </c>
      <c r="Q5060" s="1" t="s">
        <v>42</v>
      </c>
      <c r="S5060" s="1" t="s">
        <v>42</v>
      </c>
      <c r="T5060" s="1" t="s">
        <v>273</v>
      </c>
      <c r="U5060" s="1">
        <v>780</v>
      </c>
      <c r="V5060" s="5">
        <v>43603</v>
      </c>
      <c r="W5060" s="5">
        <v>42821</v>
      </c>
      <c r="AA5060" s="1">
        <v>4815000</v>
      </c>
      <c r="AB5060" s="1" t="s">
        <v>275</v>
      </c>
      <c r="AC5060" s="5">
        <v>43601</v>
      </c>
      <c r="AF5060" s="1">
        <v>10001</v>
      </c>
      <c r="AJ5060" s="1">
        <v>2018</v>
      </c>
      <c r="AK5060" s="1" t="s">
        <v>49</v>
      </c>
      <c r="AL5060" s="1">
        <v>285</v>
      </c>
    </row>
    <row r="5061" spans="1:38" x14ac:dyDescent="0.2">
      <c r="A5061" s="2" t="str">
        <f>HYPERLINK("https://www.compass.com/listing/15-hudson-yards-unit-39g-manhattan-ny-10001/284658215797447697/","15 Hudson Yards, Unit 39G")</f>
        <v>15 Hudson Yards, Unit 39G</v>
      </c>
      <c r="B5061" s="2" t="str">
        <f t="shared" si="862"/>
        <v>Fifteen Hudson Yards</v>
      </c>
      <c r="C5061" s="1" t="s">
        <v>77</v>
      </c>
      <c r="D5061" s="1" t="s">
        <v>41</v>
      </c>
      <c r="E5061" s="3">
        <v>4360150</v>
      </c>
      <c r="F5061" s="1">
        <v>3000.7914659325502</v>
      </c>
      <c r="G5061" s="1">
        <v>4</v>
      </c>
      <c r="H5061" s="1">
        <v>2</v>
      </c>
      <c r="I5061" s="1">
        <v>3</v>
      </c>
      <c r="J5061" s="1">
        <v>2.5</v>
      </c>
      <c r="K5061" s="1">
        <v>2</v>
      </c>
      <c r="L5061" s="1">
        <v>1</v>
      </c>
      <c r="M5061" s="4">
        <v>1453</v>
      </c>
      <c r="N5061" s="1">
        <v>3379</v>
      </c>
      <c r="O5061" s="1">
        <v>3426</v>
      </c>
      <c r="P5061" s="1">
        <v>47</v>
      </c>
      <c r="Q5061" s="1" t="s">
        <v>42</v>
      </c>
      <c r="S5061" s="1" t="s">
        <v>42</v>
      </c>
      <c r="T5061" s="1" t="s">
        <v>273</v>
      </c>
      <c r="U5061" s="1">
        <v>827</v>
      </c>
      <c r="V5061" s="5">
        <v>43645</v>
      </c>
      <c r="W5061" s="5">
        <v>42816</v>
      </c>
      <c r="AA5061" s="1">
        <v>4360150</v>
      </c>
      <c r="AB5061" s="1" t="s">
        <v>275</v>
      </c>
      <c r="AC5061" s="5">
        <v>43643</v>
      </c>
      <c r="AF5061" s="1">
        <v>10001</v>
      </c>
      <c r="AJ5061" s="1">
        <v>2018</v>
      </c>
      <c r="AK5061" s="1" t="s">
        <v>46</v>
      </c>
      <c r="AL5061" s="1">
        <v>285</v>
      </c>
    </row>
    <row r="5062" spans="1:38" x14ac:dyDescent="0.2">
      <c r="A5062" s="2" t="str">
        <f>HYPERLINK("https://www.compass.com/listing/15-hudson-yards-unit-29g-manhattan-ny-10001/29336587133352657/","15 Hudson Yards, Unit 29G")</f>
        <v>15 Hudson Yards, Unit 29G</v>
      </c>
      <c r="B5062" s="2" t="str">
        <f t="shared" si="862"/>
        <v>Fifteen Hudson Yards</v>
      </c>
      <c r="C5062" s="1" t="s">
        <v>77</v>
      </c>
      <c r="D5062" s="1" t="s">
        <v>41</v>
      </c>
      <c r="E5062" s="3">
        <v>4348750</v>
      </c>
      <c r="F5062" s="1">
        <v>2970.4576502732202</v>
      </c>
      <c r="G5062" s="1">
        <v>4</v>
      </c>
      <c r="H5062" s="1">
        <v>2</v>
      </c>
      <c r="I5062" s="1">
        <v>3</v>
      </c>
      <c r="J5062" s="1">
        <v>2.5</v>
      </c>
      <c r="K5062" s="1">
        <v>2</v>
      </c>
      <c r="L5062" s="1">
        <v>1</v>
      </c>
      <c r="M5062" s="4">
        <v>1464</v>
      </c>
      <c r="N5062" s="1">
        <v>3348</v>
      </c>
      <c r="O5062" s="1">
        <v>3395</v>
      </c>
      <c r="P5062" s="1">
        <v>47</v>
      </c>
      <c r="Q5062" s="1" t="s">
        <v>42</v>
      </c>
      <c r="S5062" s="1" t="s">
        <v>42</v>
      </c>
      <c r="T5062" s="1" t="s">
        <v>273</v>
      </c>
      <c r="U5062" s="1">
        <v>14</v>
      </c>
      <c r="V5062" s="5">
        <v>43574</v>
      </c>
      <c r="W5062" s="5">
        <v>43041</v>
      </c>
      <c r="X5062" s="1">
        <v>4345000</v>
      </c>
      <c r="Y5062" s="1">
        <v>4345000</v>
      </c>
      <c r="AA5062" s="1">
        <v>4348750</v>
      </c>
      <c r="AB5062" s="1" t="s">
        <v>275</v>
      </c>
      <c r="AC5062" s="5">
        <v>43521</v>
      </c>
      <c r="AF5062" s="1">
        <v>10001</v>
      </c>
      <c r="AJ5062" s="1">
        <v>2018</v>
      </c>
      <c r="AK5062" s="1" t="s">
        <v>46</v>
      </c>
      <c r="AL5062" s="1">
        <v>285</v>
      </c>
    </row>
    <row r="5063" spans="1:38" x14ac:dyDescent="0.2">
      <c r="A5063" s="2" t="str">
        <f>HYPERLINK("https://www.compass.com/listing/15-hudson-yards-unit-71f-manhattan-ny-10001/319320764545006785/","15 Hudson Yards, Unit 71F")</f>
        <v>15 Hudson Yards, Unit 71F</v>
      </c>
      <c r="B5063" s="2" t="str">
        <f t="shared" si="862"/>
        <v>Fifteen Hudson Yards</v>
      </c>
      <c r="C5063" s="1" t="s">
        <v>77</v>
      </c>
      <c r="D5063" s="1" t="s">
        <v>41</v>
      </c>
      <c r="E5063" s="3">
        <v>4974250</v>
      </c>
      <c r="F5063" s="1">
        <v>2876.9519953730401</v>
      </c>
      <c r="G5063" s="1">
        <v>4</v>
      </c>
      <c r="H5063" s="1">
        <v>2</v>
      </c>
      <c r="I5063" s="1">
        <v>3</v>
      </c>
      <c r="J5063" s="1">
        <v>2.5</v>
      </c>
      <c r="K5063" s="1">
        <v>2</v>
      </c>
      <c r="L5063" s="1">
        <v>1</v>
      </c>
      <c r="M5063" s="4">
        <v>1729</v>
      </c>
      <c r="N5063" s="1">
        <v>3890</v>
      </c>
      <c r="O5063" s="1">
        <v>3944</v>
      </c>
      <c r="P5063" s="1">
        <v>54</v>
      </c>
      <c r="Q5063" s="1" t="s">
        <v>42</v>
      </c>
      <c r="S5063" s="1" t="s">
        <v>42</v>
      </c>
      <c r="T5063" s="1" t="s">
        <v>273</v>
      </c>
      <c r="U5063" s="1">
        <v>900</v>
      </c>
      <c r="V5063" s="5">
        <v>43704</v>
      </c>
      <c r="W5063" s="5">
        <v>42790</v>
      </c>
      <c r="X5063" s="1">
        <v>4970000</v>
      </c>
      <c r="Y5063" s="1">
        <v>4970000</v>
      </c>
      <c r="AA5063" s="1">
        <v>4974250</v>
      </c>
      <c r="AB5063" s="1" t="s">
        <v>3533</v>
      </c>
      <c r="AC5063" s="5">
        <v>43690</v>
      </c>
      <c r="AF5063" s="1">
        <v>10001</v>
      </c>
      <c r="AJ5063" s="1">
        <v>2018</v>
      </c>
      <c r="AK5063" s="1" t="s">
        <v>49</v>
      </c>
      <c r="AL5063" s="1">
        <v>285</v>
      </c>
    </row>
    <row r="5064" spans="1:38" x14ac:dyDescent="0.2">
      <c r="A5064" s="2" t="str">
        <f>HYPERLINK("https://www.compass.com/listing/15-hudson-yards-unit-80d-manhattan-ny-10001/328777461219003217/","15 Hudson Yards, Unit 80D")</f>
        <v>15 Hudson Yards, Unit 80D</v>
      </c>
      <c r="B5064" s="2" t="str">
        <f t="shared" si="862"/>
        <v>Fifteen Hudson Yards</v>
      </c>
      <c r="C5064" s="1" t="s">
        <v>77</v>
      </c>
      <c r="D5064" s="1" t="s">
        <v>41</v>
      </c>
      <c r="E5064" s="3">
        <v>7210914</v>
      </c>
      <c r="F5064" s="1">
        <v>3315.3627586206899</v>
      </c>
      <c r="G5064" s="1">
        <v>4</v>
      </c>
      <c r="H5064" s="1">
        <v>2</v>
      </c>
      <c r="I5064" s="1">
        <v>3</v>
      </c>
      <c r="J5064" s="1">
        <v>2.5</v>
      </c>
      <c r="K5064" s="1">
        <v>2</v>
      </c>
      <c r="L5064" s="1">
        <v>1</v>
      </c>
      <c r="M5064" s="4">
        <v>2175</v>
      </c>
      <c r="N5064" s="1">
        <v>5094</v>
      </c>
      <c r="O5064" s="1">
        <v>5165</v>
      </c>
      <c r="P5064" s="1">
        <v>71</v>
      </c>
      <c r="Q5064" s="1" t="s">
        <v>42</v>
      </c>
      <c r="S5064" s="1" t="s">
        <v>42</v>
      </c>
      <c r="T5064" s="1" t="s">
        <v>273</v>
      </c>
      <c r="U5064" s="1">
        <v>957</v>
      </c>
      <c r="V5064" s="5">
        <v>43717</v>
      </c>
      <c r="W5064" s="5">
        <v>42748</v>
      </c>
      <c r="X5064" s="1">
        <v>7077500</v>
      </c>
      <c r="Y5064" s="1">
        <v>7077500</v>
      </c>
      <c r="AA5064" s="1">
        <v>7210914</v>
      </c>
      <c r="AB5064" s="1" t="s">
        <v>275</v>
      </c>
      <c r="AC5064" s="5">
        <v>43705</v>
      </c>
      <c r="AF5064" s="1">
        <v>10001</v>
      </c>
      <c r="AJ5064" s="1">
        <v>2018</v>
      </c>
      <c r="AK5064" s="1" t="s">
        <v>49</v>
      </c>
      <c r="AL5064" s="1">
        <v>285</v>
      </c>
    </row>
    <row r="5065" spans="1:38" x14ac:dyDescent="0.2">
      <c r="A5065" s="2" t="str">
        <f>HYPERLINK("https://www.compass.com/listing/15-hudson-yards-unit-33c-manhattan-ny-10001/357904813779008113/","15 Hudson Yards, Unit 33C")</f>
        <v>15 Hudson Yards, Unit 33C</v>
      </c>
      <c r="B5065" s="2" t="str">
        <f t="shared" si="862"/>
        <v>Fifteen Hudson Yards</v>
      </c>
      <c r="C5065" s="1" t="s">
        <v>77</v>
      </c>
      <c r="D5065" s="1" t="s">
        <v>41</v>
      </c>
      <c r="E5065" s="3">
        <v>4725000</v>
      </c>
      <c r="F5065" s="1">
        <v>2848.1012658227801</v>
      </c>
      <c r="G5065" s="1">
        <v>4</v>
      </c>
      <c r="H5065" s="1">
        <v>2</v>
      </c>
      <c r="I5065" s="1">
        <v>3</v>
      </c>
      <c r="J5065" s="1">
        <v>2.5</v>
      </c>
      <c r="K5065" s="1">
        <v>2</v>
      </c>
      <c r="L5065" s="1">
        <v>1</v>
      </c>
      <c r="M5065" s="4">
        <v>1659</v>
      </c>
      <c r="N5065" s="1">
        <v>3719</v>
      </c>
      <c r="O5065" s="1">
        <v>3771</v>
      </c>
      <c r="P5065" s="1">
        <v>52</v>
      </c>
      <c r="Q5065" s="1" t="s">
        <v>42</v>
      </c>
      <c r="S5065" s="1" t="s">
        <v>42</v>
      </c>
      <c r="T5065" s="1" t="s">
        <v>273</v>
      </c>
      <c r="U5065" s="1">
        <v>1093</v>
      </c>
      <c r="V5065" s="5">
        <v>43746</v>
      </c>
      <c r="W5065" s="5">
        <v>42639</v>
      </c>
      <c r="AA5065" s="1">
        <v>4725000</v>
      </c>
      <c r="AB5065" s="1" t="s">
        <v>275</v>
      </c>
      <c r="AC5065" s="5">
        <v>43732</v>
      </c>
      <c r="AF5065" s="1">
        <v>10001</v>
      </c>
      <c r="AJ5065" s="1">
        <v>2018</v>
      </c>
      <c r="AK5065" s="1" t="s">
        <v>49</v>
      </c>
      <c r="AL5065" s="1">
        <v>285</v>
      </c>
    </row>
    <row r="5066" spans="1:38" x14ac:dyDescent="0.2">
      <c r="A5066" s="2" t="str">
        <f>HYPERLINK("https://www.compass.com/listing/15-hudson-yards-unit-30c-manhattan-ny-10001/386129553971192961/","15 Hudson Yards, Unit 30C")</f>
        <v>15 Hudson Yards, Unit 30C</v>
      </c>
      <c r="B5066" s="2" t="str">
        <f t="shared" si="862"/>
        <v>Fifteen Hudson Yards</v>
      </c>
      <c r="C5066" s="1" t="s">
        <v>77</v>
      </c>
      <c r="D5066" s="1" t="s">
        <v>41</v>
      </c>
      <c r="E5066" s="3">
        <v>4739612</v>
      </c>
      <c r="F5066" s="1">
        <v>2853.4689945815699</v>
      </c>
      <c r="G5066" s="1">
        <v>4</v>
      </c>
      <c r="H5066" s="1">
        <v>2</v>
      </c>
      <c r="I5066" s="1">
        <v>3</v>
      </c>
      <c r="J5066" s="1">
        <v>2.5</v>
      </c>
      <c r="K5066" s="1">
        <v>2</v>
      </c>
      <c r="L5066" s="1">
        <v>1</v>
      </c>
      <c r="M5066" s="4">
        <v>1661</v>
      </c>
      <c r="N5066" s="1">
        <v>3704</v>
      </c>
      <c r="O5066" s="1">
        <v>3755</v>
      </c>
      <c r="P5066" s="1">
        <v>51</v>
      </c>
      <c r="Q5066" s="1" t="s">
        <v>42</v>
      </c>
      <c r="S5066" s="1" t="s">
        <v>42</v>
      </c>
      <c r="T5066" s="1" t="s">
        <v>273</v>
      </c>
      <c r="U5066" s="1">
        <v>1028</v>
      </c>
      <c r="V5066" s="5">
        <v>43795</v>
      </c>
      <c r="W5066" s="5">
        <v>42756</v>
      </c>
      <c r="X5066" s="1">
        <v>4650000</v>
      </c>
      <c r="Y5066" s="1">
        <v>4650000</v>
      </c>
      <c r="AA5066" s="1">
        <v>4739612</v>
      </c>
      <c r="AB5066" s="1" t="s">
        <v>275</v>
      </c>
      <c r="AC5066" s="5">
        <v>43784</v>
      </c>
      <c r="AF5066" s="1">
        <v>10001</v>
      </c>
      <c r="AJ5066" s="1">
        <v>2018</v>
      </c>
      <c r="AK5066" s="1" t="s">
        <v>49</v>
      </c>
      <c r="AL5066" s="1">
        <v>285</v>
      </c>
    </row>
    <row r="5067" spans="1:38" x14ac:dyDescent="0.2">
      <c r="A5067" s="2" t="str">
        <f>HYPERLINK("https://www.compass.com/listing/15-hudson-yards-unit-35c-manhattan-ny-10001/415772299190377825/","15 Hudson Yards, Unit 35C")</f>
        <v>15 Hudson Yards, Unit 35C</v>
      </c>
      <c r="B5067" s="2" t="str">
        <f t="shared" si="862"/>
        <v>Fifteen Hudson Yards</v>
      </c>
      <c r="C5067" s="1" t="s">
        <v>77</v>
      </c>
      <c r="D5067" s="1" t="s">
        <v>41</v>
      </c>
      <c r="E5067" s="3">
        <v>4775000</v>
      </c>
      <c r="F5067" s="1">
        <v>2881.7139408569701</v>
      </c>
      <c r="G5067" s="1">
        <v>4</v>
      </c>
      <c r="H5067" s="1">
        <v>2</v>
      </c>
      <c r="I5067" s="1">
        <v>3</v>
      </c>
      <c r="J5067" s="1">
        <v>2.5</v>
      </c>
      <c r="K5067" s="1">
        <v>2</v>
      </c>
      <c r="L5067" s="1">
        <v>1</v>
      </c>
      <c r="M5067" s="4">
        <v>1657</v>
      </c>
      <c r="N5067" s="1">
        <v>3729</v>
      </c>
      <c r="O5067" s="1">
        <v>3781</v>
      </c>
      <c r="P5067" s="1">
        <v>52</v>
      </c>
      <c r="Q5067" s="1" t="s">
        <v>42</v>
      </c>
      <c r="S5067" s="1" t="s">
        <v>42</v>
      </c>
      <c r="T5067" s="1" t="s">
        <v>273</v>
      </c>
      <c r="U5067" s="1">
        <v>1170</v>
      </c>
      <c r="V5067" s="5">
        <v>43830</v>
      </c>
      <c r="W5067" s="5">
        <v>42648</v>
      </c>
      <c r="X5067" s="1">
        <v>4775000</v>
      </c>
      <c r="Y5067" s="1">
        <v>4775000</v>
      </c>
      <c r="AA5067" s="1">
        <v>4867393</v>
      </c>
      <c r="AB5067" s="1" t="s">
        <v>275</v>
      </c>
      <c r="AC5067" s="5">
        <v>43818</v>
      </c>
      <c r="AF5067" s="1">
        <v>10001</v>
      </c>
      <c r="AJ5067" s="1">
        <v>2018</v>
      </c>
      <c r="AK5067" s="1" t="s">
        <v>46</v>
      </c>
      <c r="AL5067" s="1">
        <v>285</v>
      </c>
    </row>
    <row r="5068" spans="1:38" x14ac:dyDescent="0.2">
      <c r="A5068" s="2" t="str">
        <f>HYPERLINK("https://www.compass.com/listing/15-hudson-yards-unit-36c-manhattan-ny-10001/425921924973721521/","15 Hudson Yards, Unit 36C")</f>
        <v>15 Hudson Yards, Unit 36C</v>
      </c>
      <c r="B5068" s="2" t="str">
        <f t="shared" si="862"/>
        <v>Fifteen Hudson Yards</v>
      </c>
      <c r="C5068" s="1" t="s">
        <v>77</v>
      </c>
      <c r="D5068" s="1" t="s">
        <v>41</v>
      </c>
      <c r="E5068" s="3">
        <v>4800000</v>
      </c>
      <c r="F5068" s="1">
        <v>2898.5507246376801</v>
      </c>
      <c r="G5068" s="1">
        <v>4</v>
      </c>
      <c r="H5068" s="1">
        <v>2</v>
      </c>
      <c r="I5068" s="1">
        <v>3</v>
      </c>
      <c r="J5068" s="1">
        <v>2.5</v>
      </c>
      <c r="K5068" s="1">
        <v>2</v>
      </c>
      <c r="L5068" s="1">
        <v>1</v>
      </c>
      <c r="M5068" s="4">
        <v>1656</v>
      </c>
      <c r="N5068" s="1">
        <v>3733</v>
      </c>
      <c r="O5068" s="1">
        <v>3785</v>
      </c>
      <c r="P5068" s="1">
        <v>52</v>
      </c>
      <c r="Q5068" s="1" t="s">
        <v>42</v>
      </c>
      <c r="S5068" s="1" t="s">
        <v>42</v>
      </c>
      <c r="T5068" s="1" t="s">
        <v>273</v>
      </c>
      <c r="U5068" s="1">
        <v>1177</v>
      </c>
      <c r="V5068" s="5">
        <v>43840</v>
      </c>
      <c r="W5068" s="5">
        <v>42661</v>
      </c>
      <c r="AA5068" s="1">
        <v>4800000</v>
      </c>
      <c r="AB5068" s="1" t="s">
        <v>275</v>
      </c>
      <c r="AC5068" s="5">
        <v>43838</v>
      </c>
      <c r="AF5068" s="1">
        <v>10001</v>
      </c>
      <c r="AJ5068" s="1">
        <v>2018</v>
      </c>
      <c r="AK5068" s="1" t="s">
        <v>46</v>
      </c>
      <c r="AL5068" s="1">
        <v>285</v>
      </c>
    </row>
    <row r="5069" spans="1:38" x14ac:dyDescent="0.2">
      <c r="A5069" s="2" t="str">
        <f>HYPERLINK("https://www.compass.com/listing/138-east-50th-street-unit-26c-manhattan-ny-10022/679364117601115313/","138 E 50th St, Unit 26C")</f>
        <v>138 E 50th St, Unit 26C</v>
      </c>
      <c r="B5069" s="2" t="str">
        <f>HYPERLINK("https://www.compass.com/building/the-centrale-manhattan-ny/281941497232811621/","The Centrale")</f>
        <v>The Centrale</v>
      </c>
      <c r="C5069" s="1" t="s">
        <v>116</v>
      </c>
      <c r="D5069" s="1" t="s">
        <v>41</v>
      </c>
      <c r="E5069" s="3">
        <v>2039046</v>
      </c>
      <c r="F5069" s="1">
        <v>1527.37528089887</v>
      </c>
      <c r="G5069" s="1">
        <v>4</v>
      </c>
      <c r="H5069" s="1">
        <v>2</v>
      </c>
      <c r="I5069" s="1">
        <v>2</v>
      </c>
      <c r="J5069" s="1">
        <v>2</v>
      </c>
      <c r="K5069" s="1">
        <v>2</v>
      </c>
      <c r="M5069" s="4">
        <v>1335</v>
      </c>
      <c r="N5069" s="1">
        <v>1400</v>
      </c>
      <c r="O5069" s="1">
        <v>3485</v>
      </c>
      <c r="P5069" s="1">
        <v>2085</v>
      </c>
      <c r="Q5069" s="1" t="s">
        <v>42</v>
      </c>
      <c r="S5069" s="1" t="s">
        <v>42</v>
      </c>
      <c r="T5069" s="1" t="s">
        <v>273</v>
      </c>
      <c r="U5069" s="1">
        <v>5</v>
      </c>
      <c r="V5069" s="5">
        <v>44315</v>
      </c>
      <c r="W5069" s="5">
        <v>44183</v>
      </c>
      <c r="X5069" s="1">
        <v>3010000</v>
      </c>
      <c r="Z5069" s="5">
        <v>44188</v>
      </c>
      <c r="AB5069" s="1" t="s">
        <v>275</v>
      </c>
      <c r="AF5069" s="1">
        <v>10022</v>
      </c>
      <c r="AI5069" s="1" t="s">
        <v>65</v>
      </c>
      <c r="AJ5069" s="1">
        <v>2019</v>
      </c>
      <c r="AK5069" s="1" t="s">
        <v>46</v>
      </c>
      <c r="AL5069" s="1">
        <v>124</v>
      </c>
    </row>
    <row r="5070" spans="1:38" x14ac:dyDescent="0.2">
      <c r="A5070" s="2" t="str">
        <f>HYPERLINK("https://www.compass.com/listing/15-hudson-yards-unit-39d-manhattan-ny-10001/135418811502396145/","15 Hudson Yards, Unit 39D")</f>
        <v>15 Hudson Yards, Unit 39D</v>
      </c>
      <c r="B5070" s="2" t="str">
        <f t="shared" ref="B5070:B5072" si="863">HYPERLINK("https://www.compass.com/building/fifteen-hudson-yards-manhattan-ny/282058587512011909/","Fifteen Hudson Yards")</f>
        <v>Fifteen Hudson Yards</v>
      </c>
      <c r="C5070" s="1" t="s">
        <v>77</v>
      </c>
      <c r="D5070" s="1" t="s">
        <v>41</v>
      </c>
      <c r="E5070" s="3">
        <v>3950000</v>
      </c>
      <c r="F5070" s="1">
        <v>2540.1929260450102</v>
      </c>
      <c r="G5070" s="1">
        <v>4</v>
      </c>
      <c r="H5070" s="1">
        <v>2</v>
      </c>
      <c r="I5070" s="1">
        <v>3</v>
      </c>
      <c r="J5070" s="1">
        <v>2.5</v>
      </c>
      <c r="K5070" s="1">
        <v>2</v>
      </c>
      <c r="L5070" s="1">
        <v>1</v>
      </c>
      <c r="M5070" s="4">
        <v>1555</v>
      </c>
      <c r="N5070" s="1">
        <v>3469</v>
      </c>
      <c r="O5070" s="1">
        <v>3516</v>
      </c>
      <c r="P5070" s="1">
        <v>47</v>
      </c>
      <c r="Q5070" s="1" t="s">
        <v>42</v>
      </c>
      <c r="S5070" s="1" t="s">
        <v>42</v>
      </c>
      <c r="T5070" s="1" t="s">
        <v>273</v>
      </c>
      <c r="U5070" s="1">
        <v>189</v>
      </c>
      <c r="V5070" s="5">
        <v>43694</v>
      </c>
      <c r="W5070" s="5">
        <v>43439</v>
      </c>
      <c r="X5070" s="1">
        <v>3950000</v>
      </c>
      <c r="Y5070" s="1">
        <v>3950000</v>
      </c>
      <c r="AA5070" s="1">
        <v>3950000</v>
      </c>
      <c r="AB5070" s="1" t="s">
        <v>275</v>
      </c>
      <c r="AC5070" s="5">
        <v>43628</v>
      </c>
      <c r="AF5070" s="1">
        <v>10001</v>
      </c>
      <c r="AJ5070" s="1">
        <v>2018</v>
      </c>
      <c r="AK5070" s="1" t="s">
        <v>49</v>
      </c>
      <c r="AL5070" s="1">
        <v>285</v>
      </c>
    </row>
    <row r="5071" spans="1:38" x14ac:dyDescent="0.2">
      <c r="A5071" s="2" t="str">
        <f>HYPERLINK("https://www.compass.com/listing/15-hudson-yards-unit-24d-manhattan-ny-10001/22503119615196849/","15 Hudson Yards, Unit 24D")</f>
        <v>15 Hudson Yards, Unit 24D</v>
      </c>
      <c r="B5071" s="2" t="str">
        <f t="shared" si="863"/>
        <v>Fifteen Hudson Yards</v>
      </c>
      <c r="C5071" s="1" t="s">
        <v>77</v>
      </c>
      <c r="D5071" s="1" t="s">
        <v>41</v>
      </c>
      <c r="E5071" s="3">
        <v>3725000</v>
      </c>
      <c r="F5071" s="1">
        <v>2371.1012094207499</v>
      </c>
      <c r="G5071" s="1">
        <v>4</v>
      </c>
      <c r="H5071" s="1">
        <v>2</v>
      </c>
      <c r="I5071" s="1">
        <v>3</v>
      </c>
      <c r="J5071" s="1">
        <v>2.5</v>
      </c>
      <c r="K5071" s="1">
        <v>2</v>
      </c>
      <c r="L5071" s="1">
        <v>1</v>
      </c>
      <c r="M5071" s="4">
        <v>1571</v>
      </c>
      <c r="N5071" s="1">
        <v>3357</v>
      </c>
      <c r="O5071" s="1">
        <v>3404</v>
      </c>
      <c r="P5071" s="1">
        <v>47</v>
      </c>
      <c r="Q5071" s="1" t="s">
        <v>42</v>
      </c>
      <c r="S5071" s="1" t="s">
        <v>42</v>
      </c>
      <c r="T5071" s="1" t="s">
        <v>273</v>
      </c>
      <c r="U5071" s="1">
        <v>18</v>
      </c>
      <c r="V5071" s="5">
        <v>43770</v>
      </c>
      <c r="W5071" s="5">
        <v>43129</v>
      </c>
      <c r="X5071" s="1">
        <v>3725000</v>
      </c>
      <c r="Y5071" s="1">
        <v>3725000</v>
      </c>
      <c r="AA5071" s="1">
        <v>3725000</v>
      </c>
      <c r="AB5071" s="1" t="s">
        <v>275</v>
      </c>
      <c r="AC5071" s="5">
        <v>43769</v>
      </c>
      <c r="AF5071" s="1">
        <v>10001</v>
      </c>
      <c r="AJ5071" s="1">
        <v>2018</v>
      </c>
      <c r="AK5071" s="1" t="s">
        <v>49</v>
      </c>
      <c r="AL5071" s="1">
        <v>285</v>
      </c>
    </row>
    <row r="5072" spans="1:38" x14ac:dyDescent="0.2">
      <c r="A5072" s="2" t="str">
        <f>HYPERLINK("https://www.compass.com/listing/15-hudson-yards-unit-35d-manhattan-ny-10001/28641983337641697/","15 Hudson Yards, Unit 35D")</f>
        <v>15 Hudson Yards, Unit 35D</v>
      </c>
      <c r="B5072" s="2" t="str">
        <f t="shared" si="863"/>
        <v>Fifteen Hudson Yards</v>
      </c>
      <c r="C5072" s="1" t="s">
        <v>77</v>
      </c>
      <c r="D5072" s="1" t="s">
        <v>41</v>
      </c>
      <c r="E5072" s="3">
        <v>3890000</v>
      </c>
      <c r="F5072" s="1">
        <v>2532.5520833333298</v>
      </c>
      <c r="G5072" s="1">
        <v>4</v>
      </c>
      <c r="H5072" s="1">
        <v>2</v>
      </c>
      <c r="I5072" s="1">
        <v>3</v>
      </c>
      <c r="J5072" s="1">
        <v>2.5</v>
      </c>
      <c r="K5072" s="1">
        <v>2</v>
      </c>
      <c r="L5072" s="1">
        <v>1</v>
      </c>
      <c r="M5072" s="4">
        <v>1536</v>
      </c>
      <c r="N5072" s="1">
        <v>3387</v>
      </c>
      <c r="O5072" s="1">
        <v>3434</v>
      </c>
      <c r="P5072" s="1">
        <v>47</v>
      </c>
      <c r="Q5072" s="1" t="s">
        <v>42</v>
      </c>
      <c r="S5072" s="1" t="s">
        <v>42</v>
      </c>
      <c r="T5072" s="1" t="s">
        <v>273</v>
      </c>
      <c r="U5072" s="1">
        <v>300</v>
      </c>
      <c r="V5072" s="5">
        <v>43670</v>
      </c>
      <c r="W5072" s="5">
        <v>43250</v>
      </c>
      <c r="X5072" s="1">
        <v>3890000</v>
      </c>
      <c r="Y5072" s="1">
        <v>3890000</v>
      </c>
      <c r="AA5072" s="1">
        <v>3890000</v>
      </c>
      <c r="AB5072" s="1" t="s">
        <v>275</v>
      </c>
      <c r="AC5072" s="5">
        <v>43550</v>
      </c>
      <c r="AF5072" s="1">
        <v>10001</v>
      </c>
      <c r="AJ5072" s="1">
        <v>2018</v>
      </c>
      <c r="AK5072" s="1" t="s">
        <v>49</v>
      </c>
      <c r="AL5072" s="1">
        <v>285</v>
      </c>
    </row>
    <row r="5073" spans="1:38" x14ac:dyDescent="0.2">
      <c r="A5073" s="2" t="str">
        <f>HYPERLINK("https://www.compass.com/listing/138-east-50th-street-unit-37a-manhattan-ny-10022/790769549249971505/","138 E 50th St, Unit 37A")</f>
        <v>138 E 50th St, Unit 37A</v>
      </c>
      <c r="B5073" s="2" t="str">
        <f>HYPERLINK("https://www.compass.com/building/the-centrale-manhattan-ny/281941497232811621/","The Centrale")</f>
        <v>The Centrale</v>
      </c>
      <c r="C5073" s="1" t="s">
        <v>116</v>
      </c>
      <c r="D5073" s="1" t="s">
        <v>41</v>
      </c>
      <c r="E5073" s="3">
        <v>3250000</v>
      </c>
      <c r="F5073" s="1">
        <v>2125.57226945716</v>
      </c>
      <c r="G5073" s="1">
        <v>5.5</v>
      </c>
      <c r="H5073" s="1">
        <v>2</v>
      </c>
      <c r="I5073" s="1">
        <v>3</v>
      </c>
      <c r="J5073" s="1">
        <v>2.5</v>
      </c>
      <c r="K5073" s="1">
        <v>2</v>
      </c>
      <c r="L5073" s="1">
        <v>1</v>
      </c>
      <c r="M5073" s="4">
        <v>1529</v>
      </c>
      <c r="N5073" s="1">
        <v>1669</v>
      </c>
      <c r="O5073" s="1">
        <v>4155</v>
      </c>
      <c r="P5073" s="1">
        <v>2486</v>
      </c>
      <c r="Q5073" s="1" t="s">
        <v>42</v>
      </c>
      <c r="S5073" s="1" t="s">
        <v>42</v>
      </c>
      <c r="T5073" s="1" t="s">
        <v>273</v>
      </c>
      <c r="V5073" s="5">
        <v>44400</v>
      </c>
      <c r="W5073" s="5">
        <v>44342</v>
      </c>
      <c r="X5073" s="1">
        <v>1</v>
      </c>
      <c r="Y5073" s="1">
        <v>3925000</v>
      </c>
      <c r="Z5073" s="5">
        <v>44343</v>
      </c>
      <c r="AA5073" s="1">
        <v>3250000</v>
      </c>
      <c r="AB5073" s="1" t="s">
        <v>3534</v>
      </c>
      <c r="AC5073" s="5">
        <v>44379</v>
      </c>
      <c r="AF5073" s="1">
        <v>10022</v>
      </c>
      <c r="AI5073" s="1" t="s">
        <v>179</v>
      </c>
      <c r="AJ5073" s="1">
        <v>2019</v>
      </c>
      <c r="AK5073" s="1" t="s">
        <v>55</v>
      </c>
      <c r="AL5073" s="1">
        <v>124</v>
      </c>
    </row>
    <row r="5074" spans="1:38" x14ac:dyDescent="0.2">
      <c r="A5074" s="2" t="str">
        <f>HYPERLINK("https://www.compass.com/listing/15-hudson-yards-unit-34a-manhattan-ny-10001/109568275158999633/","15 Hudson Yards, Unit 34A")</f>
        <v>15 Hudson Yards, Unit 34A</v>
      </c>
      <c r="B5074" s="2" t="str">
        <f t="shared" ref="B5074:B5075" si="864">HYPERLINK("https://www.compass.com/building/fifteen-hudson-yards-manhattan-ny/282058587512011909/","Fifteen Hudson Yards")</f>
        <v>Fifteen Hudson Yards</v>
      </c>
      <c r="C5074" s="1" t="s">
        <v>77</v>
      </c>
      <c r="D5074" s="1" t="s">
        <v>41</v>
      </c>
      <c r="E5074" s="3">
        <v>5070000</v>
      </c>
      <c r="F5074" s="1">
        <v>2851.5185601799699</v>
      </c>
      <c r="G5074" s="1">
        <v>4</v>
      </c>
      <c r="H5074" s="1">
        <v>2</v>
      </c>
      <c r="I5074" s="1">
        <v>3</v>
      </c>
      <c r="J5074" s="1">
        <v>2.5</v>
      </c>
      <c r="K5074" s="1">
        <v>2</v>
      </c>
      <c r="L5074" s="1">
        <v>1</v>
      </c>
      <c r="M5074" s="4">
        <v>1778</v>
      </c>
      <c r="N5074" s="1">
        <v>4066</v>
      </c>
      <c r="O5074" s="1">
        <v>4121</v>
      </c>
      <c r="P5074" s="1">
        <v>55</v>
      </c>
      <c r="Q5074" s="1" t="s">
        <v>42</v>
      </c>
      <c r="S5074" s="1" t="s">
        <v>42</v>
      </c>
      <c r="T5074" s="1" t="s">
        <v>273</v>
      </c>
      <c r="U5074" s="1">
        <v>182</v>
      </c>
      <c r="V5074" s="5">
        <v>43659</v>
      </c>
      <c r="W5074" s="5">
        <v>43403</v>
      </c>
      <c r="X5074" s="1">
        <v>5070000</v>
      </c>
      <c r="Y5074" s="1">
        <v>5070000</v>
      </c>
      <c r="AA5074" s="1">
        <v>5070000</v>
      </c>
      <c r="AB5074" s="1" t="s">
        <v>275</v>
      </c>
      <c r="AC5074" s="5">
        <v>43585</v>
      </c>
      <c r="AF5074" s="1">
        <v>10001</v>
      </c>
      <c r="AJ5074" s="1">
        <v>2018</v>
      </c>
      <c r="AK5074" s="1" t="s">
        <v>46</v>
      </c>
      <c r="AL5074" s="1">
        <v>285</v>
      </c>
    </row>
    <row r="5075" spans="1:38" x14ac:dyDescent="0.2">
      <c r="A5075" s="2" t="str">
        <f>HYPERLINK("https://www.compass.com/listing/15-hudson-yards-unit-76f-manhattan-ny-10001/23228786787028113/","15 Hudson Yards, Unit 76F")</f>
        <v>15 Hudson Yards, Unit 76F</v>
      </c>
      <c r="B5075" s="2" t="str">
        <f t="shared" si="864"/>
        <v>Fifteen Hudson Yards</v>
      </c>
      <c r="C5075" s="1" t="s">
        <v>77</v>
      </c>
      <c r="D5075" s="1" t="s">
        <v>41</v>
      </c>
      <c r="E5075" s="3">
        <v>4350000</v>
      </c>
      <c r="F5075" s="1">
        <v>2590.8278737343599</v>
      </c>
      <c r="G5075" s="1">
        <v>4.5</v>
      </c>
      <c r="H5075" s="1">
        <v>2</v>
      </c>
      <c r="I5075" s="1">
        <v>3</v>
      </c>
      <c r="J5075" s="1">
        <v>2.5</v>
      </c>
      <c r="K5075" s="1">
        <v>2</v>
      </c>
      <c r="L5075" s="1">
        <v>1</v>
      </c>
      <c r="M5075" s="4">
        <v>1679</v>
      </c>
      <c r="N5075" s="1">
        <v>3831</v>
      </c>
      <c r="O5075" s="1">
        <v>3884</v>
      </c>
      <c r="P5075" s="1">
        <v>53</v>
      </c>
      <c r="Q5075" s="1" t="s">
        <v>42</v>
      </c>
      <c r="S5075" s="1" t="s">
        <v>42</v>
      </c>
      <c r="T5075" s="1" t="s">
        <v>273</v>
      </c>
      <c r="U5075" s="1">
        <v>254</v>
      </c>
      <c r="V5075" s="5">
        <v>44414</v>
      </c>
      <c r="W5075" s="5">
        <v>43873</v>
      </c>
      <c r="Y5075" s="1">
        <v>5070000</v>
      </c>
      <c r="Z5075" s="5">
        <v>44222</v>
      </c>
      <c r="AA5075" s="1">
        <v>4350000</v>
      </c>
      <c r="AB5075" s="1" t="s">
        <v>275</v>
      </c>
      <c r="AC5075" s="5">
        <v>44399</v>
      </c>
      <c r="AF5075" s="1">
        <v>10001</v>
      </c>
      <c r="AJ5075" s="1">
        <v>2018</v>
      </c>
      <c r="AK5075" s="1" t="s">
        <v>46</v>
      </c>
      <c r="AL5075" s="1">
        <v>285</v>
      </c>
    </row>
    <row r="5076" spans="1:38" x14ac:dyDescent="0.2">
      <c r="A5076" s="2" t="str">
        <f>HYPERLINK("https://www.compass.com/listing/138-east-50th-street-unit-21d-manhattan-ny-10022/801634865300867177/","138 E 50th St, Unit 21D")</f>
        <v>138 E 50th St, Unit 21D</v>
      </c>
      <c r="B5076" s="2" t="str">
        <f>HYPERLINK("https://www.compass.com/building/the-centrale-manhattan-ny/281941497232811621/","The Centrale")</f>
        <v>The Centrale</v>
      </c>
      <c r="C5076" s="1" t="s">
        <v>116</v>
      </c>
      <c r="D5076" s="1" t="s">
        <v>41</v>
      </c>
      <c r="E5076" s="3">
        <v>2295000</v>
      </c>
      <c r="F5076" s="1">
        <v>1901.4084507042201</v>
      </c>
      <c r="G5076" s="1">
        <v>4</v>
      </c>
      <c r="H5076" s="1">
        <v>2</v>
      </c>
      <c r="I5076" s="1">
        <v>2</v>
      </c>
      <c r="J5076" s="1">
        <v>2</v>
      </c>
      <c r="K5076" s="1">
        <v>2</v>
      </c>
      <c r="M5076" s="4">
        <v>1207</v>
      </c>
      <c r="N5076" s="1">
        <v>1236</v>
      </c>
      <c r="O5076" s="1">
        <v>3077</v>
      </c>
      <c r="P5076" s="1">
        <v>1841</v>
      </c>
      <c r="Q5076" s="1" t="s">
        <v>42</v>
      </c>
      <c r="S5076" s="1" t="s">
        <v>42</v>
      </c>
      <c r="T5076" s="1" t="s">
        <v>273</v>
      </c>
      <c r="V5076" s="5">
        <v>44427</v>
      </c>
      <c r="W5076" s="5">
        <v>43861</v>
      </c>
      <c r="X5076" s="1">
        <v>2675000</v>
      </c>
      <c r="Y5076" s="1">
        <v>2675000</v>
      </c>
      <c r="AA5076" s="1">
        <v>2295000</v>
      </c>
      <c r="AB5076" s="1" t="s">
        <v>3535</v>
      </c>
      <c r="AC5076" s="5">
        <v>44250</v>
      </c>
      <c r="AF5076" s="1">
        <v>10022</v>
      </c>
      <c r="AI5076" s="1" t="s">
        <v>48</v>
      </c>
      <c r="AJ5076" s="1">
        <v>2019</v>
      </c>
      <c r="AK5076" s="1" t="s">
        <v>55</v>
      </c>
      <c r="AL5076" s="1">
        <v>124</v>
      </c>
    </row>
    <row r="5077" spans="1:38" x14ac:dyDescent="0.2">
      <c r="A5077" s="2" t="str">
        <f>HYPERLINK("https://www.compass.com/listing/15-hudson-yards-unit-80a-manhattan-ny-10001/407243985793127777/","15 Hudson Yards, Unit 80A")</f>
        <v>15 Hudson Yards, Unit 80A</v>
      </c>
      <c r="B5077" s="2" t="str">
        <f t="shared" ref="B5077:B5086" si="865">HYPERLINK("https://www.compass.com/building/fifteen-hudson-yards-manhattan-ny/282058587512011909/","Fifteen Hudson Yards")</f>
        <v>Fifteen Hudson Yards</v>
      </c>
      <c r="C5077" s="1" t="s">
        <v>77</v>
      </c>
      <c r="D5077" s="1" t="s">
        <v>41</v>
      </c>
      <c r="E5077" s="3">
        <v>10600000</v>
      </c>
      <c r="F5077" s="1">
        <v>4539.61456102783</v>
      </c>
      <c r="G5077" s="1">
        <v>6.5</v>
      </c>
      <c r="H5077" s="1">
        <v>3</v>
      </c>
      <c r="I5077" s="1">
        <v>4</v>
      </c>
      <c r="J5077" s="1">
        <v>3.5</v>
      </c>
      <c r="K5077" s="1">
        <v>3</v>
      </c>
      <c r="L5077" s="1">
        <v>1</v>
      </c>
      <c r="M5077" s="4">
        <v>2335</v>
      </c>
      <c r="N5077" s="1">
        <v>6067</v>
      </c>
      <c r="O5077" s="1">
        <v>6145</v>
      </c>
      <c r="P5077" s="1">
        <v>78</v>
      </c>
      <c r="Q5077" s="1" t="s">
        <v>42</v>
      </c>
      <c r="S5077" s="1" t="s">
        <v>42</v>
      </c>
      <c r="T5077" s="1" t="s">
        <v>273</v>
      </c>
      <c r="V5077" s="5">
        <v>43836</v>
      </c>
      <c r="W5077" s="5">
        <v>43812</v>
      </c>
      <c r="X5077" s="1">
        <v>10600000</v>
      </c>
      <c r="Y5077" s="1">
        <v>10600000</v>
      </c>
      <c r="Z5077" s="5">
        <v>43812</v>
      </c>
      <c r="AA5077" s="1">
        <v>10600000</v>
      </c>
      <c r="AB5077" s="1" t="s">
        <v>275</v>
      </c>
      <c r="AC5077" s="5">
        <v>43824</v>
      </c>
      <c r="AF5077" s="1">
        <v>10001</v>
      </c>
      <c r="AI5077" s="1" t="s">
        <v>1007</v>
      </c>
      <c r="AJ5077" s="1">
        <v>2018</v>
      </c>
      <c r="AK5077" s="1" t="s">
        <v>49</v>
      </c>
      <c r="AL5077" s="1">
        <v>285</v>
      </c>
    </row>
    <row r="5078" spans="1:38" x14ac:dyDescent="0.2">
      <c r="A5078" s="2" t="str">
        <f>HYPERLINK("https://www.compass.com/listing/15-hudson-yards-unit-ph86d-manhattan-ny-10001/20330282976624337/","15 Hudson Yards, Unit PH86D")</f>
        <v>15 Hudson Yards, Unit PH86D</v>
      </c>
      <c r="B5078" s="2" t="str">
        <f t="shared" si="865"/>
        <v>Fifteen Hudson Yards</v>
      </c>
      <c r="C5078" s="1" t="s">
        <v>77</v>
      </c>
      <c r="D5078" s="1" t="s">
        <v>41</v>
      </c>
      <c r="E5078" s="3">
        <v>8480750</v>
      </c>
      <c r="F5078" s="1">
        <v>3372.0675944333998</v>
      </c>
      <c r="G5078" s="1">
        <v>6</v>
      </c>
      <c r="H5078" s="1">
        <v>3</v>
      </c>
      <c r="I5078" s="1">
        <v>4</v>
      </c>
      <c r="J5078" s="1">
        <v>3.5</v>
      </c>
      <c r="K5078" s="1">
        <v>3</v>
      </c>
      <c r="L5078" s="1">
        <v>1</v>
      </c>
      <c r="M5078" s="4">
        <v>2515</v>
      </c>
      <c r="N5078" s="1">
        <v>5827</v>
      </c>
      <c r="O5078" s="1">
        <v>5908</v>
      </c>
      <c r="P5078" s="1">
        <v>81</v>
      </c>
      <c r="Q5078" s="1" t="s">
        <v>42</v>
      </c>
      <c r="S5078" s="1" t="s">
        <v>42</v>
      </c>
      <c r="T5078" s="1" t="s">
        <v>273</v>
      </c>
      <c r="U5078" s="1">
        <v>112</v>
      </c>
      <c r="V5078" s="5">
        <v>43833</v>
      </c>
      <c r="W5078" s="5">
        <v>43076</v>
      </c>
      <c r="X5078" s="1">
        <v>8475000</v>
      </c>
      <c r="Y5078" s="1">
        <v>8475000</v>
      </c>
      <c r="AA5078" s="1">
        <v>8480750</v>
      </c>
      <c r="AB5078" s="1" t="s">
        <v>275</v>
      </c>
      <c r="AC5078" s="5">
        <v>43812</v>
      </c>
      <c r="AF5078" s="1">
        <v>10001</v>
      </c>
      <c r="AJ5078" s="1">
        <v>2018</v>
      </c>
      <c r="AK5078" s="1" t="s">
        <v>46</v>
      </c>
      <c r="AL5078" s="1">
        <v>285</v>
      </c>
    </row>
    <row r="5079" spans="1:38" x14ac:dyDescent="0.2">
      <c r="A5079" s="2" t="str">
        <f>HYPERLINK("https://www.compass.com/listing/15-hudson-yards-unit-37d-manhattan-ny-10001/18882312213227153/","15 Hudson Yards, Unit 37D")</f>
        <v>15 Hudson Yards, Unit 37D</v>
      </c>
      <c r="B5079" s="2" t="str">
        <f t="shared" si="865"/>
        <v>Fifteen Hudson Yards</v>
      </c>
      <c r="C5079" s="1" t="s">
        <v>77</v>
      </c>
      <c r="D5079" s="1" t="s">
        <v>41</v>
      </c>
      <c r="E5079" s="3">
        <v>3920000</v>
      </c>
      <c r="F5079" s="1">
        <v>2514.4323284156499</v>
      </c>
      <c r="G5079" s="1">
        <v>4</v>
      </c>
      <c r="H5079" s="1">
        <v>2</v>
      </c>
      <c r="I5079" s="1">
        <v>3</v>
      </c>
      <c r="J5079" s="1">
        <v>2.5</v>
      </c>
      <c r="K5079" s="1">
        <v>2</v>
      </c>
      <c r="L5079" s="1">
        <v>1</v>
      </c>
      <c r="M5079" s="4">
        <v>1559</v>
      </c>
      <c r="N5079" s="1">
        <v>3389</v>
      </c>
      <c r="O5079" s="1">
        <v>3436</v>
      </c>
      <c r="P5079" s="1">
        <v>47</v>
      </c>
      <c r="Q5079" s="1" t="s">
        <v>42</v>
      </c>
      <c r="S5079" s="1" t="s">
        <v>42</v>
      </c>
      <c r="T5079" s="1" t="s">
        <v>273</v>
      </c>
      <c r="U5079" s="1">
        <v>32</v>
      </c>
      <c r="V5079" s="5">
        <v>43673</v>
      </c>
      <c r="W5079" s="5">
        <v>43407</v>
      </c>
      <c r="X5079" s="1">
        <v>3920000</v>
      </c>
      <c r="Y5079" s="1">
        <v>3920000</v>
      </c>
      <c r="AA5079" s="1">
        <v>3920000</v>
      </c>
      <c r="AB5079" s="1" t="s">
        <v>275</v>
      </c>
      <c r="AC5079" s="5">
        <v>43572</v>
      </c>
      <c r="AF5079" s="1">
        <v>10001</v>
      </c>
      <c r="AJ5079" s="1">
        <v>2018</v>
      </c>
      <c r="AK5079" s="1" t="s">
        <v>49</v>
      </c>
      <c r="AL5079" s="1">
        <v>285</v>
      </c>
    </row>
    <row r="5080" spans="1:38" x14ac:dyDescent="0.2">
      <c r="A5080" s="2" t="str">
        <f>HYPERLINK("https://www.compass.com/listing/15-hudson-yards-unit-35a-manhattan-ny-10001/20330287573587777/","15 Hudson Yards, Unit 35A")</f>
        <v>15 Hudson Yards, Unit 35A</v>
      </c>
      <c r="B5080" s="2" t="str">
        <f t="shared" si="865"/>
        <v>Fifteen Hudson Yards</v>
      </c>
      <c r="C5080" s="1" t="s">
        <v>77</v>
      </c>
      <c r="D5080" s="1" t="s">
        <v>41</v>
      </c>
      <c r="E5080" s="3">
        <v>5044087</v>
      </c>
      <c r="F5080" s="1">
        <v>2838.5407990996</v>
      </c>
      <c r="G5080" s="1">
        <v>4</v>
      </c>
      <c r="H5080" s="1">
        <v>2</v>
      </c>
      <c r="I5080" s="1">
        <v>3</v>
      </c>
      <c r="J5080" s="1">
        <v>2.5</v>
      </c>
      <c r="K5080" s="1">
        <v>2</v>
      </c>
      <c r="L5080" s="1">
        <v>1</v>
      </c>
      <c r="M5080" s="4">
        <v>1777</v>
      </c>
      <c r="N5080" s="1">
        <v>4071</v>
      </c>
      <c r="O5080" s="1">
        <v>4126</v>
      </c>
      <c r="P5080" s="1">
        <v>55</v>
      </c>
      <c r="Q5080" s="1" t="s">
        <v>42</v>
      </c>
      <c r="S5080" s="1" t="s">
        <v>42</v>
      </c>
      <c r="T5080" s="1" t="s">
        <v>273</v>
      </c>
      <c r="U5080" s="1">
        <v>148</v>
      </c>
      <c r="V5080" s="5">
        <v>43642</v>
      </c>
      <c r="W5080" s="5">
        <v>43185</v>
      </c>
      <c r="X5080" s="1">
        <v>5095000</v>
      </c>
      <c r="Y5080" s="1">
        <v>5095000</v>
      </c>
      <c r="AA5080" s="1">
        <v>5044087</v>
      </c>
      <c r="AB5080" s="1" t="s">
        <v>275</v>
      </c>
      <c r="AC5080" s="5">
        <v>43544</v>
      </c>
      <c r="AF5080" s="1">
        <v>10001</v>
      </c>
      <c r="AJ5080" s="1">
        <v>2018</v>
      </c>
      <c r="AK5080" s="1" t="s">
        <v>46</v>
      </c>
      <c r="AL5080" s="1">
        <v>285</v>
      </c>
    </row>
    <row r="5081" spans="1:38" x14ac:dyDescent="0.2">
      <c r="A5081" s="2" t="str">
        <f>HYPERLINK("https://www.compass.com/listing/15-hudson-yards-unit-37a-manhattan-ny-10001/22503144294545617/","15 Hudson Yards, Unit 37A")</f>
        <v>15 Hudson Yards, Unit 37A</v>
      </c>
      <c r="B5081" s="2" t="str">
        <f t="shared" si="865"/>
        <v>Fifteen Hudson Yards</v>
      </c>
      <c r="C5081" s="1" t="s">
        <v>77</v>
      </c>
      <c r="D5081" s="1" t="s">
        <v>41</v>
      </c>
      <c r="E5081" s="3">
        <v>5145000</v>
      </c>
      <c r="F5081" s="1">
        <v>2900.2254791431701</v>
      </c>
      <c r="G5081" s="1">
        <v>4</v>
      </c>
      <c r="H5081" s="1">
        <v>2</v>
      </c>
      <c r="I5081" s="1">
        <v>3</v>
      </c>
      <c r="J5081" s="1">
        <v>2.5</v>
      </c>
      <c r="K5081" s="1">
        <v>2</v>
      </c>
      <c r="L5081" s="1">
        <v>1</v>
      </c>
      <c r="M5081" s="4">
        <v>1774</v>
      </c>
      <c r="N5081" s="1">
        <v>3997</v>
      </c>
      <c r="O5081" s="1">
        <v>4053</v>
      </c>
      <c r="P5081" s="1">
        <v>56</v>
      </c>
      <c r="Q5081" s="1" t="s">
        <v>42</v>
      </c>
      <c r="S5081" s="1" t="s">
        <v>42</v>
      </c>
      <c r="T5081" s="1" t="s">
        <v>273</v>
      </c>
      <c r="U5081" s="1">
        <v>119</v>
      </c>
      <c r="V5081" s="5">
        <v>43630</v>
      </c>
      <c r="W5081" s="5">
        <v>42999</v>
      </c>
      <c r="X5081" s="1">
        <v>5145000</v>
      </c>
      <c r="Y5081" s="1">
        <v>5145000</v>
      </c>
      <c r="AA5081" s="1">
        <v>5145000</v>
      </c>
      <c r="AB5081" s="1" t="s">
        <v>275</v>
      </c>
      <c r="AC5081" s="5">
        <v>43593</v>
      </c>
      <c r="AF5081" s="1">
        <v>10001</v>
      </c>
      <c r="AJ5081" s="1">
        <v>2018</v>
      </c>
      <c r="AK5081" s="1" t="s">
        <v>46</v>
      </c>
      <c r="AL5081" s="1">
        <v>285</v>
      </c>
    </row>
    <row r="5082" spans="1:38" x14ac:dyDescent="0.2">
      <c r="A5082" s="2" t="str">
        <f>HYPERLINK("https://www.compass.com/listing/15-hudson-yards-unit-28g-manhattan-ny-10001/25735237938005009/","15 Hudson Yards, Unit 28G")</f>
        <v>15 Hudson Yards, Unit 28G</v>
      </c>
      <c r="B5082" s="2" t="str">
        <f t="shared" si="865"/>
        <v>Fifteen Hudson Yards</v>
      </c>
      <c r="C5082" s="1" t="s">
        <v>77</v>
      </c>
      <c r="D5082" s="1" t="s">
        <v>41</v>
      </c>
      <c r="E5082" s="3">
        <v>4332250</v>
      </c>
      <c r="F5082" s="1">
        <v>2959.1871584699402</v>
      </c>
      <c r="G5082" s="1">
        <v>4</v>
      </c>
      <c r="H5082" s="1">
        <v>2</v>
      </c>
      <c r="I5082" s="1">
        <v>3</v>
      </c>
      <c r="J5082" s="1">
        <v>2.5</v>
      </c>
      <c r="K5082" s="1">
        <v>2</v>
      </c>
      <c r="L5082" s="1">
        <v>1</v>
      </c>
      <c r="M5082" s="4">
        <v>1464</v>
      </c>
      <c r="N5082" s="1">
        <v>3344</v>
      </c>
      <c r="O5082" s="1">
        <v>3390</v>
      </c>
      <c r="P5082" s="1">
        <v>46</v>
      </c>
      <c r="Q5082" s="1" t="s">
        <v>42</v>
      </c>
      <c r="S5082" s="1" t="s">
        <v>42</v>
      </c>
      <c r="T5082" s="1" t="s">
        <v>273</v>
      </c>
      <c r="U5082" s="1">
        <v>22</v>
      </c>
      <c r="V5082" s="5">
        <v>43631</v>
      </c>
      <c r="W5082" s="5">
        <v>43056</v>
      </c>
      <c r="X5082" s="1">
        <v>4330000</v>
      </c>
      <c r="Y5082" s="1">
        <v>4330000</v>
      </c>
      <c r="AA5082" s="1">
        <v>4332250</v>
      </c>
      <c r="AB5082" s="1" t="s">
        <v>275</v>
      </c>
      <c r="AC5082" s="5">
        <v>43547</v>
      </c>
      <c r="AF5082" s="1">
        <v>10001</v>
      </c>
      <c r="AJ5082" s="1">
        <v>2018</v>
      </c>
      <c r="AK5082" s="1" t="s">
        <v>46</v>
      </c>
      <c r="AL5082" s="1">
        <v>285</v>
      </c>
    </row>
    <row r="5083" spans="1:38" x14ac:dyDescent="0.2">
      <c r="A5083" s="2" t="str">
        <f>HYPERLINK("https://www.compass.com/listing/15-hudson-yards-unit-24c-manhattan-ny-10001/25735246167243137/","15 Hudson Yards, Unit 24C")</f>
        <v>15 Hudson Yards, Unit 24C</v>
      </c>
      <c r="B5083" s="2" t="str">
        <f t="shared" si="865"/>
        <v>Fifteen Hudson Yards</v>
      </c>
      <c r="C5083" s="1" t="s">
        <v>77</v>
      </c>
      <c r="D5083" s="1" t="s">
        <v>41</v>
      </c>
      <c r="E5083" s="3">
        <v>4500000</v>
      </c>
      <c r="F5083" s="1">
        <v>2702.7027027027002</v>
      </c>
      <c r="G5083" s="1">
        <v>4</v>
      </c>
      <c r="H5083" s="1">
        <v>2</v>
      </c>
      <c r="I5083" s="1">
        <v>3</v>
      </c>
      <c r="J5083" s="1">
        <v>2.5</v>
      </c>
      <c r="K5083" s="1">
        <v>2</v>
      </c>
      <c r="L5083" s="1">
        <v>1</v>
      </c>
      <c r="M5083" s="4">
        <v>1665</v>
      </c>
      <c r="N5083" s="1">
        <v>3684</v>
      </c>
      <c r="O5083" s="1">
        <v>3735</v>
      </c>
      <c r="P5083" s="1">
        <v>51</v>
      </c>
      <c r="Q5083" s="1" t="s">
        <v>42</v>
      </c>
      <c r="S5083" s="1" t="s">
        <v>42</v>
      </c>
      <c r="T5083" s="1" t="s">
        <v>273</v>
      </c>
      <c r="U5083" s="1">
        <v>5</v>
      </c>
      <c r="V5083" s="5">
        <v>43777</v>
      </c>
      <c r="W5083" s="5">
        <v>43147</v>
      </c>
      <c r="X5083" s="1">
        <v>4500000</v>
      </c>
      <c r="Y5083" s="1">
        <v>4500000</v>
      </c>
      <c r="AA5083" s="1">
        <v>4500000</v>
      </c>
      <c r="AB5083" s="1" t="s">
        <v>275</v>
      </c>
      <c r="AC5083" s="5">
        <v>43775</v>
      </c>
      <c r="AF5083" s="1">
        <v>10001</v>
      </c>
      <c r="AJ5083" s="1">
        <v>2018</v>
      </c>
      <c r="AK5083" s="1" t="s">
        <v>46</v>
      </c>
      <c r="AL5083" s="1">
        <v>285</v>
      </c>
    </row>
    <row r="5084" spans="1:38" x14ac:dyDescent="0.2">
      <c r="A5084" s="2" t="str">
        <f>HYPERLINK("https://www.compass.com/listing/15-hudson-yards-unit-26g-manhattan-ny-10001/4852281290583455521/","15 Hudson Yards, Unit 26G")</f>
        <v>15 Hudson Yards, Unit 26G</v>
      </c>
      <c r="B5084" s="2" t="str">
        <f t="shared" si="865"/>
        <v>Fifteen Hudson Yards</v>
      </c>
      <c r="C5084" s="1" t="s">
        <v>77</v>
      </c>
      <c r="D5084" s="1" t="s">
        <v>41</v>
      </c>
      <c r="E5084" s="3">
        <v>4300000</v>
      </c>
      <c r="F5084" s="1">
        <v>2937.1584699453501</v>
      </c>
      <c r="G5084" s="1">
        <v>4</v>
      </c>
      <c r="H5084" s="1">
        <v>2</v>
      </c>
      <c r="I5084" s="1">
        <v>3</v>
      </c>
      <c r="J5084" s="1">
        <v>2.5</v>
      </c>
      <c r="K5084" s="1">
        <v>2</v>
      </c>
      <c r="L5084" s="1">
        <v>1</v>
      </c>
      <c r="M5084" s="4">
        <v>1464</v>
      </c>
      <c r="N5084" s="1">
        <v>3337</v>
      </c>
      <c r="O5084" s="1">
        <v>3383</v>
      </c>
      <c r="P5084" s="1">
        <v>46</v>
      </c>
      <c r="Q5084" s="1" t="s">
        <v>42</v>
      </c>
      <c r="S5084" s="1" t="s">
        <v>42</v>
      </c>
      <c r="T5084" s="1" t="s">
        <v>273</v>
      </c>
      <c r="U5084" s="1">
        <v>15</v>
      </c>
      <c r="V5084" s="5">
        <v>43633</v>
      </c>
      <c r="W5084" s="5">
        <v>42825</v>
      </c>
      <c r="X5084" s="1">
        <v>4300000</v>
      </c>
      <c r="Y5084" s="1">
        <v>4300000</v>
      </c>
      <c r="AA5084" s="1">
        <v>4300000</v>
      </c>
      <c r="AB5084" s="1" t="s">
        <v>275</v>
      </c>
      <c r="AC5084" s="5">
        <v>43511</v>
      </c>
      <c r="AF5084" s="1">
        <v>10001</v>
      </c>
      <c r="AJ5084" s="1">
        <v>2018</v>
      </c>
      <c r="AK5084" s="1" t="s">
        <v>46</v>
      </c>
      <c r="AL5084" s="1">
        <v>285</v>
      </c>
    </row>
    <row r="5085" spans="1:38" x14ac:dyDescent="0.2">
      <c r="A5085" s="2" t="str">
        <f>HYPERLINK("https://www.compass.com/listing/15-hudson-yards-unit-28d-manhattan-ny-10001/4852284025630363697/","15 Hudson Yards, Unit 28D")</f>
        <v>15 Hudson Yards, Unit 28D</v>
      </c>
      <c r="B5085" s="2" t="str">
        <f t="shared" si="865"/>
        <v>Fifteen Hudson Yards</v>
      </c>
      <c r="C5085" s="1" t="s">
        <v>77</v>
      </c>
      <c r="D5085" s="1" t="s">
        <v>41</v>
      </c>
      <c r="E5085" s="3">
        <v>3785000</v>
      </c>
      <c r="F5085" s="1">
        <v>2409.29344366645</v>
      </c>
      <c r="G5085" s="1">
        <v>4</v>
      </c>
      <c r="H5085" s="1">
        <v>2</v>
      </c>
      <c r="I5085" s="1">
        <v>3</v>
      </c>
      <c r="J5085" s="1">
        <v>2.5</v>
      </c>
      <c r="K5085" s="1">
        <v>2</v>
      </c>
      <c r="L5085" s="1">
        <v>1</v>
      </c>
      <c r="M5085" s="4">
        <v>1571</v>
      </c>
      <c r="N5085" s="1">
        <v>3362</v>
      </c>
      <c r="O5085" s="1">
        <v>3409</v>
      </c>
      <c r="P5085" s="1">
        <v>47</v>
      </c>
      <c r="Q5085" s="1" t="s">
        <v>42</v>
      </c>
      <c r="S5085" s="1" t="s">
        <v>42</v>
      </c>
      <c r="T5085" s="1" t="s">
        <v>273</v>
      </c>
      <c r="U5085" s="1">
        <v>60</v>
      </c>
      <c r="V5085" s="5">
        <v>43687</v>
      </c>
      <c r="W5085" s="5">
        <v>42702</v>
      </c>
      <c r="X5085" s="1">
        <v>3785000</v>
      </c>
      <c r="Y5085" s="1">
        <v>3785000</v>
      </c>
      <c r="AA5085" s="1">
        <v>3785000</v>
      </c>
      <c r="AB5085" s="1" t="s">
        <v>275</v>
      </c>
      <c r="AC5085" s="5">
        <v>43522</v>
      </c>
      <c r="AF5085" s="1">
        <v>10001</v>
      </c>
      <c r="AJ5085" s="1">
        <v>2018</v>
      </c>
      <c r="AK5085" s="1" t="s">
        <v>46</v>
      </c>
      <c r="AL5085" s="1">
        <v>285</v>
      </c>
    </row>
    <row r="5086" spans="1:38" x14ac:dyDescent="0.2">
      <c r="A5086" s="2" t="str">
        <f>HYPERLINK("https://www.compass.com/listing/15-hudson-yards-unit-ph88a-manhattan-ny-10001/669565749449413345/","15 Hudson Yards, Unit PH88A")</f>
        <v>15 Hudson Yards, Unit PH88A</v>
      </c>
      <c r="B5086" s="2" t="str">
        <f t="shared" si="865"/>
        <v>Fifteen Hudson Yards</v>
      </c>
      <c r="C5086" s="1" t="s">
        <v>77</v>
      </c>
      <c r="D5086" s="1" t="s">
        <v>41</v>
      </c>
      <c r="E5086" s="3">
        <v>22000000</v>
      </c>
      <c r="F5086" s="1">
        <v>4221.8384187296097</v>
      </c>
      <c r="G5086" s="1">
        <v>9</v>
      </c>
      <c r="H5086" s="1">
        <v>4</v>
      </c>
      <c r="I5086" s="1">
        <v>6</v>
      </c>
      <c r="J5086" s="1">
        <v>5.5</v>
      </c>
      <c r="K5086" s="1">
        <v>5</v>
      </c>
      <c r="L5086" s="1">
        <v>1</v>
      </c>
      <c r="M5086" s="4">
        <v>5211</v>
      </c>
      <c r="N5086" s="1">
        <v>15242</v>
      </c>
      <c r="O5086" s="1">
        <v>15433</v>
      </c>
      <c r="P5086" s="1">
        <v>191</v>
      </c>
      <c r="Q5086" s="1" t="s">
        <v>42</v>
      </c>
      <c r="S5086" s="1" t="s">
        <v>42</v>
      </c>
      <c r="T5086" s="1" t="s">
        <v>273</v>
      </c>
      <c r="U5086" s="1">
        <v>183</v>
      </c>
      <c r="V5086" s="5">
        <v>44375</v>
      </c>
      <c r="W5086" s="5">
        <v>44175</v>
      </c>
      <c r="X5086" s="1">
        <v>29500000</v>
      </c>
      <c r="Y5086" s="1">
        <v>29500000</v>
      </c>
      <c r="Z5086" s="5">
        <v>44358</v>
      </c>
      <c r="AA5086" s="1">
        <v>22000000</v>
      </c>
      <c r="AB5086" s="1" t="s">
        <v>295</v>
      </c>
      <c r="AC5086" s="5">
        <v>44368</v>
      </c>
      <c r="AF5086" s="1">
        <v>10001</v>
      </c>
      <c r="AJ5086" s="1">
        <v>2018</v>
      </c>
      <c r="AK5086" s="1" t="s">
        <v>46</v>
      </c>
      <c r="AL5086" s="1">
        <v>285</v>
      </c>
    </row>
    <row r="5087" spans="1:38" x14ac:dyDescent="0.2">
      <c r="A5087" s="2" t="str">
        <f>HYPERLINK("https://www.compass.com/listing/101-wall-street-unit-7a-manhattan-ny-10005/803335422050140689/","101 Wall St, Unit 7A")</f>
        <v>101 Wall St, Unit 7A</v>
      </c>
      <c r="B5087" s="2" t="str">
        <f>HYPERLINK("https://www.compass.com/building/101-wall-st-manhattan-ny-10005/292788767809355381/","101 Wall St")</f>
        <v>101 Wall St</v>
      </c>
      <c r="C5087" s="1" t="s">
        <v>96</v>
      </c>
      <c r="D5087" s="1" t="s">
        <v>41</v>
      </c>
      <c r="E5087" s="3">
        <v>985000</v>
      </c>
      <c r="F5087" s="1">
        <v>1395.18413597733</v>
      </c>
      <c r="G5087" s="1">
        <v>3</v>
      </c>
      <c r="H5087" s="1">
        <v>1</v>
      </c>
      <c r="I5087" s="1">
        <v>1</v>
      </c>
      <c r="J5087" s="1">
        <v>1</v>
      </c>
      <c r="K5087" s="1">
        <v>1</v>
      </c>
      <c r="M5087" s="1">
        <v>706</v>
      </c>
      <c r="N5087" s="1">
        <v>914</v>
      </c>
      <c r="O5087" s="1">
        <v>1970</v>
      </c>
      <c r="P5087" s="1">
        <v>1056</v>
      </c>
      <c r="Q5087" s="1" t="s">
        <v>42</v>
      </c>
      <c r="S5087" s="1" t="s">
        <v>42</v>
      </c>
      <c r="T5087" s="1" t="s">
        <v>273</v>
      </c>
      <c r="U5087" s="1">
        <v>199</v>
      </c>
      <c r="V5087" s="5">
        <v>43235</v>
      </c>
      <c r="W5087" s="5">
        <v>43026</v>
      </c>
      <c r="X5087" s="1">
        <v>1145000</v>
      </c>
      <c r="Y5087" s="1">
        <v>1120000</v>
      </c>
      <c r="Z5087" s="5">
        <v>42907</v>
      </c>
      <c r="AA5087" s="1">
        <v>985000</v>
      </c>
      <c r="AB5087" s="1" t="s">
        <v>3536</v>
      </c>
      <c r="AC5087" s="5">
        <v>43353</v>
      </c>
      <c r="AF5087" s="1">
        <v>10005</v>
      </c>
      <c r="AI5087" s="1" t="s">
        <v>252</v>
      </c>
      <c r="AJ5087" s="1">
        <v>2016</v>
      </c>
      <c r="AK5087" s="1" t="s">
        <v>108</v>
      </c>
      <c r="AL5087" s="1">
        <v>51</v>
      </c>
    </row>
    <row r="5088" spans="1:38" x14ac:dyDescent="0.2">
      <c r="A5088" s="2" t="str">
        <f>HYPERLINK("https://www.compass.com/listing/15-hudson-yards-unit-72a-manhattan-ny-10001/20330262894305905/","15 Hudson Yards, Unit 72A")</f>
        <v>15 Hudson Yards, Unit 72A</v>
      </c>
      <c r="B5088" s="2" t="str">
        <f t="shared" ref="B5088:B5097" si="866">HYPERLINK("https://www.compass.com/building/fifteen-hudson-yards-manhattan-ny/282058587512011909/","Fifteen Hudson Yards")</f>
        <v>Fifteen Hudson Yards</v>
      </c>
      <c r="C5088" s="1" t="s">
        <v>77</v>
      </c>
      <c r="D5088" s="1" t="s">
        <v>41</v>
      </c>
      <c r="E5088" s="3">
        <v>8910290</v>
      </c>
      <c r="F5088" s="1">
        <v>3712.6208333333302</v>
      </c>
      <c r="G5088" s="1">
        <v>5</v>
      </c>
      <c r="H5088" s="1">
        <v>3</v>
      </c>
      <c r="I5088" s="1">
        <v>4</v>
      </c>
      <c r="J5088" s="1">
        <v>3.5</v>
      </c>
      <c r="K5088" s="1">
        <v>3</v>
      </c>
      <c r="L5088" s="1">
        <v>1</v>
      </c>
      <c r="M5088" s="4">
        <v>2400</v>
      </c>
      <c r="N5088" s="1">
        <v>5892</v>
      </c>
      <c r="O5088" s="1">
        <v>5974</v>
      </c>
      <c r="P5088" s="1">
        <v>82</v>
      </c>
      <c r="Q5088" s="1" t="s">
        <v>42</v>
      </c>
      <c r="S5088" s="1" t="s">
        <v>42</v>
      </c>
      <c r="T5088" s="1" t="s">
        <v>273</v>
      </c>
      <c r="U5088" s="1">
        <v>64</v>
      </c>
      <c r="V5088" s="5">
        <v>43736</v>
      </c>
      <c r="W5088" s="5">
        <v>43186</v>
      </c>
      <c r="X5088" s="1">
        <v>9515000</v>
      </c>
      <c r="Y5088" s="1">
        <v>9515000</v>
      </c>
      <c r="AA5088" s="1">
        <v>8910290</v>
      </c>
      <c r="AB5088" s="1" t="s">
        <v>275</v>
      </c>
      <c r="AC5088" s="5">
        <v>43638</v>
      </c>
      <c r="AF5088" s="1">
        <v>10001</v>
      </c>
      <c r="AJ5088" s="1">
        <v>2018</v>
      </c>
      <c r="AK5088" s="1" t="s">
        <v>46</v>
      </c>
      <c r="AL5088" s="1">
        <v>285</v>
      </c>
    </row>
    <row r="5089" spans="1:38" x14ac:dyDescent="0.2">
      <c r="A5089" s="2" t="str">
        <f>HYPERLINK("https://www.compass.com/listing/15-hudson-yards-unit-ph82d-manhattan-ny-10001/28641992187625329/","15 Hudson Yards, Unit PH82D")</f>
        <v>15 Hudson Yards, Unit PH82D</v>
      </c>
      <c r="B5089" s="2" t="str">
        <f t="shared" si="866"/>
        <v>Fifteen Hudson Yards</v>
      </c>
      <c r="C5089" s="1" t="s">
        <v>77</v>
      </c>
      <c r="D5089" s="1" t="s">
        <v>41</v>
      </c>
      <c r="E5089" s="3">
        <v>7503750</v>
      </c>
      <c r="F5089" s="1">
        <v>2930.0078094494302</v>
      </c>
      <c r="G5089" s="1">
        <v>6</v>
      </c>
      <c r="H5089" s="1">
        <v>3</v>
      </c>
      <c r="I5089" s="1">
        <v>4</v>
      </c>
      <c r="J5089" s="1">
        <v>3.5</v>
      </c>
      <c r="K5089" s="1">
        <v>3</v>
      </c>
      <c r="L5089" s="1">
        <v>1</v>
      </c>
      <c r="M5089" s="4">
        <v>2561</v>
      </c>
      <c r="N5089" s="1">
        <v>5965</v>
      </c>
      <c r="O5089" s="1">
        <v>6046</v>
      </c>
      <c r="P5089" s="1">
        <v>81</v>
      </c>
      <c r="Q5089" s="1" t="s">
        <v>42</v>
      </c>
      <c r="S5089" s="1" t="s">
        <v>42</v>
      </c>
      <c r="T5089" s="1" t="s">
        <v>273</v>
      </c>
      <c r="U5089" s="1">
        <v>215</v>
      </c>
      <c r="V5089" s="5">
        <v>43994</v>
      </c>
      <c r="W5089" s="5">
        <v>43117</v>
      </c>
      <c r="X5089" s="1">
        <v>8395000</v>
      </c>
      <c r="Y5089" s="1">
        <v>8395000</v>
      </c>
      <c r="AA5089" s="1">
        <v>7503750</v>
      </c>
      <c r="AB5089" s="1" t="s">
        <v>3537</v>
      </c>
      <c r="AC5089" s="5">
        <v>43811</v>
      </c>
      <c r="AF5089" s="1">
        <v>10001</v>
      </c>
      <c r="AJ5089" s="1">
        <v>2018</v>
      </c>
      <c r="AK5089" s="1" t="s">
        <v>46</v>
      </c>
      <c r="AL5089" s="1">
        <v>285</v>
      </c>
    </row>
    <row r="5090" spans="1:38" x14ac:dyDescent="0.2">
      <c r="A5090" s="2" t="str">
        <f>HYPERLINK("https://www.compass.com/listing/15-hudson-yards-unit-75f-manhattan-ny-10001/24675879833636353/","15 Hudson Yards, Unit 75F")</f>
        <v>15 Hudson Yards, Unit 75F</v>
      </c>
      <c r="B5090" s="2" t="str">
        <f t="shared" si="866"/>
        <v>Fifteen Hudson Yards</v>
      </c>
      <c r="C5090" s="1" t="s">
        <v>77</v>
      </c>
      <c r="D5090" s="1" t="s">
        <v>41</v>
      </c>
      <c r="E5090" s="3">
        <v>4947948</v>
      </c>
      <c r="F5090" s="1">
        <v>2927.7798816568002</v>
      </c>
      <c r="G5090" s="1">
        <v>4</v>
      </c>
      <c r="H5090" s="1">
        <v>2</v>
      </c>
      <c r="I5090" s="1">
        <v>3</v>
      </c>
      <c r="J5090" s="1">
        <v>2.5</v>
      </c>
      <c r="K5090" s="1">
        <v>2</v>
      </c>
      <c r="L5090" s="1">
        <v>1</v>
      </c>
      <c r="M5090" s="4">
        <v>1690</v>
      </c>
      <c r="N5090" s="1">
        <v>3854</v>
      </c>
      <c r="O5090" s="1">
        <v>3908</v>
      </c>
      <c r="P5090" s="1">
        <v>54</v>
      </c>
      <c r="Q5090" s="1" t="s">
        <v>42</v>
      </c>
      <c r="S5090" s="1" t="s">
        <v>42</v>
      </c>
      <c r="T5090" s="1" t="s">
        <v>273</v>
      </c>
      <c r="U5090" s="1">
        <v>117</v>
      </c>
      <c r="V5090" s="5">
        <v>43669</v>
      </c>
      <c r="W5090" s="5">
        <v>42957</v>
      </c>
      <c r="X5090" s="1">
        <v>5050000</v>
      </c>
      <c r="Y5090" s="1">
        <v>5050000</v>
      </c>
      <c r="AA5090" s="1">
        <v>4947948</v>
      </c>
      <c r="AB5090" s="1" t="s">
        <v>275</v>
      </c>
      <c r="AC5090" s="5">
        <v>43649</v>
      </c>
      <c r="AF5090" s="1">
        <v>10001</v>
      </c>
      <c r="AJ5090" s="1">
        <v>2018</v>
      </c>
      <c r="AK5090" s="1" t="s">
        <v>46</v>
      </c>
      <c r="AL5090" s="1">
        <v>285</v>
      </c>
    </row>
    <row r="5091" spans="1:38" x14ac:dyDescent="0.2">
      <c r="A5091" s="2" t="str">
        <f>HYPERLINK("https://www.compass.com/listing/15-hudson-yards-unit-79d-manhattan-ny-10001/27185053910018289/","15 Hudson Yards, Unit 79D")</f>
        <v>15 Hudson Yards, Unit 79D</v>
      </c>
      <c r="B5091" s="2" t="str">
        <f t="shared" si="866"/>
        <v>Fifteen Hudson Yards</v>
      </c>
      <c r="C5091" s="1" t="s">
        <v>77</v>
      </c>
      <c r="D5091" s="1" t="s">
        <v>41</v>
      </c>
      <c r="E5091" s="3">
        <v>5699250</v>
      </c>
      <c r="F5091" s="1">
        <v>3162.7358490565998</v>
      </c>
      <c r="G5091" s="1">
        <v>4</v>
      </c>
      <c r="H5091" s="1">
        <v>2</v>
      </c>
      <c r="I5091" s="1">
        <v>3</v>
      </c>
      <c r="J5091" s="1">
        <v>2.5</v>
      </c>
      <c r="K5091" s="1">
        <v>2</v>
      </c>
      <c r="L5091" s="1">
        <v>1</v>
      </c>
      <c r="M5091" s="4">
        <v>1802</v>
      </c>
      <c r="N5091" s="1">
        <v>3371</v>
      </c>
      <c r="O5091" s="1">
        <v>3418</v>
      </c>
      <c r="P5091" s="1">
        <v>47</v>
      </c>
      <c r="Q5091" s="1" t="s">
        <v>42</v>
      </c>
      <c r="S5091" s="1" t="s">
        <v>42</v>
      </c>
      <c r="T5091" s="1" t="s">
        <v>273</v>
      </c>
      <c r="U5091" s="1">
        <v>76</v>
      </c>
      <c r="V5091" s="5">
        <v>43833</v>
      </c>
      <c r="W5091" s="5">
        <v>43250</v>
      </c>
      <c r="Y5091" s="1">
        <v>5695000</v>
      </c>
      <c r="AA5091" s="1">
        <v>5699250</v>
      </c>
      <c r="AB5091" s="1" t="s">
        <v>275</v>
      </c>
      <c r="AC5091" s="5">
        <v>43795</v>
      </c>
      <c r="AF5091" s="1">
        <v>10001</v>
      </c>
      <c r="AJ5091" s="1">
        <v>2018</v>
      </c>
      <c r="AK5091" s="1" t="s">
        <v>46</v>
      </c>
      <c r="AL5091" s="1">
        <v>285</v>
      </c>
    </row>
    <row r="5092" spans="1:38" x14ac:dyDescent="0.2">
      <c r="A5092" s="2" t="str">
        <f>HYPERLINK("https://www.compass.com/listing/15-hudson-yards-unit-66b-manhattan-ny-10001/28302214531393489/","15 Hudson Yards, Unit 66B")</f>
        <v>15 Hudson Yards, Unit 66B</v>
      </c>
      <c r="B5092" s="2" t="str">
        <f t="shared" si="866"/>
        <v>Fifteen Hudson Yards</v>
      </c>
      <c r="C5092" s="1" t="s">
        <v>77</v>
      </c>
      <c r="D5092" s="1" t="s">
        <v>41</v>
      </c>
      <c r="E5092" s="3">
        <v>7939250</v>
      </c>
      <c r="F5092" s="1">
        <v>3422.09051724137</v>
      </c>
      <c r="G5092" s="1">
        <v>4</v>
      </c>
      <c r="H5092" s="1">
        <v>2</v>
      </c>
      <c r="I5092" s="1">
        <v>3</v>
      </c>
      <c r="J5092" s="1">
        <v>2.5</v>
      </c>
      <c r="K5092" s="1">
        <v>2</v>
      </c>
      <c r="L5092" s="1">
        <v>1</v>
      </c>
      <c r="M5092" s="4">
        <v>2320</v>
      </c>
      <c r="N5092" s="1">
        <v>5427</v>
      </c>
      <c r="O5092" s="1">
        <v>5502</v>
      </c>
      <c r="P5092" s="1">
        <v>75</v>
      </c>
      <c r="Q5092" s="1" t="s">
        <v>42</v>
      </c>
      <c r="S5092" s="1" t="s">
        <v>42</v>
      </c>
      <c r="T5092" s="1" t="s">
        <v>273</v>
      </c>
      <c r="U5092" s="1">
        <v>42</v>
      </c>
      <c r="V5092" s="5">
        <v>43873</v>
      </c>
      <c r="W5092" s="5">
        <v>43299</v>
      </c>
      <c r="Y5092" s="1">
        <v>7935000</v>
      </c>
      <c r="AA5092" s="1">
        <v>7939250</v>
      </c>
      <c r="AB5092" s="1" t="s">
        <v>275</v>
      </c>
      <c r="AC5092" s="5">
        <v>43837</v>
      </c>
      <c r="AF5092" s="1">
        <v>10001</v>
      </c>
      <c r="AJ5092" s="1">
        <v>2018</v>
      </c>
      <c r="AK5092" s="1" t="s">
        <v>46</v>
      </c>
      <c r="AL5092" s="1">
        <v>285</v>
      </c>
    </row>
    <row r="5093" spans="1:38" x14ac:dyDescent="0.2">
      <c r="A5093" s="2" t="str">
        <f>HYPERLINK("https://www.compass.com/listing/15-hudson-yards-unit-74f-manhattan-ny-10001/28641979747316625/","15 Hudson Yards, Unit 74F")</f>
        <v>15 Hudson Yards, Unit 74F</v>
      </c>
      <c r="B5093" s="2" t="str">
        <f t="shared" si="866"/>
        <v>Fifteen Hudson Yards</v>
      </c>
      <c r="C5093" s="1" t="s">
        <v>77</v>
      </c>
      <c r="D5093" s="1" t="s">
        <v>41</v>
      </c>
      <c r="E5093" s="3">
        <v>5030000</v>
      </c>
      <c r="F5093" s="1">
        <v>2958.8235294117599</v>
      </c>
      <c r="G5093" s="1">
        <v>4</v>
      </c>
      <c r="H5093" s="1">
        <v>2</v>
      </c>
      <c r="I5093" s="1">
        <v>3</v>
      </c>
      <c r="J5093" s="1">
        <v>2.5</v>
      </c>
      <c r="K5093" s="1">
        <v>2</v>
      </c>
      <c r="L5093" s="1">
        <v>1</v>
      </c>
      <c r="M5093" s="4">
        <v>1700</v>
      </c>
      <c r="N5093" s="1">
        <v>3863</v>
      </c>
      <c r="O5093" s="1">
        <v>3917</v>
      </c>
      <c r="P5093" s="1">
        <v>54</v>
      </c>
      <c r="Q5093" s="1" t="s">
        <v>42</v>
      </c>
      <c r="S5093" s="1" t="s">
        <v>42</v>
      </c>
      <c r="T5093" s="1" t="s">
        <v>273</v>
      </c>
      <c r="U5093" s="1">
        <v>211</v>
      </c>
      <c r="V5093" s="5">
        <v>43683</v>
      </c>
      <c r="W5093" s="5">
        <v>43117</v>
      </c>
      <c r="X5093" s="1">
        <v>5030000</v>
      </c>
      <c r="Y5093" s="1">
        <v>5030000</v>
      </c>
      <c r="AA5093" s="1">
        <v>5030000</v>
      </c>
      <c r="AB5093" s="1" t="s">
        <v>275</v>
      </c>
      <c r="AC5093" s="5">
        <v>43673</v>
      </c>
      <c r="AF5093" s="1">
        <v>10001</v>
      </c>
      <c r="AJ5093" s="1">
        <v>2018</v>
      </c>
      <c r="AK5093" s="1" t="s">
        <v>46</v>
      </c>
      <c r="AL5093" s="1">
        <v>285</v>
      </c>
    </row>
    <row r="5094" spans="1:38" x14ac:dyDescent="0.2">
      <c r="A5094" s="2" t="str">
        <f>HYPERLINK("https://www.compass.com/listing/15-hudson-yards-unit-34d-manhattan-ny-10001/29026721927919537/","15 Hudson Yards, Unit 34D")</f>
        <v>15 Hudson Yards, Unit 34D</v>
      </c>
      <c r="B5094" s="2" t="str">
        <f t="shared" si="866"/>
        <v>Fifteen Hudson Yards</v>
      </c>
      <c r="C5094" s="1" t="s">
        <v>77</v>
      </c>
      <c r="D5094" s="1" t="s">
        <v>41</v>
      </c>
      <c r="E5094" s="3">
        <v>3875000</v>
      </c>
      <c r="F5094" s="1">
        <v>2477.62148337595</v>
      </c>
      <c r="G5094" s="1">
        <v>4</v>
      </c>
      <c r="H5094" s="1">
        <v>2</v>
      </c>
      <c r="I5094" s="1">
        <v>3</v>
      </c>
      <c r="J5094" s="1">
        <v>2.5</v>
      </c>
      <c r="K5094" s="1">
        <v>2</v>
      </c>
      <c r="L5094" s="1">
        <v>1</v>
      </c>
      <c r="M5094" s="4">
        <v>1564</v>
      </c>
      <c r="N5094" s="1">
        <v>3385</v>
      </c>
      <c r="O5094" s="1">
        <v>3432</v>
      </c>
      <c r="P5094" s="1">
        <v>47</v>
      </c>
      <c r="Q5094" s="1" t="s">
        <v>42</v>
      </c>
      <c r="S5094" s="1" t="s">
        <v>42</v>
      </c>
      <c r="T5094" s="1" t="s">
        <v>273</v>
      </c>
      <c r="U5094" s="1">
        <v>185</v>
      </c>
      <c r="V5094" s="5">
        <v>43670</v>
      </c>
      <c r="W5094" s="5">
        <v>43018</v>
      </c>
      <c r="X5094" s="1">
        <v>3875000</v>
      </c>
      <c r="Y5094" s="1">
        <v>3875000</v>
      </c>
      <c r="AA5094" s="1">
        <v>3875000</v>
      </c>
      <c r="AB5094" s="1" t="s">
        <v>275</v>
      </c>
      <c r="AC5094" s="5">
        <v>43543</v>
      </c>
      <c r="AF5094" s="1">
        <v>10001</v>
      </c>
      <c r="AJ5094" s="1">
        <v>2018</v>
      </c>
      <c r="AK5094" s="1" t="s">
        <v>49</v>
      </c>
      <c r="AL5094" s="1">
        <v>285</v>
      </c>
    </row>
    <row r="5095" spans="1:38" x14ac:dyDescent="0.2">
      <c r="A5095" s="2" t="str">
        <f>HYPERLINK("https://www.compass.com/listing/15-hudson-yards-unit-65a-manhattan-ny-10001/29359435151375105/","15 Hudson Yards, Unit 65A")</f>
        <v>15 Hudson Yards, Unit 65A</v>
      </c>
      <c r="B5095" s="2" t="str">
        <f t="shared" si="866"/>
        <v>Fifteen Hudson Yards</v>
      </c>
      <c r="C5095" s="1" t="s">
        <v>77</v>
      </c>
      <c r="D5095" s="1" t="s">
        <v>41</v>
      </c>
      <c r="E5095" s="3">
        <v>6915000</v>
      </c>
      <c r="F5095" s="1">
        <v>3324.51923076923</v>
      </c>
      <c r="G5095" s="1">
        <v>4</v>
      </c>
      <c r="H5095" s="1">
        <v>2</v>
      </c>
      <c r="I5095" s="1">
        <v>3</v>
      </c>
      <c r="J5095" s="1">
        <v>2.5</v>
      </c>
      <c r="K5095" s="1">
        <v>2</v>
      </c>
      <c r="L5095" s="1">
        <v>1</v>
      </c>
      <c r="M5095" s="4">
        <v>2080</v>
      </c>
      <c r="N5095" s="1">
        <v>4851</v>
      </c>
      <c r="O5095" s="1">
        <v>4918</v>
      </c>
      <c r="P5095" s="1">
        <v>67</v>
      </c>
      <c r="Q5095" s="1" t="s">
        <v>42</v>
      </c>
      <c r="S5095" s="1" t="s">
        <v>42</v>
      </c>
      <c r="T5095" s="1" t="s">
        <v>273</v>
      </c>
      <c r="U5095" s="1">
        <v>87</v>
      </c>
      <c r="V5095" s="5">
        <v>43633</v>
      </c>
      <c r="W5095" s="5">
        <v>42857</v>
      </c>
      <c r="X5095" s="1">
        <v>6915000</v>
      </c>
      <c r="Y5095" s="1">
        <v>6915000</v>
      </c>
      <c r="AA5095" s="1">
        <v>6915000</v>
      </c>
      <c r="AB5095" s="1" t="s">
        <v>275</v>
      </c>
      <c r="AC5095" s="5">
        <v>43593</v>
      </c>
      <c r="AF5095" s="1">
        <v>10001</v>
      </c>
      <c r="AJ5095" s="1">
        <v>2018</v>
      </c>
      <c r="AK5095" s="1" t="s">
        <v>46</v>
      </c>
      <c r="AL5095" s="1">
        <v>285</v>
      </c>
    </row>
    <row r="5096" spans="1:38" x14ac:dyDescent="0.2">
      <c r="A5096" s="2" t="str">
        <f>HYPERLINK("https://www.compass.com/listing/15-hudson-yards-unit-32d-manhattan-ny-10001/33972675646869633/","15 Hudson Yards, Unit 32D")</f>
        <v>15 Hudson Yards, Unit 32D</v>
      </c>
      <c r="B5096" s="2" t="str">
        <f t="shared" si="866"/>
        <v>Fifteen Hudson Yards</v>
      </c>
      <c r="C5096" s="1" t="s">
        <v>77</v>
      </c>
      <c r="D5096" s="1" t="s">
        <v>41</v>
      </c>
      <c r="E5096" s="3">
        <v>3845000</v>
      </c>
      <c r="F5096" s="1">
        <v>2453.7332482450502</v>
      </c>
      <c r="G5096" s="1">
        <v>4</v>
      </c>
      <c r="H5096" s="1">
        <v>2</v>
      </c>
      <c r="I5096" s="1">
        <v>3</v>
      </c>
      <c r="J5096" s="1">
        <v>2.5</v>
      </c>
      <c r="K5096" s="1">
        <v>2</v>
      </c>
      <c r="L5096" s="1">
        <v>1</v>
      </c>
      <c r="M5096" s="4">
        <v>1567</v>
      </c>
      <c r="N5096" s="1">
        <v>3460</v>
      </c>
      <c r="O5096" s="1">
        <v>3507</v>
      </c>
      <c r="P5096" s="1">
        <v>47</v>
      </c>
      <c r="Q5096" s="1" t="s">
        <v>42</v>
      </c>
      <c r="S5096" s="1" t="s">
        <v>42</v>
      </c>
      <c r="T5096" s="1" t="s">
        <v>273</v>
      </c>
      <c r="U5096" s="1">
        <v>104</v>
      </c>
      <c r="V5096" s="5">
        <v>43661</v>
      </c>
      <c r="W5096" s="5">
        <v>43299</v>
      </c>
      <c r="X5096" s="1">
        <v>3845000</v>
      </c>
      <c r="Y5096" s="1">
        <v>3845000</v>
      </c>
      <c r="AA5096" s="1">
        <v>3845000</v>
      </c>
      <c r="AB5096" s="1" t="s">
        <v>275</v>
      </c>
      <c r="AC5096" s="5">
        <v>43537</v>
      </c>
      <c r="AF5096" s="1">
        <v>10001</v>
      </c>
      <c r="AJ5096" s="1">
        <v>2018</v>
      </c>
      <c r="AK5096" s="1" t="s">
        <v>49</v>
      </c>
      <c r="AL5096" s="1">
        <v>285</v>
      </c>
    </row>
    <row r="5097" spans="1:38" x14ac:dyDescent="0.2">
      <c r="A5097" s="2" t="str">
        <f>HYPERLINK("https://www.compass.com/listing/15-hudson-yards-unit-63b-manhattan-ny-10001/27574732702479553/","15 Hudson Yards, Unit 63B")</f>
        <v>15 Hudson Yards, Unit 63B</v>
      </c>
      <c r="B5097" s="2" t="str">
        <f t="shared" si="866"/>
        <v>Fifteen Hudson Yards</v>
      </c>
      <c r="C5097" s="1" t="s">
        <v>77</v>
      </c>
      <c r="D5097" s="1" t="s">
        <v>41</v>
      </c>
      <c r="E5097" s="3">
        <v>7796250</v>
      </c>
      <c r="F5097" s="1">
        <v>3340.2956298200502</v>
      </c>
      <c r="G5097" s="1">
        <v>4</v>
      </c>
      <c r="H5097" s="1">
        <v>2</v>
      </c>
      <c r="I5097" s="1">
        <v>3</v>
      </c>
      <c r="J5097" s="1">
        <v>2.5</v>
      </c>
      <c r="K5097" s="1">
        <v>2</v>
      </c>
      <c r="L5097" s="1">
        <v>1</v>
      </c>
      <c r="M5097" s="4">
        <v>2334</v>
      </c>
      <c r="N5097" s="1">
        <v>5434</v>
      </c>
      <c r="O5097" s="1">
        <v>5510</v>
      </c>
      <c r="P5097" s="1">
        <v>76</v>
      </c>
      <c r="Q5097" s="1" t="s">
        <v>42</v>
      </c>
      <c r="S5097" s="1" t="s">
        <v>42</v>
      </c>
      <c r="T5097" s="1" t="s">
        <v>273</v>
      </c>
      <c r="U5097" s="1">
        <v>112</v>
      </c>
      <c r="V5097" s="5">
        <v>43788</v>
      </c>
      <c r="W5097" s="5">
        <v>43186</v>
      </c>
      <c r="Y5097" s="1">
        <v>7875000</v>
      </c>
      <c r="AA5097" s="1">
        <v>7796250</v>
      </c>
      <c r="AB5097" s="1" t="s">
        <v>275</v>
      </c>
      <c r="AC5097" s="5">
        <v>43784</v>
      </c>
      <c r="AF5097" s="1">
        <v>10001</v>
      </c>
      <c r="AJ5097" s="1">
        <v>2018</v>
      </c>
      <c r="AK5097" s="1" t="s">
        <v>46</v>
      </c>
      <c r="AL5097" s="1">
        <v>285</v>
      </c>
    </row>
    <row r="5098" spans="1:38" x14ac:dyDescent="0.2">
      <c r="A5098" s="2" t="str">
        <f>HYPERLINK("https://www.compass.com/listing/101-wall-street-unit-9a-manhattan-ny-10005/78974989327446513/","101 Wall St, Unit 9A")</f>
        <v>101 Wall St, Unit 9A</v>
      </c>
      <c r="B5098" s="2" t="str">
        <f t="shared" ref="B5098:B5099" si="867">HYPERLINK("https://www.compass.com/building/101-wall-st-manhattan-ny-10005/292788767809355381/","101 Wall St")</f>
        <v>101 Wall St</v>
      </c>
      <c r="C5098" s="1" t="s">
        <v>96</v>
      </c>
      <c r="D5098" s="1" t="s">
        <v>41</v>
      </c>
      <c r="E5098" s="3">
        <v>1160805</v>
      </c>
      <c r="F5098" s="1">
        <v>1644.19971671388</v>
      </c>
      <c r="H5098" s="1">
        <v>1</v>
      </c>
      <c r="J5098" s="1">
        <v>1</v>
      </c>
      <c r="K5098" s="1">
        <v>1</v>
      </c>
      <c r="M5098" s="1">
        <v>706</v>
      </c>
      <c r="N5098" s="1">
        <v>913</v>
      </c>
      <c r="O5098" s="1">
        <v>1754</v>
      </c>
      <c r="P5098" s="1">
        <v>841</v>
      </c>
      <c r="Q5098" s="1" t="s">
        <v>42</v>
      </c>
      <c r="S5098" s="1" t="s">
        <v>42</v>
      </c>
      <c r="T5098" s="1" t="s">
        <v>273</v>
      </c>
      <c r="AA5098" s="1">
        <v>1160805</v>
      </c>
      <c r="AB5098" s="1" t="s">
        <v>3538</v>
      </c>
      <c r="AC5098" s="5">
        <v>42866</v>
      </c>
      <c r="AF5098" s="1">
        <v>10005</v>
      </c>
      <c r="AI5098" s="1" t="s">
        <v>52</v>
      </c>
      <c r="AJ5098" s="1">
        <v>2016</v>
      </c>
      <c r="AK5098" s="1" t="s">
        <v>55</v>
      </c>
      <c r="AL5098" s="1">
        <v>51</v>
      </c>
    </row>
    <row r="5099" spans="1:38" x14ac:dyDescent="0.2">
      <c r="A5099" s="2" t="str">
        <f>HYPERLINK("https://www.compass.com/listing/101-wall-street-unit-14a-manhattan-ny-10005/29356244569521073/","101 Wall St, Unit 14A")</f>
        <v>101 Wall St, Unit 14A</v>
      </c>
      <c r="B5099" s="2" t="str">
        <f t="shared" si="867"/>
        <v>101 Wall St</v>
      </c>
      <c r="C5099" s="1" t="s">
        <v>96</v>
      </c>
      <c r="D5099" s="1" t="s">
        <v>41</v>
      </c>
      <c r="E5099" s="3">
        <v>1205904</v>
      </c>
      <c r="F5099" s="1">
        <v>1715.3684210526301</v>
      </c>
      <c r="G5099" s="1">
        <v>3</v>
      </c>
      <c r="H5099" s="1">
        <v>1</v>
      </c>
      <c r="I5099" s="1">
        <v>1</v>
      </c>
      <c r="J5099" s="1">
        <v>1</v>
      </c>
      <c r="K5099" s="1">
        <v>1</v>
      </c>
      <c r="M5099" s="1">
        <v>703</v>
      </c>
      <c r="N5099" s="1">
        <v>905</v>
      </c>
      <c r="O5099" s="1">
        <v>1951</v>
      </c>
      <c r="P5099" s="1">
        <v>1046</v>
      </c>
      <c r="Q5099" s="1" t="s">
        <v>42</v>
      </c>
      <c r="S5099" s="1" t="s">
        <v>42</v>
      </c>
      <c r="T5099" s="1" t="s">
        <v>273</v>
      </c>
      <c r="U5099" s="1">
        <v>165</v>
      </c>
      <c r="V5099" s="5">
        <v>43626</v>
      </c>
      <c r="W5099" s="5">
        <v>42860</v>
      </c>
      <c r="X5099" s="1">
        <v>1250000</v>
      </c>
      <c r="Y5099" s="1">
        <v>1250000</v>
      </c>
      <c r="Z5099" s="5">
        <v>43025</v>
      </c>
      <c r="AA5099" s="1">
        <v>1205904</v>
      </c>
      <c r="AB5099" s="1" t="s">
        <v>3539</v>
      </c>
      <c r="AC5099" s="5">
        <v>43118</v>
      </c>
      <c r="AF5099" s="1">
        <v>10005</v>
      </c>
      <c r="AI5099" s="1" t="s">
        <v>52</v>
      </c>
      <c r="AJ5099" s="1">
        <v>2016</v>
      </c>
      <c r="AK5099" s="1" t="s">
        <v>108</v>
      </c>
      <c r="AL5099" s="1">
        <v>51</v>
      </c>
    </row>
    <row r="5100" spans="1:38" x14ac:dyDescent="0.2">
      <c r="A5100" s="2" t="str">
        <f>HYPERLINK("https://www.compass.com/listing/138-east-50th-street-unit-12a-manhattan-ny-10022/591357976991322233/","138 E 50th St, Unit 12A")</f>
        <v>138 E 50th St, Unit 12A</v>
      </c>
      <c r="B5100" s="2" t="str">
        <f>HYPERLINK("https://www.compass.com/building/the-centrale-manhattan-ny/281941497232811621/","The Centrale")</f>
        <v>The Centrale</v>
      </c>
      <c r="C5100" s="1" t="s">
        <v>116</v>
      </c>
      <c r="D5100" s="1" t="s">
        <v>41</v>
      </c>
      <c r="E5100" s="3">
        <v>2300000</v>
      </c>
      <c r="F5100" s="1">
        <v>1590.5947441217099</v>
      </c>
      <c r="G5100" s="1">
        <v>4</v>
      </c>
      <c r="H5100" s="1">
        <v>2</v>
      </c>
      <c r="I5100" s="1">
        <v>3</v>
      </c>
      <c r="J5100" s="1">
        <v>2.5</v>
      </c>
      <c r="K5100" s="1">
        <v>2</v>
      </c>
      <c r="L5100" s="1">
        <v>1</v>
      </c>
      <c r="M5100" s="4">
        <v>1446</v>
      </c>
      <c r="N5100" s="1">
        <v>1423</v>
      </c>
      <c r="O5100" s="1">
        <v>3543</v>
      </c>
      <c r="P5100" s="1">
        <v>2120</v>
      </c>
      <c r="Q5100" s="1" t="s">
        <v>42</v>
      </c>
      <c r="S5100" s="1" t="s">
        <v>42</v>
      </c>
      <c r="T5100" s="1" t="s">
        <v>273</v>
      </c>
      <c r="U5100" s="1">
        <v>226</v>
      </c>
      <c r="V5100" s="5">
        <v>44324</v>
      </c>
      <c r="W5100" s="5">
        <v>44067</v>
      </c>
      <c r="X5100" s="1">
        <v>2675000</v>
      </c>
      <c r="Y5100" s="1">
        <v>2675000</v>
      </c>
      <c r="Z5100" s="5">
        <v>44294</v>
      </c>
      <c r="AA5100" s="1">
        <v>2300000</v>
      </c>
      <c r="AB5100" s="1" t="s">
        <v>3540</v>
      </c>
      <c r="AC5100" s="5">
        <v>44299</v>
      </c>
      <c r="AF5100" s="1">
        <v>10022</v>
      </c>
      <c r="AI5100" s="1" t="s">
        <v>48</v>
      </c>
      <c r="AJ5100" s="1">
        <v>2019</v>
      </c>
      <c r="AK5100" s="1" t="s">
        <v>55</v>
      </c>
      <c r="AL5100" s="1">
        <v>124</v>
      </c>
    </row>
    <row r="5101" spans="1:38" x14ac:dyDescent="0.2">
      <c r="A5101" s="2" t="str">
        <f>HYPERLINK("https://www.compass.com/listing/35-hudson-yards-unit-5603-manhattan-ny-10001/393996897668080209/","35 Hudson Yards, Unit 5603")</f>
        <v>35 Hudson Yards, Unit 5603</v>
      </c>
      <c r="B5101" s="2" t="str">
        <f t="shared" ref="B5101:B5102" si="868">HYPERLINK("https://www.compass.com/building/35-hudson-yards-manhattan-ny/292773408544917349/","35 Hudson Yards")</f>
        <v>35 Hudson Yards</v>
      </c>
      <c r="C5101" s="1" t="s">
        <v>77</v>
      </c>
      <c r="D5101" s="1" t="s">
        <v>41</v>
      </c>
      <c r="E5101" s="3">
        <v>4079250</v>
      </c>
      <c r="F5101" s="1">
        <v>2156.0517970401602</v>
      </c>
      <c r="G5101" s="1">
        <v>4.5</v>
      </c>
      <c r="H5101" s="1">
        <v>2</v>
      </c>
      <c r="I5101" s="1">
        <v>3</v>
      </c>
      <c r="J5101" s="1">
        <v>2.5</v>
      </c>
      <c r="K5101" s="1">
        <v>2</v>
      </c>
      <c r="L5101" s="1">
        <v>1</v>
      </c>
      <c r="M5101" s="4">
        <v>1892</v>
      </c>
      <c r="N5101" s="1">
        <v>5371</v>
      </c>
      <c r="O5101" s="1">
        <v>5745</v>
      </c>
      <c r="P5101" s="1">
        <v>374</v>
      </c>
      <c r="Q5101" s="1" t="s">
        <v>42</v>
      </c>
      <c r="S5101" s="1" t="s">
        <v>42</v>
      </c>
      <c r="T5101" s="1" t="s">
        <v>273</v>
      </c>
      <c r="U5101" s="1">
        <v>41</v>
      </c>
      <c r="V5101" s="5">
        <v>44385</v>
      </c>
      <c r="W5101" s="5">
        <v>44050</v>
      </c>
      <c r="Y5101" s="1">
        <v>4250000</v>
      </c>
      <c r="Z5101" s="5">
        <v>44253</v>
      </c>
      <c r="AA5101" s="1">
        <v>4079250</v>
      </c>
      <c r="AB5101" s="1" t="s">
        <v>3541</v>
      </c>
      <c r="AC5101" s="5">
        <v>44376</v>
      </c>
      <c r="AF5101" s="1">
        <v>10001</v>
      </c>
      <c r="AI5101" s="1" t="s">
        <v>48</v>
      </c>
      <c r="AJ5101" s="1">
        <v>2019</v>
      </c>
      <c r="AK5101" s="1" t="s">
        <v>108</v>
      </c>
      <c r="AL5101" s="1">
        <v>143</v>
      </c>
    </row>
    <row r="5102" spans="1:38" x14ac:dyDescent="0.2">
      <c r="A5102" s="2" t="str">
        <f>HYPERLINK("https://www.compass.com/listing/35-hudson-yards-unit-6103-manhattan-ny-10001/521732963368001321/","35 Hudson Yards, Unit 6103")</f>
        <v>35 Hudson Yards, Unit 6103</v>
      </c>
      <c r="B5102" s="2" t="str">
        <f t="shared" si="868"/>
        <v>35 Hudson Yards</v>
      </c>
      <c r="C5102" s="1" t="s">
        <v>77</v>
      </c>
      <c r="D5102" s="1" t="s">
        <v>41</v>
      </c>
      <c r="E5102" s="3">
        <v>4053750</v>
      </c>
      <c r="F5102" s="1">
        <v>2142.5739957716701</v>
      </c>
      <c r="G5102" s="1">
        <v>4.5</v>
      </c>
      <c r="H5102" s="1">
        <v>2</v>
      </c>
      <c r="I5102" s="1">
        <v>3</v>
      </c>
      <c r="J5102" s="1">
        <v>2.5</v>
      </c>
      <c r="K5102" s="1">
        <v>2</v>
      </c>
      <c r="L5102" s="1">
        <v>1</v>
      </c>
      <c r="M5102" s="4">
        <v>1892</v>
      </c>
      <c r="N5102" s="1">
        <v>5395</v>
      </c>
      <c r="O5102" s="1">
        <v>5771</v>
      </c>
      <c r="P5102" s="1">
        <v>376</v>
      </c>
      <c r="Q5102" s="1" t="s">
        <v>42</v>
      </c>
      <c r="S5102" s="1" t="s">
        <v>42</v>
      </c>
      <c r="T5102" s="1" t="s">
        <v>273</v>
      </c>
      <c r="U5102" s="1">
        <v>45</v>
      </c>
      <c r="V5102" s="5">
        <v>44254</v>
      </c>
      <c r="W5102" s="5">
        <v>43971</v>
      </c>
      <c r="X5102" s="1">
        <v>5200000</v>
      </c>
      <c r="Y5102" s="1">
        <v>5200000</v>
      </c>
      <c r="Z5102" s="5">
        <v>44062</v>
      </c>
      <c r="AA5102" s="1">
        <v>4053750</v>
      </c>
      <c r="AB5102" s="1" t="s">
        <v>3542</v>
      </c>
      <c r="AC5102" s="5">
        <v>44250</v>
      </c>
      <c r="AF5102" s="1">
        <v>10001</v>
      </c>
      <c r="AI5102" s="1" t="s">
        <v>48</v>
      </c>
      <c r="AJ5102" s="1">
        <v>2019</v>
      </c>
      <c r="AK5102" s="1" t="s">
        <v>55</v>
      </c>
      <c r="AL5102" s="1">
        <v>143</v>
      </c>
    </row>
    <row r="5103" spans="1:38" x14ac:dyDescent="0.2">
      <c r="A5103" s="2" t="str">
        <f>HYPERLINK("https://www.compass.com/listing/101-wall-street-unit-12a-manhattan-ny-10005/122402169763665361/","101 Wall St, Unit 12A")</f>
        <v>101 Wall St, Unit 12A</v>
      </c>
      <c r="B5103" s="2" t="str">
        <f t="shared" ref="B5103:B5106" si="869">HYPERLINK("https://www.compass.com/building/101-wall-st-manhattan-ny-10005/292788767809355381/","101 Wall St")</f>
        <v>101 Wall St</v>
      </c>
      <c r="C5103" s="1" t="s">
        <v>96</v>
      </c>
      <c r="D5103" s="1" t="s">
        <v>41</v>
      </c>
      <c r="E5103" s="3">
        <v>975000</v>
      </c>
      <c r="F5103" s="1">
        <v>1386.91322901849</v>
      </c>
      <c r="G5103" s="1">
        <v>3</v>
      </c>
      <c r="H5103" s="1">
        <v>1</v>
      </c>
      <c r="I5103" s="1">
        <v>1</v>
      </c>
      <c r="J5103" s="1">
        <v>1</v>
      </c>
      <c r="K5103" s="1">
        <v>1</v>
      </c>
      <c r="M5103" s="1">
        <v>703</v>
      </c>
      <c r="N5103" s="1">
        <v>554</v>
      </c>
      <c r="O5103" s="1">
        <v>1801</v>
      </c>
      <c r="P5103" s="1">
        <v>1247</v>
      </c>
      <c r="Q5103" s="1" t="s">
        <v>42</v>
      </c>
      <c r="S5103" s="1" t="s">
        <v>42</v>
      </c>
      <c r="T5103" s="1" t="s">
        <v>273</v>
      </c>
      <c r="U5103" s="1">
        <v>179</v>
      </c>
      <c r="V5103" s="5">
        <v>43683</v>
      </c>
      <c r="W5103" s="5">
        <v>43421</v>
      </c>
      <c r="X5103" s="1">
        <v>995000</v>
      </c>
      <c r="Y5103" s="1">
        <v>995000</v>
      </c>
      <c r="Z5103" s="5">
        <v>43600</v>
      </c>
      <c r="AA5103" s="1">
        <v>975000</v>
      </c>
      <c r="AB5103" s="1" t="s">
        <v>3543</v>
      </c>
      <c r="AC5103" s="5">
        <v>43672</v>
      </c>
      <c r="AF5103" s="1">
        <v>10005</v>
      </c>
      <c r="AI5103" s="1" t="s">
        <v>52</v>
      </c>
      <c r="AJ5103" s="1">
        <v>2016</v>
      </c>
      <c r="AK5103" s="1" t="s">
        <v>108</v>
      </c>
      <c r="AL5103" s="1">
        <v>51</v>
      </c>
    </row>
    <row r="5104" spans="1:38" x14ac:dyDescent="0.2">
      <c r="A5104" s="2" t="str">
        <f>HYPERLINK("https://www.compass.com/listing/101-wall-street-unit-11a-manhattan-ny-10005/228195764445160545/","101 Wall St, Unit 11A")</f>
        <v>101 Wall St, Unit 11A</v>
      </c>
      <c r="B5104" s="2" t="str">
        <f t="shared" si="869"/>
        <v>101 Wall St</v>
      </c>
      <c r="C5104" s="1" t="s">
        <v>96</v>
      </c>
      <c r="D5104" s="1" t="s">
        <v>41</v>
      </c>
      <c r="E5104" s="3">
        <v>973806</v>
      </c>
      <c r="F5104" s="1">
        <v>1385.21426742532</v>
      </c>
      <c r="G5104" s="1">
        <v>3</v>
      </c>
      <c r="H5104" s="1">
        <v>1</v>
      </c>
      <c r="I5104" s="1">
        <v>1</v>
      </c>
      <c r="J5104" s="1">
        <v>1</v>
      </c>
      <c r="K5104" s="1">
        <v>1</v>
      </c>
      <c r="M5104" s="1">
        <v>703</v>
      </c>
      <c r="N5104" s="1">
        <v>554</v>
      </c>
      <c r="O5104" s="1">
        <v>1801</v>
      </c>
      <c r="P5104" s="1">
        <v>1247</v>
      </c>
      <c r="Q5104" s="1" t="s">
        <v>42</v>
      </c>
      <c r="S5104" s="1" t="s">
        <v>42</v>
      </c>
      <c r="T5104" s="1" t="s">
        <v>273</v>
      </c>
      <c r="V5104" s="5">
        <v>43620</v>
      </c>
      <c r="W5104" s="5">
        <v>43566</v>
      </c>
      <c r="X5104" s="1">
        <v>995000</v>
      </c>
      <c r="Y5104" s="1">
        <v>995000</v>
      </c>
      <c r="Z5104" s="5">
        <v>43566</v>
      </c>
      <c r="AA5104" s="1">
        <v>973805.63</v>
      </c>
      <c r="AB5104" s="1" t="s">
        <v>3544</v>
      </c>
      <c r="AC5104" s="5">
        <v>43609</v>
      </c>
      <c r="AF5104" s="1">
        <v>10005</v>
      </c>
      <c r="AI5104" s="1" t="s">
        <v>52</v>
      </c>
      <c r="AJ5104" s="1">
        <v>2016</v>
      </c>
      <c r="AK5104" s="1" t="s">
        <v>108</v>
      </c>
      <c r="AL5104" s="1">
        <v>51</v>
      </c>
    </row>
    <row r="5105" spans="1:38" x14ac:dyDescent="0.2">
      <c r="A5105" s="2" t="str">
        <f>HYPERLINK("https://www.compass.com/listing/101-wall-street-unit-9a-manhattan-ny-10005/251543798918702337/","101 Wall St, Unit 9A")</f>
        <v>101 Wall St, Unit 9A</v>
      </c>
      <c r="B5105" s="2" t="str">
        <f t="shared" si="869"/>
        <v>101 Wall St</v>
      </c>
      <c r="C5105" s="1" t="s">
        <v>96</v>
      </c>
      <c r="D5105" s="1" t="s">
        <v>41</v>
      </c>
      <c r="E5105" s="3">
        <v>977000</v>
      </c>
      <c r="F5105" s="1">
        <v>1383.8526912181301</v>
      </c>
      <c r="G5105" s="1">
        <v>3</v>
      </c>
      <c r="H5105" s="1">
        <v>1</v>
      </c>
      <c r="I5105" s="1">
        <v>1</v>
      </c>
      <c r="J5105" s="1">
        <v>1</v>
      </c>
      <c r="K5105" s="1">
        <v>1</v>
      </c>
      <c r="M5105" s="1">
        <v>706</v>
      </c>
      <c r="N5105" s="1">
        <v>559</v>
      </c>
      <c r="O5105" s="1">
        <v>1816</v>
      </c>
      <c r="P5105" s="1">
        <v>1257</v>
      </c>
      <c r="Q5105" s="1" t="s">
        <v>42</v>
      </c>
      <c r="S5105" s="1" t="s">
        <v>42</v>
      </c>
      <c r="T5105" s="1" t="s">
        <v>273</v>
      </c>
      <c r="V5105" s="5">
        <v>43704</v>
      </c>
      <c r="W5105" s="5">
        <v>43599</v>
      </c>
      <c r="X5105" s="1">
        <v>1049000</v>
      </c>
      <c r="Y5105" s="1">
        <v>1049000</v>
      </c>
      <c r="Z5105" s="5">
        <v>43599</v>
      </c>
      <c r="AA5105" s="1">
        <v>977000</v>
      </c>
      <c r="AB5105" s="1" t="s">
        <v>3545</v>
      </c>
      <c r="AC5105" s="5">
        <v>43689</v>
      </c>
      <c r="AF5105" s="1">
        <v>10005</v>
      </c>
      <c r="AI5105" s="1" t="s">
        <v>52</v>
      </c>
      <c r="AJ5105" s="1">
        <v>2016</v>
      </c>
      <c r="AK5105" s="1" t="s">
        <v>108</v>
      </c>
      <c r="AL5105" s="1">
        <v>51</v>
      </c>
    </row>
    <row r="5106" spans="1:38" x14ac:dyDescent="0.2">
      <c r="A5106" s="2" t="str">
        <f>HYPERLINK("https://www.compass.com/listing/101-wall-street-unit-8a-manhattan-ny-10005/81301823159318609/","101 Wall St, Unit 8A")</f>
        <v>101 Wall St, Unit 8A</v>
      </c>
      <c r="B5106" s="2" t="str">
        <f t="shared" si="869"/>
        <v>101 Wall St</v>
      </c>
      <c r="C5106" s="1" t="s">
        <v>96</v>
      </c>
      <c r="D5106" s="1" t="s">
        <v>41</v>
      </c>
      <c r="E5106" s="3">
        <v>938486</v>
      </c>
      <c r="F5106" s="1">
        <v>1329.30028328611</v>
      </c>
      <c r="G5106" s="1">
        <v>3</v>
      </c>
      <c r="H5106" s="1">
        <v>1</v>
      </c>
      <c r="I5106" s="1">
        <v>1</v>
      </c>
      <c r="J5106" s="1">
        <v>1</v>
      </c>
      <c r="K5106" s="1">
        <v>1</v>
      </c>
      <c r="M5106" s="1">
        <v>706</v>
      </c>
      <c r="N5106" s="1">
        <v>909</v>
      </c>
      <c r="O5106" s="1">
        <v>2172</v>
      </c>
      <c r="P5106" s="1">
        <v>1263</v>
      </c>
      <c r="Q5106" s="1" t="s">
        <v>42</v>
      </c>
      <c r="S5106" s="1" t="s">
        <v>42</v>
      </c>
      <c r="T5106" s="1" t="s">
        <v>273</v>
      </c>
      <c r="U5106" s="1">
        <v>57</v>
      </c>
      <c r="V5106" s="5">
        <v>43648</v>
      </c>
      <c r="W5106" s="5">
        <v>43364</v>
      </c>
      <c r="X5106" s="1">
        <v>999000</v>
      </c>
      <c r="Y5106" s="1">
        <v>999000</v>
      </c>
      <c r="Z5106" s="5">
        <v>43468</v>
      </c>
      <c r="AA5106" s="1">
        <v>938486</v>
      </c>
      <c r="AB5106" s="1" t="s">
        <v>3546</v>
      </c>
      <c r="AC5106" s="5">
        <v>43505</v>
      </c>
      <c r="AF5106" s="1">
        <v>10005</v>
      </c>
      <c r="AI5106" s="1" t="s">
        <v>52</v>
      </c>
      <c r="AJ5106" s="1">
        <v>2016</v>
      </c>
      <c r="AK5106" s="1" t="s">
        <v>108</v>
      </c>
      <c r="AL5106" s="1">
        <v>51</v>
      </c>
    </row>
    <row r="5107" spans="1:38" x14ac:dyDescent="0.2">
      <c r="A5107" s="2" t="str">
        <f>HYPERLINK("https://www.compass.com/listing/35-hudson-yards-unit-6801-manhattan-ny-10001/416705657995580017/","35 Hudson Yards, Unit 6801")</f>
        <v>35 Hudson Yards, Unit 6801</v>
      </c>
      <c r="B5107" s="2" t="str">
        <f t="shared" ref="B5107:B5115" si="870">HYPERLINK("https://www.compass.com/building/35-hudson-yards-manhattan-ny/292773408544917349/","35 Hudson Yards")</f>
        <v>35 Hudson Yards</v>
      </c>
      <c r="C5107" s="1" t="s">
        <v>77</v>
      </c>
      <c r="D5107" s="1" t="s">
        <v>41</v>
      </c>
      <c r="E5107" s="3">
        <v>6504250</v>
      </c>
      <c r="F5107" s="1">
        <v>2530.8365758754799</v>
      </c>
      <c r="G5107" s="1">
        <v>5.5</v>
      </c>
      <c r="H5107" s="1">
        <v>3</v>
      </c>
      <c r="I5107" s="1">
        <v>4</v>
      </c>
      <c r="J5107" s="1">
        <v>3.5</v>
      </c>
      <c r="K5107" s="1">
        <v>3</v>
      </c>
      <c r="L5107" s="1">
        <v>1</v>
      </c>
      <c r="M5107" s="4">
        <v>2570</v>
      </c>
      <c r="N5107" s="1">
        <v>7575</v>
      </c>
      <c r="O5107" s="1">
        <v>8103</v>
      </c>
      <c r="P5107" s="1">
        <v>528</v>
      </c>
      <c r="Q5107" s="1" t="s">
        <v>42</v>
      </c>
      <c r="S5107" s="1" t="s">
        <v>42</v>
      </c>
      <c r="T5107" s="1" t="s">
        <v>273</v>
      </c>
      <c r="U5107" s="1">
        <v>83</v>
      </c>
      <c r="V5107" s="5">
        <v>44131</v>
      </c>
      <c r="W5107" s="5">
        <v>43826</v>
      </c>
      <c r="X5107" s="1">
        <v>6975000</v>
      </c>
      <c r="Y5107" s="1">
        <v>6975000</v>
      </c>
      <c r="Z5107" s="5">
        <v>44037</v>
      </c>
      <c r="AA5107" s="1">
        <v>6504250</v>
      </c>
      <c r="AB5107" s="1" t="s">
        <v>3547</v>
      </c>
      <c r="AC5107" s="5">
        <v>44126</v>
      </c>
      <c r="AF5107" s="1">
        <v>10001</v>
      </c>
      <c r="AI5107" s="1" t="s">
        <v>179</v>
      </c>
      <c r="AJ5107" s="1">
        <v>2019</v>
      </c>
      <c r="AK5107" s="1" t="s">
        <v>55</v>
      </c>
      <c r="AL5107" s="1">
        <v>143</v>
      </c>
    </row>
    <row r="5108" spans="1:38" x14ac:dyDescent="0.2">
      <c r="A5108" s="2" t="str">
        <f>HYPERLINK("https://www.compass.com/listing/35-hudson-yards-unit-5805-manhattan-ny-10001/841517559232797377/","35 Hudson Yards, Unit 5805")</f>
        <v>35 Hudson Yards, Unit 5805</v>
      </c>
      <c r="B5108" s="2" t="str">
        <f t="shared" si="870"/>
        <v>35 Hudson Yards</v>
      </c>
      <c r="D5108" s="1" t="s">
        <v>41</v>
      </c>
      <c r="E5108" s="3">
        <v>3903750</v>
      </c>
      <c r="F5108" s="1">
        <v>2616.45442359249</v>
      </c>
      <c r="G5108" s="1">
        <v>4</v>
      </c>
      <c r="H5108" s="1">
        <v>2</v>
      </c>
      <c r="I5108" s="1">
        <v>3</v>
      </c>
      <c r="J5108" s="1">
        <v>2.5</v>
      </c>
      <c r="K5108" s="1">
        <v>2</v>
      </c>
      <c r="L5108" s="1">
        <v>1</v>
      </c>
      <c r="M5108" s="4">
        <v>1492</v>
      </c>
      <c r="N5108" s="1">
        <v>3698</v>
      </c>
      <c r="O5108" s="1">
        <v>4010</v>
      </c>
      <c r="P5108" s="1">
        <v>312</v>
      </c>
      <c r="Q5108" s="1" t="s">
        <v>42</v>
      </c>
      <c r="S5108" s="1" t="s">
        <v>42</v>
      </c>
      <c r="T5108" s="1" t="s">
        <v>273</v>
      </c>
      <c r="U5108" s="1">
        <v>385</v>
      </c>
      <c r="V5108" s="5">
        <v>43725</v>
      </c>
      <c r="W5108" s="5">
        <v>43725</v>
      </c>
      <c r="X5108" s="1">
        <v>5125000</v>
      </c>
      <c r="Y5108" s="1">
        <v>5125000</v>
      </c>
      <c r="AA5108" s="1">
        <v>3903750</v>
      </c>
      <c r="AB5108" s="1" t="s">
        <v>3548</v>
      </c>
      <c r="AC5108" s="5">
        <v>44204</v>
      </c>
      <c r="AF5108" s="1">
        <v>10001</v>
      </c>
      <c r="AI5108" s="1" t="s">
        <v>111</v>
      </c>
      <c r="AJ5108" s="1">
        <v>2019</v>
      </c>
      <c r="AK5108" s="1" t="s">
        <v>108</v>
      </c>
      <c r="AL5108" s="1">
        <v>143</v>
      </c>
    </row>
    <row r="5109" spans="1:38" x14ac:dyDescent="0.2">
      <c r="A5109" s="2" t="str">
        <f>HYPERLINK("https://www.compass.com/listing/35-hudson-yards-unit-6303-manhattan-ny-10001/622024600253011873/","35 Hudson Yards, Unit 6303")</f>
        <v>35 Hudson Yards, Unit 6303</v>
      </c>
      <c r="B5109" s="2" t="str">
        <f t="shared" si="870"/>
        <v>35 Hudson Yards</v>
      </c>
      <c r="C5109" s="1" t="s">
        <v>77</v>
      </c>
      <c r="D5109" s="1" t="s">
        <v>41</v>
      </c>
      <c r="E5109" s="3">
        <v>6204250</v>
      </c>
      <c r="F5109" s="1">
        <v>2277.6248164464</v>
      </c>
      <c r="G5109" s="1">
        <v>5.5</v>
      </c>
      <c r="H5109" s="1">
        <v>3</v>
      </c>
      <c r="I5109" s="1">
        <v>4</v>
      </c>
      <c r="J5109" s="1">
        <v>3.5</v>
      </c>
      <c r="K5109" s="1">
        <v>3</v>
      </c>
      <c r="L5109" s="1">
        <v>1</v>
      </c>
      <c r="M5109" s="4">
        <v>2724</v>
      </c>
      <c r="N5109" s="1">
        <v>7762</v>
      </c>
      <c r="O5109" s="1">
        <v>8303</v>
      </c>
      <c r="P5109" s="1">
        <v>541</v>
      </c>
      <c r="Q5109" s="1" t="s">
        <v>42</v>
      </c>
      <c r="S5109" s="1" t="s">
        <v>42</v>
      </c>
      <c r="T5109" s="1" t="s">
        <v>273</v>
      </c>
      <c r="U5109" s="1">
        <v>218</v>
      </c>
      <c r="V5109" s="5">
        <v>44385</v>
      </c>
      <c r="W5109" s="5">
        <v>44109</v>
      </c>
      <c r="X5109" s="1">
        <v>6950000</v>
      </c>
      <c r="Y5109" s="1">
        <v>6950000</v>
      </c>
      <c r="Z5109" s="5">
        <v>44328</v>
      </c>
      <c r="AA5109" s="1">
        <v>6204250</v>
      </c>
      <c r="AB5109" s="1" t="s">
        <v>3549</v>
      </c>
      <c r="AC5109" s="5">
        <v>44375</v>
      </c>
      <c r="AF5109" s="1">
        <v>10001</v>
      </c>
      <c r="AI5109" s="1" t="s">
        <v>48</v>
      </c>
      <c r="AJ5109" s="1">
        <v>2019</v>
      </c>
      <c r="AK5109" s="1" t="s">
        <v>108</v>
      </c>
      <c r="AL5109" s="1">
        <v>143</v>
      </c>
    </row>
    <row r="5110" spans="1:38" x14ac:dyDescent="0.2">
      <c r="A5110" s="2" t="str">
        <f>HYPERLINK("https://www.compass.com/listing/35-hudson-yards-unit-6803-manhattan-ny-10001/416705657164996017/","35 Hudson Yards, Unit 6803")</f>
        <v>35 Hudson Yards, Unit 6803</v>
      </c>
      <c r="B5110" s="2" t="str">
        <f t="shared" si="870"/>
        <v>35 Hudson Yards</v>
      </c>
      <c r="C5110" s="1" t="s">
        <v>77</v>
      </c>
      <c r="D5110" s="1" t="s">
        <v>41</v>
      </c>
      <c r="E5110" s="3">
        <v>6113750</v>
      </c>
      <c r="F5110" s="1">
        <v>2244.4016152716499</v>
      </c>
      <c r="G5110" s="1">
        <v>5.5</v>
      </c>
      <c r="H5110" s="1">
        <v>3</v>
      </c>
      <c r="I5110" s="1">
        <v>4</v>
      </c>
      <c r="J5110" s="1">
        <v>3.5</v>
      </c>
      <c r="K5110" s="1">
        <v>3</v>
      </c>
      <c r="L5110" s="1">
        <v>1</v>
      </c>
      <c r="M5110" s="4">
        <v>2724</v>
      </c>
      <c r="N5110" s="1">
        <v>7786</v>
      </c>
      <c r="O5110" s="1">
        <v>8329</v>
      </c>
      <c r="P5110" s="1">
        <v>543</v>
      </c>
      <c r="Q5110" s="1" t="s">
        <v>42</v>
      </c>
      <c r="S5110" s="1" t="s">
        <v>42</v>
      </c>
      <c r="T5110" s="1" t="s">
        <v>273</v>
      </c>
      <c r="U5110" s="1">
        <v>9</v>
      </c>
      <c r="V5110" s="5">
        <v>44288</v>
      </c>
      <c r="W5110" s="5">
        <v>43826</v>
      </c>
      <c r="X5110" s="1">
        <v>6275000</v>
      </c>
      <c r="Y5110" s="1">
        <v>6275000</v>
      </c>
      <c r="AA5110" s="1">
        <v>6113750</v>
      </c>
      <c r="AB5110" s="1" t="s">
        <v>3550</v>
      </c>
      <c r="AC5110" s="5">
        <v>44183</v>
      </c>
      <c r="AF5110" s="1">
        <v>10001</v>
      </c>
      <c r="AI5110" s="1" t="s">
        <v>48</v>
      </c>
      <c r="AJ5110" s="1">
        <v>2019</v>
      </c>
      <c r="AK5110" s="1" t="s">
        <v>55</v>
      </c>
      <c r="AL5110" s="1">
        <v>143</v>
      </c>
    </row>
    <row r="5111" spans="1:38" x14ac:dyDescent="0.2">
      <c r="A5111" s="2" t="str">
        <f>HYPERLINK("https://www.compass.com/listing/35-hudson-yards-unit-5905-manhattan-ny-10001/714645402555769345/","35 Hudson Yards, Unit 5905")</f>
        <v>35 Hudson Yards, Unit 5905</v>
      </c>
      <c r="B5111" s="2" t="str">
        <f t="shared" si="870"/>
        <v>35 Hudson Yards</v>
      </c>
      <c r="C5111" s="1" t="s">
        <v>77</v>
      </c>
      <c r="D5111" s="1" t="s">
        <v>41</v>
      </c>
      <c r="E5111" s="3">
        <v>4000000</v>
      </c>
      <c r="F5111" s="1">
        <v>2680.9651474530801</v>
      </c>
      <c r="G5111" s="1">
        <v>4.5</v>
      </c>
      <c r="H5111" s="1">
        <v>2</v>
      </c>
      <c r="I5111" s="1">
        <v>3</v>
      </c>
      <c r="J5111" s="1">
        <v>2.5</v>
      </c>
      <c r="K5111" s="1">
        <v>2</v>
      </c>
      <c r="L5111" s="1">
        <v>1</v>
      </c>
      <c r="M5111" s="4">
        <v>1492</v>
      </c>
      <c r="N5111" s="1">
        <v>4337</v>
      </c>
      <c r="O5111" s="1">
        <v>4639</v>
      </c>
      <c r="P5111" s="1">
        <v>302</v>
      </c>
      <c r="Q5111" s="1" t="s">
        <v>42</v>
      </c>
      <c r="S5111" s="1" t="s">
        <v>42</v>
      </c>
      <c r="T5111" s="1" t="s">
        <v>273</v>
      </c>
      <c r="V5111" s="5">
        <v>44373</v>
      </c>
      <c r="W5111" s="5">
        <v>44237</v>
      </c>
      <c r="X5111" s="1">
        <v>5150000</v>
      </c>
      <c r="Y5111" s="1">
        <v>5150000</v>
      </c>
      <c r="Z5111" s="5">
        <v>44238</v>
      </c>
      <c r="AA5111" s="1">
        <v>4000000</v>
      </c>
      <c r="AB5111" s="1" t="s">
        <v>3551</v>
      </c>
      <c r="AC5111" s="5">
        <v>44370</v>
      </c>
      <c r="AF5111" s="1">
        <v>10001</v>
      </c>
      <c r="AI5111" s="1" t="s">
        <v>48</v>
      </c>
      <c r="AJ5111" s="1">
        <v>2019</v>
      </c>
      <c r="AK5111" s="1" t="s">
        <v>108</v>
      </c>
      <c r="AL5111" s="1">
        <v>143</v>
      </c>
    </row>
    <row r="5112" spans="1:38" x14ac:dyDescent="0.2">
      <c r="A5112" s="2" t="str">
        <f>HYPERLINK("https://www.compass.com/listing/35-hudson-yards-unit-5703-manhattan-ny-10001/389147481863104881/","35 Hudson Yards, Unit 5703")</f>
        <v>35 Hudson Yards, Unit 5703</v>
      </c>
      <c r="B5112" s="2" t="str">
        <f t="shared" si="870"/>
        <v>35 Hudson Yards</v>
      </c>
      <c r="C5112" s="1" t="s">
        <v>77</v>
      </c>
      <c r="D5112" s="1" t="s">
        <v>41</v>
      </c>
      <c r="E5112" s="3">
        <v>4254250</v>
      </c>
      <c r="F5112" s="1">
        <v>2248.5465116279001</v>
      </c>
      <c r="G5112" s="1">
        <v>4</v>
      </c>
      <c r="H5112" s="1">
        <v>2</v>
      </c>
      <c r="I5112" s="1">
        <v>3</v>
      </c>
      <c r="J5112" s="1">
        <v>2.5</v>
      </c>
      <c r="K5112" s="1">
        <v>2</v>
      </c>
      <c r="L5112" s="1">
        <v>1</v>
      </c>
      <c r="M5112" s="4">
        <v>1892</v>
      </c>
      <c r="N5112" s="1">
        <v>5376</v>
      </c>
      <c r="O5112" s="1">
        <v>5751</v>
      </c>
      <c r="P5112" s="1">
        <v>375</v>
      </c>
      <c r="Q5112" s="1" t="s">
        <v>42</v>
      </c>
      <c r="S5112" s="1" t="s">
        <v>42</v>
      </c>
      <c r="T5112" s="1" t="s">
        <v>273</v>
      </c>
      <c r="U5112" s="1">
        <v>9</v>
      </c>
      <c r="V5112" s="5">
        <v>44288</v>
      </c>
      <c r="W5112" s="5">
        <v>43901</v>
      </c>
      <c r="Y5112" s="1">
        <v>4275000</v>
      </c>
      <c r="AA5112" s="1">
        <v>4254250</v>
      </c>
      <c r="AB5112" s="1" t="s">
        <v>3552</v>
      </c>
      <c r="AC5112" s="5">
        <v>44089</v>
      </c>
      <c r="AF5112" s="1">
        <v>10001</v>
      </c>
      <c r="AI5112" s="1" t="s">
        <v>48</v>
      </c>
      <c r="AJ5112" s="1">
        <v>2019</v>
      </c>
      <c r="AK5112" s="1" t="s">
        <v>55</v>
      </c>
      <c r="AL5112" s="1">
        <v>143</v>
      </c>
    </row>
    <row r="5113" spans="1:38" x14ac:dyDescent="0.2">
      <c r="A5113" s="2" t="str">
        <f>HYPERLINK("https://www.compass.com/listing/35-hudson-yards-unit-6802-manhattan-ny-10001/416716569343331713/","35 Hudson Yards, Unit 6802")</f>
        <v>35 Hudson Yards, Unit 6802</v>
      </c>
      <c r="B5113" s="2" t="str">
        <f t="shared" si="870"/>
        <v>35 Hudson Yards</v>
      </c>
      <c r="C5113" s="1" t="s">
        <v>77</v>
      </c>
      <c r="D5113" s="1" t="s">
        <v>41</v>
      </c>
      <c r="E5113" s="3">
        <v>4778750</v>
      </c>
      <c r="F5113" s="1">
        <v>2363.3778437190899</v>
      </c>
      <c r="G5113" s="1">
        <v>4.5</v>
      </c>
      <c r="H5113" s="1">
        <v>2</v>
      </c>
      <c r="I5113" s="1">
        <v>3</v>
      </c>
      <c r="J5113" s="1">
        <v>2.5</v>
      </c>
      <c r="K5113" s="1">
        <v>2</v>
      </c>
      <c r="L5113" s="1">
        <v>1</v>
      </c>
      <c r="M5113" s="4">
        <v>2022</v>
      </c>
      <c r="N5113" s="1">
        <v>5254</v>
      </c>
      <c r="O5113" s="1">
        <v>5666</v>
      </c>
      <c r="P5113" s="1">
        <v>412</v>
      </c>
      <c r="Q5113" s="1" t="s">
        <v>42</v>
      </c>
      <c r="S5113" s="1" t="s">
        <v>42</v>
      </c>
      <c r="T5113" s="1" t="s">
        <v>273</v>
      </c>
      <c r="V5113" s="5">
        <v>44288</v>
      </c>
      <c r="W5113" s="5">
        <v>43826</v>
      </c>
      <c r="X5113" s="1">
        <v>4975000</v>
      </c>
      <c r="Y5113" s="1">
        <v>4975000</v>
      </c>
      <c r="AA5113" s="1">
        <v>4778750</v>
      </c>
      <c r="AB5113" s="1" t="s">
        <v>3553</v>
      </c>
      <c r="AC5113" s="5">
        <v>44183</v>
      </c>
      <c r="AF5113" s="1">
        <v>10001</v>
      </c>
      <c r="AI5113" s="1" t="s">
        <v>48</v>
      </c>
      <c r="AJ5113" s="1">
        <v>2019</v>
      </c>
      <c r="AK5113" s="1" t="s">
        <v>55</v>
      </c>
      <c r="AL5113" s="1">
        <v>143</v>
      </c>
    </row>
    <row r="5114" spans="1:38" x14ac:dyDescent="0.2">
      <c r="A5114" s="2" t="str">
        <f>HYPERLINK("https://www.compass.com/listing/35-hudson-yards-unit-6205-manhattan-ny-10001/497065740300588257/","35 Hudson Yards, Unit 6205")</f>
        <v>35 Hudson Yards, Unit 6205</v>
      </c>
      <c r="B5114" s="2" t="str">
        <f t="shared" si="870"/>
        <v>35 Hudson Yards</v>
      </c>
      <c r="C5114" s="1" t="s">
        <v>77</v>
      </c>
      <c r="D5114" s="1" t="s">
        <v>41</v>
      </c>
      <c r="E5114" s="3">
        <v>4153750</v>
      </c>
      <c r="F5114" s="1">
        <v>2784.01474530831</v>
      </c>
      <c r="G5114" s="1">
        <v>4.5</v>
      </c>
      <c r="H5114" s="1">
        <v>2</v>
      </c>
      <c r="I5114" s="1">
        <v>3</v>
      </c>
      <c r="J5114" s="1">
        <v>2.5</v>
      </c>
      <c r="K5114" s="1">
        <v>2</v>
      </c>
      <c r="L5114" s="1">
        <v>1</v>
      </c>
      <c r="M5114" s="4">
        <v>1492</v>
      </c>
      <c r="N5114" s="1">
        <v>4352</v>
      </c>
      <c r="O5114" s="1">
        <v>4655</v>
      </c>
      <c r="P5114" s="1">
        <v>303</v>
      </c>
      <c r="Q5114" s="1" t="s">
        <v>42</v>
      </c>
      <c r="S5114" s="1" t="s">
        <v>42</v>
      </c>
      <c r="T5114" s="1" t="s">
        <v>273</v>
      </c>
      <c r="U5114" s="1">
        <v>137</v>
      </c>
      <c r="V5114" s="5">
        <v>44238</v>
      </c>
      <c r="W5114" s="5">
        <v>43937</v>
      </c>
      <c r="X5114" s="1">
        <v>5225000</v>
      </c>
      <c r="Y5114" s="1">
        <v>5225000</v>
      </c>
      <c r="Z5114" s="5">
        <v>44208</v>
      </c>
      <c r="AA5114" s="1">
        <v>4153750</v>
      </c>
      <c r="AB5114" s="1" t="s">
        <v>3554</v>
      </c>
      <c r="AC5114" s="5">
        <v>44237</v>
      </c>
      <c r="AF5114" s="1">
        <v>10001</v>
      </c>
      <c r="AI5114" s="1" t="s">
        <v>48</v>
      </c>
      <c r="AJ5114" s="1">
        <v>2019</v>
      </c>
      <c r="AK5114" s="1" t="s">
        <v>55</v>
      </c>
      <c r="AL5114" s="1">
        <v>143</v>
      </c>
    </row>
    <row r="5115" spans="1:38" x14ac:dyDescent="0.2">
      <c r="A5115" s="2" t="str">
        <f>HYPERLINK("https://www.compass.com/listing/35-hudson-yards-unit-6902-manhattan-ny-10001/521725270938511809/","35 Hudson Yards, Unit 6902")</f>
        <v>35 Hudson Yards, Unit 6902</v>
      </c>
      <c r="B5115" s="2" t="str">
        <f t="shared" si="870"/>
        <v>35 Hudson Yards</v>
      </c>
      <c r="C5115" s="1" t="s">
        <v>77</v>
      </c>
      <c r="D5115" s="1" t="s">
        <v>41</v>
      </c>
      <c r="E5115" s="3">
        <v>4730000</v>
      </c>
      <c r="F5115" s="1">
        <v>2339.2680514342201</v>
      </c>
      <c r="G5115" s="1">
        <v>4.5</v>
      </c>
      <c r="H5115" s="1">
        <v>2</v>
      </c>
      <c r="I5115" s="1">
        <v>3</v>
      </c>
      <c r="J5115" s="1">
        <v>2.5</v>
      </c>
      <c r="K5115" s="1">
        <v>2</v>
      </c>
      <c r="L5115" s="1">
        <v>1</v>
      </c>
      <c r="M5115" s="4">
        <v>2022</v>
      </c>
      <c r="N5115" s="1">
        <v>5849</v>
      </c>
      <c r="O5115" s="1">
        <v>6257</v>
      </c>
      <c r="P5115" s="1">
        <v>408</v>
      </c>
      <c r="Q5115" s="1" t="s">
        <v>42</v>
      </c>
      <c r="S5115" s="1" t="s">
        <v>42</v>
      </c>
      <c r="T5115" s="1" t="s">
        <v>273</v>
      </c>
      <c r="U5115" s="1">
        <v>129</v>
      </c>
      <c r="V5115" s="5">
        <v>44288</v>
      </c>
      <c r="W5115" s="5">
        <v>43971</v>
      </c>
      <c r="X5115" s="1">
        <v>6900000</v>
      </c>
      <c r="Y5115" s="1">
        <v>6900000</v>
      </c>
      <c r="AA5115" s="1">
        <v>4730000</v>
      </c>
      <c r="AB5115" s="1" t="s">
        <v>295</v>
      </c>
      <c r="AC5115" s="5">
        <v>44151</v>
      </c>
      <c r="AF5115" s="1">
        <v>10001</v>
      </c>
      <c r="AI5115" s="1" t="s">
        <v>48</v>
      </c>
      <c r="AJ5115" s="1">
        <v>2019</v>
      </c>
      <c r="AK5115" s="1" t="s">
        <v>55</v>
      </c>
      <c r="AL5115" s="1">
        <v>143</v>
      </c>
    </row>
    <row r="5116" spans="1:38" x14ac:dyDescent="0.2">
      <c r="A5116" s="2" t="str">
        <f>HYPERLINK("https://www.compass.com/listing/101-wall-street-unit-7a-manhattan-ny-10005/29514330252845409/","101 Wall St, Unit 7A")</f>
        <v>101 Wall St, Unit 7A</v>
      </c>
      <c r="B5116" s="2" t="str">
        <f t="shared" ref="B5116:B5117" si="871">HYPERLINK("https://www.compass.com/building/101-wall-st-manhattan-ny-10005/292788767809355381/","101 Wall St")</f>
        <v>101 Wall St</v>
      </c>
      <c r="C5116" s="1" t="s">
        <v>96</v>
      </c>
      <c r="D5116" s="1" t="s">
        <v>41</v>
      </c>
      <c r="E5116" s="3">
        <v>985000</v>
      </c>
      <c r="F5116" s="1">
        <v>1395.18413597733</v>
      </c>
      <c r="G5116" s="1">
        <v>3</v>
      </c>
      <c r="H5116" s="1">
        <v>1</v>
      </c>
      <c r="I5116" s="1">
        <v>1</v>
      </c>
      <c r="J5116" s="1">
        <v>1</v>
      </c>
      <c r="K5116" s="1">
        <v>1</v>
      </c>
      <c r="M5116" s="1">
        <v>706</v>
      </c>
      <c r="N5116" s="1">
        <v>913</v>
      </c>
      <c r="O5116" s="1">
        <v>1969</v>
      </c>
      <c r="P5116" s="1">
        <v>1056</v>
      </c>
      <c r="Q5116" s="1" t="s">
        <v>42</v>
      </c>
      <c r="S5116" s="1" t="s">
        <v>42</v>
      </c>
      <c r="T5116" s="1" t="s">
        <v>273</v>
      </c>
      <c r="U5116" s="1">
        <v>73</v>
      </c>
      <c r="V5116" s="5">
        <v>43647</v>
      </c>
      <c r="W5116" s="5">
        <v>43234</v>
      </c>
      <c r="X5116" s="1">
        <v>995000</v>
      </c>
      <c r="Y5116" s="1">
        <v>995000</v>
      </c>
      <c r="Z5116" s="5">
        <v>43307</v>
      </c>
      <c r="AA5116" s="1">
        <v>985000</v>
      </c>
      <c r="AB5116" s="1" t="s">
        <v>3536</v>
      </c>
      <c r="AC5116" s="5">
        <v>43353</v>
      </c>
      <c r="AF5116" s="1">
        <v>10005</v>
      </c>
      <c r="AI5116" s="1" t="s">
        <v>52</v>
      </c>
      <c r="AJ5116" s="1">
        <v>2016</v>
      </c>
      <c r="AK5116" s="1" t="s">
        <v>108</v>
      </c>
      <c r="AL5116" s="1">
        <v>51</v>
      </c>
    </row>
    <row r="5117" spans="1:38" x14ac:dyDescent="0.2">
      <c r="A5117" s="2" t="str">
        <f>HYPERLINK("https://www.compass.com/listing/101-wall-street-unit-15a-manhattan-ny-10005/29356245668428737/","101 Wall St, Unit 15A")</f>
        <v>101 Wall St, Unit 15A</v>
      </c>
      <c r="B5117" s="2" t="str">
        <f t="shared" si="871"/>
        <v>101 Wall St</v>
      </c>
      <c r="C5117" s="1" t="s">
        <v>96</v>
      </c>
      <c r="D5117" s="1" t="s">
        <v>41</v>
      </c>
      <c r="E5117" s="3">
        <v>1245000</v>
      </c>
      <c r="F5117" s="1">
        <v>1770.9815078236099</v>
      </c>
      <c r="G5117" s="1">
        <v>3</v>
      </c>
      <c r="H5117" s="1">
        <v>1</v>
      </c>
      <c r="I5117" s="1">
        <v>1</v>
      </c>
      <c r="J5117" s="1">
        <v>1</v>
      </c>
      <c r="K5117" s="1">
        <v>1</v>
      </c>
      <c r="M5117" s="1">
        <v>703</v>
      </c>
      <c r="N5117" s="1">
        <v>905</v>
      </c>
      <c r="O5117" s="1">
        <v>1951</v>
      </c>
      <c r="P5117" s="1">
        <v>1046</v>
      </c>
      <c r="Q5117" s="1" t="s">
        <v>42</v>
      </c>
      <c r="S5117" s="1" t="s">
        <v>42</v>
      </c>
      <c r="T5117" s="1" t="s">
        <v>273</v>
      </c>
      <c r="U5117" s="1">
        <v>168</v>
      </c>
      <c r="V5117" s="5">
        <v>43624</v>
      </c>
      <c r="W5117" s="5">
        <v>42711</v>
      </c>
      <c r="X5117" s="1">
        <v>1265000</v>
      </c>
      <c r="Y5117" s="1">
        <v>1265000</v>
      </c>
      <c r="Z5117" s="5">
        <v>42879</v>
      </c>
      <c r="AA5117" s="1">
        <v>1245000</v>
      </c>
      <c r="AB5117" s="1" t="s">
        <v>3555</v>
      </c>
      <c r="AC5117" s="5">
        <v>42955</v>
      </c>
      <c r="AF5117" s="1">
        <v>10005</v>
      </c>
      <c r="AI5117" s="1" t="s">
        <v>52</v>
      </c>
      <c r="AJ5117" s="1">
        <v>2016</v>
      </c>
      <c r="AK5117" s="1" t="s">
        <v>108</v>
      </c>
      <c r="AL5117" s="1">
        <v>51</v>
      </c>
    </row>
    <row r="5118" spans="1:38" x14ac:dyDescent="0.2">
      <c r="A5118" s="2" t="str">
        <f>HYPERLINK("https://www.compass.com/listing/138-east-50th-street-unit-36a-manhattan-ny-10022/769570413726430353/","138 E 50th St, Unit 36A")</f>
        <v>138 E 50th St, Unit 36A</v>
      </c>
      <c r="B5118" s="2" t="str">
        <f>HYPERLINK("https://www.compass.com/building/the-centrale-manhattan-ny/281941497232811621/","The Centrale")</f>
        <v>The Centrale</v>
      </c>
      <c r="C5118" s="1" t="s">
        <v>116</v>
      </c>
      <c r="D5118" s="1" t="s">
        <v>41</v>
      </c>
      <c r="E5118" s="3">
        <v>3050000</v>
      </c>
      <c r="F5118" s="1">
        <v>1994.76782210595</v>
      </c>
      <c r="G5118" s="1">
        <v>5</v>
      </c>
      <c r="H5118" s="1">
        <v>2</v>
      </c>
      <c r="I5118" s="1">
        <v>3</v>
      </c>
      <c r="J5118" s="1">
        <v>2.5</v>
      </c>
      <c r="K5118" s="1">
        <v>2</v>
      </c>
      <c r="L5118" s="1">
        <v>1</v>
      </c>
      <c r="M5118" s="4">
        <v>1529</v>
      </c>
      <c r="N5118" s="1">
        <v>1664</v>
      </c>
      <c r="O5118" s="1">
        <v>4142</v>
      </c>
      <c r="P5118" s="1">
        <v>2478</v>
      </c>
      <c r="Q5118" s="1" t="s">
        <v>42</v>
      </c>
      <c r="S5118" s="1" t="s">
        <v>42</v>
      </c>
      <c r="T5118" s="1" t="s">
        <v>273</v>
      </c>
      <c r="U5118" s="1">
        <v>29</v>
      </c>
      <c r="V5118" s="5">
        <v>44396</v>
      </c>
      <c r="W5118" s="5">
        <v>44284</v>
      </c>
      <c r="X5118" s="1">
        <v>1</v>
      </c>
      <c r="Y5118" s="1">
        <v>3875000</v>
      </c>
      <c r="Z5118" s="5">
        <v>44314</v>
      </c>
      <c r="AA5118" s="1">
        <v>3050000</v>
      </c>
      <c r="AB5118" s="1" t="s">
        <v>3556</v>
      </c>
      <c r="AC5118" s="5">
        <v>44342</v>
      </c>
      <c r="AF5118" s="1">
        <v>10022</v>
      </c>
      <c r="AI5118" s="1" t="s">
        <v>118</v>
      </c>
      <c r="AJ5118" s="1">
        <v>2019</v>
      </c>
      <c r="AK5118" s="1" t="s">
        <v>55</v>
      </c>
      <c r="AL5118" s="1">
        <v>124</v>
      </c>
    </row>
    <row r="5119" spans="1:38" x14ac:dyDescent="0.2">
      <c r="A5119" s="2" t="str">
        <f>HYPERLINK("https://www.compass.com/listing/101-wall-street-unit-15a-manhattan-ny-10005/369507339186349665/","101 Wall St, Unit 15A")</f>
        <v>101 Wall St, Unit 15A</v>
      </c>
      <c r="B5119" s="2" t="str">
        <f t="shared" ref="B5119:B5127" si="872">HYPERLINK("https://www.compass.com/building/101-wall-st-manhattan-ny-10005/292788767809355381/","101 Wall St")</f>
        <v>101 Wall St</v>
      </c>
      <c r="C5119" s="1" t="s">
        <v>96</v>
      </c>
      <c r="D5119" s="1" t="s">
        <v>41</v>
      </c>
      <c r="E5119" s="3">
        <v>970000</v>
      </c>
      <c r="F5119" s="1">
        <v>1379.8008534850601</v>
      </c>
      <c r="G5119" s="1">
        <v>3</v>
      </c>
      <c r="H5119" s="1">
        <v>1</v>
      </c>
      <c r="I5119" s="1">
        <v>1</v>
      </c>
      <c r="J5119" s="1">
        <v>1</v>
      </c>
      <c r="K5119" s="1">
        <v>1</v>
      </c>
      <c r="M5119" s="1">
        <v>703</v>
      </c>
      <c r="N5119" s="1">
        <v>905</v>
      </c>
      <c r="O5119" s="1">
        <v>2116</v>
      </c>
      <c r="P5119" s="1">
        <v>1211</v>
      </c>
      <c r="Q5119" s="1" t="s">
        <v>42</v>
      </c>
      <c r="S5119" s="1" t="s">
        <v>42</v>
      </c>
      <c r="T5119" s="1" t="s">
        <v>273</v>
      </c>
      <c r="U5119" s="1">
        <v>68</v>
      </c>
      <c r="V5119" s="5">
        <v>43906</v>
      </c>
      <c r="W5119" s="5">
        <v>43762</v>
      </c>
      <c r="X5119" s="1">
        <v>995000</v>
      </c>
      <c r="Y5119" s="1">
        <v>995000</v>
      </c>
      <c r="Z5119" s="5">
        <v>43830</v>
      </c>
      <c r="AA5119" s="1">
        <v>970000</v>
      </c>
      <c r="AB5119" s="1" t="s">
        <v>3557</v>
      </c>
      <c r="AC5119" s="5">
        <v>43894</v>
      </c>
      <c r="AF5119" s="1">
        <v>10005</v>
      </c>
      <c r="AI5119" s="1" t="s">
        <v>52</v>
      </c>
      <c r="AJ5119" s="1">
        <v>2016</v>
      </c>
      <c r="AK5119" s="1" t="s">
        <v>55</v>
      </c>
      <c r="AL5119" s="1">
        <v>51</v>
      </c>
    </row>
    <row r="5120" spans="1:38" x14ac:dyDescent="0.2">
      <c r="A5120" s="2" t="str">
        <f>HYPERLINK("https://www.compass.com/listing/101-wall-street-unit-6a-manhattan-ny-10005/29356240425550609/","101 Wall St, Unit 6A")</f>
        <v>101 Wall St, Unit 6A</v>
      </c>
      <c r="B5120" s="2" t="str">
        <f t="shared" si="872"/>
        <v>101 Wall St</v>
      </c>
      <c r="C5120" s="1" t="s">
        <v>96</v>
      </c>
      <c r="D5120" s="1" t="s">
        <v>41</v>
      </c>
      <c r="E5120" s="3">
        <v>1216809</v>
      </c>
      <c r="F5120" s="1">
        <v>1723.5254957507</v>
      </c>
      <c r="G5120" s="1">
        <v>3</v>
      </c>
      <c r="H5120" s="1">
        <v>1</v>
      </c>
      <c r="I5120" s="1">
        <v>1</v>
      </c>
      <c r="J5120" s="1">
        <v>1</v>
      </c>
      <c r="K5120" s="1">
        <v>1</v>
      </c>
      <c r="M5120" s="1">
        <v>706</v>
      </c>
      <c r="N5120" s="1">
        <v>909</v>
      </c>
      <c r="O5120" s="1">
        <v>1747</v>
      </c>
      <c r="P5120" s="1">
        <v>838</v>
      </c>
      <c r="Q5120" s="1" t="s">
        <v>42</v>
      </c>
      <c r="S5120" s="1" t="s">
        <v>42</v>
      </c>
      <c r="T5120" s="1" t="s">
        <v>273</v>
      </c>
      <c r="V5120" s="5">
        <v>43662</v>
      </c>
      <c r="W5120" s="5">
        <v>42319</v>
      </c>
      <c r="X5120" s="1">
        <v>1195000</v>
      </c>
      <c r="Y5120" s="1">
        <v>1195000</v>
      </c>
      <c r="Z5120" s="5">
        <v>42319</v>
      </c>
      <c r="AA5120" s="1">
        <v>1216809</v>
      </c>
      <c r="AB5120" s="1" t="s">
        <v>3558</v>
      </c>
      <c r="AC5120" s="5">
        <v>42858</v>
      </c>
      <c r="AF5120" s="1">
        <v>10005</v>
      </c>
      <c r="AI5120" s="1" t="s">
        <v>52</v>
      </c>
      <c r="AJ5120" s="1">
        <v>2016</v>
      </c>
      <c r="AK5120" s="1" t="s">
        <v>108</v>
      </c>
      <c r="AL5120" s="1">
        <v>51</v>
      </c>
    </row>
    <row r="5121" spans="1:38" x14ac:dyDescent="0.2">
      <c r="A5121" s="2" t="str">
        <f>HYPERLINK("https://www.compass.com/listing/101-wall-street-unit-9a-manhattan-ny-10005/29356242891767249/","101 Wall St, Unit 9A")</f>
        <v>101 Wall St, Unit 9A</v>
      </c>
      <c r="B5121" s="2" t="str">
        <f t="shared" si="872"/>
        <v>101 Wall St</v>
      </c>
      <c r="C5121" s="1" t="s">
        <v>96</v>
      </c>
      <c r="D5121" s="1" t="s">
        <v>41</v>
      </c>
      <c r="E5121" s="3">
        <v>1140000</v>
      </c>
      <c r="F5121" s="1">
        <v>1614.7308781869599</v>
      </c>
      <c r="G5121" s="1">
        <v>3</v>
      </c>
      <c r="H5121" s="1">
        <v>1</v>
      </c>
      <c r="I5121" s="1">
        <v>1</v>
      </c>
      <c r="J5121" s="1">
        <v>1</v>
      </c>
      <c r="K5121" s="1">
        <v>1</v>
      </c>
      <c r="M5121" s="1">
        <v>706</v>
      </c>
      <c r="N5121" s="1">
        <v>913</v>
      </c>
      <c r="O5121" s="1">
        <v>1754</v>
      </c>
      <c r="P5121" s="1">
        <v>841</v>
      </c>
      <c r="Q5121" s="1" t="s">
        <v>42</v>
      </c>
      <c r="S5121" s="1" t="s">
        <v>42</v>
      </c>
      <c r="T5121" s="1" t="s">
        <v>273</v>
      </c>
      <c r="U5121" s="1">
        <v>30</v>
      </c>
      <c r="V5121" s="5">
        <v>43649</v>
      </c>
      <c r="W5121" s="5">
        <v>42178</v>
      </c>
      <c r="X5121" s="1">
        <v>1140000</v>
      </c>
      <c r="Y5121" s="1">
        <v>1240000</v>
      </c>
      <c r="Z5121" s="5">
        <v>42208</v>
      </c>
      <c r="AA5121" s="1">
        <v>1140000</v>
      </c>
      <c r="AB5121" s="1" t="s">
        <v>3559</v>
      </c>
      <c r="AC5121" s="5">
        <v>43097</v>
      </c>
      <c r="AF5121" s="1">
        <v>10005</v>
      </c>
      <c r="AI5121" s="1" t="s">
        <v>52</v>
      </c>
      <c r="AJ5121" s="1">
        <v>2016</v>
      </c>
      <c r="AK5121" s="1" t="s">
        <v>108</v>
      </c>
      <c r="AL5121" s="1">
        <v>51</v>
      </c>
    </row>
    <row r="5122" spans="1:38" x14ac:dyDescent="0.2">
      <c r="A5122" s="2" t="str">
        <f>HYPERLINK("https://www.compass.com/listing/101-wall-street-unit-5a-manhattan-ny-10005/29356239351808769/","101 Wall St, Unit 5A")</f>
        <v>101 Wall St, Unit 5A</v>
      </c>
      <c r="B5122" s="2" t="str">
        <f t="shared" si="872"/>
        <v>101 Wall St</v>
      </c>
      <c r="C5122" s="1" t="s">
        <v>96</v>
      </c>
      <c r="D5122" s="1" t="s">
        <v>41</v>
      </c>
      <c r="E5122" s="3">
        <v>1155714</v>
      </c>
      <c r="F5122" s="1">
        <v>1636.9886685552401</v>
      </c>
      <c r="G5122" s="1">
        <v>3</v>
      </c>
      <c r="H5122" s="1">
        <v>1</v>
      </c>
      <c r="I5122" s="1">
        <v>1</v>
      </c>
      <c r="J5122" s="1">
        <v>1</v>
      </c>
      <c r="K5122" s="1">
        <v>1</v>
      </c>
      <c r="M5122" s="1">
        <v>706</v>
      </c>
      <c r="N5122" s="1">
        <v>909</v>
      </c>
      <c r="O5122" s="1">
        <v>1747</v>
      </c>
      <c r="P5122" s="1">
        <v>838</v>
      </c>
      <c r="Q5122" s="1" t="s">
        <v>42</v>
      </c>
      <c r="S5122" s="1" t="s">
        <v>42</v>
      </c>
      <c r="T5122" s="1" t="s">
        <v>273</v>
      </c>
      <c r="U5122" s="1">
        <v>285</v>
      </c>
      <c r="V5122" s="5">
        <v>43626</v>
      </c>
      <c r="W5122" s="5">
        <v>42426</v>
      </c>
      <c r="X5122" s="1">
        <v>1180000</v>
      </c>
      <c r="Y5122" s="1">
        <v>1135000</v>
      </c>
      <c r="Z5122" s="5">
        <v>42711</v>
      </c>
      <c r="AA5122" s="1">
        <v>1155714</v>
      </c>
      <c r="AB5122" s="1" t="s">
        <v>3560</v>
      </c>
      <c r="AC5122" s="5">
        <v>42873</v>
      </c>
      <c r="AF5122" s="1">
        <v>10005</v>
      </c>
      <c r="AI5122" s="1" t="s">
        <v>52</v>
      </c>
      <c r="AJ5122" s="1">
        <v>2016</v>
      </c>
      <c r="AK5122" s="1" t="s">
        <v>108</v>
      </c>
      <c r="AL5122" s="1">
        <v>51</v>
      </c>
    </row>
    <row r="5123" spans="1:38" x14ac:dyDescent="0.2">
      <c r="A5123" s="2" t="str">
        <f>HYPERLINK("https://www.compass.com/listing/101-wall-street-unit-10a-manhattan-ny-10005/29356243579665313/","101 Wall St, Unit 10A")</f>
        <v>101 Wall St, Unit 10A</v>
      </c>
      <c r="B5123" s="2" t="str">
        <f t="shared" si="872"/>
        <v>101 Wall St</v>
      </c>
      <c r="C5123" s="1" t="s">
        <v>96</v>
      </c>
      <c r="D5123" s="1" t="s">
        <v>41</v>
      </c>
      <c r="E5123" s="3">
        <v>1186115</v>
      </c>
      <c r="F5123" s="1">
        <v>1687.21906116642</v>
      </c>
      <c r="G5123" s="1">
        <v>3</v>
      </c>
      <c r="H5123" s="1">
        <v>1</v>
      </c>
      <c r="I5123" s="1">
        <v>1</v>
      </c>
      <c r="J5123" s="1">
        <v>1</v>
      </c>
      <c r="K5123" s="1">
        <v>1</v>
      </c>
      <c r="M5123" s="1">
        <v>703</v>
      </c>
      <c r="N5123" s="1">
        <v>909</v>
      </c>
      <c r="O5123" s="1">
        <v>1960</v>
      </c>
      <c r="P5123" s="1">
        <v>1051</v>
      </c>
      <c r="Q5123" s="1" t="s">
        <v>42</v>
      </c>
      <c r="S5123" s="1" t="s">
        <v>42</v>
      </c>
      <c r="T5123" s="1" t="s">
        <v>273</v>
      </c>
      <c r="U5123" s="1">
        <v>491</v>
      </c>
      <c r="V5123" s="5">
        <v>43238</v>
      </c>
      <c r="W5123" s="5">
        <v>42285</v>
      </c>
      <c r="X5123" s="1">
        <v>1200000</v>
      </c>
      <c r="Y5123" s="1">
        <v>1200000</v>
      </c>
      <c r="Z5123" s="5">
        <v>42777</v>
      </c>
      <c r="AA5123" s="1">
        <v>1186115</v>
      </c>
      <c r="AB5123" s="1" t="s">
        <v>3561</v>
      </c>
      <c r="AC5123" s="5">
        <v>43144</v>
      </c>
      <c r="AF5123" s="1">
        <v>10005</v>
      </c>
      <c r="AI5123" s="1" t="s">
        <v>52</v>
      </c>
      <c r="AJ5123" s="1">
        <v>2016</v>
      </c>
      <c r="AK5123" s="1" t="s">
        <v>108</v>
      </c>
      <c r="AL5123" s="1">
        <v>51</v>
      </c>
    </row>
    <row r="5124" spans="1:38" x14ac:dyDescent="0.2">
      <c r="A5124" s="2" t="str">
        <f>HYPERLINK("https://www.compass.com/listing/101-wall-street-unit-16a-manhattan-ny-10005/29356246289187697/","101 Wall St, Unit 16A")</f>
        <v>101 Wall St, Unit 16A</v>
      </c>
      <c r="B5124" s="2" t="str">
        <f t="shared" si="872"/>
        <v>101 Wall St</v>
      </c>
      <c r="C5124" s="1" t="s">
        <v>96</v>
      </c>
      <c r="D5124" s="1" t="s">
        <v>41</v>
      </c>
      <c r="E5124" s="3">
        <v>1200000</v>
      </c>
      <c r="F5124" s="1">
        <v>1706.97012802275</v>
      </c>
      <c r="G5124" s="1">
        <v>3</v>
      </c>
      <c r="H5124" s="1">
        <v>1</v>
      </c>
      <c r="I5124" s="1">
        <v>1</v>
      </c>
      <c r="J5124" s="1">
        <v>1</v>
      </c>
      <c r="K5124" s="1">
        <v>1</v>
      </c>
      <c r="M5124" s="1">
        <v>703</v>
      </c>
      <c r="N5124" s="1">
        <v>905</v>
      </c>
      <c r="O5124" s="1">
        <v>1740</v>
      </c>
      <c r="P5124" s="1">
        <v>835</v>
      </c>
      <c r="Q5124" s="1" t="s">
        <v>42</v>
      </c>
      <c r="S5124" s="1" t="s">
        <v>42</v>
      </c>
      <c r="T5124" s="1" t="s">
        <v>273</v>
      </c>
      <c r="V5124" s="5">
        <v>43626</v>
      </c>
      <c r="W5124" s="5">
        <v>42272</v>
      </c>
      <c r="X5124" s="1">
        <v>1250000</v>
      </c>
      <c r="Y5124" s="1">
        <v>1330000</v>
      </c>
      <c r="Z5124" s="5">
        <v>42272</v>
      </c>
      <c r="AA5124" s="1">
        <v>1200000</v>
      </c>
      <c r="AB5124" s="1" t="s">
        <v>3562</v>
      </c>
      <c r="AC5124" s="5">
        <v>42894</v>
      </c>
      <c r="AF5124" s="1">
        <v>10005</v>
      </c>
      <c r="AI5124" s="1" t="s">
        <v>52</v>
      </c>
      <c r="AJ5124" s="1">
        <v>2016</v>
      </c>
      <c r="AK5124" s="1" t="s">
        <v>108</v>
      </c>
      <c r="AL5124" s="1">
        <v>51</v>
      </c>
    </row>
    <row r="5125" spans="1:38" x14ac:dyDescent="0.2">
      <c r="A5125" s="2" t="str">
        <f>HYPERLINK("https://www.compass.com/listing/101-wall-street-unit-4a-manhattan-ny-10005/50873411248925985/","101 Wall St, Unit 4A")</f>
        <v>101 Wall St, Unit 4A</v>
      </c>
      <c r="B5125" s="2" t="str">
        <f t="shared" si="872"/>
        <v>101 Wall St</v>
      </c>
      <c r="C5125" s="1" t="s">
        <v>96</v>
      </c>
      <c r="D5125" s="1" t="s">
        <v>41</v>
      </c>
      <c r="E5125" s="3">
        <v>977520</v>
      </c>
      <c r="F5125" s="1">
        <v>1384.5892351274699</v>
      </c>
      <c r="G5125" s="1">
        <v>3</v>
      </c>
      <c r="H5125" s="1">
        <v>1</v>
      </c>
      <c r="I5125" s="1">
        <v>1</v>
      </c>
      <c r="J5125" s="1">
        <v>1</v>
      </c>
      <c r="K5125" s="1">
        <v>1</v>
      </c>
      <c r="M5125" s="1">
        <v>706</v>
      </c>
      <c r="N5125" s="1">
        <v>884</v>
      </c>
      <c r="O5125" s="1">
        <v>1906</v>
      </c>
      <c r="P5125" s="1">
        <v>1022</v>
      </c>
      <c r="Q5125" s="1" t="s">
        <v>42</v>
      </c>
      <c r="S5125" s="1" t="s">
        <v>42</v>
      </c>
      <c r="T5125" s="1" t="s">
        <v>273</v>
      </c>
      <c r="V5125" s="5">
        <v>43626</v>
      </c>
      <c r="W5125" s="5">
        <v>42208</v>
      </c>
      <c r="X5125" s="1">
        <v>960000</v>
      </c>
      <c r="Y5125" s="1">
        <v>960000</v>
      </c>
      <c r="Z5125" s="5">
        <v>42208</v>
      </c>
      <c r="AA5125" s="1">
        <v>977520</v>
      </c>
      <c r="AB5125" s="1" t="s">
        <v>3563</v>
      </c>
      <c r="AC5125" s="5">
        <v>43068</v>
      </c>
      <c r="AF5125" s="1">
        <v>10005</v>
      </c>
      <c r="AI5125" s="1" t="s">
        <v>52</v>
      </c>
      <c r="AJ5125" s="1">
        <v>2016</v>
      </c>
      <c r="AK5125" s="1" t="s">
        <v>108</v>
      </c>
      <c r="AL5125" s="1">
        <v>51</v>
      </c>
    </row>
    <row r="5126" spans="1:38" x14ac:dyDescent="0.2">
      <c r="A5126" s="2" t="str">
        <f>HYPERLINK("https://www.compass.com/listing/101-wall-street-unit-5b-manhattan-ny-10005/29356239653796689/","101 Wall St, Unit 5B")</f>
        <v>101 Wall St, Unit 5B</v>
      </c>
      <c r="B5126" s="2" t="str">
        <f t="shared" si="872"/>
        <v>101 Wall St</v>
      </c>
      <c r="C5126" s="1" t="s">
        <v>96</v>
      </c>
      <c r="D5126" s="1" t="s">
        <v>41</v>
      </c>
      <c r="E5126" s="3">
        <v>2372500</v>
      </c>
      <c r="F5126" s="1">
        <v>1569.11375661375</v>
      </c>
      <c r="G5126" s="1">
        <v>4</v>
      </c>
      <c r="H5126" s="1">
        <v>2</v>
      </c>
      <c r="I5126" s="1">
        <v>2</v>
      </c>
      <c r="J5126" s="1">
        <v>2.5</v>
      </c>
      <c r="K5126" s="1">
        <v>2</v>
      </c>
      <c r="L5126" s="1">
        <v>1</v>
      </c>
      <c r="M5126" s="4">
        <v>1512</v>
      </c>
      <c r="N5126" s="1">
        <v>1928</v>
      </c>
      <c r="O5126" s="1">
        <v>4157</v>
      </c>
      <c r="P5126" s="1">
        <v>2229</v>
      </c>
      <c r="Q5126" s="1" t="s">
        <v>42</v>
      </c>
      <c r="S5126" s="1" t="s">
        <v>42</v>
      </c>
      <c r="T5126" s="1" t="s">
        <v>273</v>
      </c>
      <c r="U5126" s="1">
        <v>89</v>
      </c>
      <c r="V5126" s="5">
        <v>43626</v>
      </c>
      <c r="W5126" s="5">
        <v>42853</v>
      </c>
      <c r="X5126" s="1">
        <v>2525000</v>
      </c>
      <c r="Y5126" s="1">
        <v>2425000</v>
      </c>
      <c r="Z5126" s="5">
        <v>42942</v>
      </c>
      <c r="AA5126" s="1">
        <v>2372500</v>
      </c>
      <c r="AB5126" s="1" t="s">
        <v>3564</v>
      </c>
      <c r="AC5126" s="5">
        <v>43006</v>
      </c>
      <c r="AF5126" s="1">
        <v>10005</v>
      </c>
      <c r="AI5126" s="1" t="s">
        <v>52</v>
      </c>
      <c r="AJ5126" s="1">
        <v>2016</v>
      </c>
      <c r="AK5126" s="1" t="s">
        <v>108</v>
      </c>
      <c r="AL5126" s="1">
        <v>51</v>
      </c>
    </row>
    <row r="5127" spans="1:38" x14ac:dyDescent="0.2">
      <c r="A5127" s="2" t="str">
        <f>HYPERLINK("https://www.compass.com/listing/101-wall-street-unit-8b-manhattan-ny-10005/50950885764777473/","101 Wall St, Unit 8B")</f>
        <v>101 Wall St, Unit 8B</v>
      </c>
      <c r="B5127" s="2" t="str">
        <f t="shared" si="872"/>
        <v>101 Wall St</v>
      </c>
      <c r="C5127" s="1" t="s">
        <v>96</v>
      </c>
      <c r="D5127" s="1" t="s">
        <v>41</v>
      </c>
      <c r="E5127" s="3">
        <v>2571081</v>
      </c>
      <c r="F5127" s="1">
        <v>1700.45039682539</v>
      </c>
      <c r="G5127" s="1">
        <v>4.5</v>
      </c>
      <c r="H5127" s="1">
        <v>2</v>
      </c>
      <c r="I5127" s="1">
        <v>2</v>
      </c>
      <c r="J5127" s="1">
        <v>2.5</v>
      </c>
      <c r="K5127" s="1">
        <v>2</v>
      </c>
      <c r="L5127" s="1">
        <v>1</v>
      </c>
      <c r="M5127" s="4">
        <v>1512</v>
      </c>
      <c r="N5127" s="1">
        <v>1928</v>
      </c>
      <c r="O5127" s="1">
        <v>4157</v>
      </c>
      <c r="P5127" s="1">
        <v>2229</v>
      </c>
      <c r="Q5127" s="1" t="s">
        <v>42</v>
      </c>
      <c r="S5127" s="1" t="s">
        <v>42</v>
      </c>
      <c r="T5127" s="1" t="s">
        <v>273</v>
      </c>
      <c r="U5127" s="1">
        <v>33</v>
      </c>
      <c r="V5127" s="5">
        <v>43649</v>
      </c>
      <c r="W5127" s="5">
        <v>42973</v>
      </c>
      <c r="X5127" s="1">
        <v>2625000</v>
      </c>
      <c r="Y5127" s="1">
        <v>2625000</v>
      </c>
      <c r="Z5127" s="5">
        <v>43006</v>
      </c>
      <c r="AA5127" s="1">
        <v>2571081</v>
      </c>
      <c r="AB5127" s="1" t="s">
        <v>3565</v>
      </c>
      <c r="AC5127" s="5">
        <v>43055</v>
      </c>
      <c r="AF5127" s="1">
        <v>10005</v>
      </c>
      <c r="AI5127" s="1" t="s">
        <v>52</v>
      </c>
      <c r="AJ5127" s="1">
        <v>2016</v>
      </c>
      <c r="AK5127" s="1" t="s">
        <v>108</v>
      </c>
      <c r="AL5127" s="1">
        <v>51</v>
      </c>
    </row>
    <row r="5128" spans="1:38" x14ac:dyDescent="0.2">
      <c r="A5128" s="2" t="str">
        <f>HYPERLINK("https://www.compass.com/listing/138-east-50th-street-unit-36a-manhattan-ny-10022/801634905196627873/","138 E 50th St, Unit 36A")</f>
        <v>138 E 50th St, Unit 36A</v>
      </c>
      <c r="B5128" s="2" t="str">
        <f>HYPERLINK("https://www.compass.com/building/the-centrale-manhattan-ny/281941497232811621/","The Centrale")</f>
        <v>The Centrale</v>
      </c>
      <c r="C5128" s="1" t="s">
        <v>116</v>
      </c>
      <c r="D5128" s="1" t="s">
        <v>41</v>
      </c>
      <c r="E5128" s="3">
        <v>3050000</v>
      </c>
      <c r="F5128" s="1">
        <v>1994.76782210595</v>
      </c>
      <c r="G5128" s="1">
        <v>5.5</v>
      </c>
      <c r="H5128" s="1">
        <v>2</v>
      </c>
      <c r="I5128" s="1">
        <v>3</v>
      </c>
      <c r="J5128" s="1">
        <v>2.5</v>
      </c>
      <c r="K5128" s="1">
        <v>2</v>
      </c>
      <c r="L5128" s="1">
        <v>1</v>
      </c>
      <c r="M5128" s="4">
        <v>1529</v>
      </c>
      <c r="N5128" s="1">
        <v>1660</v>
      </c>
      <c r="O5128" s="1">
        <v>4827</v>
      </c>
      <c r="P5128" s="1">
        <v>3167</v>
      </c>
      <c r="Q5128" s="1" t="s">
        <v>42</v>
      </c>
      <c r="S5128" s="1" t="s">
        <v>42</v>
      </c>
      <c r="T5128" s="1" t="s">
        <v>273</v>
      </c>
      <c r="U5128" s="1">
        <v>333</v>
      </c>
      <c r="V5128" s="5">
        <v>44369</v>
      </c>
      <c r="W5128" s="5">
        <v>43860</v>
      </c>
      <c r="AA5128" s="1">
        <v>3050000</v>
      </c>
      <c r="AB5128" s="1" t="s">
        <v>3556</v>
      </c>
      <c r="AC5128" s="5">
        <v>44342</v>
      </c>
      <c r="AF5128" s="1">
        <v>10022</v>
      </c>
      <c r="AI5128" s="1" t="s">
        <v>48</v>
      </c>
      <c r="AJ5128" s="1">
        <v>2019</v>
      </c>
      <c r="AK5128" s="1" t="s">
        <v>55</v>
      </c>
      <c r="AL5128" s="1">
        <v>124</v>
      </c>
    </row>
    <row r="5129" spans="1:38" x14ac:dyDescent="0.2">
      <c r="A5129" s="2" t="str">
        <f>HYPERLINK("https://www.compass.com/listing/101-wall-street-unit-2b-manhattan-ny-10005/218529170899105713/","101 Wall St, Unit 2B")</f>
        <v>101 Wall St, Unit 2B</v>
      </c>
      <c r="B5129" s="2" t="str">
        <f t="shared" ref="B5129:B5133" si="873">HYPERLINK("https://www.compass.com/building/101-wall-st-manhattan-ny-10005/292788767809355381/","101 Wall St")</f>
        <v>101 Wall St</v>
      </c>
      <c r="C5129" s="1" t="s">
        <v>96</v>
      </c>
      <c r="D5129" s="1" t="s">
        <v>41</v>
      </c>
      <c r="E5129" s="3">
        <v>2125000</v>
      </c>
      <c r="F5129" s="1">
        <v>1011.90476190476</v>
      </c>
      <c r="H5129" s="1">
        <v>4</v>
      </c>
      <c r="J5129" s="1">
        <v>4</v>
      </c>
      <c r="K5129" s="1">
        <v>4</v>
      </c>
      <c r="M5129" s="4">
        <v>2100</v>
      </c>
      <c r="N5129" s="1">
        <v>2682</v>
      </c>
      <c r="O5129" s="1">
        <v>5156</v>
      </c>
      <c r="P5129" s="1">
        <v>2474</v>
      </c>
      <c r="Q5129" s="1" t="s">
        <v>42</v>
      </c>
      <c r="S5129" s="1" t="s">
        <v>42</v>
      </c>
      <c r="T5129" s="1" t="s">
        <v>273</v>
      </c>
      <c r="AA5129" s="1">
        <v>2125000</v>
      </c>
      <c r="AB5129" s="1" t="s">
        <v>3566</v>
      </c>
      <c r="AC5129" s="5">
        <v>43546</v>
      </c>
      <c r="AF5129" s="1">
        <v>10005</v>
      </c>
      <c r="AI5129" s="1" t="s">
        <v>52</v>
      </c>
      <c r="AJ5129" s="1">
        <v>2016</v>
      </c>
      <c r="AK5129" s="1" t="s">
        <v>55</v>
      </c>
      <c r="AL5129" s="1">
        <v>51</v>
      </c>
    </row>
    <row r="5130" spans="1:38" x14ac:dyDescent="0.2">
      <c r="A5130" s="2" t="str">
        <f>HYPERLINK("https://www.compass.com/listing/101-wall-street-unit-2a-manhattan-ny-10005/437118174954450217/","101 Wall St, Unit 2A")</f>
        <v>101 Wall St, Unit 2A</v>
      </c>
      <c r="B5130" s="2" t="str">
        <f t="shared" si="873"/>
        <v>101 Wall St</v>
      </c>
      <c r="C5130" s="1" t="s">
        <v>96</v>
      </c>
      <c r="D5130" s="1" t="s">
        <v>41</v>
      </c>
      <c r="E5130" s="3">
        <v>1975000</v>
      </c>
      <c r="F5130" s="1">
        <v>1091.1602209944699</v>
      </c>
      <c r="H5130" s="1">
        <v>3</v>
      </c>
      <c r="J5130" s="1">
        <v>3</v>
      </c>
      <c r="K5130" s="1">
        <v>3</v>
      </c>
      <c r="M5130" s="4">
        <v>1810</v>
      </c>
      <c r="N5130" s="1">
        <v>2297</v>
      </c>
      <c r="O5130" s="1">
        <v>4414</v>
      </c>
      <c r="P5130" s="1">
        <v>2117</v>
      </c>
      <c r="Q5130" s="1" t="s">
        <v>42</v>
      </c>
      <c r="S5130" s="1" t="s">
        <v>42</v>
      </c>
      <c r="T5130" s="1" t="s">
        <v>273</v>
      </c>
      <c r="AA5130" s="1">
        <v>1975000</v>
      </c>
      <c r="AB5130" s="1" t="s">
        <v>3567</v>
      </c>
      <c r="AC5130" s="5">
        <v>43837</v>
      </c>
      <c r="AF5130" s="1">
        <v>10005</v>
      </c>
      <c r="AI5130" s="1" t="s">
        <v>52</v>
      </c>
      <c r="AJ5130" s="1">
        <v>2016</v>
      </c>
      <c r="AK5130" s="1" t="s">
        <v>55</v>
      </c>
      <c r="AL5130" s="1">
        <v>51</v>
      </c>
    </row>
    <row r="5131" spans="1:38" x14ac:dyDescent="0.2">
      <c r="A5131" s="2" t="str">
        <f>HYPERLINK("https://www.compass.com/listing/101-wall-street-unit-19a-manhattan-ny-10005/29356248252122001/","101 Wall St, Unit 19A")</f>
        <v>101 Wall St, Unit 19A</v>
      </c>
      <c r="B5131" s="2" t="str">
        <f t="shared" si="873"/>
        <v>101 Wall St</v>
      </c>
      <c r="C5131" s="1" t="s">
        <v>96</v>
      </c>
      <c r="D5131" s="1" t="s">
        <v>41</v>
      </c>
      <c r="E5131" s="3">
        <v>1598652</v>
      </c>
      <c r="F5131" s="1">
        <v>1928.4101326899799</v>
      </c>
      <c r="G5131" s="1">
        <v>3</v>
      </c>
      <c r="H5131" s="1">
        <v>1</v>
      </c>
      <c r="I5131" s="1">
        <v>1</v>
      </c>
      <c r="J5131" s="1">
        <v>1</v>
      </c>
      <c r="K5131" s="1">
        <v>1</v>
      </c>
      <c r="M5131" s="1">
        <v>829</v>
      </c>
      <c r="N5131" s="1">
        <v>1096</v>
      </c>
      <c r="O5131" s="1">
        <v>2106</v>
      </c>
      <c r="P5131" s="1">
        <v>1010</v>
      </c>
      <c r="Q5131" s="1" t="s">
        <v>42</v>
      </c>
      <c r="S5131" s="1" t="s">
        <v>42</v>
      </c>
      <c r="T5131" s="1" t="s">
        <v>273</v>
      </c>
      <c r="V5131" s="5">
        <v>43626</v>
      </c>
      <c r="W5131" s="5">
        <v>42494</v>
      </c>
      <c r="X5131" s="1">
        <v>1570000</v>
      </c>
      <c r="Y5131" s="1">
        <v>1570000</v>
      </c>
      <c r="Z5131" s="5">
        <v>42494</v>
      </c>
      <c r="AA5131" s="1">
        <v>1598652</v>
      </c>
      <c r="AB5131" s="1" t="s">
        <v>3568</v>
      </c>
      <c r="AC5131" s="5">
        <v>42888</v>
      </c>
      <c r="AF5131" s="1">
        <v>10005</v>
      </c>
      <c r="AI5131" s="1" t="s">
        <v>103</v>
      </c>
      <c r="AJ5131" s="1">
        <v>2016</v>
      </c>
      <c r="AK5131" s="1" t="s">
        <v>108</v>
      </c>
      <c r="AL5131" s="1">
        <v>51</v>
      </c>
    </row>
    <row r="5132" spans="1:38" x14ac:dyDescent="0.2">
      <c r="A5132" s="2" t="str">
        <f>HYPERLINK("https://www.compass.com/listing/101-wall-street-unit-4b-manhattan-ny-10005/4875011500470703025/","101 Wall St, Unit 4B")</f>
        <v>101 Wall St, Unit 4B</v>
      </c>
      <c r="B5132" s="2" t="str">
        <f t="shared" si="873"/>
        <v>101 Wall St</v>
      </c>
      <c r="C5132" s="1" t="s">
        <v>96</v>
      </c>
      <c r="D5132" s="1" t="s">
        <v>41</v>
      </c>
      <c r="E5132" s="3">
        <v>2225000</v>
      </c>
      <c r="F5132" s="1">
        <v>1471.56084656084</v>
      </c>
      <c r="G5132" s="1">
        <v>4</v>
      </c>
      <c r="H5132" s="1">
        <v>2</v>
      </c>
      <c r="I5132" s="1">
        <v>2</v>
      </c>
      <c r="J5132" s="1">
        <v>2.5</v>
      </c>
      <c r="K5132" s="1">
        <v>2</v>
      </c>
      <c r="L5132" s="1">
        <v>1</v>
      </c>
      <c r="M5132" s="4">
        <v>1512</v>
      </c>
      <c r="N5132" s="1">
        <v>1928</v>
      </c>
      <c r="O5132" s="1">
        <v>4157</v>
      </c>
      <c r="P5132" s="1">
        <v>2229</v>
      </c>
      <c r="Q5132" s="1" t="s">
        <v>42</v>
      </c>
      <c r="S5132" s="1" t="s">
        <v>42</v>
      </c>
      <c r="T5132" s="1" t="s">
        <v>273</v>
      </c>
      <c r="U5132" s="1">
        <v>667</v>
      </c>
      <c r="V5132" s="5">
        <v>43626</v>
      </c>
      <c r="W5132" s="5">
        <v>42500</v>
      </c>
      <c r="X5132" s="1">
        <v>2595000</v>
      </c>
      <c r="Y5132" s="1">
        <v>2295000</v>
      </c>
      <c r="Z5132" s="5">
        <v>43167</v>
      </c>
      <c r="AA5132" s="1">
        <v>2225000</v>
      </c>
      <c r="AB5132" s="1" t="s">
        <v>3569</v>
      </c>
      <c r="AC5132" s="5">
        <v>43243</v>
      </c>
      <c r="AF5132" s="1">
        <v>10005</v>
      </c>
      <c r="AI5132" s="1" t="s">
        <v>52</v>
      </c>
      <c r="AJ5132" s="1">
        <v>2016</v>
      </c>
      <c r="AK5132" s="1" t="s">
        <v>108</v>
      </c>
      <c r="AL5132" s="1">
        <v>51</v>
      </c>
    </row>
    <row r="5133" spans="1:38" x14ac:dyDescent="0.2">
      <c r="A5133" s="2" t="str">
        <f>HYPERLINK("https://www.compass.com/listing/101-wall-street-unit-19b-manhattan-ny-10005/50874596659885537/","101 Wall St, Unit 19B")</f>
        <v>101 Wall St, Unit 19B</v>
      </c>
      <c r="B5133" s="2" t="str">
        <f t="shared" si="873"/>
        <v>101 Wall St</v>
      </c>
      <c r="C5133" s="1" t="s">
        <v>96</v>
      </c>
      <c r="D5133" s="1" t="s">
        <v>41</v>
      </c>
      <c r="E5133" s="3">
        <v>3207487</v>
      </c>
      <c r="F5133" s="1">
        <v>1739.4181127982599</v>
      </c>
      <c r="G5133" s="1">
        <v>5</v>
      </c>
      <c r="H5133" s="1">
        <v>3</v>
      </c>
      <c r="I5133" s="1">
        <v>3</v>
      </c>
      <c r="J5133" s="1">
        <v>3</v>
      </c>
      <c r="K5133" s="1">
        <v>3</v>
      </c>
      <c r="M5133" s="4">
        <v>1844</v>
      </c>
      <c r="N5133" s="1">
        <v>2377</v>
      </c>
      <c r="O5133" s="1">
        <v>4569</v>
      </c>
      <c r="P5133" s="1">
        <v>2192</v>
      </c>
      <c r="Q5133" s="1" t="s">
        <v>42</v>
      </c>
      <c r="S5133" s="1" t="s">
        <v>42</v>
      </c>
      <c r="T5133" s="1" t="s">
        <v>273</v>
      </c>
      <c r="V5133" s="5">
        <v>43626</v>
      </c>
      <c r="W5133" s="5">
        <v>42179</v>
      </c>
      <c r="X5133" s="1">
        <v>3150000</v>
      </c>
      <c r="Y5133" s="1">
        <v>3150000</v>
      </c>
      <c r="Z5133" s="5">
        <v>42179</v>
      </c>
      <c r="AA5133" s="1">
        <v>3207487</v>
      </c>
      <c r="AB5133" s="1" t="s">
        <v>3570</v>
      </c>
      <c r="AC5133" s="5">
        <v>42887</v>
      </c>
      <c r="AF5133" s="1">
        <v>10005</v>
      </c>
      <c r="AI5133" s="1" t="s">
        <v>133</v>
      </c>
      <c r="AJ5133" s="1">
        <v>2016</v>
      </c>
      <c r="AK5133" s="1" t="s">
        <v>108</v>
      </c>
      <c r="AL5133" s="1">
        <v>51</v>
      </c>
    </row>
    <row r="5134" spans="1:38" x14ac:dyDescent="0.2">
      <c r="A5134" s="2" t="str">
        <f>HYPERLINK("https://www.compass.com/listing/135-west-52nd-street-unit-8b-manhattan-ny-10019/776741591459278489/","135 W 52nd St, Unit 8B")</f>
        <v>135 W 52nd St, Unit 8B</v>
      </c>
      <c r="B5134" s="2" t="str">
        <f>HYPERLINK("https://www.compass.com/building/135-w-52nd-st-manhattan-ny-10019/281943802548121109/","135 W 52nd St")</f>
        <v>135 W 52nd St</v>
      </c>
      <c r="C5134" s="1" t="s">
        <v>219</v>
      </c>
      <c r="D5134" s="1" t="s">
        <v>41</v>
      </c>
      <c r="E5134" s="3">
        <v>850000</v>
      </c>
      <c r="F5134" s="1">
        <v>1660.15625</v>
      </c>
      <c r="G5134" s="1">
        <v>2</v>
      </c>
      <c r="H5134" s="1" t="s">
        <v>99</v>
      </c>
      <c r="I5134" s="1">
        <v>1</v>
      </c>
      <c r="J5134" s="1">
        <v>1</v>
      </c>
      <c r="K5134" s="1">
        <v>1</v>
      </c>
      <c r="M5134" s="1">
        <v>512</v>
      </c>
      <c r="N5134" s="1">
        <v>464</v>
      </c>
      <c r="O5134" s="1">
        <v>794</v>
      </c>
      <c r="P5134" s="1">
        <v>330</v>
      </c>
      <c r="Q5134" s="1" t="s">
        <v>42</v>
      </c>
      <c r="S5134" s="1" t="s">
        <v>42</v>
      </c>
      <c r="T5134" s="1" t="s">
        <v>273</v>
      </c>
      <c r="U5134" s="1">
        <v>38</v>
      </c>
      <c r="V5134" s="5">
        <v>44419</v>
      </c>
      <c r="W5134" s="5">
        <v>44323</v>
      </c>
      <c r="X5134" s="1">
        <v>860000</v>
      </c>
      <c r="Y5134" s="1">
        <v>860000</v>
      </c>
      <c r="Z5134" s="5">
        <v>44362</v>
      </c>
      <c r="AA5134" s="1">
        <v>850000</v>
      </c>
      <c r="AB5134" s="1" t="s">
        <v>275</v>
      </c>
      <c r="AC5134" s="5">
        <v>44413</v>
      </c>
      <c r="AF5134" s="1">
        <v>10019</v>
      </c>
      <c r="AJ5134" s="1">
        <v>2016</v>
      </c>
      <c r="AK5134" s="1" t="s">
        <v>46</v>
      </c>
      <c r="AL5134" s="1">
        <v>109</v>
      </c>
    </row>
    <row r="5135" spans="1:38" x14ac:dyDescent="0.2">
      <c r="A5135" s="2" t="str">
        <f>HYPERLINK("https://www.compass.com/listing/101-wall-street-unit-6b-manhattan-ny-10005/29356240727538529/","101 Wall St, Unit 6B")</f>
        <v>101 Wall St, Unit 6B</v>
      </c>
      <c r="B5135" s="2" t="str">
        <f t="shared" ref="B5135:B5139" si="874">HYPERLINK("https://www.compass.com/building/101-wall-st-manhattan-ny-10005/292788767809355381/","101 Wall St")</f>
        <v>101 Wall St</v>
      </c>
      <c r="C5135" s="1" t="s">
        <v>96</v>
      </c>
      <c r="D5135" s="1" t="s">
        <v>41</v>
      </c>
      <c r="E5135" s="3">
        <v>2394160</v>
      </c>
      <c r="F5135" s="1">
        <v>1583.43915343915</v>
      </c>
      <c r="G5135" s="1">
        <v>4</v>
      </c>
      <c r="H5135" s="1">
        <v>2</v>
      </c>
      <c r="I5135" s="1">
        <v>2</v>
      </c>
      <c r="J5135" s="1">
        <v>2.5</v>
      </c>
      <c r="K5135" s="1">
        <v>2</v>
      </c>
      <c r="L5135" s="1">
        <v>1</v>
      </c>
      <c r="M5135" s="4">
        <v>1512</v>
      </c>
      <c r="N5135" s="1">
        <v>1928</v>
      </c>
      <c r="O5135" s="1">
        <v>4157</v>
      </c>
      <c r="P5135" s="1">
        <v>2229</v>
      </c>
      <c r="Q5135" s="1" t="s">
        <v>42</v>
      </c>
      <c r="S5135" s="1" t="s">
        <v>42</v>
      </c>
      <c r="T5135" s="1" t="s">
        <v>273</v>
      </c>
      <c r="U5135" s="1">
        <v>265</v>
      </c>
      <c r="V5135" s="5">
        <v>43630</v>
      </c>
      <c r="W5135" s="5">
        <v>42230</v>
      </c>
      <c r="X5135" s="1">
        <v>2490000</v>
      </c>
      <c r="Y5135" s="1">
        <v>2475000</v>
      </c>
      <c r="Z5135" s="5">
        <v>42495</v>
      </c>
      <c r="AA5135" s="1">
        <v>2394160</v>
      </c>
      <c r="AB5135" s="1" t="s">
        <v>3571</v>
      </c>
      <c r="AC5135" s="5">
        <v>43089</v>
      </c>
      <c r="AF5135" s="1">
        <v>10005</v>
      </c>
      <c r="AI5135" s="1" t="s">
        <v>52</v>
      </c>
      <c r="AJ5135" s="1">
        <v>2016</v>
      </c>
      <c r="AK5135" s="1" t="s">
        <v>108</v>
      </c>
      <c r="AL5135" s="1">
        <v>51</v>
      </c>
    </row>
    <row r="5136" spans="1:38" x14ac:dyDescent="0.2">
      <c r="A5136" s="2" t="str">
        <f>HYPERLINK("https://www.compass.com/listing/101-wall-street-unit-7b-manhattan-ny-10005/29356241365074721/","101 Wall St, Unit 7B")</f>
        <v>101 Wall St, Unit 7B</v>
      </c>
      <c r="B5136" s="2" t="str">
        <f t="shared" si="874"/>
        <v>101 Wall St</v>
      </c>
      <c r="C5136" s="1" t="s">
        <v>96</v>
      </c>
      <c r="D5136" s="1" t="s">
        <v>41</v>
      </c>
      <c r="E5136" s="3">
        <v>2443800</v>
      </c>
      <c r="F5136" s="1">
        <v>1616.2698412698401</v>
      </c>
      <c r="G5136" s="1">
        <v>4</v>
      </c>
      <c r="H5136" s="1">
        <v>2</v>
      </c>
      <c r="I5136" s="1">
        <v>2</v>
      </c>
      <c r="J5136" s="1">
        <v>2.5</v>
      </c>
      <c r="K5136" s="1">
        <v>2</v>
      </c>
      <c r="L5136" s="1">
        <v>1</v>
      </c>
      <c r="M5136" s="4">
        <v>1512</v>
      </c>
      <c r="N5136" s="1">
        <v>1928</v>
      </c>
      <c r="O5136" s="1">
        <v>3706</v>
      </c>
      <c r="P5136" s="1">
        <v>1778</v>
      </c>
      <c r="Q5136" s="1" t="s">
        <v>42</v>
      </c>
      <c r="S5136" s="1" t="s">
        <v>42</v>
      </c>
      <c r="T5136" s="1" t="s">
        <v>273</v>
      </c>
      <c r="U5136" s="1">
        <v>69</v>
      </c>
      <c r="V5136" s="5">
        <v>43626</v>
      </c>
      <c r="W5136" s="5">
        <v>42159</v>
      </c>
      <c r="X5136" s="1">
        <v>2400000</v>
      </c>
      <c r="Y5136" s="1">
        <v>2685000</v>
      </c>
      <c r="Z5136" s="5">
        <v>42228</v>
      </c>
      <c r="AA5136" s="1">
        <v>2443800</v>
      </c>
      <c r="AB5136" s="1" t="s">
        <v>3572</v>
      </c>
      <c r="AC5136" s="5">
        <v>42823</v>
      </c>
      <c r="AF5136" s="1">
        <v>10005</v>
      </c>
      <c r="AI5136" s="1" t="s">
        <v>133</v>
      </c>
      <c r="AJ5136" s="1">
        <v>2016</v>
      </c>
      <c r="AK5136" s="1" t="s">
        <v>108</v>
      </c>
      <c r="AL5136" s="1">
        <v>51</v>
      </c>
    </row>
    <row r="5137" spans="1:38" x14ac:dyDescent="0.2">
      <c r="A5137" s="2" t="str">
        <f>HYPERLINK("https://www.compass.com/listing/101-wall-street-unit-14b-manhattan-ny-10005/29356244980530689/","101 Wall St, Unit 14B")</f>
        <v>101 Wall St, Unit 14B</v>
      </c>
      <c r="B5137" s="2" t="str">
        <f t="shared" si="874"/>
        <v>101 Wall St</v>
      </c>
      <c r="C5137" s="1" t="s">
        <v>96</v>
      </c>
      <c r="D5137" s="1" t="s">
        <v>41</v>
      </c>
      <c r="E5137" s="3">
        <v>2418344</v>
      </c>
      <c r="F5137" s="1">
        <v>1706.66478475652</v>
      </c>
      <c r="G5137" s="1">
        <v>4</v>
      </c>
      <c r="H5137" s="1">
        <v>2</v>
      </c>
      <c r="I5137" s="1">
        <v>2</v>
      </c>
      <c r="J5137" s="1">
        <v>2.5</v>
      </c>
      <c r="K5137" s="1">
        <v>2</v>
      </c>
      <c r="L5137" s="1">
        <v>1</v>
      </c>
      <c r="M5137" s="4">
        <v>1417</v>
      </c>
      <c r="N5137" s="1">
        <v>1809</v>
      </c>
      <c r="O5137" s="1">
        <v>3900</v>
      </c>
      <c r="P5137" s="1">
        <v>2091</v>
      </c>
      <c r="Q5137" s="1" t="s">
        <v>42</v>
      </c>
      <c r="S5137" s="1" t="s">
        <v>42</v>
      </c>
      <c r="T5137" s="1" t="s">
        <v>273</v>
      </c>
      <c r="V5137" s="5">
        <v>43624</v>
      </c>
      <c r="W5137" s="5">
        <v>42249</v>
      </c>
      <c r="X5137" s="1">
        <v>2375000</v>
      </c>
      <c r="Y5137" s="1">
        <v>2490000</v>
      </c>
      <c r="Z5137" s="5">
        <v>42249</v>
      </c>
      <c r="AA5137" s="1">
        <v>2418344</v>
      </c>
      <c r="AB5137" s="1" t="s">
        <v>3573</v>
      </c>
      <c r="AC5137" s="5">
        <v>43124</v>
      </c>
      <c r="AF5137" s="1">
        <v>10005</v>
      </c>
      <c r="AI5137" s="1" t="s">
        <v>52</v>
      </c>
      <c r="AJ5137" s="1">
        <v>2016</v>
      </c>
      <c r="AK5137" s="1" t="s">
        <v>108</v>
      </c>
      <c r="AL5137" s="1">
        <v>51</v>
      </c>
    </row>
    <row r="5138" spans="1:38" x14ac:dyDescent="0.2">
      <c r="A5138" s="2" t="str">
        <f>HYPERLINK("https://www.compass.com/listing/101-wall-street-unit-16b-manhattan-ny-10005/29356246574398417/","101 Wall St, Unit 16B")</f>
        <v>101 Wall St, Unit 16B</v>
      </c>
      <c r="B5138" s="2" t="str">
        <f t="shared" si="874"/>
        <v>101 Wall St</v>
      </c>
      <c r="C5138" s="1" t="s">
        <v>96</v>
      </c>
      <c r="D5138" s="1" t="s">
        <v>41</v>
      </c>
      <c r="E5138" s="3">
        <v>2550000</v>
      </c>
      <c r="F5138" s="1">
        <v>1799.57657021877</v>
      </c>
      <c r="G5138" s="1">
        <v>4</v>
      </c>
      <c r="H5138" s="1">
        <v>2</v>
      </c>
      <c r="I5138" s="1">
        <v>2</v>
      </c>
      <c r="J5138" s="1">
        <v>2.5</v>
      </c>
      <c r="K5138" s="1">
        <v>2</v>
      </c>
      <c r="L5138" s="1">
        <v>1</v>
      </c>
      <c r="M5138" s="4">
        <v>1417</v>
      </c>
      <c r="N5138" s="1">
        <v>1809</v>
      </c>
      <c r="O5138" s="1">
        <v>3477</v>
      </c>
      <c r="P5138" s="1">
        <v>1668</v>
      </c>
      <c r="Q5138" s="1" t="s">
        <v>42</v>
      </c>
      <c r="S5138" s="1" t="s">
        <v>42</v>
      </c>
      <c r="T5138" s="1" t="s">
        <v>273</v>
      </c>
      <c r="V5138" s="5">
        <v>43670</v>
      </c>
      <c r="W5138" s="5">
        <v>42272</v>
      </c>
      <c r="X5138" s="1">
        <v>2670000</v>
      </c>
      <c r="Y5138" s="1">
        <v>2670000</v>
      </c>
      <c r="Z5138" s="5">
        <v>42272</v>
      </c>
      <c r="AA5138" s="1">
        <v>2550000</v>
      </c>
      <c r="AB5138" s="1" t="s">
        <v>3574</v>
      </c>
      <c r="AC5138" s="5">
        <v>42894</v>
      </c>
      <c r="AF5138" s="1">
        <v>10005</v>
      </c>
      <c r="AI5138" s="1" t="s">
        <v>52</v>
      </c>
      <c r="AJ5138" s="1">
        <v>2016</v>
      </c>
      <c r="AK5138" s="1" t="s">
        <v>108</v>
      </c>
      <c r="AL5138" s="1">
        <v>51</v>
      </c>
    </row>
    <row r="5139" spans="1:38" x14ac:dyDescent="0.2">
      <c r="A5139" s="2" t="str">
        <f>HYPERLINK("https://www.compass.com/listing/101-wall-street-unit-21a-manhattan-ny-10005/29356249283920801/","101 Wall St, Unit 21A")</f>
        <v>101 Wall St, Unit 21A</v>
      </c>
      <c r="B5139" s="2" t="str">
        <f t="shared" si="874"/>
        <v>101 Wall St</v>
      </c>
      <c r="C5139" s="1" t="s">
        <v>96</v>
      </c>
      <c r="D5139" s="1" t="s">
        <v>41</v>
      </c>
      <c r="E5139" s="3">
        <v>4100000</v>
      </c>
      <c r="F5139" s="1">
        <v>1778.7418655097599</v>
      </c>
      <c r="G5139" s="1">
        <v>5</v>
      </c>
      <c r="H5139" s="1">
        <v>3</v>
      </c>
      <c r="I5139" s="1">
        <v>3</v>
      </c>
      <c r="J5139" s="1">
        <v>3.5</v>
      </c>
      <c r="K5139" s="1">
        <v>3</v>
      </c>
      <c r="L5139" s="1">
        <v>1</v>
      </c>
      <c r="M5139" s="4">
        <v>2305</v>
      </c>
      <c r="N5139" s="1">
        <v>2988</v>
      </c>
      <c r="O5139" s="1">
        <v>6442</v>
      </c>
      <c r="P5139" s="1">
        <v>3454</v>
      </c>
      <c r="Q5139" s="1" t="s">
        <v>42</v>
      </c>
      <c r="S5139" s="1" t="s">
        <v>42</v>
      </c>
      <c r="T5139" s="1" t="s">
        <v>273</v>
      </c>
      <c r="V5139" s="5">
        <v>43626</v>
      </c>
      <c r="W5139" s="5">
        <v>42272</v>
      </c>
      <c r="X5139" s="1">
        <v>4100000</v>
      </c>
      <c r="Y5139" s="1">
        <v>4100000</v>
      </c>
      <c r="Z5139" s="5">
        <v>42272</v>
      </c>
      <c r="AA5139" s="1">
        <v>4100000</v>
      </c>
      <c r="AB5139" s="1" t="s">
        <v>3575</v>
      </c>
      <c r="AC5139" s="5">
        <v>42963</v>
      </c>
      <c r="AF5139" s="1">
        <v>10005</v>
      </c>
      <c r="AI5139" s="1" t="s">
        <v>52</v>
      </c>
      <c r="AJ5139" s="1">
        <v>2016</v>
      </c>
      <c r="AK5139" s="1" t="s">
        <v>108</v>
      </c>
      <c r="AL5139" s="1">
        <v>51</v>
      </c>
    </row>
    <row r="5140" spans="1:38" x14ac:dyDescent="0.2">
      <c r="A5140" s="2" t="str">
        <f>HYPERLINK("https://www.compass.com/listing/77-east-110th-street-unit-5a-manhattan-ny-10029/29427499125556817/","77 E 110th St, Unit 5A")</f>
        <v>77 E 110th St, Unit 5A</v>
      </c>
      <c r="B5140" s="2" t="str">
        <f>HYPERLINK("https://www.compass.com/building/77-condominiums-manhattan-ny/281992190891244549/","77 Condominiums")</f>
        <v>77 Condominiums</v>
      </c>
      <c r="C5140" s="1" t="s">
        <v>424</v>
      </c>
      <c r="D5140" s="1" t="s">
        <v>41</v>
      </c>
      <c r="E5140" s="3">
        <v>589874</v>
      </c>
      <c r="F5140" s="1">
        <v>571.03000968054198</v>
      </c>
      <c r="G5140" s="1">
        <v>4</v>
      </c>
      <c r="H5140" s="1">
        <v>2</v>
      </c>
      <c r="I5140" s="1">
        <v>1</v>
      </c>
      <c r="J5140" s="1">
        <v>1</v>
      </c>
      <c r="K5140" s="1">
        <v>1</v>
      </c>
      <c r="M5140" s="4">
        <v>1033</v>
      </c>
      <c r="N5140" s="1">
        <v>332</v>
      </c>
      <c r="O5140" s="1">
        <v>409.24</v>
      </c>
      <c r="P5140" s="1">
        <v>77.25</v>
      </c>
      <c r="Q5140" s="1" t="s">
        <v>42</v>
      </c>
      <c r="S5140" s="1" t="s">
        <v>42</v>
      </c>
      <c r="T5140" s="1" t="s">
        <v>273</v>
      </c>
      <c r="V5140" s="5">
        <v>43678</v>
      </c>
      <c r="W5140" s="5">
        <v>42391</v>
      </c>
      <c r="X5140" s="1">
        <v>974700</v>
      </c>
      <c r="Y5140" s="1">
        <v>974700</v>
      </c>
      <c r="Z5140" s="5">
        <v>42391</v>
      </c>
      <c r="AA5140" s="1">
        <v>589874</v>
      </c>
      <c r="AB5140" s="1" t="s">
        <v>3576</v>
      </c>
      <c r="AC5140" s="5">
        <v>42500</v>
      </c>
      <c r="AF5140" s="1">
        <v>10029</v>
      </c>
      <c r="AI5140" s="1" t="s">
        <v>111</v>
      </c>
      <c r="AJ5140" s="1">
        <v>2013</v>
      </c>
      <c r="AL5140" s="1">
        <v>20</v>
      </c>
    </row>
    <row r="5141" spans="1:38" x14ac:dyDescent="0.2">
      <c r="A5141" s="2" t="str">
        <f>HYPERLINK("https://www.compass.com/listing/135-west-52nd-street-unit-8b-manhattan-ny-10019/29383323247810881/","135 W 52nd St, Unit 8B")</f>
        <v>135 W 52nd St, Unit 8B</v>
      </c>
      <c r="B5141" s="2" t="str">
        <f>HYPERLINK("https://www.compass.com/building/135-w-52nd-st-manhattan-ny-10019/281943802548121109/","135 W 52nd St")</f>
        <v>135 W 52nd St</v>
      </c>
      <c r="C5141" s="1" t="s">
        <v>139</v>
      </c>
      <c r="D5141" s="1" t="s">
        <v>41</v>
      </c>
      <c r="E5141" s="3">
        <v>763688</v>
      </c>
      <c r="F5141" s="1">
        <v>1491.578125</v>
      </c>
      <c r="G5141" s="1">
        <v>2</v>
      </c>
      <c r="H5141" s="1" t="s">
        <v>99</v>
      </c>
      <c r="I5141" s="1">
        <v>1</v>
      </c>
      <c r="J5141" s="1">
        <v>1</v>
      </c>
      <c r="K5141" s="1">
        <v>1</v>
      </c>
      <c r="M5141" s="1">
        <v>512</v>
      </c>
      <c r="N5141" s="1">
        <v>324</v>
      </c>
      <c r="O5141" s="1">
        <v>777</v>
      </c>
      <c r="P5141" s="1">
        <v>453</v>
      </c>
      <c r="Q5141" s="1" t="s">
        <v>42</v>
      </c>
      <c r="S5141" s="1" t="s">
        <v>42</v>
      </c>
      <c r="T5141" s="1" t="s">
        <v>273</v>
      </c>
      <c r="V5141" s="5">
        <v>44362</v>
      </c>
      <c r="W5141" s="5">
        <v>42894</v>
      </c>
      <c r="X5141" s="1">
        <v>750000</v>
      </c>
      <c r="Y5141" s="1">
        <v>750000</v>
      </c>
      <c r="Z5141" s="5">
        <v>42894</v>
      </c>
      <c r="AA5141" s="1">
        <v>763688</v>
      </c>
      <c r="AB5141" s="1" t="s">
        <v>3577</v>
      </c>
      <c r="AC5141" s="5">
        <v>42903</v>
      </c>
      <c r="AF5141" s="1">
        <v>10019</v>
      </c>
      <c r="AJ5141" s="1">
        <v>2016</v>
      </c>
      <c r="AK5141" s="1" t="s">
        <v>46</v>
      </c>
      <c r="AL5141" s="1">
        <v>109</v>
      </c>
    </row>
    <row r="5142" spans="1:38" x14ac:dyDescent="0.2">
      <c r="A5142" s="2" t="str">
        <f>HYPERLINK("https://www.compass.com/listing/101-wall-street-unit-18ab-manhattan-ny-10005/783063951519326529/","101 Wall St, Unit 18AB")</f>
        <v>101 Wall St, Unit 18AB</v>
      </c>
      <c r="B5142" s="2" t="str">
        <f t="shared" ref="B5142:B5161" si="875">HYPERLINK("https://www.compass.com/building/101-wall-st-manhattan-ny-10005/292788767809355381/","101 Wall St")</f>
        <v>101 Wall St</v>
      </c>
      <c r="C5142" s="1" t="s">
        <v>96</v>
      </c>
      <c r="D5142" s="1" t="s">
        <v>41</v>
      </c>
      <c r="E5142" s="3">
        <v>5225000</v>
      </c>
      <c r="F5142" s="1">
        <v>1699.7397527651201</v>
      </c>
      <c r="G5142" s="1">
        <v>7</v>
      </c>
      <c r="H5142" s="1">
        <v>6</v>
      </c>
      <c r="I5142" s="1">
        <v>5</v>
      </c>
      <c r="J5142" s="1">
        <v>5</v>
      </c>
      <c r="K5142" s="1">
        <v>5</v>
      </c>
      <c r="M5142" s="4">
        <v>3074</v>
      </c>
      <c r="N5142" s="1">
        <v>3913</v>
      </c>
      <c r="O5142" s="1">
        <v>8437</v>
      </c>
      <c r="P5142" s="1">
        <v>4524</v>
      </c>
      <c r="Q5142" s="1" t="s">
        <v>42</v>
      </c>
      <c r="S5142" s="1" t="s">
        <v>42</v>
      </c>
      <c r="T5142" s="1" t="s">
        <v>273</v>
      </c>
      <c r="U5142" s="1">
        <v>302</v>
      </c>
      <c r="V5142" s="5">
        <v>42934</v>
      </c>
      <c r="W5142" s="5">
        <v>42474</v>
      </c>
      <c r="X5142" s="1">
        <v>5335000</v>
      </c>
      <c r="Y5142" s="1">
        <v>5225000</v>
      </c>
      <c r="Z5142" s="5">
        <v>42777</v>
      </c>
      <c r="AA5142" s="1">
        <v>5225000</v>
      </c>
      <c r="AB5142" s="1" t="s">
        <v>3578</v>
      </c>
      <c r="AC5142" s="5">
        <v>42914</v>
      </c>
      <c r="AF5142" s="1">
        <v>10005</v>
      </c>
      <c r="AI5142" s="1" t="s">
        <v>52</v>
      </c>
      <c r="AJ5142" s="1">
        <v>2016</v>
      </c>
      <c r="AK5142" s="1" t="s">
        <v>108</v>
      </c>
      <c r="AL5142" s="1">
        <v>51</v>
      </c>
    </row>
    <row r="5143" spans="1:38" x14ac:dyDescent="0.2">
      <c r="A5143" s="2" t="str">
        <f>HYPERLINK("https://www.compass.com/listing/101-wall-street-unit-5c-manhattan-ny-10005/29356240022863249/","101 Wall St, Unit 5C")</f>
        <v>101 Wall St, Unit 5C</v>
      </c>
      <c r="B5143" s="2" t="str">
        <f t="shared" si="875"/>
        <v>101 Wall St</v>
      </c>
      <c r="C5143" s="1" t="s">
        <v>96</v>
      </c>
      <c r="D5143" s="1" t="s">
        <v>41</v>
      </c>
      <c r="E5143" s="3">
        <v>1625000</v>
      </c>
      <c r="F5143" s="1">
        <v>1391.2671232876701</v>
      </c>
      <c r="G5143" s="1">
        <v>3</v>
      </c>
      <c r="H5143" s="1">
        <v>1</v>
      </c>
      <c r="I5143" s="1">
        <v>2</v>
      </c>
      <c r="J5143" s="1">
        <v>2</v>
      </c>
      <c r="K5143" s="1">
        <v>2</v>
      </c>
      <c r="M5143" s="4">
        <v>1168</v>
      </c>
      <c r="N5143" s="1">
        <v>1487</v>
      </c>
      <c r="O5143" s="1">
        <v>3206</v>
      </c>
      <c r="P5143" s="1">
        <v>1719</v>
      </c>
      <c r="Q5143" s="1" t="s">
        <v>42</v>
      </c>
      <c r="S5143" s="1" t="s">
        <v>42</v>
      </c>
      <c r="T5143" s="1" t="s">
        <v>273</v>
      </c>
      <c r="U5143" s="1">
        <v>175</v>
      </c>
      <c r="V5143" s="5">
        <v>43630</v>
      </c>
      <c r="W5143" s="5">
        <v>42923</v>
      </c>
      <c r="X5143" s="1">
        <v>1710000</v>
      </c>
      <c r="Y5143" s="1">
        <v>1710000</v>
      </c>
      <c r="Z5143" s="5">
        <v>43098</v>
      </c>
      <c r="AA5143" s="1">
        <v>1625000</v>
      </c>
      <c r="AB5143" s="1" t="s">
        <v>3579</v>
      </c>
      <c r="AC5143" s="5">
        <v>43152</v>
      </c>
      <c r="AF5143" s="1">
        <v>10005</v>
      </c>
      <c r="AI5143" s="1" t="s">
        <v>52</v>
      </c>
      <c r="AJ5143" s="1">
        <v>2016</v>
      </c>
      <c r="AK5143" s="1" t="s">
        <v>108</v>
      </c>
      <c r="AL5143" s="1">
        <v>51</v>
      </c>
    </row>
    <row r="5144" spans="1:38" x14ac:dyDescent="0.2">
      <c r="A5144" s="2" t="str">
        <f>HYPERLINK("https://www.compass.com/listing/101-wall-street-unit-7c-manhattan-ny-10005/29356241667062641/","101 Wall St, Unit 7C")</f>
        <v>101 Wall St, Unit 7C</v>
      </c>
      <c r="B5144" s="2" t="str">
        <f t="shared" si="875"/>
        <v>101 Wall St</v>
      </c>
      <c r="C5144" s="1" t="s">
        <v>96</v>
      </c>
      <c r="D5144" s="1" t="s">
        <v>41</v>
      </c>
      <c r="E5144" s="3">
        <v>1710467</v>
      </c>
      <c r="F5144" s="1">
        <v>1464.4409246575301</v>
      </c>
      <c r="G5144" s="1">
        <v>3.5</v>
      </c>
      <c r="H5144" s="1">
        <v>1</v>
      </c>
      <c r="I5144" s="1">
        <v>2</v>
      </c>
      <c r="J5144" s="1">
        <v>2</v>
      </c>
      <c r="K5144" s="1">
        <v>2</v>
      </c>
      <c r="M5144" s="4">
        <v>1168</v>
      </c>
      <c r="N5144" s="1">
        <v>1497</v>
      </c>
      <c r="O5144" s="1">
        <v>2878</v>
      </c>
      <c r="P5144" s="1">
        <v>1381</v>
      </c>
      <c r="Q5144" s="1" t="s">
        <v>42</v>
      </c>
      <c r="S5144" s="1" t="s">
        <v>42</v>
      </c>
      <c r="T5144" s="1" t="s">
        <v>273</v>
      </c>
      <c r="U5144" s="1">
        <v>51</v>
      </c>
      <c r="V5144" s="5">
        <v>43626</v>
      </c>
      <c r="W5144" s="5">
        <v>42159</v>
      </c>
      <c r="X5144" s="1">
        <v>1695000</v>
      </c>
      <c r="Y5144" s="1">
        <v>1740000</v>
      </c>
      <c r="Z5144" s="5">
        <v>42210</v>
      </c>
      <c r="AA5144" s="1">
        <v>1710467</v>
      </c>
      <c r="AB5144" s="1" t="s">
        <v>3580</v>
      </c>
      <c r="AC5144" s="5">
        <v>42872</v>
      </c>
      <c r="AF5144" s="1">
        <v>10005</v>
      </c>
      <c r="AI5144" s="1" t="s">
        <v>52</v>
      </c>
      <c r="AJ5144" s="1">
        <v>2016</v>
      </c>
      <c r="AK5144" s="1" t="s">
        <v>108</v>
      </c>
      <c r="AL5144" s="1">
        <v>51</v>
      </c>
    </row>
    <row r="5145" spans="1:38" x14ac:dyDescent="0.2">
      <c r="A5145" s="2" t="str">
        <f>HYPERLINK("https://www.compass.com/listing/101-wall-street-unit-8c-manhattan-ny-10005/29356242287821617/","101 Wall St, Unit 8C")</f>
        <v>101 Wall St, Unit 8C</v>
      </c>
      <c r="B5145" s="2" t="str">
        <f t="shared" si="875"/>
        <v>101 Wall St</v>
      </c>
      <c r="C5145" s="1" t="s">
        <v>96</v>
      </c>
      <c r="D5145" s="1" t="s">
        <v>41</v>
      </c>
      <c r="E5145" s="3">
        <v>1718806</v>
      </c>
      <c r="F5145" s="1">
        <v>1471.58047945205</v>
      </c>
      <c r="G5145" s="1">
        <v>3</v>
      </c>
      <c r="H5145" s="1">
        <v>1</v>
      </c>
      <c r="I5145" s="1">
        <v>2</v>
      </c>
      <c r="J5145" s="1">
        <v>2</v>
      </c>
      <c r="K5145" s="1">
        <v>2</v>
      </c>
      <c r="M5145" s="4">
        <v>1168</v>
      </c>
      <c r="N5145" s="1">
        <v>1492</v>
      </c>
      <c r="O5145" s="1">
        <v>3217</v>
      </c>
      <c r="P5145" s="1">
        <v>1725</v>
      </c>
      <c r="Q5145" s="1" t="s">
        <v>42</v>
      </c>
      <c r="S5145" s="1" t="s">
        <v>42</v>
      </c>
      <c r="T5145" s="1" t="s">
        <v>273</v>
      </c>
      <c r="V5145" s="5">
        <v>43626</v>
      </c>
      <c r="W5145" s="5">
        <v>42543</v>
      </c>
      <c r="X5145" s="1">
        <v>1755000</v>
      </c>
      <c r="Y5145" s="1">
        <v>1755000</v>
      </c>
      <c r="Z5145" s="5">
        <v>42543</v>
      </c>
      <c r="AA5145" s="1">
        <v>1718806</v>
      </c>
      <c r="AB5145" s="1" t="s">
        <v>3581</v>
      </c>
      <c r="AC5145" s="5">
        <v>42915</v>
      </c>
      <c r="AF5145" s="1">
        <v>10005</v>
      </c>
      <c r="AI5145" s="1" t="s">
        <v>52</v>
      </c>
      <c r="AJ5145" s="1">
        <v>2016</v>
      </c>
      <c r="AK5145" s="1" t="s">
        <v>108</v>
      </c>
      <c r="AL5145" s="1">
        <v>51</v>
      </c>
    </row>
    <row r="5146" spans="1:38" x14ac:dyDescent="0.2">
      <c r="A5146" s="2" t="str">
        <f>HYPERLINK("https://www.compass.com/listing/101-wall-street-unit-9c-manhattan-ny-10005/29356243218957121/","101 Wall St, Unit 9C")</f>
        <v>101 Wall St, Unit 9C</v>
      </c>
      <c r="B5146" s="2" t="str">
        <f t="shared" si="875"/>
        <v>101 Wall St</v>
      </c>
      <c r="C5146" s="1" t="s">
        <v>96</v>
      </c>
      <c r="D5146" s="1" t="s">
        <v>41</v>
      </c>
      <c r="E5146" s="3">
        <v>1802303</v>
      </c>
      <c r="F5146" s="1">
        <v>1543.0676369862999</v>
      </c>
      <c r="G5146" s="1">
        <v>3</v>
      </c>
      <c r="H5146" s="1">
        <v>1</v>
      </c>
      <c r="I5146" s="1">
        <v>2</v>
      </c>
      <c r="J5146" s="1">
        <v>2</v>
      </c>
      <c r="K5146" s="1">
        <v>2</v>
      </c>
      <c r="M5146" s="4">
        <v>1168</v>
      </c>
      <c r="N5146" s="1">
        <v>1492</v>
      </c>
      <c r="O5146" s="1">
        <v>3217</v>
      </c>
      <c r="P5146" s="1">
        <v>1725</v>
      </c>
      <c r="Q5146" s="1" t="s">
        <v>42</v>
      </c>
      <c r="S5146" s="1" t="s">
        <v>42</v>
      </c>
      <c r="T5146" s="1" t="s">
        <v>273</v>
      </c>
      <c r="U5146" s="1">
        <v>127</v>
      </c>
      <c r="V5146" s="5">
        <v>43624</v>
      </c>
      <c r="W5146" s="5">
        <v>42537</v>
      </c>
      <c r="X5146" s="1">
        <v>1770000</v>
      </c>
      <c r="Y5146" s="1">
        <v>1770000</v>
      </c>
      <c r="Z5146" s="5">
        <v>42664</v>
      </c>
      <c r="AA5146" s="1">
        <v>1802303</v>
      </c>
      <c r="AB5146" s="1" t="s">
        <v>3582</v>
      </c>
      <c r="AC5146" s="5">
        <v>42900</v>
      </c>
      <c r="AF5146" s="1">
        <v>10005</v>
      </c>
      <c r="AI5146" s="1" t="s">
        <v>52</v>
      </c>
      <c r="AJ5146" s="1">
        <v>2016</v>
      </c>
      <c r="AK5146" s="1" t="s">
        <v>108</v>
      </c>
      <c r="AL5146" s="1">
        <v>51</v>
      </c>
    </row>
    <row r="5147" spans="1:38" x14ac:dyDescent="0.2">
      <c r="A5147" s="2" t="str">
        <f>HYPERLINK("https://www.compass.com/listing/101-wall-street-unit-10c-manhattan-ny-10005/29356243915177457/","101 Wall St, Unit 10C")</f>
        <v>101 Wall St, Unit 10C</v>
      </c>
      <c r="B5147" s="2" t="str">
        <f t="shared" si="875"/>
        <v>101 Wall St</v>
      </c>
      <c r="C5147" s="1" t="s">
        <v>96</v>
      </c>
      <c r="D5147" s="1" t="s">
        <v>41</v>
      </c>
      <c r="E5147" s="3">
        <v>2031409</v>
      </c>
      <c r="F5147" s="1">
        <v>1608.3998416468701</v>
      </c>
      <c r="G5147" s="1">
        <v>4</v>
      </c>
      <c r="H5147" s="1">
        <v>2</v>
      </c>
      <c r="I5147" s="1">
        <v>2</v>
      </c>
      <c r="J5147" s="1">
        <v>2</v>
      </c>
      <c r="K5147" s="1">
        <v>2</v>
      </c>
      <c r="M5147" s="4">
        <v>1263</v>
      </c>
      <c r="N5147" s="1">
        <v>1616</v>
      </c>
      <c r="O5147" s="1">
        <v>3106</v>
      </c>
      <c r="P5147" s="1">
        <v>1490</v>
      </c>
      <c r="Q5147" s="1" t="s">
        <v>42</v>
      </c>
      <c r="S5147" s="1" t="s">
        <v>42</v>
      </c>
      <c r="T5147" s="1" t="s">
        <v>273</v>
      </c>
      <c r="U5147" s="1">
        <v>20</v>
      </c>
      <c r="V5147" s="5">
        <v>43662</v>
      </c>
      <c r="W5147" s="5">
        <v>42292</v>
      </c>
      <c r="X5147" s="1">
        <v>1995000</v>
      </c>
      <c r="Y5147" s="1">
        <v>1995000</v>
      </c>
      <c r="Z5147" s="5">
        <v>42312</v>
      </c>
      <c r="AA5147" s="1">
        <v>2031409</v>
      </c>
      <c r="AB5147" s="1" t="s">
        <v>3583</v>
      </c>
      <c r="AC5147" s="5">
        <v>42844</v>
      </c>
      <c r="AF5147" s="1">
        <v>10005</v>
      </c>
      <c r="AI5147" s="1" t="s">
        <v>52</v>
      </c>
      <c r="AJ5147" s="1">
        <v>2016</v>
      </c>
      <c r="AK5147" s="1" t="s">
        <v>108</v>
      </c>
      <c r="AL5147" s="1">
        <v>51</v>
      </c>
    </row>
    <row r="5148" spans="1:38" x14ac:dyDescent="0.2">
      <c r="A5148" s="2" t="str">
        <f>HYPERLINK("https://www.compass.com/listing/101-wall-street-unit-12c-manhattan-ny-10005/29356244233978705/","101 Wall St, Unit 12C")</f>
        <v>101 Wall St, Unit 12C</v>
      </c>
      <c r="B5148" s="2" t="str">
        <f t="shared" si="875"/>
        <v>101 Wall St</v>
      </c>
      <c r="C5148" s="1" t="s">
        <v>96</v>
      </c>
      <c r="D5148" s="1" t="s">
        <v>41</v>
      </c>
      <c r="E5148" s="3">
        <v>2000861</v>
      </c>
      <c r="F5148" s="1">
        <v>1584.2129849564501</v>
      </c>
      <c r="G5148" s="1">
        <v>4</v>
      </c>
      <c r="H5148" s="1">
        <v>2</v>
      </c>
      <c r="I5148" s="1">
        <v>2</v>
      </c>
      <c r="J5148" s="1">
        <v>2</v>
      </c>
      <c r="K5148" s="1">
        <v>2</v>
      </c>
      <c r="M5148" s="4">
        <v>1263</v>
      </c>
      <c r="N5148" s="1">
        <v>1616</v>
      </c>
      <c r="O5148" s="1">
        <v>3106</v>
      </c>
      <c r="P5148" s="1">
        <v>1490</v>
      </c>
      <c r="Q5148" s="1" t="s">
        <v>42</v>
      </c>
      <c r="S5148" s="1" t="s">
        <v>42</v>
      </c>
      <c r="T5148" s="1" t="s">
        <v>273</v>
      </c>
      <c r="U5148" s="1">
        <v>124</v>
      </c>
      <c r="V5148" s="5">
        <v>43635</v>
      </c>
      <c r="W5148" s="5">
        <v>42159</v>
      </c>
      <c r="X5148" s="1">
        <v>1965000</v>
      </c>
      <c r="Y5148" s="1">
        <v>1965000</v>
      </c>
      <c r="Z5148" s="5">
        <v>42283</v>
      </c>
      <c r="AA5148" s="1">
        <v>2000861</v>
      </c>
      <c r="AB5148" s="1" t="s">
        <v>3584</v>
      </c>
      <c r="AC5148" s="5">
        <v>42843</v>
      </c>
      <c r="AF5148" s="1">
        <v>10005</v>
      </c>
      <c r="AI5148" s="1" t="s">
        <v>52</v>
      </c>
      <c r="AJ5148" s="1">
        <v>2016</v>
      </c>
      <c r="AK5148" s="1" t="s">
        <v>108</v>
      </c>
      <c r="AL5148" s="1">
        <v>51</v>
      </c>
    </row>
    <row r="5149" spans="1:38" x14ac:dyDescent="0.2">
      <c r="A5149" s="2" t="str">
        <f>HYPERLINK("https://www.compass.com/listing/101-wall-street-unit-14c-manhattan-ny-10005/29356245366440801/","101 Wall St, Unit 14C")</f>
        <v>101 Wall St, Unit 14C</v>
      </c>
      <c r="B5149" s="2" t="str">
        <f t="shared" si="875"/>
        <v>101 Wall St</v>
      </c>
      <c r="C5149" s="1" t="s">
        <v>96</v>
      </c>
      <c r="D5149" s="1" t="s">
        <v>41</v>
      </c>
      <c r="E5149" s="3">
        <v>2107778</v>
      </c>
      <c r="F5149" s="1">
        <v>1668.8661916072799</v>
      </c>
      <c r="G5149" s="1">
        <v>4</v>
      </c>
      <c r="H5149" s="1">
        <v>2</v>
      </c>
      <c r="I5149" s="1">
        <v>2</v>
      </c>
      <c r="J5149" s="1">
        <v>2</v>
      </c>
      <c r="K5149" s="1">
        <v>2</v>
      </c>
      <c r="M5149" s="4">
        <v>1263</v>
      </c>
      <c r="N5149" s="1">
        <v>1611</v>
      </c>
      <c r="O5149" s="1">
        <v>3097</v>
      </c>
      <c r="P5149" s="1">
        <v>1486</v>
      </c>
      <c r="Q5149" s="1" t="s">
        <v>42</v>
      </c>
      <c r="S5149" s="1" t="s">
        <v>42</v>
      </c>
      <c r="T5149" s="1" t="s">
        <v>273</v>
      </c>
      <c r="V5149" s="5">
        <v>43670</v>
      </c>
      <c r="W5149" s="5">
        <v>42353</v>
      </c>
      <c r="X5149" s="1">
        <v>2070000</v>
      </c>
      <c r="Y5149" s="1">
        <v>2070000</v>
      </c>
      <c r="Z5149" s="5">
        <v>42353</v>
      </c>
      <c r="AA5149" s="1">
        <v>2107778</v>
      </c>
      <c r="AB5149" s="1" t="s">
        <v>3585</v>
      </c>
      <c r="AC5149" s="5">
        <v>42880</v>
      </c>
      <c r="AF5149" s="1">
        <v>10005</v>
      </c>
      <c r="AI5149" s="1" t="s">
        <v>52</v>
      </c>
      <c r="AJ5149" s="1">
        <v>2016</v>
      </c>
      <c r="AK5149" s="1" t="s">
        <v>108</v>
      </c>
      <c r="AL5149" s="1">
        <v>51</v>
      </c>
    </row>
    <row r="5150" spans="1:38" x14ac:dyDescent="0.2">
      <c r="A5150" s="2" t="str">
        <f>HYPERLINK("https://www.compass.com/listing/101-wall-street-unit-15c-manhattan-ny-10005/29356245995552289/","101 Wall St, Unit 15C")</f>
        <v>101 Wall St, Unit 15C</v>
      </c>
      <c r="B5150" s="2" t="str">
        <f t="shared" si="875"/>
        <v>101 Wall St</v>
      </c>
      <c r="C5150" s="1" t="s">
        <v>96</v>
      </c>
      <c r="D5150" s="1" t="s">
        <v>41</v>
      </c>
      <c r="E5150" s="3">
        <v>2095000</v>
      </c>
      <c r="F5150" s="1">
        <v>1658.7490102929501</v>
      </c>
      <c r="G5150" s="1">
        <v>4</v>
      </c>
      <c r="H5150" s="1">
        <v>2</v>
      </c>
      <c r="I5150" s="1">
        <v>2</v>
      </c>
      <c r="J5150" s="1">
        <v>2</v>
      </c>
      <c r="K5150" s="1">
        <v>2</v>
      </c>
      <c r="M5150" s="4">
        <v>1263</v>
      </c>
      <c r="N5150" s="1">
        <v>1616</v>
      </c>
      <c r="O5150" s="1">
        <v>3106</v>
      </c>
      <c r="P5150" s="1">
        <v>1490</v>
      </c>
      <c r="Q5150" s="1" t="s">
        <v>42</v>
      </c>
      <c r="S5150" s="1" t="s">
        <v>42</v>
      </c>
      <c r="T5150" s="1" t="s">
        <v>273</v>
      </c>
      <c r="U5150" s="1">
        <v>98</v>
      </c>
      <c r="V5150" s="5">
        <v>43626</v>
      </c>
      <c r="W5150" s="5">
        <v>42426</v>
      </c>
      <c r="X5150" s="1">
        <v>2095000</v>
      </c>
      <c r="Y5150" s="1">
        <v>2095000</v>
      </c>
      <c r="Z5150" s="5">
        <v>42524</v>
      </c>
      <c r="AA5150" s="1">
        <v>2095000</v>
      </c>
      <c r="AB5150" s="1" t="s">
        <v>3586</v>
      </c>
      <c r="AC5150" s="5">
        <v>42842</v>
      </c>
      <c r="AF5150" s="1">
        <v>10005</v>
      </c>
      <c r="AI5150" s="1" t="s">
        <v>52</v>
      </c>
      <c r="AJ5150" s="1">
        <v>2016</v>
      </c>
      <c r="AK5150" s="1" t="s">
        <v>108</v>
      </c>
      <c r="AL5150" s="1">
        <v>51</v>
      </c>
    </row>
    <row r="5151" spans="1:38" x14ac:dyDescent="0.2">
      <c r="A5151" s="2" t="str">
        <f>HYPERLINK("https://www.compass.com/listing/101-wall-street-unit-16c-manhattan-ny-10005/29356246893133425/","101 Wall St, Unit 16C")</f>
        <v>101 Wall St, Unit 16C</v>
      </c>
      <c r="B5151" s="2" t="str">
        <f t="shared" si="875"/>
        <v>101 Wall St</v>
      </c>
      <c r="C5151" s="1" t="s">
        <v>96</v>
      </c>
      <c r="D5151" s="1" t="s">
        <v>41</v>
      </c>
      <c r="E5151" s="3">
        <v>2025000</v>
      </c>
      <c r="F5151" s="1">
        <v>1603.3254156769499</v>
      </c>
      <c r="G5151" s="1">
        <v>4</v>
      </c>
      <c r="H5151" s="1">
        <v>2</v>
      </c>
      <c r="I5151" s="1">
        <v>2</v>
      </c>
      <c r="J5151" s="1">
        <v>2</v>
      </c>
      <c r="K5151" s="1">
        <v>2</v>
      </c>
      <c r="M5151" s="4">
        <v>1263</v>
      </c>
      <c r="N5151" s="1">
        <v>1616</v>
      </c>
      <c r="O5151" s="1">
        <v>3106</v>
      </c>
      <c r="P5151" s="1">
        <v>1490</v>
      </c>
      <c r="Q5151" s="1" t="s">
        <v>42</v>
      </c>
      <c r="S5151" s="1" t="s">
        <v>42</v>
      </c>
      <c r="T5151" s="1" t="s">
        <v>273</v>
      </c>
      <c r="V5151" s="5">
        <v>43626</v>
      </c>
      <c r="W5151" s="5">
        <v>42272</v>
      </c>
      <c r="X5151" s="1">
        <v>2025000</v>
      </c>
      <c r="Y5151" s="1">
        <v>2045000</v>
      </c>
      <c r="Z5151" s="5">
        <v>42272</v>
      </c>
      <c r="AA5151" s="1">
        <v>2025000</v>
      </c>
      <c r="AB5151" s="1" t="s">
        <v>3587</v>
      </c>
      <c r="AC5151" s="5">
        <v>42894</v>
      </c>
      <c r="AF5151" s="1">
        <v>10005</v>
      </c>
      <c r="AI5151" s="1" t="s">
        <v>52</v>
      </c>
      <c r="AJ5151" s="1">
        <v>2016</v>
      </c>
      <c r="AK5151" s="1" t="s">
        <v>108</v>
      </c>
      <c r="AL5151" s="1">
        <v>51</v>
      </c>
    </row>
    <row r="5152" spans="1:38" x14ac:dyDescent="0.2">
      <c r="A5152" s="2" t="str">
        <f>HYPERLINK("https://www.compass.com/listing/101-wall-street-unit-17a-manhattan-ny-10005/29356247211934593/","101 Wall St, Unit 17A")</f>
        <v>101 Wall St, Unit 17A</v>
      </c>
      <c r="B5152" s="2" t="str">
        <f t="shared" si="875"/>
        <v>101 Wall St</v>
      </c>
      <c r="C5152" s="1" t="s">
        <v>96</v>
      </c>
      <c r="D5152" s="1" t="s">
        <v>41</v>
      </c>
      <c r="E5152" s="3">
        <v>2021226</v>
      </c>
      <c r="F5152" s="1">
        <v>1832.48073436083</v>
      </c>
      <c r="G5152" s="1">
        <v>4</v>
      </c>
      <c r="H5152" s="1">
        <v>2</v>
      </c>
      <c r="I5152" s="1">
        <v>2</v>
      </c>
      <c r="J5152" s="1">
        <v>2</v>
      </c>
      <c r="K5152" s="1">
        <v>2</v>
      </c>
      <c r="M5152" s="4">
        <v>1103</v>
      </c>
      <c r="N5152" s="1">
        <v>1411</v>
      </c>
      <c r="O5152" s="1">
        <v>2711</v>
      </c>
      <c r="P5152" s="1">
        <v>1300</v>
      </c>
      <c r="Q5152" s="1" t="s">
        <v>42</v>
      </c>
      <c r="S5152" s="1" t="s">
        <v>42</v>
      </c>
      <c r="T5152" s="1" t="s">
        <v>273</v>
      </c>
      <c r="U5152" s="1">
        <v>119</v>
      </c>
      <c r="V5152" s="5">
        <v>43601</v>
      </c>
      <c r="W5152" s="5">
        <v>42473</v>
      </c>
      <c r="X5152" s="1">
        <v>1985000</v>
      </c>
      <c r="Y5152" s="1">
        <v>1985000</v>
      </c>
      <c r="Z5152" s="5">
        <v>42592</v>
      </c>
      <c r="AA5152" s="1">
        <v>2021226.25</v>
      </c>
      <c r="AB5152" s="1" t="s">
        <v>3588</v>
      </c>
      <c r="AC5152" s="5">
        <v>42858</v>
      </c>
      <c r="AF5152" s="1">
        <v>10005</v>
      </c>
      <c r="AI5152" s="1" t="s">
        <v>52</v>
      </c>
      <c r="AJ5152" s="1">
        <v>2016</v>
      </c>
      <c r="AK5152" s="1" t="s">
        <v>108</v>
      </c>
      <c r="AL5152" s="1">
        <v>51</v>
      </c>
    </row>
    <row r="5153" spans="1:38" x14ac:dyDescent="0.2">
      <c r="A5153" s="2" t="str">
        <f>HYPERLINK("https://www.compass.com/listing/101-wall-street-unit-4c-manhattan-ny-10005/50867146804209841/","101 Wall St, Unit 4C")</f>
        <v>101 Wall St, Unit 4C</v>
      </c>
      <c r="B5153" s="2" t="str">
        <f t="shared" si="875"/>
        <v>101 Wall St</v>
      </c>
      <c r="C5153" s="1" t="s">
        <v>96</v>
      </c>
      <c r="D5153" s="1" t="s">
        <v>41</v>
      </c>
      <c r="E5153" s="3">
        <v>1695000</v>
      </c>
      <c r="F5153" s="1">
        <v>1451.19863013698</v>
      </c>
      <c r="G5153" s="1">
        <v>3</v>
      </c>
      <c r="H5153" s="1">
        <v>1</v>
      </c>
      <c r="I5153" s="1">
        <v>2</v>
      </c>
      <c r="J5153" s="1">
        <v>2</v>
      </c>
      <c r="K5153" s="1">
        <v>2</v>
      </c>
      <c r="M5153" s="4">
        <v>1168</v>
      </c>
      <c r="N5153" s="1">
        <v>1487</v>
      </c>
      <c r="O5153" s="1">
        <v>2858</v>
      </c>
      <c r="P5153" s="1">
        <v>1371</v>
      </c>
      <c r="Q5153" s="1" t="s">
        <v>42</v>
      </c>
      <c r="S5153" s="1" t="s">
        <v>42</v>
      </c>
      <c r="T5153" s="1" t="s">
        <v>273</v>
      </c>
      <c r="U5153" s="1">
        <v>177</v>
      </c>
      <c r="V5153" s="5">
        <v>43624</v>
      </c>
      <c r="W5153" s="5">
        <v>42355</v>
      </c>
      <c r="X5153" s="1">
        <v>1695000</v>
      </c>
      <c r="Y5153" s="1">
        <v>1695000</v>
      </c>
      <c r="Z5153" s="5">
        <v>42532</v>
      </c>
      <c r="AA5153" s="1">
        <v>1695000</v>
      </c>
      <c r="AB5153" s="1" t="s">
        <v>3589</v>
      </c>
      <c r="AC5153" s="5">
        <v>42887</v>
      </c>
      <c r="AF5153" s="1">
        <v>10005</v>
      </c>
      <c r="AI5153" s="1" t="s">
        <v>52</v>
      </c>
      <c r="AJ5153" s="1">
        <v>2016</v>
      </c>
      <c r="AK5153" s="1" t="s">
        <v>108</v>
      </c>
      <c r="AL5153" s="1">
        <v>51</v>
      </c>
    </row>
    <row r="5154" spans="1:38" x14ac:dyDescent="0.2">
      <c r="A5154" s="2" t="str">
        <f>HYPERLINK("https://www.compass.com/listing/101-wall-street-unit-6c-manhattan-ny-10005/70922970935171313/","101 Wall St, Unit 6C")</f>
        <v>101 Wall St, Unit 6C</v>
      </c>
      <c r="B5154" s="2" t="str">
        <f t="shared" si="875"/>
        <v>101 Wall St</v>
      </c>
      <c r="C5154" s="1" t="s">
        <v>96</v>
      </c>
      <c r="D5154" s="1" t="s">
        <v>41</v>
      </c>
      <c r="E5154" s="3">
        <v>1756481</v>
      </c>
      <c r="F5154" s="1">
        <v>1503.8364726027301</v>
      </c>
      <c r="G5154" s="1">
        <v>3.5</v>
      </c>
      <c r="H5154" s="1">
        <v>1</v>
      </c>
      <c r="I5154" s="1">
        <v>2</v>
      </c>
      <c r="J5154" s="1">
        <v>2</v>
      </c>
      <c r="K5154" s="1">
        <v>2</v>
      </c>
      <c r="M5154" s="4">
        <v>1168</v>
      </c>
      <c r="N5154" s="1">
        <v>1497</v>
      </c>
      <c r="O5154" s="1">
        <v>2878</v>
      </c>
      <c r="P5154" s="1">
        <v>1381</v>
      </c>
      <c r="Q5154" s="1" t="s">
        <v>42</v>
      </c>
      <c r="S5154" s="1" t="s">
        <v>42</v>
      </c>
      <c r="T5154" s="1" t="s">
        <v>273</v>
      </c>
      <c r="U5154" s="1">
        <v>143</v>
      </c>
      <c r="V5154" s="5">
        <v>43626</v>
      </c>
      <c r="W5154" s="5">
        <v>42210</v>
      </c>
      <c r="X5154" s="1">
        <v>1680000</v>
      </c>
      <c r="Y5154" s="1">
        <v>1725000</v>
      </c>
      <c r="Z5154" s="5">
        <v>42353</v>
      </c>
      <c r="AA5154" s="1">
        <v>1756481</v>
      </c>
      <c r="AB5154" s="1" t="s">
        <v>3590</v>
      </c>
      <c r="AC5154" s="5">
        <v>42844</v>
      </c>
      <c r="AF5154" s="1">
        <v>10005</v>
      </c>
      <c r="AI5154" s="1" t="s">
        <v>133</v>
      </c>
      <c r="AJ5154" s="1">
        <v>2016</v>
      </c>
      <c r="AK5154" s="1" t="s">
        <v>108</v>
      </c>
      <c r="AL5154" s="1">
        <v>51</v>
      </c>
    </row>
    <row r="5155" spans="1:38" x14ac:dyDescent="0.2">
      <c r="A5155" s="2" t="str">
        <f>HYPERLINK("https://www.compass.com/listing/101-wall-street-unit-20a-manhattan-ny-10005/70924681288430913/","101 Wall St, Unit 20A")</f>
        <v>101 Wall St, Unit 20A</v>
      </c>
      <c r="B5155" s="2" t="str">
        <f t="shared" si="875"/>
        <v>101 Wall St</v>
      </c>
      <c r="C5155" s="1" t="s">
        <v>96</v>
      </c>
      <c r="D5155" s="1" t="s">
        <v>41</v>
      </c>
      <c r="E5155" s="3">
        <v>1649565</v>
      </c>
      <c r="F5155" s="1">
        <v>1712.9439252336399</v>
      </c>
      <c r="G5155" s="1">
        <v>4</v>
      </c>
      <c r="H5155" s="1">
        <v>2</v>
      </c>
      <c r="I5155" s="1">
        <v>2</v>
      </c>
      <c r="J5155" s="1">
        <v>2</v>
      </c>
      <c r="K5155" s="1">
        <v>2</v>
      </c>
      <c r="M5155" s="1">
        <v>963</v>
      </c>
      <c r="N5155" s="1">
        <v>1139</v>
      </c>
      <c r="O5155" s="1">
        <v>2375</v>
      </c>
      <c r="P5155" s="1">
        <v>1236</v>
      </c>
      <c r="Q5155" s="1" t="s">
        <v>42</v>
      </c>
      <c r="S5155" s="1" t="s">
        <v>42</v>
      </c>
      <c r="T5155" s="1" t="s">
        <v>273</v>
      </c>
      <c r="U5155" s="1">
        <v>325</v>
      </c>
      <c r="V5155" s="5">
        <v>43662</v>
      </c>
      <c r="W5155" s="5">
        <v>42528</v>
      </c>
      <c r="X5155" s="1">
        <v>1785000</v>
      </c>
      <c r="Y5155" s="1">
        <v>1730000</v>
      </c>
      <c r="Z5155" s="5">
        <v>42853</v>
      </c>
      <c r="AA5155" s="1">
        <v>1649565</v>
      </c>
      <c r="AB5155" s="1" t="s">
        <v>3591</v>
      </c>
      <c r="AC5155" s="5">
        <v>42898</v>
      </c>
      <c r="AF5155" s="1">
        <v>10005</v>
      </c>
      <c r="AI5155" s="1" t="s">
        <v>52</v>
      </c>
      <c r="AJ5155" s="1">
        <v>2016</v>
      </c>
      <c r="AK5155" s="1" t="s">
        <v>108</v>
      </c>
      <c r="AL5155" s="1">
        <v>51</v>
      </c>
    </row>
    <row r="5156" spans="1:38" x14ac:dyDescent="0.2">
      <c r="A5156" s="2" t="str">
        <f>HYPERLINK("https://www.compass.com/listing/101-wall-street-unit-15b-manhattan-ny-10005/122402170678090913/","101 Wall St, Unit 15B")</f>
        <v>101 Wall St, Unit 15B</v>
      </c>
      <c r="B5156" s="2" t="str">
        <f t="shared" si="875"/>
        <v>101 Wall St</v>
      </c>
      <c r="C5156" s="1" t="s">
        <v>96</v>
      </c>
      <c r="D5156" s="1" t="s">
        <v>41</v>
      </c>
      <c r="E5156" s="3">
        <v>1937520</v>
      </c>
      <c r="F5156" s="1">
        <v>1367.3394495412799</v>
      </c>
      <c r="G5156" s="1">
        <v>4</v>
      </c>
      <c r="H5156" s="1">
        <v>2</v>
      </c>
      <c r="I5156" s="1">
        <v>3</v>
      </c>
      <c r="J5156" s="1">
        <v>2.5</v>
      </c>
      <c r="K5156" s="1">
        <v>2</v>
      </c>
      <c r="L5156" s="1">
        <v>1</v>
      </c>
      <c r="M5156" s="4">
        <v>1417</v>
      </c>
      <c r="N5156" s="1">
        <v>1101</v>
      </c>
      <c r="O5156" s="1">
        <v>3593</v>
      </c>
      <c r="P5156" s="1">
        <v>2492</v>
      </c>
      <c r="Q5156" s="1" t="s">
        <v>42</v>
      </c>
      <c r="S5156" s="1" t="s">
        <v>42</v>
      </c>
      <c r="T5156" s="1" t="s">
        <v>273</v>
      </c>
      <c r="U5156" s="1">
        <v>102</v>
      </c>
      <c r="V5156" s="5">
        <v>43626</v>
      </c>
      <c r="W5156" s="5">
        <v>43421</v>
      </c>
      <c r="X5156" s="1">
        <v>1950000</v>
      </c>
      <c r="Y5156" s="1">
        <v>1950000</v>
      </c>
      <c r="Z5156" s="5">
        <v>43523</v>
      </c>
      <c r="AA5156" s="1">
        <v>1937520</v>
      </c>
      <c r="AB5156" s="1" t="s">
        <v>3592</v>
      </c>
      <c r="AC5156" s="5">
        <v>43594</v>
      </c>
      <c r="AF5156" s="1">
        <v>10005</v>
      </c>
      <c r="AI5156" s="1" t="s">
        <v>52</v>
      </c>
      <c r="AJ5156" s="1">
        <v>2016</v>
      </c>
      <c r="AK5156" s="1" t="s">
        <v>108</v>
      </c>
      <c r="AL5156" s="1">
        <v>51</v>
      </c>
    </row>
    <row r="5157" spans="1:38" x14ac:dyDescent="0.2">
      <c r="A5157" s="2" t="str">
        <f>HYPERLINK("https://www.compass.com/listing/101-wall-street-unit-11c-manhattan-ny-10005/29514331116830225/","101 Wall St, Unit 11C")</f>
        <v>101 Wall St, Unit 11C</v>
      </c>
      <c r="B5157" s="2" t="str">
        <f t="shared" si="875"/>
        <v>101 Wall St</v>
      </c>
      <c r="C5157" s="1" t="s">
        <v>96</v>
      </c>
      <c r="D5157" s="1" t="s">
        <v>41</v>
      </c>
      <c r="E5157" s="3">
        <v>1525000</v>
      </c>
      <c r="F5157" s="1">
        <v>1207.44259699129</v>
      </c>
      <c r="G5157" s="1">
        <v>4</v>
      </c>
      <c r="H5157" s="1">
        <v>2</v>
      </c>
      <c r="I5157" s="1">
        <v>2</v>
      </c>
      <c r="J5157" s="1">
        <v>2</v>
      </c>
      <c r="K5157" s="1">
        <v>2</v>
      </c>
      <c r="M5157" s="4">
        <v>1263</v>
      </c>
      <c r="N5157" s="1">
        <v>985</v>
      </c>
      <c r="O5157" s="1">
        <v>3211</v>
      </c>
      <c r="P5157" s="1">
        <v>2226</v>
      </c>
      <c r="Q5157" s="1" t="s">
        <v>42</v>
      </c>
      <c r="S5157" s="1" t="s">
        <v>42</v>
      </c>
      <c r="T5157" s="1" t="s">
        <v>273</v>
      </c>
      <c r="U5157" s="1">
        <v>1237</v>
      </c>
      <c r="V5157" s="5">
        <v>43753</v>
      </c>
      <c r="W5157" s="5">
        <v>42320</v>
      </c>
      <c r="X5157" s="1">
        <v>1750000</v>
      </c>
      <c r="Y5157" s="1">
        <v>1600000</v>
      </c>
      <c r="Z5157" s="5">
        <v>43570</v>
      </c>
      <c r="AA5157" s="1">
        <v>1525000</v>
      </c>
      <c r="AB5157" s="1" t="s">
        <v>3593</v>
      </c>
      <c r="AC5157" s="5">
        <v>43605</v>
      </c>
      <c r="AF5157" s="1">
        <v>10005</v>
      </c>
      <c r="AI5157" s="1" t="s">
        <v>52</v>
      </c>
      <c r="AJ5157" s="1">
        <v>2016</v>
      </c>
      <c r="AK5157" s="1" t="s">
        <v>108</v>
      </c>
      <c r="AL5157" s="1">
        <v>51</v>
      </c>
    </row>
    <row r="5158" spans="1:38" x14ac:dyDescent="0.2">
      <c r="A5158" s="2" t="str">
        <f>HYPERLINK("https://www.compass.com/listing/101-wall-street-unit-17b-manhattan-ny-10005/29356247547476961/","101 Wall St, Unit 17B")</f>
        <v>101 Wall St, Unit 17B</v>
      </c>
      <c r="B5158" s="2" t="str">
        <f t="shared" si="875"/>
        <v>101 Wall St</v>
      </c>
      <c r="C5158" s="1" t="s">
        <v>96</v>
      </c>
      <c r="D5158" s="1" t="s">
        <v>41</v>
      </c>
      <c r="E5158" s="3">
        <v>3818438</v>
      </c>
      <c r="F5158" s="1">
        <v>1762.08491001384</v>
      </c>
      <c r="G5158" s="1">
        <v>5</v>
      </c>
      <c r="H5158" s="1">
        <v>3</v>
      </c>
      <c r="I5158" s="1">
        <v>3</v>
      </c>
      <c r="J5158" s="1">
        <v>3</v>
      </c>
      <c r="K5158" s="1">
        <v>3</v>
      </c>
      <c r="M5158" s="4">
        <v>2167</v>
      </c>
      <c r="N5158" s="1">
        <v>2748</v>
      </c>
      <c r="O5158" s="1">
        <v>5282</v>
      </c>
      <c r="P5158" s="1">
        <v>2534</v>
      </c>
      <c r="Q5158" s="1" t="s">
        <v>42</v>
      </c>
      <c r="S5158" s="1" t="s">
        <v>42</v>
      </c>
      <c r="T5158" s="1" t="s">
        <v>273</v>
      </c>
      <c r="U5158" s="1">
        <v>330</v>
      </c>
      <c r="V5158" s="5">
        <v>43626</v>
      </c>
      <c r="W5158" s="5">
        <v>42474</v>
      </c>
      <c r="X5158" s="1">
        <v>3850000</v>
      </c>
      <c r="Y5158" s="1">
        <v>3850000</v>
      </c>
      <c r="Z5158" s="5">
        <v>42804</v>
      </c>
      <c r="AA5158" s="1">
        <v>3818438</v>
      </c>
      <c r="AB5158" s="1" t="s">
        <v>3594</v>
      </c>
      <c r="AC5158" s="5">
        <v>42853</v>
      </c>
      <c r="AF5158" s="1">
        <v>10005</v>
      </c>
      <c r="AI5158" s="1" t="s">
        <v>52</v>
      </c>
      <c r="AJ5158" s="1">
        <v>2016</v>
      </c>
      <c r="AK5158" s="1" t="s">
        <v>108</v>
      </c>
      <c r="AL5158" s="1">
        <v>51</v>
      </c>
    </row>
    <row r="5159" spans="1:38" x14ac:dyDescent="0.2">
      <c r="A5159" s="2" t="str">
        <f>HYPERLINK("https://www.compass.com/listing/101-wall-street-unit-23a-manhattan-ny-10005/29514329799818721/","101 Wall St, Unit 23A")</f>
        <v>101 Wall St, Unit 23A</v>
      </c>
      <c r="B5159" s="2" t="str">
        <f t="shared" si="875"/>
        <v>101 Wall St</v>
      </c>
      <c r="C5159" s="1" t="s">
        <v>96</v>
      </c>
      <c r="D5159" s="1" t="s">
        <v>41</v>
      </c>
      <c r="E5159" s="3">
        <v>2775000</v>
      </c>
      <c r="F5159" s="1">
        <v>1545.9610027855099</v>
      </c>
      <c r="G5159" s="1">
        <v>5</v>
      </c>
      <c r="H5159" s="1">
        <v>3</v>
      </c>
      <c r="I5159" s="1">
        <v>3</v>
      </c>
      <c r="J5159" s="1">
        <v>3</v>
      </c>
      <c r="K5159" s="1">
        <v>3</v>
      </c>
      <c r="M5159" s="4">
        <v>1795</v>
      </c>
      <c r="N5159" s="1">
        <v>2351</v>
      </c>
      <c r="O5159" s="1">
        <v>5617</v>
      </c>
      <c r="P5159" s="1">
        <v>3266</v>
      </c>
      <c r="Q5159" s="1" t="s">
        <v>42</v>
      </c>
      <c r="S5159" s="1" t="s">
        <v>42</v>
      </c>
      <c r="T5159" s="1" t="s">
        <v>273</v>
      </c>
      <c r="U5159" s="1">
        <v>16</v>
      </c>
      <c r="V5159" s="5">
        <v>43626</v>
      </c>
      <c r="W5159" s="5">
        <v>43339</v>
      </c>
      <c r="X5159" s="1">
        <v>2995000</v>
      </c>
      <c r="Y5159" s="1">
        <v>2995000</v>
      </c>
      <c r="Z5159" s="5">
        <v>43355</v>
      </c>
      <c r="AA5159" s="1">
        <v>2775000</v>
      </c>
      <c r="AB5159" s="1" t="s">
        <v>3595</v>
      </c>
      <c r="AC5159" s="5">
        <v>43376</v>
      </c>
      <c r="AF5159" s="1">
        <v>10005</v>
      </c>
      <c r="AI5159" s="1" t="s">
        <v>103</v>
      </c>
      <c r="AJ5159" s="1">
        <v>2016</v>
      </c>
      <c r="AK5159" s="1" t="s">
        <v>108</v>
      </c>
      <c r="AL5159" s="1">
        <v>51</v>
      </c>
    </row>
    <row r="5160" spans="1:38" x14ac:dyDescent="0.2">
      <c r="A5160" s="2" t="str">
        <f>HYPERLINK("https://www.compass.com/listing/101-wall-street-unit-duplexb-manhattan-ny-10005/29514333247633169/","101 Wall St, Unit DUPLEXB")</f>
        <v>101 Wall St, Unit DUPLEXB</v>
      </c>
      <c r="B5160" s="2" t="str">
        <f t="shared" si="875"/>
        <v>101 Wall St</v>
      </c>
      <c r="C5160" s="1" t="s">
        <v>96</v>
      </c>
      <c r="D5160" s="1" t="s">
        <v>41</v>
      </c>
      <c r="E5160" s="3">
        <v>2500000</v>
      </c>
      <c r="F5160" s="1">
        <v>1190.4761904761899</v>
      </c>
      <c r="G5160" s="1">
        <v>6</v>
      </c>
      <c r="H5160" s="1">
        <v>4</v>
      </c>
      <c r="I5160" s="1">
        <v>4</v>
      </c>
      <c r="J5160" s="1">
        <v>4</v>
      </c>
      <c r="K5160" s="1">
        <v>4</v>
      </c>
      <c r="M5160" s="4">
        <v>2100</v>
      </c>
      <c r="N5160" s="1">
        <v>1633</v>
      </c>
      <c r="O5160" s="1">
        <v>5328</v>
      </c>
      <c r="P5160" s="1">
        <v>3695</v>
      </c>
      <c r="Q5160" s="1" t="s">
        <v>42</v>
      </c>
      <c r="S5160" s="1" t="s">
        <v>42</v>
      </c>
      <c r="T5160" s="1" t="s">
        <v>273</v>
      </c>
      <c r="U5160" s="1">
        <v>366</v>
      </c>
      <c r="V5160" s="5">
        <v>43547</v>
      </c>
      <c r="W5160" s="5">
        <v>43122</v>
      </c>
      <c r="Y5160" s="1">
        <v>2500000</v>
      </c>
      <c r="Z5160" s="5">
        <v>43502</v>
      </c>
      <c r="AA5160" s="1">
        <v>2500000</v>
      </c>
      <c r="AB5160" s="1" t="s">
        <v>275</v>
      </c>
      <c r="AC5160" s="5">
        <v>43546</v>
      </c>
      <c r="AF5160" s="1">
        <v>10005</v>
      </c>
      <c r="AI5160" s="1" t="s">
        <v>52</v>
      </c>
      <c r="AJ5160" s="1">
        <v>2016</v>
      </c>
      <c r="AK5160" s="1" t="s">
        <v>108</v>
      </c>
      <c r="AL5160" s="1">
        <v>51</v>
      </c>
    </row>
    <row r="5161" spans="1:38" x14ac:dyDescent="0.2">
      <c r="A5161" s="2" t="str">
        <f>HYPERLINK("https://www.compass.com/listing/101-wall-street-unit-22a-manhattan-ny-10005/74559868970735121/","101 Wall St, Unit 22A")</f>
        <v>101 Wall St, Unit 22A</v>
      </c>
      <c r="B5161" s="2" t="str">
        <f t="shared" si="875"/>
        <v>101 Wall St</v>
      </c>
      <c r="C5161" s="1" t="s">
        <v>96</v>
      </c>
      <c r="D5161" s="1" t="s">
        <v>41</v>
      </c>
      <c r="E5161" s="3">
        <v>3175000</v>
      </c>
      <c r="F5161" s="1">
        <v>1469.9074074073999</v>
      </c>
      <c r="G5161" s="1">
        <v>5</v>
      </c>
      <c r="H5161" s="1">
        <v>3</v>
      </c>
      <c r="I5161" s="1">
        <v>4</v>
      </c>
      <c r="J5161" s="1">
        <v>3.5</v>
      </c>
      <c r="K5161" s="1">
        <v>3</v>
      </c>
      <c r="L5161" s="1">
        <v>1</v>
      </c>
      <c r="M5161" s="4">
        <v>2160</v>
      </c>
      <c r="N5161" s="1">
        <v>1654</v>
      </c>
      <c r="O5161" s="1">
        <v>6090</v>
      </c>
      <c r="P5161" s="1">
        <v>4436</v>
      </c>
      <c r="Q5161" s="1" t="s">
        <v>42</v>
      </c>
      <c r="S5161" s="1" t="s">
        <v>42</v>
      </c>
      <c r="T5161" s="1" t="s">
        <v>273</v>
      </c>
      <c r="U5161" s="1">
        <v>887</v>
      </c>
      <c r="V5161" s="5">
        <v>43759</v>
      </c>
      <c r="W5161" s="5">
        <v>42859</v>
      </c>
      <c r="X5161" s="1">
        <v>3995000</v>
      </c>
      <c r="Y5161" s="1">
        <v>3495000</v>
      </c>
      <c r="AA5161" s="1">
        <v>3175000</v>
      </c>
      <c r="AB5161" s="1" t="s">
        <v>3596</v>
      </c>
      <c r="AC5161" s="5">
        <v>43746</v>
      </c>
      <c r="AF5161" s="1">
        <v>10005</v>
      </c>
      <c r="AI5161" s="1" t="s">
        <v>52</v>
      </c>
      <c r="AJ5161" s="1">
        <v>2016</v>
      </c>
      <c r="AK5161" s="1" t="s">
        <v>108</v>
      </c>
      <c r="AL5161" s="1">
        <v>51</v>
      </c>
    </row>
    <row r="5162" spans="1:38" x14ac:dyDescent="0.2">
      <c r="A5162" s="2" t="str">
        <f>HYPERLINK("https://www.compass.com/listing/138-east-50th-street-unit-52a-manhattan-ny-10022/333352931587374321/","138 E 50th St, Unit 52A")</f>
        <v>138 E 50th St, Unit 52A</v>
      </c>
      <c r="B5162" s="2" t="str">
        <f>HYPERLINK("https://www.compass.com/building/the-centrale-manhattan-ny/281941497232811621/","The Centrale")</f>
        <v>The Centrale</v>
      </c>
      <c r="C5162" s="1" t="s">
        <v>116</v>
      </c>
      <c r="D5162" s="1" t="s">
        <v>41</v>
      </c>
      <c r="E5162" s="3">
        <v>3550000</v>
      </c>
      <c r="F5162" s="1">
        <v>2190.0061690314601</v>
      </c>
      <c r="G5162" s="1">
        <v>4</v>
      </c>
      <c r="H5162" s="1">
        <v>2</v>
      </c>
      <c r="I5162" s="1">
        <v>3</v>
      </c>
      <c r="J5162" s="1">
        <v>2.5</v>
      </c>
      <c r="K5162" s="1">
        <v>2</v>
      </c>
      <c r="L5162" s="1">
        <v>1</v>
      </c>
      <c r="M5162" s="4">
        <v>1621</v>
      </c>
      <c r="N5162" s="1">
        <v>1851</v>
      </c>
      <c r="O5162" s="1">
        <v>5382</v>
      </c>
      <c r="P5162" s="1">
        <v>3531</v>
      </c>
      <c r="Q5162" s="1" t="s">
        <v>42</v>
      </c>
      <c r="S5162" s="1" t="s">
        <v>42</v>
      </c>
      <c r="T5162" s="1" t="s">
        <v>273</v>
      </c>
      <c r="U5162" s="1">
        <v>151</v>
      </c>
      <c r="V5162" s="5">
        <v>44314</v>
      </c>
      <c r="W5162" s="5">
        <v>43711</v>
      </c>
      <c r="X5162" s="1">
        <v>4600000</v>
      </c>
      <c r="Y5162" s="1">
        <v>4600000</v>
      </c>
      <c r="AA5162" s="1">
        <v>3550000</v>
      </c>
      <c r="AB5162" s="1" t="s">
        <v>3597</v>
      </c>
      <c r="AC5162" s="5">
        <v>44229</v>
      </c>
      <c r="AF5162" s="1">
        <v>10022</v>
      </c>
      <c r="AI5162" s="1" t="s">
        <v>118</v>
      </c>
      <c r="AJ5162" s="1">
        <v>2019</v>
      </c>
      <c r="AK5162" s="1" t="s">
        <v>55</v>
      </c>
      <c r="AL5162" s="1">
        <v>124</v>
      </c>
    </row>
    <row r="5163" spans="1:38" x14ac:dyDescent="0.2">
      <c r="A5163" s="2" t="str">
        <f>HYPERLINK("https://www.compass.com/listing/101-wall-street-unit-10b-manhattan-ny-10005/803319451407458129/","101 Wall St, Unit 10B")</f>
        <v>101 Wall St, Unit 10B</v>
      </c>
      <c r="B5163" s="2" t="str">
        <f>HYPERLINK("https://www.compass.com/building/101-wall-st-manhattan-ny-10005/292788767809355381/","101 Wall St")</f>
        <v>101 Wall St</v>
      </c>
      <c r="C5163" s="1" t="s">
        <v>96</v>
      </c>
      <c r="D5163" s="1" t="s">
        <v>41</v>
      </c>
      <c r="E5163" s="3">
        <v>2000000</v>
      </c>
      <c r="F5163" s="1">
        <v>1411.4326040931501</v>
      </c>
      <c r="G5163" s="1">
        <v>4</v>
      </c>
      <c r="H5163" s="1">
        <v>2</v>
      </c>
      <c r="I5163" s="1">
        <v>2</v>
      </c>
      <c r="J5163" s="1">
        <v>2.5</v>
      </c>
      <c r="K5163" s="1">
        <v>2</v>
      </c>
      <c r="L5163" s="1">
        <v>1</v>
      </c>
      <c r="M5163" s="4">
        <v>1417</v>
      </c>
      <c r="N5163" s="1">
        <v>1809</v>
      </c>
      <c r="O5163" s="1">
        <v>3900</v>
      </c>
      <c r="P5163" s="1">
        <v>2091</v>
      </c>
      <c r="Q5163" s="1" t="s">
        <v>42</v>
      </c>
      <c r="S5163" s="1" t="s">
        <v>42</v>
      </c>
      <c r="T5163" s="1" t="s">
        <v>273</v>
      </c>
      <c r="U5163" s="1">
        <v>528</v>
      </c>
      <c r="V5163" s="5">
        <v>43235</v>
      </c>
      <c r="W5163" s="5">
        <v>42248</v>
      </c>
      <c r="X5163" s="1">
        <v>2300000</v>
      </c>
      <c r="Y5163" s="1">
        <v>2300000</v>
      </c>
      <c r="Z5163" s="5">
        <v>42777</v>
      </c>
      <c r="AA5163" s="1">
        <v>2000000</v>
      </c>
      <c r="AB5163" s="1" t="s">
        <v>3598</v>
      </c>
      <c r="AC5163" s="5">
        <v>43349</v>
      </c>
      <c r="AF5163" s="1">
        <v>10005</v>
      </c>
      <c r="AI5163" s="1" t="s">
        <v>52</v>
      </c>
      <c r="AJ5163" s="1">
        <v>2016</v>
      </c>
      <c r="AK5163" s="1" t="s">
        <v>108</v>
      </c>
      <c r="AL5163" s="1">
        <v>51</v>
      </c>
    </row>
    <row r="5164" spans="1:38" x14ac:dyDescent="0.2">
      <c r="A5164" s="2" t="str">
        <f>HYPERLINK("https://www.compass.com/listing/138-east-50th-street-unit-54a-manhattan-ny-10022/754442559617500585/","138 E 50th St, Unit 54A")</f>
        <v>138 E 50th St, Unit 54A</v>
      </c>
      <c r="B5164" s="2" t="str">
        <f>HYPERLINK("https://www.compass.com/building/the-centrale-manhattan-ny/281941497232811621/","The Centrale")</f>
        <v>The Centrale</v>
      </c>
      <c r="C5164" s="1" t="s">
        <v>116</v>
      </c>
      <c r="D5164" s="1" t="s">
        <v>41</v>
      </c>
      <c r="E5164" s="3">
        <v>3800000</v>
      </c>
      <c r="F5164" s="1">
        <v>2344.2319555829699</v>
      </c>
      <c r="G5164" s="1">
        <v>4.5</v>
      </c>
      <c r="H5164" s="1">
        <v>2</v>
      </c>
      <c r="I5164" s="1">
        <v>3</v>
      </c>
      <c r="J5164" s="1">
        <v>2.5</v>
      </c>
      <c r="K5164" s="1">
        <v>2</v>
      </c>
      <c r="L5164" s="1">
        <v>1</v>
      </c>
      <c r="M5164" s="4">
        <v>1621</v>
      </c>
      <c r="N5164" s="1">
        <v>1866</v>
      </c>
      <c r="O5164" s="1">
        <v>4646</v>
      </c>
      <c r="P5164" s="1">
        <v>2780</v>
      </c>
      <c r="Q5164" s="1" t="s">
        <v>42</v>
      </c>
      <c r="S5164" s="1" t="s">
        <v>42</v>
      </c>
      <c r="T5164" s="1" t="s">
        <v>273</v>
      </c>
      <c r="V5164" s="5">
        <v>44355</v>
      </c>
      <c r="W5164" s="5">
        <v>44292</v>
      </c>
      <c r="Y5164" s="1">
        <v>4800000</v>
      </c>
      <c r="Z5164" s="5">
        <v>44293</v>
      </c>
      <c r="AA5164" s="1">
        <v>3800000</v>
      </c>
      <c r="AB5164" s="1" t="s">
        <v>3599</v>
      </c>
      <c r="AC5164" s="5">
        <v>44337</v>
      </c>
      <c r="AF5164" s="1">
        <v>10022</v>
      </c>
      <c r="AI5164" s="1" t="s">
        <v>48</v>
      </c>
      <c r="AJ5164" s="1">
        <v>2019</v>
      </c>
      <c r="AK5164" s="1" t="s">
        <v>55</v>
      </c>
      <c r="AL5164" s="1">
        <v>124</v>
      </c>
    </row>
    <row r="5165" spans="1:38" x14ac:dyDescent="0.2">
      <c r="A5165" s="2" t="str">
        <f>HYPERLINK("https://www.compass.com/listing/101-wall-street-unit-phb-manhattan-ny-10005/29514330714273457/","101 Wall St, Unit PHB")</f>
        <v>101 Wall St, Unit PHB</v>
      </c>
      <c r="B5165" s="2" t="str">
        <f t="shared" ref="B5165:B5169" si="876">HYPERLINK("https://www.compass.com/building/101-wall-st-manhattan-ny-10005/292788767809355381/","101 Wall St")</f>
        <v>101 Wall St</v>
      </c>
      <c r="C5165" s="1" t="s">
        <v>96</v>
      </c>
      <c r="D5165" s="1" t="s">
        <v>41</v>
      </c>
      <c r="E5165" s="3">
        <v>5250000</v>
      </c>
      <c r="F5165" s="1">
        <v>1668.78575969485</v>
      </c>
      <c r="G5165" s="1">
        <v>6</v>
      </c>
      <c r="H5165" s="1">
        <v>4</v>
      </c>
      <c r="I5165" s="1">
        <v>5</v>
      </c>
      <c r="J5165" s="1">
        <v>4.5</v>
      </c>
      <c r="K5165" s="1">
        <v>4</v>
      </c>
      <c r="L5165" s="1">
        <v>1</v>
      </c>
      <c r="M5165" s="4">
        <v>3146</v>
      </c>
      <c r="N5165" s="1">
        <v>4065</v>
      </c>
      <c r="O5165" s="1">
        <v>8765</v>
      </c>
      <c r="P5165" s="1">
        <v>4700</v>
      </c>
      <c r="Q5165" s="1" t="s">
        <v>42</v>
      </c>
      <c r="S5165" s="1" t="s">
        <v>42</v>
      </c>
      <c r="T5165" s="1" t="s">
        <v>273</v>
      </c>
      <c r="U5165" s="1">
        <v>32</v>
      </c>
      <c r="V5165" s="5">
        <v>43671</v>
      </c>
      <c r="W5165" s="5">
        <v>43234</v>
      </c>
      <c r="X5165" s="1">
        <v>5495000</v>
      </c>
      <c r="Y5165" s="1">
        <v>5495000</v>
      </c>
      <c r="Z5165" s="5">
        <v>43266</v>
      </c>
      <c r="AA5165" s="1">
        <v>5250000</v>
      </c>
      <c r="AB5165" s="1" t="s">
        <v>3600</v>
      </c>
      <c r="AC5165" s="5">
        <v>43371</v>
      </c>
      <c r="AF5165" s="1">
        <v>10005</v>
      </c>
      <c r="AI5165" s="1" t="s">
        <v>3601</v>
      </c>
      <c r="AJ5165" s="1">
        <v>2016</v>
      </c>
      <c r="AK5165" s="1" t="s">
        <v>108</v>
      </c>
      <c r="AL5165" s="1">
        <v>51</v>
      </c>
    </row>
    <row r="5166" spans="1:38" x14ac:dyDescent="0.2">
      <c r="A5166" s="2" t="str">
        <f>HYPERLINK("https://www.compass.com/listing/101-wall-street-unit-duplexc-manhattan-ny-10005/122364650649065585/","101 Wall St, Unit DUPLEXC")</f>
        <v>101 Wall St, Unit DUPLEXC</v>
      </c>
      <c r="B5166" s="2" t="str">
        <f t="shared" si="876"/>
        <v>101 Wall St</v>
      </c>
      <c r="C5166" s="1" t="s">
        <v>96</v>
      </c>
      <c r="D5166" s="1" t="s">
        <v>41</v>
      </c>
      <c r="E5166" s="3">
        <v>1985000</v>
      </c>
      <c r="F5166" s="1">
        <v>1049.1543340380499</v>
      </c>
      <c r="G5166" s="1">
        <v>5</v>
      </c>
      <c r="H5166" s="1">
        <v>3</v>
      </c>
      <c r="I5166" s="1">
        <v>3</v>
      </c>
      <c r="J5166" s="1">
        <v>3</v>
      </c>
      <c r="K5166" s="1">
        <v>3</v>
      </c>
      <c r="M5166" s="4">
        <v>1892</v>
      </c>
      <c r="N5166" s="1">
        <v>1452</v>
      </c>
      <c r="O5166" s="1">
        <v>4756</v>
      </c>
      <c r="P5166" s="1">
        <v>3304</v>
      </c>
      <c r="Q5166" s="1" t="s">
        <v>42</v>
      </c>
      <c r="S5166" s="1" t="s">
        <v>42</v>
      </c>
      <c r="T5166" s="1" t="s">
        <v>273</v>
      </c>
      <c r="U5166" s="1">
        <v>118</v>
      </c>
      <c r="V5166" s="5">
        <v>43626</v>
      </c>
      <c r="W5166" s="5">
        <v>43421</v>
      </c>
      <c r="X5166" s="1">
        <v>2000000</v>
      </c>
      <c r="Y5166" s="1">
        <v>2000000</v>
      </c>
      <c r="Z5166" s="5">
        <v>43539</v>
      </c>
      <c r="AA5166" s="1">
        <v>1985000</v>
      </c>
      <c r="AB5166" s="1" t="s">
        <v>3602</v>
      </c>
      <c r="AC5166" s="5">
        <v>43585</v>
      </c>
      <c r="AF5166" s="1">
        <v>10005</v>
      </c>
      <c r="AI5166" s="1" t="s">
        <v>52</v>
      </c>
      <c r="AJ5166" s="1">
        <v>2016</v>
      </c>
      <c r="AK5166" s="1" t="s">
        <v>108</v>
      </c>
      <c r="AL5166" s="1">
        <v>51</v>
      </c>
    </row>
    <row r="5167" spans="1:38" x14ac:dyDescent="0.2">
      <c r="A5167" s="2" t="str">
        <f>HYPERLINK("https://www.compass.com/listing/101-wall-street-unit-duplexa-manhattan-ny-10005/89674419831686049/","101 Wall St, Unit DUPLEXA")</f>
        <v>101 Wall St, Unit DUPLEXA</v>
      </c>
      <c r="B5167" s="2" t="str">
        <f t="shared" si="876"/>
        <v>101 Wall St</v>
      </c>
      <c r="C5167" s="1" t="s">
        <v>96</v>
      </c>
      <c r="D5167" s="1" t="s">
        <v>41</v>
      </c>
      <c r="E5167" s="3">
        <v>2000000</v>
      </c>
      <c r="F5167" s="1">
        <v>1104.9723756906001</v>
      </c>
      <c r="G5167" s="1">
        <v>5</v>
      </c>
      <c r="H5167" s="1">
        <v>3</v>
      </c>
      <c r="I5167" s="1">
        <v>3</v>
      </c>
      <c r="J5167" s="1">
        <v>3</v>
      </c>
      <c r="K5167" s="1">
        <v>3</v>
      </c>
      <c r="M5167" s="4">
        <v>1810</v>
      </c>
      <c r="N5167" s="1">
        <v>1392</v>
      </c>
      <c r="O5167" s="1">
        <v>5117</v>
      </c>
      <c r="P5167" s="1">
        <v>3725</v>
      </c>
      <c r="Q5167" s="1" t="s">
        <v>42</v>
      </c>
      <c r="S5167" s="1" t="s">
        <v>42</v>
      </c>
      <c r="T5167" s="1" t="s">
        <v>273</v>
      </c>
      <c r="U5167" s="1">
        <v>216</v>
      </c>
      <c r="V5167" s="5">
        <v>43851</v>
      </c>
      <c r="W5167" s="5">
        <v>43375</v>
      </c>
      <c r="X5167" s="1">
        <v>2250000</v>
      </c>
      <c r="Y5167" s="1">
        <v>2000000</v>
      </c>
      <c r="Z5167" s="5">
        <v>43777</v>
      </c>
      <c r="AA5167" s="1">
        <v>2000000</v>
      </c>
      <c r="AB5167" s="1" t="s">
        <v>275</v>
      </c>
      <c r="AC5167" s="5">
        <v>43837</v>
      </c>
      <c r="AF5167" s="1">
        <v>10005</v>
      </c>
      <c r="AI5167" s="1" t="s">
        <v>52</v>
      </c>
      <c r="AJ5167" s="1">
        <v>2016</v>
      </c>
      <c r="AK5167" s="1" t="s">
        <v>108</v>
      </c>
      <c r="AL5167" s="1">
        <v>51</v>
      </c>
    </row>
    <row r="5168" spans="1:38" x14ac:dyDescent="0.2">
      <c r="A5168" s="2" t="str">
        <f>HYPERLINK("https://www.compass.com/listing/101-wall-street-unit-10b-manhattan-ny-10005/29514331595022753/","101 Wall St, Unit 10B")</f>
        <v>101 Wall St, Unit 10B</v>
      </c>
      <c r="B5168" s="2" t="str">
        <f t="shared" si="876"/>
        <v>101 Wall St</v>
      </c>
      <c r="C5168" s="1" t="s">
        <v>96</v>
      </c>
      <c r="D5168" s="1" t="s">
        <v>41</v>
      </c>
      <c r="E5168" s="3">
        <v>2000000</v>
      </c>
      <c r="F5168" s="1">
        <v>1411.4326040931501</v>
      </c>
      <c r="G5168" s="1">
        <v>4</v>
      </c>
      <c r="H5168" s="1">
        <v>2</v>
      </c>
      <c r="I5168" s="1">
        <v>3</v>
      </c>
      <c r="J5168" s="1">
        <v>2.5</v>
      </c>
      <c r="K5168" s="1">
        <v>2</v>
      </c>
      <c r="L5168" s="1">
        <v>1</v>
      </c>
      <c r="M5168" s="4">
        <v>1417</v>
      </c>
      <c r="N5168" s="1">
        <v>1809</v>
      </c>
      <c r="O5168" s="1">
        <v>3900</v>
      </c>
      <c r="P5168" s="1">
        <v>2091</v>
      </c>
      <c r="Q5168" s="1" t="s">
        <v>42</v>
      </c>
      <c r="S5168" s="1" t="s">
        <v>42</v>
      </c>
      <c r="T5168" s="1" t="s">
        <v>273</v>
      </c>
      <c r="U5168" s="1">
        <v>1</v>
      </c>
      <c r="V5168" s="5">
        <v>43626</v>
      </c>
      <c r="W5168" s="5">
        <v>43234</v>
      </c>
      <c r="X5168" s="1">
        <v>2000000</v>
      </c>
      <c r="Y5168" s="1">
        <v>2000000</v>
      </c>
      <c r="Z5168" s="5">
        <v>43307</v>
      </c>
      <c r="AA5168" s="1">
        <v>2000000</v>
      </c>
      <c r="AB5168" s="1" t="s">
        <v>3598</v>
      </c>
      <c r="AC5168" s="5">
        <v>43349</v>
      </c>
      <c r="AF5168" s="1">
        <v>10005</v>
      </c>
      <c r="AI5168" s="1" t="s">
        <v>52</v>
      </c>
      <c r="AJ5168" s="1">
        <v>2016</v>
      </c>
      <c r="AK5168" s="1" t="s">
        <v>108</v>
      </c>
      <c r="AL5168" s="1">
        <v>51</v>
      </c>
    </row>
    <row r="5169" spans="1:38" x14ac:dyDescent="0.2">
      <c r="A5169" s="2" t="str">
        <f>HYPERLINK("https://www.compass.com/listing/101-wall-street-unit-9b-manhattan-ny-10005/29514332853314001/","101 Wall St, Unit 9B")</f>
        <v>101 Wall St, Unit 9B</v>
      </c>
      <c r="B5169" s="2" t="str">
        <f t="shared" si="876"/>
        <v>101 Wall St</v>
      </c>
      <c r="C5169" s="1" t="s">
        <v>96</v>
      </c>
      <c r="D5169" s="1" t="s">
        <v>41</v>
      </c>
      <c r="E5169" s="3">
        <v>2000000</v>
      </c>
      <c r="F5169" s="1">
        <v>1322.75132275132</v>
      </c>
      <c r="G5169" s="1">
        <v>4</v>
      </c>
      <c r="H5169" s="1">
        <v>2</v>
      </c>
      <c r="I5169" s="1">
        <v>3</v>
      </c>
      <c r="J5169" s="1">
        <v>2.5</v>
      </c>
      <c r="K5169" s="1">
        <v>2</v>
      </c>
      <c r="L5169" s="1">
        <v>1</v>
      </c>
      <c r="M5169" s="4">
        <v>1512</v>
      </c>
      <c r="N5169" s="1">
        <v>1928</v>
      </c>
      <c r="O5169" s="1">
        <v>4606</v>
      </c>
      <c r="P5169" s="1">
        <v>2678</v>
      </c>
      <c r="Q5169" s="1" t="s">
        <v>42</v>
      </c>
      <c r="S5169" s="1" t="s">
        <v>42</v>
      </c>
      <c r="T5169" s="1" t="s">
        <v>273</v>
      </c>
      <c r="U5169" s="1">
        <v>123</v>
      </c>
      <c r="V5169" s="5">
        <v>43626</v>
      </c>
      <c r="W5169" s="5">
        <v>43339</v>
      </c>
      <c r="X5169" s="1">
        <v>2300000</v>
      </c>
      <c r="Y5169" s="1">
        <v>2300000</v>
      </c>
      <c r="Z5169" s="5">
        <v>43462</v>
      </c>
      <c r="AA5169" s="1">
        <v>2000000</v>
      </c>
      <c r="AB5169" s="1" t="s">
        <v>3603</v>
      </c>
      <c r="AC5169" s="5">
        <v>43523</v>
      </c>
      <c r="AF5169" s="1">
        <v>10005</v>
      </c>
      <c r="AI5169" s="1" t="s">
        <v>52</v>
      </c>
      <c r="AJ5169" s="1">
        <v>2016</v>
      </c>
      <c r="AK5169" s="1" t="s">
        <v>108</v>
      </c>
      <c r="AL5169" s="1">
        <v>51</v>
      </c>
    </row>
    <row r="5170" spans="1:38" x14ac:dyDescent="0.2">
      <c r="A5170" s="2" t="str">
        <f>HYPERLINK("https://www.compass.com/listing/138-east-50th-street-unit-35a-manhattan-ny-10022/591360275327060025/","138 E 50th St, Unit 35A")</f>
        <v>138 E 50th St, Unit 35A</v>
      </c>
      <c r="B5170" s="2" t="str">
        <f t="shared" ref="B5170:B5172" si="877">HYPERLINK("https://www.compass.com/building/the-centrale-manhattan-ny/281941497232811621/","The Centrale")</f>
        <v>The Centrale</v>
      </c>
      <c r="C5170" s="1" t="s">
        <v>116</v>
      </c>
      <c r="D5170" s="1" t="s">
        <v>41</v>
      </c>
      <c r="E5170" s="3">
        <v>3100000</v>
      </c>
      <c r="F5170" s="1">
        <v>2027.46893394375</v>
      </c>
      <c r="G5170" s="1">
        <v>4</v>
      </c>
      <c r="H5170" s="1">
        <v>2</v>
      </c>
      <c r="I5170" s="1">
        <v>3</v>
      </c>
      <c r="J5170" s="1">
        <v>2.5</v>
      </c>
      <c r="K5170" s="1">
        <v>2</v>
      </c>
      <c r="L5170" s="1">
        <v>1</v>
      </c>
      <c r="M5170" s="4">
        <v>1529</v>
      </c>
      <c r="N5170" s="1">
        <v>1656</v>
      </c>
      <c r="O5170" s="1">
        <v>4123</v>
      </c>
      <c r="P5170" s="1">
        <v>2467</v>
      </c>
      <c r="Q5170" s="1" t="s">
        <v>42</v>
      </c>
      <c r="S5170" s="1" t="s">
        <v>42</v>
      </c>
      <c r="T5170" s="1" t="s">
        <v>273</v>
      </c>
      <c r="V5170" s="5">
        <v>44427</v>
      </c>
      <c r="W5170" s="5">
        <v>44067</v>
      </c>
      <c r="X5170" s="1">
        <v>3495000</v>
      </c>
      <c r="Y5170" s="1">
        <v>3495000</v>
      </c>
      <c r="Z5170" s="5">
        <v>44067</v>
      </c>
      <c r="AA5170" s="1">
        <v>3100000</v>
      </c>
      <c r="AB5170" s="1" t="s">
        <v>3604</v>
      </c>
      <c r="AC5170" s="5">
        <v>44371</v>
      </c>
      <c r="AF5170" s="1">
        <v>10022</v>
      </c>
      <c r="AI5170" s="1" t="s">
        <v>48</v>
      </c>
      <c r="AJ5170" s="1">
        <v>2019</v>
      </c>
      <c r="AK5170" s="1" t="s">
        <v>55</v>
      </c>
      <c r="AL5170" s="1">
        <v>124</v>
      </c>
    </row>
    <row r="5171" spans="1:38" x14ac:dyDescent="0.2">
      <c r="A5171" s="2" t="str">
        <f>HYPERLINK("https://www.compass.com/listing/138-east-50th-street-unit-51a-manhattan-ny-10022/591415361453429657/","138 E 50th St, Unit 51A")</f>
        <v>138 E 50th St, Unit 51A</v>
      </c>
      <c r="B5171" s="2" t="str">
        <f t="shared" si="877"/>
        <v>The Centrale</v>
      </c>
      <c r="C5171" s="1" t="s">
        <v>116</v>
      </c>
      <c r="D5171" s="1" t="s">
        <v>41</v>
      </c>
      <c r="E5171" s="3">
        <v>3650000</v>
      </c>
      <c r="F5171" s="1">
        <v>2251.6964836520601</v>
      </c>
      <c r="G5171" s="1">
        <v>5.5</v>
      </c>
      <c r="H5171" s="1">
        <v>2</v>
      </c>
      <c r="I5171" s="1">
        <v>3</v>
      </c>
      <c r="J5171" s="1">
        <v>2.5</v>
      </c>
      <c r="K5171" s="1">
        <v>2</v>
      </c>
      <c r="L5171" s="1">
        <v>1</v>
      </c>
      <c r="M5171" s="4">
        <v>1621</v>
      </c>
      <c r="N5171" s="1">
        <v>1849</v>
      </c>
      <c r="O5171" s="1">
        <v>4604</v>
      </c>
      <c r="P5171" s="1">
        <v>2755</v>
      </c>
      <c r="Q5171" s="1" t="s">
        <v>42</v>
      </c>
      <c r="S5171" s="1" t="s">
        <v>42</v>
      </c>
      <c r="T5171" s="1" t="s">
        <v>273</v>
      </c>
      <c r="U5171" s="1">
        <v>102</v>
      </c>
      <c r="V5171" s="5">
        <v>44314</v>
      </c>
      <c r="W5171" s="5">
        <v>44067</v>
      </c>
      <c r="X5171" s="1">
        <v>4190000</v>
      </c>
      <c r="Y5171" s="1">
        <v>4190000</v>
      </c>
      <c r="Z5171" s="5">
        <v>44170</v>
      </c>
      <c r="AA5171" s="1">
        <v>3650000</v>
      </c>
      <c r="AB5171" s="1" t="s">
        <v>3605</v>
      </c>
      <c r="AC5171" s="5">
        <v>44270</v>
      </c>
      <c r="AF5171" s="1">
        <v>10022</v>
      </c>
      <c r="AI5171" s="1" t="s">
        <v>48</v>
      </c>
      <c r="AJ5171" s="1">
        <v>2019</v>
      </c>
      <c r="AK5171" s="1" t="s">
        <v>55</v>
      </c>
      <c r="AL5171" s="1">
        <v>124</v>
      </c>
    </row>
    <row r="5172" spans="1:38" x14ac:dyDescent="0.2">
      <c r="A5172" s="2" t="str">
        <f>HYPERLINK("https://www.compass.com/listing/138-east-50th-street-unit-53a-manhattan-ny-10022/441873147600408697/","138 E 50th St, Unit 53A")</f>
        <v>138 E 50th St, Unit 53A</v>
      </c>
      <c r="B5172" s="2" t="str">
        <f t="shared" si="877"/>
        <v>The Centrale</v>
      </c>
      <c r="C5172" s="1" t="s">
        <v>116</v>
      </c>
      <c r="D5172" s="1" t="s">
        <v>41</v>
      </c>
      <c r="E5172" s="3">
        <v>3704750</v>
      </c>
      <c r="F5172" s="1">
        <v>2264.5171149144198</v>
      </c>
      <c r="G5172" s="1">
        <v>5.5</v>
      </c>
      <c r="H5172" s="1">
        <v>2</v>
      </c>
      <c r="I5172" s="1">
        <v>3</v>
      </c>
      <c r="J5172" s="1">
        <v>2.5</v>
      </c>
      <c r="K5172" s="1">
        <v>2</v>
      </c>
      <c r="L5172" s="1">
        <v>1</v>
      </c>
      <c r="M5172" s="4">
        <v>1636</v>
      </c>
      <c r="N5172" s="1">
        <v>1874</v>
      </c>
      <c r="O5172" s="1">
        <v>5449</v>
      </c>
      <c r="P5172" s="1">
        <v>3575</v>
      </c>
      <c r="Q5172" s="1" t="s">
        <v>42</v>
      </c>
      <c r="S5172" s="1" t="s">
        <v>42</v>
      </c>
      <c r="T5172" s="1" t="s">
        <v>273</v>
      </c>
      <c r="U5172" s="1">
        <v>113</v>
      </c>
      <c r="V5172" s="5">
        <v>44396</v>
      </c>
      <c r="W5172" s="5">
        <v>43860</v>
      </c>
      <c r="AA5172" s="1">
        <v>3704750</v>
      </c>
      <c r="AB5172" s="1" t="s">
        <v>3606</v>
      </c>
      <c r="AC5172" s="5">
        <v>44260</v>
      </c>
      <c r="AF5172" s="1">
        <v>10022</v>
      </c>
      <c r="AI5172" s="1" t="s">
        <v>48</v>
      </c>
      <c r="AJ5172" s="1">
        <v>2019</v>
      </c>
      <c r="AK5172" s="1" t="s">
        <v>55</v>
      </c>
      <c r="AL5172" s="1">
        <v>124</v>
      </c>
    </row>
    <row r="5173" spans="1:38" x14ac:dyDescent="0.2">
      <c r="A5173" s="2" t="str">
        <f>HYPERLINK("https://www.compass.com/listing/220-central-park-south-unit-31a-manhattan-ny-10019/140280399044555073/","220 Central Park S, Unit 31A")</f>
        <v>220 Central Park S, Unit 31A</v>
      </c>
      <c r="B5173" s="2" t="str">
        <f t="shared" ref="B5173:B5185" si="878">HYPERLINK("https://www.compass.com/building/220-central-park-south-manhattan-ny/281944232648828453/","220 Central Park South")</f>
        <v>220 Central Park South</v>
      </c>
      <c r="C5173" s="1" t="s">
        <v>260</v>
      </c>
      <c r="D5173" s="1" t="s">
        <v>41</v>
      </c>
      <c r="E5173" s="3">
        <v>26219938</v>
      </c>
      <c r="F5173" s="1">
        <v>7080.7285984337004</v>
      </c>
      <c r="G5173" s="1">
        <v>6</v>
      </c>
      <c r="H5173" s="1">
        <v>4</v>
      </c>
      <c r="I5173" s="1">
        <v>5</v>
      </c>
      <c r="J5173" s="1">
        <v>4.5</v>
      </c>
      <c r="K5173" s="1">
        <v>4</v>
      </c>
      <c r="L5173" s="1">
        <v>1</v>
      </c>
      <c r="M5173" s="4">
        <v>3703</v>
      </c>
      <c r="N5173" s="1">
        <v>7022</v>
      </c>
      <c r="O5173" s="1">
        <v>15699</v>
      </c>
      <c r="P5173" s="1">
        <v>8677</v>
      </c>
      <c r="Q5173" s="1" t="s">
        <v>42</v>
      </c>
      <c r="S5173" s="1" t="s">
        <v>42</v>
      </c>
      <c r="T5173" s="1" t="s">
        <v>273</v>
      </c>
      <c r="V5173" s="5">
        <v>43806</v>
      </c>
      <c r="W5173" s="5">
        <v>42110</v>
      </c>
      <c r="X5173" s="1">
        <v>25750000</v>
      </c>
      <c r="Y5173" s="1">
        <v>25750000</v>
      </c>
      <c r="Z5173" s="5">
        <v>42110</v>
      </c>
      <c r="AA5173" s="1">
        <v>26219938</v>
      </c>
      <c r="AB5173" s="1" t="s">
        <v>3607</v>
      </c>
      <c r="AC5173" s="5">
        <v>43440</v>
      </c>
      <c r="AF5173" s="1">
        <v>10019</v>
      </c>
      <c r="AI5173" s="1" t="s">
        <v>101</v>
      </c>
      <c r="AJ5173" s="1">
        <v>2018</v>
      </c>
      <c r="AK5173" s="1" t="s">
        <v>46</v>
      </c>
      <c r="AL5173" s="1">
        <v>117</v>
      </c>
    </row>
    <row r="5174" spans="1:38" x14ac:dyDescent="0.2">
      <c r="A5174" s="2" t="str">
        <f>HYPERLINK("https://www.compass.com/listing/220-central-park-south-unit-28a-manhattan-ny-10019/143181222514888785/","220 Central Park S, Unit 28A")</f>
        <v>220 Central Park S, Unit 28A</v>
      </c>
      <c r="B5174" s="2" t="str">
        <f t="shared" si="878"/>
        <v>220 Central Park South</v>
      </c>
      <c r="C5174" s="1" t="s">
        <v>260</v>
      </c>
      <c r="D5174" s="1" t="s">
        <v>41</v>
      </c>
      <c r="E5174" s="3">
        <v>28409175</v>
      </c>
      <c r="F5174" s="1">
        <v>7671.9349176343503</v>
      </c>
      <c r="G5174" s="1">
        <v>6</v>
      </c>
      <c r="H5174" s="1">
        <v>4</v>
      </c>
      <c r="I5174" s="1">
        <v>5</v>
      </c>
      <c r="J5174" s="1">
        <v>4.5</v>
      </c>
      <c r="K5174" s="1">
        <v>4</v>
      </c>
      <c r="L5174" s="1">
        <v>1</v>
      </c>
      <c r="M5174" s="4">
        <v>3703</v>
      </c>
      <c r="N5174" s="1">
        <v>6973</v>
      </c>
      <c r="O5174" s="1">
        <v>15590</v>
      </c>
      <c r="P5174" s="1">
        <v>8617</v>
      </c>
      <c r="Q5174" s="1" t="s">
        <v>42</v>
      </c>
      <c r="S5174" s="1" t="s">
        <v>42</v>
      </c>
      <c r="T5174" s="1" t="s">
        <v>273</v>
      </c>
      <c r="V5174" s="5">
        <v>43808</v>
      </c>
      <c r="W5174" s="5">
        <v>42768</v>
      </c>
      <c r="X5174" s="1">
        <v>27900000</v>
      </c>
      <c r="Y5174" s="1">
        <v>27900000</v>
      </c>
      <c r="Z5174" s="5">
        <v>42768</v>
      </c>
      <c r="AA5174" s="1">
        <v>28409175</v>
      </c>
      <c r="AB5174" s="1" t="s">
        <v>3608</v>
      </c>
      <c r="AC5174" s="5">
        <v>43444</v>
      </c>
      <c r="AF5174" s="1">
        <v>10019</v>
      </c>
      <c r="AI5174" s="1" t="s">
        <v>101</v>
      </c>
      <c r="AJ5174" s="1">
        <v>2018</v>
      </c>
      <c r="AK5174" s="1" t="s">
        <v>46</v>
      </c>
      <c r="AL5174" s="1">
        <v>117</v>
      </c>
    </row>
    <row r="5175" spans="1:38" x14ac:dyDescent="0.2">
      <c r="A5175" s="2" t="str">
        <f>HYPERLINK("https://www.compass.com/listing/220-central-park-south-unit-29a-manhattan-ny-10019/146081655780623329/","220 Central Park S, Unit 29A")</f>
        <v>220 Central Park S, Unit 29A</v>
      </c>
      <c r="B5175" s="2" t="str">
        <f t="shared" si="878"/>
        <v>220 Central Park South</v>
      </c>
      <c r="C5175" s="1" t="s">
        <v>260</v>
      </c>
      <c r="D5175" s="1" t="s">
        <v>41</v>
      </c>
      <c r="E5175" s="3">
        <v>28483063</v>
      </c>
      <c r="F5175" s="1">
        <v>7691.8884688090702</v>
      </c>
      <c r="G5175" s="1">
        <v>6</v>
      </c>
      <c r="H5175" s="1">
        <v>4</v>
      </c>
      <c r="I5175" s="1">
        <v>5</v>
      </c>
      <c r="J5175" s="1">
        <v>4.5</v>
      </c>
      <c r="K5175" s="1">
        <v>4</v>
      </c>
      <c r="L5175" s="1">
        <v>1</v>
      </c>
      <c r="M5175" s="4">
        <v>3703</v>
      </c>
      <c r="N5175" s="1">
        <v>6989</v>
      </c>
      <c r="O5175" s="1">
        <v>15626</v>
      </c>
      <c r="P5175" s="1">
        <v>8637</v>
      </c>
      <c r="Q5175" s="1" t="s">
        <v>42</v>
      </c>
      <c r="S5175" s="1" t="s">
        <v>42</v>
      </c>
      <c r="T5175" s="1" t="s">
        <v>273</v>
      </c>
      <c r="V5175" s="5">
        <v>43806</v>
      </c>
      <c r="W5175" s="5">
        <v>42147</v>
      </c>
      <c r="X5175" s="1">
        <v>28250000</v>
      </c>
      <c r="Y5175" s="1">
        <v>28250000</v>
      </c>
      <c r="Z5175" s="5">
        <v>42147</v>
      </c>
      <c r="AA5175" s="1">
        <v>28483063</v>
      </c>
      <c r="AB5175" s="1" t="s">
        <v>3609</v>
      </c>
      <c r="AC5175" s="5">
        <v>43449</v>
      </c>
      <c r="AF5175" s="1">
        <v>10019</v>
      </c>
      <c r="AI5175" s="1" t="s">
        <v>101</v>
      </c>
      <c r="AJ5175" s="1">
        <v>2018</v>
      </c>
      <c r="AK5175" s="1" t="s">
        <v>46</v>
      </c>
      <c r="AL5175" s="1">
        <v>117</v>
      </c>
    </row>
    <row r="5176" spans="1:38" x14ac:dyDescent="0.2">
      <c r="A5176" s="2" t="str">
        <f>HYPERLINK("https://www.compass.com/listing/220-central-park-south-unit-30a-manhattan-ny-10019/146081656057493889/","220 Central Park S, Unit 30A")</f>
        <v>220 Central Park S, Unit 30A</v>
      </c>
      <c r="B5176" s="2" t="str">
        <f t="shared" si="878"/>
        <v>220 Central Park South</v>
      </c>
      <c r="C5176" s="1" t="s">
        <v>260</v>
      </c>
      <c r="D5176" s="1" t="s">
        <v>41</v>
      </c>
      <c r="E5176" s="3">
        <v>29121950</v>
      </c>
      <c r="F5176" s="1">
        <v>7864.4207399405796</v>
      </c>
      <c r="G5176" s="1">
        <v>6</v>
      </c>
      <c r="H5176" s="1">
        <v>4</v>
      </c>
      <c r="I5176" s="1">
        <v>5</v>
      </c>
      <c r="J5176" s="1">
        <v>4.5</v>
      </c>
      <c r="K5176" s="1">
        <v>4</v>
      </c>
      <c r="L5176" s="1">
        <v>1</v>
      </c>
      <c r="M5176" s="4">
        <v>3703</v>
      </c>
      <c r="N5176" s="1">
        <v>7005</v>
      </c>
      <c r="O5176" s="1">
        <v>15662</v>
      </c>
      <c r="P5176" s="1">
        <v>8657</v>
      </c>
      <c r="Q5176" s="1" t="s">
        <v>42</v>
      </c>
      <c r="S5176" s="1" t="s">
        <v>42</v>
      </c>
      <c r="T5176" s="1" t="s">
        <v>273</v>
      </c>
      <c r="V5176" s="5">
        <v>43806</v>
      </c>
      <c r="W5176" s="5">
        <v>42201</v>
      </c>
      <c r="X5176" s="1">
        <v>28600000</v>
      </c>
      <c r="Y5176" s="1">
        <v>28600000</v>
      </c>
      <c r="Z5176" s="5">
        <v>42201</v>
      </c>
      <c r="AA5176" s="1">
        <v>29121950</v>
      </c>
      <c r="AB5176" s="1" t="s">
        <v>3610</v>
      </c>
      <c r="AC5176" s="5">
        <v>43444</v>
      </c>
      <c r="AF5176" s="1">
        <v>10019</v>
      </c>
      <c r="AI5176" s="1" t="s">
        <v>101</v>
      </c>
      <c r="AJ5176" s="1">
        <v>2018</v>
      </c>
      <c r="AK5176" s="1" t="s">
        <v>46</v>
      </c>
      <c r="AL5176" s="1">
        <v>117</v>
      </c>
    </row>
    <row r="5177" spans="1:38" x14ac:dyDescent="0.2">
      <c r="A5177" s="2" t="str">
        <f>HYPERLINK("https://www.compass.com/listing/220-central-park-south-unit-32a-manhattan-ny-10019/155501028920294977/","220 Central Park S, Unit 32A")</f>
        <v>220 Central Park S, Unit 32A</v>
      </c>
      <c r="B5177" s="2" t="str">
        <f t="shared" si="878"/>
        <v>220 Central Park South</v>
      </c>
      <c r="C5177" s="1" t="s">
        <v>260</v>
      </c>
      <c r="D5177" s="1" t="s">
        <v>41</v>
      </c>
      <c r="E5177" s="3">
        <v>26525413</v>
      </c>
      <c r="F5177" s="1">
        <v>7163.2225222792304</v>
      </c>
      <c r="G5177" s="1">
        <v>6</v>
      </c>
      <c r="H5177" s="1">
        <v>4</v>
      </c>
      <c r="I5177" s="1">
        <v>5</v>
      </c>
      <c r="J5177" s="1">
        <v>4.5</v>
      </c>
      <c r="K5177" s="1">
        <v>4</v>
      </c>
      <c r="L5177" s="1">
        <v>1</v>
      </c>
      <c r="M5177" s="4">
        <v>3703</v>
      </c>
      <c r="N5177" s="1">
        <v>7038</v>
      </c>
      <c r="O5177" s="1">
        <v>15735</v>
      </c>
      <c r="P5177" s="1">
        <v>8697</v>
      </c>
      <c r="Q5177" s="1" t="s">
        <v>42</v>
      </c>
      <c r="S5177" s="1" t="s">
        <v>42</v>
      </c>
      <c r="T5177" s="1" t="s">
        <v>273</v>
      </c>
      <c r="V5177" s="5">
        <v>43806</v>
      </c>
      <c r="W5177" s="5">
        <v>42118</v>
      </c>
      <c r="X5177" s="1">
        <v>26050000</v>
      </c>
      <c r="Y5177" s="1">
        <v>26050000</v>
      </c>
      <c r="Z5177" s="5">
        <v>42118</v>
      </c>
      <c r="AA5177" s="1">
        <v>26525413</v>
      </c>
      <c r="AB5177" s="1" t="s">
        <v>3611</v>
      </c>
      <c r="AC5177" s="5">
        <v>43455</v>
      </c>
      <c r="AF5177" s="1">
        <v>10019</v>
      </c>
      <c r="AI5177" s="1" t="s">
        <v>101</v>
      </c>
      <c r="AJ5177" s="1">
        <v>2018</v>
      </c>
      <c r="AK5177" s="1" t="s">
        <v>46</v>
      </c>
      <c r="AL5177" s="1">
        <v>117</v>
      </c>
    </row>
    <row r="5178" spans="1:38" x14ac:dyDescent="0.2">
      <c r="A5178" s="2" t="str">
        <f>HYPERLINK("https://www.compass.com/listing/220-central-park-south-unit-33a-manhattan-ny-10019/162026242969758289/","220 Central Park S, Unit 33A")</f>
        <v>220 Central Park S, Unit 33A</v>
      </c>
      <c r="B5178" s="2" t="str">
        <f t="shared" si="878"/>
        <v>220 Central Park South</v>
      </c>
      <c r="C5178" s="1" t="s">
        <v>260</v>
      </c>
      <c r="D5178" s="1" t="s">
        <v>41</v>
      </c>
      <c r="E5178" s="3">
        <v>30191113</v>
      </c>
      <c r="F5178" s="1">
        <v>8153.1496084255996</v>
      </c>
      <c r="G5178" s="1">
        <v>6</v>
      </c>
      <c r="H5178" s="1">
        <v>4</v>
      </c>
      <c r="I5178" s="1">
        <v>5</v>
      </c>
      <c r="J5178" s="1">
        <v>4.5</v>
      </c>
      <c r="K5178" s="1">
        <v>4</v>
      </c>
      <c r="L5178" s="1">
        <v>1</v>
      </c>
      <c r="M5178" s="4">
        <v>3703</v>
      </c>
      <c r="N5178" s="1">
        <v>7054</v>
      </c>
      <c r="O5178" s="1">
        <v>15771</v>
      </c>
      <c r="P5178" s="1">
        <v>8717</v>
      </c>
      <c r="Q5178" s="1" t="s">
        <v>42</v>
      </c>
      <c r="S5178" s="1" t="s">
        <v>42</v>
      </c>
      <c r="T5178" s="1" t="s">
        <v>273</v>
      </c>
      <c r="V5178" s="5">
        <v>43808</v>
      </c>
      <c r="W5178" s="5">
        <v>42159</v>
      </c>
      <c r="X5178" s="1">
        <v>29650000</v>
      </c>
      <c r="Y5178" s="1">
        <v>29650000</v>
      </c>
      <c r="Z5178" s="5">
        <v>42159</v>
      </c>
      <c r="AA5178" s="1">
        <v>30191112.5</v>
      </c>
      <c r="AB5178" s="1" t="s">
        <v>3612</v>
      </c>
      <c r="AC5178" s="5">
        <v>43468</v>
      </c>
      <c r="AF5178" s="1">
        <v>10019</v>
      </c>
      <c r="AI5178" s="1" t="s">
        <v>101</v>
      </c>
      <c r="AJ5178" s="1">
        <v>2018</v>
      </c>
      <c r="AK5178" s="1" t="s">
        <v>46</v>
      </c>
      <c r="AL5178" s="1">
        <v>117</v>
      </c>
    </row>
    <row r="5179" spans="1:38" x14ac:dyDescent="0.2">
      <c r="A5179" s="2" t="str">
        <f>HYPERLINK("https://www.compass.com/listing/220-central-park-south-unit-35a-manhattan-ny-10019/187394456843031281/","220 Central Park S, Unit 35A")</f>
        <v>220 Central Park S, Unit 35A</v>
      </c>
      <c r="B5179" s="2" t="str">
        <f t="shared" si="878"/>
        <v>220 Central Park South</v>
      </c>
      <c r="C5179" s="1" t="s">
        <v>260</v>
      </c>
      <c r="D5179" s="1" t="s">
        <v>41</v>
      </c>
      <c r="E5179" s="3">
        <v>33500000</v>
      </c>
      <c r="F5179" s="1">
        <v>8076.1812921889996</v>
      </c>
      <c r="G5179" s="1">
        <v>7</v>
      </c>
      <c r="H5179" s="1">
        <v>5</v>
      </c>
      <c r="I5179" s="1">
        <v>6</v>
      </c>
      <c r="J5179" s="1">
        <v>5.5</v>
      </c>
      <c r="K5179" s="1">
        <v>5</v>
      </c>
      <c r="L5179" s="1">
        <v>1</v>
      </c>
      <c r="M5179" s="4">
        <v>4148</v>
      </c>
      <c r="N5179" s="1">
        <v>8042</v>
      </c>
      <c r="O5179" s="1">
        <v>17980</v>
      </c>
      <c r="P5179" s="1">
        <v>9938</v>
      </c>
      <c r="Q5179" s="1" t="s">
        <v>42</v>
      </c>
      <c r="S5179" s="1" t="s">
        <v>42</v>
      </c>
      <c r="T5179" s="1" t="s">
        <v>273</v>
      </c>
      <c r="V5179" s="5">
        <v>43806</v>
      </c>
      <c r="W5179" s="5">
        <v>43270</v>
      </c>
      <c r="X5179" s="1">
        <v>33500000</v>
      </c>
      <c r="Y5179" s="1">
        <v>33500000</v>
      </c>
      <c r="Z5179" s="5">
        <v>43270</v>
      </c>
      <c r="AA5179" s="1">
        <v>33500000</v>
      </c>
      <c r="AB5179" s="1" t="s">
        <v>3613</v>
      </c>
      <c r="AC5179" s="5">
        <v>43501</v>
      </c>
      <c r="AF5179" s="1">
        <v>10019</v>
      </c>
      <c r="AI5179" s="1" t="s">
        <v>101</v>
      </c>
      <c r="AJ5179" s="1">
        <v>2018</v>
      </c>
      <c r="AK5179" s="1" t="s">
        <v>46</v>
      </c>
      <c r="AL5179" s="1">
        <v>117</v>
      </c>
    </row>
    <row r="5180" spans="1:38" x14ac:dyDescent="0.2">
      <c r="A5180" s="2" t="str">
        <f>HYPERLINK("https://www.compass.com/listing/220-central-park-south-unit-villa-5-manhattan-ny-10019/223837145859724609/","220 Central Park S, Unit VILLA 5")</f>
        <v>220 Central Park S, Unit VILLA 5</v>
      </c>
      <c r="B5180" s="2" t="str">
        <f t="shared" si="878"/>
        <v>220 Central Park South</v>
      </c>
      <c r="C5180" s="1" t="s">
        <v>260</v>
      </c>
      <c r="D5180" s="1" t="s">
        <v>41</v>
      </c>
      <c r="E5180" s="3">
        <v>34365938</v>
      </c>
      <c r="F5180" s="1">
        <v>6881.4452342811301</v>
      </c>
      <c r="G5180" s="1">
        <v>6</v>
      </c>
      <c r="H5180" s="1">
        <v>5</v>
      </c>
      <c r="I5180" s="1">
        <v>7</v>
      </c>
      <c r="J5180" s="1">
        <v>6.5</v>
      </c>
      <c r="K5180" s="1">
        <v>6</v>
      </c>
      <c r="L5180" s="1">
        <v>1</v>
      </c>
      <c r="M5180" s="4">
        <v>4994</v>
      </c>
      <c r="N5180" s="1">
        <v>9637</v>
      </c>
      <c r="O5180" s="1">
        <v>21546</v>
      </c>
      <c r="P5180" s="1">
        <v>11909</v>
      </c>
      <c r="Q5180" s="1" t="s">
        <v>42</v>
      </c>
      <c r="S5180" s="1" t="s">
        <v>42</v>
      </c>
      <c r="T5180" s="1" t="s">
        <v>273</v>
      </c>
      <c r="U5180" s="1">
        <v>377</v>
      </c>
      <c r="V5180" s="5">
        <v>44072</v>
      </c>
      <c r="W5180" s="5">
        <v>43182</v>
      </c>
      <c r="X5180" s="1">
        <v>33750000</v>
      </c>
      <c r="Y5180" s="1">
        <v>33750000</v>
      </c>
      <c r="AA5180" s="1">
        <v>34365937.5</v>
      </c>
      <c r="AB5180" s="1" t="s">
        <v>3614</v>
      </c>
      <c r="AC5180" s="5">
        <v>43559</v>
      </c>
      <c r="AF5180" s="1">
        <v>10019</v>
      </c>
      <c r="AI5180" s="1" t="s">
        <v>101</v>
      </c>
      <c r="AJ5180" s="1">
        <v>2018</v>
      </c>
      <c r="AK5180" s="1" t="s">
        <v>46</v>
      </c>
      <c r="AL5180" s="1">
        <v>117</v>
      </c>
    </row>
    <row r="5181" spans="1:38" x14ac:dyDescent="0.2">
      <c r="A5181" s="2" t="str">
        <f>HYPERLINK("https://www.compass.com/listing/220-central-park-south-unit-56a-manhattan-ny-10019/350405995630042657/","220 Central Park S, Unit 56A")</f>
        <v>220 Central Park S, Unit 56A</v>
      </c>
      <c r="B5181" s="2" t="str">
        <f t="shared" si="878"/>
        <v>220 Central Park South</v>
      </c>
      <c r="C5181" s="1" t="s">
        <v>260</v>
      </c>
      <c r="D5181" s="1" t="s">
        <v>41</v>
      </c>
      <c r="E5181" s="3">
        <v>41748250</v>
      </c>
      <c r="F5181" s="1">
        <v>8672.2579975072695</v>
      </c>
      <c r="G5181" s="1">
        <v>7</v>
      </c>
      <c r="H5181" s="1">
        <v>4</v>
      </c>
      <c r="I5181" s="1">
        <v>6</v>
      </c>
      <c r="J5181" s="1">
        <v>5.5</v>
      </c>
      <c r="K5181" s="1">
        <v>5</v>
      </c>
      <c r="L5181" s="1">
        <v>1</v>
      </c>
      <c r="M5181" s="4">
        <v>4814</v>
      </c>
      <c r="N5181" s="1">
        <v>10049</v>
      </c>
      <c r="O5181" s="1">
        <v>18664</v>
      </c>
      <c r="P5181" s="1">
        <v>8615</v>
      </c>
      <c r="Q5181" s="1" t="s">
        <v>42</v>
      </c>
      <c r="S5181" s="1" t="s">
        <v>42</v>
      </c>
      <c r="T5181" s="1" t="s">
        <v>273</v>
      </c>
      <c r="V5181" s="5">
        <v>43805</v>
      </c>
      <c r="W5181" s="5">
        <v>42118</v>
      </c>
      <c r="X5181" s="1">
        <v>41000000</v>
      </c>
      <c r="Y5181" s="1">
        <v>41000000</v>
      </c>
      <c r="Z5181" s="5">
        <v>42118</v>
      </c>
      <c r="AA5181" s="1">
        <v>41748250</v>
      </c>
      <c r="AB5181" s="1" t="s">
        <v>3615</v>
      </c>
      <c r="AC5181" s="5">
        <v>43732</v>
      </c>
      <c r="AF5181" s="1">
        <v>10019</v>
      </c>
      <c r="AI5181" s="1" t="s">
        <v>101</v>
      </c>
      <c r="AJ5181" s="1">
        <v>2018</v>
      </c>
      <c r="AK5181" s="1" t="s">
        <v>46</v>
      </c>
      <c r="AL5181" s="1">
        <v>117</v>
      </c>
    </row>
    <row r="5182" spans="1:38" x14ac:dyDescent="0.2">
      <c r="A5182" s="2" t="str">
        <f>HYPERLINK("https://www.compass.com/listing/220-central-park-south-unit-49-manhattan-ny-10019/383934628650649425/","220 Central Park S, Unit 49")</f>
        <v>220 Central Park S, Unit 49</v>
      </c>
      <c r="B5182" s="2" t="str">
        <f t="shared" si="878"/>
        <v>220 Central Park South</v>
      </c>
      <c r="C5182" s="1" t="s">
        <v>260</v>
      </c>
      <c r="D5182" s="1" t="s">
        <v>41</v>
      </c>
      <c r="E5182" s="3">
        <v>64149750</v>
      </c>
      <c r="F5182" s="1">
        <v>9732.9312699135098</v>
      </c>
      <c r="G5182" s="1">
        <v>9</v>
      </c>
      <c r="H5182" s="1">
        <v>5</v>
      </c>
      <c r="I5182" s="1">
        <v>8</v>
      </c>
      <c r="J5182" s="1">
        <v>7</v>
      </c>
      <c r="K5182" s="1">
        <v>6</v>
      </c>
      <c r="L5182" s="1">
        <v>2</v>
      </c>
      <c r="M5182" s="4">
        <v>6591</v>
      </c>
      <c r="N5182" s="1">
        <v>14099</v>
      </c>
      <c r="O5182" s="1">
        <v>26186</v>
      </c>
      <c r="P5182" s="1">
        <v>12087</v>
      </c>
      <c r="Q5182" s="1" t="s">
        <v>42</v>
      </c>
      <c r="S5182" s="1" t="s">
        <v>42</v>
      </c>
      <c r="T5182" s="1" t="s">
        <v>273</v>
      </c>
      <c r="U5182" s="1">
        <v>1675</v>
      </c>
      <c r="V5182" s="5">
        <v>43791</v>
      </c>
      <c r="W5182" s="5">
        <v>42094</v>
      </c>
      <c r="X5182" s="1">
        <v>63000000</v>
      </c>
      <c r="Y5182" s="1">
        <v>63000000</v>
      </c>
      <c r="AA5182" s="1">
        <v>64149750</v>
      </c>
      <c r="AB5182" s="1" t="s">
        <v>3616</v>
      </c>
      <c r="AC5182" s="5">
        <v>43769</v>
      </c>
      <c r="AF5182" s="1">
        <v>10019</v>
      </c>
      <c r="AI5182" s="1" t="s">
        <v>101</v>
      </c>
      <c r="AJ5182" s="1">
        <v>2018</v>
      </c>
      <c r="AK5182" s="1" t="s">
        <v>46</v>
      </c>
      <c r="AL5182" s="1">
        <v>117</v>
      </c>
    </row>
    <row r="5183" spans="1:38" x14ac:dyDescent="0.2">
      <c r="A5183" s="2" t="str">
        <f>HYPERLINK("https://www.compass.com/listing/220-central-park-south-unit-66-manhattan-ny-10019/420000571598751361/","220 Central Park S, Unit 66")</f>
        <v>220 Central Park S, Unit 66</v>
      </c>
      <c r="B5183" s="2" t="str">
        <f t="shared" si="878"/>
        <v>220 Central Park South</v>
      </c>
      <c r="C5183" s="1" t="s">
        <v>260</v>
      </c>
      <c r="D5183" s="1" t="s">
        <v>41</v>
      </c>
      <c r="E5183" s="3">
        <v>54500000</v>
      </c>
      <c r="F5183" s="1">
        <v>9182.8138163437197</v>
      </c>
      <c r="G5183" s="1">
        <v>8</v>
      </c>
      <c r="H5183" s="1">
        <v>4</v>
      </c>
      <c r="I5183" s="1">
        <v>7</v>
      </c>
      <c r="J5183" s="1">
        <v>6</v>
      </c>
      <c r="K5183" s="1">
        <v>5</v>
      </c>
      <c r="L5183" s="1">
        <v>2</v>
      </c>
      <c r="M5183" s="4">
        <v>5935</v>
      </c>
      <c r="N5183" s="1">
        <v>12622</v>
      </c>
      <c r="O5183" s="1">
        <v>23443</v>
      </c>
      <c r="P5183" s="1">
        <v>10821</v>
      </c>
      <c r="Q5183" s="1" t="s">
        <v>42</v>
      </c>
      <c r="S5183" s="1" t="s">
        <v>42</v>
      </c>
      <c r="T5183" s="1" t="s">
        <v>273</v>
      </c>
      <c r="U5183" s="1">
        <v>1239</v>
      </c>
      <c r="V5183" s="5">
        <v>43848</v>
      </c>
      <c r="W5183" s="5">
        <v>42579</v>
      </c>
      <c r="X5183" s="1">
        <v>56500000</v>
      </c>
      <c r="Y5183" s="1">
        <v>56500000</v>
      </c>
      <c r="AA5183" s="1">
        <v>54500000</v>
      </c>
      <c r="AB5183" s="1" t="s">
        <v>3617</v>
      </c>
      <c r="AC5183" s="5">
        <v>43818</v>
      </c>
      <c r="AF5183" s="1">
        <v>10019</v>
      </c>
      <c r="AI5183" s="1" t="s">
        <v>101</v>
      </c>
      <c r="AJ5183" s="1">
        <v>2018</v>
      </c>
      <c r="AK5183" s="1" t="s">
        <v>46</v>
      </c>
      <c r="AL5183" s="1">
        <v>117</v>
      </c>
    </row>
    <row r="5184" spans="1:38" x14ac:dyDescent="0.2">
      <c r="A5184" s="2" t="str">
        <f>HYPERLINK("https://www.compass.com/listing/220-central-park-south-unit-63-manhattan-ny-10019/496801123657720129/","220 Central Park S, Unit 63")</f>
        <v>220 Central Park S, Unit 63</v>
      </c>
      <c r="B5184" s="2" t="str">
        <f t="shared" si="878"/>
        <v>220 Central Park South</v>
      </c>
      <c r="C5184" s="1" t="s">
        <v>260</v>
      </c>
      <c r="D5184" s="1" t="s">
        <v>41</v>
      </c>
      <c r="E5184" s="3">
        <v>53585406</v>
      </c>
      <c r="F5184" s="1">
        <v>9028.7120893007504</v>
      </c>
      <c r="G5184" s="1">
        <v>8</v>
      </c>
      <c r="H5184" s="1">
        <v>4</v>
      </c>
      <c r="I5184" s="1">
        <v>7</v>
      </c>
      <c r="J5184" s="1">
        <v>6</v>
      </c>
      <c r="K5184" s="1">
        <v>5</v>
      </c>
      <c r="L5184" s="1">
        <v>2</v>
      </c>
      <c r="M5184" s="4">
        <v>5935</v>
      </c>
      <c r="N5184" s="1">
        <v>12502</v>
      </c>
      <c r="O5184" s="1">
        <v>23220</v>
      </c>
      <c r="P5184" s="1">
        <v>10718</v>
      </c>
      <c r="Q5184" s="1" t="s">
        <v>42</v>
      </c>
      <c r="S5184" s="1" t="s">
        <v>42</v>
      </c>
      <c r="T5184" s="1" t="s">
        <v>273</v>
      </c>
      <c r="U5184" s="1">
        <v>1791</v>
      </c>
      <c r="V5184" s="5">
        <v>43951</v>
      </c>
      <c r="W5184" s="5">
        <v>42118</v>
      </c>
      <c r="X5184" s="1">
        <v>53750000</v>
      </c>
      <c r="Y5184" s="1">
        <v>53750000</v>
      </c>
      <c r="AA5184" s="1">
        <v>53585406.25</v>
      </c>
      <c r="AB5184" s="1" t="s">
        <v>3618</v>
      </c>
      <c r="AC5184" s="5">
        <v>43935</v>
      </c>
      <c r="AF5184" s="1">
        <v>10019</v>
      </c>
      <c r="AI5184" s="1" t="s">
        <v>101</v>
      </c>
      <c r="AJ5184" s="1">
        <v>2018</v>
      </c>
      <c r="AK5184" s="1" t="s">
        <v>46</v>
      </c>
      <c r="AL5184" s="1">
        <v>117</v>
      </c>
    </row>
    <row r="5185" spans="1:38" x14ac:dyDescent="0.2">
      <c r="A5185" s="2" t="str">
        <f>HYPERLINK("https://www.compass.com/listing/220-central-park-south-unit-61-manhattan-ny-10019/822519974449572577/","220 Central Park S, Unit 61")</f>
        <v>220 Central Park S, Unit 61</v>
      </c>
      <c r="B5185" s="2" t="str">
        <f t="shared" si="878"/>
        <v>220 Central Park South</v>
      </c>
      <c r="C5185" s="1" t="s">
        <v>260</v>
      </c>
      <c r="D5185" s="1" t="s">
        <v>41</v>
      </c>
      <c r="E5185" s="3">
        <v>75000000</v>
      </c>
      <c r="F5185" s="1">
        <v>12636.899747261999</v>
      </c>
      <c r="H5185" s="1">
        <v>4</v>
      </c>
      <c r="J5185" s="1">
        <v>6</v>
      </c>
      <c r="K5185" s="1">
        <v>5</v>
      </c>
      <c r="L5185" s="1">
        <v>2</v>
      </c>
      <c r="M5185" s="4">
        <v>5935</v>
      </c>
      <c r="N5185" s="1">
        <v>12434</v>
      </c>
      <c r="O5185" s="1">
        <v>23094</v>
      </c>
      <c r="P5185" s="1">
        <v>10660</v>
      </c>
      <c r="Q5185" s="1" t="s">
        <v>42</v>
      </c>
      <c r="S5185" s="1" t="s">
        <v>42</v>
      </c>
      <c r="T5185" s="1" t="s">
        <v>273</v>
      </c>
      <c r="AA5185" s="1">
        <v>75000000</v>
      </c>
      <c r="AB5185" s="1" t="s">
        <v>3619</v>
      </c>
      <c r="AC5185" s="5">
        <v>44336</v>
      </c>
      <c r="AF5185" s="1">
        <v>10019</v>
      </c>
      <c r="AI5185" s="1" t="s">
        <v>101</v>
      </c>
      <c r="AJ5185" s="1">
        <v>2018</v>
      </c>
      <c r="AK5185" s="1" t="s">
        <v>49</v>
      </c>
      <c r="AL5185" s="1">
        <v>117</v>
      </c>
    </row>
    <row r="5186" spans="1:38" x14ac:dyDescent="0.2">
      <c r="A5186" s="2" t="str">
        <f>HYPERLINK("https://www.compass.com/listing/77-east-110th-street-unit-commercial-condo-manhattan-ny-10029/4852274970581012001/","77 E 110th St, Unit COMMERCIAL CONDO")</f>
        <v>77 E 110th St, Unit COMMERCIAL CONDO</v>
      </c>
      <c r="B5186" s="2" t="str">
        <f>HYPERLINK("https://www.compass.com/building/77-condominiums-manhattan-ny/281992190891244549/","77 Condominiums")</f>
        <v>77 Condominiums</v>
      </c>
      <c r="C5186" s="1" t="s">
        <v>424</v>
      </c>
      <c r="D5186" s="1" t="s">
        <v>41</v>
      </c>
      <c r="E5186" s="3">
        <v>499000</v>
      </c>
      <c r="F5186" s="1">
        <v>444.345503116651</v>
      </c>
      <c r="G5186" s="1">
        <v>1</v>
      </c>
      <c r="H5186" s="1" t="s">
        <v>99</v>
      </c>
      <c r="I5186" s="1">
        <v>1</v>
      </c>
      <c r="J5186" s="1">
        <v>1</v>
      </c>
      <c r="K5186" s="1">
        <v>1</v>
      </c>
      <c r="M5186" s="4">
        <v>1123</v>
      </c>
      <c r="N5186" s="1">
        <v>243.33</v>
      </c>
      <c r="O5186" s="1">
        <v>299.94</v>
      </c>
      <c r="P5186" s="1">
        <v>56.5833333333333</v>
      </c>
      <c r="Q5186" s="1" t="s">
        <v>42</v>
      </c>
      <c r="S5186" s="1" t="s">
        <v>42</v>
      </c>
      <c r="T5186" s="1" t="s">
        <v>273</v>
      </c>
      <c r="U5186" s="1">
        <v>11</v>
      </c>
      <c r="V5186" s="5">
        <v>43782</v>
      </c>
      <c r="W5186" s="5">
        <v>42861</v>
      </c>
      <c r="Y5186" s="1">
        <v>499000</v>
      </c>
      <c r="Z5186" s="5">
        <v>42662</v>
      </c>
      <c r="AA5186" s="1">
        <v>499000</v>
      </c>
      <c r="AB5186" s="1" t="s">
        <v>275</v>
      </c>
      <c r="AC5186" s="5">
        <v>42872</v>
      </c>
      <c r="AF5186" s="1">
        <v>10029</v>
      </c>
      <c r="AI5186" s="1" t="s">
        <v>48</v>
      </c>
      <c r="AJ5186" s="1">
        <v>2013</v>
      </c>
      <c r="AK5186" s="1" t="s">
        <v>136</v>
      </c>
      <c r="AL5186" s="1">
        <v>20</v>
      </c>
    </row>
    <row r="5187" spans="1:38" x14ac:dyDescent="0.2">
      <c r="A5187" s="2" t="str">
        <f>HYPERLINK("https://www.compass.com/listing/220-central-park-south-unit-38a-manhattan-ny-10019/198974636417879345/","220 Central Park S, Unit 38A")</f>
        <v>220 Central Park S, Unit 38A</v>
      </c>
      <c r="B5187" s="2" t="str">
        <f t="shared" ref="B5187:B5229" si="879">HYPERLINK("https://www.compass.com/building/220-central-park-south-manhattan-ny/281944232648828453/","220 Central Park South")</f>
        <v>220 Central Park South</v>
      </c>
      <c r="C5187" s="1" t="s">
        <v>260</v>
      </c>
      <c r="D5187" s="1" t="s">
        <v>41</v>
      </c>
      <c r="E5187" s="3">
        <v>22503325</v>
      </c>
      <c r="F5187" s="1">
        <v>7226.5012845215097</v>
      </c>
      <c r="G5187" s="1">
        <v>5</v>
      </c>
      <c r="H5187" s="1">
        <v>3</v>
      </c>
      <c r="I5187" s="1">
        <v>1</v>
      </c>
      <c r="J5187" s="1">
        <v>1</v>
      </c>
      <c r="K5187" s="1">
        <v>1</v>
      </c>
      <c r="M5187" s="4">
        <v>3114</v>
      </c>
      <c r="N5187" s="1">
        <v>5852</v>
      </c>
      <c r="O5187" s="1">
        <v>13084</v>
      </c>
      <c r="P5187" s="1">
        <v>7232</v>
      </c>
      <c r="Q5187" s="1" t="s">
        <v>42</v>
      </c>
      <c r="S5187" s="1" t="s">
        <v>42</v>
      </c>
      <c r="T5187" s="1" t="s">
        <v>273</v>
      </c>
      <c r="U5187" s="1">
        <v>3</v>
      </c>
      <c r="V5187" s="5">
        <v>43806</v>
      </c>
      <c r="W5187" s="5">
        <v>42123</v>
      </c>
      <c r="X5187" s="1">
        <v>22100000</v>
      </c>
      <c r="Y5187" s="1">
        <v>22100000</v>
      </c>
      <c r="Z5187" s="5">
        <v>42126</v>
      </c>
      <c r="AA5187" s="1">
        <v>22503325</v>
      </c>
      <c r="AB5187" s="1" t="s">
        <v>3620</v>
      </c>
      <c r="AC5187" s="5">
        <v>43521</v>
      </c>
      <c r="AF5187" s="1">
        <v>10019</v>
      </c>
      <c r="AI5187" s="1" t="s">
        <v>101</v>
      </c>
      <c r="AJ5187" s="1">
        <v>2018</v>
      </c>
      <c r="AK5187" s="1" t="s">
        <v>46</v>
      </c>
      <c r="AL5187" s="1">
        <v>117</v>
      </c>
    </row>
    <row r="5188" spans="1:38" x14ac:dyDescent="0.2">
      <c r="A5188" s="2" t="str">
        <f>HYPERLINK("https://www.compass.com/listing/220-central-park-south-unit-34b-manhattan-ny-10019/286950199383831505/","220 Central Park S, Unit 34B")</f>
        <v>220 Central Park S, Unit 34B</v>
      </c>
      <c r="B5188" s="2" t="str">
        <f t="shared" si="879"/>
        <v>220 Central Park South</v>
      </c>
      <c r="C5188" s="1" t="s">
        <v>260</v>
      </c>
      <c r="D5188" s="1" t="s">
        <v>41</v>
      </c>
      <c r="E5188" s="3">
        <v>16037437</v>
      </c>
      <c r="F5188" s="1">
        <v>6532.5608961303396</v>
      </c>
      <c r="G5188" s="1">
        <v>4</v>
      </c>
      <c r="H5188" s="1">
        <v>2</v>
      </c>
      <c r="I5188" s="1">
        <v>2</v>
      </c>
      <c r="J5188" s="1">
        <v>1.5</v>
      </c>
      <c r="K5188" s="1">
        <v>1</v>
      </c>
      <c r="L5188" s="1">
        <v>1</v>
      </c>
      <c r="M5188" s="4">
        <v>2455</v>
      </c>
      <c r="N5188" s="1">
        <v>4613</v>
      </c>
      <c r="O5188" s="1">
        <v>10313</v>
      </c>
      <c r="P5188" s="1">
        <v>5700</v>
      </c>
      <c r="Q5188" s="1" t="s">
        <v>42</v>
      </c>
      <c r="S5188" s="1" t="s">
        <v>42</v>
      </c>
      <c r="T5188" s="1" t="s">
        <v>273</v>
      </c>
      <c r="U5188" s="1">
        <v>756</v>
      </c>
      <c r="V5188" s="5">
        <v>43662</v>
      </c>
      <c r="W5188" s="5">
        <v>42159</v>
      </c>
      <c r="X5188" s="1">
        <v>15750000</v>
      </c>
      <c r="Y5188" s="1">
        <v>15750000</v>
      </c>
      <c r="AA5188" s="1">
        <v>16037437</v>
      </c>
      <c r="AB5188" s="1" t="s">
        <v>3621</v>
      </c>
      <c r="AC5188" s="5">
        <v>42915</v>
      </c>
      <c r="AF5188" s="1">
        <v>10019</v>
      </c>
      <c r="AI5188" s="1" t="s">
        <v>101</v>
      </c>
      <c r="AJ5188" s="1">
        <v>2018</v>
      </c>
      <c r="AK5188" s="1" t="s">
        <v>46</v>
      </c>
      <c r="AL5188" s="1">
        <v>117</v>
      </c>
    </row>
    <row r="5189" spans="1:38" x14ac:dyDescent="0.2">
      <c r="A5189" s="2" t="str">
        <f>HYPERLINK("https://www.compass.com/listing/220-central-park-south-unit-34b-manhattan-ny-10019/841530668982622121/","220 Central Park S, Unit 34B")</f>
        <v>220 Central Park S, Unit 34B</v>
      </c>
      <c r="B5189" s="2" t="str">
        <f t="shared" si="879"/>
        <v>220 Central Park South</v>
      </c>
      <c r="C5189" s="1" t="s">
        <v>260</v>
      </c>
      <c r="D5189" s="1" t="s">
        <v>41</v>
      </c>
      <c r="E5189" s="3">
        <v>16037438</v>
      </c>
      <c r="F5189" s="1">
        <v>6532.5610997963304</v>
      </c>
      <c r="H5189" s="1">
        <v>2</v>
      </c>
      <c r="J5189" s="1">
        <v>1.5</v>
      </c>
      <c r="K5189" s="1">
        <v>1</v>
      </c>
      <c r="L5189" s="1">
        <v>1</v>
      </c>
      <c r="M5189" s="4">
        <v>2455</v>
      </c>
      <c r="N5189" s="1">
        <v>4613</v>
      </c>
      <c r="O5189" s="1">
        <v>10313</v>
      </c>
      <c r="P5189" s="1">
        <v>5700</v>
      </c>
      <c r="Q5189" s="1" t="s">
        <v>42</v>
      </c>
      <c r="S5189" s="1" t="s">
        <v>42</v>
      </c>
      <c r="T5189" s="1" t="s">
        <v>273</v>
      </c>
      <c r="AB5189" s="1" t="s">
        <v>44</v>
      </c>
      <c r="AF5189" s="1">
        <v>10019</v>
      </c>
      <c r="AI5189" s="1" t="s">
        <v>101</v>
      </c>
      <c r="AJ5189" s="1">
        <v>2018</v>
      </c>
      <c r="AK5189" s="1" t="s">
        <v>49</v>
      </c>
      <c r="AL5189" s="1">
        <v>117</v>
      </c>
    </row>
    <row r="5190" spans="1:38" x14ac:dyDescent="0.2">
      <c r="A5190" s="2" t="str">
        <f>HYPERLINK("https://www.compass.com/listing/220-central-park-south-unit-24b-manhattan-ny-10019/106203248318335697/","220 Central Park S, Unit 24B")</f>
        <v>220 Central Park S, Unit 24B</v>
      </c>
      <c r="B5190" s="2" t="str">
        <f t="shared" si="879"/>
        <v>220 Central Park South</v>
      </c>
      <c r="C5190" s="1" t="s">
        <v>260</v>
      </c>
      <c r="D5190" s="1" t="s">
        <v>41</v>
      </c>
      <c r="E5190" s="3">
        <v>14632313</v>
      </c>
      <c r="F5190" s="1">
        <v>5593.3918195718597</v>
      </c>
      <c r="G5190" s="1">
        <v>5</v>
      </c>
      <c r="H5190" s="1">
        <v>3</v>
      </c>
      <c r="I5190" s="1">
        <v>3</v>
      </c>
      <c r="J5190" s="1">
        <v>3</v>
      </c>
      <c r="K5190" s="1">
        <v>3</v>
      </c>
      <c r="M5190" s="4">
        <v>2616</v>
      </c>
      <c r="N5190" s="1">
        <v>4777</v>
      </c>
      <c r="O5190" s="1">
        <v>10680</v>
      </c>
      <c r="P5190" s="1">
        <v>5903</v>
      </c>
      <c r="Q5190" s="1" t="s">
        <v>42</v>
      </c>
      <c r="S5190" s="1" t="s">
        <v>42</v>
      </c>
      <c r="T5190" s="1" t="s">
        <v>273</v>
      </c>
      <c r="V5190" s="5">
        <v>43806</v>
      </c>
      <c r="W5190" s="5">
        <v>43076</v>
      </c>
      <c r="X5190" s="1">
        <v>15250000</v>
      </c>
      <c r="Y5190" s="1">
        <v>15250000</v>
      </c>
      <c r="Z5190" s="5">
        <v>43076</v>
      </c>
      <c r="AA5190" s="1">
        <v>14632313</v>
      </c>
      <c r="AB5190" s="1" t="s">
        <v>3622</v>
      </c>
      <c r="AC5190" s="5">
        <v>43391</v>
      </c>
      <c r="AF5190" s="1">
        <v>10019</v>
      </c>
      <c r="AI5190" s="1" t="s">
        <v>101</v>
      </c>
      <c r="AJ5190" s="1">
        <v>2018</v>
      </c>
      <c r="AK5190" s="1" t="s">
        <v>46</v>
      </c>
      <c r="AL5190" s="1">
        <v>117</v>
      </c>
    </row>
    <row r="5191" spans="1:38" x14ac:dyDescent="0.2">
      <c r="A5191" s="2" t="str">
        <f>HYPERLINK("https://www.compass.com/listing/220-central-park-south-unit-26b-manhattan-ny-10019/138110804452033201/","220 Central Park S, Unit 26B")</f>
        <v>220 Central Park S, Unit 26B</v>
      </c>
      <c r="B5191" s="2" t="str">
        <f t="shared" si="879"/>
        <v>220 Central Park South</v>
      </c>
      <c r="C5191" s="1" t="s">
        <v>260</v>
      </c>
      <c r="D5191" s="1" t="s">
        <v>41</v>
      </c>
      <c r="E5191" s="3">
        <v>17819375</v>
      </c>
      <c r="F5191" s="1">
        <v>6811.6876911314903</v>
      </c>
      <c r="G5191" s="1">
        <v>5</v>
      </c>
      <c r="H5191" s="1">
        <v>3</v>
      </c>
      <c r="I5191" s="1">
        <v>3</v>
      </c>
      <c r="J5191" s="1">
        <v>3</v>
      </c>
      <c r="K5191" s="1">
        <v>3</v>
      </c>
      <c r="M5191" s="4">
        <v>2616</v>
      </c>
      <c r="N5191" s="1">
        <v>4797</v>
      </c>
      <c r="O5191" s="1">
        <v>10724</v>
      </c>
      <c r="P5191" s="1">
        <v>5927</v>
      </c>
      <c r="Q5191" s="1" t="s">
        <v>42</v>
      </c>
      <c r="S5191" s="1" t="s">
        <v>42</v>
      </c>
      <c r="T5191" s="1" t="s">
        <v>273</v>
      </c>
      <c r="V5191" s="5">
        <v>43806</v>
      </c>
      <c r="W5191" s="5">
        <v>42241</v>
      </c>
      <c r="X5191" s="1">
        <v>17500000</v>
      </c>
      <c r="Y5191" s="1">
        <v>17500000</v>
      </c>
      <c r="Z5191" s="5">
        <v>42241</v>
      </c>
      <c r="AA5191" s="1">
        <v>17819375</v>
      </c>
      <c r="AB5191" s="1" t="s">
        <v>3623</v>
      </c>
      <c r="AC5191" s="5">
        <v>43431</v>
      </c>
      <c r="AF5191" s="1">
        <v>10019</v>
      </c>
      <c r="AI5191" s="1" t="s">
        <v>101</v>
      </c>
      <c r="AJ5191" s="1">
        <v>2018</v>
      </c>
      <c r="AK5191" s="1" t="s">
        <v>46</v>
      </c>
      <c r="AL5191" s="1">
        <v>117</v>
      </c>
    </row>
    <row r="5192" spans="1:38" x14ac:dyDescent="0.2">
      <c r="A5192" s="2" t="str">
        <f>HYPERLINK("https://www.compass.com/listing/220-central-park-south-unit-39a-manhattan-ny-10019/193921991005197953/","220 Central Park S, Unit 39A")</f>
        <v>220 Central Park S, Unit 39A</v>
      </c>
      <c r="B5192" s="2" t="str">
        <f t="shared" si="879"/>
        <v>220 Central Park South</v>
      </c>
      <c r="C5192" s="1" t="s">
        <v>260</v>
      </c>
      <c r="D5192" s="1" t="s">
        <v>41</v>
      </c>
      <c r="E5192" s="3">
        <v>22808800</v>
      </c>
      <c r="F5192" s="1">
        <v>7324.5985870263303</v>
      </c>
      <c r="G5192" s="1">
        <v>5</v>
      </c>
      <c r="H5192" s="1">
        <v>3</v>
      </c>
      <c r="I5192" s="1">
        <v>4</v>
      </c>
      <c r="J5192" s="1">
        <v>3.5</v>
      </c>
      <c r="K5192" s="1">
        <v>3</v>
      </c>
      <c r="L5192" s="1">
        <v>1</v>
      </c>
      <c r="M5192" s="4">
        <v>3114</v>
      </c>
      <c r="N5192" s="1">
        <v>5868</v>
      </c>
      <c r="O5192" s="1">
        <v>13120</v>
      </c>
      <c r="P5192" s="1">
        <v>7252</v>
      </c>
      <c r="Q5192" s="1" t="s">
        <v>42</v>
      </c>
      <c r="S5192" s="1" t="s">
        <v>42</v>
      </c>
      <c r="T5192" s="1" t="s">
        <v>273</v>
      </c>
      <c r="V5192" s="5">
        <v>43806</v>
      </c>
      <c r="W5192" s="5">
        <v>42159</v>
      </c>
      <c r="X5192" s="1">
        <v>22400000</v>
      </c>
      <c r="Y5192" s="1">
        <v>22400000</v>
      </c>
      <c r="Z5192" s="5">
        <v>42159</v>
      </c>
      <c r="AA5192" s="1">
        <v>22808800</v>
      </c>
      <c r="AB5192" s="1" t="s">
        <v>3624</v>
      </c>
      <c r="AC5192" s="5">
        <v>43511</v>
      </c>
      <c r="AF5192" s="1">
        <v>10019</v>
      </c>
      <c r="AI5192" s="1" t="s">
        <v>101</v>
      </c>
      <c r="AJ5192" s="1">
        <v>2018</v>
      </c>
      <c r="AK5192" s="1" t="s">
        <v>46</v>
      </c>
      <c r="AL5192" s="1">
        <v>117</v>
      </c>
    </row>
    <row r="5193" spans="1:38" x14ac:dyDescent="0.2">
      <c r="A5193" s="2" t="str">
        <f>HYPERLINK("https://www.compass.com/listing/220-central-park-south-unit-37a-manhattan-ny-10019/201146998764671201/","220 Central Park S, Unit 37A")</f>
        <v>220 Central Park S, Unit 37A</v>
      </c>
      <c r="B5193" s="2" t="str">
        <f t="shared" si="879"/>
        <v>220 Central Park South</v>
      </c>
      <c r="C5193" s="1" t="s">
        <v>260</v>
      </c>
      <c r="D5193" s="1" t="s">
        <v>41</v>
      </c>
      <c r="E5193" s="3">
        <v>22197850</v>
      </c>
      <c r="F5193" s="1">
        <v>7128.40398201669</v>
      </c>
      <c r="G5193" s="1">
        <v>5</v>
      </c>
      <c r="H5193" s="1">
        <v>3</v>
      </c>
      <c r="I5193" s="1">
        <v>4</v>
      </c>
      <c r="J5193" s="1">
        <v>3.5</v>
      </c>
      <c r="K5193" s="1">
        <v>3</v>
      </c>
      <c r="L5193" s="1">
        <v>1</v>
      </c>
      <c r="M5193" s="4">
        <v>3114</v>
      </c>
      <c r="N5193" s="1">
        <v>5836</v>
      </c>
      <c r="O5193" s="1">
        <v>13048</v>
      </c>
      <c r="P5193" s="1">
        <v>7212</v>
      </c>
      <c r="Q5193" s="1" t="s">
        <v>42</v>
      </c>
      <c r="S5193" s="1" t="s">
        <v>42</v>
      </c>
      <c r="T5193" s="1" t="s">
        <v>273</v>
      </c>
      <c r="V5193" s="5">
        <v>43806</v>
      </c>
      <c r="W5193" s="5">
        <v>42271</v>
      </c>
      <c r="X5193" s="1">
        <v>21800000</v>
      </c>
      <c r="Y5193" s="1">
        <v>21800000</v>
      </c>
      <c r="Z5193" s="5">
        <v>42271</v>
      </c>
      <c r="AA5193" s="1">
        <v>22197850</v>
      </c>
      <c r="AB5193" s="1" t="s">
        <v>3625</v>
      </c>
      <c r="AC5193" s="5">
        <v>43515</v>
      </c>
      <c r="AF5193" s="1">
        <v>10019</v>
      </c>
      <c r="AI5193" s="1" t="s">
        <v>101</v>
      </c>
      <c r="AJ5193" s="1">
        <v>2018</v>
      </c>
      <c r="AK5193" s="1" t="s">
        <v>46</v>
      </c>
      <c r="AL5193" s="1">
        <v>117</v>
      </c>
    </row>
    <row r="5194" spans="1:38" x14ac:dyDescent="0.2">
      <c r="A5194" s="2" t="str">
        <f>HYPERLINK("https://www.compass.com/listing/220-central-park-south-unit-41a-manhattan-ny-10019/206240110025461745/","220 Central Park S, Unit 41A")</f>
        <v>220 Central Park S, Unit 41A</v>
      </c>
      <c r="B5194" s="2" t="str">
        <f t="shared" si="879"/>
        <v>220 Central Park South</v>
      </c>
      <c r="C5194" s="1" t="s">
        <v>260</v>
      </c>
      <c r="D5194" s="1" t="s">
        <v>41</v>
      </c>
      <c r="E5194" s="3">
        <v>23419750</v>
      </c>
      <c r="F5194" s="1">
        <v>7520.7931920359597</v>
      </c>
      <c r="G5194" s="1">
        <v>5</v>
      </c>
      <c r="H5194" s="1">
        <v>3</v>
      </c>
      <c r="I5194" s="1">
        <v>4</v>
      </c>
      <c r="J5194" s="1">
        <v>3.5</v>
      </c>
      <c r="K5194" s="1">
        <v>3</v>
      </c>
      <c r="L5194" s="1">
        <v>1</v>
      </c>
      <c r="M5194" s="4">
        <v>3114</v>
      </c>
      <c r="N5194" s="1">
        <v>5901</v>
      </c>
      <c r="O5194" s="1">
        <v>13193</v>
      </c>
      <c r="P5194" s="1">
        <v>7292</v>
      </c>
      <c r="Q5194" s="1" t="s">
        <v>42</v>
      </c>
      <c r="S5194" s="1" t="s">
        <v>42</v>
      </c>
      <c r="T5194" s="1" t="s">
        <v>273</v>
      </c>
      <c r="V5194" s="5">
        <v>43806</v>
      </c>
      <c r="W5194" s="5">
        <v>42174</v>
      </c>
      <c r="X5194" s="1">
        <v>23000000</v>
      </c>
      <c r="Y5194" s="1">
        <v>23000000</v>
      </c>
      <c r="Z5194" s="5">
        <v>42174</v>
      </c>
      <c r="AA5194" s="1">
        <v>23419750</v>
      </c>
      <c r="AB5194" s="1" t="s">
        <v>3626</v>
      </c>
      <c r="AC5194" s="5">
        <v>43524</v>
      </c>
      <c r="AF5194" s="1">
        <v>10019</v>
      </c>
      <c r="AI5194" s="1" t="s">
        <v>101</v>
      </c>
      <c r="AJ5194" s="1">
        <v>2018</v>
      </c>
      <c r="AK5194" s="1" t="s">
        <v>46</v>
      </c>
      <c r="AL5194" s="1">
        <v>117</v>
      </c>
    </row>
    <row r="5195" spans="1:38" x14ac:dyDescent="0.2">
      <c r="A5195" s="2" t="str">
        <f>HYPERLINK("https://www.compass.com/listing/220-central-park-south-unit-40a-manhattan-ny-10019/210682046933128577/","220 Central Park S, Unit 40A")</f>
        <v>220 Central Park S, Unit 40A</v>
      </c>
      <c r="B5195" s="2" t="str">
        <f t="shared" si="879"/>
        <v>220 Central Park South</v>
      </c>
      <c r="C5195" s="1" t="s">
        <v>260</v>
      </c>
      <c r="D5195" s="1" t="s">
        <v>41</v>
      </c>
      <c r="E5195" s="3">
        <v>23386675</v>
      </c>
      <c r="F5195" s="1">
        <v>7510.1718047527202</v>
      </c>
      <c r="G5195" s="1">
        <v>5</v>
      </c>
      <c r="H5195" s="1">
        <v>3</v>
      </c>
      <c r="I5195" s="1">
        <v>4</v>
      </c>
      <c r="J5195" s="1">
        <v>3.5</v>
      </c>
      <c r="K5195" s="1">
        <v>3</v>
      </c>
      <c r="L5195" s="1">
        <v>1</v>
      </c>
      <c r="M5195" s="4">
        <v>3114</v>
      </c>
      <c r="N5195" s="1">
        <v>5845</v>
      </c>
      <c r="O5195" s="1">
        <v>13068</v>
      </c>
      <c r="P5195" s="1">
        <v>7223</v>
      </c>
      <c r="Q5195" s="1" t="s">
        <v>100</v>
      </c>
      <c r="S5195" s="1" t="s">
        <v>100</v>
      </c>
      <c r="T5195" s="1" t="s">
        <v>273</v>
      </c>
      <c r="V5195" s="5">
        <v>43806</v>
      </c>
      <c r="W5195" s="5">
        <v>42552</v>
      </c>
      <c r="X5195" s="1">
        <v>22700000</v>
      </c>
      <c r="Y5195" s="1">
        <v>22700000</v>
      </c>
      <c r="Z5195" s="5">
        <v>42552</v>
      </c>
      <c r="AA5195" s="1">
        <v>23386675</v>
      </c>
      <c r="AB5195" s="1" t="s">
        <v>3627</v>
      </c>
      <c r="AC5195" s="5">
        <v>43516</v>
      </c>
      <c r="AF5195" s="1">
        <v>10019</v>
      </c>
      <c r="AI5195" s="1" t="s">
        <v>101</v>
      </c>
      <c r="AJ5195" s="1">
        <v>2018</v>
      </c>
      <c r="AK5195" s="1" t="s">
        <v>46</v>
      </c>
      <c r="AL5195" s="1">
        <v>117</v>
      </c>
    </row>
    <row r="5196" spans="1:38" x14ac:dyDescent="0.2">
      <c r="A5196" s="2" t="str">
        <f>HYPERLINK("https://www.compass.com/listing/220-central-park-south-unit-42a-manhattan-ny-10019/213574524292083025/","220 Central Park S, Unit 42A")</f>
        <v>220 Central Park S, Unit 42A</v>
      </c>
      <c r="B5196" s="2" t="str">
        <f t="shared" si="879"/>
        <v>220 Central Park South</v>
      </c>
      <c r="C5196" s="1" t="s">
        <v>260</v>
      </c>
      <c r="D5196" s="1" t="s">
        <v>41</v>
      </c>
      <c r="E5196" s="3">
        <v>23725225</v>
      </c>
      <c r="F5196" s="1">
        <v>7618.8904945407803</v>
      </c>
      <c r="G5196" s="1">
        <v>5</v>
      </c>
      <c r="H5196" s="1">
        <v>3</v>
      </c>
      <c r="I5196" s="1">
        <v>4</v>
      </c>
      <c r="J5196" s="1">
        <v>3.5</v>
      </c>
      <c r="K5196" s="1">
        <v>3</v>
      </c>
      <c r="L5196" s="1">
        <v>1</v>
      </c>
      <c r="M5196" s="4">
        <v>3114</v>
      </c>
      <c r="N5196" s="1">
        <v>5917</v>
      </c>
      <c r="O5196" s="1">
        <v>13229</v>
      </c>
      <c r="P5196" s="1">
        <v>7312</v>
      </c>
      <c r="Q5196" s="1" t="s">
        <v>42</v>
      </c>
      <c r="S5196" s="1" t="s">
        <v>42</v>
      </c>
      <c r="T5196" s="1" t="s">
        <v>273</v>
      </c>
      <c r="U5196" s="1">
        <v>4</v>
      </c>
      <c r="V5196" s="5">
        <v>43806</v>
      </c>
      <c r="W5196" s="5">
        <v>42262</v>
      </c>
      <c r="X5196" s="1">
        <v>23300000</v>
      </c>
      <c r="Y5196" s="1">
        <v>23300000</v>
      </c>
      <c r="Z5196" s="5">
        <v>42266</v>
      </c>
      <c r="AA5196" s="1">
        <v>23725225</v>
      </c>
      <c r="AB5196" s="1" t="s">
        <v>3628</v>
      </c>
      <c r="AC5196" s="5">
        <v>43545</v>
      </c>
      <c r="AF5196" s="1">
        <v>10019</v>
      </c>
      <c r="AI5196" s="1" t="s">
        <v>101</v>
      </c>
      <c r="AJ5196" s="1">
        <v>2018</v>
      </c>
      <c r="AK5196" s="1" t="s">
        <v>46</v>
      </c>
      <c r="AL5196" s="1">
        <v>117</v>
      </c>
    </row>
    <row r="5197" spans="1:38" x14ac:dyDescent="0.2">
      <c r="A5197" s="2" t="str">
        <f>HYPERLINK("https://www.compass.com/listing/220-central-park-south-unit-36a-manhattan-ny-10019/237620348026221857/","220 Central Park S, Unit 36A")</f>
        <v>220 Central Park S, Unit 36A</v>
      </c>
      <c r="B5197" s="2" t="str">
        <f t="shared" si="879"/>
        <v>220 Central Park South</v>
      </c>
      <c r="C5197" s="1" t="s">
        <v>260</v>
      </c>
      <c r="D5197" s="1" t="s">
        <v>41</v>
      </c>
      <c r="E5197" s="3">
        <v>19855875</v>
      </c>
      <c r="F5197" s="1">
        <v>6376.3246628131001</v>
      </c>
      <c r="G5197" s="1">
        <v>5</v>
      </c>
      <c r="H5197" s="1">
        <v>3</v>
      </c>
      <c r="I5197" s="1">
        <v>4</v>
      </c>
      <c r="J5197" s="1">
        <v>3.5</v>
      </c>
      <c r="K5197" s="1">
        <v>3</v>
      </c>
      <c r="L5197" s="1">
        <v>1</v>
      </c>
      <c r="M5197" s="4">
        <v>3114</v>
      </c>
      <c r="N5197" s="1">
        <v>5820</v>
      </c>
      <c r="O5197" s="1">
        <v>13012</v>
      </c>
      <c r="P5197" s="1">
        <v>7192</v>
      </c>
      <c r="Q5197" s="1" t="s">
        <v>42</v>
      </c>
      <c r="S5197" s="1" t="s">
        <v>42</v>
      </c>
      <c r="T5197" s="1" t="s">
        <v>273</v>
      </c>
      <c r="V5197" s="5">
        <v>43806</v>
      </c>
      <c r="W5197" s="5">
        <v>42095</v>
      </c>
      <c r="X5197" s="1">
        <v>19500000</v>
      </c>
      <c r="Y5197" s="1">
        <v>19500000</v>
      </c>
      <c r="Z5197" s="5">
        <v>42095</v>
      </c>
      <c r="AA5197" s="1">
        <v>19855875</v>
      </c>
      <c r="AB5197" s="1" t="s">
        <v>3629</v>
      </c>
      <c r="AC5197" s="5">
        <v>43577</v>
      </c>
      <c r="AF5197" s="1">
        <v>10019</v>
      </c>
      <c r="AI5197" s="1" t="s">
        <v>101</v>
      </c>
      <c r="AJ5197" s="1">
        <v>2018</v>
      </c>
      <c r="AK5197" s="1" t="s">
        <v>46</v>
      </c>
      <c r="AL5197" s="1">
        <v>117</v>
      </c>
    </row>
    <row r="5198" spans="1:38" x14ac:dyDescent="0.2">
      <c r="A5198" s="2" t="str">
        <f>HYPERLINK("https://www.compass.com/listing/220-central-park-south-unit-43a-manhattan-ny-10019/252090352297682177/","220 Central Park S, Unit 43A")</f>
        <v>220 Central Park S, Unit 43A</v>
      </c>
      <c r="B5198" s="2" t="str">
        <f t="shared" si="879"/>
        <v>220 Central Park South</v>
      </c>
      <c r="C5198" s="1" t="s">
        <v>260</v>
      </c>
      <c r="D5198" s="1" t="s">
        <v>41</v>
      </c>
      <c r="E5198" s="3">
        <v>25456250</v>
      </c>
      <c r="F5198" s="1">
        <v>8174.7752087347399</v>
      </c>
      <c r="G5198" s="1">
        <v>5</v>
      </c>
      <c r="H5198" s="1">
        <v>3</v>
      </c>
      <c r="I5198" s="1">
        <v>4</v>
      </c>
      <c r="J5198" s="1">
        <v>3.5</v>
      </c>
      <c r="K5198" s="1">
        <v>3</v>
      </c>
      <c r="L5198" s="1">
        <v>1</v>
      </c>
      <c r="M5198" s="4">
        <v>3114</v>
      </c>
      <c r="N5198" s="1">
        <v>5933</v>
      </c>
      <c r="O5198" s="1">
        <v>13265</v>
      </c>
      <c r="P5198" s="1">
        <v>7332</v>
      </c>
      <c r="Q5198" s="1" t="s">
        <v>42</v>
      </c>
      <c r="S5198" s="1" t="s">
        <v>42</v>
      </c>
      <c r="T5198" s="1" t="s">
        <v>273</v>
      </c>
      <c r="V5198" s="5">
        <v>43806</v>
      </c>
      <c r="W5198" s="5">
        <v>43495</v>
      </c>
      <c r="X5198" s="1">
        <v>25000000</v>
      </c>
      <c r="Y5198" s="1">
        <v>25000000</v>
      </c>
      <c r="Z5198" s="5">
        <v>43495</v>
      </c>
      <c r="AA5198" s="1">
        <v>25456250</v>
      </c>
      <c r="AB5198" s="1" t="s">
        <v>3630</v>
      </c>
      <c r="AC5198" s="5">
        <v>43594</v>
      </c>
      <c r="AF5198" s="1">
        <v>10019</v>
      </c>
      <c r="AI5198" s="1" t="s">
        <v>101</v>
      </c>
      <c r="AJ5198" s="1">
        <v>2018</v>
      </c>
      <c r="AK5198" s="1" t="s">
        <v>46</v>
      </c>
      <c r="AL5198" s="1">
        <v>117</v>
      </c>
    </row>
    <row r="5199" spans="1:38" x14ac:dyDescent="0.2">
      <c r="A5199" s="2" t="str">
        <f>HYPERLINK("https://www.compass.com/listing/220-central-park-south-unit-44a-manhattan-ny-10019/252090352557630545/","220 Central Park S, Unit 44A")</f>
        <v>220 Central Park S, Unit 44A</v>
      </c>
      <c r="B5199" s="2" t="str">
        <f t="shared" si="879"/>
        <v>220 Central Park South</v>
      </c>
      <c r="C5199" s="1" t="s">
        <v>260</v>
      </c>
      <c r="D5199" s="1" t="s">
        <v>41</v>
      </c>
      <c r="E5199" s="3">
        <v>26474500</v>
      </c>
      <c r="F5199" s="1">
        <v>8501.7662170841304</v>
      </c>
      <c r="G5199" s="1">
        <v>5</v>
      </c>
      <c r="H5199" s="1">
        <v>3</v>
      </c>
      <c r="I5199" s="1">
        <v>4</v>
      </c>
      <c r="J5199" s="1">
        <v>3.5</v>
      </c>
      <c r="K5199" s="1">
        <v>3</v>
      </c>
      <c r="L5199" s="1">
        <v>1</v>
      </c>
      <c r="M5199" s="4">
        <v>3114</v>
      </c>
      <c r="N5199" s="1">
        <v>5949</v>
      </c>
      <c r="O5199" s="1">
        <v>13301</v>
      </c>
      <c r="P5199" s="1">
        <v>7352</v>
      </c>
      <c r="Q5199" s="1" t="s">
        <v>42</v>
      </c>
      <c r="S5199" s="1" t="s">
        <v>42</v>
      </c>
      <c r="T5199" s="1" t="s">
        <v>273</v>
      </c>
      <c r="V5199" s="5">
        <v>43806</v>
      </c>
      <c r="W5199" s="5">
        <v>43594</v>
      </c>
      <c r="X5199" s="1">
        <v>28250000</v>
      </c>
      <c r="Y5199" s="1">
        <v>28250000</v>
      </c>
      <c r="Z5199" s="5">
        <v>43484</v>
      </c>
      <c r="AA5199" s="1">
        <v>26474500</v>
      </c>
      <c r="AB5199" s="1" t="s">
        <v>275</v>
      </c>
      <c r="AC5199" s="5">
        <v>43594</v>
      </c>
      <c r="AF5199" s="1">
        <v>10019</v>
      </c>
      <c r="AI5199" s="1" t="s">
        <v>101</v>
      </c>
      <c r="AJ5199" s="1">
        <v>2018</v>
      </c>
      <c r="AK5199" s="1" t="s">
        <v>46</v>
      </c>
      <c r="AL5199" s="1">
        <v>117</v>
      </c>
    </row>
    <row r="5200" spans="1:38" x14ac:dyDescent="0.2">
      <c r="A5200" s="2" t="str">
        <f>HYPERLINK("https://www.compass.com/listing/220-central-park-south-unit-44b-manhattan-ny-10019/298515051883374945/","220 Central Park S, Unit 44B")</f>
        <v>220 Central Park S, Unit 44B</v>
      </c>
      <c r="B5200" s="2" t="str">
        <f t="shared" si="879"/>
        <v>220 Central Park South</v>
      </c>
      <c r="C5200" s="1" t="s">
        <v>260</v>
      </c>
      <c r="D5200" s="1" t="s">
        <v>41</v>
      </c>
      <c r="E5200" s="3">
        <v>29250000</v>
      </c>
      <c r="F5200" s="1">
        <v>9612.2247781794194</v>
      </c>
      <c r="G5200" s="1">
        <v>5</v>
      </c>
      <c r="H5200" s="1">
        <v>3</v>
      </c>
      <c r="I5200" s="1">
        <v>4</v>
      </c>
      <c r="J5200" s="1">
        <v>3.5</v>
      </c>
      <c r="K5200" s="1">
        <v>3</v>
      </c>
      <c r="L5200" s="1">
        <v>1</v>
      </c>
      <c r="M5200" s="4">
        <v>3043</v>
      </c>
      <c r="N5200" s="1">
        <v>5910</v>
      </c>
      <c r="O5200" s="1">
        <v>13213</v>
      </c>
      <c r="P5200" s="1">
        <v>7303</v>
      </c>
      <c r="Q5200" s="1" t="s">
        <v>42</v>
      </c>
      <c r="S5200" s="1" t="s">
        <v>42</v>
      </c>
      <c r="T5200" s="1" t="s">
        <v>273</v>
      </c>
      <c r="U5200" s="1">
        <v>36</v>
      </c>
      <c r="V5200" s="5">
        <v>43806</v>
      </c>
      <c r="W5200" s="5">
        <v>43434</v>
      </c>
      <c r="X5200" s="1">
        <v>26750000</v>
      </c>
      <c r="Y5200" s="1">
        <v>26750000</v>
      </c>
      <c r="Z5200" s="5">
        <v>43470</v>
      </c>
      <c r="AA5200" s="1">
        <v>26750000</v>
      </c>
      <c r="AB5200" s="1" t="s">
        <v>3631</v>
      </c>
      <c r="AC5200" s="5">
        <v>43662</v>
      </c>
      <c r="AF5200" s="1">
        <v>10019</v>
      </c>
      <c r="AI5200" s="1" t="s">
        <v>101</v>
      </c>
      <c r="AJ5200" s="1">
        <v>2018</v>
      </c>
      <c r="AK5200" s="1" t="s">
        <v>46</v>
      </c>
      <c r="AL5200" s="1">
        <v>117</v>
      </c>
    </row>
    <row r="5201" spans="1:38" x14ac:dyDescent="0.2">
      <c r="A5201" s="2" t="str">
        <f>HYPERLINK("https://www.compass.com/listing/220-central-park-south-unit-37b-manhattan-ny-10019/298531908698695153/","220 Central Park S, Unit 37B")</f>
        <v>220 Central Park S, Unit 37B</v>
      </c>
      <c r="B5201" s="2" t="str">
        <f t="shared" si="879"/>
        <v>220 Central Park South</v>
      </c>
      <c r="C5201" s="1" t="s">
        <v>260</v>
      </c>
      <c r="D5201" s="1" t="s">
        <v>41</v>
      </c>
      <c r="E5201" s="3">
        <v>22197850</v>
      </c>
      <c r="F5201" s="1">
        <v>7294.7255997371003</v>
      </c>
      <c r="G5201" s="1">
        <v>5</v>
      </c>
      <c r="H5201" s="1">
        <v>3</v>
      </c>
      <c r="I5201" s="1">
        <v>4</v>
      </c>
      <c r="J5201" s="1">
        <v>3.5</v>
      </c>
      <c r="K5201" s="1">
        <v>3</v>
      </c>
      <c r="L5201" s="1">
        <v>1</v>
      </c>
      <c r="M5201" s="4">
        <v>3043</v>
      </c>
      <c r="N5201" s="1">
        <v>5797</v>
      </c>
      <c r="O5201" s="1">
        <v>12960</v>
      </c>
      <c r="P5201" s="1">
        <v>7163</v>
      </c>
      <c r="Q5201" s="1" t="s">
        <v>42</v>
      </c>
      <c r="S5201" s="1" t="s">
        <v>42</v>
      </c>
      <c r="T5201" s="1" t="s">
        <v>273</v>
      </c>
      <c r="U5201" s="1">
        <v>7</v>
      </c>
      <c r="V5201" s="5">
        <v>43806</v>
      </c>
      <c r="W5201" s="5">
        <v>42153</v>
      </c>
      <c r="X5201" s="1">
        <v>22800000</v>
      </c>
      <c r="Y5201" s="1">
        <v>22197850</v>
      </c>
      <c r="Z5201" s="5">
        <v>42160</v>
      </c>
      <c r="AA5201" s="1">
        <v>22197850</v>
      </c>
      <c r="AB5201" s="1" t="s">
        <v>3632</v>
      </c>
      <c r="AC5201" s="5">
        <v>43663</v>
      </c>
      <c r="AF5201" s="1">
        <v>10019</v>
      </c>
      <c r="AI5201" s="1" t="s">
        <v>101</v>
      </c>
      <c r="AJ5201" s="1">
        <v>2018</v>
      </c>
      <c r="AK5201" s="1" t="s">
        <v>46</v>
      </c>
      <c r="AL5201" s="1">
        <v>117</v>
      </c>
    </row>
    <row r="5202" spans="1:38" x14ac:dyDescent="0.2">
      <c r="A5202" s="2" t="str">
        <f>HYPERLINK("https://www.compass.com/listing/220-central-park-south-unit-39b-manhattan-ny-10019/308684252988171665/","220 Central Park S, Unit 39B")</f>
        <v>220 Central Park S, Unit 39B</v>
      </c>
      <c r="B5202" s="2" t="str">
        <f t="shared" si="879"/>
        <v>220 Central Park South</v>
      </c>
      <c r="C5202" s="1" t="s">
        <v>260</v>
      </c>
      <c r="D5202" s="1" t="s">
        <v>41</v>
      </c>
      <c r="E5202" s="3">
        <v>24107850</v>
      </c>
      <c r="F5202" s="1">
        <v>7922.3956621754796</v>
      </c>
      <c r="G5202" s="1">
        <v>5</v>
      </c>
      <c r="H5202" s="1">
        <v>3</v>
      </c>
      <c r="I5202" s="1">
        <v>4</v>
      </c>
      <c r="J5202" s="1">
        <v>3.5</v>
      </c>
      <c r="K5202" s="1">
        <v>3</v>
      </c>
      <c r="L5202" s="1">
        <v>1</v>
      </c>
      <c r="M5202" s="4">
        <v>3043</v>
      </c>
      <c r="N5202" s="1">
        <v>5829</v>
      </c>
      <c r="O5202" s="1">
        <v>13032</v>
      </c>
      <c r="P5202" s="1">
        <v>7203</v>
      </c>
      <c r="Q5202" s="1" t="s">
        <v>100</v>
      </c>
      <c r="S5202" s="1" t="s">
        <v>100</v>
      </c>
      <c r="T5202" s="1" t="s">
        <v>273</v>
      </c>
      <c r="U5202" s="1">
        <v>366</v>
      </c>
      <c r="V5202" s="5">
        <v>43806</v>
      </c>
      <c r="W5202" s="5">
        <v>42396</v>
      </c>
      <c r="X5202" s="1">
        <v>23400000</v>
      </c>
      <c r="Y5202" s="1">
        <v>24107850</v>
      </c>
      <c r="Z5202" s="5">
        <v>42762</v>
      </c>
      <c r="AA5202" s="1">
        <v>24107850</v>
      </c>
      <c r="AB5202" s="1" t="s">
        <v>3633</v>
      </c>
      <c r="AC5202" s="5">
        <v>43677</v>
      </c>
      <c r="AF5202" s="1">
        <v>10019</v>
      </c>
      <c r="AI5202" s="1" t="s">
        <v>101</v>
      </c>
      <c r="AJ5202" s="1">
        <v>2018</v>
      </c>
      <c r="AK5202" s="1" t="s">
        <v>46</v>
      </c>
      <c r="AL5202" s="1">
        <v>117</v>
      </c>
    </row>
    <row r="5203" spans="1:38" x14ac:dyDescent="0.2">
      <c r="A5203" s="2" t="str">
        <f>HYPERLINK("https://www.compass.com/listing/220-central-park-south-unit-42b-manhattan-ny-10019/315142719202281297/","220 Central Park S, Unit 42B")</f>
        <v>220 Central Park S, Unit 42B</v>
      </c>
      <c r="B5203" s="2" t="str">
        <f t="shared" si="879"/>
        <v>220 Central Park South</v>
      </c>
      <c r="C5203" s="1" t="s">
        <v>260</v>
      </c>
      <c r="D5203" s="1" t="s">
        <v>41</v>
      </c>
      <c r="E5203" s="3">
        <v>24001170</v>
      </c>
      <c r="F5203" s="1">
        <v>7887.3381531383502</v>
      </c>
      <c r="G5203" s="1">
        <v>5</v>
      </c>
      <c r="H5203" s="1">
        <v>3</v>
      </c>
      <c r="I5203" s="1">
        <v>4</v>
      </c>
      <c r="J5203" s="1">
        <v>3.5</v>
      </c>
      <c r="K5203" s="1">
        <v>3</v>
      </c>
      <c r="L5203" s="1">
        <v>1</v>
      </c>
      <c r="M5203" s="4">
        <v>3043</v>
      </c>
      <c r="N5203" s="1">
        <v>6215</v>
      </c>
      <c r="O5203" s="1">
        <v>11543</v>
      </c>
      <c r="P5203" s="1">
        <v>5328</v>
      </c>
      <c r="Q5203" s="1" t="s">
        <v>42</v>
      </c>
      <c r="S5203" s="1" t="s">
        <v>42</v>
      </c>
      <c r="T5203" s="1" t="s">
        <v>273</v>
      </c>
      <c r="V5203" s="5">
        <v>43806</v>
      </c>
      <c r="W5203" s="5">
        <v>42411</v>
      </c>
      <c r="X5203" s="1">
        <v>24001170</v>
      </c>
      <c r="Y5203" s="1">
        <v>24300000</v>
      </c>
      <c r="Z5203" s="5">
        <v>42412</v>
      </c>
      <c r="AA5203" s="1">
        <v>24001170</v>
      </c>
      <c r="AB5203" s="1" t="s">
        <v>3634</v>
      </c>
      <c r="AC5203" s="5">
        <v>43687</v>
      </c>
      <c r="AF5203" s="1">
        <v>10019</v>
      </c>
      <c r="AI5203" s="1" t="s">
        <v>101</v>
      </c>
      <c r="AJ5203" s="1">
        <v>2018</v>
      </c>
      <c r="AK5203" s="1" t="s">
        <v>46</v>
      </c>
      <c r="AL5203" s="1">
        <v>117</v>
      </c>
    </row>
    <row r="5204" spans="1:38" x14ac:dyDescent="0.2">
      <c r="A5204" s="2" t="str">
        <f>HYPERLINK("https://www.compass.com/listing/220-central-park-south-unit-36b-manhattan-ny-10019/378875490403515329/","220 Central Park S, Unit 36B")</f>
        <v>220 Central Park S, Unit 36B</v>
      </c>
      <c r="B5204" s="2" t="str">
        <f t="shared" si="879"/>
        <v>220 Central Park South</v>
      </c>
      <c r="C5204" s="1" t="s">
        <v>260</v>
      </c>
      <c r="D5204" s="1" t="s">
        <v>41</v>
      </c>
      <c r="E5204" s="3">
        <v>21892375</v>
      </c>
      <c r="F5204" s="1">
        <v>7194.3394676306198</v>
      </c>
      <c r="G5204" s="1">
        <v>5</v>
      </c>
      <c r="H5204" s="1">
        <v>3</v>
      </c>
      <c r="I5204" s="1">
        <v>4</v>
      </c>
      <c r="J5204" s="1">
        <v>3.5</v>
      </c>
      <c r="K5204" s="1">
        <v>3</v>
      </c>
      <c r="L5204" s="1">
        <v>1</v>
      </c>
      <c r="M5204" s="4">
        <v>3043</v>
      </c>
      <c r="N5204" s="1">
        <v>6112</v>
      </c>
      <c r="O5204" s="1">
        <v>11352</v>
      </c>
      <c r="P5204" s="1">
        <v>5240</v>
      </c>
      <c r="Q5204" s="1" t="s">
        <v>42</v>
      </c>
      <c r="S5204" s="1" t="s">
        <v>42</v>
      </c>
      <c r="T5204" s="1" t="s">
        <v>273</v>
      </c>
      <c r="U5204" s="1">
        <v>1622</v>
      </c>
      <c r="V5204" s="5">
        <v>43775</v>
      </c>
      <c r="W5204" s="5">
        <v>42110</v>
      </c>
      <c r="X5204" s="1">
        <v>21500000</v>
      </c>
      <c r="Y5204" s="1">
        <v>21500000</v>
      </c>
      <c r="AA5204" s="1">
        <v>21892375</v>
      </c>
      <c r="AB5204" s="1" t="s">
        <v>3635</v>
      </c>
      <c r="AC5204" s="5">
        <v>43732</v>
      </c>
      <c r="AF5204" s="1">
        <v>10019</v>
      </c>
      <c r="AI5204" s="1" t="s">
        <v>101</v>
      </c>
      <c r="AJ5204" s="1">
        <v>2018</v>
      </c>
      <c r="AK5204" s="1" t="s">
        <v>46</v>
      </c>
      <c r="AL5204" s="1">
        <v>117</v>
      </c>
    </row>
    <row r="5205" spans="1:38" x14ac:dyDescent="0.2">
      <c r="A5205" s="2" t="str">
        <f>HYPERLINK("https://www.compass.com/listing/220-central-park-south-unit-54b-manhattan-ny-10019/391205957733590097/","220 Central Park S, Unit 54B")</f>
        <v>220 Central Park S, Unit 54B</v>
      </c>
      <c r="B5205" s="2" t="str">
        <f t="shared" si="879"/>
        <v>220 Central Park South</v>
      </c>
      <c r="C5205" s="1" t="s">
        <v>260</v>
      </c>
      <c r="D5205" s="1" t="s">
        <v>41</v>
      </c>
      <c r="E5205" s="3">
        <v>26219938</v>
      </c>
      <c r="F5205" s="1">
        <v>8137.7832091868404</v>
      </c>
      <c r="G5205" s="1">
        <v>5</v>
      </c>
      <c r="H5205" s="1">
        <v>3</v>
      </c>
      <c r="I5205" s="1">
        <v>4</v>
      </c>
      <c r="J5205" s="1">
        <v>3.5</v>
      </c>
      <c r="K5205" s="1">
        <v>3</v>
      </c>
      <c r="L5205" s="1">
        <v>1</v>
      </c>
      <c r="M5205" s="4">
        <v>3222</v>
      </c>
      <c r="N5205" s="1">
        <v>6621</v>
      </c>
      <c r="O5205" s="1">
        <v>12297</v>
      </c>
      <c r="P5205" s="1">
        <v>5676</v>
      </c>
      <c r="Q5205" s="1" t="s">
        <v>42</v>
      </c>
      <c r="S5205" s="1" t="s">
        <v>42</v>
      </c>
      <c r="T5205" s="1" t="s">
        <v>273</v>
      </c>
      <c r="U5205" s="1">
        <v>1671</v>
      </c>
      <c r="V5205" s="5">
        <v>43802</v>
      </c>
      <c r="W5205" s="5">
        <v>42117</v>
      </c>
      <c r="X5205" s="1">
        <v>25750000</v>
      </c>
      <c r="Y5205" s="1">
        <v>25750000</v>
      </c>
      <c r="AA5205" s="1">
        <v>26219937.5</v>
      </c>
      <c r="AB5205" s="1" t="s">
        <v>3636</v>
      </c>
      <c r="AC5205" s="5">
        <v>43788</v>
      </c>
      <c r="AF5205" s="1">
        <v>10019</v>
      </c>
      <c r="AI5205" s="1" t="s">
        <v>101</v>
      </c>
      <c r="AJ5205" s="1">
        <v>2018</v>
      </c>
      <c r="AK5205" s="1" t="s">
        <v>46</v>
      </c>
      <c r="AL5205" s="1">
        <v>117</v>
      </c>
    </row>
    <row r="5206" spans="1:38" x14ac:dyDescent="0.2">
      <c r="A5206" s="2" t="str">
        <f>HYPERLINK("https://www.compass.com/listing/220-central-park-south-unit-55b-manhattan-ny-10019/400609475741149649/","220 Central Park S, Unit 55B")</f>
        <v>220 Central Park S, Unit 55B</v>
      </c>
      <c r="B5206" s="2" t="str">
        <f t="shared" si="879"/>
        <v>220 Central Park South</v>
      </c>
      <c r="C5206" s="1" t="s">
        <v>260</v>
      </c>
      <c r="D5206" s="1" t="s">
        <v>41</v>
      </c>
      <c r="E5206" s="3">
        <v>26786500</v>
      </c>
      <c r="F5206" s="1">
        <v>8342.1052631578896</v>
      </c>
      <c r="G5206" s="1">
        <v>5</v>
      </c>
      <c r="H5206" s="1">
        <v>3</v>
      </c>
      <c r="I5206" s="1">
        <v>4</v>
      </c>
      <c r="J5206" s="1">
        <v>3.5</v>
      </c>
      <c r="K5206" s="1">
        <v>3</v>
      </c>
      <c r="L5206" s="1">
        <v>1</v>
      </c>
      <c r="M5206" s="4">
        <v>3211</v>
      </c>
      <c r="N5206" s="1">
        <v>6611</v>
      </c>
      <c r="O5206" s="1">
        <v>12278</v>
      </c>
      <c r="P5206" s="1">
        <v>5667</v>
      </c>
      <c r="Q5206" s="1" t="s">
        <v>42</v>
      </c>
      <c r="S5206" s="1" t="s">
        <v>42</v>
      </c>
      <c r="T5206" s="1" t="s">
        <v>273</v>
      </c>
      <c r="U5206" s="1">
        <v>1692</v>
      </c>
      <c r="V5206" s="5">
        <v>43848</v>
      </c>
      <c r="W5206" s="5">
        <v>42110</v>
      </c>
      <c r="X5206" s="1">
        <v>26000000</v>
      </c>
      <c r="Y5206" s="1">
        <v>26000000</v>
      </c>
      <c r="AA5206" s="1">
        <v>26786500</v>
      </c>
      <c r="AB5206" s="1" t="s">
        <v>3637</v>
      </c>
      <c r="AC5206" s="5">
        <v>43802</v>
      </c>
      <c r="AF5206" s="1">
        <v>10019</v>
      </c>
      <c r="AI5206" s="1" t="s">
        <v>101</v>
      </c>
      <c r="AJ5206" s="1">
        <v>2018</v>
      </c>
      <c r="AK5206" s="1" t="s">
        <v>46</v>
      </c>
      <c r="AL5206" s="1">
        <v>117</v>
      </c>
    </row>
    <row r="5207" spans="1:38" x14ac:dyDescent="0.2">
      <c r="A5207" s="2" t="str">
        <f>HYPERLINK("https://www.compass.com/listing/220-central-park-south-unit-59a-manhattan-ny-10019/408637053788309953/","220 Central Park S, Unit 59A")</f>
        <v>220 Central Park S, Unit 59A</v>
      </c>
      <c r="B5207" s="2" t="str">
        <f t="shared" si="879"/>
        <v>220 Central Park South</v>
      </c>
      <c r="C5207" s="1" t="s">
        <v>260</v>
      </c>
      <c r="D5207" s="1" t="s">
        <v>41</v>
      </c>
      <c r="E5207" s="3">
        <v>36051141</v>
      </c>
      <c r="F5207" s="1">
        <v>9452.31810435238</v>
      </c>
      <c r="G5207" s="1">
        <v>5</v>
      </c>
      <c r="H5207" s="1">
        <v>3</v>
      </c>
      <c r="I5207" s="1">
        <v>4</v>
      </c>
      <c r="J5207" s="1">
        <v>3.5</v>
      </c>
      <c r="K5207" s="1">
        <v>3</v>
      </c>
      <c r="L5207" s="1">
        <v>1</v>
      </c>
      <c r="M5207" s="4">
        <v>3814</v>
      </c>
      <c r="N5207" s="1">
        <v>7708</v>
      </c>
      <c r="O5207" s="1">
        <v>14316</v>
      </c>
      <c r="P5207" s="1">
        <v>6608</v>
      </c>
      <c r="Q5207" s="1" t="s">
        <v>42</v>
      </c>
      <c r="S5207" s="1" t="s">
        <v>42</v>
      </c>
      <c r="T5207" s="1" t="s">
        <v>273</v>
      </c>
      <c r="U5207" s="1">
        <v>788</v>
      </c>
      <c r="V5207" s="5">
        <v>43817</v>
      </c>
      <c r="W5207" s="5">
        <v>43017</v>
      </c>
      <c r="X5207" s="1">
        <v>36500000</v>
      </c>
      <c r="Y5207" s="1">
        <v>36500000</v>
      </c>
      <c r="AA5207" s="1">
        <v>36051141.25</v>
      </c>
      <c r="AB5207" s="1" t="s">
        <v>3638</v>
      </c>
      <c r="AC5207" s="5">
        <v>43805</v>
      </c>
      <c r="AF5207" s="1">
        <v>10019</v>
      </c>
      <c r="AI5207" s="1" t="s">
        <v>101</v>
      </c>
      <c r="AJ5207" s="1">
        <v>2018</v>
      </c>
      <c r="AK5207" s="1" t="s">
        <v>46</v>
      </c>
      <c r="AL5207" s="1">
        <v>117</v>
      </c>
    </row>
    <row r="5208" spans="1:38" x14ac:dyDescent="0.2">
      <c r="A5208" s="2" t="str">
        <f>HYPERLINK("https://www.compass.com/listing/220-central-park-south-unit-44a-manhattan-ny-10019/841525533427291569/","220 Central Park S, Unit 44A")</f>
        <v>220 Central Park S, Unit 44A</v>
      </c>
      <c r="B5208" s="2" t="str">
        <f t="shared" si="879"/>
        <v>220 Central Park South</v>
      </c>
      <c r="C5208" s="1" t="s">
        <v>260</v>
      </c>
      <c r="D5208" s="1" t="s">
        <v>41</v>
      </c>
      <c r="E5208" s="3">
        <v>26474500</v>
      </c>
      <c r="F5208" s="1">
        <v>8501.7662170841304</v>
      </c>
      <c r="H5208" s="1">
        <v>3</v>
      </c>
      <c r="J5208" s="1">
        <v>3.5</v>
      </c>
      <c r="K5208" s="1">
        <v>3</v>
      </c>
      <c r="L5208" s="1">
        <v>1</v>
      </c>
      <c r="M5208" s="4">
        <v>3114</v>
      </c>
      <c r="N5208" s="1">
        <v>5949</v>
      </c>
      <c r="O5208" s="1">
        <v>13301</v>
      </c>
      <c r="P5208" s="1">
        <v>7352</v>
      </c>
      <c r="Q5208" s="1" t="s">
        <v>42</v>
      </c>
      <c r="S5208" s="1" t="s">
        <v>42</v>
      </c>
      <c r="T5208" s="1" t="s">
        <v>273</v>
      </c>
      <c r="AA5208" s="1">
        <v>26474500</v>
      </c>
      <c r="AB5208" s="1" t="s">
        <v>3639</v>
      </c>
      <c r="AC5208" s="5">
        <v>43594</v>
      </c>
      <c r="AF5208" s="1">
        <v>10019</v>
      </c>
      <c r="AI5208" s="1" t="s">
        <v>101</v>
      </c>
      <c r="AJ5208" s="1">
        <v>2018</v>
      </c>
      <c r="AK5208" s="1" t="s">
        <v>49</v>
      </c>
      <c r="AL5208" s="1">
        <v>117</v>
      </c>
    </row>
    <row r="5209" spans="1:38" x14ac:dyDescent="0.2">
      <c r="A5209" s="2" t="str">
        <f>HYPERLINK("https://www.compass.com/listing/220-central-park-south-unit-25a-manhattan-ny-10019/110552240011473521/","220 Central Park S, Unit 25A")</f>
        <v>220 Central Park S, Unit 25A</v>
      </c>
      <c r="B5209" s="2" t="str">
        <f t="shared" si="879"/>
        <v>220 Central Park South</v>
      </c>
      <c r="C5209" s="1" t="s">
        <v>260</v>
      </c>
      <c r="D5209" s="1" t="s">
        <v>41</v>
      </c>
      <c r="E5209" s="3">
        <v>13186338</v>
      </c>
      <c r="F5209" s="1">
        <v>5508.0776942355797</v>
      </c>
      <c r="G5209" s="1">
        <v>4</v>
      </c>
      <c r="H5209" s="1">
        <v>2</v>
      </c>
      <c r="I5209" s="1">
        <v>3</v>
      </c>
      <c r="J5209" s="1">
        <v>2.5</v>
      </c>
      <c r="K5209" s="1">
        <v>2</v>
      </c>
      <c r="L5209" s="1">
        <v>1</v>
      </c>
      <c r="M5209" s="4">
        <v>2394</v>
      </c>
      <c r="N5209" s="1">
        <v>4323</v>
      </c>
      <c r="O5209" s="1">
        <v>9665</v>
      </c>
      <c r="P5209" s="1">
        <v>5342</v>
      </c>
      <c r="Q5209" s="1" t="s">
        <v>42</v>
      </c>
      <c r="S5209" s="1" t="s">
        <v>42</v>
      </c>
      <c r="T5209" s="1" t="s">
        <v>273</v>
      </c>
      <c r="V5209" s="5">
        <v>43806</v>
      </c>
      <c r="W5209" s="5">
        <v>42115</v>
      </c>
      <c r="X5209" s="1">
        <v>12950000</v>
      </c>
      <c r="Y5209" s="1">
        <v>12950000</v>
      </c>
      <c r="Z5209" s="5">
        <v>42115</v>
      </c>
      <c r="AA5209" s="1">
        <v>13186338</v>
      </c>
      <c r="AB5209" s="1" t="s">
        <v>3640</v>
      </c>
      <c r="AC5209" s="5">
        <v>43399</v>
      </c>
      <c r="AF5209" s="1">
        <v>10019</v>
      </c>
      <c r="AI5209" s="1" t="s">
        <v>101</v>
      </c>
      <c r="AJ5209" s="1">
        <v>2018</v>
      </c>
      <c r="AK5209" s="1" t="s">
        <v>46</v>
      </c>
      <c r="AL5209" s="1">
        <v>117</v>
      </c>
    </row>
    <row r="5210" spans="1:38" x14ac:dyDescent="0.2">
      <c r="A5210" s="2" t="str">
        <f>HYPERLINK("https://www.compass.com/listing/220-central-park-south-unit-24a-manhattan-ny-10019/111273382191914257/","220 Central Park S, Unit 24A")</f>
        <v>220 Central Park S, Unit 24A</v>
      </c>
      <c r="B5210" s="2" t="str">
        <f t="shared" si="879"/>
        <v>220 Central Park South</v>
      </c>
      <c r="C5210" s="1" t="s">
        <v>260</v>
      </c>
      <c r="D5210" s="1" t="s">
        <v>41</v>
      </c>
      <c r="E5210" s="3">
        <v>11857219</v>
      </c>
      <c r="F5210" s="1">
        <v>4952.8901420217198</v>
      </c>
      <c r="G5210" s="1">
        <v>4</v>
      </c>
      <c r="H5210" s="1">
        <v>2</v>
      </c>
      <c r="I5210" s="1">
        <v>3</v>
      </c>
      <c r="J5210" s="1">
        <v>2.5</v>
      </c>
      <c r="K5210" s="1">
        <v>2</v>
      </c>
      <c r="L5210" s="1">
        <v>1</v>
      </c>
      <c r="M5210" s="4">
        <v>2394</v>
      </c>
      <c r="N5210" s="1">
        <v>4313</v>
      </c>
      <c r="O5210" s="1">
        <v>9643</v>
      </c>
      <c r="P5210" s="1">
        <v>5330</v>
      </c>
      <c r="Q5210" s="1" t="s">
        <v>42</v>
      </c>
      <c r="S5210" s="1" t="s">
        <v>42</v>
      </c>
      <c r="T5210" s="1" t="s">
        <v>273</v>
      </c>
      <c r="U5210" s="1">
        <v>7</v>
      </c>
      <c r="V5210" s="5">
        <v>43808</v>
      </c>
      <c r="W5210" s="5">
        <v>43069</v>
      </c>
      <c r="X5210" s="1">
        <v>12800000</v>
      </c>
      <c r="Y5210" s="1">
        <v>12800000</v>
      </c>
      <c r="Z5210" s="5">
        <v>43076</v>
      </c>
      <c r="AA5210" s="1">
        <v>11857218.75</v>
      </c>
      <c r="AB5210" s="1" t="s">
        <v>3641</v>
      </c>
      <c r="AC5210" s="5">
        <v>43397</v>
      </c>
      <c r="AF5210" s="1">
        <v>10019</v>
      </c>
      <c r="AI5210" s="1" t="s">
        <v>101</v>
      </c>
      <c r="AJ5210" s="1">
        <v>2018</v>
      </c>
      <c r="AK5210" s="1" t="s">
        <v>46</v>
      </c>
      <c r="AL5210" s="1">
        <v>117</v>
      </c>
    </row>
    <row r="5211" spans="1:38" x14ac:dyDescent="0.2">
      <c r="A5211" s="2" t="str">
        <f>HYPERLINK("https://www.compass.com/listing/220-central-park-south-unit-26a-manhattan-ny-10019/117091667525257745/","220 Central Park S, Unit 26A")</f>
        <v>220 Central Park S, Unit 26A</v>
      </c>
      <c r="B5211" s="2" t="str">
        <f t="shared" si="879"/>
        <v>220 Central Park South</v>
      </c>
      <c r="C5211" s="1" t="s">
        <v>260</v>
      </c>
      <c r="D5211" s="1" t="s">
        <v>41</v>
      </c>
      <c r="E5211" s="3">
        <v>13339075</v>
      </c>
      <c r="F5211" s="1">
        <v>5571.8776106934001</v>
      </c>
      <c r="G5211" s="1">
        <v>4</v>
      </c>
      <c r="H5211" s="1">
        <v>2</v>
      </c>
      <c r="I5211" s="1">
        <v>3</v>
      </c>
      <c r="J5211" s="1">
        <v>2.5</v>
      </c>
      <c r="K5211" s="1">
        <v>2</v>
      </c>
      <c r="L5211" s="1">
        <v>1</v>
      </c>
      <c r="M5211" s="4">
        <v>2394</v>
      </c>
      <c r="N5211" s="1">
        <v>4332</v>
      </c>
      <c r="O5211" s="1">
        <v>9686</v>
      </c>
      <c r="P5211" s="1">
        <v>5354</v>
      </c>
      <c r="Q5211" s="1" t="s">
        <v>42</v>
      </c>
      <c r="S5211" s="1" t="s">
        <v>42</v>
      </c>
      <c r="T5211" s="1" t="s">
        <v>273</v>
      </c>
      <c r="V5211" s="5">
        <v>43806</v>
      </c>
      <c r="W5211" s="5">
        <v>42119</v>
      </c>
      <c r="X5211" s="1">
        <v>13100000</v>
      </c>
      <c r="Y5211" s="1">
        <v>13100000</v>
      </c>
      <c r="Z5211" s="5">
        <v>42119</v>
      </c>
      <c r="AA5211" s="1">
        <v>13339075</v>
      </c>
      <c r="AB5211" s="1" t="s">
        <v>3642</v>
      </c>
      <c r="AC5211" s="5">
        <v>43402</v>
      </c>
      <c r="AF5211" s="1">
        <v>10019</v>
      </c>
      <c r="AI5211" s="1" t="s">
        <v>101</v>
      </c>
      <c r="AJ5211" s="1">
        <v>2018</v>
      </c>
      <c r="AK5211" s="1" t="s">
        <v>46</v>
      </c>
      <c r="AL5211" s="1">
        <v>117</v>
      </c>
    </row>
    <row r="5212" spans="1:38" x14ac:dyDescent="0.2">
      <c r="A5212" s="2" t="str">
        <f>HYPERLINK("https://www.compass.com/listing/220-central-park-south-unit-27a-manhattan-ny-10019/125063223547331489/","220 Central Park S, Unit 27A")</f>
        <v>220 Central Park S, Unit 27A</v>
      </c>
      <c r="B5212" s="2" t="str">
        <f t="shared" si="879"/>
        <v>220 Central Park South</v>
      </c>
      <c r="C5212" s="1" t="s">
        <v>260</v>
      </c>
      <c r="D5212" s="1" t="s">
        <v>41</v>
      </c>
      <c r="E5212" s="3">
        <v>13491813</v>
      </c>
      <c r="F5212" s="1">
        <v>5635.6779448621501</v>
      </c>
      <c r="G5212" s="1">
        <v>4</v>
      </c>
      <c r="H5212" s="1">
        <v>2</v>
      </c>
      <c r="I5212" s="1">
        <v>3</v>
      </c>
      <c r="J5212" s="1">
        <v>2.5</v>
      </c>
      <c r="K5212" s="1">
        <v>2</v>
      </c>
      <c r="L5212" s="1">
        <v>1</v>
      </c>
      <c r="M5212" s="4">
        <v>2394</v>
      </c>
      <c r="N5212" s="1">
        <v>4342</v>
      </c>
      <c r="O5212" s="1">
        <v>9708</v>
      </c>
      <c r="P5212" s="1">
        <v>5366</v>
      </c>
      <c r="Q5212" s="1" t="s">
        <v>42</v>
      </c>
      <c r="S5212" s="1" t="s">
        <v>42</v>
      </c>
      <c r="T5212" s="1" t="s">
        <v>273</v>
      </c>
      <c r="V5212" s="5">
        <v>43808</v>
      </c>
      <c r="W5212" s="5">
        <v>42404</v>
      </c>
      <c r="X5212" s="1">
        <v>13250000</v>
      </c>
      <c r="Y5212" s="1">
        <v>13250000</v>
      </c>
      <c r="Z5212" s="5">
        <v>42404</v>
      </c>
      <c r="AA5212" s="1">
        <v>13491813</v>
      </c>
      <c r="AB5212" s="1" t="s">
        <v>3643</v>
      </c>
      <c r="AC5212" s="5">
        <v>43414</v>
      </c>
      <c r="AF5212" s="1">
        <v>10019</v>
      </c>
      <c r="AI5212" s="1" t="s">
        <v>101</v>
      </c>
      <c r="AJ5212" s="1">
        <v>2018</v>
      </c>
      <c r="AK5212" s="1" t="s">
        <v>46</v>
      </c>
      <c r="AL5212" s="1">
        <v>117</v>
      </c>
    </row>
    <row r="5213" spans="1:38" x14ac:dyDescent="0.2">
      <c r="A5213" s="2" t="str">
        <f>HYPERLINK("https://www.compass.com/listing/220-central-park-south-unit-28b-manhattan-ny-10019/252090352800894561/","220 Central Park S, Unit 28B")</f>
        <v>220 Central Park S, Unit 28B</v>
      </c>
      <c r="B5213" s="2" t="str">
        <f t="shared" si="879"/>
        <v>220 Central Park South</v>
      </c>
      <c r="C5213" s="1" t="s">
        <v>260</v>
      </c>
      <c r="D5213" s="1" t="s">
        <v>41</v>
      </c>
      <c r="E5213" s="3">
        <v>15782875</v>
      </c>
      <c r="F5213" s="1">
        <v>6428.8696537678197</v>
      </c>
      <c r="G5213" s="1">
        <v>4</v>
      </c>
      <c r="H5213" s="1">
        <v>2</v>
      </c>
      <c r="I5213" s="1">
        <v>3</v>
      </c>
      <c r="J5213" s="1">
        <v>2.5</v>
      </c>
      <c r="K5213" s="1">
        <v>2</v>
      </c>
      <c r="L5213" s="1">
        <v>1</v>
      </c>
      <c r="M5213" s="4">
        <v>2455</v>
      </c>
      <c r="N5213" s="1">
        <v>4554</v>
      </c>
      <c r="O5213" s="1">
        <v>10182</v>
      </c>
      <c r="P5213" s="1">
        <v>5628</v>
      </c>
      <c r="Q5213" s="1" t="s">
        <v>42</v>
      </c>
      <c r="S5213" s="1" t="s">
        <v>42</v>
      </c>
      <c r="T5213" s="1" t="s">
        <v>273</v>
      </c>
      <c r="U5213" s="1">
        <v>1</v>
      </c>
      <c r="V5213" s="5">
        <v>43806</v>
      </c>
      <c r="W5213" s="5">
        <v>42130</v>
      </c>
      <c r="X5213" s="1">
        <v>15500000</v>
      </c>
      <c r="Y5213" s="1">
        <v>15500000</v>
      </c>
      <c r="Z5213" s="5">
        <v>42131</v>
      </c>
      <c r="AA5213" s="1">
        <v>15782875</v>
      </c>
      <c r="AB5213" s="1" t="s">
        <v>3644</v>
      </c>
      <c r="AC5213" s="5">
        <v>43598</v>
      </c>
      <c r="AF5213" s="1">
        <v>10019</v>
      </c>
      <c r="AI5213" s="1" t="s">
        <v>101</v>
      </c>
      <c r="AJ5213" s="1">
        <v>2018</v>
      </c>
      <c r="AK5213" s="1" t="s">
        <v>46</v>
      </c>
      <c r="AL5213" s="1">
        <v>117</v>
      </c>
    </row>
    <row r="5214" spans="1:38" x14ac:dyDescent="0.2">
      <c r="A5214" s="2" t="str">
        <f>HYPERLINK("https://www.compass.com/listing/220-central-park-south-unit-30b-manhattan-ny-10019/252090353052657105/","220 Central Park S, Unit 30B")</f>
        <v>220 Central Park S, Unit 30B</v>
      </c>
      <c r="B5214" s="2" t="str">
        <f t="shared" si="879"/>
        <v>220 Central Park South</v>
      </c>
      <c r="C5214" s="1" t="s">
        <v>260</v>
      </c>
      <c r="D5214" s="1" t="s">
        <v>41</v>
      </c>
      <c r="E5214" s="3">
        <v>15782875</v>
      </c>
      <c r="F5214" s="1">
        <v>6428.8696537678197</v>
      </c>
      <c r="G5214" s="1">
        <v>4</v>
      </c>
      <c r="H5214" s="1">
        <v>2</v>
      </c>
      <c r="I5214" s="1">
        <v>3</v>
      </c>
      <c r="J5214" s="1">
        <v>2.5</v>
      </c>
      <c r="K5214" s="1">
        <v>2</v>
      </c>
      <c r="L5214" s="1">
        <v>1</v>
      </c>
      <c r="M5214" s="4">
        <v>2455</v>
      </c>
      <c r="N5214" s="1">
        <v>4574</v>
      </c>
      <c r="O5214" s="1">
        <v>10226</v>
      </c>
      <c r="P5214" s="1">
        <v>5652</v>
      </c>
      <c r="Q5214" s="1" t="s">
        <v>42</v>
      </c>
      <c r="S5214" s="1" t="s">
        <v>42</v>
      </c>
      <c r="T5214" s="1" t="s">
        <v>273</v>
      </c>
      <c r="V5214" s="5">
        <v>43806</v>
      </c>
      <c r="W5214" s="5">
        <v>43599</v>
      </c>
      <c r="X5214" s="1">
        <v>15500000</v>
      </c>
      <c r="Y5214" s="1">
        <v>15500000</v>
      </c>
      <c r="Z5214" s="5">
        <v>42116</v>
      </c>
      <c r="AA5214" s="1">
        <v>15782875</v>
      </c>
      <c r="AB5214" s="1" t="s">
        <v>275</v>
      </c>
      <c r="AC5214" s="5">
        <v>43599</v>
      </c>
      <c r="AF5214" s="1">
        <v>10019</v>
      </c>
      <c r="AI5214" s="1" t="s">
        <v>101</v>
      </c>
      <c r="AJ5214" s="1">
        <v>2018</v>
      </c>
      <c r="AK5214" s="1" t="s">
        <v>46</v>
      </c>
      <c r="AL5214" s="1">
        <v>117</v>
      </c>
    </row>
    <row r="5215" spans="1:38" x14ac:dyDescent="0.2">
      <c r="A5215" s="2" t="str">
        <f>HYPERLINK("https://www.compass.com/listing/220-central-park-south-unit-31b-manhattan-ny-10019/267358897818331457/","220 Central Park S, Unit 31B")</f>
        <v>220 Central Park S, Unit 31B</v>
      </c>
      <c r="B5215" s="2" t="str">
        <f t="shared" si="879"/>
        <v>220 Central Park South</v>
      </c>
      <c r="C5215" s="1" t="s">
        <v>260</v>
      </c>
      <c r="D5215" s="1" t="s">
        <v>41</v>
      </c>
      <c r="E5215" s="3">
        <v>16546563</v>
      </c>
      <c r="F5215" s="1">
        <v>6739.9441955193397</v>
      </c>
      <c r="G5215" s="1">
        <v>4</v>
      </c>
      <c r="H5215" s="1">
        <v>2</v>
      </c>
      <c r="I5215" s="1">
        <v>3</v>
      </c>
      <c r="J5215" s="1">
        <v>2.5</v>
      </c>
      <c r="K5215" s="1">
        <v>2</v>
      </c>
      <c r="L5215" s="1">
        <v>1</v>
      </c>
      <c r="M5215" s="4">
        <v>2455</v>
      </c>
      <c r="N5215" s="1">
        <v>4583</v>
      </c>
      <c r="O5215" s="1">
        <v>10247</v>
      </c>
      <c r="P5215" s="1">
        <v>5664</v>
      </c>
      <c r="Q5215" s="1" t="s">
        <v>42</v>
      </c>
      <c r="S5215" s="1" t="s">
        <v>42</v>
      </c>
      <c r="T5215" s="1" t="s">
        <v>273</v>
      </c>
      <c r="U5215" s="1">
        <v>56</v>
      </c>
      <c r="V5215" s="5">
        <v>43806</v>
      </c>
      <c r="W5215" s="5">
        <v>43556</v>
      </c>
      <c r="Y5215" s="1">
        <v>16250000</v>
      </c>
      <c r="Z5215" s="5">
        <v>43557</v>
      </c>
      <c r="AA5215" s="1">
        <v>16546563</v>
      </c>
      <c r="AB5215" s="1" t="s">
        <v>3645</v>
      </c>
      <c r="AC5215" s="5">
        <v>43615</v>
      </c>
      <c r="AF5215" s="1">
        <v>10019</v>
      </c>
      <c r="AI5215" s="1" t="s">
        <v>101</v>
      </c>
      <c r="AJ5215" s="1">
        <v>2018</v>
      </c>
      <c r="AK5215" s="1" t="s">
        <v>46</v>
      </c>
      <c r="AL5215" s="1">
        <v>117</v>
      </c>
    </row>
    <row r="5216" spans="1:38" x14ac:dyDescent="0.2">
      <c r="A5216" s="2" t="str">
        <f>HYPERLINK("https://www.compass.com/listing/220-central-park-south-unit-33b-manhattan-ny-10019/283219677629418241/","220 Central Park S, Unit 33B")</f>
        <v>220 Central Park S, Unit 33B</v>
      </c>
      <c r="B5216" s="2" t="str">
        <f t="shared" si="879"/>
        <v>220 Central Park South</v>
      </c>
      <c r="C5216" s="1" t="s">
        <v>260</v>
      </c>
      <c r="D5216" s="1" t="s">
        <v>41</v>
      </c>
      <c r="E5216" s="3">
        <v>16544016</v>
      </c>
      <c r="F5216" s="1">
        <v>6738.9067209775903</v>
      </c>
      <c r="G5216" s="1">
        <v>4</v>
      </c>
      <c r="H5216" s="1">
        <v>2</v>
      </c>
      <c r="I5216" s="1">
        <v>3</v>
      </c>
      <c r="J5216" s="1">
        <v>2.5</v>
      </c>
      <c r="K5216" s="1">
        <v>2</v>
      </c>
      <c r="L5216" s="1">
        <v>1</v>
      </c>
      <c r="M5216" s="4">
        <v>2455</v>
      </c>
      <c r="N5216" s="1">
        <v>4603</v>
      </c>
      <c r="O5216" s="1">
        <v>10291</v>
      </c>
      <c r="P5216" s="1">
        <v>5688</v>
      </c>
      <c r="Q5216" s="1" t="s">
        <v>42</v>
      </c>
      <c r="S5216" s="1" t="s">
        <v>42</v>
      </c>
      <c r="T5216" s="1" t="s">
        <v>273</v>
      </c>
      <c r="V5216" s="5">
        <v>43806</v>
      </c>
      <c r="W5216" s="5">
        <v>42411</v>
      </c>
      <c r="X5216" s="1">
        <v>16247500</v>
      </c>
      <c r="Y5216" s="1">
        <v>16247500</v>
      </c>
      <c r="Z5216" s="5">
        <v>42412</v>
      </c>
      <c r="AA5216" s="1">
        <v>16544016</v>
      </c>
      <c r="AB5216" s="1" t="s">
        <v>3646</v>
      </c>
      <c r="AC5216" s="5">
        <v>43643</v>
      </c>
      <c r="AF5216" s="1">
        <v>10019</v>
      </c>
      <c r="AI5216" s="1" t="s">
        <v>101</v>
      </c>
      <c r="AJ5216" s="1">
        <v>2018</v>
      </c>
      <c r="AK5216" s="1" t="s">
        <v>46</v>
      </c>
      <c r="AL5216" s="1">
        <v>117</v>
      </c>
    </row>
    <row r="5217" spans="1:38" x14ac:dyDescent="0.2">
      <c r="A5217" s="2" t="str">
        <f>HYPERLINK("https://www.compass.com/listing/220-central-park-south-unit-26c-manhattan-ny-10019/298515052696771745/","220 Central Park S, Unit 26C")</f>
        <v>220 Central Park S, Unit 26C</v>
      </c>
      <c r="B5217" s="2" t="str">
        <f t="shared" si="879"/>
        <v>220 Central Park South</v>
      </c>
      <c r="C5217" s="1" t="s">
        <v>260</v>
      </c>
      <c r="D5217" s="1" t="s">
        <v>41</v>
      </c>
      <c r="E5217" s="3">
        <v>14611887</v>
      </c>
      <c r="F5217" s="1">
        <v>5951.88879837067</v>
      </c>
      <c r="G5217" s="1">
        <v>4</v>
      </c>
      <c r="H5217" s="1">
        <v>2</v>
      </c>
      <c r="I5217" s="1">
        <v>3</v>
      </c>
      <c r="J5217" s="1">
        <v>2.5</v>
      </c>
      <c r="K5217" s="1">
        <v>2</v>
      </c>
      <c r="L5217" s="1">
        <v>1</v>
      </c>
      <c r="M5217" s="4">
        <v>2455</v>
      </c>
      <c r="N5217" s="1">
        <v>4499</v>
      </c>
      <c r="O5217" s="1">
        <v>10059</v>
      </c>
      <c r="P5217" s="1">
        <v>5560</v>
      </c>
      <c r="Q5217" s="1" t="s">
        <v>42</v>
      </c>
      <c r="S5217" s="1" t="s">
        <v>42</v>
      </c>
      <c r="T5217" s="1" t="s">
        <v>273</v>
      </c>
      <c r="V5217" s="5">
        <v>43806</v>
      </c>
      <c r="W5217" s="5">
        <v>42535</v>
      </c>
      <c r="X5217" s="1">
        <v>14350000</v>
      </c>
      <c r="Y5217" s="1">
        <v>14611887</v>
      </c>
      <c r="Z5217" s="5">
        <v>42536</v>
      </c>
      <c r="AA5217" s="1">
        <v>14611887</v>
      </c>
      <c r="AB5217" s="1" t="s">
        <v>3647</v>
      </c>
      <c r="AC5217" s="5">
        <v>43664</v>
      </c>
      <c r="AF5217" s="1">
        <v>10019</v>
      </c>
      <c r="AI5217" s="1" t="s">
        <v>101</v>
      </c>
      <c r="AJ5217" s="1">
        <v>2018</v>
      </c>
      <c r="AK5217" s="1" t="s">
        <v>46</v>
      </c>
      <c r="AL5217" s="1">
        <v>117</v>
      </c>
    </row>
    <row r="5218" spans="1:38" x14ac:dyDescent="0.2">
      <c r="A5218" s="2" t="str">
        <f>HYPERLINK("https://www.compass.com/listing/220-central-park-south-unit-58a-manhattan-ny-10019/350405996098186641/","220 Central Park S, Unit 58A")</f>
        <v>220 Central Park S, Unit 58A</v>
      </c>
      <c r="B5218" s="2" t="str">
        <f t="shared" si="879"/>
        <v>220 Central Park South</v>
      </c>
      <c r="C5218" s="1" t="s">
        <v>260</v>
      </c>
      <c r="D5218" s="1" t="s">
        <v>41</v>
      </c>
      <c r="E5218" s="3">
        <v>18500000</v>
      </c>
      <c r="F5218" s="1">
        <v>7610.0370218017197</v>
      </c>
      <c r="G5218" s="1">
        <v>4</v>
      </c>
      <c r="H5218" s="1">
        <v>2</v>
      </c>
      <c r="I5218" s="1">
        <v>3</v>
      </c>
      <c r="J5218" s="1">
        <v>2.5</v>
      </c>
      <c r="K5218" s="1">
        <v>2</v>
      </c>
      <c r="L5218" s="1">
        <v>1</v>
      </c>
      <c r="M5218" s="4">
        <v>2431</v>
      </c>
      <c r="N5218" s="1">
        <v>4913</v>
      </c>
      <c r="O5218" s="1">
        <v>9125</v>
      </c>
      <c r="P5218" s="1">
        <v>4212</v>
      </c>
      <c r="Q5218" s="1" t="s">
        <v>42</v>
      </c>
      <c r="S5218" s="1" t="s">
        <v>42</v>
      </c>
      <c r="T5218" s="1" t="s">
        <v>273</v>
      </c>
      <c r="U5218" s="1">
        <v>633</v>
      </c>
      <c r="V5218" s="5">
        <v>43804</v>
      </c>
      <c r="W5218" s="5">
        <v>43090</v>
      </c>
      <c r="X5218" s="1">
        <v>20000000</v>
      </c>
      <c r="Y5218" s="1">
        <v>20000000</v>
      </c>
      <c r="AA5218" s="1">
        <v>18500000</v>
      </c>
      <c r="AB5218" s="1" t="s">
        <v>3648</v>
      </c>
      <c r="AC5218" s="5">
        <v>43724</v>
      </c>
      <c r="AF5218" s="1">
        <v>10019</v>
      </c>
      <c r="AI5218" s="1" t="s">
        <v>101</v>
      </c>
      <c r="AJ5218" s="1">
        <v>2018</v>
      </c>
      <c r="AK5218" s="1" t="s">
        <v>46</v>
      </c>
      <c r="AL5218" s="1">
        <v>117</v>
      </c>
    </row>
    <row r="5219" spans="1:38" x14ac:dyDescent="0.2">
      <c r="A5219" s="2" t="str">
        <f>HYPERLINK("https://www.compass.com/listing/220-central-park-south-unit-23a-manhattan-ny-10019/476517506757275945/","220 Central Park S, Unit 23A")</f>
        <v>220 Central Park S, Unit 23A</v>
      </c>
      <c r="B5219" s="2" t="str">
        <f t="shared" si="879"/>
        <v>220 Central Park South</v>
      </c>
      <c r="C5219" s="1" t="s">
        <v>260</v>
      </c>
      <c r="D5219" s="1" t="s">
        <v>41</v>
      </c>
      <c r="E5219" s="3">
        <v>12657300</v>
      </c>
      <c r="F5219" s="1">
        <v>5287.0927318295699</v>
      </c>
      <c r="G5219" s="1">
        <v>4</v>
      </c>
      <c r="H5219" s="1">
        <v>2</v>
      </c>
      <c r="I5219" s="1">
        <v>3</v>
      </c>
      <c r="J5219" s="1">
        <v>2.5</v>
      </c>
      <c r="K5219" s="1">
        <v>2</v>
      </c>
      <c r="L5219" s="1">
        <v>1</v>
      </c>
      <c r="M5219" s="4">
        <v>2394</v>
      </c>
      <c r="N5219" s="1">
        <v>4533</v>
      </c>
      <c r="O5219" s="1">
        <v>8419</v>
      </c>
      <c r="P5219" s="1">
        <v>3886</v>
      </c>
      <c r="Q5219" s="1" t="s">
        <v>42</v>
      </c>
      <c r="S5219" s="1" t="s">
        <v>42</v>
      </c>
      <c r="T5219" s="1" t="s">
        <v>273</v>
      </c>
      <c r="U5219" s="1">
        <v>125</v>
      </c>
      <c r="V5219" s="5">
        <v>43951</v>
      </c>
      <c r="W5219" s="5">
        <v>43770</v>
      </c>
      <c r="X5219" s="1">
        <v>12400000</v>
      </c>
      <c r="Y5219" s="1">
        <v>12400000</v>
      </c>
      <c r="AA5219" s="1">
        <v>12657300</v>
      </c>
      <c r="AB5219" s="1" t="s">
        <v>3649</v>
      </c>
      <c r="AC5219" s="5">
        <v>43895</v>
      </c>
      <c r="AF5219" s="1">
        <v>10019</v>
      </c>
      <c r="AI5219" s="1" t="s">
        <v>101</v>
      </c>
      <c r="AJ5219" s="1">
        <v>2018</v>
      </c>
      <c r="AK5219" s="1" t="s">
        <v>46</v>
      </c>
      <c r="AL5219" s="1">
        <v>117</v>
      </c>
    </row>
    <row r="5220" spans="1:38" x14ac:dyDescent="0.2">
      <c r="A5220" s="2" t="str">
        <f>HYPERLINK("https://www.compass.com/listing/220-central-park-south-unit-30b-manhattan-ny-10019/841525537629690249/","220 Central Park S, Unit 30B")</f>
        <v>220 Central Park S, Unit 30B</v>
      </c>
      <c r="B5220" s="2" t="str">
        <f t="shared" si="879"/>
        <v>220 Central Park South</v>
      </c>
      <c r="C5220" s="1" t="s">
        <v>260</v>
      </c>
      <c r="D5220" s="1" t="s">
        <v>41</v>
      </c>
      <c r="E5220" s="3">
        <v>15782875</v>
      </c>
      <c r="F5220" s="1">
        <v>6428.8696537678197</v>
      </c>
      <c r="H5220" s="1">
        <v>2</v>
      </c>
      <c r="J5220" s="1">
        <v>2.5</v>
      </c>
      <c r="K5220" s="1">
        <v>2</v>
      </c>
      <c r="L5220" s="1">
        <v>1</v>
      </c>
      <c r="M5220" s="4">
        <v>2455</v>
      </c>
      <c r="N5220" s="1">
        <v>4574</v>
      </c>
      <c r="O5220" s="1">
        <v>10226</v>
      </c>
      <c r="P5220" s="1">
        <v>5652</v>
      </c>
      <c r="Q5220" s="1" t="s">
        <v>42</v>
      </c>
      <c r="S5220" s="1" t="s">
        <v>42</v>
      </c>
      <c r="T5220" s="1" t="s">
        <v>273</v>
      </c>
      <c r="AA5220" s="1">
        <v>15782875</v>
      </c>
      <c r="AB5220" s="1" t="s">
        <v>3650</v>
      </c>
      <c r="AC5220" s="5">
        <v>43599</v>
      </c>
      <c r="AF5220" s="1">
        <v>10019</v>
      </c>
      <c r="AI5220" s="1" t="s">
        <v>101</v>
      </c>
      <c r="AJ5220" s="1">
        <v>2018</v>
      </c>
      <c r="AK5220" s="1" t="s">
        <v>49</v>
      </c>
      <c r="AL5220" s="1">
        <v>117</v>
      </c>
    </row>
    <row r="5221" spans="1:38" x14ac:dyDescent="0.2">
      <c r="A5221" s="2" t="str">
        <f>HYPERLINK("https://www.compass.com/listing/220-central-park-south-unit-18k-manhattan-ny-10019/162026238221747441/","220 Central Park S, Unit 18K")</f>
        <v>220 Central Park S, Unit 18K</v>
      </c>
      <c r="B5221" s="2" t="str">
        <f t="shared" si="879"/>
        <v>220 Central Park South</v>
      </c>
      <c r="C5221" s="1" t="s">
        <v>260</v>
      </c>
      <c r="D5221" s="1" t="s">
        <v>41</v>
      </c>
      <c r="E5221" s="3">
        <v>1781937</v>
      </c>
      <c r="F5221" s="1">
        <v>3775.2902542372799</v>
      </c>
      <c r="G5221" s="1">
        <v>1</v>
      </c>
      <c r="H5221" s="1" t="s">
        <v>99</v>
      </c>
      <c r="I5221" s="1">
        <v>1</v>
      </c>
      <c r="J5221" s="1">
        <v>1</v>
      </c>
      <c r="K5221" s="1">
        <v>1</v>
      </c>
      <c r="M5221" s="1">
        <v>472</v>
      </c>
      <c r="N5221" s="1">
        <v>807</v>
      </c>
      <c r="O5221" s="1">
        <v>1804</v>
      </c>
      <c r="P5221" s="1">
        <v>997</v>
      </c>
      <c r="Q5221" s="1" t="s">
        <v>42</v>
      </c>
      <c r="S5221" s="1" t="s">
        <v>42</v>
      </c>
      <c r="T5221" s="1" t="s">
        <v>273</v>
      </c>
      <c r="V5221" s="5">
        <v>43806</v>
      </c>
      <c r="W5221" s="5">
        <v>43440</v>
      </c>
      <c r="X5221" s="1">
        <v>1750000</v>
      </c>
      <c r="Y5221" s="1">
        <v>1750000</v>
      </c>
      <c r="Z5221" s="5">
        <v>43440</v>
      </c>
      <c r="AA5221" s="1">
        <v>1781937</v>
      </c>
      <c r="AB5221" s="1" t="s">
        <v>3651</v>
      </c>
      <c r="AC5221" s="5">
        <v>43469</v>
      </c>
      <c r="AF5221" s="1">
        <v>10019</v>
      </c>
      <c r="AI5221" s="1" t="s">
        <v>101</v>
      </c>
      <c r="AJ5221" s="1">
        <v>2018</v>
      </c>
      <c r="AK5221" s="1" t="s">
        <v>46</v>
      </c>
      <c r="AL5221" s="1">
        <v>117</v>
      </c>
    </row>
    <row r="5222" spans="1:38" x14ac:dyDescent="0.2">
      <c r="A5222" s="2" t="str">
        <f>HYPERLINK("https://www.compass.com/listing/220-central-park-south-unit-19f-manhattan-ny-10019/204068718290987489/","220 Central Park S, Unit 19F")</f>
        <v>220 Central Park S, Unit 19F</v>
      </c>
      <c r="B5222" s="2" t="str">
        <f t="shared" si="879"/>
        <v>220 Central Park South</v>
      </c>
      <c r="C5222" s="1" t="s">
        <v>260</v>
      </c>
      <c r="D5222" s="1" t="s">
        <v>41</v>
      </c>
      <c r="E5222" s="3">
        <v>1555000</v>
      </c>
      <c r="F5222" s="1">
        <v>3502.2522522522499</v>
      </c>
      <c r="G5222" s="1">
        <v>2</v>
      </c>
      <c r="H5222" s="1" t="s">
        <v>99</v>
      </c>
      <c r="I5222" s="1">
        <v>1</v>
      </c>
      <c r="J5222" s="1">
        <v>1</v>
      </c>
      <c r="K5222" s="1">
        <v>1</v>
      </c>
      <c r="M5222" s="1">
        <v>444</v>
      </c>
      <c r="N5222" s="1">
        <v>751</v>
      </c>
      <c r="O5222" s="1">
        <v>1679</v>
      </c>
      <c r="P5222" s="1">
        <v>928</v>
      </c>
      <c r="Q5222" s="1" t="s">
        <v>42</v>
      </c>
      <c r="S5222" s="1" t="s">
        <v>42</v>
      </c>
      <c r="T5222" s="1" t="s">
        <v>273</v>
      </c>
      <c r="V5222" s="5">
        <v>43806</v>
      </c>
      <c r="W5222" s="5">
        <v>43270</v>
      </c>
      <c r="X5222" s="1">
        <v>1555000</v>
      </c>
      <c r="Y5222" s="1">
        <v>1555000</v>
      </c>
      <c r="Z5222" s="5">
        <v>43270</v>
      </c>
      <c r="AA5222" s="1">
        <v>1555000</v>
      </c>
      <c r="AB5222" s="1" t="s">
        <v>3652</v>
      </c>
      <c r="AC5222" s="5">
        <v>43528</v>
      </c>
      <c r="AF5222" s="1">
        <v>10019</v>
      </c>
      <c r="AI5222" s="1" t="s">
        <v>101</v>
      </c>
      <c r="AJ5222" s="1">
        <v>2018</v>
      </c>
      <c r="AK5222" s="1" t="s">
        <v>46</v>
      </c>
      <c r="AL5222" s="1">
        <v>117</v>
      </c>
    </row>
    <row r="5223" spans="1:38" x14ac:dyDescent="0.2">
      <c r="A5223" s="2" t="str">
        <f>HYPERLINK("https://www.compass.com/listing/220-central-park-south-unit-19g-manhattan-ny-10019/206240104228933505/","220 Central Park S, Unit 19G")</f>
        <v>220 Central Park S, Unit 19G</v>
      </c>
      <c r="B5223" s="2" t="str">
        <f t="shared" si="879"/>
        <v>220 Central Park South</v>
      </c>
      <c r="C5223" s="1" t="s">
        <v>260</v>
      </c>
      <c r="D5223" s="1" t="s">
        <v>41</v>
      </c>
      <c r="E5223" s="3">
        <v>1807393</v>
      </c>
      <c r="F5223" s="1">
        <v>3593.22664015904</v>
      </c>
      <c r="G5223" s="1">
        <v>2</v>
      </c>
      <c r="H5223" s="1" t="s">
        <v>99</v>
      </c>
      <c r="I5223" s="1">
        <v>1</v>
      </c>
      <c r="J5223" s="1">
        <v>1</v>
      </c>
      <c r="K5223" s="1">
        <v>1</v>
      </c>
      <c r="M5223" s="1">
        <v>503</v>
      </c>
      <c r="N5223" s="1">
        <v>851</v>
      </c>
      <c r="O5223" s="1">
        <v>1903</v>
      </c>
      <c r="P5223" s="1">
        <v>1052</v>
      </c>
      <c r="Q5223" s="1" t="s">
        <v>42</v>
      </c>
      <c r="S5223" s="1" t="s">
        <v>42</v>
      </c>
      <c r="T5223" s="1" t="s">
        <v>273</v>
      </c>
      <c r="V5223" s="5">
        <v>43806</v>
      </c>
      <c r="W5223" s="5">
        <v>43250</v>
      </c>
      <c r="X5223" s="1">
        <v>1775000</v>
      </c>
      <c r="Y5223" s="1">
        <v>1775000</v>
      </c>
      <c r="Z5223" s="5">
        <v>43250</v>
      </c>
      <c r="AA5223" s="1">
        <v>1807393</v>
      </c>
      <c r="AB5223" s="1" t="s">
        <v>3653</v>
      </c>
      <c r="AC5223" s="5">
        <v>43525</v>
      </c>
      <c r="AF5223" s="1">
        <v>10019</v>
      </c>
      <c r="AI5223" s="1" t="s">
        <v>101</v>
      </c>
      <c r="AJ5223" s="1">
        <v>2018</v>
      </c>
      <c r="AK5223" s="1" t="s">
        <v>46</v>
      </c>
      <c r="AL5223" s="1">
        <v>117</v>
      </c>
    </row>
    <row r="5224" spans="1:38" x14ac:dyDescent="0.2">
      <c r="A5224" s="2" t="str">
        <f>HYPERLINK("https://www.compass.com/listing/220-central-park-south-unit-20h-manhattan-ny-10019/348440716088238513/","220 Central Park S, Unit 20H")</f>
        <v>220 Central Park S, Unit 20H</v>
      </c>
      <c r="B5224" s="2" t="str">
        <f t="shared" si="879"/>
        <v>220 Central Park South</v>
      </c>
      <c r="C5224" s="1" t="s">
        <v>260</v>
      </c>
      <c r="D5224" s="1" t="s">
        <v>41</v>
      </c>
      <c r="E5224" s="3">
        <v>1892109</v>
      </c>
      <c r="F5224" s="1">
        <v>3645.6820809248502</v>
      </c>
      <c r="G5224" s="1">
        <v>2</v>
      </c>
      <c r="H5224" s="1" t="s">
        <v>99</v>
      </c>
      <c r="I5224" s="1">
        <v>1</v>
      </c>
      <c r="J5224" s="1">
        <v>1</v>
      </c>
      <c r="K5224" s="1">
        <v>1</v>
      </c>
      <c r="M5224" s="1">
        <v>519</v>
      </c>
      <c r="N5224" s="1">
        <v>936</v>
      </c>
      <c r="O5224" s="1">
        <v>1739</v>
      </c>
      <c r="P5224" s="1">
        <v>803</v>
      </c>
      <c r="Q5224" s="1" t="s">
        <v>42</v>
      </c>
      <c r="S5224" s="1" t="s">
        <v>42</v>
      </c>
      <c r="T5224" s="1" t="s">
        <v>273</v>
      </c>
      <c r="V5224" s="5">
        <v>43805</v>
      </c>
      <c r="W5224" s="5">
        <v>43312</v>
      </c>
      <c r="X5224" s="1">
        <v>1875000</v>
      </c>
      <c r="Y5224" s="1">
        <v>1875000</v>
      </c>
      <c r="Z5224" s="5">
        <v>43312</v>
      </c>
      <c r="AA5224" s="1">
        <v>1892109</v>
      </c>
      <c r="AB5224" s="1" t="s">
        <v>3654</v>
      </c>
      <c r="AC5224" s="5">
        <v>43728</v>
      </c>
      <c r="AF5224" s="1">
        <v>10019</v>
      </c>
      <c r="AI5224" s="1" t="s">
        <v>101</v>
      </c>
      <c r="AJ5224" s="1">
        <v>2018</v>
      </c>
      <c r="AK5224" s="1" t="s">
        <v>46</v>
      </c>
      <c r="AL5224" s="1">
        <v>117</v>
      </c>
    </row>
    <row r="5225" spans="1:38" x14ac:dyDescent="0.2">
      <c r="A5225" s="2" t="str">
        <f>HYPERLINK("https://www.compass.com/listing/220-central-park-south-unit-20j-manhattan-ny-10019/348440716514165505/","220 Central Park S, Unit 20J")</f>
        <v>220 Central Park S, Unit 20J</v>
      </c>
      <c r="B5225" s="2" t="str">
        <f t="shared" si="879"/>
        <v>220 Central Park South</v>
      </c>
      <c r="C5225" s="1" t="s">
        <v>260</v>
      </c>
      <c r="D5225" s="1" t="s">
        <v>41</v>
      </c>
      <c r="E5225" s="3">
        <v>2068706</v>
      </c>
      <c r="F5225" s="1">
        <v>3795.7908256880701</v>
      </c>
      <c r="G5225" s="1">
        <v>2</v>
      </c>
      <c r="H5225" s="1" t="s">
        <v>99</v>
      </c>
      <c r="I5225" s="1">
        <v>1</v>
      </c>
      <c r="J5225" s="1">
        <v>1</v>
      </c>
      <c r="K5225" s="1">
        <v>1</v>
      </c>
      <c r="M5225" s="1">
        <v>545</v>
      </c>
      <c r="N5225" s="1">
        <v>976</v>
      </c>
      <c r="O5225" s="1">
        <v>1813</v>
      </c>
      <c r="P5225" s="1">
        <v>837</v>
      </c>
      <c r="Q5225" s="1" t="s">
        <v>42</v>
      </c>
      <c r="S5225" s="1" t="s">
        <v>42</v>
      </c>
      <c r="T5225" s="1" t="s">
        <v>273</v>
      </c>
      <c r="V5225" s="5">
        <v>43805</v>
      </c>
      <c r="W5225" s="5">
        <v>43312</v>
      </c>
      <c r="X5225" s="1">
        <v>2050000</v>
      </c>
      <c r="Y5225" s="1">
        <v>2050000</v>
      </c>
      <c r="Z5225" s="5">
        <v>43312</v>
      </c>
      <c r="AA5225" s="1">
        <v>2068706</v>
      </c>
      <c r="AB5225" s="1" t="s">
        <v>3655</v>
      </c>
      <c r="AC5225" s="5">
        <v>43728</v>
      </c>
      <c r="AF5225" s="1">
        <v>10019</v>
      </c>
      <c r="AI5225" s="1" t="s">
        <v>101</v>
      </c>
      <c r="AJ5225" s="1">
        <v>2018</v>
      </c>
      <c r="AK5225" s="1" t="s">
        <v>46</v>
      </c>
      <c r="AL5225" s="1">
        <v>117</v>
      </c>
    </row>
    <row r="5226" spans="1:38" x14ac:dyDescent="0.2">
      <c r="A5226" s="2" t="str">
        <f>HYPERLINK("https://www.compass.com/listing/220-central-park-south-unit-18h-manhattan-ny-10019/353613566118046913/","220 Central Park S, Unit 18H")</f>
        <v>220 Central Park S, Unit 18H</v>
      </c>
      <c r="B5226" s="2" t="str">
        <f t="shared" si="879"/>
        <v>220 Central Park South</v>
      </c>
      <c r="C5226" s="1" t="s">
        <v>260</v>
      </c>
      <c r="D5226" s="1" t="s">
        <v>41</v>
      </c>
      <c r="E5226" s="3">
        <v>1858306</v>
      </c>
      <c r="F5226" s="1">
        <v>3580.55105973025</v>
      </c>
      <c r="G5226" s="1">
        <v>2</v>
      </c>
      <c r="H5226" s="1" t="s">
        <v>99</v>
      </c>
      <c r="I5226" s="1">
        <v>1</v>
      </c>
      <c r="J5226" s="1">
        <v>1</v>
      </c>
      <c r="K5226" s="1">
        <v>1</v>
      </c>
      <c r="M5226" s="1">
        <v>519</v>
      </c>
      <c r="N5226" s="1">
        <v>933</v>
      </c>
      <c r="O5226" s="1">
        <v>1733</v>
      </c>
      <c r="P5226" s="1">
        <v>800</v>
      </c>
      <c r="Q5226" s="1" t="s">
        <v>42</v>
      </c>
      <c r="S5226" s="1" t="s">
        <v>42</v>
      </c>
      <c r="T5226" s="1" t="s">
        <v>273</v>
      </c>
      <c r="U5226" s="1">
        <v>534</v>
      </c>
      <c r="V5226" s="5">
        <v>43777</v>
      </c>
      <c r="W5226" s="5">
        <v>43201</v>
      </c>
      <c r="X5226" s="1">
        <v>1825000</v>
      </c>
      <c r="Y5226" s="1">
        <v>1825000</v>
      </c>
      <c r="AA5226" s="1">
        <v>1858306</v>
      </c>
      <c r="AB5226" s="1" t="s">
        <v>3656</v>
      </c>
      <c r="AC5226" s="5">
        <v>43736</v>
      </c>
      <c r="AF5226" s="1">
        <v>10019</v>
      </c>
      <c r="AI5226" s="1" t="s">
        <v>101</v>
      </c>
      <c r="AJ5226" s="1">
        <v>2018</v>
      </c>
      <c r="AK5226" s="1" t="s">
        <v>46</v>
      </c>
      <c r="AL5226" s="1">
        <v>117</v>
      </c>
    </row>
    <row r="5227" spans="1:38" x14ac:dyDescent="0.2">
      <c r="A5227" s="2" t="str">
        <f>HYPERLINK("https://www.compass.com/listing/220-central-park-south-unit-19h-manhattan-ny-10019/424917155804615121/","220 Central Park S, Unit 19H")</f>
        <v>220 Central Park S, Unit 19H</v>
      </c>
      <c r="B5227" s="2" t="str">
        <f t="shared" si="879"/>
        <v>220 Central Park South</v>
      </c>
      <c r="C5227" s="1" t="s">
        <v>260</v>
      </c>
      <c r="D5227" s="1" t="s">
        <v>41</v>
      </c>
      <c r="E5227" s="3">
        <v>1883763</v>
      </c>
      <c r="F5227" s="1">
        <v>3629.6001926782201</v>
      </c>
      <c r="G5227" s="1">
        <v>2</v>
      </c>
      <c r="H5227" s="1" t="s">
        <v>99</v>
      </c>
      <c r="I5227" s="1">
        <v>1</v>
      </c>
      <c r="J5227" s="1">
        <v>1</v>
      </c>
      <c r="K5227" s="1">
        <v>1</v>
      </c>
      <c r="M5227" s="1">
        <v>519</v>
      </c>
      <c r="N5227" s="1">
        <v>935</v>
      </c>
      <c r="O5227" s="1">
        <v>1736</v>
      </c>
      <c r="P5227" s="1">
        <v>801</v>
      </c>
      <c r="Q5227" s="1" t="s">
        <v>42</v>
      </c>
      <c r="S5227" s="1" t="s">
        <v>42</v>
      </c>
      <c r="T5227" s="1" t="s">
        <v>273</v>
      </c>
      <c r="U5227" s="1">
        <v>618</v>
      </c>
      <c r="V5227" s="5">
        <v>43951</v>
      </c>
      <c r="W5227" s="5">
        <v>43166</v>
      </c>
      <c r="X5227" s="1">
        <v>1850000</v>
      </c>
      <c r="Y5227" s="1">
        <v>1850000</v>
      </c>
      <c r="AA5227" s="1">
        <v>1883762.5</v>
      </c>
      <c r="AB5227" s="1" t="s">
        <v>3657</v>
      </c>
      <c r="AC5227" s="5">
        <v>43784</v>
      </c>
      <c r="AF5227" s="1">
        <v>10019</v>
      </c>
      <c r="AI5227" s="1" t="s">
        <v>101</v>
      </c>
      <c r="AJ5227" s="1">
        <v>2018</v>
      </c>
      <c r="AK5227" s="1" t="s">
        <v>46</v>
      </c>
      <c r="AL5227" s="1">
        <v>117</v>
      </c>
    </row>
    <row r="5228" spans="1:38" x14ac:dyDescent="0.2">
      <c r="A5228" s="2" t="str">
        <f>HYPERLINK("https://www.compass.com/listing/220-central-park-south-unit-36b-manhattan-ny-10019/613597416532482833/","220 Central Park S, Unit 36B")</f>
        <v>220 Central Park S, Unit 36B</v>
      </c>
      <c r="B5228" s="2" t="str">
        <f t="shared" si="879"/>
        <v>220 Central Park South</v>
      </c>
      <c r="C5228" s="1" t="s">
        <v>260</v>
      </c>
      <c r="D5228" s="1" t="s">
        <v>41</v>
      </c>
      <c r="E5228" s="3">
        <v>23000000</v>
      </c>
      <c r="F5228" s="1">
        <v>7558.3305948077495</v>
      </c>
      <c r="G5228" s="1">
        <v>5.5</v>
      </c>
      <c r="H5228" s="1">
        <v>3</v>
      </c>
      <c r="I5228" s="1">
        <v>4</v>
      </c>
      <c r="J5228" s="1">
        <v>3.5</v>
      </c>
      <c r="K5228" s="1">
        <v>3</v>
      </c>
      <c r="L5228" s="1">
        <v>1</v>
      </c>
      <c r="M5228" s="4">
        <v>3043</v>
      </c>
      <c r="N5228" s="1">
        <v>6363</v>
      </c>
      <c r="O5228" s="1">
        <v>12165</v>
      </c>
      <c r="P5228" s="1">
        <v>5802</v>
      </c>
      <c r="Q5228" s="1" t="s">
        <v>42</v>
      </c>
      <c r="S5228" s="1" t="s">
        <v>42</v>
      </c>
      <c r="T5228" s="1" t="s">
        <v>273</v>
      </c>
      <c r="U5228" s="1">
        <v>201</v>
      </c>
      <c r="V5228" s="5">
        <v>44341</v>
      </c>
      <c r="W5228" s="5">
        <v>44098</v>
      </c>
      <c r="X5228" s="1">
        <v>26900000</v>
      </c>
      <c r="Y5228" s="1">
        <v>24900000</v>
      </c>
      <c r="Z5228" s="5">
        <v>44300</v>
      </c>
      <c r="AA5228" s="1">
        <v>23000000</v>
      </c>
      <c r="AB5228" s="1" t="s">
        <v>3658</v>
      </c>
      <c r="AC5228" s="5">
        <v>44335</v>
      </c>
      <c r="AF5228" s="1">
        <v>10019</v>
      </c>
      <c r="AI5228" s="1" t="s">
        <v>179</v>
      </c>
      <c r="AJ5228" s="1">
        <v>2018</v>
      </c>
      <c r="AK5228" s="1" t="s">
        <v>46</v>
      </c>
      <c r="AL5228" s="1">
        <v>117</v>
      </c>
    </row>
    <row r="5229" spans="1:38" x14ac:dyDescent="0.2">
      <c r="A5229" s="2" t="str">
        <f>HYPERLINK("https://www.compass.com/listing/220-central-park-south-unit-55b-manhattan-ny-10019/708341472591001425/","220 Central Park S, Unit 55B")</f>
        <v>220 Central Park S, Unit 55B</v>
      </c>
      <c r="B5229" s="2" t="str">
        <f t="shared" si="879"/>
        <v>220 Central Park South</v>
      </c>
      <c r="C5229" s="1" t="s">
        <v>260</v>
      </c>
      <c r="D5229" s="1" t="s">
        <v>41</v>
      </c>
      <c r="E5229" s="3">
        <v>33000000</v>
      </c>
      <c r="F5229" s="1">
        <v>10277.172220492001</v>
      </c>
      <c r="G5229" s="1">
        <v>8</v>
      </c>
      <c r="H5229" s="1">
        <v>3</v>
      </c>
      <c r="I5229" s="1">
        <v>4</v>
      </c>
      <c r="J5229" s="1">
        <v>3.5</v>
      </c>
      <c r="K5229" s="1">
        <v>3</v>
      </c>
      <c r="L5229" s="1">
        <v>1</v>
      </c>
      <c r="M5229" s="4">
        <v>3211</v>
      </c>
      <c r="N5229" s="1">
        <v>6253</v>
      </c>
      <c r="O5229" s="1">
        <v>13980</v>
      </c>
      <c r="P5229" s="1">
        <v>7727</v>
      </c>
      <c r="Q5229" s="1" t="s">
        <v>42</v>
      </c>
      <c r="S5229" s="1" t="s">
        <v>42</v>
      </c>
      <c r="T5229" s="1" t="s">
        <v>273</v>
      </c>
      <c r="V5229" s="5">
        <v>44406</v>
      </c>
      <c r="W5229" s="5">
        <v>44230</v>
      </c>
      <c r="Y5229" s="1">
        <v>33000000</v>
      </c>
      <c r="Z5229" s="5">
        <v>44230</v>
      </c>
      <c r="AA5229" s="1">
        <v>33000000</v>
      </c>
      <c r="AB5229" s="1" t="s">
        <v>3659</v>
      </c>
      <c r="AC5229" s="5">
        <v>44309</v>
      </c>
      <c r="AF5229" s="1">
        <v>10019</v>
      </c>
      <c r="AI5229" s="1" t="s">
        <v>48</v>
      </c>
      <c r="AJ5229" s="1">
        <v>2018</v>
      </c>
      <c r="AK5229" s="1" t="s">
        <v>46</v>
      </c>
      <c r="AL5229" s="1">
        <v>117</v>
      </c>
    </row>
    <row r="5230" spans="1:38" x14ac:dyDescent="0.2">
      <c r="A5230" s="2" t="str">
        <f>HYPERLINK("https://www.compass.com/listing/138-east-50th-street-unit-tr59-manhattan-ny-10022/441873151971242193/","138 E 50th St, Unit TR59")</f>
        <v>138 E 50th St, Unit TR59</v>
      </c>
      <c r="B5230" s="2" t="str">
        <f>HYPERLINK("https://www.compass.com/building/the-centrale-manhattan-ny/281941497232811621/","The Centrale")</f>
        <v>The Centrale</v>
      </c>
      <c r="C5230" s="1" t="s">
        <v>116</v>
      </c>
      <c r="D5230" s="1" t="s">
        <v>41</v>
      </c>
      <c r="E5230" s="3">
        <v>7800000</v>
      </c>
      <c r="F5230" s="1">
        <v>2830.1886792452801</v>
      </c>
      <c r="G5230" s="1">
        <v>7</v>
      </c>
      <c r="H5230" s="1">
        <v>4</v>
      </c>
      <c r="I5230" s="1">
        <v>4</v>
      </c>
      <c r="J5230" s="1">
        <v>4</v>
      </c>
      <c r="K5230" s="1">
        <v>4</v>
      </c>
      <c r="M5230" s="4">
        <v>2756</v>
      </c>
      <c r="N5230" s="1">
        <v>3185</v>
      </c>
      <c r="O5230" s="1">
        <v>9262</v>
      </c>
      <c r="P5230" s="1">
        <v>6077</v>
      </c>
      <c r="Q5230" s="1" t="s">
        <v>42</v>
      </c>
      <c r="S5230" s="1" t="s">
        <v>42</v>
      </c>
      <c r="T5230" s="1" t="s">
        <v>273</v>
      </c>
      <c r="U5230" s="1">
        <v>32</v>
      </c>
      <c r="V5230" s="5">
        <v>43993</v>
      </c>
      <c r="W5230" s="5">
        <v>43860</v>
      </c>
      <c r="Y5230" s="1">
        <v>10250000</v>
      </c>
      <c r="Z5230" s="5">
        <v>43893</v>
      </c>
      <c r="AA5230" s="1">
        <v>7800000</v>
      </c>
      <c r="AB5230" s="1" t="s">
        <v>3660</v>
      </c>
      <c r="AC5230" s="5">
        <v>43964</v>
      </c>
      <c r="AF5230" s="1">
        <v>10022</v>
      </c>
      <c r="AI5230" s="1" t="s">
        <v>48</v>
      </c>
      <c r="AJ5230" s="1">
        <v>2019</v>
      </c>
      <c r="AK5230" s="1" t="s">
        <v>55</v>
      </c>
      <c r="AL5230" s="1">
        <v>124</v>
      </c>
    </row>
    <row r="5231" spans="1:38" x14ac:dyDescent="0.2">
      <c r="A5231" s="2" t="str">
        <f>HYPERLINK("https://www.compass.com/listing/135-west-52nd-street-unit-23b-manhattan-ny-10019/29383351676803937/","135 W 52nd St, Unit 23B")</f>
        <v>135 W 52nd St, Unit 23B</v>
      </c>
      <c r="B5231" s="2" t="str">
        <f t="shared" ref="B5231:B5301" si="880">HYPERLINK("https://www.compass.com/building/135-w-52nd-st-manhattan-ny-10019/281943802548121109/","135 W 52nd St")</f>
        <v>135 W 52nd St</v>
      </c>
      <c r="C5231" s="1" t="s">
        <v>139</v>
      </c>
      <c r="D5231" s="1" t="s">
        <v>41</v>
      </c>
      <c r="E5231" s="3">
        <v>3080206</v>
      </c>
      <c r="F5231" s="1">
        <v>2150.98184357541</v>
      </c>
      <c r="G5231" s="1">
        <v>4</v>
      </c>
      <c r="H5231" s="1">
        <v>2</v>
      </c>
      <c r="I5231" s="1">
        <v>2</v>
      </c>
      <c r="J5231" s="1">
        <v>2</v>
      </c>
      <c r="M5231" s="4">
        <v>1432</v>
      </c>
      <c r="N5231" s="1">
        <v>1306</v>
      </c>
      <c r="O5231" s="1">
        <v>3134</v>
      </c>
      <c r="P5231" s="1">
        <v>1828</v>
      </c>
      <c r="Q5231" s="1" t="s">
        <v>42</v>
      </c>
      <c r="S5231" s="1" t="s">
        <v>42</v>
      </c>
      <c r="T5231" s="1" t="s">
        <v>273</v>
      </c>
      <c r="V5231" s="5">
        <v>43640</v>
      </c>
      <c r="W5231" s="5">
        <v>41976</v>
      </c>
      <c r="X5231" s="1">
        <v>3025000</v>
      </c>
      <c r="Y5231" s="1">
        <v>3025000</v>
      </c>
      <c r="Z5231" s="5">
        <v>41976</v>
      </c>
      <c r="AA5231" s="1">
        <v>3080206</v>
      </c>
      <c r="AB5231" s="1" t="s">
        <v>3661</v>
      </c>
      <c r="AC5231" s="5">
        <v>42391</v>
      </c>
      <c r="AF5231" s="1">
        <v>10019</v>
      </c>
      <c r="AJ5231" s="1">
        <v>2016</v>
      </c>
      <c r="AK5231" s="1" t="s">
        <v>46</v>
      </c>
      <c r="AL5231" s="1">
        <v>109</v>
      </c>
    </row>
    <row r="5232" spans="1:38" x14ac:dyDescent="0.2">
      <c r="A5232" s="2" t="str">
        <f>HYPERLINK("https://www.compass.com/listing/135-west-52nd-street-unit-22a-manhattan-ny-10019/29383349663481169/","135 W 52nd St, Unit 22A")</f>
        <v>135 W 52nd St, Unit 22A</v>
      </c>
      <c r="B5232" s="2" t="str">
        <f t="shared" si="880"/>
        <v>135 W 52nd St</v>
      </c>
      <c r="C5232" s="1" t="s">
        <v>139</v>
      </c>
      <c r="D5232" s="1" t="s">
        <v>41</v>
      </c>
      <c r="E5232" s="3">
        <v>2850000</v>
      </c>
      <c r="F5232" s="1">
        <v>2394.9579831932701</v>
      </c>
      <c r="G5232" s="1">
        <v>4</v>
      </c>
      <c r="H5232" s="1">
        <v>2</v>
      </c>
      <c r="I5232" s="1">
        <v>2</v>
      </c>
      <c r="J5232" s="1">
        <v>2</v>
      </c>
      <c r="M5232" s="4">
        <v>1190</v>
      </c>
      <c r="N5232" s="1">
        <v>1076</v>
      </c>
      <c r="O5232" s="1">
        <v>2586</v>
      </c>
      <c r="P5232" s="1">
        <v>1510</v>
      </c>
      <c r="Q5232" s="1" t="s">
        <v>42</v>
      </c>
      <c r="S5232" s="1" t="s">
        <v>42</v>
      </c>
      <c r="T5232" s="1" t="s">
        <v>273</v>
      </c>
      <c r="U5232" s="1">
        <v>161</v>
      </c>
      <c r="V5232" s="5">
        <v>43640</v>
      </c>
      <c r="W5232" s="5">
        <v>42754</v>
      </c>
      <c r="X5232" s="1">
        <v>2850000</v>
      </c>
      <c r="Y5232" s="1">
        <v>2850000</v>
      </c>
      <c r="AA5232" s="1">
        <v>2850000</v>
      </c>
      <c r="AB5232" s="1" t="s">
        <v>3662</v>
      </c>
      <c r="AC5232" s="5">
        <v>42915</v>
      </c>
      <c r="AF5232" s="1">
        <v>10019</v>
      </c>
      <c r="AJ5232" s="1">
        <v>2016</v>
      </c>
      <c r="AK5232" s="1" t="s">
        <v>49</v>
      </c>
      <c r="AL5232" s="1">
        <v>109</v>
      </c>
    </row>
    <row r="5233" spans="1:38" x14ac:dyDescent="0.2">
      <c r="A5233" s="2" t="str">
        <f>HYPERLINK("https://www.compass.com/listing/135-west-52nd-street-unit-22d-manhattan-ny-10019/29383350904995169/","135 W 52nd St, Unit 22D")</f>
        <v>135 W 52nd St, Unit 22D</v>
      </c>
      <c r="B5233" s="2" t="str">
        <f t="shared" si="880"/>
        <v>135 W 52nd St</v>
      </c>
      <c r="C5233" s="1" t="s">
        <v>139</v>
      </c>
      <c r="D5233" s="1" t="s">
        <v>41</v>
      </c>
      <c r="E5233" s="3">
        <v>2576173</v>
      </c>
      <c r="F5233" s="1">
        <v>2157.5988274706801</v>
      </c>
      <c r="G5233" s="1">
        <v>4</v>
      </c>
      <c r="H5233" s="1">
        <v>2</v>
      </c>
      <c r="I5233" s="1">
        <v>2</v>
      </c>
      <c r="J5233" s="1">
        <v>2</v>
      </c>
      <c r="M5233" s="4">
        <v>1194</v>
      </c>
      <c r="N5233" s="1">
        <v>1079</v>
      </c>
      <c r="O5233" s="1">
        <v>2590</v>
      </c>
      <c r="P5233" s="1">
        <v>1511</v>
      </c>
      <c r="Q5233" s="1" t="s">
        <v>42</v>
      </c>
      <c r="S5233" s="1" t="s">
        <v>42</v>
      </c>
      <c r="T5233" s="1" t="s">
        <v>273</v>
      </c>
      <c r="V5233" s="5">
        <v>43642</v>
      </c>
      <c r="W5233" s="5">
        <v>41976</v>
      </c>
      <c r="X5233" s="1">
        <v>2530000</v>
      </c>
      <c r="Y5233" s="1">
        <v>2530000</v>
      </c>
      <c r="Z5233" s="5">
        <v>41976</v>
      </c>
      <c r="AA5233" s="1">
        <v>2576173</v>
      </c>
      <c r="AB5233" s="1" t="s">
        <v>3663</v>
      </c>
      <c r="AC5233" s="5">
        <v>42389</v>
      </c>
      <c r="AF5233" s="1">
        <v>10019</v>
      </c>
      <c r="AJ5233" s="1">
        <v>2016</v>
      </c>
      <c r="AK5233" s="1" t="s">
        <v>49</v>
      </c>
      <c r="AL5233" s="1">
        <v>109</v>
      </c>
    </row>
    <row r="5234" spans="1:38" x14ac:dyDescent="0.2">
      <c r="A5234" s="2" t="str">
        <f>HYPERLINK("https://www.compass.com/listing/135-west-52nd-street-unit-23c-manhattan-ny-10019/29383352087788913/","135 W 52nd St, Unit 23C")</f>
        <v>135 W 52nd St, Unit 23C</v>
      </c>
      <c r="B5234" s="2" t="str">
        <f t="shared" si="880"/>
        <v>135 W 52nd St</v>
      </c>
      <c r="C5234" s="1" t="s">
        <v>139</v>
      </c>
      <c r="D5234" s="1" t="s">
        <v>41</v>
      </c>
      <c r="E5234" s="3">
        <v>3115845</v>
      </c>
      <c r="F5234" s="1">
        <v>2175.86941340782</v>
      </c>
      <c r="G5234" s="1">
        <v>4</v>
      </c>
      <c r="H5234" s="1">
        <v>2</v>
      </c>
      <c r="I5234" s="1">
        <v>2</v>
      </c>
      <c r="J5234" s="1">
        <v>2</v>
      </c>
      <c r="K5234" s="1">
        <v>2</v>
      </c>
      <c r="M5234" s="4">
        <v>1432</v>
      </c>
      <c r="N5234" s="1">
        <v>1321</v>
      </c>
      <c r="O5234" s="1">
        <v>3170</v>
      </c>
      <c r="P5234" s="1">
        <v>1849</v>
      </c>
      <c r="Q5234" s="1" t="s">
        <v>42</v>
      </c>
      <c r="S5234" s="1" t="s">
        <v>42</v>
      </c>
      <c r="T5234" s="1" t="s">
        <v>273</v>
      </c>
      <c r="V5234" s="5">
        <v>44338</v>
      </c>
      <c r="W5234" s="5">
        <v>41976</v>
      </c>
      <c r="X5234" s="1">
        <v>3060000</v>
      </c>
      <c r="Y5234" s="1">
        <v>3060000</v>
      </c>
      <c r="Z5234" s="5">
        <v>41976</v>
      </c>
      <c r="AA5234" s="1">
        <v>3115845</v>
      </c>
      <c r="AB5234" s="1" t="s">
        <v>3664</v>
      </c>
      <c r="AC5234" s="5">
        <v>42383</v>
      </c>
      <c r="AF5234" s="1">
        <v>10019</v>
      </c>
      <c r="AJ5234" s="1">
        <v>2016</v>
      </c>
      <c r="AK5234" s="1" t="s">
        <v>49</v>
      </c>
      <c r="AL5234" s="1">
        <v>109</v>
      </c>
    </row>
    <row r="5235" spans="1:38" x14ac:dyDescent="0.2">
      <c r="A5235" s="2" t="str">
        <f>HYPERLINK("https://www.compass.com/listing/135-west-52nd-street-unit-23d-manhattan-ny-10019/29383352456945393/","135 W 52nd St, Unit 23D")</f>
        <v>135 W 52nd St, Unit 23D</v>
      </c>
      <c r="B5235" s="2" t="str">
        <f t="shared" si="880"/>
        <v>135 W 52nd St</v>
      </c>
      <c r="C5235" s="1" t="s">
        <v>139</v>
      </c>
      <c r="D5235" s="1" t="s">
        <v>41</v>
      </c>
      <c r="E5235" s="3">
        <v>2606720</v>
      </c>
      <c r="F5235" s="1">
        <v>2172.2666666666601</v>
      </c>
      <c r="G5235" s="1">
        <v>4</v>
      </c>
      <c r="H5235" s="1">
        <v>2</v>
      </c>
      <c r="I5235" s="1">
        <v>2</v>
      </c>
      <c r="J5235" s="1">
        <v>2</v>
      </c>
      <c r="M5235" s="4">
        <v>1200</v>
      </c>
      <c r="N5235" s="1">
        <v>1105</v>
      </c>
      <c r="O5235" s="1">
        <v>2652</v>
      </c>
      <c r="P5235" s="1">
        <v>1547</v>
      </c>
      <c r="Q5235" s="1" t="s">
        <v>42</v>
      </c>
      <c r="S5235" s="1" t="s">
        <v>42</v>
      </c>
      <c r="T5235" s="1" t="s">
        <v>273</v>
      </c>
      <c r="V5235" s="5">
        <v>43642</v>
      </c>
      <c r="W5235" s="5">
        <v>41976</v>
      </c>
      <c r="X5235" s="1">
        <v>2560000</v>
      </c>
      <c r="Y5235" s="1">
        <v>2560000</v>
      </c>
      <c r="Z5235" s="5">
        <v>41976</v>
      </c>
      <c r="AA5235" s="1">
        <v>2606720</v>
      </c>
      <c r="AB5235" s="1" t="s">
        <v>3665</v>
      </c>
      <c r="AC5235" s="5">
        <v>42382</v>
      </c>
      <c r="AF5235" s="1">
        <v>10019</v>
      </c>
      <c r="AJ5235" s="1">
        <v>2016</v>
      </c>
      <c r="AK5235" s="1" t="s">
        <v>46</v>
      </c>
      <c r="AL5235" s="1">
        <v>109</v>
      </c>
    </row>
    <row r="5236" spans="1:38" x14ac:dyDescent="0.2">
      <c r="A5236" s="2" t="str">
        <f>HYPERLINK("https://www.compass.com/listing/135-west-52nd-street-unit-24a-manhattan-ny-10019/29383353002204017/","135 W 52nd St, Unit 24A")</f>
        <v>135 W 52nd St, Unit 24A</v>
      </c>
      <c r="B5236" s="2" t="str">
        <f t="shared" si="880"/>
        <v>135 W 52nd St</v>
      </c>
      <c r="C5236" s="1" t="s">
        <v>139</v>
      </c>
      <c r="D5236" s="1" t="s">
        <v>41</v>
      </c>
      <c r="E5236" s="3">
        <v>2677998</v>
      </c>
      <c r="F5236" s="1">
        <v>2250.4184873949498</v>
      </c>
      <c r="G5236" s="1">
        <v>4</v>
      </c>
      <c r="H5236" s="1">
        <v>2</v>
      </c>
      <c r="I5236" s="1">
        <v>2</v>
      </c>
      <c r="J5236" s="1">
        <v>2</v>
      </c>
      <c r="M5236" s="4">
        <v>1190</v>
      </c>
      <c r="N5236" s="1">
        <v>1135</v>
      </c>
      <c r="O5236" s="1">
        <v>2724</v>
      </c>
      <c r="P5236" s="1">
        <v>1589</v>
      </c>
      <c r="Q5236" s="1" t="s">
        <v>42</v>
      </c>
      <c r="S5236" s="1" t="s">
        <v>42</v>
      </c>
      <c r="T5236" s="1" t="s">
        <v>273</v>
      </c>
      <c r="U5236" s="1">
        <v>14</v>
      </c>
      <c r="V5236" s="5">
        <v>43640</v>
      </c>
      <c r="W5236" s="5">
        <v>41976</v>
      </c>
      <c r="X5236" s="1">
        <v>2630000</v>
      </c>
      <c r="Y5236" s="1">
        <v>2630000</v>
      </c>
      <c r="Z5236" s="5">
        <v>42035</v>
      </c>
      <c r="AA5236" s="1">
        <v>2677998</v>
      </c>
      <c r="AB5236" s="1" t="s">
        <v>3666</v>
      </c>
      <c r="AC5236" s="5">
        <v>42381</v>
      </c>
      <c r="AF5236" s="1">
        <v>10019</v>
      </c>
      <c r="AJ5236" s="1">
        <v>2016</v>
      </c>
      <c r="AK5236" s="1" t="s">
        <v>49</v>
      </c>
      <c r="AL5236" s="1">
        <v>109</v>
      </c>
    </row>
    <row r="5237" spans="1:38" x14ac:dyDescent="0.2">
      <c r="A5237" s="2" t="str">
        <f>HYPERLINK("https://www.compass.com/listing/135-west-52nd-street-unit-25a-manhattan-ny-10019/29383354897972673/","135 W 52nd St, Unit 25A")</f>
        <v>135 W 52nd St, Unit 25A</v>
      </c>
      <c r="B5237" s="2" t="str">
        <f t="shared" si="880"/>
        <v>135 W 52nd St</v>
      </c>
      <c r="C5237" s="1" t="s">
        <v>139</v>
      </c>
      <c r="D5237" s="1" t="s">
        <v>41</v>
      </c>
      <c r="E5237" s="3">
        <v>2774731</v>
      </c>
      <c r="F5237" s="1">
        <v>2331.7067226890699</v>
      </c>
      <c r="G5237" s="1">
        <v>4</v>
      </c>
      <c r="H5237" s="1">
        <v>2</v>
      </c>
      <c r="I5237" s="1">
        <v>2</v>
      </c>
      <c r="J5237" s="1">
        <v>2</v>
      </c>
      <c r="M5237" s="4">
        <v>1190</v>
      </c>
      <c r="N5237" s="1">
        <v>1176</v>
      </c>
      <c r="O5237" s="1">
        <v>2822</v>
      </c>
      <c r="P5237" s="1">
        <v>1646</v>
      </c>
      <c r="Q5237" s="1" t="s">
        <v>42</v>
      </c>
      <c r="S5237" s="1" t="s">
        <v>42</v>
      </c>
      <c r="T5237" s="1" t="s">
        <v>273</v>
      </c>
      <c r="V5237" s="5">
        <v>43654</v>
      </c>
      <c r="W5237" s="5">
        <v>42080</v>
      </c>
      <c r="X5237" s="1">
        <v>2750000</v>
      </c>
      <c r="Y5237" s="1">
        <v>2750000</v>
      </c>
      <c r="Z5237" s="5">
        <v>42080</v>
      </c>
      <c r="AA5237" s="1">
        <v>2774731</v>
      </c>
      <c r="AB5237" s="1" t="s">
        <v>3667</v>
      </c>
      <c r="AC5237" s="5">
        <v>42444</v>
      </c>
      <c r="AF5237" s="1">
        <v>10019</v>
      </c>
      <c r="AJ5237" s="1">
        <v>2016</v>
      </c>
      <c r="AK5237" s="1" t="s">
        <v>49</v>
      </c>
      <c r="AL5237" s="1">
        <v>109</v>
      </c>
    </row>
    <row r="5238" spans="1:38" x14ac:dyDescent="0.2">
      <c r="A5238" s="2" t="str">
        <f>HYPERLINK("https://www.compass.com/listing/135-west-52nd-street-unit-25b-manhattan-ny-10019/29383355300683537/","135 W 52nd St, Unit 25B")</f>
        <v>135 W 52nd St, Unit 25B</v>
      </c>
      <c r="B5238" s="2" t="str">
        <f t="shared" si="880"/>
        <v>135 W 52nd St</v>
      </c>
      <c r="C5238" s="1" t="s">
        <v>139</v>
      </c>
      <c r="D5238" s="1" t="s">
        <v>41</v>
      </c>
      <c r="E5238" s="3">
        <v>3222761</v>
      </c>
      <c r="F5238" s="1">
        <v>2250.531424581</v>
      </c>
      <c r="G5238" s="1">
        <v>4</v>
      </c>
      <c r="H5238" s="1">
        <v>2</v>
      </c>
      <c r="I5238" s="1">
        <v>2</v>
      </c>
      <c r="J5238" s="1">
        <v>2</v>
      </c>
      <c r="M5238" s="4">
        <v>1432</v>
      </c>
      <c r="N5238" s="1">
        <v>1366</v>
      </c>
      <c r="O5238" s="1">
        <v>3279</v>
      </c>
      <c r="P5238" s="1">
        <v>1913</v>
      </c>
      <c r="Q5238" s="1" t="s">
        <v>42</v>
      </c>
      <c r="S5238" s="1" t="s">
        <v>42</v>
      </c>
      <c r="T5238" s="1" t="s">
        <v>273</v>
      </c>
      <c r="V5238" s="5">
        <v>43654</v>
      </c>
      <c r="W5238" s="5">
        <v>41976</v>
      </c>
      <c r="X5238" s="1">
        <v>3165000</v>
      </c>
      <c r="Y5238" s="1">
        <v>3165000</v>
      </c>
      <c r="Z5238" s="5">
        <v>41976</v>
      </c>
      <c r="AA5238" s="1">
        <v>3222761</v>
      </c>
      <c r="AB5238" s="1" t="s">
        <v>3668</v>
      </c>
      <c r="AC5238" s="5">
        <v>42385</v>
      </c>
      <c r="AF5238" s="1">
        <v>10019</v>
      </c>
      <c r="AJ5238" s="1">
        <v>2016</v>
      </c>
      <c r="AK5238" s="1" t="s">
        <v>49</v>
      </c>
      <c r="AL5238" s="1">
        <v>109</v>
      </c>
    </row>
    <row r="5239" spans="1:38" x14ac:dyDescent="0.2">
      <c r="A5239" s="2" t="str">
        <f>HYPERLINK("https://www.compass.com/listing/135-west-52nd-street-unit-31b-manhattan-ny-10019/29383361424367473/","135 W 52nd St, Unit 31B")</f>
        <v>135 W 52nd St, Unit 31B</v>
      </c>
      <c r="B5239" s="2" t="str">
        <f t="shared" si="880"/>
        <v>135 W 52nd St</v>
      </c>
      <c r="C5239" s="1" t="s">
        <v>139</v>
      </c>
      <c r="D5239" s="1" t="s">
        <v>41</v>
      </c>
      <c r="E5239" s="3">
        <v>3095000</v>
      </c>
      <c r="F5239" s="1">
        <v>2255.8309037900799</v>
      </c>
      <c r="G5239" s="1">
        <v>4</v>
      </c>
      <c r="H5239" s="1">
        <v>2</v>
      </c>
      <c r="I5239" s="1">
        <v>2</v>
      </c>
      <c r="J5239" s="1">
        <v>2</v>
      </c>
      <c r="M5239" s="4">
        <v>1372</v>
      </c>
      <c r="N5239" s="1">
        <v>1317</v>
      </c>
      <c r="O5239" s="1">
        <v>3160</v>
      </c>
      <c r="P5239" s="1">
        <v>1843</v>
      </c>
      <c r="Q5239" s="1" t="s">
        <v>42</v>
      </c>
      <c r="S5239" s="1" t="s">
        <v>42</v>
      </c>
      <c r="T5239" s="1" t="s">
        <v>273</v>
      </c>
      <c r="U5239" s="1">
        <v>87</v>
      </c>
      <c r="V5239" s="5">
        <v>43640</v>
      </c>
      <c r="W5239" s="5">
        <v>41976</v>
      </c>
      <c r="X5239" s="1">
        <v>3095000</v>
      </c>
      <c r="Y5239" s="1">
        <v>3095000</v>
      </c>
      <c r="Z5239" s="5">
        <v>42063</v>
      </c>
      <c r="AA5239" s="1">
        <v>3095000</v>
      </c>
      <c r="AB5239" s="1" t="s">
        <v>3669</v>
      </c>
      <c r="AC5239" s="5">
        <v>42443</v>
      </c>
      <c r="AF5239" s="1">
        <v>10019</v>
      </c>
      <c r="AJ5239" s="1">
        <v>2016</v>
      </c>
      <c r="AK5239" s="1" t="s">
        <v>49</v>
      </c>
      <c r="AL5239" s="1">
        <v>109</v>
      </c>
    </row>
    <row r="5240" spans="1:38" x14ac:dyDescent="0.2">
      <c r="A5240" s="2" t="str">
        <f>HYPERLINK("https://www.compass.com/listing/135-west-52nd-street-unit-9c-manhattan-ny-10019/29383324984195969/","135 W 52nd St, Unit 9C")</f>
        <v>135 W 52nd St, Unit 9C</v>
      </c>
      <c r="B5240" s="2" t="str">
        <f t="shared" si="880"/>
        <v>135 W 52nd St</v>
      </c>
      <c r="C5240" s="1" t="s">
        <v>139</v>
      </c>
      <c r="D5240" s="1" t="s">
        <v>41</v>
      </c>
      <c r="E5240" s="3">
        <v>1766000</v>
      </c>
      <c r="F5240" s="1">
        <v>1953.5398230088399</v>
      </c>
      <c r="G5240" s="1">
        <v>3</v>
      </c>
      <c r="H5240" s="1">
        <v>1</v>
      </c>
      <c r="I5240" s="1">
        <v>2</v>
      </c>
      <c r="J5240" s="1">
        <v>2</v>
      </c>
      <c r="K5240" s="1">
        <v>2</v>
      </c>
      <c r="M5240" s="1">
        <v>904</v>
      </c>
      <c r="N5240" s="1">
        <v>650</v>
      </c>
      <c r="O5240" s="1">
        <v>1656</v>
      </c>
      <c r="P5240" s="1">
        <v>1006</v>
      </c>
      <c r="Q5240" s="1" t="s">
        <v>42</v>
      </c>
      <c r="S5240" s="1" t="s">
        <v>42</v>
      </c>
      <c r="T5240" s="1" t="s">
        <v>273</v>
      </c>
      <c r="U5240" s="1">
        <v>37</v>
      </c>
      <c r="V5240" s="5">
        <v>44225</v>
      </c>
      <c r="W5240" s="5">
        <v>42965</v>
      </c>
      <c r="X5240" s="1">
        <v>1768000</v>
      </c>
      <c r="Y5240" s="1">
        <v>1768000</v>
      </c>
      <c r="Z5240" s="5">
        <v>43002</v>
      </c>
      <c r="AA5240" s="1">
        <v>1766000</v>
      </c>
      <c r="AB5240" s="1" t="s">
        <v>3670</v>
      </c>
      <c r="AC5240" s="5">
        <v>43054</v>
      </c>
      <c r="AF5240" s="1">
        <v>10019</v>
      </c>
      <c r="AJ5240" s="1">
        <v>2016</v>
      </c>
      <c r="AK5240" s="1" t="s">
        <v>49</v>
      </c>
      <c r="AL5240" s="1">
        <v>109</v>
      </c>
    </row>
    <row r="5241" spans="1:38" x14ac:dyDescent="0.2">
      <c r="A5241" s="2" t="str">
        <f>HYPERLINK("https://www.compass.com/listing/135-west-52nd-street-unit-22a-manhattan-ny-10019/29383349663481153/","135 W 52nd St, Unit 22A")</f>
        <v>135 W 52nd St, Unit 22A</v>
      </c>
      <c r="B5241" s="2" t="str">
        <f t="shared" si="880"/>
        <v>135 W 52nd St</v>
      </c>
      <c r="C5241" s="1" t="s">
        <v>139</v>
      </c>
      <c r="D5241" s="1" t="s">
        <v>41</v>
      </c>
      <c r="E5241" s="3">
        <v>2545625</v>
      </c>
      <c r="F5241" s="1">
        <v>2139.1806722688998</v>
      </c>
      <c r="G5241" s="1">
        <v>4</v>
      </c>
      <c r="H5241" s="1">
        <v>2</v>
      </c>
      <c r="I5241" s="1">
        <v>2</v>
      </c>
      <c r="J5241" s="1">
        <v>2</v>
      </c>
      <c r="M5241" s="4">
        <v>1190</v>
      </c>
      <c r="N5241" s="1">
        <v>1076</v>
      </c>
      <c r="O5241" s="1">
        <v>2586</v>
      </c>
      <c r="P5241" s="1">
        <v>1510</v>
      </c>
      <c r="Q5241" s="1" t="s">
        <v>42</v>
      </c>
      <c r="S5241" s="1" t="s">
        <v>42</v>
      </c>
      <c r="T5241" s="1" t="s">
        <v>273</v>
      </c>
      <c r="V5241" s="5">
        <v>43640</v>
      </c>
      <c r="W5241" s="5">
        <v>41976</v>
      </c>
      <c r="X5241" s="1">
        <v>2500000</v>
      </c>
      <c r="Y5241" s="1">
        <v>2500000</v>
      </c>
      <c r="Z5241" s="5">
        <v>41976</v>
      </c>
      <c r="AA5241" s="1">
        <v>2545625</v>
      </c>
      <c r="AB5241" s="1" t="s">
        <v>3671</v>
      </c>
      <c r="AC5241" s="5">
        <v>42426</v>
      </c>
      <c r="AF5241" s="1">
        <v>10019</v>
      </c>
      <c r="AJ5241" s="1">
        <v>2016</v>
      </c>
      <c r="AK5241" s="1" t="s">
        <v>46</v>
      </c>
      <c r="AL5241" s="1">
        <v>109</v>
      </c>
    </row>
    <row r="5242" spans="1:38" x14ac:dyDescent="0.2">
      <c r="A5242" s="2" t="str">
        <f>HYPERLINK("https://www.compass.com/listing/135-west-52nd-street-unit-22b-manhattan-ny-10019/29383350015860401/","135 W 52nd St, Unit 22B")</f>
        <v>135 W 52nd St, Unit 22B</v>
      </c>
      <c r="B5242" s="2" t="str">
        <f t="shared" si="880"/>
        <v>135 W 52nd St</v>
      </c>
      <c r="C5242" s="1" t="s">
        <v>139</v>
      </c>
      <c r="D5242" s="1" t="s">
        <v>41</v>
      </c>
      <c r="E5242" s="3">
        <v>3070024</v>
      </c>
      <c r="F5242" s="1">
        <v>2143.8715083798802</v>
      </c>
      <c r="G5242" s="1">
        <v>4</v>
      </c>
      <c r="H5242" s="1">
        <v>2</v>
      </c>
      <c r="I5242" s="1">
        <v>2</v>
      </c>
      <c r="J5242" s="1">
        <v>2</v>
      </c>
      <c r="M5242" s="4">
        <v>1432</v>
      </c>
      <c r="N5242" s="1">
        <v>1301</v>
      </c>
      <c r="O5242" s="1">
        <v>3123</v>
      </c>
      <c r="P5242" s="1">
        <v>1822</v>
      </c>
      <c r="Q5242" s="1" t="s">
        <v>42</v>
      </c>
      <c r="S5242" s="1" t="s">
        <v>42</v>
      </c>
      <c r="T5242" s="1" t="s">
        <v>273</v>
      </c>
      <c r="V5242" s="5">
        <v>43640</v>
      </c>
      <c r="W5242" s="5">
        <v>42123</v>
      </c>
      <c r="X5242" s="1">
        <v>3015000</v>
      </c>
      <c r="Y5242" s="1">
        <v>3015000</v>
      </c>
      <c r="Z5242" s="5">
        <v>42123</v>
      </c>
      <c r="AA5242" s="1">
        <v>3070024</v>
      </c>
      <c r="AB5242" s="1" t="s">
        <v>3672</v>
      </c>
      <c r="AC5242" s="5">
        <v>42390</v>
      </c>
      <c r="AF5242" s="1">
        <v>10019</v>
      </c>
      <c r="AJ5242" s="1">
        <v>2016</v>
      </c>
      <c r="AK5242" s="1" t="s">
        <v>46</v>
      </c>
      <c r="AL5242" s="1">
        <v>109</v>
      </c>
    </row>
    <row r="5243" spans="1:38" x14ac:dyDescent="0.2">
      <c r="A5243" s="2" t="str">
        <f>HYPERLINK("https://www.compass.com/listing/135-west-52nd-street-unit-22c-manhattan-ny-10019/29383350452067137/","135 W 52nd St, Unit 22C")</f>
        <v>135 W 52nd St, Unit 22C</v>
      </c>
      <c r="B5243" s="2" t="str">
        <f t="shared" si="880"/>
        <v>135 W 52nd St</v>
      </c>
      <c r="C5243" s="1" t="s">
        <v>139</v>
      </c>
      <c r="D5243" s="1" t="s">
        <v>41</v>
      </c>
      <c r="E5243" s="3">
        <v>3029294</v>
      </c>
      <c r="F5243" s="1">
        <v>2115.4287709497198</v>
      </c>
      <c r="G5243" s="1">
        <v>4</v>
      </c>
      <c r="H5243" s="1">
        <v>2</v>
      </c>
      <c r="I5243" s="1">
        <v>2</v>
      </c>
      <c r="J5243" s="1">
        <v>2</v>
      </c>
      <c r="M5243" s="4">
        <v>1432</v>
      </c>
      <c r="N5243" s="1">
        <v>1284</v>
      </c>
      <c r="O5243" s="1">
        <v>3082</v>
      </c>
      <c r="P5243" s="1">
        <v>1798</v>
      </c>
      <c r="Q5243" s="1" t="s">
        <v>42</v>
      </c>
      <c r="S5243" s="1" t="s">
        <v>42</v>
      </c>
      <c r="T5243" s="1" t="s">
        <v>273</v>
      </c>
      <c r="V5243" s="5">
        <v>43640</v>
      </c>
      <c r="W5243" s="5">
        <v>41976</v>
      </c>
      <c r="X5243" s="1">
        <v>2975000</v>
      </c>
      <c r="Y5243" s="1">
        <v>2975000</v>
      </c>
      <c r="Z5243" s="5">
        <v>41976</v>
      </c>
      <c r="AA5243" s="1">
        <v>3029294</v>
      </c>
      <c r="AB5243" s="1" t="s">
        <v>3673</v>
      </c>
      <c r="AC5243" s="5">
        <v>42381</v>
      </c>
      <c r="AF5243" s="1">
        <v>10019</v>
      </c>
      <c r="AJ5243" s="1">
        <v>2016</v>
      </c>
      <c r="AK5243" s="1" t="s">
        <v>46</v>
      </c>
      <c r="AL5243" s="1">
        <v>109</v>
      </c>
    </row>
    <row r="5244" spans="1:38" x14ac:dyDescent="0.2">
      <c r="A5244" s="2" t="str">
        <f>HYPERLINK("https://www.compass.com/listing/135-west-52nd-street-unit-23a-manhattan-ny-10019/29383351282540241/","135 W 52nd St, Unit 23A")</f>
        <v>135 W 52nd St, Unit 23A</v>
      </c>
      <c r="B5244" s="2" t="str">
        <f t="shared" si="880"/>
        <v>135 W 52nd St</v>
      </c>
      <c r="C5244" s="1" t="s">
        <v>139</v>
      </c>
      <c r="D5244" s="1" t="s">
        <v>41</v>
      </c>
      <c r="E5244" s="3">
        <v>2560000</v>
      </c>
      <c r="F5244" s="1">
        <v>2151.2605042016799</v>
      </c>
      <c r="G5244" s="1">
        <v>4</v>
      </c>
      <c r="H5244" s="1">
        <v>2</v>
      </c>
      <c r="I5244" s="1">
        <v>2</v>
      </c>
      <c r="J5244" s="1">
        <v>2</v>
      </c>
      <c r="K5244" s="1">
        <v>2</v>
      </c>
      <c r="M5244" s="4">
        <v>1190</v>
      </c>
      <c r="N5244" s="1">
        <v>1105</v>
      </c>
      <c r="O5244" s="1">
        <v>2652</v>
      </c>
      <c r="P5244" s="1">
        <v>1547</v>
      </c>
      <c r="Q5244" s="1" t="s">
        <v>42</v>
      </c>
      <c r="S5244" s="1" t="s">
        <v>42</v>
      </c>
      <c r="T5244" s="1" t="s">
        <v>273</v>
      </c>
      <c r="V5244" s="5">
        <v>44225</v>
      </c>
      <c r="W5244" s="5">
        <v>41976</v>
      </c>
      <c r="X5244" s="1">
        <v>2560000</v>
      </c>
      <c r="Y5244" s="1">
        <v>2560000</v>
      </c>
      <c r="Z5244" s="5">
        <v>41976</v>
      </c>
      <c r="AA5244" s="1">
        <v>2560000</v>
      </c>
      <c r="AB5244" s="1" t="s">
        <v>3674</v>
      </c>
      <c r="AC5244" s="5">
        <v>42437</v>
      </c>
      <c r="AF5244" s="1">
        <v>10019</v>
      </c>
      <c r="AI5244" s="1" t="s">
        <v>160</v>
      </c>
      <c r="AJ5244" s="1">
        <v>2016</v>
      </c>
      <c r="AK5244" s="1" t="s">
        <v>49</v>
      </c>
      <c r="AL5244" s="1">
        <v>109</v>
      </c>
    </row>
    <row r="5245" spans="1:38" x14ac:dyDescent="0.2">
      <c r="A5245" s="2" t="str">
        <f>HYPERLINK("https://www.compass.com/listing/135-west-52nd-street-unit-24b-manhattan-ny-10019/29383353463520641/","135 W 52nd St, Unit 24B")</f>
        <v>135 W 52nd St, Unit 24B</v>
      </c>
      <c r="B5245" s="2" t="str">
        <f t="shared" si="880"/>
        <v>135 W 52nd St</v>
      </c>
      <c r="C5245" s="1" t="s">
        <v>139</v>
      </c>
      <c r="D5245" s="1" t="s">
        <v>41</v>
      </c>
      <c r="E5245" s="3">
        <v>3054750</v>
      </c>
      <c r="F5245" s="1">
        <v>2133.2053072625699</v>
      </c>
      <c r="G5245" s="1">
        <v>5</v>
      </c>
      <c r="H5245" s="1">
        <v>2</v>
      </c>
      <c r="I5245" s="1">
        <v>2</v>
      </c>
      <c r="J5245" s="1">
        <v>2</v>
      </c>
      <c r="K5245" s="1">
        <v>2</v>
      </c>
      <c r="M5245" s="4">
        <v>1432</v>
      </c>
      <c r="N5245" s="1">
        <v>1344</v>
      </c>
      <c r="O5245" s="1">
        <v>3227</v>
      </c>
      <c r="P5245" s="1">
        <v>1883</v>
      </c>
      <c r="Q5245" s="1" t="s">
        <v>42</v>
      </c>
      <c r="S5245" s="1" t="s">
        <v>42</v>
      </c>
      <c r="T5245" s="1" t="s">
        <v>273</v>
      </c>
      <c r="V5245" s="5">
        <v>44225</v>
      </c>
      <c r="W5245" s="5">
        <v>42123</v>
      </c>
      <c r="X5245" s="1">
        <v>3000000</v>
      </c>
      <c r="Y5245" s="1">
        <v>3000000</v>
      </c>
      <c r="Z5245" s="5">
        <v>42123</v>
      </c>
      <c r="AA5245" s="1">
        <v>3054750</v>
      </c>
      <c r="AB5245" s="1" t="s">
        <v>3675</v>
      </c>
      <c r="AC5245" s="5">
        <v>42389</v>
      </c>
      <c r="AF5245" s="1">
        <v>10019</v>
      </c>
      <c r="AI5245" s="1" t="s">
        <v>177</v>
      </c>
      <c r="AJ5245" s="1">
        <v>2016</v>
      </c>
      <c r="AK5245" s="1" t="s">
        <v>46</v>
      </c>
      <c r="AL5245" s="1">
        <v>109</v>
      </c>
    </row>
    <row r="5246" spans="1:38" x14ac:dyDescent="0.2">
      <c r="A5246" s="2" t="str">
        <f>HYPERLINK("https://www.compass.com/listing/135-west-52nd-street-unit-24c-manhattan-ny-10019/29383354075946753/","135 W 52nd St, Unit 24C")</f>
        <v>135 W 52nd St, Unit 24C</v>
      </c>
      <c r="B5246" s="2" t="str">
        <f t="shared" si="880"/>
        <v>135 W 52nd St</v>
      </c>
      <c r="C5246" s="1" t="s">
        <v>139</v>
      </c>
      <c r="D5246" s="1" t="s">
        <v>41</v>
      </c>
      <c r="E5246" s="3">
        <v>3166758</v>
      </c>
      <c r="F5246" s="1">
        <v>2211.4231843575399</v>
      </c>
      <c r="G5246" s="1">
        <v>4</v>
      </c>
      <c r="H5246" s="1">
        <v>2</v>
      </c>
      <c r="I5246" s="1">
        <v>2</v>
      </c>
      <c r="J5246" s="1">
        <v>2</v>
      </c>
      <c r="K5246" s="1">
        <v>2</v>
      </c>
      <c r="M5246" s="4">
        <v>1432</v>
      </c>
      <c r="N5246" s="1">
        <v>1158</v>
      </c>
      <c r="O5246" s="1">
        <v>2779</v>
      </c>
      <c r="P5246" s="1">
        <v>1621</v>
      </c>
      <c r="Q5246" s="1" t="s">
        <v>42</v>
      </c>
      <c r="S5246" s="1" t="s">
        <v>42</v>
      </c>
      <c r="T5246" s="1" t="s">
        <v>273</v>
      </c>
      <c r="V5246" s="5">
        <v>44340</v>
      </c>
      <c r="W5246" s="5">
        <v>42123</v>
      </c>
      <c r="X5246" s="1">
        <v>3110000</v>
      </c>
      <c r="Y5246" s="1">
        <v>3110000</v>
      </c>
      <c r="Z5246" s="5">
        <v>42123</v>
      </c>
      <c r="AA5246" s="1">
        <v>3166758</v>
      </c>
      <c r="AB5246" s="1" t="s">
        <v>3676</v>
      </c>
      <c r="AC5246" s="5">
        <v>42409</v>
      </c>
      <c r="AF5246" s="1">
        <v>10019</v>
      </c>
      <c r="AJ5246" s="1">
        <v>2016</v>
      </c>
      <c r="AK5246" s="1" t="s">
        <v>49</v>
      </c>
      <c r="AL5246" s="1">
        <v>109</v>
      </c>
    </row>
    <row r="5247" spans="1:38" x14ac:dyDescent="0.2">
      <c r="A5247" s="2" t="str">
        <f>HYPERLINK("https://www.compass.com/listing/135-west-52nd-street-unit-24d-manhattan-ny-10019/29383354512153473/","135 W 52nd St, Unit 24D")</f>
        <v>135 W 52nd St, Unit 24D</v>
      </c>
      <c r="B5247" s="2" t="str">
        <f t="shared" si="880"/>
        <v>135 W 52nd St</v>
      </c>
      <c r="C5247" s="1" t="s">
        <v>139</v>
      </c>
      <c r="D5247" s="1" t="s">
        <v>41</v>
      </c>
      <c r="E5247" s="3">
        <v>2606720</v>
      </c>
      <c r="F5247" s="1">
        <v>2183.18257956448</v>
      </c>
      <c r="G5247" s="1">
        <v>4</v>
      </c>
      <c r="H5247" s="1">
        <v>2</v>
      </c>
      <c r="I5247" s="1">
        <v>2</v>
      </c>
      <c r="J5247" s="1">
        <v>2</v>
      </c>
      <c r="K5247" s="1">
        <v>2</v>
      </c>
      <c r="M5247" s="4">
        <v>1194</v>
      </c>
      <c r="N5247" s="1">
        <v>1105</v>
      </c>
      <c r="O5247" s="1">
        <v>2652</v>
      </c>
      <c r="P5247" s="1">
        <v>1547</v>
      </c>
      <c r="Q5247" s="1" t="s">
        <v>42</v>
      </c>
      <c r="S5247" s="1" t="s">
        <v>42</v>
      </c>
      <c r="T5247" s="1" t="s">
        <v>273</v>
      </c>
      <c r="V5247" s="5">
        <v>44396</v>
      </c>
      <c r="W5247" s="5">
        <v>41976</v>
      </c>
      <c r="X5247" s="1">
        <v>2560000</v>
      </c>
      <c r="Y5247" s="1">
        <v>2560000</v>
      </c>
      <c r="Z5247" s="5">
        <v>41976</v>
      </c>
      <c r="AA5247" s="1">
        <v>2606720</v>
      </c>
      <c r="AB5247" s="1" t="s">
        <v>3677</v>
      </c>
      <c r="AC5247" s="5">
        <v>42388</v>
      </c>
      <c r="AF5247" s="1">
        <v>10019</v>
      </c>
      <c r="AJ5247" s="1">
        <v>2016</v>
      </c>
      <c r="AK5247" s="1" t="s">
        <v>49</v>
      </c>
      <c r="AL5247" s="1">
        <v>109</v>
      </c>
    </row>
    <row r="5248" spans="1:38" x14ac:dyDescent="0.2">
      <c r="A5248" s="2" t="str">
        <f>HYPERLINK("https://www.compass.com/listing/135-west-52nd-street-unit-25d-manhattan-ny-10019/29383356105932241/","135 W 52nd St, Unit 25D")</f>
        <v>135 W 52nd St, Unit 25D</v>
      </c>
      <c r="B5248" s="2" t="str">
        <f t="shared" si="880"/>
        <v>135 W 52nd St</v>
      </c>
      <c r="C5248" s="1" t="s">
        <v>139</v>
      </c>
      <c r="D5248" s="1" t="s">
        <v>41</v>
      </c>
      <c r="E5248" s="3">
        <v>2723819</v>
      </c>
      <c r="F5248" s="1">
        <v>2281.2554438860898</v>
      </c>
      <c r="G5248" s="1">
        <v>4</v>
      </c>
      <c r="H5248" s="1">
        <v>2</v>
      </c>
      <c r="I5248" s="1">
        <v>2</v>
      </c>
      <c r="J5248" s="1">
        <v>2</v>
      </c>
      <c r="M5248" s="4">
        <v>1194</v>
      </c>
      <c r="N5248" s="1">
        <v>1154</v>
      </c>
      <c r="O5248" s="1">
        <v>2770</v>
      </c>
      <c r="P5248" s="1">
        <v>1616</v>
      </c>
      <c r="Q5248" s="1" t="s">
        <v>42</v>
      </c>
      <c r="S5248" s="1" t="s">
        <v>42</v>
      </c>
      <c r="T5248" s="1" t="s">
        <v>273</v>
      </c>
      <c r="V5248" s="5">
        <v>43650</v>
      </c>
      <c r="W5248" s="5">
        <v>41976</v>
      </c>
      <c r="X5248" s="1">
        <v>2675000</v>
      </c>
      <c r="Y5248" s="1">
        <v>2675000</v>
      </c>
      <c r="Z5248" s="5">
        <v>41976</v>
      </c>
      <c r="AA5248" s="1">
        <v>2723819</v>
      </c>
      <c r="AB5248" s="1" t="s">
        <v>3678</v>
      </c>
      <c r="AC5248" s="5">
        <v>42417</v>
      </c>
      <c r="AF5248" s="1">
        <v>10019</v>
      </c>
      <c r="AJ5248" s="1">
        <v>2016</v>
      </c>
      <c r="AK5248" s="1" t="s">
        <v>49</v>
      </c>
      <c r="AL5248" s="1">
        <v>109</v>
      </c>
    </row>
    <row r="5249" spans="1:38" x14ac:dyDescent="0.2">
      <c r="A5249" s="2" t="str">
        <f>HYPERLINK("https://www.compass.com/listing/135-west-52nd-street-unit-22c-manhattan-ny-10019/785130097967339561/","135 W 52nd St, Unit 22C")</f>
        <v>135 W 52nd St, Unit 22C</v>
      </c>
      <c r="B5249" s="2" t="str">
        <f t="shared" si="880"/>
        <v>135 W 52nd St</v>
      </c>
      <c r="C5249" s="1" t="s">
        <v>139</v>
      </c>
      <c r="D5249" s="1" t="s">
        <v>41</v>
      </c>
      <c r="E5249" s="3">
        <v>2975000</v>
      </c>
      <c r="F5249" s="1">
        <v>2077.5139664804401</v>
      </c>
      <c r="G5249" s="1">
        <v>4</v>
      </c>
      <c r="H5249" s="1">
        <v>2</v>
      </c>
      <c r="I5249" s="1">
        <v>2</v>
      </c>
      <c r="J5249" s="1">
        <v>2</v>
      </c>
      <c r="M5249" s="4">
        <v>1432</v>
      </c>
      <c r="N5249" s="1">
        <v>1284</v>
      </c>
      <c r="O5249" s="1">
        <v>3082</v>
      </c>
      <c r="P5249" s="1">
        <v>1798</v>
      </c>
      <c r="Q5249" s="1" t="s">
        <v>42</v>
      </c>
      <c r="S5249" s="1" t="s">
        <v>42</v>
      </c>
      <c r="T5249" s="1" t="s">
        <v>273</v>
      </c>
      <c r="V5249" s="5">
        <v>42874</v>
      </c>
      <c r="Y5249" s="1">
        <v>2975000</v>
      </c>
      <c r="Z5249" s="5">
        <v>42383</v>
      </c>
      <c r="AA5249" s="1">
        <v>2975000</v>
      </c>
      <c r="AB5249" s="1" t="s">
        <v>275</v>
      </c>
      <c r="AC5249" s="5">
        <v>42831</v>
      </c>
      <c r="AF5249" s="1">
        <v>10019</v>
      </c>
      <c r="AJ5249" s="1">
        <v>2016</v>
      </c>
      <c r="AK5249" s="1" t="s">
        <v>46</v>
      </c>
      <c r="AL5249" s="1">
        <v>109</v>
      </c>
    </row>
    <row r="5250" spans="1:38" x14ac:dyDescent="0.2">
      <c r="A5250" s="2" t="str">
        <f>HYPERLINK("https://www.compass.com/listing/135-west-52nd-street-unit-30b-manhattan-ny-10019/29383360249962337/","135 W 52nd St, Unit 30B")</f>
        <v>135 W 52nd St, Unit 30B</v>
      </c>
      <c r="B5250" s="2" t="str">
        <f t="shared" si="880"/>
        <v>135 W 52nd St</v>
      </c>
      <c r="C5250" s="1" t="s">
        <v>139</v>
      </c>
      <c r="D5250" s="1" t="s">
        <v>41</v>
      </c>
      <c r="E5250" s="3">
        <v>3100571</v>
      </c>
      <c r="F5250" s="1">
        <v>2259.8913994169002</v>
      </c>
      <c r="G5250" s="1">
        <v>4</v>
      </c>
      <c r="H5250" s="1">
        <v>2</v>
      </c>
      <c r="I5250" s="1">
        <v>3</v>
      </c>
      <c r="J5250" s="1">
        <v>2.5</v>
      </c>
      <c r="M5250" s="4">
        <v>1372</v>
      </c>
      <c r="N5250" s="1">
        <v>1295</v>
      </c>
      <c r="O5250" s="1">
        <v>3108</v>
      </c>
      <c r="P5250" s="1">
        <v>1813</v>
      </c>
      <c r="Q5250" s="1" t="s">
        <v>42</v>
      </c>
      <c r="S5250" s="1" t="s">
        <v>42</v>
      </c>
      <c r="T5250" s="1" t="s">
        <v>273</v>
      </c>
      <c r="V5250" s="5">
        <v>43640</v>
      </c>
      <c r="W5250" s="5">
        <v>41976</v>
      </c>
      <c r="X5250" s="1">
        <v>3045000</v>
      </c>
      <c r="Y5250" s="1">
        <v>3045000</v>
      </c>
      <c r="Z5250" s="5">
        <v>41976</v>
      </c>
      <c r="AA5250" s="1">
        <v>3100571</v>
      </c>
      <c r="AB5250" s="1" t="s">
        <v>3679</v>
      </c>
      <c r="AC5250" s="5">
        <v>42439</v>
      </c>
      <c r="AF5250" s="1">
        <v>10019</v>
      </c>
      <c r="AJ5250" s="1">
        <v>2016</v>
      </c>
      <c r="AK5250" s="1" t="s">
        <v>49</v>
      </c>
      <c r="AL5250" s="1">
        <v>109</v>
      </c>
    </row>
    <row r="5251" spans="1:38" x14ac:dyDescent="0.2">
      <c r="A5251" s="2" t="str">
        <f>HYPERLINK("https://www.compass.com/listing/135-west-52nd-street-unit-32b-manhattan-ny-10019/29383362691047297/","135 W 52nd St, Unit 32B")</f>
        <v>135 W 52nd St, Unit 32B</v>
      </c>
      <c r="B5251" s="2" t="str">
        <f t="shared" si="880"/>
        <v>135 W 52nd St</v>
      </c>
      <c r="C5251" s="1" t="s">
        <v>139</v>
      </c>
      <c r="D5251" s="1" t="s">
        <v>41</v>
      </c>
      <c r="E5251" s="3">
        <v>3156575</v>
      </c>
      <c r="F5251" s="1">
        <v>2300.7106413994102</v>
      </c>
      <c r="G5251" s="1">
        <v>4</v>
      </c>
      <c r="H5251" s="1">
        <v>2</v>
      </c>
      <c r="I5251" s="1">
        <v>3</v>
      </c>
      <c r="J5251" s="1">
        <v>2.5</v>
      </c>
      <c r="M5251" s="4">
        <v>1372</v>
      </c>
      <c r="N5251" s="1">
        <v>1338</v>
      </c>
      <c r="O5251" s="1">
        <v>3212</v>
      </c>
      <c r="P5251" s="1">
        <v>1874</v>
      </c>
      <c r="Q5251" s="1" t="s">
        <v>42</v>
      </c>
      <c r="S5251" s="1" t="s">
        <v>42</v>
      </c>
      <c r="T5251" s="1" t="s">
        <v>273</v>
      </c>
      <c r="V5251" s="5">
        <v>43640</v>
      </c>
      <c r="W5251" s="5">
        <v>41976</v>
      </c>
      <c r="X5251" s="1">
        <v>3100000</v>
      </c>
      <c r="Y5251" s="1">
        <v>3100000</v>
      </c>
      <c r="Z5251" s="5">
        <v>41976</v>
      </c>
      <c r="AA5251" s="1">
        <v>3156575</v>
      </c>
      <c r="AB5251" s="1" t="s">
        <v>3680</v>
      </c>
      <c r="AC5251" s="5">
        <v>42440</v>
      </c>
      <c r="AF5251" s="1">
        <v>10019</v>
      </c>
      <c r="AJ5251" s="1">
        <v>2016</v>
      </c>
      <c r="AK5251" s="1" t="s">
        <v>49</v>
      </c>
      <c r="AL5251" s="1">
        <v>109</v>
      </c>
    </row>
    <row r="5252" spans="1:38" x14ac:dyDescent="0.2">
      <c r="A5252" s="2" t="str">
        <f>HYPERLINK("https://www.compass.com/listing/135-west-52nd-street-unit-33b-manhattan-ny-10019/29383363940949905/","135 W 52nd St, Unit 33B")</f>
        <v>135 W 52nd St, Unit 33B</v>
      </c>
      <c r="B5252" s="2" t="str">
        <f t="shared" si="880"/>
        <v>135 W 52nd St</v>
      </c>
      <c r="C5252" s="1" t="s">
        <v>139</v>
      </c>
      <c r="D5252" s="1" t="s">
        <v>41</v>
      </c>
      <c r="E5252" s="3">
        <v>3304221</v>
      </c>
      <c r="F5252" s="1">
        <v>2408.32434402332</v>
      </c>
      <c r="G5252" s="1">
        <v>4</v>
      </c>
      <c r="H5252" s="1">
        <v>2</v>
      </c>
      <c r="I5252" s="1">
        <v>3</v>
      </c>
      <c r="J5252" s="1">
        <v>2.5</v>
      </c>
      <c r="M5252" s="4">
        <v>1372</v>
      </c>
      <c r="N5252" s="1">
        <v>1401</v>
      </c>
      <c r="O5252" s="1">
        <v>3362</v>
      </c>
      <c r="P5252" s="1">
        <v>1961</v>
      </c>
      <c r="Q5252" s="1" t="s">
        <v>42</v>
      </c>
      <c r="S5252" s="1" t="s">
        <v>42</v>
      </c>
      <c r="T5252" s="1" t="s">
        <v>273</v>
      </c>
      <c r="U5252" s="1">
        <v>43</v>
      </c>
      <c r="V5252" s="5">
        <v>43630</v>
      </c>
      <c r="W5252" s="5">
        <v>42130</v>
      </c>
      <c r="X5252" s="1">
        <v>3245000</v>
      </c>
      <c r="Y5252" s="1">
        <v>3245000</v>
      </c>
      <c r="Z5252" s="5">
        <v>42173</v>
      </c>
      <c r="AA5252" s="1">
        <v>3304221</v>
      </c>
      <c r="AB5252" s="1" t="s">
        <v>3681</v>
      </c>
      <c r="AC5252" s="5">
        <v>42453</v>
      </c>
      <c r="AF5252" s="1">
        <v>10019</v>
      </c>
      <c r="AJ5252" s="1">
        <v>2016</v>
      </c>
      <c r="AK5252" s="1" t="s">
        <v>49</v>
      </c>
      <c r="AL5252" s="1">
        <v>109</v>
      </c>
    </row>
    <row r="5253" spans="1:38" x14ac:dyDescent="0.2">
      <c r="A5253" s="2" t="str">
        <f>HYPERLINK("https://www.compass.com/listing/135-west-52nd-street-unit-9c-manhattan-ny-10019/29383324984195953/","135 W 52nd St, Unit 9C")</f>
        <v>135 W 52nd St, Unit 9C</v>
      </c>
      <c r="B5253" s="2" t="str">
        <f t="shared" si="880"/>
        <v>135 W 52nd St</v>
      </c>
      <c r="C5253" s="1" t="s">
        <v>139</v>
      </c>
      <c r="D5253" s="1" t="s">
        <v>41</v>
      </c>
      <c r="E5253" s="3">
        <v>1568105</v>
      </c>
      <c r="F5253" s="1">
        <v>1734.62942477876</v>
      </c>
      <c r="G5253" s="1">
        <v>3</v>
      </c>
      <c r="H5253" s="1">
        <v>1</v>
      </c>
      <c r="I5253" s="1">
        <v>2</v>
      </c>
      <c r="J5253" s="1">
        <v>2</v>
      </c>
      <c r="K5253" s="1">
        <v>2</v>
      </c>
      <c r="M5253" s="1">
        <v>904</v>
      </c>
      <c r="N5253" s="1">
        <v>656</v>
      </c>
      <c r="O5253" s="1">
        <v>1574</v>
      </c>
      <c r="P5253" s="1">
        <v>918</v>
      </c>
      <c r="Q5253" s="1" t="s">
        <v>42</v>
      </c>
      <c r="S5253" s="1" t="s">
        <v>42</v>
      </c>
      <c r="T5253" s="1" t="s">
        <v>273</v>
      </c>
      <c r="V5253" s="5">
        <v>44225</v>
      </c>
      <c r="W5253" s="5">
        <v>41976</v>
      </c>
      <c r="X5253" s="1">
        <v>1520000</v>
      </c>
      <c r="Y5253" s="1">
        <v>1520000</v>
      </c>
      <c r="Z5253" s="5">
        <v>41976</v>
      </c>
      <c r="AA5253" s="1">
        <v>1568105</v>
      </c>
      <c r="AB5253" s="1" t="s">
        <v>3682</v>
      </c>
      <c r="AC5253" s="5">
        <v>42339</v>
      </c>
      <c r="AF5253" s="1">
        <v>10019</v>
      </c>
      <c r="AJ5253" s="1">
        <v>2016</v>
      </c>
      <c r="AK5253" s="1" t="s">
        <v>49</v>
      </c>
      <c r="AL5253" s="1">
        <v>109</v>
      </c>
    </row>
    <row r="5254" spans="1:38" x14ac:dyDescent="0.2">
      <c r="A5254" s="2" t="str">
        <f>HYPERLINK("https://www.compass.com/listing/135-west-52nd-street-unit-16d-manhattan-ny-10019/29383340637395649/","135 W 52nd St, Unit 16D")</f>
        <v>135 W 52nd St, Unit 16D</v>
      </c>
      <c r="B5254" s="2" t="str">
        <f t="shared" si="880"/>
        <v>135 W 52nd St</v>
      </c>
      <c r="C5254" s="1" t="s">
        <v>139</v>
      </c>
      <c r="D5254" s="1" t="s">
        <v>41</v>
      </c>
      <c r="E5254" s="3">
        <v>1700478</v>
      </c>
      <c r="F5254" s="1">
        <v>1881.0597345132701</v>
      </c>
      <c r="G5254" s="1">
        <v>3</v>
      </c>
      <c r="H5254" s="1">
        <v>1</v>
      </c>
      <c r="I5254" s="1">
        <v>2</v>
      </c>
      <c r="J5254" s="1">
        <v>2</v>
      </c>
      <c r="M5254" s="1">
        <v>904</v>
      </c>
      <c r="N5254" s="1">
        <v>721</v>
      </c>
      <c r="O5254" s="1">
        <v>1730</v>
      </c>
      <c r="P5254" s="1">
        <v>1009</v>
      </c>
      <c r="Q5254" s="1" t="s">
        <v>42</v>
      </c>
      <c r="S5254" s="1" t="s">
        <v>42</v>
      </c>
      <c r="T5254" s="1" t="s">
        <v>273</v>
      </c>
      <c r="U5254" s="1">
        <v>6</v>
      </c>
      <c r="V5254" s="5">
        <v>43640</v>
      </c>
      <c r="W5254" s="5">
        <v>41976</v>
      </c>
      <c r="X5254" s="1">
        <v>1670000</v>
      </c>
      <c r="Y5254" s="1">
        <v>1670000</v>
      </c>
      <c r="Z5254" s="5">
        <v>41982</v>
      </c>
      <c r="AA5254" s="1">
        <v>1700478</v>
      </c>
      <c r="AB5254" s="1" t="s">
        <v>3683</v>
      </c>
      <c r="AC5254" s="5">
        <v>42432</v>
      </c>
      <c r="AF5254" s="1">
        <v>10019</v>
      </c>
      <c r="AJ5254" s="1">
        <v>2016</v>
      </c>
      <c r="AK5254" s="1" t="s">
        <v>49</v>
      </c>
      <c r="AL5254" s="1">
        <v>109</v>
      </c>
    </row>
    <row r="5255" spans="1:38" x14ac:dyDescent="0.2">
      <c r="A5255" s="2" t="str">
        <f>HYPERLINK("https://www.compass.com/listing/135-west-52nd-street-unit-11c-manhattan-ny-10019/29492483440331681/","135 W 52nd St, Unit 11C")</f>
        <v>135 W 52nd St, Unit 11C</v>
      </c>
      <c r="B5255" s="2" t="str">
        <f t="shared" si="880"/>
        <v>135 W 52nd St</v>
      </c>
      <c r="C5255" s="1" t="s">
        <v>139</v>
      </c>
      <c r="D5255" s="1" t="s">
        <v>41</v>
      </c>
      <c r="E5255" s="3">
        <v>1619018</v>
      </c>
      <c r="F5255" s="1">
        <v>1790.94911504424</v>
      </c>
      <c r="G5255" s="1">
        <v>3</v>
      </c>
      <c r="H5255" s="1">
        <v>1</v>
      </c>
      <c r="I5255" s="1">
        <v>2</v>
      </c>
      <c r="J5255" s="1">
        <v>2</v>
      </c>
      <c r="M5255" s="1">
        <v>904</v>
      </c>
      <c r="N5255" s="1">
        <v>686</v>
      </c>
      <c r="O5255" s="1">
        <v>1647</v>
      </c>
      <c r="P5255" s="1">
        <v>961</v>
      </c>
      <c r="Q5255" s="1" t="s">
        <v>42</v>
      </c>
      <c r="S5255" s="1" t="s">
        <v>42</v>
      </c>
      <c r="T5255" s="1" t="s">
        <v>273</v>
      </c>
      <c r="U5255" s="1">
        <v>2</v>
      </c>
      <c r="V5255" s="5">
        <v>43631</v>
      </c>
      <c r="W5255" s="5">
        <v>41976</v>
      </c>
      <c r="X5255" s="1">
        <v>1590000</v>
      </c>
      <c r="Y5255" s="1">
        <v>1590000</v>
      </c>
      <c r="Z5255" s="5">
        <v>41978</v>
      </c>
      <c r="AA5255" s="1">
        <v>1619018</v>
      </c>
      <c r="AB5255" s="1" t="s">
        <v>3684</v>
      </c>
      <c r="AC5255" s="5">
        <v>42434</v>
      </c>
      <c r="AF5255" s="1">
        <v>10019</v>
      </c>
      <c r="AJ5255" s="1">
        <v>2016</v>
      </c>
      <c r="AK5255" s="1" t="s">
        <v>49</v>
      </c>
      <c r="AL5255" s="1">
        <v>109</v>
      </c>
    </row>
    <row r="5256" spans="1:38" x14ac:dyDescent="0.2">
      <c r="A5256" s="2" t="str">
        <f>HYPERLINK("https://www.compass.com/listing/135-west-52nd-street-unit-11f-manhattan-ny-10019/29383331778968593/","135 W 52nd St, Unit 11F")</f>
        <v>135 W 52nd St, Unit 11F</v>
      </c>
      <c r="B5256" s="2" t="str">
        <f t="shared" si="880"/>
        <v>135 W 52nd St</v>
      </c>
      <c r="C5256" s="1" t="s">
        <v>139</v>
      </c>
      <c r="D5256" s="1" t="s">
        <v>41</v>
      </c>
      <c r="E5256" s="3">
        <v>1934675</v>
      </c>
      <c r="F5256" s="1">
        <v>1932.7422577422501</v>
      </c>
      <c r="G5256" s="1">
        <v>4</v>
      </c>
      <c r="H5256" s="1">
        <v>2</v>
      </c>
      <c r="I5256" s="1">
        <v>2</v>
      </c>
      <c r="J5256" s="1">
        <v>2</v>
      </c>
      <c r="M5256" s="4">
        <v>1001</v>
      </c>
      <c r="N5256" s="1">
        <v>721</v>
      </c>
      <c r="O5256" s="1">
        <v>1730</v>
      </c>
      <c r="P5256" s="1">
        <v>1009</v>
      </c>
      <c r="Q5256" s="1" t="s">
        <v>42</v>
      </c>
      <c r="S5256" s="1" t="s">
        <v>42</v>
      </c>
      <c r="T5256" s="1" t="s">
        <v>273</v>
      </c>
      <c r="U5256" s="1">
        <v>44</v>
      </c>
      <c r="V5256" s="5">
        <v>43640</v>
      </c>
      <c r="W5256" s="5">
        <v>41976</v>
      </c>
      <c r="X5256" s="1">
        <v>1900000</v>
      </c>
      <c r="Y5256" s="1">
        <v>1900000</v>
      </c>
      <c r="Z5256" s="5">
        <v>42020</v>
      </c>
      <c r="AA5256" s="1">
        <v>1934675</v>
      </c>
      <c r="AB5256" s="1" t="s">
        <v>3685</v>
      </c>
      <c r="AC5256" s="5">
        <v>42326</v>
      </c>
      <c r="AF5256" s="1">
        <v>10019</v>
      </c>
      <c r="AJ5256" s="1">
        <v>2016</v>
      </c>
      <c r="AK5256" s="1" t="s">
        <v>49</v>
      </c>
      <c r="AL5256" s="1">
        <v>109</v>
      </c>
    </row>
    <row r="5257" spans="1:38" x14ac:dyDescent="0.2">
      <c r="A5257" s="2" t="str">
        <f>HYPERLINK("https://www.compass.com/listing/135-west-52nd-street-unit-12a-manhattan-ny-10019/29383332156513617/","135 W 52nd St, Unit 12A")</f>
        <v>135 W 52nd St, Unit 12A</v>
      </c>
      <c r="B5257" s="2" t="str">
        <f t="shared" si="880"/>
        <v>135 W 52nd St</v>
      </c>
      <c r="C5257" s="1" t="s">
        <v>139</v>
      </c>
      <c r="D5257" s="1" t="s">
        <v>41</v>
      </c>
      <c r="E5257" s="3">
        <v>1955040</v>
      </c>
      <c r="F5257" s="1">
        <v>1964.86432160804</v>
      </c>
      <c r="G5257" s="1">
        <v>4</v>
      </c>
      <c r="H5257" s="1">
        <v>2</v>
      </c>
      <c r="I5257" s="1">
        <v>2</v>
      </c>
      <c r="J5257" s="1">
        <v>2</v>
      </c>
      <c r="M5257" s="1">
        <v>995</v>
      </c>
      <c r="N5257" s="1">
        <v>829</v>
      </c>
      <c r="O5257" s="1">
        <v>1989</v>
      </c>
      <c r="P5257" s="1">
        <v>1160</v>
      </c>
      <c r="Q5257" s="1" t="s">
        <v>42</v>
      </c>
      <c r="S5257" s="1" t="s">
        <v>42</v>
      </c>
      <c r="T5257" s="1" t="s">
        <v>273</v>
      </c>
      <c r="V5257" s="5">
        <v>43654</v>
      </c>
      <c r="W5257" s="5">
        <v>41976</v>
      </c>
      <c r="X5257" s="1">
        <v>1920000</v>
      </c>
      <c r="Y5257" s="1">
        <v>1920000</v>
      </c>
      <c r="Z5257" s="5">
        <v>41976</v>
      </c>
      <c r="AA5257" s="1">
        <v>1955040</v>
      </c>
      <c r="AB5257" s="1" t="s">
        <v>3686</v>
      </c>
      <c r="AC5257" s="5">
        <v>42426</v>
      </c>
      <c r="AF5257" s="1">
        <v>10019</v>
      </c>
      <c r="AJ5257" s="1">
        <v>2016</v>
      </c>
      <c r="AK5257" s="1" t="s">
        <v>49</v>
      </c>
      <c r="AL5257" s="1">
        <v>109</v>
      </c>
    </row>
    <row r="5258" spans="1:38" x14ac:dyDescent="0.2">
      <c r="A5258" s="2" t="str">
        <f>HYPERLINK("https://www.compass.com/listing/135-west-52nd-street-unit-12f-manhattan-ny-10019/29383334127778865/","135 W 52nd St, Unit 12F")</f>
        <v>135 W 52nd St, Unit 12F</v>
      </c>
      <c r="B5258" s="2" t="str">
        <f t="shared" si="880"/>
        <v>135 W 52nd St</v>
      </c>
      <c r="C5258" s="1" t="s">
        <v>139</v>
      </c>
      <c r="D5258" s="1" t="s">
        <v>41</v>
      </c>
      <c r="E5258" s="3">
        <v>1955040</v>
      </c>
      <c r="F5258" s="1">
        <v>1953.08691308691</v>
      </c>
      <c r="G5258" s="1">
        <v>4</v>
      </c>
      <c r="H5258" s="1">
        <v>2</v>
      </c>
      <c r="I5258" s="1">
        <v>2</v>
      </c>
      <c r="J5258" s="1">
        <v>2</v>
      </c>
      <c r="K5258" s="1">
        <v>2</v>
      </c>
      <c r="M5258" s="4">
        <v>1001</v>
      </c>
      <c r="N5258" s="1">
        <v>828</v>
      </c>
      <c r="O5258" s="1">
        <v>1988</v>
      </c>
      <c r="P5258" s="1">
        <v>1160</v>
      </c>
      <c r="Q5258" s="1" t="s">
        <v>42</v>
      </c>
      <c r="S5258" s="1" t="s">
        <v>42</v>
      </c>
      <c r="T5258" s="1" t="s">
        <v>273</v>
      </c>
      <c r="V5258" s="5">
        <v>44225</v>
      </c>
      <c r="W5258" s="5">
        <v>42123</v>
      </c>
      <c r="X5258" s="1">
        <v>1920000</v>
      </c>
      <c r="Y5258" s="1">
        <v>1920000</v>
      </c>
      <c r="Z5258" s="5">
        <v>42123</v>
      </c>
      <c r="AA5258" s="1">
        <v>1955040</v>
      </c>
      <c r="AB5258" s="1" t="s">
        <v>3687</v>
      </c>
      <c r="AC5258" s="5">
        <v>42332</v>
      </c>
      <c r="AF5258" s="1">
        <v>10019</v>
      </c>
      <c r="AJ5258" s="1">
        <v>2016</v>
      </c>
      <c r="AK5258" s="1" t="s">
        <v>49</v>
      </c>
      <c r="AL5258" s="1">
        <v>109</v>
      </c>
    </row>
    <row r="5259" spans="1:38" x14ac:dyDescent="0.2">
      <c r="A5259" s="2" t="str">
        <f>HYPERLINK("https://www.compass.com/listing/135-west-52nd-street-unit-14a-manhattan-ny-10019/29383334471769473/","135 W 52nd St, Unit 14A")</f>
        <v>135 W 52nd St, Unit 14A</v>
      </c>
      <c r="B5259" s="2" t="str">
        <f t="shared" si="880"/>
        <v>135 W 52nd St</v>
      </c>
      <c r="C5259" s="1" t="s">
        <v>139</v>
      </c>
      <c r="D5259" s="1" t="s">
        <v>41</v>
      </c>
      <c r="E5259" s="3">
        <v>1985588</v>
      </c>
      <c r="F5259" s="1">
        <v>1995.56582914572</v>
      </c>
      <c r="G5259" s="1">
        <v>4</v>
      </c>
      <c r="H5259" s="1">
        <v>2</v>
      </c>
      <c r="I5259" s="1">
        <v>2</v>
      </c>
      <c r="J5259" s="1">
        <v>2</v>
      </c>
      <c r="M5259" s="1">
        <v>995</v>
      </c>
      <c r="N5259" s="1">
        <v>842</v>
      </c>
      <c r="O5259" s="1">
        <v>2020</v>
      </c>
      <c r="P5259" s="1">
        <v>1178</v>
      </c>
      <c r="Q5259" s="1" t="s">
        <v>42</v>
      </c>
      <c r="S5259" s="1" t="s">
        <v>42</v>
      </c>
      <c r="T5259" s="1" t="s">
        <v>273</v>
      </c>
      <c r="U5259" s="1">
        <v>6</v>
      </c>
      <c r="V5259" s="5">
        <v>43642</v>
      </c>
      <c r="W5259" s="5">
        <v>41976</v>
      </c>
      <c r="X5259" s="1">
        <v>1950000</v>
      </c>
      <c r="Y5259" s="1">
        <v>1950000</v>
      </c>
      <c r="Z5259" s="5">
        <v>41982</v>
      </c>
      <c r="AA5259" s="1">
        <v>1985588</v>
      </c>
      <c r="AB5259" s="1" t="s">
        <v>3688</v>
      </c>
      <c r="AC5259" s="5">
        <v>42369</v>
      </c>
      <c r="AF5259" s="1">
        <v>10019</v>
      </c>
      <c r="AJ5259" s="1">
        <v>2016</v>
      </c>
      <c r="AK5259" s="1" t="s">
        <v>49</v>
      </c>
      <c r="AL5259" s="1">
        <v>109</v>
      </c>
    </row>
    <row r="5260" spans="1:38" x14ac:dyDescent="0.2">
      <c r="A5260" s="2" t="str">
        <f>HYPERLINK("https://www.compass.com/listing/135-west-52nd-street-unit-17b-manhattan-ny-10019/841478704776832593/","135 W 52nd St, Unit 17B")</f>
        <v>135 W 52nd St, Unit 17B</v>
      </c>
      <c r="B5260" s="2" t="str">
        <f t="shared" si="880"/>
        <v>135 W 52nd St</v>
      </c>
      <c r="C5260" s="1" t="s">
        <v>219</v>
      </c>
      <c r="D5260" s="1" t="s">
        <v>41</v>
      </c>
      <c r="E5260" s="3">
        <v>3316500</v>
      </c>
      <c r="F5260" s="1">
        <v>2035.9116022099399</v>
      </c>
      <c r="H5260" s="1">
        <v>2</v>
      </c>
      <c r="J5260" s="1">
        <v>2.5</v>
      </c>
      <c r="K5260" s="1">
        <v>2</v>
      </c>
      <c r="L5260" s="1">
        <v>1</v>
      </c>
      <c r="M5260" s="4">
        <v>1629</v>
      </c>
      <c r="N5260" s="1">
        <v>2240</v>
      </c>
      <c r="O5260" s="1">
        <v>4157</v>
      </c>
      <c r="P5260" s="1">
        <v>1917</v>
      </c>
      <c r="Q5260" s="1" t="s">
        <v>42</v>
      </c>
      <c r="S5260" s="1" t="s">
        <v>42</v>
      </c>
      <c r="T5260" s="1" t="s">
        <v>273</v>
      </c>
      <c r="AA5260" s="1">
        <v>3316500</v>
      </c>
      <c r="AB5260" s="1" t="s">
        <v>3689</v>
      </c>
      <c r="AC5260" s="5">
        <v>43593</v>
      </c>
      <c r="AF5260" s="1">
        <v>10019</v>
      </c>
      <c r="AJ5260" s="1">
        <v>2016</v>
      </c>
      <c r="AK5260" s="1" t="s">
        <v>49</v>
      </c>
      <c r="AL5260" s="1">
        <v>109</v>
      </c>
    </row>
    <row r="5261" spans="1:38" x14ac:dyDescent="0.2">
      <c r="A5261" s="2" t="str">
        <f>HYPERLINK("https://www.compass.com/listing/135-west-52nd-street-unit-11b-manhattan-ny-10019/29511821320834225/","135 W 52nd St, Unit 11B")</f>
        <v>135 W 52nd St, Unit 11B</v>
      </c>
      <c r="B5261" s="2" t="str">
        <f t="shared" si="880"/>
        <v>135 W 52nd St</v>
      </c>
      <c r="C5261" s="1" t="s">
        <v>139</v>
      </c>
      <c r="D5261" s="1" t="s">
        <v>41</v>
      </c>
      <c r="E5261" s="3">
        <v>2250000</v>
      </c>
      <c r="F5261" s="1">
        <v>2001.7793594305999</v>
      </c>
      <c r="G5261" s="1">
        <v>5</v>
      </c>
      <c r="H5261" s="1">
        <v>2</v>
      </c>
      <c r="I5261" s="1">
        <v>2</v>
      </c>
      <c r="J5261" s="1">
        <v>2</v>
      </c>
      <c r="M5261" s="4">
        <v>1124</v>
      </c>
      <c r="N5261" s="1">
        <v>966</v>
      </c>
      <c r="O5261" s="1">
        <v>2540</v>
      </c>
      <c r="P5261" s="1">
        <v>1574</v>
      </c>
      <c r="Q5261" s="1" t="s">
        <v>42</v>
      </c>
      <c r="S5261" s="1" t="s">
        <v>42</v>
      </c>
      <c r="T5261" s="1" t="s">
        <v>273</v>
      </c>
      <c r="U5261" s="1">
        <v>164</v>
      </c>
      <c r="V5261" s="5">
        <v>43630</v>
      </c>
      <c r="W5261" s="5">
        <v>43194</v>
      </c>
      <c r="X5261" s="1">
        <v>2395000</v>
      </c>
      <c r="Y5261" s="1">
        <v>2395000</v>
      </c>
      <c r="Z5261" s="5">
        <v>43358</v>
      </c>
      <c r="AA5261" s="1">
        <v>2250000</v>
      </c>
      <c r="AB5261" s="1" t="s">
        <v>3690</v>
      </c>
      <c r="AC5261" s="5">
        <v>43389</v>
      </c>
      <c r="AF5261" s="1">
        <v>10019</v>
      </c>
      <c r="AI5261" s="1" t="s">
        <v>252</v>
      </c>
      <c r="AJ5261" s="1">
        <v>2016</v>
      </c>
      <c r="AK5261" s="1" t="s">
        <v>49</v>
      </c>
      <c r="AL5261" s="1">
        <v>109</v>
      </c>
    </row>
    <row r="5262" spans="1:38" x14ac:dyDescent="0.2">
      <c r="A5262" s="2" t="str">
        <f>HYPERLINK("https://www.compass.com/listing/135-west-52nd-street-unit-39a-manhattan-ny-10019/35908110577102001/","135 W 52nd St, Unit 39A")</f>
        <v>135 W 52nd St, Unit 39A</v>
      </c>
      <c r="B5262" s="2" t="str">
        <f t="shared" si="880"/>
        <v>135 W 52nd St</v>
      </c>
      <c r="C5262" s="1" t="s">
        <v>219</v>
      </c>
      <c r="D5262" s="1" t="s">
        <v>41</v>
      </c>
      <c r="E5262" s="3">
        <v>7806100</v>
      </c>
      <c r="F5262" s="1">
        <v>2095.03488996242</v>
      </c>
      <c r="M5262" s="4">
        <v>3726</v>
      </c>
      <c r="Q5262" s="1" t="s">
        <v>42</v>
      </c>
      <c r="S5262" s="1" t="s">
        <v>42</v>
      </c>
      <c r="T5262" s="1" t="s">
        <v>273</v>
      </c>
      <c r="AA5262" s="1">
        <v>7806100</v>
      </c>
      <c r="AB5262" s="1" t="s">
        <v>3691</v>
      </c>
      <c r="AC5262" s="5">
        <v>43250</v>
      </c>
      <c r="AF5262" s="1">
        <v>10019</v>
      </c>
      <c r="AJ5262" s="1">
        <v>2016</v>
      </c>
      <c r="AK5262" s="1" t="s">
        <v>49</v>
      </c>
      <c r="AL5262" s="1">
        <v>109</v>
      </c>
    </row>
    <row r="5263" spans="1:38" x14ac:dyDescent="0.2">
      <c r="A5263" s="2" t="str">
        <f>HYPERLINK("https://www.compass.com/listing/135-west-52nd-street-unit-39a-manhattan-ny-10019/380709491159718017/","135 W 52nd St, Unit 39A")</f>
        <v>135 W 52nd St, Unit 39A</v>
      </c>
      <c r="B5263" s="2" t="str">
        <f t="shared" si="880"/>
        <v>135 W 52nd St</v>
      </c>
      <c r="C5263" s="1" t="s">
        <v>219</v>
      </c>
      <c r="D5263" s="1" t="s">
        <v>41</v>
      </c>
      <c r="E5263" s="3">
        <v>49000000</v>
      </c>
      <c r="F5263" s="1">
        <v>13150.8319914117</v>
      </c>
      <c r="M5263" s="4">
        <v>3726</v>
      </c>
      <c r="Q5263" s="1" t="s">
        <v>42</v>
      </c>
      <c r="S5263" s="1" t="s">
        <v>42</v>
      </c>
      <c r="T5263" s="1" t="s">
        <v>273</v>
      </c>
      <c r="AA5263" s="1">
        <v>49000000</v>
      </c>
      <c r="AB5263" s="1" t="s">
        <v>3692</v>
      </c>
      <c r="AC5263" s="5">
        <v>43206</v>
      </c>
      <c r="AF5263" s="1">
        <v>10019</v>
      </c>
      <c r="AJ5263" s="1">
        <v>2016</v>
      </c>
      <c r="AK5263" s="1" t="s">
        <v>49</v>
      </c>
      <c r="AL5263" s="1">
        <v>109</v>
      </c>
    </row>
    <row r="5264" spans="1:38" x14ac:dyDescent="0.2">
      <c r="A5264" s="2" t="str">
        <f>HYPERLINK("https://www.compass.com/listing/135-west-52nd-street-unit-9b-manhattan-ny-10019/29383324128615585/","135 W 52nd St, Unit 9B")</f>
        <v>135 W 52nd St, Unit 9B</v>
      </c>
      <c r="B5264" s="2" t="str">
        <f t="shared" si="880"/>
        <v>135 W 52nd St</v>
      </c>
      <c r="C5264" s="1" t="s">
        <v>139</v>
      </c>
      <c r="D5264" s="1" t="s">
        <v>41</v>
      </c>
      <c r="E5264" s="3">
        <v>1949949</v>
      </c>
      <c r="F5264" s="1">
        <v>1734.83007117437</v>
      </c>
      <c r="G5264" s="1">
        <v>3</v>
      </c>
      <c r="H5264" s="1">
        <v>1</v>
      </c>
      <c r="I5264" s="1">
        <v>2</v>
      </c>
      <c r="J5264" s="1">
        <v>2</v>
      </c>
      <c r="M5264" s="4">
        <v>1124</v>
      </c>
      <c r="N5264" s="1">
        <v>855</v>
      </c>
      <c r="O5264" s="1">
        <v>2052</v>
      </c>
      <c r="P5264" s="1">
        <v>1197</v>
      </c>
      <c r="Q5264" s="1" t="s">
        <v>42</v>
      </c>
      <c r="S5264" s="1" t="s">
        <v>42</v>
      </c>
      <c r="T5264" s="1" t="s">
        <v>273</v>
      </c>
      <c r="V5264" s="5">
        <v>43654</v>
      </c>
      <c r="W5264" s="5">
        <v>41976</v>
      </c>
      <c r="X5264" s="1">
        <v>1995000</v>
      </c>
      <c r="Y5264" s="1">
        <v>1995000</v>
      </c>
      <c r="Z5264" s="5">
        <v>41976</v>
      </c>
      <c r="AA5264" s="1">
        <v>1949949</v>
      </c>
      <c r="AB5264" s="1" t="s">
        <v>3693</v>
      </c>
      <c r="AC5264" s="5">
        <v>42329</v>
      </c>
      <c r="AF5264" s="1">
        <v>10019</v>
      </c>
      <c r="AJ5264" s="1">
        <v>2016</v>
      </c>
      <c r="AK5264" s="1" t="s">
        <v>49</v>
      </c>
      <c r="AL5264" s="1">
        <v>109</v>
      </c>
    </row>
    <row r="5265" spans="1:38" x14ac:dyDescent="0.2">
      <c r="A5265" s="2" t="str">
        <f>HYPERLINK("https://www.compass.com/listing/135-west-52nd-street-unit-9d-manhattan-ny-10019/29383325747616113/","135 W 52nd St, Unit 9D")</f>
        <v>135 W 52nd St, Unit 9D</v>
      </c>
      <c r="B5265" s="2" t="str">
        <f t="shared" si="880"/>
        <v>135 W 52nd St</v>
      </c>
      <c r="C5265" s="1" t="s">
        <v>139</v>
      </c>
      <c r="D5265" s="1" t="s">
        <v>41</v>
      </c>
      <c r="E5265" s="3">
        <v>1588470</v>
      </c>
      <c r="F5265" s="1">
        <v>1757.1570796460101</v>
      </c>
      <c r="G5265" s="1">
        <v>3</v>
      </c>
      <c r="H5265" s="1">
        <v>1</v>
      </c>
      <c r="I5265" s="1">
        <v>2</v>
      </c>
      <c r="J5265" s="1">
        <v>2</v>
      </c>
      <c r="M5265" s="1">
        <v>904</v>
      </c>
      <c r="N5265" s="1">
        <v>673</v>
      </c>
      <c r="O5265" s="1">
        <v>1615</v>
      </c>
      <c r="P5265" s="1">
        <v>942</v>
      </c>
      <c r="Q5265" s="1" t="s">
        <v>42</v>
      </c>
      <c r="S5265" s="1" t="s">
        <v>42</v>
      </c>
      <c r="T5265" s="1" t="s">
        <v>273</v>
      </c>
      <c r="V5265" s="5">
        <v>43640</v>
      </c>
      <c r="W5265" s="5">
        <v>41976</v>
      </c>
      <c r="X5265" s="1">
        <v>1560000</v>
      </c>
      <c r="Y5265" s="1">
        <v>1560000</v>
      </c>
      <c r="Z5265" s="5">
        <v>41976</v>
      </c>
      <c r="AA5265" s="1">
        <v>1588470</v>
      </c>
      <c r="AB5265" s="1" t="s">
        <v>3694</v>
      </c>
      <c r="AC5265" s="5">
        <v>42326</v>
      </c>
      <c r="AF5265" s="1">
        <v>10019</v>
      </c>
      <c r="AJ5265" s="1">
        <v>2016</v>
      </c>
      <c r="AK5265" s="1" t="s">
        <v>49</v>
      </c>
      <c r="AL5265" s="1">
        <v>109</v>
      </c>
    </row>
    <row r="5266" spans="1:38" x14ac:dyDescent="0.2">
      <c r="A5266" s="2" t="str">
        <f>HYPERLINK("https://www.compass.com/listing/135-west-52nd-street-unit-9d-manhattan-ny-10019/29383325747616145/","135 W 52nd St, Unit 9D")</f>
        <v>135 W 52nd St, Unit 9D</v>
      </c>
      <c r="B5266" s="2" t="str">
        <f t="shared" si="880"/>
        <v>135 W 52nd St</v>
      </c>
      <c r="C5266" s="1" t="s">
        <v>219</v>
      </c>
      <c r="D5266" s="1" t="s">
        <v>41</v>
      </c>
      <c r="E5266" s="3">
        <v>1500000</v>
      </c>
      <c r="F5266" s="1">
        <v>1659.2920353982299</v>
      </c>
      <c r="H5266" s="1">
        <v>1</v>
      </c>
      <c r="J5266" s="1">
        <v>2</v>
      </c>
      <c r="M5266" s="1">
        <v>904</v>
      </c>
      <c r="N5266" s="1">
        <v>673</v>
      </c>
      <c r="O5266" s="1">
        <v>1615</v>
      </c>
      <c r="P5266" s="1">
        <v>942</v>
      </c>
      <c r="Q5266" s="1" t="s">
        <v>42</v>
      </c>
      <c r="S5266" s="1" t="s">
        <v>42</v>
      </c>
      <c r="T5266" s="1" t="s">
        <v>273</v>
      </c>
      <c r="AA5266" s="1">
        <v>1500000</v>
      </c>
      <c r="AB5266" s="1" t="s">
        <v>3695</v>
      </c>
      <c r="AC5266" s="5">
        <v>42706</v>
      </c>
      <c r="AF5266" s="1">
        <v>10019</v>
      </c>
      <c r="AJ5266" s="1">
        <v>2016</v>
      </c>
      <c r="AK5266" s="1" t="s">
        <v>49</v>
      </c>
      <c r="AL5266" s="1">
        <v>109</v>
      </c>
    </row>
    <row r="5267" spans="1:38" x14ac:dyDescent="0.2">
      <c r="A5267" s="2" t="str">
        <f>HYPERLINK("https://www.compass.com/listing/135-west-52nd-street-unit-9e-manhattan-ny-10019/29383326133435281/","135 W 52nd St, Unit 9E")</f>
        <v>135 W 52nd St, Unit 9E</v>
      </c>
      <c r="B5267" s="2" t="str">
        <f t="shared" si="880"/>
        <v>135 W 52nd St</v>
      </c>
      <c r="C5267" s="1" t="s">
        <v>139</v>
      </c>
      <c r="D5267" s="1" t="s">
        <v>41</v>
      </c>
      <c r="E5267" s="3">
        <v>1980496</v>
      </c>
      <c r="F5267" s="1">
        <v>1762.0071174377199</v>
      </c>
      <c r="G5267" s="1">
        <v>3</v>
      </c>
      <c r="H5267" s="1">
        <v>1</v>
      </c>
      <c r="I5267" s="1">
        <v>2</v>
      </c>
      <c r="J5267" s="1">
        <v>2</v>
      </c>
      <c r="M5267" s="4">
        <v>1124</v>
      </c>
      <c r="N5267" s="1">
        <v>840</v>
      </c>
      <c r="O5267" s="1">
        <v>2015</v>
      </c>
      <c r="P5267" s="1">
        <v>1175</v>
      </c>
      <c r="Q5267" s="1" t="s">
        <v>42</v>
      </c>
      <c r="S5267" s="1" t="s">
        <v>42</v>
      </c>
      <c r="T5267" s="1" t="s">
        <v>273</v>
      </c>
      <c r="V5267" s="5">
        <v>43643</v>
      </c>
      <c r="W5267" s="5">
        <v>41976</v>
      </c>
      <c r="X5267" s="1">
        <v>1945000</v>
      </c>
      <c r="Y5267" s="1">
        <v>1945000</v>
      </c>
      <c r="Z5267" s="5">
        <v>41976</v>
      </c>
      <c r="AA5267" s="1">
        <v>1980496</v>
      </c>
      <c r="AB5267" s="1" t="s">
        <v>3696</v>
      </c>
      <c r="AC5267" s="5">
        <v>42354</v>
      </c>
      <c r="AF5267" s="1">
        <v>10019</v>
      </c>
      <c r="AJ5267" s="1">
        <v>2016</v>
      </c>
      <c r="AK5267" s="1" t="s">
        <v>49</v>
      </c>
      <c r="AL5267" s="1">
        <v>109</v>
      </c>
    </row>
    <row r="5268" spans="1:38" x14ac:dyDescent="0.2">
      <c r="A5268" s="2" t="str">
        <f>HYPERLINK("https://www.compass.com/listing/135-west-52nd-street-unit-10d-manhattan-ny-10019/29383327970597297/","135 W 52nd St, Unit 10D")</f>
        <v>135 W 52nd St, Unit 10D</v>
      </c>
      <c r="B5268" s="2" t="str">
        <f t="shared" si="880"/>
        <v>135 W 52nd St</v>
      </c>
      <c r="C5268" s="1" t="s">
        <v>139</v>
      </c>
      <c r="D5268" s="1" t="s">
        <v>41</v>
      </c>
      <c r="E5268" s="3">
        <v>1603744</v>
      </c>
      <c r="F5268" s="1">
        <v>1774.05309734513</v>
      </c>
      <c r="G5268" s="1">
        <v>3</v>
      </c>
      <c r="H5268" s="1">
        <v>1</v>
      </c>
      <c r="I5268" s="1">
        <v>2</v>
      </c>
      <c r="J5268" s="1">
        <v>2</v>
      </c>
      <c r="K5268" s="1">
        <v>2</v>
      </c>
      <c r="M5268" s="1">
        <v>904</v>
      </c>
      <c r="N5268" s="1">
        <v>679</v>
      </c>
      <c r="O5268" s="1">
        <v>1630</v>
      </c>
      <c r="P5268" s="1">
        <v>951</v>
      </c>
      <c r="Q5268" s="1" t="s">
        <v>42</v>
      </c>
      <c r="S5268" s="1" t="s">
        <v>42</v>
      </c>
      <c r="T5268" s="1" t="s">
        <v>273</v>
      </c>
      <c r="V5268" s="5">
        <v>44338</v>
      </c>
      <c r="W5268" s="5">
        <v>41976</v>
      </c>
      <c r="X5268" s="1">
        <v>1575000</v>
      </c>
      <c r="Y5268" s="1">
        <v>1575000</v>
      </c>
      <c r="Z5268" s="5">
        <v>41976</v>
      </c>
      <c r="AA5268" s="1">
        <v>1603744</v>
      </c>
      <c r="AB5268" s="1" t="s">
        <v>3697</v>
      </c>
      <c r="AC5268" s="5">
        <v>42328</v>
      </c>
      <c r="AF5268" s="1">
        <v>10019</v>
      </c>
      <c r="AJ5268" s="1">
        <v>2016</v>
      </c>
      <c r="AK5268" s="1" t="s">
        <v>49</v>
      </c>
      <c r="AL5268" s="1">
        <v>109</v>
      </c>
    </row>
    <row r="5269" spans="1:38" x14ac:dyDescent="0.2">
      <c r="A5269" s="2" t="str">
        <f>HYPERLINK("https://www.compass.com/listing/135-west-52nd-street-unit-11d-manhattan-ny-10019/29383331007274305/","135 W 52nd St, Unit 11D")</f>
        <v>135 W 52nd St, Unit 11D</v>
      </c>
      <c r="B5269" s="2" t="str">
        <f t="shared" si="880"/>
        <v>135 W 52nd St</v>
      </c>
      <c r="C5269" s="1" t="s">
        <v>139</v>
      </c>
      <c r="D5269" s="1" t="s">
        <v>41</v>
      </c>
      <c r="E5269" s="3">
        <v>1578288</v>
      </c>
      <c r="F5269" s="1">
        <v>1745.8938053097299</v>
      </c>
      <c r="G5269" s="1">
        <v>3</v>
      </c>
      <c r="H5269" s="1">
        <v>1</v>
      </c>
      <c r="I5269" s="1">
        <v>2</v>
      </c>
      <c r="J5269" s="1">
        <v>2</v>
      </c>
      <c r="M5269" s="1">
        <v>904</v>
      </c>
      <c r="N5269" s="1">
        <v>678</v>
      </c>
      <c r="O5269" s="1">
        <v>1626</v>
      </c>
      <c r="P5269" s="1">
        <v>948</v>
      </c>
      <c r="Q5269" s="1" t="s">
        <v>42</v>
      </c>
      <c r="S5269" s="1" t="s">
        <v>42</v>
      </c>
      <c r="T5269" s="1" t="s">
        <v>273</v>
      </c>
      <c r="V5269" s="5">
        <v>43642</v>
      </c>
      <c r="W5269" s="5">
        <v>41976</v>
      </c>
      <c r="X5269" s="1">
        <v>1570000</v>
      </c>
      <c r="Y5269" s="1">
        <v>1570000</v>
      </c>
      <c r="Z5269" s="5">
        <v>41976</v>
      </c>
      <c r="AA5269" s="1">
        <v>1578288</v>
      </c>
      <c r="AB5269" s="1" t="s">
        <v>3698</v>
      </c>
      <c r="AC5269" s="5">
        <v>42333</v>
      </c>
      <c r="AF5269" s="1">
        <v>10019</v>
      </c>
      <c r="AJ5269" s="1">
        <v>2016</v>
      </c>
      <c r="AK5269" s="1" t="s">
        <v>49</v>
      </c>
      <c r="AL5269" s="1">
        <v>109</v>
      </c>
    </row>
    <row r="5270" spans="1:38" x14ac:dyDescent="0.2">
      <c r="A5270" s="2" t="str">
        <f>HYPERLINK("https://www.compass.com/listing/135-west-52nd-street-unit-12c-manhattan-ny-10019/29383332978539553/","135 W 52nd St, Unit 12C")</f>
        <v>135 W 52nd St, Unit 12C</v>
      </c>
      <c r="B5270" s="2" t="str">
        <f t="shared" si="880"/>
        <v>135 W 52nd St</v>
      </c>
      <c r="C5270" s="1" t="s">
        <v>139</v>
      </c>
      <c r="D5270" s="1" t="s">
        <v>41</v>
      </c>
      <c r="E5270" s="3">
        <v>1639383</v>
      </c>
      <c r="F5270" s="1">
        <v>1813.4767699115</v>
      </c>
      <c r="G5270" s="1">
        <v>3</v>
      </c>
      <c r="H5270" s="1">
        <v>1</v>
      </c>
      <c r="I5270" s="1">
        <v>2</v>
      </c>
      <c r="J5270" s="1">
        <v>2</v>
      </c>
      <c r="M5270" s="1">
        <v>904</v>
      </c>
      <c r="N5270" s="1">
        <v>695</v>
      </c>
      <c r="O5270" s="1">
        <v>1668</v>
      </c>
      <c r="P5270" s="1">
        <v>973</v>
      </c>
      <c r="Q5270" s="1" t="s">
        <v>42</v>
      </c>
      <c r="S5270" s="1" t="s">
        <v>42</v>
      </c>
      <c r="T5270" s="1" t="s">
        <v>273</v>
      </c>
      <c r="V5270" s="5">
        <v>43654</v>
      </c>
      <c r="W5270" s="5">
        <v>41976</v>
      </c>
      <c r="X5270" s="1">
        <v>1610000</v>
      </c>
      <c r="Y5270" s="1">
        <v>1610000</v>
      </c>
      <c r="Z5270" s="5">
        <v>41976</v>
      </c>
      <c r="AA5270" s="1">
        <v>1639383</v>
      </c>
      <c r="AB5270" s="1" t="s">
        <v>3699</v>
      </c>
      <c r="AC5270" s="5">
        <v>42329</v>
      </c>
      <c r="AF5270" s="1">
        <v>10019</v>
      </c>
      <c r="AJ5270" s="1">
        <v>2016</v>
      </c>
      <c r="AK5270" s="1" t="s">
        <v>49</v>
      </c>
      <c r="AL5270" s="1">
        <v>109</v>
      </c>
    </row>
    <row r="5271" spans="1:38" x14ac:dyDescent="0.2">
      <c r="A5271" s="2" t="str">
        <f>HYPERLINK("https://www.compass.com/listing/135-west-52nd-street-unit-12e-manhattan-ny-10019/29383333750348353/","135 W 52nd St, Unit 12E")</f>
        <v>135 W 52nd St, Unit 12E</v>
      </c>
      <c r="B5271" s="2" t="str">
        <f t="shared" si="880"/>
        <v>135 W 52nd St</v>
      </c>
      <c r="C5271" s="1" t="s">
        <v>139</v>
      </c>
      <c r="D5271" s="1" t="s">
        <v>41</v>
      </c>
      <c r="E5271" s="3">
        <v>2051774</v>
      </c>
      <c r="F5271" s="1">
        <v>1825.42170818505</v>
      </c>
      <c r="G5271" s="1">
        <v>3</v>
      </c>
      <c r="H5271" s="1">
        <v>1</v>
      </c>
      <c r="I5271" s="1">
        <v>2</v>
      </c>
      <c r="J5271" s="1">
        <v>2</v>
      </c>
      <c r="M5271" s="4">
        <v>1124</v>
      </c>
      <c r="N5271" s="1">
        <v>851</v>
      </c>
      <c r="O5271" s="1">
        <v>2043</v>
      </c>
      <c r="P5271" s="1">
        <v>1192</v>
      </c>
      <c r="Q5271" s="1" t="s">
        <v>42</v>
      </c>
      <c r="S5271" s="1" t="s">
        <v>42</v>
      </c>
      <c r="T5271" s="1" t="s">
        <v>273</v>
      </c>
      <c r="U5271" s="1">
        <v>522</v>
      </c>
      <c r="V5271" s="5">
        <v>43668</v>
      </c>
      <c r="W5271" s="5">
        <v>41823</v>
      </c>
      <c r="X5271" s="1">
        <v>2015000</v>
      </c>
      <c r="Y5271" s="1">
        <v>2015000</v>
      </c>
      <c r="AA5271" s="1">
        <v>2051774</v>
      </c>
      <c r="AB5271" s="1" t="s">
        <v>3700</v>
      </c>
      <c r="AC5271" s="5">
        <v>42346</v>
      </c>
      <c r="AF5271" s="1">
        <v>10019</v>
      </c>
      <c r="AJ5271" s="1">
        <v>2016</v>
      </c>
      <c r="AK5271" s="1" t="s">
        <v>49</v>
      </c>
      <c r="AL5271" s="1">
        <v>109</v>
      </c>
    </row>
    <row r="5272" spans="1:38" x14ac:dyDescent="0.2">
      <c r="A5272" s="2" t="str">
        <f>HYPERLINK("https://www.compass.com/listing/135-west-52nd-street-unit-14d-manhattan-ny-10019/29383336015272545/","135 W 52nd St, Unit 14D")</f>
        <v>135 W 52nd St, Unit 14D</v>
      </c>
      <c r="B5272" s="2" t="str">
        <f t="shared" si="880"/>
        <v>135 W 52nd St</v>
      </c>
      <c r="C5272" s="1" t="s">
        <v>139</v>
      </c>
      <c r="D5272" s="1" t="s">
        <v>41</v>
      </c>
      <c r="E5272" s="3">
        <v>1659798</v>
      </c>
      <c r="F5272" s="1">
        <v>1836.0597345132701</v>
      </c>
      <c r="G5272" s="1">
        <v>3</v>
      </c>
      <c r="H5272" s="1">
        <v>1</v>
      </c>
      <c r="I5272" s="1">
        <v>2</v>
      </c>
      <c r="J5272" s="1">
        <v>2</v>
      </c>
      <c r="M5272" s="1">
        <v>904</v>
      </c>
      <c r="N5272" s="1">
        <v>703</v>
      </c>
      <c r="O5272" s="1">
        <v>1688</v>
      </c>
      <c r="P5272" s="1">
        <v>985</v>
      </c>
      <c r="Q5272" s="1" t="s">
        <v>42</v>
      </c>
      <c r="S5272" s="1" t="s">
        <v>42</v>
      </c>
      <c r="T5272" s="1" t="s">
        <v>273</v>
      </c>
      <c r="V5272" s="5">
        <v>43630</v>
      </c>
      <c r="W5272" s="5">
        <v>41976</v>
      </c>
      <c r="X5272" s="1">
        <v>1630000</v>
      </c>
      <c r="Y5272" s="1">
        <v>1630000</v>
      </c>
      <c r="Z5272" s="5">
        <v>41976</v>
      </c>
      <c r="AA5272" s="1">
        <v>1659798</v>
      </c>
      <c r="AB5272" s="1" t="s">
        <v>3701</v>
      </c>
      <c r="AC5272" s="5">
        <v>42333</v>
      </c>
      <c r="AF5272" s="1">
        <v>10019</v>
      </c>
      <c r="AJ5272" s="1">
        <v>2016</v>
      </c>
      <c r="AK5272" s="1" t="s">
        <v>49</v>
      </c>
      <c r="AL5272" s="1">
        <v>109</v>
      </c>
    </row>
    <row r="5273" spans="1:38" x14ac:dyDescent="0.2">
      <c r="A5273" s="2" t="str">
        <f>HYPERLINK("https://www.compass.com/listing/135-west-52nd-street-unit-14e-manhattan-ny-10019/29383336426257537/","135 W 52nd St, Unit 14E")</f>
        <v>135 W 52nd St, Unit 14E</v>
      </c>
      <c r="B5273" s="2" t="str">
        <f t="shared" si="880"/>
        <v>135 W 52nd St</v>
      </c>
      <c r="C5273" s="1" t="s">
        <v>139</v>
      </c>
      <c r="D5273" s="1" t="s">
        <v>41</v>
      </c>
      <c r="E5273" s="3">
        <v>2107778</v>
      </c>
      <c r="F5273" s="1">
        <v>1875.2473309608499</v>
      </c>
      <c r="G5273" s="1">
        <v>3</v>
      </c>
      <c r="H5273" s="1">
        <v>1</v>
      </c>
      <c r="I5273" s="1">
        <v>2</v>
      </c>
      <c r="J5273" s="1">
        <v>2</v>
      </c>
      <c r="M5273" s="4">
        <v>1124</v>
      </c>
      <c r="N5273" s="1">
        <v>893</v>
      </c>
      <c r="O5273" s="1">
        <v>2144</v>
      </c>
      <c r="P5273" s="1">
        <v>1251</v>
      </c>
      <c r="Q5273" s="1" t="s">
        <v>42</v>
      </c>
      <c r="S5273" s="1" t="s">
        <v>42</v>
      </c>
      <c r="T5273" s="1" t="s">
        <v>273</v>
      </c>
      <c r="V5273" s="5">
        <v>43654</v>
      </c>
      <c r="W5273" s="5">
        <v>41976</v>
      </c>
      <c r="X5273" s="1">
        <v>2070000</v>
      </c>
      <c r="Y5273" s="1">
        <v>2070000</v>
      </c>
      <c r="Z5273" s="5">
        <v>41976</v>
      </c>
      <c r="AA5273" s="1">
        <v>2107778</v>
      </c>
      <c r="AB5273" s="1" t="s">
        <v>3702</v>
      </c>
      <c r="AC5273" s="5">
        <v>42340</v>
      </c>
      <c r="AF5273" s="1">
        <v>10019</v>
      </c>
      <c r="AJ5273" s="1">
        <v>2016</v>
      </c>
      <c r="AK5273" s="1" t="s">
        <v>49</v>
      </c>
      <c r="AL5273" s="1">
        <v>109</v>
      </c>
    </row>
    <row r="5274" spans="1:38" x14ac:dyDescent="0.2">
      <c r="A5274" s="2" t="str">
        <f>HYPERLINK("https://www.compass.com/listing/135-west-52nd-street-unit-15c-manhattan-ny-10019/29383337961430497/","135 W 52nd St, Unit 15C")</f>
        <v>135 W 52nd St, Unit 15C</v>
      </c>
      <c r="B5274" s="2" t="str">
        <f t="shared" si="880"/>
        <v>135 W 52nd St</v>
      </c>
      <c r="C5274" s="1" t="s">
        <v>139</v>
      </c>
      <c r="D5274" s="1" t="s">
        <v>41</v>
      </c>
      <c r="E5274" s="3">
        <v>1619018</v>
      </c>
      <c r="F5274" s="1">
        <v>1790.94911504424</v>
      </c>
      <c r="G5274" s="1">
        <v>3</v>
      </c>
      <c r="H5274" s="1">
        <v>1</v>
      </c>
      <c r="I5274" s="1">
        <v>2</v>
      </c>
      <c r="J5274" s="1">
        <v>2</v>
      </c>
      <c r="M5274" s="1">
        <v>904</v>
      </c>
      <c r="N5274" s="1">
        <v>704</v>
      </c>
      <c r="O5274" s="1">
        <v>1689</v>
      </c>
      <c r="P5274" s="1">
        <v>985</v>
      </c>
      <c r="Q5274" s="1" t="s">
        <v>42</v>
      </c>
      <c r="S5274" s="1" t="s">
        <v>42</v>
      </c>
      <c r="T5274" s="1" t="s">
        <v>273</v>
      </c>
      <c r="V5274" s="5">
        <v>43638</v>
      </c>
      <c r="W5274" s="5">
        <v>41976</v>
      </c>
      <c r="X5274" s="1">
        <v>1630000</v>
      </c>
      <c r="Y5274" s="1">
        <v>1630000</v>
      </c>
      <c r="Z5274" s="5">
        <v>41976</v>
      </c>
      <c r="AA5274" s="1">
        <v>1619018</v>
      </c>
      <c r="AB5274" s="1" t="s">
        <v>3703</v>
      </c>
      <c r="AC5274" s="5">
        <v>42347</v>
      </c>
      <c r="AF5274" s="1">
        <v>10019</v>
      </c>
      <c r="AJ5274" s="1">
        <v>2016</v>
      </c>
      <c r="AK5274" s="1" t="s">
        <v>49</v>
      </c>
      <c r="AL5274" s="1">
        <v>109</v>
      </c>
    </row>
    <row r="5275" spans="1:38" x14ac:dyDescent="0.2">
      <c r="A5275" s="2" t="str">
        <f>HYPERLINK("https://www.compass.com/listing/135-west-52nd-street-unit-15d-manhattan-ny-10019/29383338322139793/","135 W 52nd St, Unit 15D")</f>
        <v>135 W 52nd St, Unit 15D</v>
      </c>
      <c r="B5275" s="2" t="str">
        <f t="shared" si="880"/>
        <v>135 W 52nd St</v>
      </c>
      <c r="C5275" s="1" t="s">
        <v>139</v>
      </c>
      <c r="D5275" s="1" t="s">
        <v>41</v>
      </c>
      <c r="E5275" s="3">
        <v>1680113</v>
      </c>
      <c r="F5275" s="1">
        <v>1858.5320796460101</v>
      </c>
      <c r="G5275" s="1">
        <v>3</v>
      </c>
      <c r="H5275" s="1">
        <v>1</v>
      </c>
      <c r="I5275" s="1">
        <v>2</v>
      </c>
      <c r="J5275" s="1">
        <v>2</v>
      </c>
      <c r="M5275" s="1">
        <v>904</v>
      </c>
      <c r="N5275" s="1">
        <v>712</v>
      </c>
      <c r="O5275" s="1">
        <v>1709</v>
      </c>
      <c r="P5275" s="1">
        <v>997</v>
      </c>
      <c r="Q5275" s="1" t="s">
        <v>42</v>
      </c>
      <c r="S5275" s="1" t="s">
        <v>42</v>
      </c>
      <c r="T5275" s="1" t="s">
        <v>273</v>
      </c>
      <c r="V5275" s="5">
        <v>43630</v>
      </c>
      <c r="W5275" s="5">
        <v>41976</v>
      </c>
      <c r="X5275" s="1">
        <v>1650000</v>
      </c>
      <c r="Y5275" s="1">
        <v>1650000</v>
      </c>
      <c r="Z5275" s="5">
        <v>41976</v>
      </c>
      <c r="AA5275" s="1">
        <v>1680113</v>
      </c>
      <c r="AB5275" s="1" t="s">
        <v>3704</v>
      </c>
      <c r="AC5275" s="5">
        <v>42334</v>
      </c>
      <c r="AF5275" s="1">
        <v>10019</v>
      </c>
      <c r="AJ5275" s="1">
        <v>2016</v>
      </c>
      <c r="AK5275" s="1" t="s">
        <v>49</v>
      </c>
      <c r="AL5275" s="1">
        <v>109</v>
      </c>
    </row>
    <row r="5276" spans="1:38" x14ac:dyDescent="0.2">
      <c r="A5276" s="2" t="str">
        <f>HYPERLINK("https://www.compass.com/listing/135-west-52nd-street-unit-16c-manhattan-ny-10019/29383340259909121/","135 W 52nd St, Unit 16C")</f>
        <v>135 W 52nd St, Unit 16C</v>
      </c>
      <c r="B5276" s="2" t="str">
        <f t="shared" si="880"/>
        <v>135 W 52nd St</v>
      </c>
      <c r="C5276" s="1" t="s">
        <v>139</v>
      </c>
      <c r="D5276" s="1" t="s">
        <v>41</v>
      </c>
      <c r="E5276" s="3">
        <v>1700478</v>
      </c>
      <c r="F5276" s="1">
        <v>1881.0597345132701</v>
      </c>
      <c r="G5276" s="1">
        <v>3</v>
      </c>
      <c r="H5276" s="1">
        <v>1</v>
      </c>
      <c r="I5276" s="1">
        <v>2</v>
      </c>
      <c r="J5276" s="1">
        <v>2</v>
      </c>
      <c r="K5276" s="1">
        <v>2</v>
      </c>
      <c r="M5276" s="1">
        <v>904</v>
      </c>
      <c r="N5276" s="1">
        <v>721</v>
      </c>
      <c r="O5276" s="1">
        <v>1730</v>
      </c>
      <c r="P5276" s="1">
        <v>1009</v>
      </c>
      <c r="Q5276" s="1" t="s">
        <v>42</v>
      </c>
      <c r="S5276" s="1" t="s">
        <v>42</v>
      </c>
      <c r="T5276" s="1" t="s">
        <v>273</v>
      </c>
      <c r="V5276" s="5">
        <v>44349</v>
      </c>
      <c r="W5276" s="5">
        <v>41976</v>
      </c>
      <c r="X5276" s="1">
        <v>1670000</v>
      </c>
      <c r="Y5276" s="1">
        <v>1670000</v>
      </c>
      <c r="Z5276" s="5">
        <v>41976</v>
      </c>
      <c r="AA5276" s="1">
        <v>1700478</v>
      </c>
      <c r="AB5276" s="1" t="s">
        <v>3705</v>
      </c>
      <c r="AC5276" s="5">
        <v>42431</v>
      </c>
      <c r="AF5276" s="1">
        <v>10019</v>
      </c>
      <c r="AJ5276" s="1">
        <v>2016</v>
      </c>
      <c r="AK5276" s="1" t="s">
        <v>49</v>
      </c>
      <c r="AL5276" s="1">
        <v>109</v>
      </c>
    </row>
    <row r="5277" spans="1:38" x14ac:dyDescent="0.2">
      <c r="A5277" s="2" t="str">
        <f>HYPERLINK("https://www.compass.com/listing/135-west-52nd-street-unit-12d-manhattan-ny-10019/70919674296134993/","135 W 52nd St, Unit 12D")</f>
        <v>135 W 52nd St, Unit 12D</v>
      </c>
      <c r="B5277" s="2" t="str">
        <f t="shared" si="880"/>
        <v>135 W 52nd St</v>
      </c>
      <c r="C5277" s="1" t="s">
        <v>139</v>
      </c>
      <c r="D5277" s="1" t="s">
        <v>41</v>
      </c>
      <c r="E5277" s="3">
        <v>1639383</v>
      </c>
      <c r="F5277" s="1">
        <v>1813.4767699115</v>
      </c>
      <c r="G5277" s="1">
        <v>3</v>
      </c>
      <c r="H5277" s="1">
        <v>1</v>
      </c>
      <c r="I5277" s="1">
        <v>2</v>
      </c>
      <c r="J5277" s="1">
        <v>2</v>
      </c>
      <c r="M5277" s="1">
        <v>904</v>
      </c>
      <c r="N5277" s="1">
        <v>695</v>
      </c>
      <c r="O5277" s="1">
        <v>1668</v>
      </c>
      <c r="P5277" s="1">
        <v>973</v>
      </c>
      <c r="Q5277" s="1" t="s">
        <v>42</v>
      </c>
      <c r="S5277" s="1" t="s">
        <v>42</v>
      </c>
      <c r="T5277" s="1" t="s">
        <v>273</v>
      </c>
      <c r="V5277" s="5">
        <v>43640</v>
      </c>
      <c r="W5277" s="5">
        <v>41976</v>
      </c>
      <c r="X5277" s="1">
        <v>1610000</v>
      </c>
      <c r="Y5277" s="1">
        <v>1610000</v>
      </c>
      <c r="Z5277" s="5">
        <v>41976</v>
      </c>
      <c r="AA5277" s="1">
        <v>1639383</v>
      </c>
      <c r="AB5277" s="1" t="s">
        <v>3706</v>
      </c>
      <c r="AC5277" s="5">
        <v>42328</v>
      </c>
      <c r="AF5277" s="1">
        <v>10019</v>
      </c>
      <c r="AJ5277" s="1">
        <v>2016</v>
      </c>
      <c r="AK5277" s="1" t="s">
        <v>49</v>
      </c>
      <c r="AL5277" s="1">
        <v>109</v>
      </c>
    </row>
    <row r="5278" spans="1:38" x14ac:dyDescent="0.2">
      <c r="A5278" s="2" t="str">
        <f>HYPERLINK("https://www.compass.com/listing/135-west-52nd-street-unit-10d-manhattan-ny-10019/698994487935598825/","135 W 52nd St, Unit 10D")</f>
        <v>135 W 52nd St, Unit 10D</v>
      </c>
      <c r="B5278" s="2" t="str">
        <f t="shared" si="880"/>
        <v>135 W 52nd St</v>
      </c>
      <c r="C5278" s="1" t="s">
        <v>219</v>
      </c>
      <c r="D5278" s="1" t="s">
        <v>41</v>
      </c>
      <c r="E5278" s="3">
        <v>1550000</v>
      </c>
      <c r="F5278" s="1">
        <v>1714.6017699115</v>
      </c>
      <c r="G5278" s="1">
        <v>4</v>
      </c>
      <c r="H5278" s="1">
        <v>1</v>
      </c>
      <c r="I5278" s="1">
        <v>2</v>
      </c>
      <c r="J5278" s="1">
        <v>2</v>
      </c>
      <c r="K5278" s="1">
        <v>2</v>
      </c>
      <c r="M5278" s="1">
        <v>904</v>
      </c>
      <c r="N5278" s="1">
        <v>968</v>
      </c>
      <c r="O5278" s="1">
        <v>1947</v>
      </c>
      <c r="P5278" s="1">
        <v>979</v>
      </c>
      <c r="Q5278" s="1" t="s">
        <v>42</v>
      </c>
      <c r="S5278" s="1" t="s">
        <v>42</v>
      </c>
      <c r="T5278" s="1" t="s">
        <v>273</v>
      </c>
      <c r="U5278" s="1">
        <v>140</v>
      </c>
      <c r="V5278" s="5">
        <v>44419</v>
      </c>
      <c r="W5278" s="5">
        <v>44215</v>
      </c>
      <c r="X5278" s="1">
        <v>1550000</v>
      </c>
      <c r="Y5278" s="1">
        <v>1550000</v>
      </c>
      <c r="Z5278" s="5">
        <v>44358</v>
      </c>
      <c r="AA5278" s="1">
        <v>1550000</v>
      </c>
      <c r="AB5278" s="1" t="s">
        <v>275</v>
      </c>
      <c r="AC5278" s="5">
        <v>44414</v>
      </c>
      <c r="AF5278" s="1">
        <v>10019</v>
      </c>
      <c r="AI5278" s="1" t="s">
        <v>177</v>
      </c>
      <c r="AJ5278" s="1">
        <v>2016</v>
      </c>
      <c r="AK5278" s="1" t="s">
        <v>46</v>
      </c>
      <c r="AL5278" s="1">
        <v>109</v>
      </c>
    </row>
    <row r="5279" spans="1:38" x14ac:dyDescent="0.2">
      <c r="A5279" s="2" t="str">
        <f>HYPERLINK("https://www.compass.com/listing/135-west-52nd-street-unit-15c-manhattan-ny-10019/333685161501852801/","135 W 52nd St, Unit 15C")</f>
        <v>135 W 52nd St, Unit 15C</v>
      </c>
      <c r="B5279" s="2" t="str">
        <f t="shared" si="880"/>
        <v>135 W 52nd St</v>
      </c>
      <c r="C5279" s="1" t="s">
        <v>139</v>
      </c>
      <c r="D5279" s="1" t="s">
        <v>41</v>
      </c>
      <c r="E5279" s="3">
        <v>1535000</v>
      </c>
      <c r="F5279" s="1">
        <v>1698.0088495575201</v>
      </c>
      <c r="G5279" s="1">
        <v>3</v>
      </c>
      <c r="H5279" s="1">
        <v>1</v>
      </c>
      <c r="I5279" s="1">
        <v>2</v>
      </c>
      <c r="J5279" s="1">
        <v>2</v>
      </c>
      <c r="K5279" s="1">
        <v>2</v>
      </c>
      <c r="M5279" s="1">
        <v>904</v>
      </c>
      <c r="N5279" s="1">
        <v>964</v>
      </c>
      <c r="O5279" s="1">
        <v>1977</v>
      </c>
      <c r="P5279" s="1">
        <v>1013</v>
      </c>
      <c r="Q5279" s="1" t="s">
        <v>42</v>
      </c>
      <c r="S5279" s="1" t="s">
        <v>42</v>
      </c>
      <c r="T5279" s="1" t="s">
        <v>273</v>
      </c>
      <c r="U5279" s="1">
        <v>235</v>
      </c>
      <c r="V5279" s="5">
        <v>44139</v>
      </c>
      <c r="W5279" s="5">
        <v>43711</v>
      </c>
      <c r="X5279" s="1">
        <v>1795000</v>
      </c>
      <c r="Y5279" s="1">
        <v>1795000</v>
      </c>
      <c r="Z5279" s="5">
        <v>44040</v>
      </c>
      <c r="AA5279" s="1">
        <v>1535000</v>
      </c>
      <c r="AB5279" s="1" t="s">
        <v>3707</v>
      </c>
      <c r="AC5279" s="5">
        <v>44138</v>
      </c>
      <c r="AF5279" s="1">
        <v>10019</v>
      </c>
      <c r="AJ5279" s="1">
        <v>2016</v>
      </c>
      <c r="AK5279" s="1" t="s">
        <v>46</v>
      </c>
      <c r="AL5279" s="1">
        <v>109</v>
      </c>
    </row>
    <row r="5280" spans="1:38" x14ac:dyDescent="0.2">
      <c r="A5280" s="2" t="str">
        <f>HYPERLINK("https://www.compass.com/listing/135-west-52nd-street-unit-9a-manhattan-ny-10019/29383323767847761/","135 W 52nd St, Unit 9A")</f>
        <v>135 W 52nd St, Unit 9A</v>
      </c>
      <c r="B5280" s="2" t="str">
        <f t="shared" si="880"/>
        <v>135 W 52nd St</v>
      </c>
      <c r="C5280" s="1" t="s">
        <v>139</v>
      </c>
      <c r="D5280" s="1" t="s">
        <v>41</v>
      </c>
      <c r="E5280" s="3">
        <v>1893945</v>
      </c>
      <c r="F5280" s="1">
        <v>1903.4623115577799</v>
      </c>
      <c r="G5280" s="1">
        <v>4</v>
      </c>
      <c r="H5280" s="1">
        <v>2</v>
      </c>
      <c r="I5280" s="1">
        <v>2</v>
      </c>
      <c r="J5280" s="1">
        <v>2</v>
      </c>
      <c r="M5280" s="1">
        <v>995</v>
      </c>
      <c r="N5280" s="1">
        <v>803</v>
      </c>
      <c r="O5280" s="1">
        <v>1927</v>
      </c>
      <c r="P5280" s="1">
        <v>1124</v>
      </c>
      <c r="Q5280" s="1" t="s">
        <v>42</v>
      </c>
      <c r="S5280" s="1" t="s">
        <v>42</v>
      </c>
      <c r="T5280" s="1" t="s">
        <v>273</v>
      </c>
      <c r="V5280" s="5">
        <v>43642</v>
      </c>
      <c r="W5280" s="5">
        <v>41976</v>
      </c>
      <c r="X5280" s="1">
        <v>1860000</v>
      </c>
      <c r="Y5280" s="1">
        <v>1860000</v>
      </c>
      <c r="Z5280" s="5">
        <v>41976</v>
      </c>
      <c r="AA5280" s="1">
        <v>1893945</v>
      </c>
      <c r="AB5280" s="1" t="s">
        <v>3708</v>
      </c>
      <c r="AC5280" s="5">
        <v>42457</v>
      </c>
      <c r="AF5280" s="1">
        <v>10019</v>
      </c>
      <c r="AJ5280" s="1">
        <v>2016</v>
      </c>
      <c r="AK5280" s="1" t="s">
        <v>49</v>
      </c>
      <c r="AL5280" s="1">
        <v>109</v>
      </c>
    </row>
    <row r="5281" spans="1:38" x14ac:dyDescent="0.2">
      <c r="A5281" s="2" t="str">
        <f>HYPERLINK("https://www.compass.com/listing/135-west-52nd-street-unit-9f-manhattan-ny-10019/29383326477425889/","135 W 52nd St, Unit 9F")</f>
        <v>135 W 52nd St, Unit 9F</v>
      </c>
      <c r="B5281" s="2" t="str">
        <f t="shared" si="880"/>
        <v>135 W 52nd St</v>
      </c>
      <c r="C5281" s="1" t="s">
        <v>139</v>
      </c>
      <c r="D5281" s="1" t="s">
        <v>41</v>
      </c>
      <c r="E5281" s="3">
        <v>1853215</v>
      </c>
      <c r="F5281" s="1">
        <v>1851.3636363636299</v>
      </c>
      <c r="G5281" s="1">
        <v>4</v>
      </c>
      <c r="H5281" s="1">
        <v>2</v>
      </c>
      <c r="I5281" s="1">
        <v>2</v>
      </c>
      <c r="J5281" s="1">
        <v>2</v>
      </c>
      <c r="M5281" s="4">
        <v>1001</v>
      </c>
      <c r="N5281" s="1">
        <v>803</v>
      </c>
      <c r="O5281" s="1">
        <v>1927</v>
      </c>
      <c r="P5281" s="1">
        <v>1124</v>
      </c>
      <c r="Q5281" s="1" t="s">
        <v>42</v>
      </c>
      <c r="S5281" s="1" t="s">
        <v>42</v>
      </c>
      <c r="T5281" s="1" t="s">
        <v>273</v>
      </c>
      <c r="V5281" s="5">
        <v>43650</v>
      </c>
      <c r="W5281" s="5">
        <v>41976</v>
      </c>
      <c r="X5281" s="1">
        <v>1860000</v>
      </c>
      <c r="Y5281" s="1">
        <v>1860000</v>
      </c>
      <c r="Z5281" s="5">
        <v>41976</v>
      </c>
      <c r="AA5281" s="1">
        <v>1853215</v>
      </c>
      <c r="AB5281" s="1" t="s">
        <v>3709</v>
      </c>
      <c r="AC5281" s="5">
        <v>42324</v>
      </c>
      <c r="AF5281" s="1">
        <v>10019</v>
      </c>
      <c r="AJ5281" s="1">
        <v>2016</v>
      </c>
      <c r="AK5281" s="1" t="s">
        <v>49</v>
      </c>
      <c r="AL5281" s="1">
        <v>109</v>
      </c>
    </row>
    <row r="5282" spans="1:38" x14ac:dyDescent="0.2">
      <c r="A5282" s="2" t="str">
        <f>HYPERLINK("https://www.compass.com/listing/135-west-52nd-street-unit-10c-manhattan-ny-10019/29383327601499377/","135 W 52nd St, Unit 10C")</f>
        <v>135 W 52nd St, Unit 10C</v>
      </c>
      <c r="B5282" s="2" t="str">
        <f t="shared" si="880"/>
        <v>135 W 52nd St</v>
      </c>
      <c r="C5282" s="1" t="s">
        <v>139</v>
      </c>
      <c r="D5282" s="1" t="s">
        <v>41</v>
      </c>
      <c r="E5282" s="3">
        <v>1603744</v>
      </c>
      <c r="F5282" s="1">
        <v>1774.05309734513</v>
      </c>
      <c r="G5282" s="1">
        <v>3</v>
      </c>
      <c r="H5282" s="1">
        <v>2</v>
      </c>
      <c r="I5282" s="1">
        <v>2</v>
      </c>
      <c r="J5282" s="1">
        <v>2</v>
      </c>
      <c r="K5282" s="1">
        <v>2</v>
      </c>
      <c r="M5282" s="1">
        <v>904</v>
      </c>
      <c r="N5282" s="1">
        <v>680</v>
      </c>
      <c r="O5282" s="1">
        <v>1632</v>
      </c>
      <c r="P5282" s="1">
        <v>952</v>
      </c>
      <c r="Q5282" s="1" t="s">
        <v>42</v>
      </c>
      <c r="S5282" s="1" t="s">
        <v>42</v>
      </c>
      <c r="T5282" s="1" t="s">
        <v>273</v>
      </c>
      <c r="V5282" s="5">
        <v>44345</v>
      </c>
      <c r="W5282" s="5">
        <v>41976</v>
      </c>
      <c r="X5282" s="1">
        <v>1575000</v>
      </c>
      <c r="Y5282" s="1">
        <v>1575000</v>
      </c>
      <c r="Z5282" s="5">
        <v>41976</v>
      </c>
      <c r="AA5282" s="1">
        <v>1603744</v>
      </c>
      <c r="AB5282" s="1" t="s">
        <v>3710</v>
      </c>
      <c r="AC5282" s="5">
        <v>42368</v>
      </c>
      <c r="AF5282" s="1">
        <v>10019</v>
      </c>
      <c r="AJ5282" s="1">
        <v>2016</v>
      </c>
      <c r="AK5282" s="1" t="s">
        <v>49</v>
      </c>
      <c r="AL5282" s="1">
        <v>109</v>
      </c>
    </row>
    <row r="5283" spans="1:38" x14ac:dyDescent="0.2">
      <c r="A5283" s="2" t="str">
        <f>HYPERLINK("https://www.compass.com/listing/135-west-52nd-street-unit-10e-manhattan-ny-10019/29383328507411393/","135 W 52nd St, Unit 10E")</f>
        <v>135 W 52nd St, Unit 10E</v>
      </c>
      <c r="B5283" s="2" t="str">
        <f t="shared" si="880"/>
        <v>135 W 52nd St</v>
      </c>
      <c r="C5283" s="1" t="s">
        <v>139</v>
      </c>
      <c r="D5283" s="1" t="s">
        <v>41</v>
      </c>
      <c r="E5283" s="3">
        <v>2000861</v>
      </c>
      <c r="F5283" s="1">
        <v>1780.1256672597799</v>
      </c>
      <c r="G5283" s="1">
        <v>3</v>
      </c>
      <c r="H5283" s="1">
        <v>2</v>
      </c>
      <c r="I5283" s="1">
        <v>2</v>
      </c>
      <c r="J5283" s="1">
        <v>2</v>
      </c>
      <c r="M5283" s="4">
        <v>1124</v>
      </c>
      <c r="N5283" s="1">
        <v>848</v>
      </c>
      <c r="O5283" s="1">
        <v>2035</v>
      </c>
      <c r="P5283" s="1">
        <v>1187</v>
      </c>
      <c r="Q5283" s="1" t="s">
        <v>42</v>
      </c>
      <c r="S5283" s="1" t="s">
        <v>42</v>
      </c>
      <c r="T5283" s="1" t="s">
        <v>273</v>
      </c>
      <c r="V5283" s="5">
        <v>43606</v>
      </c>
      <c r="W5283" s="5">
        <v>41975</v>
      </c>
      <c r="X5283" s="1">
        <v>1965000</v>
      </c>
      <c r="Y5283" s="1">
        <v>1965000</v>
      </c>
      <c r="Z5283" s="5">
        <v>41975</v>
      </c>
      <c r="AA5283" s="1">
        <v>2000861.25</v>
      </c>
      <c r="AB5283" s="1" t="s">
        <v>3711</v>
      </c>
      <c r="AC5283" s="5">
        <v>42327</v>
      </c>
      <c r="AF5283" s="1">
        <v>10019</v>
      </c>
      <c r="AJ5283" s="1">
        <v>2016</v>
      </c>
      <c r="AK5283" s="1" t="s">
        <v>49</v>
      </c>
      <c r="AL5283" s="1">
        <v>109</v>
      </c>
    </row>
    <row r="5284" spans="1:38" x14ac:dyDescent="0.2">
      <c r="A5284" s="2" t="str">
        <f>HYPERLINK("https://www.compass.com/listing/135-west-52nd-street-unit-11e-manhattan-ny-10019/29383331376372257/","135 W 52nd St, Unit 11E")</f>
        <v>135 W 52nd St, Unit 11E</v>
      </c>
      <c r="B5284" s="2" t="str">
        <f t="shared" si="880"/>
        <v>135 W 52nd St</v>
      </c>
      <c r="C5284" s="1" t="s">
        <v>139</v>
      </c>
      <c r="D5284" s="1" t="s">
        <v>41</v>
      </c>
      <c r="E5284" s="3">
        <v>2021226</v>
      </c>
      <c r="F5284" s="1">
        <v>1798.24377224199</v>
      </c>
      <c r="G5284" s="1">
        <v>3</v>
      </c>
      <c r="H5284" s="1">
        <v>2</v>
      </c>
      <c r="I5284" s="1">
        <v>2</v>
      </c>
      <c r="J5284" s="1">
        <v>2</v>
      </c>
      <c r="K5284" s="1">
        <v>2</v>
      </c>
      <c r="M5284" s="4">
        <v>1124</v>
      </c>
      <c r="N5284" s="1">
        <v>857</v>
      </c>
      <c r="O5284" s="1">
        <v>2056</v>
      </c>
      <c r="P5284" s="1">
        <v>1199</v>
      </c>
      <c r="Q5284" s="1" t="s">
        <v>42</v>
      </c>
      <c r="S5284" s="1" t="s">
        <v>42</v>
      </c>
      <c r="T5284" s="1" t="s">
        <v>273</v>
      </c>
      <c r="V5284" s="5">
        <v>44338</v>
      </c>
      <c r="W5284" s="5">
        <v>41976</v>
      </c>
      <c r="X5284" s="1">
        <v>1985000</v>
      </c>
      <c r="Y5284" s="1">
        <v>1985000</v>
      </c>
      <c r="Z5284" s="5">
        <v>41976</v>
      </c>
      <c r="AA5284" s="1">
        <v>2021226</v>
      </c>
      <c r="AB5284" s="1" t="s">
        <v>3712</v>
      </c>
      <c r="AC5284" s="5">
        <v>42342</v>
      </c>
      <c r="AF5284" s="1">
        <v>10019</v>
      </c>
      <c r="AI5284" s="1" t="s">
        <v>160</v>
      </c>
      <c r="AJ5284" s="1">
        <v>2016</v>
      </c>
      <c r="AK5284" s="1" t="s">
        <v>49</v>
      </c>
      <c r="AL5284" s="1">
        <v>109</v>
      </c>
    </row>
    <row r="5285" spans="1:38" x14ac:dyDescent="0.2">
      <c r="A5285" s="2" t="str">
        <f>HYPERLINK("https://www.compass.com/listing/135-west-52nd-street-unit-12b-manhattan-ny-10019/29383332550777393/","135 W 52nd St, Unit 12B")</f>
        <v>135 W 52nd St, Unit 12B</v>
      </c>
      <c r="B5285" s="2" t="str">
        <f t="shared" si="880"/>
        <v>135 W 52nd St</v>
      </c>
      <c r="C5285" s="1" t="s">
        <v>139</v>
      </c>
      <c r="D5285" s="1" t="s">
        <v>41</v>
      </c>
      <c r="E5285" s="3">
        <v>2005953</v>
      </c>
      <c r="F5285" s="1">
        <v>1784.65569395017</v>
      </c>
      <c r="G5285" s="1">
        <v>4</v>
      </c>
      <c r="H5285" s="1">
        <v>2</v>
      </c>
      <c r="I5285" s="1">
        <v>2</v>
      </c>
      <c r="J5285" s="1">
        <v>2</v>
      </c>
      <c r="M5285" s="4">
        <v>1124</v>
      </c>
      <c r="N5285" s="1">
        <v>874</v>
      </c>
      <c r="O5285" s="1">
        <v>2098</v>
      </c>
      <c r="P5285" s="1">
        <v>1224</v>
      </c>
      <c r="Q5285" s="1" t="s">
        <v>42</v>
      </c>
      <c r="S5285" s="1" t="s">
        <v>42</v>
      </c>
      <c r="T5285" s="1" t="s">
        <v>273</v>
      </c>
      <c r="V5285" s="5">
        <v>43638</v>
      </c>
      <c r="W5285" s="5">
        <v>41976</v>
      </c>
      <c r="X5285" s="1">
        <v>2025000</v>
      </c>
      <c r="Y5285" s="1">
        <v>2025000</v>
      </c>
      <c r="Z5285" s="5">
        <v>41976</v>
      </c>
      <c r="AA5285" s="1">
        <v>2005953</v>
      </c>
      <c r="AB5285" s="1" t="s">
        <v>3713</v>
      </c>
      <c r="AC5285" s="5">
        <v>42355</v>
      </c>
      <c r="AF5285" s="1">
        <v>10019</v>
      </c>
      <c r="AJ5285" s="1">
        <v>2016</v>
      </c>
      <c r="AK5285" s="1" t="s">
        <v>49</v>
      </c>
      <c r="AL5285" s="1">
        <v>109</v>
      </c>
    </row>
    <row r="5286" spans="1:38" x14ac:dyDescent="0.2">
      <c r="A5286" s="2" t="str">
        <f>HYPERLINK("https://www.compass.com/listing/135-west-52nd-street-unit-14c-manhattan-ny-10019/29383335612620177/","135 W 52nd St, Unit 14C")</f>
        <v>135 W 52nd St, Unit 14C</v>
      </c>
      <c r="B5286" s="2" t="str">
        <f t="shared" si="880"/>
        <v>135 W 52nd St</v>
      </c>
      <c r="C5286" s="1" t="s">
        <v>139</v>
      </c>
      <c r="D5286" s="1" t="s">
        <v>41</v>
      </c>
      <c r="E5286" s="3">
        <v>1659748</v>
      </c>
      <c r="F5286" s="1">
        <v>1836.00442477876</v>
      </c>
      <c r="G5286" s="1">
        <v>3</v>
      </c>
      <c r="H5286" s="1">
        <v>2</v>
      </c>
      <c r="I5286" s="1">
        <v>2</v>
      </c>
      <c r="J5286" s="1">
        <v>2</v>
      </c>
      <c r="M5286" s="1">
        <v>904</v>
      </c>
      <c r="N5286" s="1">
        <v>704</v>
      </c>
      <c r="O5286" s="1">
        <v>1689</v>
      </c>
      <c r="P5286" s="1">
        <v>985</v>
      </c>
      <c r="Q5286" s="1" t="s">
        <v>42</v>
      </c>
      <c r="S5286" s="1" t="s">
        <v>42</v>
      </c>
      <c r="T5286" s="1" t="s">
        <v>273</v>
      </c>
      <c r="V5286" s="5">
        <v>43630</v>
      </c>
      <c r="W5286" s="5">
        <v>41976</v>
      </c>
      <c r="X5286" s="1">
        <v>1630000</v>
      </c>
      <c r="Y5286" s="1">
        <v>1630000</v>
      </c>
      <c r="Z5286" s="5">
        <v>41976</v>
      </c>
      <c r="AA5286" s="1">
        <v>1659748</v>
      </c>
      <c r="AB5286" s="1" t="s">
        <v>3714</v>
      </c>
      <c r="AC5286" s="5">
        <v>42341</v>
      </c>
      <c r="AF5286" s="1">
        <v>10019</v>
      </c>
      <c r="AJ5286" s="1">
        <v>2016</v>
      </c>
      <c r="AK5286" s="1" t="s">
        <v>49</v>
      </c>
      <c r="AL5286" s="1">
        <v>109</v>
      </c>
    </row>
    <row r="5287" spans="1:38" x14ac:dyDescent="0.2">
      <c r="A5287" s="2" t="str">
        <f>HYPERLINK("https://www.compass.com/listing/135-west-52nd-street-unit-14f-manhattan-ny-10019/29383336787025361/","135 W 52nd St, Unit 14F")</f>
        <v>135 W 52nd St, Unit 14F</v>
      </c>
      <c r="B5287" s="2" t="str">
        <f t="shared" si="880"/>
        <v>135 W 52nd St</v>
      </c>
      <c r="C5287" s="1" t="s">
        <v>139</v>
      </c>
      <c r="D5287" s="1" t="s">
        <v>41</v>
      </c>
      <c r="E5287" s="3">
        <v>1924493</v>
      </c>
      <c r="F5287" s="1">
        <v>1922.5704295704199</v>
      </c>
      <c r="G5287" s="1">
        <v>4</v>
      </c>
      <c r="H5287" s="1">
        <v>2</v>
      </c>
      <c r="I5287" s="1">
        <v>2</v>
      </c>
      <c r="J5287" s="1">
        <v>2</v>
      </c>
      <c r="K5287" s="1">
        <v>2</v>
      </c>
      <c r="M5287" s="4">
        <v>1001</v>
      </c>
      <c r="N5287" s="1">
        <v>842</v>
      </c>
      <c r="O5287" s="1">
        <v>2020</v>
      </c>
      <c r="P5287" s="1">
        <v>1178</v>
      </c>
      <c r="Q5287" s="1" t="s">
        <v>42</v>
      </c>
      <c r="S5287" s="1" t="s">
        <v>42</v>
      </c>
      <c r="T5287" s="1" t="s">
        <v>273</v>
      </c>
      <c r="V5287" s="5">
        <v>44338</v>
      </c>
      <c r="W5287" s="5">
        <v>41976</v>
      </c>
      <c r="X5287" s="1">
        <v>1930000</v>
      </c>
      <c r="Y5287" s="1">
        <v>1930000</v>
      </c>
      <c r="Z5287" s="5">
        <v>41976</v>
      </c>
      <c r="AA5287" s="1">
        <v>1924493</v>
      </c>
      <c r="AB5287" s="1" t="s">
        <v>3715</v>
      </c>
      <c r="AC5287" s="5">
        <v>42327</v>
      </c>
      <c r="AF5287" s="1">
        <v>10019</v>
      </c>
      <c r="AJ5287" s="1">
        <v>2016</v>
      </c>
      <c r="AK5287" s="1" t="s">
        <v>49</v>
      </c>
      <c r="AL5287" s="1">
        <v>109</v>
      </c>
    </row>
    <row r="5288" spans="1:38" x14ac:dyDescent="0.2">
      <c r="A5288" s="2" t="str">
        <f>HYPERLINK("https://www.compass.com/listing/135-west-52nd-street-unit-15a-manhattan-ny-10019/29383337181289089/","135 W 52nd St, Unit 15A")</f>
        <v>135 W 52nd St, Unit 15A</v>
      </c>
      <c r="B5288" s="2" t="str">
        <f t="shared" si="880"/>
        <v>135 W 52nd St</v>
      </c>
      <c r="C5288" s="1" t="s">
        <v>139</v>
      </c>
      <c r="D5288" s="1" t="s">
        <v>41</v>
      </c>
      <c r="E5288" s="3">
        <v>1955040</v>
      </c>
      <c r="F5288" s="1">
        <v>1964.86432160804</v>
      </c>
      <c r="G5288" s="1">
        <v>4</v>
      </c>
      <c r="H5288" s="1">
        <v>2</v>
      </c>
      <c r="I5288" s="1">
        <v>2</v>
      </c>
      <c r="J5288" s="1">
        <v>2</v>
      </c>
      <c r="M5288" s="1">
        <v>995</v>
      </c>
      <c r="N5288" s="1">
        <v>848</v>
      </c>
      <c r="O5288" s="1">
        <v>2032</v>
      </c>
      <c r="P5288" s="1">
        <v>1184</v>
      </c>
      <c r="Q5288" s="1" t="s">
        <v>42</v>
      </c>
      <c r="S5288" s="1" t="s">
        <v>42</v>
      </c>
      <c r="T5288" s="1" t="s">
        <v>273</v>
      </c>
      <c r="V5288" s="5">
        <v>43654</v>
      </c>
      <c r="W5288" s="5">
        <v>41976</v>
      </c>
      <c r="X5288" s="1">
        <v>1960000</v>
      </c>
      <c r="Y5288" s="1">
        <v>1960000</v>
      </c>
      <c r="Z5288" s="5">
        <v>41976</v>
      </c>
      <c r="AA5288" s="1">
        <v>1955040</v>
      </c>
      <c r="AB5288" s="1" t="s">
        <v>3716</v>
      </c>
      <c r="AC5288" s="5">
        <v>42425</v>
      </c>
      <c r="AF5288" s="1">
        <v>10019</v>
      </c>
      <c r="AJ5288" s="1">
        <v>2016</v>
      </c>
      <c r="AK5288" s="1" t="s">
        <v>49</v>
      </c>
      <c r="AL5288" s="1">
        <v>109</v>
      </c>
    </row>
    <row r="5289" spans="1:38" x14ac:dyDescent="0.2">
      <c r="A5289" s="2" t="str">
        <f>HYPERLINK("https://www.compass.com/listing/135-west-52nd-street-unit-15b-manhattan-ny-10019/29383337592274065/","135 W 52nd St, Unit 15B")</f>
        <v>135 W 52nd St, Unit 15B</v>
      </c>
      <c r="B5289" s="2" t="str">
        <f t="shared" si="880"/>
        <v>135 W 52nd St</v>
      </c>
      <c r="C5289" s="1" t="s">
        <v>139</v>
      </c>
      <c r="D5289" s="1" t="s">
        <v>41</v>
      </c>
      <c r="E5289" s="3">
        <v>2067048</v>
      </c>
      <c r="F5289" s="1">
        <v>1839.0106761565801</v>
      </c>
      <c r="G5289" s="1">
        <v>3</v>
      </c>
      <c r="H5289" s="1">
        <v>2</v>
      </c>
      <c r="I5289" s="1">
        <v>2</v>
      </c>
      <c r="J5289" s="1">
        <v>2</v>
      </c>
      <c r="M5289" s="4">
        <v>1124</v>
      </c>
      <c r="N5289" s="1">
        <v>915</v>
      </c>
      <c r="O5289" s="1">
        <v>2196</v>
      </c>
      <c r="P5289" s="1">
        <v>1281</v>
      </c>
      <c r="Q5289" s="1" t="s">
        <v>42</v>
      </c>
      <c r="S5289" s="1" t="s">
        <v>42</v>
      </c>
      <c r="T5289" s="1" t="s">
        <v>273</v>
      </c>
      <c r="V5289" s="5">
        <v>43650</v>
      </c>
      <c r="W5289" s="5">
        <v>41976</v>
      </c>
      <c r="X5289" s="1">
        <v>2085000</v>
      </c>
      <c r="Y5289" s="1">
        <v>2085000</v>
      </c>
      <c r="Z5289" s="5">
        <v>41976</v>
      </c>
      <c r="AA5289" s="1">
        <v>2067048</v>
      </c>
      <c r="AB5289" s="1" t="s">
        <v>3717</v>
      </c>
      <c r="AC5289" s="5">
        <v>42347</v>
      </c>
      <c r="AF5289" s="1">
        <v>10019</v>
      </c>
      <c r="AJ5289" s="1">
        <v>2016</v>
      </c>
      <c r="AK5289" s="1" t="s">
        <v>49</v>
      </c>
      <c r="AL5289" s="1">
        <v>109</v>
      </c>
    </row>
    <row r="5290" spans="1:38" x14ac:dyDescent="0.2">
      <c r="A5290" s="2" t="str">
        <f>HYPERLINK("https://www.compass.com/listing/135-west-52nd-street-unit-15e-manhattan-ny-10019/29383338758290593/","135 W 52nd St, Unit 15E")</f>
        <v>135 W 52nd St, Unit 15E</v>
      </c>
      <c r="B5290" s="2" t="str">
        <f t="shared" si="880"/>
        <v>135 W 52nd St</v>
      </c>
      <c r="C5290" s="1" t="s">
        <v>139</v>
      </c>
      <c r="D5290" s="1" t="s">
        <v>41</v>
      </c>
      <c r="E5290" s="3">
        <v>2143416</v>
      </c>
      <c r="F5290" s="1">
        <v>1906.9537366548</v>
      </c>
      <c r="G5290" s="1">
        <v>3</v>
      </c>
      <c r="H5290" s="1">
        <v>2</v>
      </c>
      <c r="I5290" s="1">
        <v>2</v>
      </c>
      <c r="J5290" s="1">
        <v>2</v>
      </c>
      <c r="M5290" s="4">
        <v>1124</v>
      </c>
      <c r="N5290" s="1">
        <v>909</v>
      </c>
      <c r="O5290" s="1">
        <v>2181</v>
      </c>
      <c r="P5290" s="1">
        <v>1272</v>
      </c>
      <c r="Q5290" s="1" t="s">
        <v>42</v>
      </c>
      <c r="S5290" s="1" t="s">
        <v>42</v>
      </c>
      <c r="T5290" s="1" t="s">
        <v>273</v>
      </c>
      <c r="V5290" s="5">
        <v>43640</v>
      </c>
      <c r="W5290" s="5">
        <v>41976</v>
      </c>
      <c r="X5290" s="1">
        <v>2105000</v>
      </c>
      <c r="Y5290" s="1">
        <v>2105000</v>
      </c>
      <c r="Z5290" s="5">
        <v>41976</v>
      </c>
      <c r="AA5290" s="1">
        <v>2143416</v>
      </c>
      <c r="AB5290" s="1" t="s">
        <v>3718</v>
      </c>
      <c r="AC5290" s="5">
        <v>42334</v>
      </c>
      <c r="AF5290" s="1">
        <v>10019</v>
      </c>
      <c r="AJ5290" s="1">
        <v>2016</v>
      </c>
      <c r="AK5290" s="1" t="s">
        <v>49</v>
      </c>
      <c r="AL5290" s="1">
        <v>109</v>
      </c>
    </row>
    <row r="5291" spans="1:38" x14ac:dyDescent="0.2">
      <c r="A5291" s="2" t="str">
        <f>HYPERLINK("https://www.compass.com/listing/135-west-52nd-street-unit-15f-manhattan-ny-10019/29383339135835633/","135 W 52nd St, Unit 15F")</f>
        <v>135 W 52nd St, Unit 15F</v>
      </c>
      <c r="B5291" s="2" t="str">
        <f t="shared" si="880"/>
        <v>135 W 52nd St</v>
      </c>
      <c r="C5291" s="1" t="s">
        <v>139</v>
      </c>
      <c r="D5291" s="1" t="s">
        <v>41</v>
      </c>
      <c r="E5291" s="3">
        <v>2016135</v>
      </c>
      <c r="F5291" s="1">
        <v>2014.1208791208701</v>
      </c>
      <c r="G5291" s="1">
        <v>4</v>
      </c>
      <c r="H5291" s="1">
        <v>2</v>
      </c>
      <c r="I5291" s="1">
        <v>2</v>
      </c>
      <c r="J5291" s="1">
        <v>2</v>
      </c>
      <c r="M5291" s="4">
        <v>1001</v>
      </c>
      <c r="N5291" s="1">
        <v>855</v>
      </c>
      <c r="O5291" s="1">
        <v>2051</v>
      </c>
      <c r="P5291" s="1">
        <v>1196</v>
      </c>
      <c r="Q5291" s="1" t="s">
        <v>42</v>
      </c>
      <c r="S5291" s="1" t="s">
        <v>42</v>
      </c>
      <c r="T5291" s="1" t="s">
        <v>273</v>
      </c>
      <c r="V5291" s="5">
        <v>43638</v>
      </c>
      <c r="W5291" s="5">
        <v>41976</v>
      </c>
      <c r="X5291" s="1">
        <v>1980000</v>
      </c>
      <c r="Y5291" s="1">
        <v>1980000</v>
      </c>
      <c r="Z5291" s="5">
        <v>41976</v>
      </c>
      <c r="AA5291" s="1">
        <v>2016135</v>
      </c>
      <c r="AB5291" s="1" t="s">
        <v>3719</v>
      </c>
      <c r="AC5291" s="5">
        <v>42328</v>
      </c>
      <c r="AF5291" s="1">
        <v>10019</v>
      </c>
      <c r="AJ5291" s="1">
        <v>2016</v>
      </c>
      <c r="AK5291" s="1" t="s">
        <v>49</v>
      </c>
      <c r="AL5291" s="1">
        <v>109</v>
      </c>
    </row>
    <row r="5292" spans="1:38" x14ac:dyDescent="0.2">
      <c r="A5292" s="2" t="str">
        <f>HYPERLINK("https://www.compass.com/listing/135-west-52nd-street-unit-16a-manhattan-ny-10019/29383339538487985/","135 W 52nd St, Unit 16A")</f>
        <v>135 W 52nd St, Unit 16A</v>
      </c>
      <c r="B5292" s="2" t="str">
        <f t="shared" si="880"/>
        <v>135 W 52nd St</v>
      </c>
      <c r="C5292" s="1" t="s">
        <v>139</v>
      </c>
      <c r="D5292" s="1" t="s">
        <v>41</v>
      </c>
      <c r="E5292" s="3">
        <v>2036500</v>
      </c>
      <c r="F5292" s="1">
        <v>2036.5</v>
      </c>
      <c r="G5292" s="1">
        <v>4</v>
      </c>
      <c r="H5292" s="1">
        <v>2</v>
      </c>
      <c r="I5292" s="1">
        <v>2</v>
      </c>
      <c r="J5292" s="1">
        <v>2</v>
      </c>
      <c r="K5292" s="1">
        <v>2</v>
      </c>
      <c r="M5292" s="4">
        <v>1000</v>
      </c>
      <c r="N5292" s="1">
        <v>863</v>
      </c>
      <c r="O5292" s="1">
        <v>2071</v>
      </c>
      <c r="P5292" s="1">
        <v>1208</v>
      </c>
      <c r="Q5292" s="1" t="s">
        <v>42</v>
      </c>
      <c r="S5292" s="1" t="s">
        <v>42</v>
      </c>
      <c r="T5292" s="1" t="s">
        <v>273</v>
      </c>
      <c r="V5292" s="5">
        <v>44225</v>
      </c>
      <c r="W5292" s="5">
        <v>42123</v>
      </c>
      <c r="X5292" s="1">
        <v>2000000</v>
      </c>
      <c r="Y5292" s="1">
        <v>2000000</v>
      </c>
      <c r="Z5292" s="5">
        <v>42123</v>
      </c>
      <c r="AA5292" s="1">
        <v>2036500</v>
      </c>
      <c r="AB5292" s="1" t="s">
        <v>3720</v>
      </c>
      <c r="AC5292" s="5">
        <v>42422</v>
      </c>
      <c r="AF5292" s="1">
        <v>10019</v>
      </c>
      <c r="AJ5292" s="1">
        <v>2016</v>
      </c>
      <c r="AK5292" s="1" t="s">
        <v>49</v>
      </c>
      <c r="AL5292" s="1">
        <v>109</v>
      </c>
    </row>
    <row r="5293" spans="1:38" x14ac:dyDescent="0.2">
      <c r="A5293" s="2" t="str">
        <f>HYPERLINK("https://www.compass.com/listing/135-west-52nd-street-unit-16b-manhattan-ny-10019/29383339941084353/","135 W 52nd St, Unit 16B")</f>
        <v>135 W 52nd St, Unit 16B</v>
      </c>
      <c r="B5293" s="2" t="str">
        <f t="shared" si="880"/>
        <v>135 W 52nd St</v>
      </c>
      <c r="C5293" s="1" t="s">
        <v>139</v>
      </c>
      <c r="D5293" s="1" t="s">
        <v>41</v>
      </c>
      <c r="E5293" s="3">
        <v>2229968</v>
      </c>
      <c r="F5293" s="1">
        <v>1983.9572953736599</v>
      </c>
      <c r="G5293" s="1">
        <v>3</v>
      </c>
      <c r="H5293" s="1">
        <v>2</v>
      </c>
      <c r="I5293" s="1">
        <v>2</v>
      </c>
      <c r="J5293" s="1">
        <v>2</v>
      </c>
      <c r="M5293" s="4">
        <v>1124</v>
      </c>
      <c r="N5293" s="1">
        <v>889</v>
      </c>
      <c r="O5293" s="1">
        <v>2134</v>
      </c>
      <c r="P5293" s="1">
        <v>1245</v>
      </c>
      <c r="Q5293" s="1" t="s">
        <v>42</v>
      </c>
      <c r="S5293" s="1" t="s">
        <v>42</v>
      </c>
      <c r="T5293" s="1" t="s">
        <v>273</v>
      </c>
      <c r="U5293" s="1">
        <v>623</v>
      </c>
      <c r="V5293" s="5">
        <v>43670</v>
      </c>
      <c r="W5293" s="5">
        <v>41823</v>
      </c>
      <c r="X5293" s="1">
        <v>2190000</v>
      </c>
      <c r="Y5293" s="1">
        <v>2190000</v>
      </c>
      <c r="AA5293" s="1">
        <v>2229968</v>
      </c>
      <c r="AB5293" s="1" t="s">
        <v>3721</v>
      </c>
      <c r="AC5293" s="5">
        <v>42447</v>
      </c>
      <c r="AF5293" s="1">
        <v>10019</v>
      </c>
      <c r="AJ5293" s="1">
        <v>2016</v>
      </c>
      <c r="AK5293" s="1" t="s">
        <v>49</v>
      </c>
      <c r="AL5293" s="1">
        <v>109</v>
      </c>
    </row>
    <row r="5294" spans="1:38" x14ac:dyDescent="0.2">
      <c r="A5294" s="2" t="str">
        <f>HYPERLINK("https://www.compass.com/listing/135-west-52nd-street-unit-16e-manhattan-ny-10019/29383341056769233/","135 W 52nd St, Unit 16E")</f>
        <v>135 W 52nd St, Unit 16E</v>
      </c>
      <c r="B5294" s="2" t="str">
        <f t="shared" si="880"/>
        <v>135 W 52nd St</v>
      </c>
      <c r="C5294" s="1" t="s">
        <v>139</v>
      </c>
      <c r="D5294" s="1" t="s">
        <v>41</v>
      </c>
      <c r="E5294" s="3">
        <v>2173964</v>
      </c>
      <c r="F5294" s="1">
        <v>1934.13167259786</v>
      </c>
      <c r="G5294" s="1">
        <v>3</v>
      </c>
      <c r="H5294" s="1">
        <v>2</v>
      </c>
      <c r="I5294" s="1">
        <v>2</v>
      </c>
      <c r="J5294" s="1">
        <v>2</v>
      </c>
      <c r="M5294" s="4">
        <v>1124</v>
      </c>
      <c r="N5294" s="1">
        <v>922</v>
      </c>
      <c r="O5294" s="1">
        <v>2212</v>
      </c>
      <c r="P5294" s="1">
        <v>1290</v>
      </c>
      <c r="Q5294" s="1" t="s">
        <v>42</v>
      </c>
      <c r="S5294" s="1" t="s">
        <v>42</v>
      </c>
      <c r="T5294" s="1" t="s">
        <v>273</v>
      </c>
      <c r="V5294" s="5">
        <v>43640</v>
      </c>
      <c r="W5294" s="5">
        <v>41976</v>
      </c>
      <c r="X5294" s="1">
        <v>2135000</v>
      </c>
      <c r="Y5294" s="1">
        <v>2135000</v>
      </c>
      <c r="Z5294" s="5">
        <v>41976</v>
      </c>
      <c r="AA5294" s="1">
        <v>2173964</v>
      </c>
      <c r="AB5294" s="1" t="s">
        <v>3722</v>
      </c>
      <c r="AC5294" s="5">
        <v>42437</v>
      </c>
      <c r="AF5294" s="1">
        <v>10019</v>
      </c>
      <c r="AJ5294" s="1">
        <v>2016</v>
      </c>
      <c r="AK5294" s="1" t="s">
        <v>49</v>
      </c>
      <c r="AL5294" s="1">
        <v>109</v>
      </c>
    </row>
    <row r="5295" spans="1:38" x14ac:dyDescent="0.2">
      <c r="A5295" s="2" t="str">
        <f>HYPERLINK("https://www.compass.com/listing/135-west-52nd-street-unit-16f-manhattan-ny-10019/29383341400759841/","135 W 52nd St, Unit 16F")</f>
        <v>135 W 52nd St, Unit 16F</v>
      </c>
      <c r="B5295" s="2" t="str">
        <f t="shared" si="880"/>
        <v>135 W 52nd St</v>
      </c>
      <c r="C5295" s="1" t="s">
        <v>139</v>
      </c>
      <c r="D5295" s="1" t="s">
        <v>41</v>
      </c>
      <c r="E5295" s="3">
        <v>2036500</v>
      </c>
      <c r="F5295" s="1">
        <v>2034.46553446553</v>
      </c>
      <c r="G5295" s="1">
        <v>4</v>
      </c>
      <c r="H5295" s="1">
        <v>2</v>
      </c>
      <c r="I5295" s="1">
        <v>2</v>
      </c>
      <c r="J5295" s="1">
        <v>2</v>
      </c>
      <c r="M5295" s="4">
        <v>1001</v>
      </c>
      <c r="N5295" s="1">
        <v>863</v>
      </c>
      <c r="O5295" s="1">
        <v>2071</v>
      </c>
      <c r="P5295" s="1">
        <v>1208</v>
      </c>
      <c r="Q5295" s="1" t="s">
        <v>42</v>
      </c>
      <c r="S5295" s="1" t="s">
        <v>42</v>
      </c>
      <c r="T5295" s="1" t="s">
        <v>273</v>
      </c>
      <c r="V5295" s="5">
        <v>43669</v>
      </c>
      <c r="W5295" s="5">
        <v>41911</v>
      </c>
      <c r="X5295" s="1">
        <v>200000</v>
      </c>
      <c r="Y5295" s="1">
        <v>200000</v>
      </c>
      <c r="Z5295" s="5">
        <v>41911</v>
      </c>
      <c r="AA5295" s="1">
        <v>2036500</v>
      </c>
      <c r="AB5295" s="1" t="s">
        <v>3723</v>
      </c>
      <c r="AC5295" s="5">
        <v>42445</v>
      </c>
      <c r="AF5295" s="1">
        <v>10019</v>
      </c>
      <c r="AJ5295" s="1">
        <v>2016</v>
      </c>
      <c r="AK5295" s="1" t="s">
        <v>49</v>
      </c>
      <c r="AL5295" s="1">
        <v>109</v>
      </c>
    </row>
    <row r="5296" spans="1:38" x14ac:dyDescent="0.2">
      <c r="A5296" s="2" t="str">
        <f>HYPERLINK("https://www.compass.com/listing/135-west-52nd-street-unit-11a-manhattan-ny-10019/70919615861028833/","135 W 52nd St, Unit 11A")</f>
        <v>135 W 52nd St, Unit 11A</v>
      </c>
      <c r="B5296" s="2" t="str">
        <f t="shared" si="880"/>
        <v>135 W 52nd St</v>
      </c>
      <c r="C5296" s="1" t="s">
        <v>139</v>
      </c>
      <c r="D5296" s="1" t="s">
        <v>41</v>
      </c>
      <c r="E5296" s="3">
        <v>1934675</v>
      </c>
      <c r="F5296" s="1">
        <v>1944.39698492462</v>
      </c>
      <c r="G5296" s="1">
        <v>4</v>
      </c>
      <c r="H5296" s="1">
        <v>2</v>
      </c>
      <c r="I5296" s="1">
        <v>2</v>
      </c>
      <c r="J5296" s="1">
        <v>2</v>
      </c>
      <c r="M5296" s="1">
        <v>995</v>
      </c>
      <c r="N5296" s="1">
        <v>820</v>
      </c>
      <c r="O5296" s="1">
        <v>1968</v>
      </c>
      <c r="P5296" s="1">
        <v>1148</v>
      </c>
      <c r="Q5296" s="1" t="s">
        <v>42</v>
      </c>
      <c r="S5296" s="1" t="s">
        <v>42</v>
      </c>
      <c r="T5296" s="1" t="s">
        <v>273</v>
      </c>
      <c r="V5296" s="5">
        <v>43640</v>
      </c>
      <c r="W5296" s="5">
        <v>42123</v>
      </c>
      <c r="X5296" s="1">
        <v>1900000</v>
      </c>
      <c r="Y5296" s="1">
        <v>1900000</v>
      </c>
      <c r="Z5296" s="5">
        <v>42123</v>
      </c>
      <c r="AA5296" s="1">
        <v>1934675</v>
      </c>
      <c r="AB5296" s="1" t="s">
        <v>3724</v>
      </c>
      <c r="AC5296" s="5">
        <v>42340</v>
      </c>
      <c r="AF5296" s="1">
        <v>10019</v>
      </c>
      <c r="AJ5296" s="1">
        <v>2016</v>
      </c>
      <c r="AK5296" s="1" t="s">
        <v>49</v>
      </c>
      <c r="AL5296" s="1">
        <v>109</v>
      </c>
    </row>
    <row r="5297" spans="1:38" x14ac:dyDescent="0.2">
      <c r="A5297" s="2" t="str">
        <f>HYPERLINK("https://www.compass.com/listing/135-west-52nd-street-unit-11b-manhattan-ny-10019/70919691090083153/","135 W 52nd St, Unit 11B")</f>
        <v>135 W 52nd St, Unit 11B</v>
      </c>
      <c r="B5297" s="2" t="str">
        <f t="shared" si="880"/>
        <v>135 W 52nd St</v>
      </c>
      <c r="C5297" s="1" t="s">
        <v>139</v>
      </c>
      <c r="D5297" s="1" t="s">
        <v>41</v>
      </c>
      <c r="E5297" s="3">
        <v>2056865</v>
      </c>
      <c r="F5297" s="1">
        <v>1829.9510676156499</v>
      </c>
      <c r="G5297" s="1">
        <v>5</v>
      </c>
      <c r="H5297" s="1">
        <v>2</v>
      </c>
      <c r="I5297" s="1">
        <v>2</v>
      </c>
      <c r="J5297" s="1">
        <v>2</v>
      </c>
      <c r="M5297" s="4">
        <v>1124</v>
      </c>
      <c r="N5297" s="1">
        <v>872</v>
      </c>
      <c r="O5297" s="1">
        <v>2092</v>
      </c>
      <c r="P5297" s="1">
        <v>1220</v>
      </c>
      <c r="Q5297" s="1" t="s">
        <v>42</v>
      </c>
      <c r="S5297" s="1" t="s">
        <v>42</v>
      </c>
      <c r="T5297" s="1" t="s">
        <v>273</v>
      </c>
      <c r="V5297" s="5">
        <v>43640</v>
      </c>
      <c r="W5297" s="5">
        <v>41976</v>
      </c>
      <c r="X5297" s="1">
        <v>2020000</v>
      </c>
      <c r="Y5297" s="1">
        <v>2020000</v>
      </c>
      <c r="Z5297" s="5">
        <v>41976</v>
      </c>
      <c r="AA5297" s="1">
        <v>2056865</v>
      </c>
      <c r="AB5297" s="1" t="s">
        <v>3725</v>
      </c>
      <c r="AC5297" s="5">
        <v>42333</v>
      </c>
      <c r="AF5297" s="1">
        <v>10019</v>
      </c>
      <c r="AJ5297" s="1">
        <v>2016</v>
      </c>
      <c r="AK5297" s="1" t="s">
        <v>49</v>
      </c>
      <c r="AL5297" s="1">
        <v>109</v>
      </c>
    </row>
    <row r="5298" spans="1:38" x14ac:dyDescent="0.2">
      <c r="A5298" s="2" t="str">
        <f>HYPERLINK("https://www.compass.com/listing/135-west-52nd-street-unit-10a-manhattan-ny-10019/70921053366480337/","135 W 52nd St, Unit 10A")</f>
        <v>135 W 52nd St, Unit 10A</v>
      </c>
      <c r="B5298" s="2" t="str">
        <f t="shared" si="880"/>
        <v>135 W 52nd St</v>
      </c>
      <c r="C5298" s="1" t="s">
        <v>139</v>
      </c>
      <c r="D5298" s="1" t="s">
        <v>41</v>
      </c>
      <c r="E5298" s="3">
        <v>1873580</v>
      </c>
      <c r="F5298" s="1">
        <v>1873.58</v>
      </c>
      <c r="G5298" s="1">
        <v>4</v>
      </c>
      <c r="H5298" s="1">
        <v>2</v>
      </c>
      <c r="I5298" s="1">
        <v>2</v>
      </c>
      <c r="J5298" s="1">
        <v>2</v>
      </c>
      <c r="M5298" s="4">
        <v>1000</v>
      </c>
      <c r="N5298" s="1">
        <v>803</v>
      </c>
      <c r="O5298" s="1">
        <v>1927</v>
      </c>
      <c r="P5298" s="1">
        <v>1124</v>
      </c>
      <c r="Q5298" s="1" t="s">
        <v>42</v>
      </c>
      <c r="S5298" s="1" t="s">
        <v>42</v>
      </c>
      <c r="T5298" s="1" t="s">
        <v>273</v>
      </c>
      <c r="V5298" s="5">
        <v>43673</v>
      </c>
      <c r="W5298" s="5">
        <v>41976</v>
      </c>
      <c r="X5298" s="1">
        <v>1860000</v>
      </c>
      <c r="Y5298" s="1">
        <v>1860000</v>
      </c>
      <c r="Z5298" s="5">
        <v>41976</v>
      </c>
      <c r="AA5298" s="1">
        <v>1873580</v>
      </c>
      <c r="AB5298" s="1" t="s">
        <v>3726</v>
      </c>
      <c r="AC5298" s="5">
        <v>42397</v>
      </c>
      <c r="AF5298" s="1">
        <v>10019</v>
      </c>
      <c r="AJ5298" s="1">
        <v>2016</v>
      </c>
      <c r="AK5298" s="1" t="s">
        <v>49</v>
      </c>
      <c r="AL5298" s="1">
        <v>109</v>
      </c>
    </row>
    <row r="5299" spans="1:38" x14ac:dyDescent="0.2">
      <c r="A5299" s="2" t="str">
        <f>HYPERLINK("https://www.compass.com/listing/135-west-52nd-street-unit-10b-manhattan-ny-10019/781339224297873985/","135 W 52nd St, Unit 10B")</f>
        <v>135 W 52nd St, Unit 10B</v>
      </c>
      <c r="B5299" s="2" t="str">
        <f t="shared" si="880"/>
        <v>135 W 52nd St</v>
      </c>
      <c r="C5299" s="1" t="s">
        <v>219</v>
      </c>
      <c r="D5299" s="1" t="s">
        <v>41</v>
      </c>
      <c r="E5299" s="3">
        <v>2036500</v>
      </c>
      <c r="F5299" s="1">
        <v>1811.8327402135201</v>
      </c>
      <c r="G5299" s="1">
        <v>3</v>
      </c>
      <c r="H5299" s="1">
        <v>2</v>
      </c>
      <c r="I5299" s="1">
        <v>2</v>
      </c>
      <c r="J5299" s="1">
        <v>2</v>
      </c>
      <c r="M5299" s="4">
        <v>1124</v>
      </c>
      <c r="N5299" s="1">
        <v>863</v>
      </c>
      <c r="O5299" s="1">
        <v>2071</v>
      </c>
      <c r="P5299" s="1">
        <v>1208</v>
      </c>
      <c r="Q5299" s="1" t="s">
        <v>42</v>
      </c>
      <c r="S5299" s="1" t="s">
        <v>42</v>
      </c>
      <c r="T5299" s="1" t="s">
        <v>273</v>
      </c>
      <c r="U5299" s="1">
        <v>75</v>
      </c>
      <c r="V5299" s="5">
        <v>42329</v>
      </c>
      <c r="W5299" s="5">
        <v>41822</v>
      </c>
      <c r="X5299" s="1">
        <v>2000000</v>
      </c>
      <c r="Y5299" s="1">
        <v>2000000</v>
      </c>
      <c r="Z5299" s="5">
        <v>41898</v>
      </c>
      <c r="AA5299" s="1">
        <v>2036500</v>
      </c>
      <c r="AB5299" s="1" t="s">
        <v>3727</v>
      </c>
      <c r="AC5299" s="5">
        <v>42327</v>
      </c>
      <c r="AF5299" s="1">
        <v>10019</v>
      </c>
      <c r="AJ5299" s="1">
        <v>2016</v>
      </c>
      <c r="AK5299" s="1" t="s">
        <v>49</v>
      </c>
      <c r="AL5299" s="1">
        <v>109</v>
      </c>
    </row>
    <row r="5300" spans="1:38" x14ac:dyDescent="0.2">
      <c r="A5300" s="2" t="str">
        <f>HYPERLINK("https://www.compass.com/listing/135-west-52nd-street-unit-12b-manhattan-ny-10019/304158847308529057/","135 W 52nd St, Unit 12B")</f>
        <v>135 W 52nd St, Unit 12B</v>
      </c>
      <c r="B5300" s="2" t="str">
        <f t="shared" si="880"/>
        <v>135 W 52nd St</v>
      </c>
      <c r="C5300" s="1" t="s">
        <v>139</v>
      </c>
      <c r="D5300" s="1" t="s">
        <v>41</v>
      </c>
      <c r="E5300" s="3">
        <v>2024800</v>
      </c>
      <c r="F5300" s="1">
        <v>1801.4234875444799</v>
      </c>
      <c r="G5300" s="1">
        <v>4</v>
      </c>
      <c r="H5300" s="1">
        <v>2</v>
      </c>
      <c r="I5300" s="1">
        <v>2</v>
      </c>
      <c r="J5300" s="1">
        <v>2</v>
      </c>
      <c r="K5300" s="1">
        <v>2</v>
      </c>
      <c r="M5300" s="4">
        <v>1124</v>
      </c>
      <c r="N5300" s="1">
        <v>1194</v>
      </c>
      <c r="O5300" s="1">
        <v>2808</v>
      </c>
      <c r="P5300" s="1">
        <v>1614</v>
      </c>
      <c r="Q5300" s="1" t="s">
        <v>42</v>
      </c>
      <c r="S5300" s="1" t="s">
        <v>42</v>
      </c>
      <c r="T5300" s="1" t="s">
        <v>273</v>
      </c>
      <c r="U5300" s="1">
        <v>16</v>
      </c>
      <c r="V5300" s="5">
        <v>43801</v>
      </c>
      <c r="W5300" s="5">
        <v>43726</v>
      </c>
      <c r="X5300" s="1">
        <v>2230000</v>
      </c>
      <c r="Y5300" s="1">
        <v>2230000</v>
      </c>
      <c r="Z5300" s="5">
        <v>43742</v>
      </c>
      <c r="AA5300" s="1">
        <v>2024800</v>
      </c>
      <c r="AB5300" s="1" t="s">
        <v>3728</v>
      </c>
      <c r="AC5300" s="5">
        <v>43784</v>
      </c>
      <c r="AF5300" s="1">
        <v>10019</v>
      </c>
      <c r="AI5300" s="1" t="s">
        <v>114</v>
      </c>
      <c r="AJ5300" s="1">
        <v>2016</v>
      </c>
      <c r="AK5300" s="1" t="s">
        <v>46</v>
      </c>
      <c r="AL5300" s="1">
        <v>109</v>
      </c>
    </row>
    <row r="5301" spans="1:38" x14ac:dyDescent="0.2">
      <c r="A5301" s="2" t="str">
        <f>HYPERLINK("https://www.compass.com/listing/135-west-52nd-street-unit-31a-manhattan-ny-10019/29383361063599665/","135 W 52nd St, Unit 31A")</f>
        <v>135 W 52nd St, Unit 31A</v>
      </c>
      <c r="B5301" s="2" t="str">
        <f t="shared" si="880"/>
        <v>135 W 52nd St</v>
      </c>
      <c r="C5301" s="1" t="s">
        <v>139</v>
      </c>
      <c r="D5301" s="1" t="s">
        <v>41</v>
      </c>
      <c r="E5301" s="3">
        <v>3607622</v>
      </c>
      <c r="F5301" s="1">
        <v>2342.6116883116802</v>
      </c>
      <c r="G5301" s="1">
        <v>4</v>
      </c>
      <c r="H5301" s="1">
        <v>2</v>
      </c>
      <c r="I5301" s="1">
        <v>3</v>
      </c>
      <c r="J5301" s="1">
        <v>2.5</v>
      </c>
      <c r="M5301" s="4">
        <v>1540</v>
      </c>
      <c r="N5301" s="1">
        <v>1522</v>
      </c>
      <c r="O5301" s="1">
        <v>3652</v>
      </c>
      <c r="P5301" s="1">
        <v>2130</v>
      </c>
      <c r="Q5301" s="1" t="s">
        <v>42</v>
      </c>
      <c r="S5301" s="1" t="s">
        <v>42</v>
      </c>
      <c r="T5301" s="1" t="s">
        <v>273</v>
      </c>
      <c r="U5301" s="1">
        <v>111</v>
      </c>
      <c r="V5301" s="5">
        <v>43665</v>
      </c>
      <c r="W5301" s="5">
        <v>41976</v>
      </c>
      <c r="X5301" s="1">
        <v>3575000</v>
      </c>
      <c r="Y5301" s="1">
        <v>3575000</v>
      </c>
      <c r="Z5301" s="5">
        <v>42087</v>
      </c>
      <c r="AA5301" s="1">
        <v>3607622</v>
      </c>
      <c r="AB5301" s="1" t="s">
        <v>3729</v>
      </c>
      <c r="AC5301" s="5">
        <v>42467</v>
      </c>
      <c r="AF5301" s="1">
        <v>10019</v>
      </c>
      <c r="AJ5301" s="1">
        <v>2016</v>
      </c>
      <c r="AK5301" s="1" t="s">
        <v>49</v>
      </c>
      <c r="AL5301" s="1">
        <v>109</v>
      </c>
    </row>
    <row r="5302" spans="1:38" x14ac:dyDescent="0.2">
      <c r="A5302" s="2" t="str">
        <f>HYPERLINK("https://www.compass.com/listing/53-west-53rd-street-unit-25e-manhattan-ny-10019/222327339797727073/","53 W 53rd St, Unit 25E")</f>
        <v>53 W 53rd St, Unit 25E</v>
      </c>
      <c r="B5302" s="2" t="str">
        <f t="shared" ref="B5302:B5319" si="881">HYPERLINK("https://www.compass.com/building/53-west-53-manhattan-ny/281946357818781477/","53 West 53")</f>
        <v>53 West 53</v>
      </c>
      <c r="C5302" s="1" t="s">
        <v>139</v>
      </c>
      <c r="D5302" s="1" t="s">
        <v>41</v>
      </c>
      <c r="E5302" s="3">
        <v>3353043</v>
      </c>
      <c r="F5302" s="1">
        <v>2688.8873295910098</v>
      </c>
      <c r="G5302" s="1">
        <v>3.5</v>
      </c>
      <c r="H5302" s="1">
        <v>1</v>
      </c>
      <c r="I5302" s="1">
        <v>2</v>
      </c>
      <c r="J5302" s="1">
        <v>1.5</v>
      </c>
      <c r="K5302" s="1">
        <v>1</v>
      </c>
      <c r="L5302" s="1">
        <v>1</v>
      </c>
      <c r="M5302" s="4">
        <v>1247</v>
      </c>
      <c r="N5302" s="1">
        <v>2353</v>
      </c>
      <c r="O5302" s="1">
        <v>3476</v>
      </c>
      <c r="P5302" s="1">
        <v>1123</v>
      </c>
      <c r="Q5302" s="1" t="s">
        <v>42</v>
      </c>
      <c r="S5302" s="1" t="s">
        <v>42</v>
      </c>
      <c r="T5302" s="1" t="s">
        <v>273</v>
      </c>
      <c r="V5302" s="5">
        <v>43879</v>
      </c>
      <c r="W5302" s="5">
        <v>43500</v>
      </c>
      <c r="X5302" s="1">
        <v>3690000</v>
      </c>
      <c r="Y5302" s="1">
        <v>3690000</v>
      </c>
      <c r="Z5302" s="5">
        <v>43500</v>
      </c>
      <c r="AA5302" s="1">
        <v>3353042.5</v>
      </c>
      <c r="AB5302" s="1" t="s">
        <v>3730</v>
      </c>
      <c r="AC5302" s="5">
        <v>43864</v>
      </c>
      <c r="AF5302" s="1">
        <v>10019</v>
      </c>
      <c r="AJ5302" s="1">
        <v>2018</v>
      </c>
      <c r="AK5302" s="1" t="s">
        <v>46</v>
      </c>
      <c r="AL5302" s="1">
        <v>145</v>
      </c>
    </row>
    <row r="5303" spans="1:38" x14ac:dyDescent="0.2">
      <c r="A5303" s="2" t="str">
        <f>HYPERLINK("https://www.compass.com/listing/53-west-53rd-street-unit-21e-manhattan-ny-10019/231647728713678881/","53 W 53rd St, Unit 21E")</f>
        <v>53 W 53rd St, Unit 21E</v>
      </c>
      <c r="B5303" s="2" t="str">
        <f t="shared" si="881"/>
        <v>53 West 53</v>
      </c>
      <c r="C5303" s="1" t="s">
        <v>139</v>
      </c>
      <c r="D5303" s="1" t="s">
        <v>41</v>
      </c>
      <c r="E5303" s="3">
        <v>3353043</v>
      </c>
      <c r="F5303" s="1">
        <v>2398.45672389127</v>
      </c>
      <c r="G5303" s="1">
        <v>3</v>
      </c>
      <c r="H5303" s="1">
        <v>1</v>
      </c>
      <c r="I5303" s="1">
        <v>2</v>
      </c>
      <c r="J5303" s="1">
        <v>1.5</v>
      </c>
      <c r="K5303" s="1">
        <v>1</v>
      </c>
      <c r="L5303" s="1">
        <v>1</v>
      </c>
      <c r="M5303" s="4">
        <v>1398</v>
      </c>
      <c r="N5303" s="1">
        <v>2589</v>
      </c>
      <c r="O5303" s="1">
        <v>3825</v>
      </c>
      <c r="P5303" s="1">
        <v>1236</v>
      </c>
      <c r="Q5303" s="1" t="s">
        <v>42</v>
      </c>
      <c r="S5303" s="1" t="s">
        <v>42</v>
      </c>
      <c r="T5303" s="1" t="s">
        <v>273</v>
      </c>
      <c r="V5303" s="5">
        <v>43866</v>
      </c>
      <c r="W5303" s="5">
        <v>43569</v>
      </c>
      <c r="X5303" s="1">
        <v>3690000</v>
      </c>
      <c r="Y5303" s="1">
        <v>3690000</v>
      </c>
      <c r="Z5303" s="5">
        <v>43569</v>
      </c>
      <c r="AA5303" s="1">
        <v>3353042.5</v>
      </c>
      <c r="AB5303" s="1" t="s">
        <v>3731</v>
      </c>
      <c r="AC5303" s="5">
        <v>43839</v>
      </c>
      <c r="AF5303" s="1">
        <v>10019</v>
      </c>
      <c r="AJ5303" s="1">
        <v>2018</v>
      </c>
      <c r="AK5303" s="1" t="s">
        <v>46</v>
      </c>
      <c r="AL5303" s="1">
        <v>145</v>
      </c>
    </row>
    <row r="5304" spans="1:38" x14ac:dyDescent="0.2">
      <c r="A5304" s="2" t="str">
        <f>HYPERLINK("https://www.compass.com/listing/53-west-53rd-street-unit-21f-manhattan-ny-10019/231647728948528641/","53 W 53rd St, Unit 21F")</f>
        <v>53 W 53rd St, Unit 21F</v>
      </c>
      <c r="B5304" s="2" t="str">
        <f t="shared" si="881"/>
        <v>53 West 53</v>
      </c>
      <c r="C5304" s="1" t="s">
        <v>139</v>
      </c>
      <c r="D5304" s="1" t="s">
        <v>41</v>
      </c>
      <c r="E5304" s="3">
        <v>2996655</v>
      </c>
      <c r="F5304" s="1">
        <v>2243.00523952095</v>
      </c>
      <c r="G5304" s="1">
        <v>4</v>
      </c>
      <c r="H5304" s="1">
        <v>1</v>
      </c>
      <c r="I5304" s="1">
        <v>2</v>
      </c>
      <c r="J5304" s="1">
        <v>1.5</v>
      </c>
      <c r="K5304" s="1">
        <v>1</v>
      </c>
      <c r="L5304" s="1">
        <v>1</v>
      </c>
      <c r="M5304" s="4">
        <v>1336</v>
      </c>
      <c r="N5304" s="1">
        <v>2474</v>
      </c>
      <c r="O5304" s="1">
        <v>3655</v>
      </c>
      <c r="P5304" s="1">
        <v>1181</v>
      </c>
      <c r="Q5304" s="1" t="s">
        <v>42</v>
      </c>
      <c r="S5304" s="1" t="s">
        <v>42</v>
      </c>
      <c r="T5304" s="1" t="s">
        <v>273</v>
      </c>
      <c r="V5304" s="5">
        <v>43858</v>
      </c>
      <c r="W5304" s="5">
        <v>43569</v>
      </c>
      <c r="X5304" s="1">
        <v>3215000</v>
      </c>
      <c r="Y5304" s="1">
        <v>3215000</v>
      </c>
      <c r="Z5304" s="5">
        <v>43569</v>
      </c>
      <c r="AA5304" s="1">
        <v>2996655</v>
      </c>
      <c r="AB5304" s="1" t="s">
        <v>3732</v>
      </c>
      <c r="AC5304" s="5">
        <v>43846</v>
      </c>
      <c r="AF5304" s="1">
        <v>10019</v>
      </c>
      <c r="AJ5304" s="1">
        <v>2018</v>
      </c>
      <c r="AK5304" s="1" t="s">
        <v>46</v>
      </c>
      <c r="AL5304" s="1">
        <v>145</v>
      </c>
    </row>
    <row r="5305" spans="1:38" x14ac:dyDescent="0.2">
      <c r="A5305" s="2" t="str">
        <f>HYPERLINK("https://www.compass.com/listing/53-west-53rd-street-unit-21c-manhattan-ny-10019/23954413123074753/","53 W 53rd St, Unit 21C")</f>
        <v>53 W 53rd St, Unit 21C</v>
      </c>
      <c r="B5305" s="2" t="str">
        <f t="shared" si="881"/>
        <v>53 West 53</v>
      </c>
      <c r="C5305" s="1" t="s">
        <v>139</v>
      </c>
      <c r="D5305" s="1" t="s">
        <v>41</v>
      </c>
      <c r="E5305" s="3">
        <v>3260000</v>
      </c>
      <c r="F5305" s="1">
        <v>2108.6675291073698</v>
      </c>
      <c r="G5305" s="1">
        <v>3</v>
      </c>
      <c r="H5305" s="1">
        <v>1</v>
      </c>
      <c r="I5305" s="1">
        <v>2</v>
      </c>
      <c r="J5305" s="1">
        <v>1.5</v>
      </c>
      <c r="K5305" s="1">
        <v>1</v>
      </c>
      <c r="L5305" s="1">
        <v>1</v>
      </c>
      <c r="M5305" s="4">
        <v>1546</v>
      </c>
      <c r="N5305" s="1">
        <v>2858</v>
      </c>
      <c r="O5305" s="1">
        <v>4222</v>
      </c>
      <c r="P5305" s="1">
        <v>1364</v>
      </c>
      <c r="Q5305" s="1" t="s">
        <v>42</v>
      </c>
      <c r="S5305" s="1" t="s">
        <v>42</v>
      </c>
      <c r="T5305" s="1" t="s">
        <v>273</v>
      </c>
      <c r="U5305" s="1">
        <v>244</v>
      </c>
      <c r="V5305" s="5">
        <v>43872</v>
      </c>
      <c r="W5305" s="5">
        <v>42552</v>
      </c>
      <c r="X5305" s="1">
        <v>3535000</v>
      </c>
      <c r="Y5305" s="1">
        <v>3535000</v>
      </c>
      <c r="Z5305" s="5">
        <v>43706</v>
      </c>
      <c r="AA5305" s="1">
        <v>3260000</v>
      </c>
      <c r="AB5305" s="1" t="s">
        <v>3733</v>
      </c>
      <c r="AC5305" s="5">
        <v>43860</v>
      </c>
      <c r="AF5305" s="1">
        <v>10019</v>
      </c>
      <c r="AJ5305" s="1">
        <v>2018</v>
      </c>
      <c r="AK5305" s="1" t="s">
        <v>46</v>
      </c>
      <c r="AL5305" s="1">
        <v>145</v>
      </c>
    </row>
    <row r="5306" spans="1:38" x14ac:dyDescent="0.2">
      <c r="A5306" s="2" t="str">
        <f>HYPERLINK("https://www.compass.com/listing/53-west-53rd-street-unit-16d-manhattan-ny-10019/23954424472862001/","53 W 53rd St, Unit 16D")</f>
        <v>53 W 53rd St, Unit 16D</v>
      </c>
      <c r="B5306" s="2" t="str">
        <f t="shared" si="881"/>
        <v>53 West 53</v>
      </c>
      <c r="C5306" s="1" t="s">
        <v>139</v>
      </c>
      <c r="D5306" s="1" t="s">
        <v>41</v>
      </c>
      <c r="E5306" s="3">
        <v>2950834</v>
      </c>
      <c r="F5306" s="1">
        <v>2665.6131436314299</v>
      </c>
      <c r="G5306" s="1">
        <v>3.5</v>
      </c>
      <c r="H5306" s="1">
        <v>1</v>
      </c>
      <c r="I5306" s="1">
        <v>2</v>
      </c>
      <c r="J5306" s="1">
        <v>1.5</v>
      </c>
      <c r="K5306" s="1">
        <v>1</v>
      </c>
      <c r="L5306" s="1">
        <v>1</v>
      </c>
      <c r="M5306" s="4">
        <v>1107</v>
      </c>
      <c r="N5306" s="1">
        <v>2298</v>
      </c>
      <c r="O5306" s="1">
        <v>3252</v>
      </c>
      <c r="P5306" s="1">
        <v>954</v>
      </c>
      <c r="Q5306" s="1" t="s">
        <v>42</v>
      </c>
      <c r="S5306" s="1" t="s">
        <v>42</v>
      </c>
      <c r="T5306" s="1" t="s">
        <v>273</v>
      </c>
      <c r="U5306" s="1">
        <v>134</v>
      </c>
      <c r="V5306" s="5">
        <v>44156</v>
      </c>
      <c r="W5306" s="5">
        <v>42794</v>
      </c>
      <c r="X5306" s="1">
        <v>2950000</v>
      </c>
      <c r="Y5306" s="1">
        <v>3055000</v>
      </c>
      <c r="Z5306" s="5">
        <v>43719</v>
      </c>
      <c r="AA5306" s="1">
        <v>2950833.75</v>
      </c>
      <c r="AB5306" s="1" t="s">
        <v>3734</v>
      </c>
      <c r="AC5306" s="5">
        <v>44153</v>
      </c>
      <c r="AF5306" s="1">
        <v>10019</v>
      </c>
      <c r="AJ5306" s="1">
        <v>2018</v>
      </c>
      <c r="AK5306" s="1" t="s">
        <v>46</v>
      </c>
      <c r="AL5306" s="1">
        <v>145</v>
      </c>
    </row>
    <row r="5307" spans="1:38" x14ac:dyDescent="0.2">
      <c r="A5307" s="2" t="str">
        <f>HYPERLINK("https://www.compass.com/listing/53-west-53rd-street-unit-20f-manhattan-ny-10019/247608427449264689/","53 W 53rd St, Unit 20F")</f>
        <v>53 W 53rd St, Unit 20F</v>
      </c>
      <c r="B5307" s="2" t="str">
        <f t="shared" si="881"/>
        <v>53 West 53</v>
      </c>
      <c r="C5307" s="1" t="s">
        <v>139</v>
      </c>
      <c r="D5307" s="1" t="s">
        <v>41</v>
      </c>
      <c r="E5307" s="3">
        <v>2986473</v>
      </c>
      <c r="F5307" s="1">
        <v>2187.8919413919398</v>
      </c>
      <c r="G5307" s="1">
        <v>3</v>
      </c>
      <c r="H5307" s="1">
        <v>1</v>
      </c>
      <c r="I5307" s="1">
        <v>2</v>
      </c>
      <c r="J5307" s="1">
        <v>1.5</v>
      </c>
      <c r="K5307" s="1">
        <v>1</v>
      </c>
      <c r="L5307" s="1">
        <v>1</v>
      </c>
      <c r="M5307" s="4">
        <v>1365</v>
      </c>
      <c r="N5307" s="1">
        <v>2516</v>
      </c>
      <c r="O5307" s="1">
        <v>3717</v>
      </c>
      <c r="P5307" s="1">
        <v>1201</v>
      </c>
      <c r="Q5307" s="1" t="s">
        <v>42</v>
      </c>
      <c r="S5307" s="1" t="s">
        <v>42</v>
      </c>
      <c r="T5307" s="1" t="s">
        <v>273</v>
      </c>
      <c r="V5307" s="5">
        <v>43858</v>
      </c>
      <c r="W5307" s="5">
        <v>43592</v>
      </c>
      <c r="X5307" s="1">
        <v>3205000</v>
      </c>
      <c r="Y5307" s="1">
        <v>3205000</v>
      </c>
      <c r="Z5307" s="5">
        <v>43592</v>
      </c>
      <c r="AA5307" s="1">
        <v>2986472.5</v>
      </c>
      <c r="AB5307" s="1" t="s">
        <v>3735</v>
      </c>
      <c r="AC5307" s="5">
        <v>43844</v>
      </c>
      <c r="AF5307" s="1">
        <v>10019</v>
      </c>
      <c r="AJ5307" s="1">
        <v>2018</v>
      </c>
      <c r="AK5307" s="1" t="s">
        <v>46</v>
      </c>
      <c r="AL5307" s="1">
        <v>145</v>
      </c>
    </row>
    <row r="5308" spans="1:38" x14ac:dyDescent="0.2">
      <c r="A5308" s="2" t="str">
        <f>HYPERLINK("https://www.compass.com/listing/53-west-53rd-street-unit-20e-manhattan-ny-10019/251217421493389441/","53 W 53rd St, Unit 20E")</f>
        <v>53 W 53rd St, Unit 20E</v>
      </c>
      <c r="B5308" s="2" t="str">
        <f t="shared" si="881"/>
        <v>53 West 53</v>
      </c>
      <c r="C5308" s="1" t="s">
        <v>139</v>
      </c>
      <c r="D5308" s="1" t="s">
        <v>41</v>
      </c>
      <c r="E5308" s="3">
        <v>3342860</v>
      </c>
      <c r="F5308" s="1">
        <v>2327.89693593314</v>
      </c>
      <c r="G5308" s="1">
        <v>4</v>
      </c>
      <c r="H5308" s="1">
        <v>1</v>
      </c>
      <c r="I5308" s="1">
        <v>2</v>
      </c>
      <c r="J5308" s="1">
        <v>1.5</v>
      </c>
      <c r="K5308" s="1">
        <v>1</v>
      </c>
      <c r="L5308" s="1">
        <v>1</v>
      </c>
      <c r="M5308" s="4">
        <v>1436</v>
      </c>
      <c r="N5308" s="1">
        <v>2627</v>
      </c>
      <c r="O5308" s="1">
        <v>3890</v>
      </c>
      <c r="P5308" s="1">
        <v>1263</v>
      </c>
      <c r="Q5308" s="1" t="s">
        <v>42</v>
      </c>
      <c r="S5308" s="1" t="s">
        <v>42</v>
      </c>
      <c r="T5308" s="1" t="s">
        <v>273</v>
      </c>
      <c r="V5308" s="5">
        <v>43893</v>
      </c>
      <c r="W5308" s="5">
        <v>43598</v>
      </c>
      <c r="X5308" s="1">
        <v>3680000</v>
      </c>
      <c r="Y5308" s="1">
        <v>3680000</v>
      </c>
      <c r="Z5308" s="5">
        <v>43598</v>
      </c>
      <c r="AA5308" s="1">
        <v>3342860</v>
      </c>
      <c r="AB5308" s="1" t="s">
        <v>3736</v>
      </c>
      <c r="AC5308" s="5">
        <v>43882</v>
      </c>
      <c r="AF5308" s="1">
        <v>10019</v>
      </c>
      <c r="AJ5308" s="1">
        <v>2018</v>
      </c>
      <c r="AK5308" s="1" t="s">
        <v>46</v>
      </c>
      <c r="AL5308" s="1">
        <v>145</v>
      </c>
    </row>
    <row r="5309" spans="1:38" x14ac:dyDescent="0.2">
      <c r="A5309" s="2" t="str">
        <f>HYPERLINK("https://www.compass.com/listing/53-west-53rd-street-unit-23e-manhattan-ny-10019/257797728086650097/","53 W 53rd St, Unit 23E")</f>
        <v>53 W 53rd St, Unit 23E</v>
      </c>
      <c r="B5309" s="2" t="str">
        <f t="shared" si="881"/>
        <v>53 West 53</v>
      </c>
      <c r="C5309" s="1" t="s">
        <v>139</v>
      </c>
      <c r="D5309" s="1" t="s">
        <v>41</v>
      </c>
      <c r="E5309" s="3">
        <v>3332678</v>
      </c>
      <c r="F5309" s="1">
        <v>2520.9360816943999</v>
      </c>
      <c r="G5309" s="1">
        <v>4</v>
      </c>
      <c r="H5309" s="1">
        <v>1</v>
      </c>
      <c r="I5309" s="1">
        <v>2</v>
      </c>
      <c r="J5309" s="1">
        <v>1.5</v>
      </c>
      <c r="K5309" s="1">
        <v>1</v>
      </c>
      <c r="L5309" s="1">
        <v>1</v>
      </c>
      <c r="M5309" s="4">
        <v>1322</v>
      </c>
      <c r="N5309" s="1">
        <v>2472</v>
      </c>
      <c r="O5309" s="1">
        <v>3652</v>
      </c>
      <c r="P5309" s="1">
        <v>1180</v>
      </c>
      <c r="Q5309" s="1" t="s">
        <v>42</v>
      </c>
      <c r="S5309" s="1" t="s">
        <v>42</v>
      </c>
      <c r="T5309" s="1" t="s">
        <v>273</v>
      </c>
      <c r="V5309" s="5">
        <v>43885</v>
      </c>
      <c r="W5309" s="5">
        <v>43607</v>
      </c>
      <c r="X5309" s="1">
        <v>3670000</v>
      </c>
      <c r="Y5309" s="1">
        <v>3670000</v>
      </c>
      <c r="Z5309" s="5">
        <v>43607</v>
      </c>
      <c r="AA5309" s="1">
        <v>3332677.5</v>
      </c>
      <c r="AB5309" s="1" t="s">
        <v>3737</v>
      </c>
      <c r="AC5309" s="5">
        <v>43872</v>
      </c>
      <c r="AF5309" s="1">
        <v>10019</v>
      </c>
      <c r="AJ5309" s="1">
        <v>2018</v>
      </c>
      <c r="AK5309" s="1" t="s">
        <v>46</v>
      </c>
      <c r="AL5309" s="1">
        <v>145</v>
      </c>
    </row>
    <row r="5310" spans="1:38" x14ac:dyDescent="0.2">
      <c r="A5310" s="2" t="str">
        <f>HYPERLINK("https://www.compass.com/listing/53-west-53rd-street-unit-25f-manhattan-ny-10019/263563831924601921/","53 W 53rd St, Unit 25F")</f>
        <v>53 W 53rd St, Unit 25F</v>
      </c>
      <c r="B5310" s="2" t="str">
        <f t="shared" si="881"/>
        <v>53 West 53</v>
      </c>
      <c r="C5310" s="1" t="s">
        <v>139</v>
      </c>
      <c r="D5310" s="1" t="s">
        <v>41</v>
      </c>
      <c r="E5310" s="3">
        <v>3037385</v>
      </c>
      <c r="F5310" s="1">
        <v>2487.6208026208001</v>
      </c>
      <c r="G5310" s="1">
        <v>3</v>
      </c>
      <c r="H5310" s="1">
        <v>1</v>
      </c>
      <c r="I5310" s="1">
        <v>2</v>
      </c>
      <c r="J5310" s="1">
        <v>1.5</v>
      </c>
      <c r="K5310" s="1">
        <v>1</v>
      </c>
      <c r="L5310" s="1">
        <v>1</v>
      </c>
      <c r="M5310" s="4">
        <v>1221</v>
      </c>
      <c r="N5310" s="1">
        <v>2305</v>
      </c>
      <c r="O5310" s="1">
        <v>3405</v>
      </c>
      <c r="P5310" s="1">
        <v>1100</v>
      </c>
      <c r="Q5310" s="1" t="s">
        <v>42</v>
      </c>
      <c r="S5310" s="1" t="s">
        <v>42</v>
      </c>
      <c r="T5310" s="1" t="s">
        <v>273</v>
      </c>
      <c r="V5310" s="5">
        <v>43865</v>
      </c>
      <c r="W5310" s="5">
        <v>43614</v>
      </c>
      <c r="X5310" s="1">
        <v>3255000</v>
      </c>
      <c r="Y5310" s="1">
        <v>3255000</v>
      </c>
      <c r="Z5310" s="5">
        <v>43614</v>
      </c>
      <c r="AA5310" s="1">
        <v>3037385</v>
      </c>
      <c r="AB5310" s="1" t="s">
        <v>3738</v>
      </c>
      <c r="AC5310" s="5">
        <v>43857</v>
      </c>
      <c r="AF5310" s="1">
        <v>10019</v>
      </c>
      <c r="AJ5310" s="1">
        <v>2018</v>
      </c>
      <c r="AK5310" s="1" t="s">
        <v>46</v>
      </c>
      <c r="AL5310" s="1">
        <v>145</v>
      </c>
    </row>
    <row r="5311" spans="1:38" x14ac:dyDescent="0.2">
      <c r="A5311" s="2" t="str">
        <f>HYPERLINK("https://www.compass.com/listing/53-west-53rd-street-unit-18e-manhattan-ny-10019/283845936642291585/","53 W 53rd St, Unit 18E")</f>
        <v>53 W 53rd St, Unit 18E</v>
      </c>
      <c r="B5311" s="2" t="str">
        <f t="shared" si="881"/>
        <v>53 West 53</v>
      </c>
      <c r="C5311" s="1" t="s">
        <v>139</v>
      </c>
      <c r="D5311" s="1" t="s">
        <v>41</v>
      </c>
      <c r="E5311" s="3">
        <v>3322495</v>
      </c>
      <c r="F5311" s="1">
        <v>2197.4173280423202</v>
      </c>
      <c r="G5311" s="1">
        <v>3</v>
      </c>
      <c r="H5311" s="1">
        <v>1</v>
      </c>
      <c r="I5311" s="1">
        <v>2</v>
      </c>
      <c r="J5311" s="1">
        <v>1.5</v>
      </c>
      <c r="K5311" s="1">
        <v>1</v>
      </c>
      <c r="L5311" s="1">
        <v>1</v>
      </c>
      <c r="M5311" s="4">
        <v>1512</v>
      </c>
      <c r="N5311" s="1">
        <v>2760</v>
      </c>
      <c r="O5311" s="1">
        <v>4077</v>
      </c>
      <c r="P5311" s="1">
        <v>1317</v>
      </c>
      <c r="Q5311" s="1" t="s">
        <v>42</v>
      </c>
      <c r="S5311" s="1" t="s">
        <v>42</v>
      </c>
      <c r="T5311" s="1" t="s">
        <v>273</v>
      </c>
      <c r="V5311" s="5">
        <v>43865</v>
      </c>
      <c r="W5311" s="5">
        <v>43642</v>
      </c>
      <c r="X5311" s="1">
        <v>3660000</v>
      </c>
      <c r="Y5311" s="1">
        <v>3660000</v>
      </c>
      <c r="Z5311" s="5">
        <v>43642</v>
      </c>
      <c r="AA5311" s="1">
        <v>3322495</v>
      </c>
      <c r="AB5311" s="1" t="s">
        <v>3739</v>
      </c>
      <c r="AC5311" s="5">
        <v>43851</v>
      </c>
      <c r="AF5311" s="1">
        <v>10019</v>
      </c>
      <c r="AJ5311" s="1">
        <v>2018</v>
      </c>
      <c r="AK5311" s="1" t="s">
        <v>46</v>
      </c>
      <c r="AL5311" s="1">
        <v>145</v>
      </c>
    </row>
    <row r="5312" spans="1:38" x14ac:dyDescent="0.2">
      <c r="A5312" s="2" t="str">
        <f>HYPERLINK("https://www.compass.com/listing/53-west-53rd-street-unit-18c-manhattan-ny-10019/28876195722444433/","53 W 53rd St, Unit 18C")</f>
        <v>53 W 53rd St, Unit 18C</v>
      </c>
      <c r="B5312" s="2" t="str">
        <f t="shared" si="881"/>
        <v>53 West 53</v>
      </c>
      <c r="C5312" s="1" t="s">
        <v>139</v>
      </c>
      <c r="D5312" s="1" t="s">
        <v>41</v>
      </c>
      <c r="E5312" s="3">
        <v>3037385</v>
      </c>
      <c r="F5312" s="1">
        <v>2125.5318404478598</v>
      </c>
      <c r="G5312" s="1">
        <v>3</v>
      </c>
      <c r="H5312" s="1">
        <v>1</v>
      </c>
      <c r="I5312" s="1">
        <v>2</v>
      </c>
      <c r="J5312" s="1">
        <v>1.5</v>
      </c>
      <c r="K5312" s="1">
        <v>1</v>
      </c>
      <c r="L5312" s="1">
        <v>1</v>
      </c>
      <c r="M5312" s="4">
        <v>1429</v>
      </c>
      <c r="N5312" s="1">
        <v>2604</v>
      </c>
      <c r="O5312" s="1">
        <v>3847</v>
      </c>
      <c r="P5312" s="1">
        <v>1243</v>
      </c>
      <c r="Q5312" s="1" t="s">
        <v>42</v>
      </c>
      <c r="S5312" s="1" t="s">
        <v>42</v>
      </c>
      <c r="T5312" s="1" t="s">
        <v>273</v>
      </c>
      <c r="U5312" s="1">
        <v>104</v>
      </c>
      <c r="V5312" s="5">
        <v>43872</v>
      </c>
      <c r="W5312" s="5">
        <v>42292</v>
      </c>
      <c r="X5312" s="1">
        <v>3160000</v>
      </c>
      <c r="Y5312" s="1">
        <v>3265000</v>
      </c>
      <c r="Z5312" s="5">
        <v>43728</v>
      </c>
      <c r="AA5312" s="1">
        <v>3037385</v>
      </c>
      <c r="AB5312" s="1" t="s">
        <v>3740</v>
      </c>
      <c r="AC5312" s="5">
        <v>43861</v>
      </c>
      <c r="AF5312" s="1">
        <v>10019</v>
      </c>
      <c r="AJ5312" s="1">
        <v>2018</v>
      </c>
      <c r="AK5312" s="1" t="s">
        <v>46</v>
      </c>
      <c r="AL5312" s="1">
        <v>145</v>
      </c>
    </row>
    <row r="5313" spans="1:38" x14ac:dyDescent="0.2">
      <c r="A5313" s="2" t="str">
        <f>HYPERLINK("https://www.compass.com/listing/53-west-53rd-street-unit-20c-manhattan-ny-10019/29026646640095921/","53 W 53rd St, Unit 20C")</f>
        <v>53 W 53rd St, Unit 20C</v>
      </c>
      <c r="B5313" s="2" t="str">
        <f t="shared" si="881"/>
        <v>53 West 53</v>
      </c>
      <c r="C5313" s="1" t="s">
        <v>139</v>
      </c>
      <c r="D5313" s="1" t="s">
        <v>41</v>
      </c>
      <c r="E5313" s="3">
        <v>3147356</v>
      </c>
      <c r="F5313" s="1">
        <v>2204.0308123249301</v>
      </c>
      <c r="G5313" s="1">
        <v>3</v>
      </c>
      <c r="H5313" s="1">
        <v>1</v>
      </c>
      <c r="I5313" s="1">
        <v>2</v>
      </c>
      <c r="J5313" s="1">
        <v>1.5</v>
      </c>
      <c r="K5313" s="1">
        <v>1</v>
      </c>
      <c r="L5313" s="1">
        <v>1</v>
      </c>
      <c r="M5313" s="4">
        <v>1428</v>
      </c>
      <c r="N5313" s="1">
        <v>2632</v>
      </c>
      <c r="O5313" s="1">
        <v>3888</v>
      </c>
      <c r="P5313" s="1">
        <v>1256</v>
      </c>
      <c r="Q5313" s="1" t="s">
        <v>42</v>
      </c>
      <c r="S5313" s="1" t="s">
        <v>42</v>
      </c>
      <c r="T5313" s="1" t="s">
        <v>273</v>
      </c>
      <c r="U5313" s="1">
        <v>64</v>
      </c>
      <c r="V5313" s="5">
        <v>43865</v>
      </c>
      <c r="W5313" s="5">
        <v>42488</v>
      </c>
      <c r="X5313" s="1">
        <v>3180000</v>
      </c>
      <c r="Y5313" s="1">
        <v>3285000</v>
      </c>
      <c r="Z5313" s="5">
        <v>43659</v>
      </c>
      <c r="AA5313" s="1">
        <v>3147356</v>
      </c>
      <c r="AB5313" s="1" t="s">
        <v>3741</v>
      </c>
      <c r="AC5313" s="5">
        <v>43854</v>
      </c>
      <c r="AF5313" s="1">
        <v>10019</v>
      </c>
      <c r="AJ5313" s="1">
        <v>2018</v>
      </c>
      <c r="AK5313" s="1" t="s">
        <v>46</v>
      </c>
      <c r="AL5313" s="1">
        <v>145</v>
      </c>
    </row>
    <row r="5314" spans="1:38" x14ac:dyDescent="0.2">
      <c r="A5314" s="2" t="str">
        <f>HYPERLINK("https://www.compass.com/listing/53-west-53rd-street-unit-19c-manhattan-ny-10019/29026668559531265/","53 W 53rd St, Unit 19C")</f>
        <v>53 W 53rd St, Unit 19C</v>
      </c>
      <c r="B5314" s="2" t="str">
        <f t="shared" si="881"/>
        <v>53 West 53</v>
      </c>
      <c r="C5314" s="1" t="s">
        <v>139</v>
      </c>
      <c r="D5314" s="1" t="s">
        <v>41</v>
      </c>
      <c r="E5314" s="3">
        <v>3057750</v>
      </c>
      <c r="F5314" s="1">
        <v>2141.28151260504</v>
      </c>
      <c r="G5314" s="1">
        <v>3</v>
      </c>
      <c r="H5314" s="1">
        <v>1</v>
      </c>
      <c r="I5314" s="1">
        <v>2</v>
      </c>
      <c r="J5314" s="1">
        <v>1.5</v>
      </c>
      <c r="K5314" s="1">
        <v>1</v>
      </c>
      <c r="L5314" s="1">
        <v>1</v>
      </c>
      <c r="M5314" s="4">
        <v>1428</v>
      </c>
      <c r="N5314" s="1">
        <v>2620</v>
      </c>
      <c r="O5314" s="1">
        <v>3870</v>
      </c>
      <c r="P5314" s="1">
        <v>1250</v>
      </c>
      <c r="Q5314" s="1" t="s">
        <v>42</v>
      </c>
      <c r="S5314" s="1" t="s">
        <v>42</v>
      </c>
      <c r="T5314" s="1" t="s">
        <v>273</v>
      </c>
      <c r="U5314" s="1">
        <v>90</v>
      </c>
      <c r="V5314" s="5">
        <v>43872</v>
      </c>
      <c r="W5314" s="5">
        <v>42399</v>
      </c>
      <c r="X5314" s="1">
        <v>3170000</v>
      </c>
      <c r="Y5314" s="1">
        <v>3275000</v>
      </c>
      <c r="Z5314" s="5">
        <v>43622</v>
      </c>
      <c r="AA5314" s="1">
        <v>3057750</v>
      </c>
      <c r="AB5314" s="1" t="s">
        <v>3742</v>
      </c>
      <c r="AC5314" s="5">
        <v>43864</v>
      </c>
      <c r="AF5314" s="1">
        <v>10019</v>
      </c>
      <c r="AJ5314" s="1">
        <v>2018</v>
      </c>
      <c r="AK5314" s="1" t="s">
        <v>46</v>
      </c>
      <c r="AL5314" s="1">
        <v>145</v>
      </c>
    </row>
    <row r="5315" spans="1:38" x14ac:dyDescent="0.2">
      <c r="A5315" s="2" t="str">
        <f>HYPERLINK("https://www.compass.com/listing/53-west-53rd-street-unit-24c-manhattan-ny-10019/29600781829190513/","53 W 53rd St, Unit 24C")</f>
        <v>53 W 53rd St, Unit 24C</v>
      </c>
      <c r="B5315" s="2" t="str">
        <f t="shared" si="881"/>
        <v>53 West 53</v>
      </c>
      <c r="C5315" s="1" t="s">
        <v>139</v>
      </c>
      <c r="D5315" s="1" t="s">
        <v>41</v>
      </c>
      <c r="E5315" s="3">
        <v>3200000</v>
      </c>
      <c r="F5315" s="1">
        <v>1976.5287214329801</v>
      </c>
      <c r="G5315" s="1">
        <v>3</v>
      </c>
      <c r="H5315" s="1">
        <v>1</v>
      </c>
      <c r="I5315" s="1">
        <v>2</v>
      </c>
      <c r="J5315" s="1">
        <v>1.5</v>
      </c>
      <c r="K5315" s="1">
        <v>1</v>
      </c>
      <c r="L5315" s="1">
        <v>1</v>
      </c>
      <c r="M5315" s="4">
        <v>1619</v>
      </c>
      <c r="N5315" s="1">
        <v>3036</v>
      </c>
      <c r="O5315" s="1">
        <v>4485</v>
      </c>
      <c r="P5315" s="1">
        <v>1449</v>
      </c>
      <c r="Q5315" s="1" t="s">
        <v>42</v>
      </c>
      <c r="S5315" s="1" t="s">
        <v>42</v>
      </c>
      <c r="T5315" s="1" t="s">
        <v>273</v>
      </c>
      <c r="U5315" s="1">
        <v>441</v>
      </c>
      <c r="V5315" s="5">
        <v>43865</v>
      </c>
      <c r="W5315" s="5">
        <v>42923</v>
      </c>
      <c r="X5315" s="1">
        <v>3645000</v>
      </c>
      <c r="Y5315" s="1">
        <v>3480000</v>
      </c>
      <c r="Z5315" s="5">
        <v>43713</v>
      </c>
      <c r="AA5315" s="1">
        <v>3200000</v>
      </c>
      <c r="AB5315" s="1" t="s">
        <v>3743</v>
      </c>
      <c r="AC5315" s="5">
        <v>43852</v>
      </c>
      <c r="AF5315" s="1">
        <v>10019</v>
      </c>
      <c r="AJ5315" s="1">
        <v>2018</v>
      </c>
      <c r="AK5315" s="1" t="s">
        <v>46</v>
      </c>
      <c r="AL5315" s="1">
        <v>145</v>
      </c>
    </row>
    <row r="5316" spans="1:38" x14ac:dyDescent="0.2">
      <c r="A5316" s="2" t="str">
        <f>HYPERLINK("https://www.compass.com/listing/53-west-53rd-street-unit-19f-manhattan-ny-10019/365919699367631617/","53 W 53rd St, Unit 19F")</f>
        <v>53 W 53rd St, Unit 19F</v>
      </c>
      <c r="B5316" s="2" t="str">
        <f t="shared" si="881"/>
        <v>53 West 53</v>
      </c>
      <c r="C5316" s="1" t="s">
        <v>139</v>
      </c>
      <c r="D5316" s="1" t="s">
        <v>41</v>
      </c>
      <c r="E5316" s="3">
        <v>2976290</v>
      </c>
      <c r="F5316" s="1">
        <v>2135.07173601147</v>
      </c>
      <c r="G5316" s="1">
        <v>4</v>
      </c>
      <c r="H5316" s="1">
        <v>1</v>
      </c>
      <c r="I5316" s="1">
        <v>2</v>
      </c>
      <c r="J5316" s="1">
        <v>1.5</v>
      </c>
      <c r="K5316" s="1">
        <v>1</v>
      </c>
      <c r="L5316" s="1">
        <v>1</v>
      </c>
      <c r="M5316" s="4">
        <v>1394</v>
      </c>
      <c r="N5316" s="1">
        <v>2557</v>
      </c>
      <c r="O5316" s="1">
        <v>3777</v>
      </c>
      <c r="P5316" s="1">
        <v>1220</v>
      </c>
      <c r="Q5316" s="1" t="s">
        <v>42</v>
      </c>
      <c r="S5316" s="1" t="s">
        <v>42</v>
      </c>
      <c r="T5316" s="1" t="s">
        <v>273</v>
      </c>
      <c r="V5316" s="5">
        <v>43901</v>
      </c>
      <c r="W5316" s="5">
        <v>43733</v>
      </c>
      <c r="X5316" s="1">
        <v>3195000</v>
      </c>
      <c r="Y5316" s="1">
        <v>3195000</v>
      </c>
      <c r="Z5316" s="5">
        <v>43733</v>
      </c>
      <c r="AA5316" s="1">
        <v>2976290</v>
      </c>
      <c r="AB5316" s="1" t="s">
        <v>3744</v>
      </c>
      <c r="AC5316" s="5">
        <v>43888</v>
      </c>
      <c r="AF5316" s="1">
        <v>10019</v>
      </c>
      <c r="AJ5316" s="1">
        <v>2018</v>
      </c>
      <c r="AK5316" s="1" t="s">
        <v>46</v>
      </c>
      <c r="AL5316" s="1">
        <v>145</v>
      </c>
    </row>
    <row r="5317" spans="1:38" x14ac:dyDescent="0.2">
      <c r="A5317" s="2" t="str">
        <f>HYPERLINK("https://www.compass.com/listing/53-west-53rd-street-unit-22f-manhattan-ny-10019/384749423524237937/","53 W 53rd St, Unit 22F")</f>
        <v>53 W 53rd St, Unit 22F</v>
      </c>
      <c r="B5317" s="2" t="str">
        <f t="shared" si="881"/>
        <v>53 West 53</v>
      </c>
      <c r="C5317" s="1" t="s">
        <v>139</v>
      </c>
      <c r="D5317" s="1" t="s">
        <v>41</v>
      </c>
      <c r="E5317" s="3">
        <v>3083206</v>
      </c>
      <c r="F5317" s="1">
        <v>2311.2488755622098</v>
      </c>
      <c r="G5317" s="1">
        <v>4</v>
      </c>
      <c r="H5317" s="1">
        <v>1</v>
      </c>
      <c r="I5317" s="1">
        <v>2</v>
      </c>
      <c r="J5317" s="1">
        <v>1.5</v>
      </c>
      <c r="K5317" s="1">
        <v>1</v>
      </c>
      <c r="L5317" s="1">
        <v>1</v>
      </c>
      <c r="M5317" s="4">
        <v>1334</v>
      </c>
      <c r="N5317" s="1">
        <v>2482</v>
      </c>
      <c r="O5317" s="1">
        <v>3667</v>
      </c>
      <c r="P5317" s="1">
        <v>1185</v>
      </c>
      <c r="Q5317" s="1" t="s">
        <v>42</v>
      </c>
      <c r="S5317" s="1" t="s">
        <v>42</v>
      </c>
      <c r="T5317" s="1" t="s">
        <v>273</v>
      </c>
      <c r="V5317" s="5">
        <v>43893</v>
      </c>
      <c r="W5317" s="5">
        <v>43782</v>
      </c>
      <c r="X5317" s="1">
        <v>3225000</v>
      </c>
      <c r="Y5317" s="1">
        <v>3225000</v>
      </c>
      <c r="Z5317" s="5">
        <v>43782</v>
      </c>
      <c r="AA5317" s="1">
        <v>3083206</v>
      </c>
      <c r="AB5317" s="1" t="s">
        <v>3745</v>
      </c>
      <c r="AC5317" s="5">
        <v>43881</v>
      </c>
      <c r="AF5317" s="1">
        <v>10019</v>
      </c>
      <c r="AJ5317" s="1">
        <v>2018</v>
      </c>
      <c r="AK5317" s="1" t="s">
        <v>46</v>
      </c>
      <c r="AL5317" s="1">
        <v>145</v>
      </c>
    </row>
    <row r="5318" spans="1:38" x14ac:dyDescent="0.2">
      <c r="A5318" s="2" t="str">
        <f>HYPERLINK("https://www.compass.com/listing/53-west-53rd-street-unit-23f-manhattan-ny-10019/426012143456523249/","53 W 53rd St, Unit 23F")</f>
        <v>53 W 53rd St, Unit 23F</v>
      </c>
      <c r="B5318" s="2" t="str">
        <f t="shared" si="881"/>
        <v>53 West 53</v>
      </c>
      <c r="C5318" s="1" t="s">
        <v>139</v>
      </c>
      <c r="D5318" s="1" t="s">
        <v>41</v>
      </c>
      <c r="E5318" s="3">
        <v>3017020</v>
      </c>
      <c r="F5318" s="1">
        <v>2358.8897576231402</v>
      </c>
      <c r="G5318" s="1">
        <v>4</v>
      </c>
      <c r="H5318" s="1">
        <v>1</v>
      </c>
      <c r="I5318" s="1">
        <v>2</v>
      </c>
      <c r="J5318" s="1">
        <v>1.5</v>
      </c>
      <c r="K5318" s="1">
        <v>1</v>
      </c>
      <c r="L5318" s="1">
        <v>1</v>
      </c>
      <c r="M5318" s="4">
        <v>1279</v>
      </c>
      <c r="N5318" s="1">
        <v>2660</v>
      </c>
      <c r="O5318" s="1">
        <v>3801</v>
      </c>
      <c r="P5318" s="1">
        <v>1141</v>
      </c>
      <c r="Q5318" s="1" t="s">
        <v>42</v>
      </c>
      <c r="S5318" s="1" t="s">
        <v>42</v>
      </c>
      <c r="T5318" s="1" t="s">
        <v>273</v>
      </c>
      <c r="V5318" s="5">
        <v>43885</v>
      </c>
      <c r="W5318" s="5">
        <v>43839</v>
      </c>
      <c r="X5318" s="1">
        <v>3235000</v>
      </c>
      <c r="Y5318" s="1">
        <v>3235000</v>
      </c>
      <c r="Z5318" s="5">
        <v>43839</v>
      </c>
      <c r="AA5318" s="1">
        <v>3017020</v>
      </c>
      <c r="AB5318" s="1" t="s">
        <v>3746</v>
      </c>
      <c r="AC5318" s="5">
        <v>43872</v>
      </c>
      <c r="AF5318" s="1">
        <v>10019</v>
      </c>
      <c r="AJ5318" s="1">
        <v>2018</v>
      </c>
      <c r="AK5318" s="1" t="s">
        <v>46</v>
      </c>
      <c r="AL5318" s="1">
        <v>145</v>
      </c>
    </row>
    <row r="5319" spans="1:38" x14ac:dyDescent="0.2">
      <c r="A5319" s="2" t="str">
        <f>HYPERLINK("https://www.compass.com/listing/53-west-53rd-street-unit-20c-manhattan-ny-10019/436955141938584129/","53 W 53rd St, Unit 20C")</f>
        <v>53 W 53rd St, Unit 20C</v>
      </c>
      <c r="B5319" s="2" t="str">
        <f t="shared" si="881"/>
        <v>53 West 53</v>
      </c>
      <c r="C5319" s="1" t="s">
        <v>139</v>
      </c>
      <c r="D5319" s="1" t="s">
        <v>41</v>
      </c>
      <c r="E5319" s="3">
        <v>3147356</v>
      </c>
      <c r="F5319" s="1">
        <v>2204.0308123249301</v>
      </c>
      <c r="G5319" s="1">
        <v>3</v>
      </c>
      <c r="H5319" s="1">
        <v>1</v>
      </c>
      <c r="I5319" s="1">
        <v>2</v>
      </c>
      <c r="J5319" s="1">
        <v>1.5</v>
      </c>
      <c r="K5319" s="1">
        <v>1</v>
      </c>
      <c r="L5319" s="1">
        <v>1</v>
      </c>
      <c r="M5319" s="4">
        <v>1428</v>
      </c>
      <c r="N5319" s="1">
        <v>2928</v>
      </c>
      <c r="O5319" s="1">
        <v>4184</v>
      </c>
      <c r="P5319" s="1">
        <v>1256</v>
      </c>
      <c r="Q5319" s="1" t="s">
        <v>42</v>
      </c>
      <c r="S5319" s="1" t="s">
        <v>42</v>
      </c>
      <c r="T5319" s="1" t="s">
        <v>273</v>
      </c>
      <c r="U5319" s="1">
        <v>64</v>
      </c>
      <c r="V5319" s="5">
        <v>44072</v>
      </c>
      <c r="W5319" s="5">
        <v>42488</v>
      </c>
      <c r="X5319" s="1">
        <v>3180000</v>
      </c>
      <c r="Y5319" s="1">
        <v>3285000</v>
      </c>
      <c r="Z5319" s="5">
        <v>43659</v>
      </c>
      <c r="AA5319" s="1">
        <v>3147356</v>
      </c>
      <c r="AB5319" s="1" t="s">
        <v>3741</v>
      </c>
      <c r="AC5319" s="5">
        <v>43854</v>
      </c>
      <c r="AF5319" s="1">
        <v>10019</v>
      </c>
      <c r="AJ5319" s="1">
        <v>2018</v>
      </c>
      <c r="AK5319" s="1" t="s">
        <v>46</v>
      </c>
      <c r="AL5319" s="1">
        <v>145</v>
      </c>
    </row>
    <row r="5320" spans="1:38" x14ac:dyDescent="0.2">
      <c r="A5320" s="2" t="str">
        <f>HYPERLINK("https://www.compass.com/listing/135-west-52nd-street-unit-27a-manhattan-ny-10019/70920184155694529/","135 W 52nd St, Unit 27A")</f>
        <v>135 W 52nd St, Unit 27A</v>
      </c>
      <c r="B5320" s="2" t="str">
        <f>HYPERLINK("https://www.compass.com/building/135-w-52nd-st-manhattan-ny-10019/281943802548121109/","135 W 52nd St")</f>
        <v>135 W 52nd St</v>
      </c>
      <c r="C5320" s="1" t="s">
        <v>139</v>
      </c>
      <c r="D5320" s="1" t="s">
        <v>41</v>
      </c>
      <c r="E5320" s="3">
        <v>5200000</v>
      </c>
      <c r="F5320" s="1">
        <v>2334.9797934440899</v>
      </c>
      <c r="G5320" s="1">
        <v>7</v>
      </c>
      <c r="H5320" s="1">
        <v>4</v>
      </c>
      <c r="I5320" s="1">
        <v>4</v>
      </c>
      <c r="J5320" s="1">
        <v>3.5</v>
      </c>
      <c r="M5320" s="4">
        <v>2227</v>
      </c>
      <c r="N5320" s="1">
        <v>2245</v>
      </c>
      <c r="O5320" s="1">
        <v>5388</v>
      </c>
      <c r="P5320" s="1">
        <v>3143</v>
      </c>
      <c r="Q5320" s="1" t="s">
        <v>42</v>
      </c>
      <c r="S5320" s="1" t="s">
        <v>42</v>
      </c>
      <c r="T5320" s="1" t="s">
        <v>273</v>
      </c>
      <c r="U5320" s="1">
        <v>107</v>
      </c>
      <c r="V5320" s="5">
        <v>43640</v>
      </c>
      <c r="W5320" s="5">
        <v>41976</v>
      </c>
      <c r="X5320" s="1">
        <v>5200000</v>
      </c>
      <c r="Y5320" s="1">
        <v>5200000</v>
      </c>
      <c r="Z5320" s="5">
        <v>42083</v>
      </c>
      <c r="AA5320" s="1">
        <v>5200000</v>
      </c>
      <c r="AB5320" s="1" t="s">
        <v>3747</v>
      </c>
      <c r="AC5320" s="5">
        <v>42438</v>
      </c>
      <c r="AF5320" s="1">
        <v>10019</v>
      </c>
      <c r="AJ5320" s="1">
        <v>2016</v>
      </c>
      <c r="AK5320" s="1" t="s">
        <v>49</v>
      </c>
      <c r="AL5320" s="1">
        <v>109</v>
      </c>
    </row>
    <row r="5321" spans="1:38" x14ac:dyDescent="0.2">
      <c r="A5321" s="2" t="str">
        <f>HYPERLINK("https://www.compass.com/listing/53-west-53rd-street-unit-23c-manhattan-ny-10019/23954405808216097/","53 W 53rd St, Unit 23C")</f>
        <v>53 W 53rd St, Unit 23C</v>
      </c>
      <c r="B5321" s="2" t="str">
        <f>HYPERLINK("https://www.compass.com/building/53-west-53-manhattan-ny/281946357818781477/","53 West 53")</f>
        <v>53 West 53</v>
      </c>
      <c r="C5321" s="1" t="s">
        <v>139</v>
      </c>
      <c r="D5321" s="1" t="s">
        <v>41</v>
      </c>
      <c r="E5321" s="3">
        <v>2923000</v>
      </c>
      <c r="F5321" s="1">
        <v>1805.4354539839401</v>
      </c>
      <c r="G5321" s="1">
        <v>3</v>
      </c>
      <c r="H5321" s="1">
        <v>1</v>
      </c>
      <c r="I5321" s="1">
        <v>2</v>
      </c>
      <c r="J5321" s="1">
        <v>1.5</v>
      </c>
      <c r="K5321" s="1">
        <v>1</v>
      </c>
      <c r="L5321" s="1">
        <v>1</v>
      </c>
      <c r="M5321" s="4">
        <v>1619</v>
      </c>
      <c r="N5321" s="1">
        <v>3471</v>
      </c>
      <c r="O5321" s="1">
        <v>4916</v>
      </c>
      <c r="P5321" s="1">
        <v>1445</v>
      </c>
      <c r="Q5321" s="1" t="s">
        <v>42</v>
      </c>
      <c r="S5321" s="1" t="s">
        <v>42</v>
      </c>
      <c r="T5321" s="1" t="s">
        <v>273</v>
      </c>
      <c r="U5321" s="1">
        <v>319</v>
      </c>
      <c r="V5321" s="5">
        <v>44301</v>
      </c>
      <c r="W5321" s="5">
        <v>43819</v>
      </c>
      <c r="X5321" s="1">
        <v>3470000</v>
      </c>
      <c r="Y5321" s="1">
        <v>3470000</v>
      </c>
      <c r="Z5321" s="5">
        <v>44232</v>
      </c>
      <c r="AA5321" s="1">
        <v>2923000</v>
      </c>
      <c r="AB5321" s="1" t="s">
        <v>3748</v>
      </c>
      <c r="AC5321" s="5">
        <v>44294</v>
      </c>
      <c r="AF5321" s="1">
        <v>10019</v>
      </c>
      <c r="AJ5321" s="1">
        <v>2018</v>
      </c>
      <c r="AK5321" s="1" t="s">
        <v>46</v>
      </c>
      <c r="AL5321" s="1">
        <v>145</v>
      </c>
    </row>
    <row r="5322" spans="1:38" x14ac:dyDescent="0.2">
      <c r="A5322" s="2" t="str">
        <f>HYPERLINK("https://www.compass.com/listing/70-charlton-street-unit-20d-manhattan-ny-10014/45516225920468929/","70 Charlton St, Unit 20D")</f>
        <v>70 Charlton St, Unit 20D</v>
      </c>
      <c r="B5322" s="2" t="str">
        <f>HYPERLINK("https://www.compass.com/building/70-charlton-st-manhattan-ny-10014/292835639240484293/","70 Charlton St")</f>
        <v>70 Charlton St</v>
      </c>
      <c r="C5322" s="1" t="s">
        <v>298</v>
      </c>
      <c r="D5322" s="1" t="s">
        <v>41</v>
      </c>
      <c r="E5322" s="3">
        <v>1712522</v>
      </c>
      <c r="F5322" s="1">
        <v>2060.79663056558</v>
      </c>
      <c r="G5322" s="1">
        <v>3</v>
      </c>
      <c r="H5322" s="1">
        <v>1</v>
      </c>
      <c r="I5322" s="1">
        <v>1</v>
      </c>
      <c r="J5322" s="1">
        <v>1</v>
      </c>
      <c r="M5322" s="1">
        <v>831</v>
      </c>
      <c r="N5322" s="1">
        <v>2043</v>
      </c>
      <c r="O5322" s="1">
        <v>2043</v>
      </c>
      <c r="Q5322" s="1" t="s">
        <v>505</v>
      </c>
      <c r="S5322" s="1" t="s">
        <v>505</v>
      </c>
      <c r="T5322" s="1" t="s">
        <v>273</v>
      </c>
      <c r="V5322" s="5">
        <v>43638</v>
      </c>
      <c r="W5322" s="5">
        <v>43315</v>
      </c>
      <c r="X5322" s="1">
        <v>1785000</v>
      </c>
      <c r="Y5322" s="1">
        <v>1785000</v>
      </c>
      <c r="Z5322" s="5">
        <v>43315</v>
      </c>
      <c r="AA5322" s="1">
        <v>1712522</v>
      </c>
      <c r="AB5322" s="1" t="s">
        <v>3749</v>
      </c>
      <c r="AC5322" s="5">
        <v>43340</v>
      </c>
      <c r="AF5322" s="1">
        <v>10014</v>
      </c>
      <c r="AJ5322" s="1">
        <v>2016</v>
      </c>
      <c r="AK5322" s="1" t="s">
        <v>136</v>
      </c>
      <c r="AL5322" s="1">
        <v>92</v>
      </c>
    </row>
    <row r="5323" spans="1:38" x14ac:dyDescent="0.2">
      <c r="A5323" s="2" t="str">
        <f>HYPERLINK("https://www.compass.com/listing/135-west-52nd-street-unit-26b-manhattan-ny-10019/674618516329860337/","135 W 52nd St, Unit 26B")</f>
        <v>135 W 52nd St, Unit 26B</v>
      </c>
      <c r="B5323" s="2" t="str">
        <f t="shared" ref="B5323:B5340" si="882">HYPERLINK("https://www.compass.com/building/135-w-52nd-st-manhattan-ny-10019/281943802548121109/","135 W 52nd St")</f>
        <v>135 W 52nd St</v>
      </c>
      <c r="C5323" s="1" t="s">
        <v>219</v>
      </c>
      <c r="D5323" s="1" t="s">
        <v>41</v>
      </c>
      <c r="E5323" s="3">
        <v>1875000</v>
      </c>
      <c r="F5323" s="1">
        <v>849.569551427276</v>
      </c>
      <c r="H5323" s="1">
        <v>3</v>
      </c>
      <c r="J5323" s="1">
        <v>3.5</v>
      </c>
      <c r="K5323" s="1">
        <v>3</v>
      </c>
      <c r="L5323" s="1">
        <v>1</v>
      </c>
      <c r="M5323" s="4">
        <v>2207</v>
      </c>
      <c r="N5323" s="1">
        <v>3186</v>
      </c>
      <c r="O5323" s="1">
        <v>6114</v>
      </c>
      <c r="P5323" s="1">
        <v>2928</v>
      </c>
      <c r="Q5323" s="1" t="s">
        <v>42</v>
      </c>
      <c r="S5323" s="1" t="s">
        <v>42</v>
      </c>
      <c r="T5323" s="1" t="s">
        <v>273</v>
      </c>
      <c r="AA5323" s="1">
        <v>1875000</v>
      </c>
      <c r="AB5323" s="1" t="s">
        <v>3750</v>
      </c>
      <c r="AC5323" s="5">
        <v>44111</v>
      </c>
      <c r="AF5323" s="1">
        <v>10019</v>
      </c>
      <c r="AJ5323" s="1">
        <v>2016</v>
      </c>
      <c r="AK5323" s="1" t="s">
        <v>49</v>
      </c>
      <c r="AL5323" s="1">
        <v>109</v>
      </c>
    </row>
    <row r="5324" spans="1:38" x14ac:dyDescent="0.2">
      <c r="A5324" s="2" t="str">
        <f>HYPERLINK("https://www.compass.com/listing/135-west-52nd-street-unit-18b-manhattan-ny-10019/29383343464299761/","135 W 52nd St, Unit 18B")</f>
        <v>135 W 52nd St, Unit 18B</v>
      </c>
      <c r="B5324" s="2" t="str">
        <f t="shared" si="882"/>
        <v>135 W 52nd St</v>
      </c>
      <c r="C5324" s="1" t="s">
        <v>139</v>
      </c>
      <c r="D5324" s="1" t="s">
        <v>41</v>
      </c>
      <c r="E5324" s="3">
        <v>3531938</v>
      </c>
      <c r="F5324" s="1">
        <v>2150.9975639464001</v>
      </c>
      <c r="G5324" s="1">
        <v>4</v>
      </c>
      <c r="H5324" s="1">
        <v>2</v>
      </c>
      <c r="I5324" s="1">
        <v>2</v>
      </c>
      <c r="J5324" s="1">
        <v>2</v>
      </c>
      <c r="M5324" s="4">
        <v>1642</v>
      </c>
      <c r="N5324" s="1">
        <v>1318</v>
      </c>
      <c r="O5324" s="1">
        <v>3164</v>
      </c>
      <c r="P5324" s="1">
        <v>1846</v>
      </c>
      <c r="Q5324" s="1" t="s">
        <v>42</v>
      </c>
      <c r="S5324" s="1" t="s">
        <v>42</v>
      </c>
      <c r="T5324" s="1" t="s">
        <v>273</v>
      </c>
      <c r="V5324" s="5">
        <v>43640</v>
      </c>
      <c r="W5324" s="5">
        <v>42123</v>
      </c>
      <c r="X5324" s="1">
        <v>3500000</v>
      </c>
      <c r="Y5324" s="1">
        <v>3500000</v>
      </c>
      <c r="Z5324" s="5">
        <v>42123</v>
      </c>
      <c r="AA5324" s="1">
        <v>3531938</v>
      </c>
      <c r="AB5324" s="1" t="s">
        <v>3751</v>
      </c>
      <c r="AC5324" s="5">
        <v>42378</v>
      </c>
      <c r="AF5324" s="1">
        <v>10019</v>
      </c>
      <c r="AJ5324" s="1">
        <v>2016</v>
      </c>
      <c r="AK5324" s="1" t="s">
        <v>49</v>
      </c>
      <c r="AL5324" s="1">
        <v>109</v>
      </c>
    </row>
    <row r="5325" spans="1:38" x14ac:dyDescent="0.2">
      <c r="A5325" s="2" t="str">
        <f>HYPERLINK("https://www.compass.com/listing/135-west-52nd-street-unit-26a-manhattan-ny-10019/29383356483477281/","135 W 52nd St, Unit 26A")</f>
        <v>135 W 52nd St, Unit 26A</v>
      </c>
      <c r="B5325" s="2" t="str">
        <f t="shared" si="882"/>
        <v>135 W 52nd St</v>
      </c>
      <c r="C5325" s="1" t="s">
        <v>139</v>
      </c>
      <c r="D5325" s="1" t="s">
        <v>41</v>
      </c>
      <c r="E5325" s="3">
        <v>5498550</v>
      </c>
      <c r="F5325" s="1">
        <v>2494.8049001814802</v>
      </c>
      <c r="G5325" s="1">
        <v>7</v>
      </c>
      <c r="H5325" s="1">
        <v>4</v>
      </c>
      <c r="I5325" s="1">
        <v>4</v>
      </c>
      <c r="J5325" s="1">
        <v>3.5</v>
      </c>
      <c r="K5325" s="1">
        <v>3</v>
      </c>
      <c r="L5325" s="1">
        <v>1</v>
      </c>
      <c r="M5325" s="4">
        <v>2204</v>
      </c>
      <c r="N5325" s="1">
        <v>2331</v>
      </c>
      <c r="O5325" s="1">
        <v>5595</v>
      </c>
      <c r="P5325" s="1">
        <v>3264</v>
      </c>
      <c r="Q5325" s="1" t="s">
        <v>42</v>
      </c>
      <c r="S5325" s="1" t="s">
        <v>42</v>
      </c>
      <c r="T5325" s="1" t="s">
        <v>273</v>
      </c>
      <c r="V5325" s="5">
        <v>44390</v>
      </c>
      <c r="W5325" s="5">
        <v>42125</v>
      </c>
      <c r="X5325" s="1">
        <v>5400000</v>
      </c>
      <c r="Y5325" s="1">
        <v>5400000</v>
      </c>
      <c r="Z5325" s="5">
        <v>42125</v>
      </c>
      <c r="AA5325" s="1">
        <v>5498550</v>
      </c>
      <c r="AB5325" s="1" t="s">
        <v>3752</v>
      </c>
      <c r="AC5325" s="5">
        <v>42460</v>
      </c>
      <c r="AF5325" s="1">
        <v>10019</v>
      </c>
      <c r="AJ5325" s="1">
        <v>2016</v>
      </c>
      <c r="AK5325" s="1" t="s">
        <v>49</v>
      </c>
      <c r="AL5325" s="1">
        <v>109</v>
      </c>
    </row>
    <row r="5326" spans="1:38" x14ac:dyDescent="0.2">
      <c r="A5326" s="2" t="str">
        <f>HYPERLINK("https://www.compass.com/listing/135-west-52nd-street-unit-29a-manhattan-ny-10019/29383358874230593/","135 W 52nd St, Unit 29A")</f>
        <v>135 W 52nd St, Unit 29A</v>
      </c>
      <c r="B5326" s="2" t="str">
        <f t="shared" si="882"/>
        <v>135 W 52nd St</v>
      </c>
      <c r="C5326" s="1" t="s">
        <v>139</v>
      </c>
      <c r="D5326" s="1" t="s">
        <v>41</v>
      </c>
      <c r="E5326" s="3">
        <v>5449275</v>
      </c>
      <c r="F5326" s="1">
        <v>2446.9128872923202</v>
      </c>
      <c r="G5326" s="1">
        <v>7</v>
      </c>
      <c r="H5326" s="1">
        <v>4</v>
      </c>
      <c r="I5326" s="1">
        <v>3</v>
      </c>
      <c r="J5326" s="1">
        <v>3</v>
      </c>
      <c r="M5326" s="4">
        <v>2227</v>
      </c>
      <c r="N5326" s="1">
        <v>2332</v>
      </c>
      <c r="O5326" s="1">
        <v>5596</v>
      </c>
      <c r="P5326" s="1">
        <v>3264</v>
      </c>
      <c r="Q5326" s="1" t="s">
        <v>42</v>
      </c>
      <c r="S5326" s="1" t="s">
        <v>42</v>
      </c>
      <c r="T5326" s="1" t="s">
        <v>273</v>
      </c>
      <c r="V5326" s="5">
        <v>43665</v>
      </c>
      <c r="W5326" s="5">
        <v>42125</v>
      </c>
      <c r="X5326" s="1">
        <v>5400000</v>
      </c>
      <c r="Y5326" s="1">
        <v>5400000</v>
      </c>
      <c r="Z5326" s="5">
        <v>42125</v>
      </c>
      <c r="AA5326" s="1">
        <v>5449275</v>
      </c>
      <c r="AB5326" s="1" t="s">
        <v>3753</v>
      </c>
      <c r="AC5326" s="5">
        <v>42508</v>
      </c>
      <c r="AF5326" s="1">
        <v>10019</v>
      </c>
      <c r="AI5326" s="1" t="s">
        <v>160</v>
      </c>
      <c r="AJ5326" s="1">
        <v>2016</v>
      </c>
      <c r="AK5326" s="1" t="s">
        <v>46</v>
      </c>
      <c r="AL5326" s="1">
        <v>109</v>
      </c>
    </row>
    <row r="5327" spans="1:38" x14ac:dyDescent="0.2">
      <c r="A5327" s="2" t="str">
        <f>HYPERLINK("https://www.compass.com/listing/135-west-52nd-street-unit-32a-manhattan-ny-10019/206530345074548865/","135 W 52nd St, Unit 32A")</f>
        <v>135 W 52nd St, Unit 32A</v>
      </c>
      <c r="B5327" s="2" t="str">
        <f t="shared" si="882"/>
        <v>135 W 52nd St</v>
      </c>
      <c r="C5327" s="1" t="s">
        <v>139</v>
      </c>
      <c r="D5327" s="1" t="s">
        <v>41</v>
      </c>
      <c r="E5327" s="3">
        <v>3600000</v>
      </c>
      <c r="F5327" s="1">
        <v>2337.6623376623302</v>
      </c>
      <c r="G5327" s="1">
        <v>4</v>
      </c>
      <c r="H5327" s="1">
        <v>2</v>
      </c>
      <c r="I5327" s="1">
        <v>3</v>
      </c>
      <c r="J5327" s="1">
        <v>2.5</v>
      </c>
      <c r="M5327" s="4">
        <v>1540</v>
      </c>
      <c r="N5327" s="1">
        <v>1554</v>
      </c>
      <c r="O5327" s="1">
        <v>3202</v>
      </c>
      <c r="P5327" s="1">
        <v>1648</v>
      </c>
      <c r="Q5327" s="1" t="s">
        <v>42</v>
      </c>
      <c r="S5327" s="1" t="s">
        <v>42</v>
      </c>
      <c r="T5327" s="1" t="s">
        <v>273</v>
      </c>
      <c r="U5327" s="1">
        <v>44</v>
      </c>
      <c r="V5327" s="5">
        <v>43665</v>
      </c>
      <c r="W5327" s="5">
        <v>42448</v>
      </c>
      <c r="X5327" s="1">
        <v>3600000</v>
      </c>
      <c r="Y5327" s="1">
        <v>3600000</v>
      </c>
      <c r="Z5327" s="5">
        <v>42492</v>
      </c>
      <c r="AA5327" s="1">
        <v>3600000</v>
      </c>
      <c r="AB5327" s="1" t="s">
        <v>3754</v>
      </c>
      <c r="AC5327" s="5">
        <v>42544</v>
      </c>
      <c r="AF5327" s="1">
        <v>10019</v>
      </c>
      <c r="AJ5327" s="1">
        <v>2016</v>
      </c>
      <c r="AK5327" s="1" t="s">
        <v>49</v>
      </c>
      <c r="AL5327" s="1">
        <v>109</v>
      </c>
    </row>
    <row r="5328" spans="1:38" x14ac:dyDescent="0.2">
      <c r="A5328" s="2" t="str">
        <f>HYPERLINK("https://www.compass.com/listing/135-west-52nd-street-unit-17c-manhattan-ny-10019/29383342642273841/","135 W 52nd St, Unit 17C")</f>
        <v>135 W 52nd St, Unit 17C</v>
      </c>
      <c r="B5328" s="2" t="str">
        <f t="shared" si="882"/>
        <v>135 W 52nd St</v>
      </c>
      <c r="C5328" s="1" t="s">
        <v>139</v>
      </c>
      <c r="D5328" s="1" t="s">
        <v>41</v>
      </c>
      <c r="E5328" s="3">
        <v>4137413</v>
      </c>
      <c r="F5328" s="1">
        <v>2312.6959195080999</v>
      </c>
      <c r="G5328" s="1">
        <v>4</v>
      </c>
      <c r="H5328" s="1">
        <v>2</v>
      </c>
      <c r="I5328" s="1">
        <v>3</v>
      </c>
      <c r="J5328" s="1">
        <v>3</v>
      </c>
      <c r="M5328" s="4">
        <v>1789</v>
      </c>
      <c r="N5328" s="1">
        <v>1770</v>
      </c>
      <c r="O5328" s="1">
        <v>4247</v>
      </c>
      <c r="P5328" s="1">
        <v>2477</v>
      </c>
      <c r="Q5328" s="1" t="s">
        <v>42</v>
      </c>
      <c r="S5328" s="1" t="s">
        <v>42</v>
      </c>
      <c r="T5328" s="1" t="s">
        <v>273</v>
      </c>
      <c r="V5328" s="5">
        <v>43640</v>
      </c>
      <c r="W5328" s="5">
        <v>42117</v>
      </c>
      <c r="X5328" s="1">
        <v>4100000</v>
      </c>
      <c r="Y5328" s="1">
        <v>4100000</v>
      </c>
      <c r="Z5328" s="5">
        <v>42117</v>
      </c>
      <c r="AA5328" s="1">
        <v>4137413</v>
      </c>
      <c r="AB5328" s="1" t="s">
        <v>3755</v>
      </c>
      <c r="AC5328" s="5">
        <v>42482</v>
      </c>
      <c r="AF5328" s="1">
        <v>10019</v>
      </c>
      <c r="AI5328" s="1" t="s">
        <v>63</v>
      </c>
      <c r="AJ5328" s="1">
        <v>2016</v>
      </c>
      <c r="AK5328" s="1" t="s">
        <v>49</v>
      </c>
      <c r="AL5328" s="1">
        <v>109</v>
      </c>
    </row>
    <row r="5329" spans="1:38" x14ac:dyDescent="0.2">
      <c r="A5329" s="2" t="str">
        <f>HYPERLINK("https://www.compass.com/listing/135-west-52nd-street-unit-19b-manhattan-ny-10019/29383344806477057/","135 W 52nd St, Unit 19B")</f>
        <v>135 W 52nd St, Unit 19B</v>
      </c>
      <c r="B5329" s="2" t="str">
        <f t="shared" si="882"/>
        <v>135 W 52nd St</v>
      </c>
      <c r="C5329" s="1" t="s">
        <v>139</v>
      </c>
      <c r="D5329" s="1" t="s">
        <v>41</v>
      </c>
      <c r="E5329" s="3">
        <v>3614788</v>
      </c>
      <c r="F5329" s="1">
        <v>2201.4543239951199</v>
      </c>
      <c r="G5329" s="1">
        <v>4</v>
      </c>
      <c r="H5329" s="1">
        <v>2</v>
      </c>
      <c r="I5329" s="1">
        <v>3</v>
      </c>
      <c r="J5329" s="1">
        <v>2.5</v>
      </c>
      <c r="M5329" s="4">
        <v>1642</v>
      </c>
      <c r="N5329" s="1">
        <v>1533</v>
      </c>
      <c r="O5329" s="1">
        <v>3678</v>
      </c>
      <c r="P5329" s="1">
        <v>2145</v>
      </c>
      <c r="Q5329" s="1" t="s">
        <v>42</v>
      </c>
      <c r="S5329" s="1" t="s">
        <v>42</v>
      </c>
      <c r="T5329" s="1" t="s">
        <v>273</v>
      </c>
      <c r="U5329" s="1">
        <v>102</v>
      </c>
      <c r="V5329" s="5">
        <v>43669</v>
      </c>
      <c r="W5329" s="5">
        <v>42209</v>
      </c>
      <c r="X5329" s="1">
        <v>3550000</v>
      </c>
      <c r="Y5329" s="1">
        <v>3550000</v>
      </c>
      <c r="Z5329" s="5">
        <v>42334</v>
      </c>
      <c r="AA5329" s="1">
        <v>3614788</v>
      </c>
      <c r="AB5329" s="1" t="s">
        <v>3756</v>
      </c>
      <c r="AC5329" s="5">
        <v>42382</v>
      </c>
      <c r="AF5329" s="1">
        <v>10019</v>
      </c>
      <c r="AJ5329" s="1">
        <v>2016</v>
      </c>
      <c r="AK5329" s="1" t="s">
        <v>46</v>
      </c>
      <c r="AL5329" s="1">
        <v>109</v>
      </c>
    </row>
    <row r="5330" spans="1:38" x14ac:dyDescent="0.2">
      <c r="A5330" s="2" t="str">
        <f>HYPERLINK("https://www.compass.com/listing/135-west-52nd-street-unit-19c-manhattan-ny-10019/29383345343405681/","135 W 52nd St, Unit 19C")</f>
        <v>135 W 52nd St, Unit 19C</v>
      </c>
      <c r="B5330" s="2" t="str">
        <f t="shared" si="882"/>
        <v>135 W 52nd St</v>
      </c>
      <c r="C5330" s="1" t="s">
        <v>139</v>
      </c>
      <c r="D5330" s="1" t="s">
        <v>41</v>
      </c>
      <c r="E5330" s="3">
        <v>4061728</v>
      </c>
      <c r="F5330" s="1">
        <v>2244.0486187845299</v>
      </c>
      <c r="G5330" s="1">
        <v>4</v>
      </c>
      <c r="H5330" s="1">
        <v>2</v>
      </c>
      <c r="I5330" s="1">
        <v>3</v>
      </c>
      <c r="J5330" s="1">
        <v>3</v>
      </c>
      <c r="M5330" s="4">
        <v>1810</v>
      </c>
      <c r="N5330" s="1">
        <v>1738</v>
      </c>
      <c r="O5330" s="1">
        <v>4171</v>
      </c>
      <c r="P5330" s="1">
        <v>2433</v>
      </c>
      <c r="Q5330" s="1" t="s">
        <v>42</v>
      </c>
      <c r="S5330" s="1" t="s">
        <v>42</v>
      </c>
      <c r="T5330" s="1" t="s">
        <v>273</v>
      </c>
      <c r="U5330" s="1">
        <v>34</v>
      </c>
      <c r="V5330" s="5">
        <v>43630</v>
      </c>
      <c r="W5330" s="5">
        <v>42270</v>
      </c>
      <c r="X5330" s="1">
        <v>4025000</v>
      </c>
      <c r="Y5330" s="1">
        <v>4025000</v>
      </c>
      <c r="Z5330" s="5">
        <v>42304</v>
      </c>
      <c r="AA5330" s="1">
        <v>4061728</v>
      </c>
      <c r="AB5330" s="1" t="s">
        <v>3757</v>
      </c>
      <c r="AC5330" s="5">
        <v>42466</v>
      </c>
      <c r="AF5330" s="1">
        <v>10019</v>
      </c>
      <c r="AJ5330" s="1">
        <v>2016</v>
      </c>
      <c r="AK5330" s="1" t="s">
        <v>46</v>
      </c>
      <c r="AL5330" s="1">
        <v>109</v>
      </c>
    </row>
    <row r="5331" spans="1:38" x14ac:dyDescent="0.2">
      <c r="A5331" s="2" t="str">
        <f>HYPERLINK("https://www.compass.com/listing/135-west-52nd-street-unit-20a-manhattan-ny-10019/29383345880275713/","135 W 52nd St, Unit 20A")</f>
        <v>135 W 52nd St, Unit 20A</v>
      </c>
      <c r="B5331" s="2" t="str">
        <f t="shared" si="882"/>
        <v>135 W 52nd St</v>
      </c>
      <c r="C5331" s="1" t="s">
        <v>139</v>
      </c>
      <c r="D5331" s="1" t="s">
        <v>41</v>
      </c>
      <c r="E5331" s="3">
        <v>4112184</v>
      </c>
      <c r="F5331" s="1">
        <v>2278.2182825484701</v>
      </c>
      <c r="G5331" s="1">
        <v>4</v>
      </c>
      <c r="H5331" s="1">
        <v>2</v>
      </c>
      <c r="I5331" s="1">
        <v>3</v>
      </c>
      <c r="J5331" s="1">
        <v>3</v>
      </c>
      <c r="M5331" s="4">
        <v>1805</v>
      </c>
      <c r="N5331" s="1">
        <v>1759</v>
      </c>
      <c r="O5331" s="1">
        <v>4222</v>
      </c>
      <c r="P5331" s="1">
        <v>2463</v>
      </c>
      <c r="Q5331" s="1" t="s">
        <v>42</v>
      </c>
      <c r="S5331" s="1" t="s">
        <v>42</v>
      </c>
      <c r="T5331" s="1" t="s">
        <v>273</v>
      </c>
      <c r="U5331" s="1">
        <v>147</v>
      </c>
      <c r="V5331" s="5">
        <v>43640</v>
      </c>
      <c r="W5331" s="5">
        <v>41976</v>
      </c>
      <c r="X5331" s="1">
        <v>4075000</v>
      </c>
      <c r="Y5331" s="1">
        <v>4075000</v>
      </c>
      <c r="Z5331" s="5">
        <v>42123</v>
      </c>
      <c r="AA5331" s="1">
        <v>4112184</v>
      </c>
      <c r="AB5331" s="1" t="s">
        <v>3758</v>
      </c>
      <c r="AC5331" s="5">
        <v>42430</v>
      </c>
      <c r="AF5331" s="1">
        <v>10019</v>
      </c>
      <c r="AJ5331" s="1">
        <v>2016</v>
      </c>
      <c r="AK5331" s="1" t="s">
        <v>49</v>
      </c>
      <c r="AL5331" s="1">
        <v>109</v>
      </c>
    </row>
    <row r="5332" spans="1:38" x14ac:dyDescent="0.2">
      <c r="A5332" s="2" t="str">
        <f>HYPERLINK("https://www.compass.com/listing/135-west-52nd-street-unit-21a-manhattan-ny-10019/29383348002593553/","135 W 52nd St, Unit 21A")</f>
        <v>135 W 52nd St, Unit 21A</v>
      </c>
      <c r="B5332" s="2" t="str">
        <f t="shared" si="882"/>
        <v>135 W 52nd St</v>
      </c>
      <c r="C5332" s="1" t="s">
        <v>139</v>
      </c>
      <c r="D5332" s="1" t="s">
        <v>41</v>
      </c>
      <c r="E5332" s="3">
        <v>4125000</v>
      </c>
      <c r="F5332" s="1">
        <v>2285.3185595567802</v>
      </c>
      <c r="G5332" s="1">
        <v>4</v>
      </c>
      <c r="H5332" s="1">
        <v>2</v>
      </c>
      <c r="I5332" s="1">
        <v>3</v>
      </c>
      <c r="J5332" s="1">
        <v>3</v>
      </c>
      <c r="M5332" s="4">
        <v>1805</v>
      </c>
      <c r="N5332" s="1">
        <v>1781</v>
      </c>
      <c r="O5332" s="1">
        <v>4274</v>
      </c>
      <c r="P5332" s="1">
        <v>2493</v>
      </c>
      <c r="Q5332" s="1" t="s">
        <v>42</v>
      </c>
      <c r="S5332" s="1" t="s">
        <v>42</v>
      </c>
      <c r="T5332" s="1" t="s">
        <v>273</v>
      </c>
      <c r="V5332" s="5">
        <v>43640</v>
      </c>
      <c r="W5332" s="5">
        <v>42073</v>
      </c>
      <c r="X5332" s="1">
        <v>4125000</v>
      </c>
      <c r="Y5332" s="1">
        <v>4125000</v>
      </c>
      <c r="Z5332" s="5">
        <v>42073</v>
      </c>
      <c r="AA5332" s="1">
        <v>4125000</v>
      </c>
      <c r="AB5332" s="1" t="s">
        <v>3759</v>
      </c>
      <c r="AC5332" s="5">
        <v>42424</v>
      </c>
      <c r="AF5332" s="1">
        <v>10019</v>
      </c>
      <c r="AJ5332" s="1">
        <v>2016</v>
      </c>
      <c r="AK5332" s="1" t="s">
        <v>49</v>
      </c>
      <c r="AL5332" s="1">
        <v>109</v>
      </c>
    </row>
    <row r="5333" spans="1:38" x14ac:dyDescent="0.2">
      <c r="A5333" s="2" t="str">
        <f>HYPERLINK("https://www.compass.com/listing/135-west-52nd-street-unit-31c-manhattan-ny-10019/29383361801853937/","135 W 52nd St, Unit 31C")</f>
        <v>135 W 52nd St, Unit 31C</v>
      </c>
      <c r="B5333" s="2" t="str">
        <f t="shared" si="882"/>
        <v>135 W 52nd St</v>
      </c>
      <c r="C5333" s="1" t="s">
        <v>139</v>
      </c>
      <c r="D5333" s="1" t="s">
        <v>41</v>
      </c>
      <c r="E5333" s="3">
        <v>3589331</v>
      </c>
      <c r="F5333" s="1">
        <v>2321.6888745148699</v>
      </c>
      <c r="G5333" s="1">
        <v>4</v>
      </c>
      <c r="H5333" s="1">
        <v>2</v>
      </c>
      <c r="I5333" s="1">
        <v>3</v>
      </c>
      <c r="J5333" s="1">
        <v>2.5</v>
      </c>
      <c r="M5333" s="4">
        <v>1546</v>
      </c>
      <c r="N5333" s="1">
        <v>1522</v>
      </c>
      <c r="O5333" s="1">
        <v>3652</v>
      </c>
      <c r="P5333" s="1">
        <v>2130</v>
      </c>
      <c r="Q5333" s="1" t="s">
        <v>42</v>
      </c>
      <c r="S5333" s="1" t="s">
        <v>42</v>
      </c>
      <c r="T5333" s="1" t="s">
        <v>273</v>
      </c>
      <c r="V5333" s="5">
        <v>43640</v>
      </c>
      <c r="W5333" s="5">
        <v>41976</v>
      </c>
      <c r="X5333" s="1">
        <v>3525000</v>
      </c>
      <c r="Y5333" s="1">
        <v>3525000</v>
      </c>
      <c r="Z5333" s="5">
        <v>41976</v>
      </c>
      <c r="AA5333" s="1">
        <v>3589331</v>
      </c>
      <c r="AB5333" s="1" t="s">
        <v>3760</v>
      </c>
      <c r="AC5333" s="5">
        <v>42454</v>
      </c>
      <c r="AF5333" s="1">
        <v>10019</v>
      </c>
      <c r="AJ5333" s="1">
        <v>2016</v>
      </c>
      <c r="AK5333" s="1" t="s">
        <v>49</v>
      </c>
      <c r="AL5333" s="1">
        <v>109</v>
      </c>
    </row>
    <row r="5334" spans="1:38" x14ac:dyDescent="0.2">
      <c r="A5334" s="2" t="str">
        <f>HYPERLINK("https://www.compass.com/listing/135-west-52nd-street-unit-32c-manhattan-ny-10019/29383363093699585/","135 W 52nd St, Unit 32C")</f>
        <v>135 W 52nd St, Unit 32C</v>
      </c>
      <c r="B5334" s="2" t="str">
        <f t="shared" si="882"/>
        <v>135 W 52nd St</v>
      </c>
      <c r="C5334" s="1" t="s">
        <v>139</v>
      </c>
      <c r="D5334" s="1" t="s">
        <v>41</v>
      </c>
      <c r="E5334" s="3">
        <v>3665700</v>
      </c>
      <c r="F5334" s="1">
        <v>2371.0866752910702</v>
      </c>
      <c r="G5334" s="1">
        <v>4</v>
      </c>
      <c r="H5334" s="1">
        <v>2</v>
      </c>
      <c r="I5334" s="1">
        <v>3</v>
      </c>
      <c r="J5334" s="1">
        <v>2.5</v>
      </c>
      <c r="M5334" s="4">
        <v>1546</v>
      </c>
      <c r="N5334" s="1">
        <v>1554</v>
      </c>
      <c r="O5334" s="1">
        <v>3730</v>
      </c>
      <c r="P5334" s="1">
        <v>2176</v>
      </c>
      <c r="Q5334" s="1" t="s">
        <v>42</v>
      </c>
      <c r="S5334" s="1" t="s">
        <v>42</v>
      </c>
      <c r="T5334" s="1" t="s">
        <v>273</v>
      </c>
      <c r="V5334" s="5">
        <v>43640</v>
      </c>
      <c r="W5334" s="5">
        <v>41976</v>
      </c>
      <c r="X5334" s="1">
        <v>3600000</v>
      </c>
      <c r="Y5334" s="1">
        <v>3600000</v>
      </c>
      <c r="Z5334" s="5">
        <v>41976</v>
      </c>
      <c r="AA5334" s="1">
        <v>3665700</v>
      </c>
      <c r="AB5334" s="1" t="s">
        <v>3761</v>
      </c>
      <c r="AC5334" s="5">
        <v>42453</v>
      </c>
      <c r="AF5334" s="1">
        <v>10019</v>
      </c>
      <c r="AJ5334" s="1">
        <v>2016</v>
      </c>
      <c r="AK5334" s="1" t="s">
        <v>49</v>
      </c>
      <c r="AL5334" s="1">
        <v>109</v>
      </c>
    </row>
    <row r="5335" spans="1:38" x14ac:dyDescent="0.2">
      <c r="A5335" s="2" t="str">
        <f>HYPERLINK("https://www.compass.com/listing/135-west-52nd-street-unit-33a-manhattan-ny-10019/29383363504684641/","135 W 52nd St, Unit 33A")</f>
        <v>135 W 52nd St, Unit 33A</v>
      </c>
      <c r="B5335" s="2" t="str">
        <f t="shared" si="882"/>
        <v>135 W 52nd St</v>
      </c>
      <c r="C5335" s="1" t="s">
        <v>139</v>
      </c>
      <c r="D5335" s="1" t="s">
        <v>41</v>
      </c>
      <c r="E5335" s="3">
        <v>3784219</v>
      </c>
      <c r="F5335" s="1">
        <v>2457.2850649350598</v>
      </c>
      <c r="G5335" s="1">
        <v>4</v>
      </c>
      <c r="H5335" s="1">
        <v>2</v>
      </c>
      <c r="I5335" s="1">
        <v>3</v>
      </c>
      <c r="J5335" s="1">
        <v>2.5</v>
      </c>
      <c r="M5335" s="4">
        <v>1540</v>
      </c>
      <c r="N5335" s="1">
        <v>1619</v>
      </c>
      <c r="O5335" s="1">
        <v>3885</v>
      </c>
      <c r="P5335" s="1">
        <v>2266</v>
      </c>
      <c r="Q5335" s="1" t="s">
        <v>42</v>
      </c>
      <c r="S5335" s="1" t="s">
        <v>42</v>
      </c>
      <c r="T5335" s="1" t="s">
        <v>273</v>
      </c>
      <c r="V5335" s="5">
        <v>43665</v>
      </c>
      <c r="W5335" s="5">
        <v>42103</v>
      </c>
      <c r="X5335" s="1">
        <v>3750000</v>
      </c>
      <c r="Y5335" s="1">
        <v>3750000</v>
      </c>
      <c r="Z5335" s="5">
        <v>42103</v>
      </c>
      <c r="AA5335" s="1">
        <v>3784219</v>
      </c>
      <c r="AB5335" s="1" t="s">
        <v>3762</v>
      </c>
      <c r="AC5335" s="5">
        <v>42468</v>
      </c>
      <c r="AF5335" s="1">
        <v>10019</v>
      </c>
      <c r="AJ5335" s="1">
        <v>2016</v>
      </c>
      <c r="AK5335" s="1" t="s">
        <v>46</v>
      </c>
      <c r="AL5335" s="1">
        <v>109</v>
      </c>
    </row>
    <row r="5336" spans="1:38" x14ac:dyDescent="0.2">
      <c r="A5336" s="2" t="str">
        <f>HYPERLINK("https://www.compass.com/listing/135-west-52nd-street-unit-32a-manhattan-ny-10019/803349061557987057/","135 W 52nd St, Unit 32A")</f>
        <v>135 W 52nd St, Unit 32A</v>
      </c>
      <c r="B5336" s="2" t="str">
        <f t="shared" si="882"/>
        <v>135 W 52nd St</v>
      </c>
      <c r="C5336" s="1" t="s">
        <v>219</v>
      </c>
      <c r="D5336" s="1" t="s">
        <v>41</v>
      </c>
      <c r="E5336" s="3">
        <v>3600000</v>
      </c>
      <c r="F5336" s="1">
        <v>2337.6623376623302</v>
      </c>
      <c r="G5336" s="1">
        <v>4</v>
      </c>
      <c r="H5336" s="1">
        <v>2</v>
      </c>
      <c r="I5336" s="1">
        <v>3</v>
      </c>
      <c r="J5336" s="1">
        <v>2.5</v>
      </c>
      <c r="M5336" s="4">
        <v>1540</v>
      </c>
      <c r="N5336" s="1">
        <v>1554</v>
      </c>
      <c r="O5336" s="1">
        <v>3729</v>
      </c>
      <c r="P5336" s="1">
        <v>2175</v>
      </c>
      <c r="Q5336" s="1" t="s">
        <v>42</v>
      </c>
      <c r="S5336" s="1" t="s">
        <v>42</v>
      </c>
      <c r="T5336" s="1" t="s">
        <v>273</v>
      </c>
      <c r="U5336" s="1">
        <v>63</v>
      </c>
      <c r="V5336" s="5">
        <v>42448</v>
      </c>
      <c r="W5336" s="5">
        <v>41822</v>
      </c>
      <c r="X5336" s="1">
        <v>3600000</v>
      </c>
      <c r="Y5336" s="1">
        <v>3600000</v>
      </c>
      <c r="Z5336" s="5">
        <v>41886</v>
      </c>
      <c r="AA5336" s="1">
        <v>3600000</v>
      </c>
      <c r="AB5336" s="1" t="s">
        <v>3754</v>
      </c>
      <c r="AC5336" s="5">
        <v>42544</v>
      </c>
      <c r="AF5336" s="1">
        <v>10019</v>
      </c>
      <c r="AJ5336" s="1">
        <v>2016</v>
      </c>
      <c r="AK5336" s="1" t="s">
        <v>49</v>
      </c>
      <c r="AL5336" s="1">
        <v>109</v>
      </c>
    </row>
    <row r="5337" spans="1:38" x14ac:dyDescent="0.2">
      <c r="A5337" s="2" t="str">
        <f>HYPERLINK("https://www.compass.com/listing/135-west-52nd-street-unit-18a-manhattan-ny-10019/29383343053314785/","135 W 52nd St, Unit 18A")</f>
        <v>135 W 52nd St, Unit 18A</v>
      </c>
      <c r="B5337" s="2" t="str">
        <f t="shared" si="882"/>
        <v>135 W 52nd St</v>
      </c>
      <c r="C5337" s="1" t="s">
        <v>139</v>
      </c>
      <c r="D5337" s="1" t="s">
        <v>41</v>
      </c>
      <c r="E5337" s="3">
        <v>4047543</v>
      </c>
      <c r="F5337" s="1">
        <v>2242.4060941828202</v>
      </c>
      <c r="G5337" s="1">
        <v>4</v>
      </c>
      <c r="H5337" s="1">
        <v>2</v>
      </c>
      <c r="I5337" s="1">
        <v>3</v>
      </c>
      <c r="J5337" s="1">
        <v>3</v>
      </c>
      <c r="K5337" s="1">
        <v>3</v>
      </c>
      <c r="M5337" s="4">
        <v>1805</v>
      </c>
      <c r="N5337" s="1">
        <v>1716</v>
      </c>
      <c r="O5337" s="1">
        <v>4118</v>
      </c>
      <c r="P5337" s="1">
        <v>2402</v>
      </c>
      <c r="Q5337" s="1" t="s">
        <v>42</v>
      </c>
      <c r="S5337" s="1" t="s">
        <v>42</v>
      </c>
      <c r="T5337" s="1" t="s">
        <v>273</v>
      </c>
      <c r="V5337" s="5">
        <v>44225</v>
      </c>
      <c r="W5337" s="5">
        <v>41976</v>
      </c>
      <c r="X5337" s="1">
        <v>3975000</v>
      </c>
      <c r="Y5337" s="1">
        <v>3975000</v>
      </c>
      <c r="Z5337" s="5">
        <v>41976</v>
      </c>
      <c r="AA5337" s="1">
        <v>4047543</v>
      </c>
      <c r="AB5337" s="1" t="s">
        <v>3763</v>
      </c>
      <c r="AC5337" s="5">
        <v>42430</v>
      </c>
      <c r="AF5337" s="1">
        <v>10019</v>
      </c>
      <c r="AJ5337" s="1">
        <v>2016</v>
      </c>
      <c r="AK5337" s="1" t="s">
        <v>49</v>
      </c>
      <c r="AL5337" s="1">
        <v>109</v>
      </c>
    </row>
    <row r="5338" spans="1:38" x14ac:dyDescent="0.2">
      <c r="A5338" s="2" t="str">
        <f>HYPERLINK("https://www.compass.com/listing/135-west-52nd-street-unit-21c-manhattan-ny-10019/29383348791123601/","135 W 52nd St, Unit 21C")</f>
        <v>135 W 52nd St, Unit 21C</v>
      </c>
      <c r="B5338" s="2" t="str">
        <f t="shared" si="882"/>
        <v>135 W 52nd St</v>
      </c>
      <c r="C5338" s="1" t="s">
        <v>139</v>
      </c>
      <c r="D5338" s="1" t="s">
        <v>41</v>
      </c>
      <c r="E5338" s="3">
        <v>4125000</v>
      </c>
      <c r="F5338" s="1">
        <v>2279.0055248618701</v>
      </c>
      <c r="G5338" s="1">
        <v>4</v>
      </c>
      <c r="H5338" s="1">
        <v>2</v>
      </c>
      <c r="I5338" s="1">
        <v>3</v>
      </c>
      <c r="J5338" s="1">
        <v>3</v>
      </c>
      <c r="M5338" s="4">
        <v>1810</v>
      </c>
      <c r="N5338" s="1">
        <v>1554</v>
      </c>
      <c r="O5338" s="1">
        <v>3729</v>
      </c>
      <c r="P5338" s="1">
        <v>2175</v>
      </c>
      <c r="Q5338" s="1" t="s">
        <v>42</v>
      </c>
      <c r="S5338" s="1" t="s">
        <v>42</v>
      </c>
      <c r="T5338" s="1" t="s">
        <v>273</v>
      </c>
      <c r="V5338" s="5">
        <v>43631</v>
      </c>
      <c r="W5338" s="5">
        <v>42292</v>
      </c>
      <c r="X5338" s="1">
        <v>4125000</v>
      </c>
      <c r="Y5338" s="1">
        <v>4125000</v>
      </c>
      <c r="Z5338" s="5">
        <v>42292</v>
      </c>
      <c r="AA5338" s="1">
        <v>4125000</v>
      </c>
      <c r="AB5338" s="1" t="s">
        <v>3764</v>
      </c>
      <c r="AC5338" s="5">
        <v>42360</v>
      </c>
      <c r="AF5338" s="1">
        <v>10019</v>
      </c>
      <c r="AJ5338" s="1">
        <v>2016</v>
      </c>
      <c r="AK5338" s="1" t="s">
        <v>49</v>
      </c>
      <c r="AL5338" s="1">
        <v>109</v>
      </c>
    </row>
    <row r="5339" spans="1:38" x14ac:dyDescent="0.2">
      <c r="A5339" s="2" t="str">
        <f>HYPERLINK("https://www.compass.com/listing/135-west-52nd-street-unit-30a-manhattan-ny-10019/29383359880805905/","135 W 52nd St, Unit 30A")</f>
        <v>135 W 52nd St, Unit 30A</v>
      </c>
      <c r="B5339" s="2" t="str">
        <f t="shared" si="882"/>
        <v>135 W 52nd St</v>
      </c>
      <c r="C5339" s="1" t="s">
        <v>139</v>
      </c>
      <c r="D5339" s="1" t="s">
        <v>41</v>
      </c>
      <c r="E5339" s="3">
        <v>3582394</v>
      </c>
      <c r="F5339" s="1">
        <v>2326.2298701298701</v>
      </c>
      <c r="G5339" s="1">
        <v>4</v>
      </c>
      <c r="H5339" s="1">
        <v>2</v>
      </c>
      <c r="I5339" s="1">
        <v>3</v>
      </c>
      <c r="J5339" s="1">
        <v>2.5</v>
      </c>
      <c r="M5339" s="4">
        <v>1540</v>
      </c>
      <c r="N5339" s="1">
        <v>1532</v>
      </c>
      <c r="O5339" s="1">
        <v>3677</v>
      </c>
      <c r="P5339" s="1">
        <v>2145</v>
      </c>
      <c r="Q5339" s="1" t="s">
        <v>42</v>
      </c>
      <c r="S5339" s="1" t="s">
        <v>42</v>
      </c>
      <c r="T5339" s="1" t="s">
        <v>273</v>
      </c>
      <c r="V5339" s="5">
        <v>43678</v>
      </c>
      <c r="W5339" s="5">
        <v>42089</v>
      </c>
      <c r="X5339" s="1">
        <v>3550000</v>
      </c>
      <c r="Y5339" s="1">
        <v>3550000</v>
      </c>
      <c r="Z5339" s="5">
        <v>42089</v>
      </c>
      <c r="AA5339" s="1">
        <v>3582394</v>
      </c>
      <c r="AB5339" s="1" t="s">
        <v>3765</v>
      </c>
      <c r="AC5339" s="5">
        <v>42467</v>
      </c>
      <c r="AF5339" s="1">
        <v>10019</v>
      </c>
      <c r="AJ5339" s="1">
        <v>2016</v>
      </c>
      <c r="AK5339" s="1" t="s">
        <v>49</v>
      </c>
      <c r="AL5339" s="1">
        <v>109</v>
      </c>
    </row>
    <row r="5340" spans="1:38" x14ac:dyDescent="0.2">
      <c r="A5340" s="2" t="str">
        <f>HYPERLINK("https://www.compass.com/listing/135-west-52nd-street-unit-30c-manhattan-ny-10019/29383360635837409/","135 W 52nd St, Unit 30C")</f>
        <v>135 W 52nd St, Unit 30C</v>
      </c>
      <c r="B5340" s="2" t="str">
        <f t="shared" si="882"/>
        <v>135 W 52nd St</v>
      </c>
      <c r="C5340" s="1" t="s">
        <v>139</v>
      </c>
      <c r="D5340" s="1" t="s">
        <v>41</v>
      </c>
      <c r="E5340" s="3">
        <v>3563875</v>
      </c>
      <c r="F5340" s="1">
        <v>2305.2231565329798</v>
      </c>
      <c r="G5340" s="1">
        <v>4</v>
      </c>
      <c r="H5340" s="1">
        <v>2</v>
      </c>
      <c r="I5340" s="1">
        <v>3</v>
      </c>
      <c r="J5340" s="1">
        <v>3</v>
      </c>
      <c r="K5340" s="1">
        <v>3</v>
      </c>
      <c r="M5340" s="4">
        <v>1546</v>
      </c>
      <c r="N5340" s="1">
        <v>1511</v>
      </c>
      <c r="O5340" s="1">
        <v>3626</v>
      </c>
      <c r="P5340" s="1">
        <v>2115</v>
      </c>
      <c r="Q5340" s="1" t="s">
        <v>42</v>
      </c>
      <c r="S5340" s="1" t="s">
        <v>42</v>
      </c>
      <c r="T5340" s="1" t="s">
        <v>273</v>
      </c>
      <c r="V5340" s="5">
        <v>44344</v>
      </c>
      <c r="W5340" s="5">
        <v>41976</v>
      </c>
      <c r="X5340" s="1">
        <v>3500000</v>
      </c>
      <c r="Y5340" s="1">
        <v>3500000</v>
      </c>
      <c r="Z5340" s="5">
        <v>41976</v>
      </c>
      <c r="AA5340" s="1">
        <v>3563875</v>
      </c>
      <c r="AB5340" s="1" t="s">
        <v>3766</v>
      </c>
      <c r="AC5340" s="5">
        <v>42450</v>
      </c>
      <c r="AF5340" s="1">
        <v>10019</v>
      </c>
      <c r="AJ5340" s="1">
        <v>2016</v>
      </c>
      <c r="AK5340" s="1" t="s">
        <v>49</v>
      </c>
      <c r="AL5340" s="1">
        <v>109</v>
      </c>
    </row>
    <row r="5341" spans="1:38" x14ac:dyDescent="0.2">
      <c r="A5341" s="2" t="str">
        <f>HYPERLINK("https://www.compass.com/listing/130-william-street-unit-46c-manhattan-ny-10038/810965752661721257/","130 William St, Unit 46C")</f>
        <v>130 William St, Unit 46C</v>
      </c>
      <c r="B5341" s="2" t="str">
        <f>HYPERLINK("https://www.compass.com/building/130-william-st-manhattan-ny-10038/282029682239486757/","130 William St")</f>
        <v>130 William St</v>
      </c>
      <c r="C5341" s="1" t="s">
        <v>96</v>
      </c>
      <c r="D5341" s="1" t="s">
        <v>41</v>
      </c>
      <c r="E5341" s="3">
        <v>2999754</v>
      </c>
      <c r="F5341" s="1">
        <v>2489.42270539419</v>
      </c>
      <c r="G5341" s="1">
        <v>4</v>
      </c>
      <c r="H5341" s="1">
        <v>2</v>
      </c>
      <c r="I5341" s="1">
        <v>2</v>
      </c>
      <c r="J5341" s="1">
        <v>2</v>
      </c>
      <c r="K5341" s="1">
        <v>2</v>
      </c>
      <c r="M5341" s="4">
        <v>1205</v>
      </c>
      <c r="N5341" s="1">
        <v>900</v>
      </c>
      <c r="O5341" s="1">
        <v>2643</v>
      </c>
      <c r="P5341" s="1">
        <v>1743</v>
      </c>
      <c r="Q5341" s="1" t="s">
        <v>42</v>
      </c>
      <c r="S5341" s="1" t="s">
        <v>42</v>
      </c>
      <c r="T5341" s="1" t="s">
        <v>273</v>
      </c>
      <c r="U5341" s="1">
        <v>9</v>
      </c>
      <c r="V5341" s="5">
        <v>44408</v>
      </c>
      <c r="W5341" s="5">
        <v>44370</v>
      </c>
      <c r="X5341" s="1">
        <v>2945990</v>
      </c>
      <c r="Y5341" s="1">
        <v>2945990</v>
      </c>
      <c r="Z5341" s="5">
        <v>44380</v>
      </c>
      <c r="AA5341" s="1">
        <v>2999754.36</v>
      </c>
      <c r="AB5341" s="1" t="s">
        <v>3767</v>
      </c>
      <c r="AC5341" s="5">
        <v>44405</v>
      </c>
      <c r="AF5341" s="1">
        <v>10038</v>
      </c>
      <c r="AI5341" s="1" t="s">
        <v>111</v>
      </c>
      <c r="AJ5341" s="1">
        <v>2020</v>
      </c>
      <c r="AK5341" s="1" t="s">
        <v>46</v>
      </c>
      <c r="AL5341" s="1">
        <v>244</v>
      </c>
    </row>
    <row r="5342" spans="1:38" x14ac:dyDescent="0.2">
      <c r="A5342" s="2" t="str">
        <f>HYPERLINK("https://www.compass.com/listing/135-west-52nd-street-unit-18c-manhattan-ny-10019/29383343799901761/","135 W 52nd St, Unit 18C")</f>
        <v>135 W 52nd St, Unit 18C</v>
      </c>
      <c r="B5342" s="2" t="str">
        <f t="shared" ref="B5342:B5347" si="883">HYPERLINK("https://www.compass.com/building/135-w-52nd-st-manhattan-ny-10019/281943802548121109/","135 W 52nd St")</f>
        <v>135 W 52nd St</v>
      </c>
      <c r="C5342" s="1" t="s">
        <v>139</v>
      </c>
      <c r="D5342" s="1" t="s">
        <v>41</v>
      </c>
      <c r="E5342" s="3">
        <v>3975000</v>
      </c>
      <c r="F5342" s="1">
        <v>2196.13259668508</v>
      </c>
      <c r="G5342" s="1">
        <v>4</v>
      </c>
      <c r="H5342" s="1">
        <v>3</v>
      </c>
      <c r="I5342" s="1">
        <v>3</v>
      </c>
      <c r="J5342" s="1">
        <v>3</v>
      </c>
      <c r="M5342" s="4">
        <v>1810</v>
      </c>
      <c r="N5342" s="1">
        <v>1716</v>
      </c>
      <c r="O5342" s="1">
        <v>4118</v>
      </c>
      <c r="P5342" s="1">
        <v>2402</v>
      </c>
      <c r="Q5342" s="1" t="s">
        <v>42</v>
      </c>
      <c r="S5342" s="1" t="s">
        <v>42</v>
      </c>
      <c r="T5342" s="1" t="s">
        <v>273</v>
      </c>
      <c r="U5342" s="1">
        <v>55</v>
      </c>
      <c r="V5342" s="5">
        <v>43640</v>
      </c>
      <c r="W5342" s="5">
        <v>42209</v>
      </c>
      <c r="X5342" s="1">
        <v>3975000</v>
      </c>
      <c r="Y5342" s="1">
        <v>3975000</v>
      </c>
      <c r="Z5342" s="5">
        <v>42264</v>
      </c>
      <c r="AA5342" s="1">
        <v>3975000</v>
      </c>
      <c r="AB5342" s="1" t="s">
        <v>3768</v>
      </c>
      <c r="AC5342" s="5">
        <v>42352</v>
      </c>
      <c r="AF5342" s="1">
        <v>10019</v>
      </c>
      <c r="AJ5342" s="1">
        <v>2016</v>
      </c>
      <c r="AK5342" s="1" t="s">
        <v>49</v>
      </c>
      <c r="AL5342" s="1">
        <v>109</v>
      </c>
    </row>
    <row r="5343" spans="1:38" x14ac:dyDescent="0.2">
      <c r="A5343" s="2" t="str">
        <f>HYPERLINK("https://www.compass.com/listing/135-west-52nd-street-unit-27b-manhattan-ny-10019/29383357624327985/","135 W 52nd St, Unit 27B")</f>
        <v>135 W 52nd St, Unit 27B</v>
      </c>
      <c r="B5343" s="2" t="str">
        <f t="shared" si="883"/>
        <v>135 W 52nd St</v>
      </c>
      <c r="C5343" s="1" t="s">
        <v>139</v>
      </c>
      <c r="D5343" s="1" t="s">
        <v>41</v>
      </c>
      <c r="E5343" s="3">
        <v>5091250</v>
      </c>
      <c r="F5343" s="1">
        <v>2281.0259856630801</v>
      </c>
      <c r="G5343" s="1">
        <v>6</v>
      </c>
      <c r="H5343" s="1">
        <v>3</v>
      </c>
      <c r="I5343" s="1">
        <v>4</v>
      </c>
      <c r="J5343" s="1">
        <v>3.5</v>
      </c>
      <c r="M5343" s="4">
        <v>2232</v>
      </c>
      <c r="N5343" s="1">
        <v>2159</v>
      </c>
      <c r="O5343" s="1">
        <v>5181</v>
      </c>
      <c r="P5343" s="1">
        <v>3022</v>
      </c>
      <c r="Q5343" s="1" t="s">
        <v>42</v>
      </c>
      <c r="S5343" s="1" t="s">
        <v>42</v>
      </c>
      <c r="T5343" s="1" t="s">
        <v>273</v>
      </c>
      <c r="V5343" s="5">
        <v>43654</v>
      </c>
      <c r="W5343" s="5">
        <v>41976</v>
      </c>
      <c r="X5343" s="1">
        <v>5000000</v>
      </c>
      <c r="Y5343" s="1">
        <v>5000000</v>
      </c>
      <c r="Z5343" s="5">
        <v>41976</v>
      </c>
      <c r="AA5343" s="1">
        <v>5091250</v>
      </c>
      <c r="AB5343" s="1" t="s">
        <v>3769</v>
      </c>
      <c r="AC5343" s="5">
        <v>42397</v>
      </c>
      <c r="AF5343" s="1">
        <v>10019</v>
      </c>
      <c r="AJ5343" s="1">
        <v>2016</v>
      </c>
      <c r="AK5343" s="1" t="s">
        <v>49</v>
      </c>
      <c r="AL5343" s="1">
        <v>109</v>
      </c>
    </row>
    <row r="5344" spans="1:38" x14ac:dyDescent="0.2">
      <c r="A5344" s="2" t="str">
        <f>HYPERLINK("https://www.compass.com/listing/135-west-52nd-street-unit-28b-manhattan-ny-10019/29383358505074177/","135 W 52nd St, Unit 28B")</f>
        <v>135 W 52nd St, Unit 28B</v>
      </c>
      <c r="B5344" s="2" t="str">
        <f t="shared" si="883"/>
        <v>135 W 52nd St</v>
      </c>
      <c r="C5344" s="1" t="s">
        <v>139</v>
      </c>
      <c r="D5344" s="1" t="s">
        <v>41</v>
      </c>
      <c r="E5344" s="3">
        <v>5100000</v>
      </c>
      <c r="F5344" s="1">
        <v>2284.9462365591398</v>
      </c>
      <c r="G5344" s="1">
        <v>6</v>
      </c>
      <c r="H5344" s="1">
        <v>3</v>
      </c>
      <c r="I5344" s="1">
        <v>4</v>
      </c>
      <c r="J5344" s="1">
        <v>3.5</v>
      </c>
      <c r="K5344" s="1">
        <v>3</v>
      </c>
      <c r="L5344" s="1">
        <v>1</v>
      </c>
      <c r="M5344" s="4">
        <v>2232</v>
      </c>
      <c r="N5344" s="1">
        <v>2202</v>
      </c>
      <c r="O5344" s="1">
        <v>4538</v>
      </c>
      <c r="P5344" s="1">
        <v>2336</v>
      </c>
      <c r="Q5344" s="1" t="s">
        <v>42</v>
      </c>
      <c r="S5344" s="1" t="s">
        <v>42</v>
      </c>
      <c r="T5344" s="1" t="s">
        <v>273</v>
      </c>
      <c r="U5344" s="1">
        <v>65</v>
      </c>
      <c r="V5344" s="5">
        <v>44225</v>
      </c>
      <c r="W5344" s="5">
        <v>42209</v>
      </c>
      <c r="X5344" s="1">
        <v>5100000</v>
      </c>
      <c r="Y5344" s="1">
        <v>5100000</v>
      </c>
      <c r="Z5344" s="5">
        <v>42428</v>
      </c>
      <c r="AA5344" s="1">
        <v>5100000</v>
      </c>
      <c r="AB5344" s="1" t="s">
        <v>3770</v>
      </c>
      <c r="AC5344" s="5">
        <v>42566</v>
      </c>
      <c r="AF5344" s="1">
        <v>10019</v>
      </c>
      <c r="AJ5344" s="1">
        <v>2016</v>
      </c>
      <c r="AK5344" s="1" t="s">
        <v>49</v>
      </c>
      <c r="AL5344" s="1">
        <v>109</v>
      </c>
    </row>
    <row r="5345" spans="1:38" x14ac:dyDescent="0.2">
      <c r="A5345" s="2" t="str">
        <f>HYPERLINK("https://www.compass.com/listing/135-west-52nd-street-unit-17a-manhattan-ny-10019/29383341769857745/","135 W 52nd St, Unit 17A")</f>
        <v>135 W 52nd St, Unit 17A</v>
      </c>
      <c r="B5345" s="2" t="str">
        <f t="shared" si="883"/>
        <v>135 W 52nd St</v>
      </c>
      <c r="C5345" s="1" t="s">
        <v>139</v>
      </c>
      <c r="D5345" s="1" t="s">
        <v>41</v>
      </c>
      <c r="E5345" s="3">
        <v>4059000</v>
      </c>
      <c r="F5345" s="1">
        <v>2276.5002804262399</v>
      </c>
      <c r="G5345" s="1">
        <v>4</v>
      </c>
      <c r="H5345" s="1">
        <v>2</v>
      </c>
      <c r="I5345" s="1">
        <v>3</v>
      </c>
      <c r="J5345" s="1">
        <v>3</v>
      </c>
      <c r="M5345" s="4">
        <v>1783</v>
      </c>
      <c r="N5345" s="1">
        <v>1738</v>
      </c>
      <c r="O5345" s="1">
        <v>4582</v>
      </c>
      <c r="P5345" s="1">
        <v>2844</v>
      </c>
      <c r="Q5345" s="1" t="s">
        <v>42</v>
      </c>
      <c r="S5345" s="1" t="s">
        <v>42</v>
      </c>
      <c r="T5345" s="1" t="s">
        <v>273</v>
      </c>
      <c r="U5345" s="1">
        <v>410</v>
      </c>
      <c r="V5345" s="5">
        <v>43638</v>
      </c>
      <c r="W5345" s="5">
        <v>42577</v>
      </c>
      <c r="X5345" s="1">
        <v>4100000</v>
      </c>
      <c r="Y5345" s="1">
        <v>4100000</v>
      </c>
      <c r="Z5345" s="5">
        <v>42987</v>
      </c>
      <c r="AA5345" s="1">
        <v>4059000</v>
      </c>
      <c r="AB5345" s="1" t="s">
        <v>3771</v>
      </c>
      <c r="AC5345" s="5">
        <v>42993</v>
      </c>
      <c r="AF5345" s="1">
        <v>10019</v>
      </c>
      <c r="AI5345" s="1" t="s">
        <v>164</v>
      </c>
      <c r="AJ5345" s="1">
        <v>2016</v>
      </c>
      <c r="AK5345" s="1" t="s">
        <v>49</v>
      </c>
      <c r="AL5345" s="1">
        <v>109</v>
      </c>
    </row>
    <row r="5346" spans="1:38" x14ac:dyDescent="0.2">
      <c r="A5346" s="2" t="str">
        <f>HYPERLINK("https://www.compass.com/listing/135-west-52nd-street-unit-20b-manhattan-ny-10019/29383346274483489/","135 W 52nd St, Unit 20B")</f>
        <v>135 W 52nd St, Unit 20B</v>
      </c>
      <c r="B5346" s="2" t="str">
        <f t="shared" si="883"/>
        <v>135 W 52nd St</v>
      </c>
      <c r="C5346" s="1" t="s">
        <v>139</v>
      </c>
      <c r="D5346" s="1" t="s">
        <v>41</v>
      </c>
      <c r="E5346" s="3">
        <v>3650000</v>
      </c>
      <c r="F5346" s="1">
        <v>2222.8989037758802</v>
      </c>
      <c r="G5346" s="1">
        <v>4</v>
      </c>
      <c r="H5346" s="1">
        <v>2</v>
      </c>
      <c r="I5346" s="1">
        <v>3</v>
      </c>
      <c r="J5346" s="1">
        <v>2.5</v>
      </c>
      <c r="K5346" s="1">
        <v>2</v>
      </c>
      <c r="L5346" s="1">
        <v>1</v>
      </c>
      <c r="M5346" s="4">
        <v>1642</v>
      </c>
      <c r="N5346" s="1">
        <v>1575</v>
      </c>
      <c r="O5346" s="1">
        <v>3246</v>
      </c>
      <c r="P5346" s="1">
        <v>1671</v>
      </c>
      <c r="Q5346" s="1" t="s">
        <v>42</v>
      </c>
      <c r="S5346" s="1" t="s">
        <v>42</v>
      </c>
      <c r="T5346" s="1" t="s">
        <v>273</v>
      </c>
      <c r="U5346" s="1">
        <v>33</v>
      </c>
      <c r="V5346" s="5">
        <v>44342</v>
      </c>
      <c r="W5346" s="5">
        <v>42311</v>
      </c>
      <c r="X5346" s="1">
        <v>3650000</v>
      </c>
      <c r="Y5346" s="1">
        <v>3650000</v>
      </c>
      <c r="Z5346" s="5">
        <v>42374</v>
      </c>
      <c r="AA5346" s="1">
        <v>3650000</v>
      </c>
      <c r="AB5346" s="1" t="s">
        <v>3772</v>
      </c>
      <c r="AC5346" s="5">
        <v>42381</v>
      </c>
      <c r="AF5346" s="1">
        <v>10019</v>
      </c>
      <c r="AJ5346" s="1">
        <v>2016</v>
      </c>
      <c r="AK5346" s="1" t="s">
        <v>49</v>
      </c>
      <c r="AL5346" s="1">
        <v>109</v>
      </c>
    </row>
    <row r="5347" spans="1:38" x14ac:dyDescent="0.2">
      <c r="A5347" s="2" t="str">
        <f>HYPERLINK("https://www.compass.com/listing/135-west-52nd-street-unit-21b-manhattan-ny-10019/29383348421967153/","135 W 52nd St, Unit 21B")</f>
        <v>135 W 52nd St, Unit 21B</v>
      </c>
      <c r="B5347" s="2" t="str">
        <f t="shared" si="883"/>
        <v>135 W 52nd St</v>
      </c>
      <c r="C5347" s="1" t="s">
        <v>139</v>
      </c>
      <c r="D5347" s="1" t="s">
        <v>41</v>
      </c>
      <c r="E5347" s="3">
        <v>3725000</v>
      </c>
      <c r="F5347" s="1">
        <v>2268.57490864799</v>
      </c>
      <c r="G5347" s="1">
        <v>4</v>
      </c>
      <c r="H5347" s="1">
        <v>2</v>
      </c>
      <c r="I5347" s="1">
        <v>3</v>
      </c>
      <c r="J5347" s="1">
        <v>2.5</v>
      </c>
      <c r="M5347" s="4">
        <v>1642</v>
      </c>
      <c r="N5347" s="1">
        <v>1608</v>
      </c>
      <c r="O5347" s="1">
        <v>3314</v>
      </c>
      <c r="P5347" s="1">
        <v>1706</v>
      </c>
      <c r="Q5347" s="1" t="s">
        <v>42</v>
      </c>
      <c r="S5347" s="1" t="s">
        <v>42</v>
      </c>
      <c r="T5347" s="1" t="s">
        <v>273</v>
      </c>
      <c r="U5347" s="1">
        <v>25</v>
      </c>
      <c r="V5347" s="5">
        <v>43642</v>
      </c>
      <c r="W5347" s="5">
        <v>42408</v>
      </c>
      <c r="X5347" s="1">
        <v>3725000</v>
      </c>
      <c r="Y5347" s="1">
        <v>3725000</v>
      </c>
      <c r="Z5347" s="5">
        <v>42433</v>
      </c>
      <c r="AA5347" s="1">
        <v>3725000</v>
      </c>
      <c r="AB5347" s="1" t="s">
        <v>3773</v>
      </c>
      <c r="AC5347" s="5">
        <v>42502</v>
      </c>
      <c r="AF5347" s="1">
        <v>10019</v>
      </c>
      <c r="AJ5347" s="1">
        <v>2016</v>
      </c>
      <c r="AK5347" s="1" t="s">
        <v>49</v>
      </c>
      <c r="AL5347" s="1">
        <v>109</v>
      </c>
    </row>
    <row r="5348" spans="1:38" x14ac:dyDescent="0.2">
      <c r="A5348" s="2" t="str">
        <f>HYPERLINK("https://www.compass.com/listing/53-west-53rd-street-unit-24e-manhattan-ny-10019/215803418843867185/","53 W 53rd St, Unit 24E")</f>
        <v>53 W 53rd St, Unit 24E</v>
      </c>
      <c r="B5348" s="2" t="str">
        <f t="shared" ref="B5348:B5350" si="884">HYPERLINK("https://www.compass.com/building/53-west-53-manhattan-ny/281946357818781477/","53 West 53")</f>
        <v>53 West 53</v>
      </c>
      <c r="C5348" s="1" t="s">
        <v>139</v>
      </c>
      <c r="D5348" s="1" t="s">
        <v>41</v>
      </c>
      <c r="E5348" s="3">
        <v>3418618</v>
      </c>
      <c r="F5348" s="1">
        <v>2662.4750778816201</v>
      </c>
      <c r="G5348" s="1">
        <v>3.5</v>
      </c>
      <c r="H5348" s="1">
        <v>1</v>
      </c>
      <c r="I5348" s="1">
        <v>2</v>
      </c>
      <c r="J5348" s="1">
        <v>1.5</v>
      </c>
      <c r="K5348" s="1">
        <v>1</v>
      </c>
      <c r="L5348" s="1">
        <v>1</v>
      </c>
      <c r="M5348" s="4">
        <v>1284</v>
      </c>
      <c r="N5348" s="1">
        <v>2412</v>
      </c>
      <c r="O5348" s="1">
        <v>3563</v>
      </c>
      <c r="P5348" s="1">
        <v>1151</v>
      </c>
      <c r="Q5348" s="1" t="s">
        <v>42</v>
      </c>
      <c r="S5348" s="1" t="s">
        <v>42</v>
      </c>
      <c r="T5348" s="1" t="s">
        <v>273</v>
      </c>
      <c r="V5348" s="5">
        <v>43872</v>
      </c>
      <c r="W5348" s="5">
        <v>43549</v>
      </c>
      <c r="X5348" s="1">
        <v>3680000</v>
      </c>
      <c r="Y5348" s="1">
        <v>3680000</v>
      </c>
      <c r="Z5348" s="5">
        <v>43549</v>
      </c>
      <c r="AA5348" s="1">
        <v>3418618</v>
      </c>
      <c r="AB5348" s="1" t="s">
        <v>3774</v>
      </c>
      <c r="AC5348" s="5">
        <v>43858</v>
      </c>
      <c r="AF5348" s="1">
        <v>10019</v>
      </c>
      <c r="AJ5348" s="1">
        <v>2018</v>
      </c>
      <c r="AK5348" s="1" t="s">
        <v>46</v>
      </c>
      <c r="AL5348" s="1">
        <v>145</v>
      </c>
    </row>
    <row r="5349" spans="1:38" x14ac:dyDescent="0.2">
      <c r="A5349" s="2" t="str">
        <f>HYPERLINK("https://www.compass.com/listing/53-west-53rd-street-unit-16c-manhattan-ny-10019/23954408987498913/","53 W 53rd St, Unit 16C")</f>
        <v>53 W 53rd St, Unit 16C</v>
      </c>
      <c r="B5349" s="2" t="str">
        <f t="shared" si="884"/>
        <v>53 West 53</v>
      </c>
      <c r="C5349" s="1" t="s">
        <v>139</v>
      </c>
      <c r="D5349" s="1" t="s">
        <v>41</v>
      </c>
      <c r="E5349" s="3">
        <v>3650000</v>
      </c>
      <c r="F5349" s="1">
        <v>2493.1693989071</v>
      </c>
      <c r="G5349" s="1">
        <v>4</v>
      </c>
      <c r="H5349" s="1">
        <v>1</v>
      </c>
      <c r="I5349" s="1">
        <v>2</v>
      </c>
      <c r="J5349" s="1">
        <v>1.5</v>
      </c>
      <c r="K5349" s="1">
        <v>1</v>
      </c>
      <c r="L5349" s="1">
        <v>1</v>
      </c>
      <c r="M5349" s="4">
        <v>1464</v>
      </c>
      <c r="N5349" s="1">
        <v>3039</v>
      </c>
      <c r="O5349" s="1">
        <v>4302</v>
      </c>
      <c r="P5349" s="1">
        <v>1263</v>
      </c>
      <c r="Q5349" s="1" t="s">
        <v>42</v>
      </c>
      <c r="S5349" s="1" t="s">
        <v>42</v>
      </c>
      <c r="T5349" s="1" t="s">
        <v>273</v>
      </c>
      <c r="U5349" s="1">
        <v>41</v>
      </c>
      <c r="V5349" s="5">
        <v>44168</v>
      </c>
      <c r="W5349" s="5">
        <v>42753</v>
      </c>
      <c r="X5349" s="1">
        <v>3650000</v>
      </c>
      <c r="Y5349" s="1">
        <v>3755000</v>
      </c>
      <c r="Z5349" s="5">
        <v>43768</v>
      </c>
      <c r="AA5349" s="1">
        <v>3650000</v>
      </c>
      <c r="AB5349" s="1" t="s">
        <v>3775</v>
      </c>
      <c r="AC5349" s="5">
        <v>44167</v>
      </c>
      <c r="AF5349" s="1">
        <v>10019</v>
      </c>
      <c r="AJ5349" s="1">
        <v>2018</v>
      </c>
      <c r="AK5349" s="1" t="s">
        <v>46</v>
      </c>
      <c r="AL5349" s="1">
        <v>145</v>
      </c>
    </row>
    <row r="5350" spans="1:38" x14ac:dyDescent="0.2">
      <c r="A5350" s="2" t="str">
        <f>HYPERLINK("https://www.compass.com/listing/53-west-53rd-street-unit-19e-manhattan-ny-10019/297684785312770657/","53 W 53rd St, Unit 19E")</f>
        <v>53 W 53rd St, Unit 19E</v>
      </c>
      <c r="B5350" s="2" t="str">
        <f t="shared" si="884"/>
        <v>53 West 53</v>
      </c>
      <c r="C5350" s="1" t="s">
        <v>139</v>
      </c>
      <c r="D5350" s="1" t="s">
        <v>41</v>
      </c>
      <c r="E5350" s="3">
        <v>3434503</v>
      </c>
      <c r="F5350" s="1">
        <v>2330.0559701492498</v>
      </c>
      <c r="G5350" s="1">
        <v>3</v>
      </c>
      <c r="H5350" s="1">
        <v>1</v>
      </c>
      <c r="I5350" s="1">
        <v>2</v>
      </c>
      <c r="J5350" s="1">
        <v>1.5</v>
      </c>
      <c r="K5350" s="1">
        <v>1</v>
      </c>
      <c r="L5350" s="1">
        <v>1</v>
      </c>
      <c r="M5350" s="4">
        <v>1474</v>
      </c>
      <c r="N5350" s="1">
        <v>2704</v>
      </c>
      <c r="O5350" s="1">
        <v>3994</v>
      </c>
      <c r="P5350" s="1">
        <v>1290</v>
      </c>
      <c r="Q5350" s="1" t="s">
        <v>42</v>
      </c>
      <c r="S5350" s="1" t="s">
        <v>42</v>
      </c>
      <c r="T5350" s="1" t="s">
        <v>273</v>
      </c>
      <c r="V5350" s="5">
        <v>43858</v>
      </c>
      <c r="W5350" s="5">
        <v>43661</v>
      </c>
      <c r="X5350" s="1">
        <v>3670000</v>
      </c>
      <c r="Y5350" s="1">
        <v>3670000</v>
      </c>
      <c r="Z5350" s="5">
        <v>43661</v>
      </c>
      <c r="AA5350" s="1">
        <v>3434502.5</v>
      </c>
      <c r="AB5350" s="1" t="s">
        <v>3776</v>
      </c>
      <c r="AC5350" s="5">
        <v>43845</v>
      </c>
      <c r="AF5350" s="1">
        <v>10019</v>
      </c>
      <c r="AJ5350" s="1">
        <v>2018</v>
      </c>
      <c r="AK5350" s="1" t="s">
        <v>46</v>
      </c>
      <c r="AL5350" s="1">
        <v>145</v>
      </c>
    </row>
    <row r="5351" spans="1:38" x14ac:dyDescent="0.2">
      <c r="A5351" s="2" t="str">
        <f>HYPERLINK("https://www.compass.com/listing/135-west-52nd-street-unit-25c-manhattan-ny-10019/29383355686558609/","135 W 52nd St, Unit 25C")</f>
        <v>135 W 52nd St, Unit 25C</v>
      </c>
      <c r="B5351" s="2" t="str">
        <f t="shared" ref="B5351:B5355" si="885">HYPERLINK("https://www.compass.com/building/135-w-52nd-st-manhattan-ny-10019/281943802548121109/","135 W 52nd St")</f>
        <v>135 W 52nd St</v>
      </c>
      <c r="C5351" s="1" t="s">
        <v>139</v>
      </c>
      <c r="D5351" s="1" t="s">
        <v>41</v>
      </c>
      <c r="E5351" s="3">
        <v>3182031</v>
      </c>
      <c r="F5351" s="1">
        <v>2222.0886871508301</v>
      </c>
      <c r="G5351" s="1">
        <v>4</v>
      </c>
      <c r="H5351" s="1">
        <v>2</v>
      </c>
      <c r="I5351" s="1">
        <v>2</v>
      </c>
      <c r="J5351" s="1">
        <v>2</v>
      </c>
      <c r="K5351" s="1">
        <v>2</v>
      </c>
      <c r="M5351" s="4">
        <v>1432</v>
      </c>
      <c r="N5351" s="1">
        <v>1349</v>
      </c>
      <c r="O5351" s="1">
        <v>3238</v>
      </c>
      <c r="P5351" s="1">
        <v>1889</v>
      </c>
      <c r="Q5351" s="1" t="s">
        <v>42</v>
      </c>
      <c r="S5351" s="1" t="s">
        <v>42</v>
      </c>
      <c r="T5351" s="1" t="s">
        <v>273</v>
      </c>
      <c r="U5351" s="1">
        <v>153</v>
      </c>
      <c r="V5351" s="5">
        <v>44422</v>
      </c>
      <c r="W5351" s="5">
        <v>41822</v>
      </c>
      <c r="Y5351" s="1">
        <v>3125000</v>
      </c>
      <c r="Z5351" s="5">
        <v>41976</v>
      </c>
      <c r="AA5351" s="1">
        <v>3182031</v>
      </c>
      <c r="AB5351" s="1" t="s">
        <v>3777</v>
      </c>
      <c r="AC5351" s="5">
        <v>42433</v>
      </c>
      <c r="AF5351" s="1">
        <v>10019</v>
      </c>
      <c r="AJ5351" s="1">
        <v>2016</v>
      </c>
      <c r="AK5351" s="1" t="s">
        <v>49</v>
      </c>
      <c r="AL5351" s="1">
        <v>109</v>
      </c>
    </row>
    <row r="5352" spans="1:38" x14ac:dyDescent="0.2">
      <c r="A5352" s="2" t="str">
        <f>HYPERLINK("https://www.compass.com/listing/135-west-52nd-street-unit-38a-manhattan-ny-10019/206530347683337521/","135 W 52nd St, Unit 38A")</f>
        <v>135 W 52nd St, Unit 38A</v>
      </c>
      <c r="B5352" s="2" t="str">
        <f t="shared" si="885"/>
        <v>135 W 52nd St</v>
      </c>
      <c r="C5352" s="1" t="s">
        <v>139</v>
      </c>
      <c r="D5352" s="1" t="s">
        <v>41</v>
      </c>
      <c r="E5352" s="3">
        <v>8800000</v>
      </c>
      <c r="F5352" s="1">
        <v>2361.7820719269898</v>
      </c>
      <c r="G5352" s="1">
        <v>8</v>
      </c>
      <c r="H5352" s="1">
        <v>3</v>
      </c>
      <c r="I5352" s="1">
        <v>4</v>
      </c>
      <c r="J5352" s="1">
        <v>3.5</v>
      </c>
      <c r="M5352" s="4">
        <v>3726</v>
      </c>
      <c r="N5352" s="1">
        <v>3804</v>
      </c>
      <c r="O5352" s="1">
        <v>10114</v>
      </c>
      <c r="P5352" s="1">
        <v>6310</v>
      </c>
      <c r="Q5352" s="1" t="s">
        <v>42</v>
      </c>
      <c r="S5352" s="1" t="s">
        <v>42</v>
      </c>
      <c r="T5352" s="1" t="s">
        <v>273</v>
      </c>
      <c r="V5352" s="5">
        <v>43665</v>
      </c>
      <c r="W5352" s="5">
        <v>42657</v>
      </c>
      <c r="X5352" s="1">
        <v>8800000</v>
      </c>
      <c r="Y5352" s="1">
        <v>8800000</v>
      </c>
      <c r="Z5352" s="5">
        <v>42657</v>
      </c>
      <c r="AA5352" s="1">
        <v>8800000</v>
      </c>
      <c r="AB5352" s="1" t="s">
        <v>3778</v>
      </c>
      <c r="AC5352" s="5">
        <v>42703</v>
      </c>
      <c r="AF5352" s="1">
        <v>10019</v>
      </c>
      <c r="AI5352" s="1" t="s">
        <v>63</v>
      </c>
      <c r="AJ5352" s="1">
        <v>2016</v>
      </c>
      <c r="AK5352" s="1" t="s">
        <v>49</v>
      </c>
      <c r="AL5352" s="1">
        <v>109</v>
      </c>
    </row>
    <row r="5353" spans="1:38" x14ac:dyDescent="0.2">
      <c r="A5353" s="2" t="str">
        <f>HYPERLINK("https://www.compass.com/listing/135-west-52nd-street-unit-36a-manhattan-ny-10019/29383364771364465/","135 W 52nd St, Unit 36A")</f>
        <v>135 W 52nd St, Unit 36A</v>
      </c>
      <c r="B5353" s="2" t="str">
        <f t="shared" si="885"/>
        <v>135 W 52nd St</v>
      </c>
      <c r="C5353" s="1" t="s">
        <v>139</v>
      </c>
      <c r="D5353" s="1" t="s">
        <v>41</v>
      </c>
      <c r="E5353" s="3">
        <v>8600000</v>
      </c>
      <c r="F5353" s="1">
        <v>2308.10520665593</v>
      </c>
      <c r="G5353" s="1">
        <v>6</v>
      </c>
      <c r="H5353" s="1">
        <v>3</v>
      </c>
      <c r="I5353" s="1">
        <v>4</v>
      </c>
      <c r="J5353" s="1">
        <v>3.5</v>
      </c>
      <c r="M5353" s="4">
        <v>3726</v>
      </c>
      <c r="N5353" s="1">
        <v>3713</v>
      </c>
      <c r="O5353" s="1">
        <v>8910</v>
      </c>
      <c r="P5353" s="1">
        <v>5197</v>
      </c>
      <c r="Q5353" s="1" t="s">
        <v>42</v>
      </c>
      <c r="S5353" s="1" t="s">
        <v>42</v>
      </c>
      <c r="T5353" s="1" t="s">
        <v>273</v>
      </c>
      <c r="U5353" s="1">
        <v>48</v>
      </c>
      <c r="V5353" s="5">
        <v>43640</v>
      </c>
      <c r="W5353" s="5">
        <v>42103</v>
      </c>
      <c r="X5353" s="1">
        <v>8600000</v>
      </c>
      <c r="Y5353" s="1">
        <v>8600000</v>
      </c>
      <c r="Z5353" s="5">
        <v>42151</v>
      </c>
      <c r="AA5353" s="1">
        <v>8600000</v>
      </c>
      <c r="AB5353" s="1" t="s">
        <v>3779</v>
      </c>
      <c r="AC5353" s="5">
        <v>42493</v>
      </c>
      <c r="AF5353" s="1">
        <v>10019</v>
      </c>
      <c r="AI5353" s="1" t="s">
        <v>63</v>
      </c>
      <c r="AJ5353" s="1">
        <v>2016</v>
      </c>
      <c r="AK5353" s="1" t="s">
        <v>49</v>
      </c>
      <c r="AL5353" s="1">
        <v>109</v>
      </c>
    </row>
    <row r="5354" spans="1:38" x14ac:dyDescent="0.2">
      <c r="A5354" s="2" t="str">
        <f>HYPERLINK("https://www.compass.com/listing/135-west-52nd-street-unit-38a-manhattan-ny-10019/822519461972230921/","135 W 52nd St, Unit 38A")</f>
        <v>135 W 52nd St, Unit 38A</v>
      </c>
      <c r="B5354" s="2" t="str">
        <f t="shared" si="885"/>
        <v>135 W 52nd St</v>
      </c>
      <c r="C5354" s="1" t="s">
        <v>139</v>
      </c>
      <c r="D5354" s="1" t="s">
        <v>41</v>
      </c>
      <c r="E5354" s="3">
        <v>8800000</v>
      </c>
      <c r="F5354" s="1">
        <v>2361.7820719269898</v>
      </c>
      <c r="G5354" s="1">
        <v>8</v>
      </c>
      <c r="H5354" s="1">
        <v>3</v>
      </c>
      <c r="I5354" s="1">
        <v>3.5</v>
      </c>
      <c r="J5354" s="1">
        <v>3.5</v>
      </c>
      <c r="M5354" s="4">
        <v>3726</v>
      </c>
      <c r="N5354" s="1">
        <v>3804</v>
      </c>
      <c r="O5354" s="1">
        <v>10114</v>
      </c>
      <c r="P5354" s="1">
        <v>6310</v>
      </c>
      <c r="Q5354" s="1" t="s">
        <v>42</v>
      </c>
      <c r="S5354" s="1" t="s">
        <v>42</v>
      </c>
      <c r="T5354" s="1" t="s">
        <v>273</v>
      </c>
      <c r="U5354" s="1">
        <v>1</v>
      </c>
      <c r="V5354" s="5">
        <v>42734</v>
      </c>
      <c r="W5354" s="5">
        <v>42705</v>
      </c>
      <c r="X5354" s="1">
        <v>8800000</v>
      </c>
      <c r="Y5354" s="1">
        <v>8800000</v>
      </c>
      <c r="AA5354" s="1">
        <v>8800000</v>
      </c>
      <c r="AB5354" s="1" t="s">
        <v>275</v>
      </c>
      <c r="AC5354" s="5">
        <v>42706</v>
      </c>
      <c r="AF5354" s="1">
        <v>10019</v>
      </c>
      <c r="AI5354" s="1" t="s">
        <v>483</v>
      </c>
      <c r="AJ5354" s="1">
        <v>2016</v>
      </c>
      <c r="AK5354" s="1" t="s">
        <v>46</v>
      </c>
      <c r="AL5354" s="1">
        <v>109</v>
      </c>
    </row>
    <row r="5355" spans="1:38" x14ac:dyDescent="0.2">
      <c r="A5355" s="2" t="str">
        <f>HYPERLINK("https://www.compass.com/listing/135-west-52nd-street-unit-14c-manhattan-ny-10019/29383335612620209/","135 W 52nd St, Unit 14C")</f>
        <v>135 W 52nd St, Unit 14C</v>
      </c>
      <c r="B5355" s="2" t="str">
        <f t="shared" si="885"/>
        <v>135 W 52nd St</v>
      </c>
      <c r="C5355" s="1" t="s">
        <v>139</v>
      </c>
      <c r="D5355" s="1" t="s">
        <v>41</v>
      </c>
      <c r="E5355" s="3">
        <v>1699990</v>
      </c>
      <c r="F5355" s="1">
        <v>1880.51991150442</v>
      </c>
      <c r="G5355" s="1">
        <v>3</v>
      </c>
      <c r="H5355" s="1">
        <v>1</v>
      </c>
      <c r="J5355" s="1">
        <v>2</v>
      </c>
      <c r="M5355" s="1">
        <v>904</v>
      </c>
      <c r="N5355" s="1">
        <v>680</v>
      </c>
      <c r="O5355" s="1">
        <v>1652</v>
      </c>
      <c r="P5355" s="1">
        <v>972</v>
      </c>
      <c r="Q5355" s="1" t="s">
        <v>42</v>
      </c>
      <c r="S5355" s="1" t="s">
        <v>42</v>
      </c>
      <c r="T5355" s="1" t="s">
        <v>273</v>
      </c>
      <c r="U5355" s="1">
        <v>254</v>
      </c>
      <c r="V5355" s="5">
        <v>43699</v>
      </c>
      <c r="W5355" s="5">
        <v>42781</v>
      </c>
      <c r="X5355" s="1">
        <v>2000000</v>
      </c>
      <c r="Y5355" s="1">
        <v>1770000</v>
      </c>
      <c r="Z5355" s="5">
        <v>43035</v>
      </c>
      <c r="AA5355" s="1">
        <v>1699990</v>
      </c>
      <c r="AB5355" s="1" t="s">
        <v>3780</v>
      </c>
      <c r="AC5355" s="5">
        <v>43060</v>
      </c>
      <c r="AF5355" s="1">
        <v>10019</v>
      </c>
      <c r="AI5355" s="1" t="s">
        <v>174</v>
      </c>
      <c r="AJ5355" s="1">
        <v>2016</v>
      </c>
      <c r="AK5355" s="1" t="s">
        <v>49</v>
      </c>
      <c r="AL5355" s="1">
        <v>109</v>
      </c>
    </row>
    <row r="5356" spans="1:38" x14ac:dyDescent="0.2">
      <c r="A5356" s="2" t="str">
        <f>HYPERLINK("https://www.compass.com/listing/77-east-110th-street-unit-6b-manhattan-ny-10029/29427499544906577/","77 E 110th St, Unit 6B")</f>
        <v>77 E 110th St, Unit 6B</v>
      </c>
      <c r="B5356" s="2" t="str">
        <f t="shared" ref="B5356:B5357" si="886">HYPERLINK("https://www.compass.com/building/77-condominiums-manhattan-ny/281992190891244549/","77 Condominiums")</f>
        <v>77 Condominiums</v>
      </c>
      <c r="C5356" s="1" t="s">
        <v>424</v>
      </c>
      <c r="D5356" s="1" t="s">
        <v>41</v>
      </c>
      <c r="E5356" s="3">
        <v>940000</v>
      </c>
      <c r="F5356" s="1">
        <v>988.43322818086199</v>
      </c>
      <c r="G5356" s="1">
        <v>4</v>
      </c>
      <c r="H5356" s="1">
        <v>2</v>
      </c>
      <c r="I5356" s="1">
        <v>1</v>
      </c>
      <c r="J5356" s="1">
        <v>1</v>
      </c>
      <c r="K5356" s="1">
        <v>1</v>
      </c>
      <c r="M5356" s="1">
        <v>951</v>
      </c>
      <c r="N5356" s="1">
        <v>322</v>
      </c>
      <c r="O5356" s="1">
        <v>396.909999999999</v>
      </c>
      <c r="P5356" s="1">
        <v>74.9166666666666</v>
      </c>
      <c r="Q5356" s="1" t="s">
        <v>42</v>
      </c>
      <c r="S5356" s="1" t="s">
        <v>42</v>
      </c>
      <c r="T5356" s="1" t="s">
        <v>273</v>
      </c>
      <c r="V5356" s="5">
        <v>43694</v>
      </c>
      <c r="W5356" s="5">
        <v>42391</v>
      </c>
      <c r="X5356" s="1">
        <v>945900</v>
      </c>
      <c r="Y5356" s="1">
        <v>945900</v>
      </c>
      <c r="Z5356" s="5">
        <v>42391</v>
      </c>
      <c r="AA5356" s="1">
        <v>940000</v>
      </c>
      <c r="AB5356" s="1" t="s">
        <v>3781</v>
      </c>
      <c r="AC5356" s="5">
        <v>42465</v>
      </c>
      <c r="AF5356" s="1">
        <v>10029</v>
      </c>
      <c r="AI5356" s="1" t="s">
        <v>111</v>
      </c>
      <c r="AJ5356" s="1">
        <v>2013</v>
      </c>
      <c r="AL5356" s="1">
        <v>20</v>
      </c>
    </row>
    <row r="5357" spans="1:38" x14ac:dyDescent="0.2">
      <c r="A5357" s="2" t="str">
        <f>HYPERLINK("https://www.compass.com/listing/77-east-110th-street-unit-7c-manhattan-ny-10029/29427500358682209/","77 E 110th St, Unit 7C")</f>
        <v>77 E 110th St, Unit 7C</v>
      </c>
      <c r="B5357" s="2" t="str">
        <f t="shared" si="886"/>
        <v>77 Condominiums</v>
      </c>
      <c r="C5357" s="1" t="s">
        <v>424</v>
      </c>
      <c r="D5357" s="1" t="s">
        <v>41</v>
      </c>
      <c r="E5357" s="3">
        <v>941881</v>
      </c>
      <c r="F5357" s="1">
        <v>1024.8977149074999</v>
      </c>
      <c r="G5357" s="1">
        <v>4</v>
      </c>
      <c r="H5357" s="1">
        <v>2</v>
      </c>
      <c r="I5357" s="1">
        <v>1</v>
      </c>
      <c r="J5357" s="1">
        <v>1</v>
      </c>
      <c r="K5357" s="1">
        <v>1</v>
      </c>
      <c r="M5357" s="1">
        <v>919</v>
      </c>
      <c r="N5357" s="1">
        <v>327.33</v>
      </c>
      <c r="O5357" s="1">
        <v>403.48</v>
      </c>
      <c r="P5357" s="1">
        <v>76.1666666666666</v>
      </c>
      <c r="Q5357" s="1" t="s">
        <v>42</v>
      </c>
      <c r="S5357" s="1" t="s">
        <v>42</v>
      </c>
      <c r="T5357" s="1" t="s">
        <v>273</v>
      </c>
      <c r="V5357" s="5">
        <v>43677</v>
      </c>
      <c r="W5357" s="5">
        <v>42391</v>
      </c>
      <c r="X5357" s="1">
        <v>960000</v>
      </c>
      <c r="Y5357" s="1">
        <v>960000</v>
      </c>
      <c r="Z5357" s="5">
        <v>42391</v>
      </c>
      <c r="AA5357" s="1">
        <v>941881</v>
      </c>
      <c r="AB5357" s="1" t="s">
        <v>3782</v>
      </c>
      <c r="AC5357" s="5">
        <v>42465</v>
      </c>
      <c r="AF5357" s="1">
        <v>10029</v>
      </c>
      <c r="AI5357" s="1" t="s">
        <v>111</v>
      </c>
      <c r="AJ5357" s="1">
        <v>2013</v>
      </c>
      <c r="AK5357" s="1" t="s">
        <v>75</v>
      </c>
      <c r="AL5357" s="1">
        <v>20</v>
      </c>
    </row>
    <row r="5358" spans="1:38" x14ac:dyDescent="0.2">
      <c r="A5358" s="2" t="str">
        <f>HYPERLINK("https://www.compass.com/listing/135-west-52nd-street-unit-24b-manhattan-ny-10019/29383353480297905/","135 W 52nd St, Unit 24B")</f>
        <v>135 W 52nd St, Unit 24B</v>
      </c>
      <c r="B5358" s="2" t="str">
        <f t="shared" ref="B5358:B5360" si="887">HYPERLINK("https://www.compass.com/building/135-w-52nd-st-manhattan-ny-10019/281943802548121109/","135 W 52nd St")</f>
        <v>135 W 52nd St</v>
      </c>
      <c r="C5358" s="1" t="s">
        <v>219</v>
      </c>
      <c r="D5358" s="1" t="s">
        <v>41</v>
      </c>
      <c r="E5358" s="3">
        <v>3050000</v>
      </c>
      <c r="F5358" s="1">
        <v>2129.8882681564201</v>
      </c>
      <c r="G5358" s="1">
        <v>4</v>
      </c>
      <c r="H5358" s="1">
        <v>2</v>
      </c>
      <c r="I5358" s="1">
        <v>2</v>
      </c>
      <c r="J5358" s="1">
        <v>2</v>
      </c>
      <c r="M5358" s="4">
        <v>1432</v>
      </c>
      <c r="N5358" s="1">
        <v>1344</v>
      </c>
      <c r="O5358" s="1">
        <v>3416</v>
      </c>
      <c r="P5358" s="1">
        <v>2072</v>
      </c>
      <c r="Q5358" s="1" t="s">
        <v>42</v>
      </c>
      <c r="S5358" s="1" t="s">
        <v>42</v>
      </c>
      <c r="T5358" s="1" t="s">
        <v>273</v>
      </c>
      <c r="U5358" s="1">
        <v>231</v>
      </c>
      <c r="V5358" s="5">
        <v>42992</v>
      </c>
      <c r="W5358" s="5">
        <v>42713</v>
      </c>
      <c r="X5358" s="1">
        <v>3495000</v>
      </c>
      <c r="Y5358" s="1">
        <v>3100000</v>
      </c>
      <c r="AA5358" s="1">
        <v>3050000</v>
      </c>
      <c r="AB5358" s="1" t="s">
        <v>3783</v>
      </c>
      <c r="AC5358" s="5">
        <v>43041</v>
      </c>
      <c r="AF5358" s="1">
        <v>10019</v>
      </c>
      <c r="AI5358" s="1" t="s">
        <v>177</v>
      </c>
      <c r="AJ5358" s="1">
        <v>2016</v>
      </c>
      <c r="AK5358" s="1" t="s">
        <v>46</v>
      </c>
      <c r="AL5358" s="1">
        <v>109</v>
      </c>
    </row>
    <row r="5359" spans="1:38" x14ac:dyDescent="0.2">
      <c r="A5359" s="2" t="str">
        <f>HYPERLINK("https://www.compass.com/listing/135-west-52nd-street-unit-15e-manhattan-ny-10019/650497299143800913/","135 W 52nd St, Unit 15E")</f>
        <v>135 W 52nd St, Unit 15E</v>
      </c>
      <c r="B5359" s="2" t="str">
        <f t="shared" si="887"/>
        <v>135 W 52nd St</v>
      </c>
      <c r="C5359" s="1" t="s">
        <v>219</v>
      </c>
      <c r="D5359" s="1" t="s">
        <v>41</v>
      </c>
      <c r="E5359" s="3">
        <v>2150000</v>
      </c>
      <c r="F5359" s="1">
        <v>1912.8113879003499</v>
      </c>
      <c r="G5359" s="1">
        <v>3</v>
      </c>
      <c r="H5359" s="1">
        <v>2</v>
      </c>
      <c r="I5359" s="1">
        <v>2</v>
      </c>
      <c r="J5359" s="1">
        <v>2</v>
      </c>
      <c r="K5359" s="1">
        <v>2</v>
      </c>
      <c r="M5359" s="4">
        <v>1124</v>
      </c>
      <c r="N5359" s="1">
        <v>1500</v>
      </c>
      <c r="O5359" s="1">
        <v>3114</v>
      </c>
      <c r="P5359" s="1">
        <v>1614</v>
      </c>
      <c r="Q5359" s="1" t="s">
        <v>42</v>
      </c>
      <c r="S5359" s="1" t="s">
        <v>42</v>
      </c>
      <c r="T5359" s="1" t="s">
        <v>273</v>
      </c>
      <c r="V5359" s="5">
        <v>44314</v>
      </c>
      <c r="W5359" s="5">
        <v>44147</v>
      </c>
      <c r="X5359" s="1">
        <v>2295000</v>
      </c>
      <c r="Y5359" s="1">
        <v>2295000</v>
      </c>
      <c r="AA5359" s="1">
        <v>2150000</v>
      </c>
      <c r="AB5359" s="1" t="s">
        <v>3784</v>
      </c>
      <c r="AC5359" s="5">
        <v>44284</v>
      </c>
      <c r="AF5359" s="1">
        <v>10019</v>
      </c>
      <c r="AJ5359" s="1">
        <v>2016</v>
      </c>
      <c r="AK5359" s="1" t="s">
        <v>49</v>
      </c>
      <c r="AL5359" s="1">
        <v>109</v>
      </c>
    </row>
    <row r="5360" spans="1:38" x14ac:dyDescent="0.2">
      <c r="A5360" s="2" t="str">
        <f>HYPERLINK("https://www.compass.com/listing/135-west-52nd-street-unit-11b-manhattan-ny-10019/50872094581450977/","135 W 52nd St, Unit 11B")</f>
        <v>135 W 52nd St, Unit 11B</v>
      </c>
      <c r="B5360" s="2" t="str">
        <f t="shared" si="887"/>
        <v>135 W 52nd St</v>
      </c>
      <c r="C5360" s="1" t="s">
        <v>139</v>
      </c>
      <c r="D5360" s="1" t="s">
        <v>41</v>
      </c>
      <c r="E5360" s="3">
        <v>2220000</v>
      </c>
      <c r="F5360" s="1">
        <v>1975.0889679715301</v>
      </c>
      <c r="G5360" s="1">
        <v>5</v>
      </c>
      <c r="H5360" s="1">
        <v>2</v>
      </c>
      <c r="I5360" s="1">
        <v>2</v>
      </c>
      <c r="J5360" s="1">
        <v>2</v>
      </c>
      <c r="M5360" s="4">
        <v>1124</v>
      </c>
      <c r="N5360" s="1">
        <v>872</v>
      </c>
      <c r="O5360" s="1">
        <v>2092</v>
      </c>
      <c r="P5360" s="1">
        <v>1220</v>
      </c>
      <c r="Q5360" s="1" t="s">
        <v>42</v>
      </c>
      <c r="S5360" s="1" t="s">
        <v>42</v>
      </c>
      <c r="T5360" s="1" t="s">
        <v>273</v>
      </c>
      <c r="U5360" s="1">
        <v>140</v>
      </c>
      <c r="V5360" s="5">
        <v>43640</v>
      </c>
      <c r="W5360" s="5">
        <v>42657</v>
      </c>
      <c r="X5360" s="1">
        <v>2550000</v>
      </c>
      <c r="Y5360" s="1">
        <v>2370000</v>
      </c>
      <c r="Z5360" s="5">
        <v>42797</v>
      </c>
      <c r="AA5360" s="1">
        <v>2220000</v>
      </c>
      <c r="AB5360" s="1" t="s">
        <v>3785</v>
      </c>
      <c r="AC5360" s="5">
        <v>42877</v>
      </c>
      <c r="AF5360" s="1">
        <v>10019</v>
      </c>
      <c r="AI5360" s="1" t="s">
        <v>174</v>
      </c>
      <c r="AJ5360" s="1">
        <v>2016</v>
      </c>
      <c r="AK5360" s="1" t="s">
        <v>46</v>
      </c>
      <c r="AL5360" s="1">
        <v>109</v>
      </c>
    </row>
    <row r="5361" spans="1:38" x14ac:dyDescent="0.2">
      <c r="A5361" s="2" t="str">
        <f>HYPERLINK("https://www.compass.com/listing/53-west-53rd-street-unit-21b-manhattan-ny-10019/28876188776676385/","53 W 53rd St, Unit 21B")</f>
        <v>53 W 53rd St, Unit 21B</v>
      </c>
      <c r="B5361" s="2" t="str">
        <f>HYPERLINK("https://www.compass.com/building/53-west-53-manhattan-ny/281946357818781477/","53 West 53")</f>
        <v>53 West 53</v>
      </c>
      <c r="C5361" s="1" t="s">
        <v>139</v>
      </c>
      <c r="D5361" s="1" t="s">
        <v>41</v>
      </c>
      <c r="E5361" s="3">
        <v>4360601</v>
      </c>
      <c r="F5361" s="1">
        <v>2463.6163163841802</v>
      </c>
      <c r="G5361" s="1">
        <v>3</v>
      </c>
      <c r="H5361" s="1">
        <v>1</v>
      </c>
      <c r="I5361" s="1">
        <v>2</v>
      </c>
      <c r="J5361" s="1">
        <v>2</v>
      </c>
      <c r="K5361" s="1">
        <v>2</v>
      </c>
      <c r="M5361" s="4">
        <v>1770</v>
      </c>
      <c r="N5361" s="1">
        <v>3273</v>
      </c>
      <c r="O5361" s="1">
        <v>4835</v>
      </c>
      <c r="P5361" s="1">
        <v>1562</v>
      </c>
      <c r="Q5361" s="1" t="s">
        <v>42</v>
      </c>
      <c r="S5361" s="1" t="s">
        <v>42</v>
      </c>
      <c r="T5361" s="1" t="s">
        <v>273</v>
      </c>
      <c r="U5361" s="1">
        <v>87</v>
      </c>
      <c r="V5361" s="5">
        <v>43865</v>
      </c>
      <c r="W5361" s="5">
        <v>42396</v>
      </c>
      <c r="X5361" s="1">
        <v>4500000</v>
      </c>
      <c r="Y5361" s="1">
        <v>4500000</v>
      </c>
      <c r="Z5361" s="5">
        <v>43643</v>
      </c>
      <c r="AA5361" s="1">
        <v>4360600.88</v>
      </c>
      <c r="AB5361" s="1" t="s">
        <v>3786</v>
      </c>
      <c r="AC5361" s="5">
        <v>43853</v>
      </c>
      <c r="AF5361" s="1">
        <v>10019</v>
      </c>
      <c r="AJ5361" s="1">
        <v>2018</v>
      </c>
      <c r="AK5361" s="1" t="s">
        <v>46</v>
      </c>
      <c r="AL5361" s="1">
        <v>145</v>
      </c>
    </row>
    <row r="5362" spans="1:38" x14ac:dyDescent="0.2">
      <c r="A5362" s="2" t="str">
        <f>HYPERLINK("https://www.compass.com/listing/135-west-52nd-street-unit-ph4-manhattan-ny-10019/29383365929049121/","135 W 52nd St, Unit PH4")</f>
        <v>135 W 52nd St, Unit PH4</v>
      </c>
      <c r="B5362" s="2" t="str">
        <f t="shared" ref="B5362:B5363" si="888">HYPERLINK("https://www.compass.com/building/135-w-52nd-st-manhattan-ny-10019/281943802548121109/","135 W 52nd St")</f>
        <v>135 W 52nd St</v>
      </c>
      <c r="C5362" s="1" t="s">
        <v>139</v>
      </c>
      <c r="D5362" s="1" t="s">
        <v>41</v>
      </c>
      <c r="E5362" s="3">
        <v>6378318</v>
      </c>
      <c r="F5362" s="1">
        <v>2452.2560553633198</v>
      </c>
      <c r="G5362" s="1">
        <v>6</v>
      </c>
      <c r="H5362" s="1">
        <v>3</v>
      </c>
      <c r="I5362" s="1">
        <v>4</v>
      </c>
      <c r="J5362" s="1">
        <v>3.5</v>
      </c>
      <c r="M5362" s="4">
        <v>2601</v>
      </c>
      <c r="N5362" s="1">
        <v>3098</v>
      </c>
      <c r="O5362" s="1">
        <v>6981</v>
      </c>
      <c r="P5362" s="1">
        <v>3883</v>
      </c>
      <c r="Q5362" s="1" t="s">
        <v>42</v>
      </c>
      <c r="S5362" s="1" t="s">
        <v>42</v>
      </c>
      <c r="T5362" s="1" t="s">
        <v>273</v>
      </c>
      <c r="U5362" s="1">
        <v>12</v>
      </c>
      <c r="V5362" s="5">
        <v>43640</v>
      </c>
      <c r="W5362" s="5">
        <v>42953</v>
      </c>
      <c r="X5362" s="1">
        <v>7150000</v>
      </c>
      <c r="Y5362" s="1">
        <v>7150000</v>
      </c>
      <c r="Z5362" s="5">
        <v>42965</v>
      </c>
      <c r="AA5362" s="1">
        <v>6378318</v>
      </c>
      <c r="AB5362" s="1" t="s">
        <v>3787</v>
      </c>
      <c r="AC5362" s="5">
        <v>43007</v>
      </c>
      <c r="AF5362" s="1">
        <v>10019</v>
      </c>
      <c r="AI5362" s="1" t="s">
        <v>131</v>
      </c>
      <c r="AJ5362" s="1">
        <v>2016</v>
      </c>
      <c r="AK5362" s="1" t="s">
        <v>49</v>
      </c>
      <c r="AL5362" s="1">
        <v>109</v>
      </c>
    </row>
    <row r="5363" spans="1:38" x14ac:dyDescent="0.2">
      <c r="A5363" s="2" t="str">
        <f>HYPERLINK("https://www.compass.com/listing/135-west-52nd-street-unit-8d-manhattan-ny-10019/29511819894735969/","135 W 52nd St, Unit 8D")</f>
        <v>135 W 52nd St, Unit 8D</v>
      </c>
      <c r="B5363" s="2" t="str">
        <f t="shared" si="888"/>
        <v>135 W 52nd St</v>
      </c>
      <c r="C5363" s="1" t="s">
        <v>139</v>
      </c>
      <c r="D5363" s="1" t="s">
        <v>41</v>
      </c>
      <c r="E5363" s="3">
        <v>4000000</v>
      </c>
      <c r="F5363" s="1">
        <v>1885.90287600188</v>
      </c>
      <c r="G5363" s="1">
        <v>5</v>
      </c>
      <c r="H5363" s="1">
        <v>3</v>
      </c>
      <c r="I5363" s="1">
        <v>3</v>
      </c>
      <c r="J5363" s="1">
        <v>3</v>
      </c>
      <c r="K5363" s="1">
        <v>3</v>
      </c>
      <c r="M5363" s="4">
        <v>2121</v>
      </c>
      <c r="N5363" s="1">
        <v>2820</v>
      </c>
      <c r="O5363" s="1">
        <v>5555</v>
      </c>
      <c r="P5363" s="1">
        <v>2735</v>
      </c>
      <c r="Q5363" s="1" t="s">
        <v>42</v>
      </c>
      <c r="S5363" s="1" t="s">
        <v>42</v>
      </c>
      <c r="T5363" s="1" t="s">
        <v>273</v>
      </c>
      <c r="U5363" s="1">
        <v>947</v>
      </c>
      <c r="V5363" s="5">
        <v>43892</v>
      </c>
      <c r="W5363" s="5">
        <v>42873</v>
      </c>
      <c r="X5363" s="1">
        <v>4650000</v>
      </c>
      <c r="Y5363" s="1">
        <v>4650000</v>
      </c>
      <c r="Z5363" s="5">
        <v>43868</v>
      </c>
      <c r="AA5363" s="1">
        <v>4000000</v>
      </c>
      <c r="AB5363" s="1" t="s">
        <v>275</v>
      </c>
      <c r="AC5363" s="5">
        <v>43886</v>
      </c>
      <c r="AF5363" s="1">
        <v>10019</v>
      </c>
      <c r="AI5363" s="1" t="s">
        <v>216</v>
      </c>
      <c r="AJ5363" s="1">
        <v>2016</v>
      </c>
      <c r="AK5363" s="1" t="s">
        <v>46</v>
      </c>
      <c r="AL5363" s="1">
        <v>109</v>
      </c>
    </row>
    <row r="5364" spans="1:38" x14ac:dyDescent="0.2">
      <c r="A5364" s="2" t="str">
        <f>HYPERLINK("https://www.compass.com/listing/217-west-57th-street-unit-33f-manhattan-ny-10019/821452466731255721/","217 W 57th St, Unit 33F")</f>
        <v>217 W 57th St, Unit 33F</v>
      </c>
      <c r="B5364" s="2" t="str">
        <f t="shared" ref="B5364:B5365" si="889">HYPERLINK("https://www.compass.com/building/central-park-tower-manhattan-ny/292845475244082085/","Central Park Tower")</f>
        <v>Central Park Tower</v>
      </c>
      <c r="C5364" s="1" t="s">
        <v>139</v>
      </c>
      <c r="D5364" s="1" t="s">
        <v>41</v>
      </c>
      <c r="E5364" s="3">
        <v>6638875</v>
      </c>
      <c r="F5364" s="1">
        <v>3140.4328287606399</v>
      </c>
      <c r="H5364" s="1">
        <v>2</v>
      </c>
      <c r="J5364" s="1">
        <v>2.5</v>
      </c>
      <c r="K5364" s="1">
        <v>2</v>
      </c>
      <c r="L5364" s="1">
        <v>1</v>
      </c>
      <c r="M5364" s="4">
        <v>2114</v>
      </c>
      <c r="N5364" s="1">
        <v>2665</v>
      </c>
      <c r="O5364" s="1">
        <v>7603</v>
      </c>
      <c r="P5364" s="1">
        <v>4938</v>
      </c>
      <c r="Q5364" s="1" t="s">
        <v>42</v>
      </c>
      <c r="S5364" s="1" t="s">
        <v>42</v>
      </c>
      <c r="T5364" s="1" t="s">
        <v>273</v>
      </c>
      <c r="AA5364" s="1">
        <v>6638875</v>
      </c>
      <c r="AB5364" s="1" t="s">
        <v>3788</v>
      </c>
      <c r="AC5364" s="5">
        <v>44350</v>
      </c>
      <c r="AF5364" s="1">
        <v>10019</v>
      </c>
      <c r="AI5364" s="1" t="s">
        <v>101</v>
      </c>
      <c r="AJ5364" s="1">
        <v>2020</v>
      </c>
      <c r="AL5364" s="1">
        <v>179</v>
      </c>
    </row>
    <row r="5365" spans="1:38" x14ac:dyDescent="0.2">
      <c r="A5365" s="2" t="str">
        <f>HYPERLINK("https://www.compass.com/listing/217-west-57th-street-unit-35a-manhattan-ny-10019/790405488528198513/","217 W 57th St, Unit 35A")</f>
        <v>217 W 57th St, Unit 35A</v>
      </c>
      <c r="B5365" s="2" t="str">
        <f t="shared" si="889"/>
        <v>Central Park Tower</v>
      </c>
      <c r="C5365" s="1" t="s">
        <v>139</v>
      </c>
      <c r="D5365" s="1" t="s">
        <v>41</v>
      </c>
      <c r="E5365" s="3">
        <v>7710913</v>
      </c>
      <c r="F5365" s="1">
        <v>3161.5057400574001</v>
      </c>
      <c r="H5365" s="1">
        <v>3</v>
      </c>
      <c r="J5365" s="1">
        <v>3</v>
      </c>
      <c r="M5365" s="4">
        <v>2439</v>
      </c>
      <c r="N5365" s="1">
        <v>3093</v>
      </c>
      <c r="O5365" s="1">
        <v>8824</v>
      </c>
      <c r="P5365" s="1">
        <v>5731</v>
      </c>
      <c r="Q5365" s="1" t="s">
        <v>42</v>
      </c>
      <c r="S5365" s="1" t="s">
        <v>42</v>
      </c>
      <c r="T5365" s="1" t="s">
        <v>273</v>
      </c>
      <c r="AA5365" s="1">
        <v>7710912.5</v>
      </c>
      <c r="AB5365" s="1" t="s">
        <v>3789</v>
      </c>
      <c r="AC5365" s="5">
        <v>44306</v>
      </c>
      <c r="AF5365" s="1">
        <v>10019</v>
      </c>
      <c r="AI5365" s="1" t="s">
        <v>101</v>
      </c>
      <c r="AJ5365" s="1">
        <v>2020</v>
      </c>
      <c r="AL5365" s="1">
        <v>179</v>
      </c>
    </row>
    <row r="5366" spans="1:38" x14ac:dyDescent="0.2">
      <c r="A5366" s="2" t="str">
        <f>HYPERLINK("https://www.compass.com/listing/135-west-52nd-street-unit-11a-manhattan-ny-10019/29383329631484881/","135 W 52nd St, Unit 11A")</f>
        <v>135 W 52nd St, Unit 11A</v>
      </c>
      <c r="B5366" s="2" t="str">
        <f t="shared" ref="B5366:B5367" si="890">HYPERLINK("https://www.compass.com/building/135-w-52nd-st-manhattan-ny-10019/281943802548121109/","135 W 52nd St")</f>
        <v>135 W 52nd St</v>
      </c>
      <c r="C5366" s="1" t="s">
        <v>139</v>
      </c>
      <c r="D5366" s="1" t="s">
        <v>41</v>
      </c>
      <c r="E5366" s="3">
        <v>1862000</v>
      </c>
      <c r="F5366" s="1">
        <v>1871.35678391959</v>
      </c>
      <c r="G5366" s="1">
        <v>4</v>
      </c>
      <c r="H5366" s="1">
        <v>2</v>
      </c>
      <c r="I5366" s="1">
        <v>2</v>
      </c>
      <c r="J5366" s="1">
        <v>2</v>
      </c>
      <c r="M5366" s="1">
        <v>995</v>
      </c>
      <c r="N5366" s="1">
        <v>797</v>
      </c>
      <c r="O5366" s="1">
        <v>2080</v>
      </c>
      <c r="P5366" s="1">
        <v>1283</v>
      </c>
      <c r="Q5366" s="1" t="s">
        <v>42</v>
      </c>
      <c r="S5366" s="1" t="s">
        <v>42</v>
      </c>
      <c r="T5366" s="1" t="s">
        <v>273</v>
      </c>
      <c r="U5366" s="1">
        <v>197</v>
      </c>
      <c r="V5366" s="5">
        <v>43640</v>
      </c>
      <c r="W5366" s="5">
        <v>42993</v>
      </c>
      <c r="X5366" s="1">
        <v>2100000</v>
      </c>
      <c r="Y5366" s="1">
        <v>1999000</v>
      </c>
      <c r="Z5366" s="5">
        <v>43190</v>
      </c>
      <c r="AA5366" s="1">
        <v>1862000</v>
      </c>
      <c r="AB5366" s="1" t="s">
        <v>3790</v>
      </c>
      <c r="AC5366" s="5">
        <v>43223</v>
      </c>
      <c r="AF5366" s="1">
        <v>10019</v>
      </c>
      <c r="AJ5366" s="1">
        <v>2016</v>
      </c>
      <c r="AK5366" s="1" t="s">
        <v>49</v>
      </c>
      <c r="AL5366" s="1">
        <v>109</v>
      </c>
    </row>
    <row r="5367" spans="1:38" x14ac:dyDescent="0.2">
      <c r="A5367" s="2" t="str">
        <f>HYPERLINK("https://www.compass.com/listing/135-west-52nd-street-unit-10a-manhattan-ny-10019/29511822746938353/","135 W 52nd St, Unit 10A")</f>
        <v>135 W 52nd St, Unit 10A</v>
      </c>
      <c r="B5367" s="2" t="str">
        <f t="shared" si="890"/>
        <v>135 W 52nd St</v>
      </c>
      <c r="C5367" s="1" t="s">
        <v>139</v>
      </c>
      <c r="D5367" s="1" t="s">
        <v>41</v>
      </c>
      <c r="E5367" s="3">
        <v>1790000</v>
      </c>
      <c r="F5367" s="1">
        <v>1798.99497487437</v>
      </c>
      <c r="G5367" s="1">
        <v>4</v>
      </c>
      <c r="H5367" s="1">
        <v>2</v>
      </c>
      <c r="I5367" s="1">
        <v>2</v>
      </c>
      <c r="J5367" s="1">
        <v>2</v>
      </c>
      <c r="M5367" s="1">
        <v>995</v>
      </c>
      <c r="N5367" s="1">
        <v>906</v>
      </c>
      <c r="O5367" s="1">
        <v>2206</v>
      </c>
      <c r="P5367" s="1">
        <v>1300</v>
      </c>
      <c r="Q5367" s="1" t="s">
        <v>42</v>
      </c>
      <c r="S5367" s="1" t="s">
        <v>42</v>
      </c>
      <c r="T5367" s="1" t="s">
        <v>273</v>
      </c>
      <c r="U5367" s="1">
        <v>149</v>
      </c>
      <c r="V5367" s="5">
        <v>43630</v>
      </c>
      <c r="W5367" s="5">
        <v>43159</v>
      </c>
      <c r="X5367" s="1">
        <v>1950000</v>
      </c>
      <c r="Y5367" s="1">
        <v>1800000</v>
      </c>
      <c r="Z5367" s="5">
        <v>43315</v>
      </c>
      <c r="AA5367" s="1">
        <v>1790000</v>
      </c>
      <c r="AB5367" s="1" t="s">
        <v>3791</v>
      </c>
      <c r="AC5367" s="5">
        <v>43355</v>
      </c>
      <c r="AF5367" s="1">
        <v>10019</v>
      </c>
      <c r="AJ5367" s="1">
        <v>2016</v>
      </c>
      <c r="AK5367" s="1" t="s">
        <v>49</v>
      </c>
      <c r="AL5367" s="1">
        <v>109</v>
      </c>
    </row>
    <row r="5368" spans="1:38" x14ac:dyDescent="0.2">
      <c r="A5368" s="2" t="str">
        <f>HYPERLINK("https://www.compass.com/listing/53-west-53rd-street-unit-35b-manhattan-ny-10019/23954423810170193/","53 W 53rd St, Unit 35B")</f>
        <v>53 W 53rd St, Unit 35B</v>
      </c>
      <c r="B5368" s="2" t="str">
        <f t="shared" ref="B5368:B5373" si="891">HYPERLINK("https://www.compass.com/building/53-west-53-manhattan-ny/281946357818781477/","53 West 53")</f>
        <v>53 West 53</v>
      </c>
      <c r="C5368" s="1" t="s">
        <v>139</v>
      </c>
      <c r="D5368" s="1" t="s">
        <v>41</v>
      </c>
      <c r="E5368" s="3">
        <v>6100000</v>
      </c>
      <c r="F5368" s="1">
        <v>2987.26738491674</v>
      </c>
      <c r="G5368" s="1">
        <v>4</v>
      </c>
      <c r="H5368" s="1">
        <v>2</v>
      </c>
      <c r="I5368" s="1">
        <v>3</v>
      </c>
      <c r="J5368" s="1">
        <v>2.5</v>
      </c>
      <c r="K5368" s="1">
        <v>2</v>
      </c>
      <c r="L5368" s="1">
        <v>1</v>
      </c>
      <c r="M5368" s="4">
        <v>2042</v>
      </c>
      <c r="N5368" s="1">
        <v>4028</v>
      </c>
      <c r="O5368" s="1">
        <v>5951</v>
      </c>
      <c r="P5368" s="1">
        <v>1923</v>
      </c>
      <c r="Q5368" s="1" t="s">
        <v>42</v>
      </c>
      <c r="S5368" s="1" t="s">
        <v>42</v>
      </c>
      <c r="T5368" s="1" t="s">
        <v>273</v>
      </c>
      <c r="U5368" s="1">
        <v>127</v>
      </c>
      <c r="V5368" s="5">
        <v>43885</v>
      </c>
      <c r="W5368" s="5">
        <v>42801</v>
      </c>
      <c r="X5368" s="1">
        <v>6850000</v>
      </c>
      <c r="Y5368" s="1">
        <v>6850000</v>
      </c>
      <c r="Z5368" s="5">
        <v>43588</v>
      </c>
      <c r="AA5368" s="1">
        <v>6100000</v>
      </c>
      <c r="AB5368" s="1" t="s">
        <v>3792</v>
      </c>
      <c r="AC5368" s="5">
        <v>43874</v>
      </c>
      <c r="AF5368" s="1">
        <v>10019</v>
      </c>
      <c r="AJ5368" s="1">
        <v>2018</v>
      </c>
      <c r="AK5368" s="1" t="s">
        <v>46</v>
      </c>
      <c r="AL5368" s="1">
        <v>145</v>
      </c>
    </row>
    <row r="5369" spans="1:38" x14ac:dyDescent="0.2">
      <c r="A5369" s="2" t="str">
        <f>HYPERLINK("https://www.compass.com/listing/53-west-53rd-street-unit-28a-manhattan-ny-10019/28876180975270209/","53 W 53rd St, Unit 28A")</f>
        <v>53 W 53rd St, Unit 28A</v>
      </c>
      <c r="B5369" s="2" t="str">
        <f t="shared" si="891"/>
        <v>53 West 53</v>
      </c>
      <c r="C5369" s="1" t="s">
        <v>139</v>
      </c>
      <c r="D5369" s="1" t="s">
        <v>41</v>
      </c>
      <c r="E5369" s="3">
        <v>6631808</v>
      </c>
      <c r="F5369" s="1">
        <v>3183.7770043206901</v>
      </c>
      <c r="G5369" s="1">
        <v>5</v>
      </c>
      <c r="H5369" s="1">
        <v>2</v>
      </c>
      <c r="I5369" s="1">
        <v>3</v>
      </c>
      <c r="J5369" s="1">
        <v>2.5</v>
      </c>
      <c r="K5369" s="1">
        <v>2</v>
      </c>
      <c r="L5369" s="1">
        <v>1</v>
      </c>
      <c r="M5369" s="4">
        <v>2083</v>
      </c>
      <c r="N5369" s="1">
        <v>3987</v>
      </c>
      <c r="O5369" s="1">
        <v>5890</v>
      </c>
      <c r="P5369" s="1">
        <v>1903</v>
      </c>
      <c r="Q5369" s="1" t="s">
        <v>42</v>
      </c>
      <c r="S5369" s="1" t="s">
        <v>42</v>
      </c>
      <c r="T5369" s="1" t="s">
        <v>273</v>
      </c>
      <c r="U5369" s="1">
        <v>105</v>
      </c>
      <c r="V5369" s="5">
        <v>43907</v>
      </c>
      <c r="W5369" s="5">
        <v>42291</v>
      </c>
      <c r="X5369" s="1">
        <v>7000000</v>
      </c>
      <c r="Y5369" s="1">
        <v>7000000</v>
      </c>
      <c r="Z5369" s="5">
        <v>43630</v>
      </c>
      <c r="AA5369" s="1">
        <v>6631807.5</v>
      </c>
      <c r="AB5369" s="1" t="s">
        <v>3793</v>
      </c>
      <c r="AC5369" s="5">
        <v>43895</v>
      </c>
      <c r="AF5369" s="1">
        <v>10019</v>
      </c>
      <c r="AJ5369" s="1">
        <v>2018</v>
      </c>
      <c r="AK5369" s="1" t="s">
        <v>46</v>
      </c>
      <c r="AL5369" s="1">
        <v>145</v>
      </c>
    </row>
    <row r="5370" spans="1:38" x14ac:dyDescent="0.2">
      <c r="A5370" s="2" t="str">
        <f>HYPERLINK("https://www.compass.com/listing/53-west-53rd-street-unit-28c-manhattan-ny-10019/28876181176596817/","53 W 53rd St, Unit 28C")</f>
        <v>53 W 53rd St, Unit 28C</v>
      </c>
      <c r="B5370" s="2" t="str">
        <f t="shared" si="891"/>
        <v>53 West 53</v>
      </c>
      <c r="C5370" s="1" t="s">
        <v>139</v>
      </c>
      <c r="D5370" s="1" t="s">
        <v>41</v>
      </c>
      <c r="E5370" s="3">
        <v>6367062</v>
      </c>
      <c r="F5370" s="1">
        <v>3040.6217765042902</v>
      </c>
      <c r="G5370" s="1">
        <v>4</v>
      </c>
      <c r="H5370" s="1">
        <v>2</v>
      </c>
      <c r="I5370" s="1">
        <v>3</v>
      </c>
      <c r="J5370" s="1">
        <v>2.5</v>
      </c>
      <c r="K5370" s="1">
        <v>2</v>
      </c>
      <c r="L5370" s="1">
        <v>1</v>
      </c>
      <c r="M5370" s="4">
        <v>2094</v>
      </c>
      <c r="N5370" s="1">
        <v>4008</v>
      </c>
      <c r="O5370" s="1">
        <v>5921</v>
      </c>
      <c r="P5370" s="1">
        <v>1913</v>
      </c>
      <c r="Q5370" s="1" t="s">
        <v>42</v>
      </c>
      <c r="S5370" s="1" t="s">
        <v>42</v>
      </c>
      <c r="T5370" s="1" t="s">
        <v>273</v>
      </c>
      <c r="U5370" s="1">
        <v>33</v>
      </c>
      <c r="V5370" s="5">
        <v>43901</v>
      </c>
      <c r="W5370" s="5">
        <v>42495</v>
      </c>
      <c r="X5370" s="1">
        <v>6585000</v>
      </c>
      <c r="Y5370" s="1">
        <v>6585000</v>
      </c>
      <c r="Z5370" s="5">
        <v>43581</v>
      </c>
      <c r="AA5370" s="1">
        <v>6367062.5</v>
      </c>
      <c r="AB5370" s="1" t="s">
        <v>3794</v>
      </c>
      <c r="AC5370" s="5">
        <v>43889</v>
      </c>
      <c r="AF5370" s="1">
        <v>10019</v>
      </c>
      <c r="AJ5370" s="1">
        <v>2018</v>
      </c>
      <c r="AK5370" s="1" t="s">
        <v>46</v>
      </c>
      <c r="AL5370" s="1">
        <v>145</v>
      </c>
    </row>
    <row r="5371" spans="1:38" x14ac:dyDescent="0.2">
      <c r="A5371" s="2" t="str">
        <f>HYPERLINK("https://www.compass.com/listing/53-west-53rd-street-unit-25d-manhattan-ny-10019/28876190085299361/","53 W 53rd St, Unit 25D")</f>
        <v>53 W 53rd St, Unit 25D</v>
      </c>
      <c r="B5371" s="2" t="str">
        <f t="shared" si="891"/>
        <v>53 West 53</v>
      </c>
      <c r="C5371" s="1" t="s">
        <v>139</v>
      </c>
      <c r="D5371" s="1" t="s">
        <v>41</v>
      </c>
      <c r="E5371" s="3">
        <v>6316150</v>
      </c>
      <c r="F5371" s="1">
        <v>2578.0204081632601</v>
      </c>
      <c r="G5371" s="1">
        <v>4</v>
      </c>
      <c r="H5371" s="1">
        <v>2</v>
      </c>
      <c r="I5371" s="1">
        <v>3</v>
      </c>
      <c r="J5371" s="1">
        <v>2.5</v>
      </c>
      <c r="K5371" s="1">
        <v>2</v>
      </c>
      <c r="L5371" s="1">
        <v>1</v>
      </c>
      <c r="M5371" s="4">
        <v>2450</v>
      </c>
      <c r="N5371" s="1">
        <v>4624</v>
      </c>
      <c r="O5371" s="1">
        <v>6831</v>
      </c>
      <c r="P5371" s="1">
        <v>2207</v>
      </c>
      <c r="Q5371" s="1" t="s">
        <v>42</v>
      </c>
      <c r="S5371" s="1" t="s">
        <v>42</v>
      </c>
      <c r="T5371" s="1" t="s">
        <v>273</v>
      </c>
      <c r="U5371" s="1">
        <v>59</v>
      </c>
      <c r="V5371" s="5">
        <v>43865</v>
      </c>
      <c r="W5371" s="5">
        <v>42433</v>
      </c>
      <c r="X5371" s="1">
        <v>6770000</v>
      </c>
      <c r="Y5371" s="1">
        <v>6770000</v>
      </c>
      <c r="Z5371" s="5">
        <v>43536</v>
      </c>
      <c r="AA5371" s="1">
        <v>6316150</v>
      </c>
      <c r="AB5371" s="1" t="s">
        <v>3795</v>
      </c>
      <c r="AC5371" s="5">
        <v>43839</v>
      </c>
      <c r="AF5371" s="1">
        <v>10019</v>
      </c>
      <c r="AJ5371" s="1">
        <v>2018</v>
      </c>
      <c r="AK5371" s="1" t="s">
        <v>46</v>
      </c>
      <c r="AL5371" s="1">
        <v>145</v>
      </c>
    </row>
    <row r="5372" spans="1:38" x14ac:dyDescent="0.2">
      <c r="A5372" s="2" t="str">
        <f>HYPERLINK("https://www.compass.com/listing/53-west-53rd-street-unit-51b-manhattan-ny-10019/211527302058676865/","53 W 53rd St, Unit 51B")</f>
        <v>53 W 53rd St, Unit 51B</v>
      </c>
      <c r="B5372" s="2" t="str">
        <f t="shared" si="891"/>
        <v>53 West 53</v>
      </c>
      <c r="C5372" s="1" t="s">
        <v>139</v>
      </c>
      <c r="D5372" s="1" t="s">
        <v>41</v>
      </c>
      <c r="E5372" s="3">
        <v>11151566</v>
      </c>
      <c r="F5372" s="1">
        <v>3276.0181227967</v>
      </c>
      <c r="G5372" s="1">
        <v>5</v>
      </c>
      <c r="H5372" s="1">
        <v>3</v>
      </c>
      <c r="I5372" s="1">
        <v>4</v>
      </c>
      <c r="J5372" s="1">
        <v>3.5</v>
      </c>
      <c r="K5372" s="1">
        <v>3</v>
      </c>
      <c r="L5372" s="1">
        <v>1</v>
      </c>
      <c r="M5372" s="4">
        <v>3404</v>
      </c>
      <c r="N5372" s="1">
        <v>6998</v>
      </c>
      <c r="O5372" s="1">
        <v>10338</v>
      </c>
      <c r="P5372" s="1">
        <v>3340</v>
      </c>
      <c r="Q5372" s="1" t="s">
        <v>42</v>
      </c>
      <c r="S5372" s="1" t="s">
        <v>42</v>
      </c>
      <c r="T5372" s="1" t="s">
        <v>273</v>
      </c>
      <c r="V5372" s="5">
        <v>43865</v>
      </c>
      <c r="W5372" s="5">
        <v>43542</v>
      </c>
      <c r="X5372" s="1">
        <v>11525000</v>
      </c>
      <c r="Y5372" s="1">
        <v>11525000</v>
      </c>
      <c r="Z5372" s="5">
        <v>43542</v>
      </c>
      <c r="AA5372" s="1">
        <v>11151565.689999999</v>
      </c>
      <c r="AB5372" s="1" t="s">
        <v>3796</v>
      </c>
      <c r="AC5372" s="5">
        <v>43852</v>
      </c>
      <c r="AF5372" s="1">
        <v>10019</v>
      </c>
      <c r="AJ5372" s="1">
        <v>2018</v>
      </c>
      <c r="AK5372" s="1" t="s">
        <v>46</v>
      </c>
      <c r="AL5372" s="1">
        <v>145</v>
      </c>
    </row>
    <row r="5373" spans="1:38" x14ac:dyDescent="0.2">
      <c r="A5373" s="2" t="str">
        <f>HYPERLINK("https://www.compass.com/listing/53-west-53rd-street-unit-55b-manhattan-ny-10019/28876177661769745/","53 W 53rd St, Unit 55B")</f>
        <v>53 W 53rd St, Unit 55B</v>
      </c>
      <c r="B5373" s="2" t="str">
        <f t="shared" si="891"/>
        <v>53 West 53</v>
      </c>
      <c r="C5373" s="1" t="s">
        <v>139</v>
      </c>
      <c r="D5373" s="1" t="s">
        <v>41</v>
      </c>
      <c r="E5373" s="3">
        <v>11560138</v>
      </c>
      <c r="F5373" s="1">
        <v>3485.11832981609</v>
      </c>
      <c r="G5373" s="1">
        <v>5</v>
      </c>
      <c r="H5373" s="1">
        <v>3</v>
      </c>
      <c r="I5373" s="1">
        <v>4</v>
      </c>
      <c r="J5373" s="1">
        <v>3.5</v>
      </c>
      <c r="K5373" s="1">
        <v>3</v>
      </c>
      <c r="L5373" s="1">
        <v>1</v>
      </c>
      <c r="M5373" s="4">
        <v>3317</v>
      </c>
      <c r="N5373" s="1">
        <v>6937</v>
      </c>
      <c r="O5373" s="1">
        <v>10248</v>
      </c>
      <c r="P5373" s="1">
        <v>3311</v>
      </c>
      <c r="Q5373" s="1" t="s">
        <v>42</v>
      </c>
      <c r="S5373" s="1" t="s">
        <v>42</v>
      </c>
      <c r="T5373" s="1" t="s">
        <v>273</v>
      </c>
      <c r="U5373" s="1">
        <v>28</v>
      </c>
      <c r="V5373" s="5">
        <v>43865</v>
      </c>
      <c r="W5373" s="5">
        <v>43306</v>
      </c>
      <c r="X5373" s="1">
        <v>14425000</v>
      </c>
      <c r="Y5373" s="1">
        <v>14425000</v>
      </c>
      <c r="Z5373" s="5">
        <v>43539</v>
      </c>
      <c r="AA5373" s="1">
        <v>11560137.5</v>
      </c>
      <c r="AB5373" s="1" t="s">
        <v>3797</v>
      </c>
      <c r="AC5373" s="5">
        <v>43854</v>
      </c>
      <c r="AF5373" s="1">
        <v>10019</v>
      </c>
      <c r="AJ5373" s="1">
        <v>2018</v>
      </c>
      <c r="AK5373" s="1" t="s">
        <v>46</v>
      </c>
      <c r="AL5373" s="1">
        <v>145</v>
      </c>
    </row>
    <row r="5374" spans="1:38" x14ac:dyDescent="0.2">
      <c r="A5374" s="2" t="str">
        <f>HYPERLINK("https://www.compass.com/listing/135-west-52nd-street-unit-33c-manhattan-ny-10019/29383364326824977/","135 W 52nd St, Unit 33C")</f>
        <v>135 W 52nd St, Unit 33C</v>
      </c>
      <c r="B5374" s="2" t="str">
        <f t="shared" ref="B5374:B5375" si="892">HYPERLINK("https://www.compass.com/building/135-w-52nd-st-manhattan-ny-10019/281943802548121109/","135 W 52nd St")</f>
        <v>135 W 52nd St</v>
      </c>
      <c r="C5374" s="1" t="s">
        <v>139</v>
      </c>
      <c r="D5374" s="1" t="s">
        <v>41</v>
      </c>
      <c r="E5374" s="3">
        <v>3818438</v>
      </c>
      <c r="F5374" s="1">
        <v>2469.8822768434602</v>
      </c>
      <c r="G5374" s="1">
        <v>4</v>
      </c>
      <c r="H5374" s="1">
        <v>2</v>
      </c>
      <c r="I5374" s="1">
        <v>3</v>
      </c>
      <c r="J5374" s="1">
        <v>2.5</v>
      </c>
      <c r="K5374" s="1">
        <v>2</v>
      </c>
      <c r="L5374" s="1">
        <v>1</v>
      </c>
      <c r="M5374" s="4">
        <v>1546</v>
      </c>
      <c r="N5374" s="1">
        <v>1597</v>
      </c>
      <c r="O5374" s="1">
        <v>3292</v>
      </c>
      <c r="P5374" s="1">
        <v>1695</v>
      </c>
      <c r="Q5374" s="1" t="s">
        <v>42</v>
      </c>
      <c r="S5374" s="1" t="s">
        <v>42</v>
      </c>
      <c r="T5374" s="1" t="s">
        <v>273</v>
      </c>
      <c r="U5374" s="1">
        <v>238</v>
      </c>
      <c r="V5374" s="5">
        <v>44225</v>
      </c>
      <c r="W5374" s="5">
        <v>42209</v>
      </c>
      <c r="X5374" s="1">
        <v>3750000</v>
      </c>
      <c r="Y5374" s="1">
        <v>3750000</v>
      </c>
      <c r="Z5374" s="5">
        <v>42447</v>
      </c>
      <c r="AA5374" s="1">
        <v>3818438</v>
      </c>
      <c r="AB5374" s="1" t="s">
        <v>3798</v>
      </c>
      <c r="AC5374" s="5">
        <v>42459</v>
      </c>
      <c r="AF5374" s="1">
        <v>10019</v>
      </c>
      <c r="AJ5374" s="1">
        <v>2016</v>
      </c>
      <c r="AK5374" s="1" t="s">
        <v>49</v>
      </c>
      <c r="AL5374" s="1">
        <v>109</v>
      </c>
    </row>
    <row r="5375" spans="1:38" x14ac:dyDescent="0.2">
      <c r="A5375" s="2" t="str">
        <f>HYPERLINK("https://www.compass.com/listing/135-west-52nd-street-unit-8a-manhattan-ny-10019/200534723133491169/","135 W 52nd St, Unit 8A")</f>
        <v>135 W 52nd St, Unit 8A</v>
      </c>
      <c r="B5375" s="2" t="str">
        <f t="shared" si="892"/>
        <v>135 W 52nd St</v>
      </c>
      <c r="C5375" s="1" t="s">
        <v>139</v>
      </c>
      <c r="D5375" s="1" t="s">
        <v>41</v>
      </c>
      <c r="E5375" s="3">
        <v>3600000</v>
      </c>
      <c r="F5375" s="1">
        <v>1699.71671388101</v>
      </c>
      <c r="G5375" s="1">
        <v>5</v>
      </c>
      <c r="H5375" s="1">
        <v>3</v>
      </c>
      <c r="I5375" s="1">
        <v>3</v>
      </c>
      <c r="J5375" s="1">
        <v>3</v>
      </c>
      <c r="K5375" s="1">
        <v>3</v>
      </c>
      <c r="M5375" s="4">
        <v>2118</v>
      </c>
      <c r="N5375" s="1">
        <v>2819</v>
      </c>
      <c r="O5375" s="1">
        <v>5590</v>
      </c>
      <c r="P5375" s="1">
        <v>2771</v>
      </c>
      <c r="Q5375" s="1" t="s">
        <v>42</v>
      </c>
      <c r="S5375" s="1" t="s">
        <v>42</v>
      </c>
      <c r="T5375" s="1" t="s">
        <v>273</v>
      </c>
      <c r="U5375" s="1">
        <v>819</v>
      </c>
      <c r="V5375" s="5">
        <v>43889</v>
      </c>
      <c r="W5375" s="5">
        <v>42902</v>
      </c>
      <c r="Y5375" s="1">
        <v>3950000</v>
      </c>
      <c r="AA5375" s="1">
        <v>3600000</v>
      </c>
      <c r="AB5375" s="1" t="s">
        <v>426</v>
      </c>
      <c r="AC5375" s="5">
        <v>43910</v>
      </c>
      <c r="AF5375" s="1">
        <v>10019</v>
      </c>
      <c r="AI5375" s="1" t="s">
        <v>131</v>
      </c>
      <c r="AJ5375" s="1">
        <v>2016</v>
      </c>
      <c r="AK5375" s="1" t="s">
        <v>46</v>
      </c>
      <c r="AL5375" s="1">
        <v>109</v>
      </c>
    </row>
    <row r="5376" spans="1:38" x14ac:dyDescent="0.2">
      <c r="A5376" s="2" t="str">
        <f>HYPERLINK("https://www.compass.com/listing/53-west-53rd-street-unit-26d-manhattan-ny-10019/29593231067034481/","53 W 53rd St, Unit 26D")</f>
        <v>53 W 53rd St, Unit 26D</v>
      </c>
      <c r="B5376" s="2" t="str">
        <f>HYPERLINK("https://www.compass.com/building/53-west-53-manhattan-ny/281946357818781477/","53 West 53")</f>
        <v>53 West 53</v>
      </c>
      <c r="C5376" s="1" t="s">
        <v>139</v>
      </c>
      <c r="D5376" s="1" t="s">
        <v>41</v>
      </c>
      <c r="E5376" s="3">
        <v>6763162</v>
      </c>
      <c r="F5376" s="1">
        <v>2394.03955752212</v>
      </c>
      <c r="G5376" s="1">
        <v>5.5</v>
      </c>
      <c r="H5376" s="1">
        <v>3</v>
      </c>
      <c r="I5376" s="1">
        <v>4</v>
      </c>
      <c r="J5376" s="1">
        <v>3.5</v>
      </c>
      <c r="K5376" s="1">
        <v>3</v>
      </c>
      <c r="L5376" s="1">
        <v>1</v>
      </c>
      <c r="M5376" s="4">
        <v>2825</v>
      </c>
      <c r="N5376" s="1">
        <v>5357</v>
      </c>
      <c r="O5376" s="1">
        <v>7914</v>
      </c>
      <c r="P5376" s="1">
        <v>2557</v>
      </c>
      <c r="Q5376" s="1" t="s">
        <v>42</v>
      </c>
      <c r="S5376" s="1" t="s">
        <v>42</v>
      </c>
      <c r="T5376" s="1" t="s">
        <v>273</v>
      </c>
      <c r="U5376" s="1">
        <v>292</v>
      </c>
      <c r="V5376" s="5">
        <v>44072</v>
      </c>
      <c r="W5376" s="5">
        <v>42941</v>
      </c>
      <c r="X5376" s="1">
        <v>6750000</v>
      </c>
      <c r="Y5376" s="1">
        <v>7110000</v>
      </c>
      <c r="Z5376" s="5">
        <v>43608</v>
      </c>
      <c r="AA5376" s="1">
        <v>6763161.75</v>
      </c>
      <c r="AB5376" s="1" t="s">
        <v>3799</v>
      </c>
      <c r="AC5376" s="5">
        <v>43854</v>
      </c>
      <c r="AF5376" s="1">
        <v>10019</v>
      </c>
      <c r="AJ5376" s="1">
        <v>2018</v>
      </c>
      <c r="AK5376" s="1" t="s">
        <v>46</v>
      </c>
      <c r="AL5376" s="1">
        <v>145</v>
      </c>
    </row>
    <row r="5377" spans="1:38" x14ac:dyDescent="0.2">
      <c r="A5377" s="2" t="str">
        <f>HYPERLINK("https://www.compass.com/listing/135-west-52nd-street-unit-28a-manhattan-ny-10019/29383358043757505/","135 W 52nd St, Unit 28A")</f>
        <v>135 W 52nd St, Unit 28A</v>
      </c>
      <c r="B5377" s="2" t="str">
        <f>HYPERLINK("https://www.compass.com/building/135-w-52nd-st-manhattan-ny-10019/281943802548121109/","135 W 52nd St")</f>
        <v>135 W 52nd St</v>
      </c>
      <c r="C5377" s="1" t="s">
        <v>139</v>
      </c>
      <c r="D5377" s="1" t="s">
        <v>41</v>
      </c>
      <c r="E5377" s="3">
        <v>5300000</v>
      </c>
      <c r="F5377" s="1">
        <v>2379.8832510103198</v>
      </c>
      <c r="G5377" s="1">
        <v>7</v>
      </c>
      <c r="H5377" s="1">
        <v>4</v>
      </c>
      <c r="I5377" s="1">
        <v>4</v>
      </c>
      <c r="J5377" s="1">
        <v>3.5</v>
      </c>
      <c r="M5377" s="4">
        <v>2227</v>
      </c>
      <c r="N5377" s="1">
        <v>2288</v>
      </c>
      <c r="O5377" s="1">
        <v>5558</v>
      </c>
      <c r="P5377" s="1">
        <v>3270</v>
      </c>
      <c r="Q5377" s="1" t="s">
        <v>42</v>
      </c>
      <c r="S5377" s="1" t="s">
        <v>42</v>
      </c>
      <c r="T5377" s="1" t="s">
        <v>273</v>
      </c>
      <c r="U5377" s="1">
        <v>477</v>
      </c>
      <c r="V5377" s="5">
        <v>43631</v>
      </c>
      <c r="W5377" s="5">
        <v>42209</v>
      </c>
      <c r="X5377" s="1">
        <v>5300000</v>
      </c>
      <c r="Y5377" s="1">
        <v>5300000</v>
      </c>
      <c r="Z5377" s="5">
        <v>42686</v>
      </c>
      <c r="AA5377" s="1">
        <v>5300000</v>
      </c>
      <c r="AB5377" s="1" t="s">
        <v>3800</v>
      </c>
      <c r="AC5377" s="5">
        <v>42768</v>
      </c>
      <c r="AF5377" s="1">
        <v>10019</v>
      </c>
      <c r="AJ5377" s="1">
        <v>2016</v>
      </c>
      <c r="AK5377" s="1" t="s">
        <v>46</v>
      </c>
      <c r="AL5377" s="1">
        <v>109</v>
      </c>
    </row>
    <row r="5378" spans="1:38" x14ac:dyDescent="0.2">
      <c r="A5378" s="2" t="str">
        <f>HYPERLINK("https://www.compass.com/listing/53-west-53rd-street-unit-39b-manhattan-ny-10019/20163990281828865/","53 W 53rd St, Unit 39B")</f>
        <v>53 W 53rd St, Unit 39B</v>
      </c>
      <c r="B5378" s="2" t="str">
        <f t="shared" ref="B5378:B5380" si="893">HYPERLINK("https://www.compass.com/building/53-west-53-manhattan-ny/281946357818781477/","53 West 53")</f>
        <v>53 West 53</v>
      </c>
      <c r="C5378" s="1" t="s">
        <v>139</v>
      </c>
      <c r="D5378" s="1" t="s">
        <v>41</v>
      </c>
      <c r="E5378" s="3">
        <v>5500000</v>
      </c>
      <c r="F5378" s="1">
        <v>2710.6949236076798</v>
      </c>
      <c r="G5378" s="1">
        <v>5</v>
      </c>
      <c r="H5378" s="1">
        <v>2</v>
      </c>
      <c r="I5378" s="1">
        <v>3</v>
      </c>
      <c r="J5378" s="1">
        <v>2.5</v>
      </c>
      <c r="K5378" s="1">
        <v>2</v>
      </c>
      <c r="L5378" s="1">
        <v>1</v>
      </c>
      <c r="M5378" s="4">
        <v>2029</v>
      </c>
      <c r="N5378" s="1">
        <v>4686</v>
      </c>
      <c r="O5378" s="1">
        <v>6634</v>
      </c>
      <c r="P5378" s="1">
        <v>1948</v>
      </c>
      <c r="Q5378" s="1" t="s">
        <v>42</v>
      </c>
      <c r="S5378" s="1" t="s">
        <v>42</v>
      </c>
      <c r="T5378" s="1" t="s">
        <v>273</v>
      </c>
      <c r="U5378" s="1">
        <v>7</v>
      </c>
      <c r="V5378" s="5">
        <v>44139</v>
      </c>
      <c r="W5378" s="5">
        <v>43839</v>
      </c>
      <c r="X5378" s="1">
        <v>6595000</v>
      </c>
      <c r="Y5378" s="1">
        <v>6595000</v>
      </c>
      <c r="Z5378" s="5">
        <v>44000</v>
      </c>
      <c r="AA5378" s="1">
        <v>5500000</v>
      </c>
      <c r="AB5378" s="1" t="s">
        <v>3801</v>
      </c>
      <c r="AC5378" s="5">
        <v>44110</v>
      </c>
      <c r="AF5378" s="1">
        <v>10019</v>
      </c>
      <c r="AJ5378" s="1">
        <v>2018</v>
      </c>
      <c r="AK5378" s="1" t="s">
        <v>46</v>
      </c>
      <c r="AL5378" s="1">
        <v>145</v>
      </c>
    </row>
    <row r="5379" spans="1:38" x14ac:dyDescent="0.2">
      <c r="A5379" s="2" t="str">
        <f>HYPERLINK("https://www.compass.com/listing/53-west-53rd-street-unit-17d-manhattan-ny-10019/23954409390210177/","53 W 53rd St, Unit 17D")</f>
        <v>53 W 53rd St, Unit 17D</v>
      </c>
      <c r="B5379" s="2" t="str">
        <f t="shared" si="893"/>
        <v>53 West 53</v>
      </c>
      <c r="C5379" s="1" t="s">
        <v>139</v>
      </c>
      <c r="D5379" s="1" t="s">
        <v>41</v>
      </c>
      <c r="E5379" s="3">
        <v>7890710</v>
      </c>
      <c r="F5379" s="1">
        <v>2848.6317689530601</v>
      </c>
      <c r="G5379" s="1">
        <v>4.5</v>
      </c>
      <c r="H5379" s="1">
        <v>2</v>
      </c>
      <c r="I5379" s="1">
        <v>3</v>
      </c>
      <c r="J5379" s="1">
        <v>2.5</v>
      </c>
      <c r="K5379" s="1">
        <v>2</v>
      </c>
      <c r="L5379" s="1">
        <v>1</v>
      </c>
      <c r="M5379" s="4">
        <v>2770</v>
      </c>
      <c r="N5379" s="1">
        <v>6541</v>
      </c>
      <c r="O5379" s="1">
        <v>9263</v>
      </c>
      <c r="P5379" s="1">
        <v>2722</v>
      </c>
      <c r="Q5379" s="1" t="s">
        <v>42</v>
      </c>
      <c r="S5379" s="1" t="s">
        <v>42</v>
      </c>
      <c r="T5379" s="1" t="s">
        <v>273</v>
      </c>
      <c r="U5379" s="1">
        <v>284</v>
      </c>
      <c r="V5379" s="5">
        <v>44343</v>
      </c>
      <c r="W5379" s="5">
        <v>43839</v>
      </c>
      <c r="X5379" s="1">
        <v>9425000</v>
      </c>
      <c r="Y5379" s="1">
        <v>9425000</v>
      </c>
      <c r="Z5379" s="5">
        <v>44281</v>
      </c>
      <c r="AA5379" s="1">
        <v>7890710</v>
      </c>
      <c r="AB5379" s="1" t="s">
        <v>3802</v>
      </c>
      <c r="AC5379" s="5">
        <v>44327</v>
      </c>
      <c r="AF5379" s="1">
        <v>10019</v>
      </c>
      <c r="AI5379" s="1" t="s">
        <v>216</v>
      </c>
      <c r="AJ5379" s="1">
        <v>2018</v>
      </c>
      <c r="AK5379" s="1" t="s">
        <v>46</v>
      </c>
      <c r="AL5379" s="1">
        <v>145</v>
      </c>
    </row>
    <row r="5380" spans="1:38" x14ac:dyDescent="0.2">
      <c r="A5380" s="2" t="str">
        <f>HYPERLINK("https://www.compass.com/listing/53-west-53rd-street-unit-24a-manhattan-ny-10019/29631052154772705/","53 W 53rd St, Unit 24A")</f>
        <v>53 W 53rd St, Unit 24A</v>
      </c>
      <c r="B5380" s="2" t="str">
        <f t="shared" si="893"/>
        <v>53 West 53</v>
      </c>
      <c r="C5380" s="1" t="s">
        <v>139</v>
      </c>
      <c r="D5380" s="1" t="s">
        <v>41</v>
      </c>
      <c r="E5380" s="3">
        <v>7250325</v>
      </c>
      <c r="F5380" s="1">
        <v>2315.6579367614099</v>
      </c>
      <c r="G5380" s="1">
        <v>5</v>
      </c>
      <c r="H5380" s="1">
        <v>2</v>
      </c>
      <c r="I5380" s="1">
        <v>3</v>
      </c>
      <c r="J5380" s="1">
        <v>2.5</v>
      </c>
      <c r="K5380" s="1">
        <v>2</v>
      </c>
      <c r="L5380" s="1">
        <v>1</v>
      </c>
      <c r="M5380" s="4">
        <v>3131</v>
      </c>
      <c r="N5380" s="1">
        <v>6754</v>
      </c>
      <c r="O5380" s="1">
        <v>9561</v>
      </c>
      <c r="P5380" s="1">
        <v>2807</v>
      </c>
      <c r="Q5380" s="1" t="s">
        <v>42</v>
      </c>
      <c r="S5380" s="1" t="s">
        <v>42</v>
      </c>
      <c r="T5380" s="1" t="s">
        <v>273</v>
      </c>
      <c r="U5380" s="1">
        <v>71</v>
      </c>
      <c r="V5380" s="5">
        <v>44084</v>
      </c>
      <c r="W5380" s="5">
        <v>43839</v>
      </c>
      <c r="Y5380" s="1">
        <v>8825000</v>
      </c>
      <c r="Z5380" s="5">
        <v>44029</v>
      </c>
      <c r="AA5380" s="1">
        <v>7250325</v>
      </c>
      <c r="AB5380" s="1" t="s">
        <v>3803</v>
      </c>
      <c r="AC5380" s="5">
        <v>44083</v>
      </c>
      <c r="AF5380" s="1">
        <v>10019</v>
      </c>
      <c r="AJ5380" s="1">
        <v>2018</v>
      </c>
      <c r="AK5380" s="1" t="s">
        <v>46</v>
      </c>
      <c r="AL5380" s="1">
        <v>145</v>
      </c>
    </row>
    <row r="5381" spans="1:38" x14ac:dyDescent="0.2">
      <c r="A5381" s="2" t="str">
        <f>HYPERLINK("https://www.compass.com/listing/77-east-110th-street-unit-8a-manhattan-ny-10029/29427500744477537/","77 E 110th St, Unit 8A")</f>
        <v>77 E 110th St, Unit 8A</v>
      </c>
      <c r="B5381" s="2" t="str">
        <f t="shared" ref="B5381:B5382" si="894">HYPERLINK("https://www.compass.com/building/77-condominiums-manhattan-ny/281992190891244549/","77 Condominiums")</f>
        <v>77 Condominiums</v>
      </c>
      <c r="C5381" s="1" t="s">
        <v>424</v>
      </c>
      <c r="D5381" s="1" t="s">
        <v>41</v>
      </c>
      <c r="E5381" s="3">
        <v>1100000</v>
      </c>
      <c r="F5381" s="1">
        <v>959.860383944153</v>
      </c>
      <c r="G5381" s="1">
        <v>4</v>
      </c>
      <c r="H5381" s="1">
        <v>2</v>
      </c>
      <c r="I5381" s="1">
        <v>2</v>
      </c>
      <c r="J5381" s="1">
        <v>2</v>
      </c>
      <c r="K5381" s="1">
        <v>2</v>
      </c>
      <c r="M5381" s="4">
        <v>1146</v>
      </c>
      <c r="N5381" s="1">
        <v>410</v>
      </c>
      <c r="O5381" s="1">
        <v>505.39</v>
      </c>
      <c r="P5381" s="1">
        <v>95.4166666666666</v>
      </c>
      <c r="Q5381" s="1" t="s">
        <v>42</v>
      </c>
      <c r="S5381" s="1" t="s">
        <v>42</v>
      </c>
      <c r="T5381" s="1" t="s">
        <v>273</v>
      </c>
      <c r="V5381" s="5">
        <v>43678</v>
      </c>
      <c r="W5381" s="5">
        <v>42391</v>
      </c>
      <c r="X5381" s="1">
        <v>1272050</v>
      </c>
      <c r="Y5381" s="1">
        <v>1272050</v>
      </c>
      <c r="Z5381" s="5">
        <v>42391</v>
      </c>
      <c r="AA5381" s="1">
        <v>1100000</v>
      </c>
      <c r="AB5381" s="1" t="s">
        <v>3804</v>
      </c>
      <c r="AC5381" s="5">
        <v>42460</v>
      </c>
      <c r="AF5381" s="1">
        <v>10029</v>
      </c>
      <c r="AI5381" s="1" t="s">
        <v>192</v>
      </c>
      <c r="AJ5381" s="1">
        <v>2013</v>
      </c>
      <c r="AK5381" s="1" t="s">
        <v>75</v>
      </c>
      <c r="AL5381" s="1">
        <v>20</v>
      </c>
    </row>
    <row r="5382" spans="1:38" x14ac:dyDescent="0.2">
      <c r="A5382" s="2" t="str">
        <f>HYPERLINK("https://www.compass.com/listing/77-east-110th-street-unit-7b-manhattan-ny-10029/29427499939187617/","77 E 110th St, Unit 7B")</f>
        <v>77 E 110th St, Unit 7B</v>
      </c>
      <c r="B5382" s="2" t="str">
        <f t="shared" si="894"/>
        <v>77 Condominiums</v>
      </c>
      <c r="C5382" s="1" t="s">
        <v>424</v>
      </c>
      <c r="D5382" s="1" t="s">
        <v>41</v>
      </c>
      <c r="E5382" s="3">
        <v>993812</v>
      </c>
      <c r="F5382" s="1">
        <v>1045.0178759200801</v>
      </c>
      <c r="G5382" s="1">
        <v>4</v>
      </c>
      <c r="H5382" s="1">
        <v>2</v>
      </c>
      <c r="I5382" s="1">
        <v>1</v>
      </c>
      <c r="J5382" s="1">
        <v>1</v>
      </c>
      <c r="K5382" s="1">
        <v>1</v>
      </c>
      <c r="M5382" s="1">
        <v>951</v>
      </c>
      <c r="N5382" s="1">
        <v>337.33</v>
      </c>
      <c r="O5382" s="1">
        <v>411.81</v>
      </c>
      <c r="P5382" s="1">
        <v>74.5</v>
      </c>
      <c r="Q5382" s="1" t="s">
        <v>42</v>
      </c>
      <c r="S5382" s="1" t="s">
        <v>42</v>
      </c>
      <c r="T5382" s="1" t="s">
        <v>273</v>
      </c>
      <c r="U5382" s="1">
        <v>41</v>
      </c>
      <c r="V5382" s="5">
        <v>43663</v>
      </c>
      <c r="W5382" s="5">
        <v>42467</v>
      </c>
      <c r="X5382" s="1">
        <v>990900</v>
      </c>
      <c r="Y5382" s="1">
        <v>990900</v>
      </c>
      <c r="Z5382" s="5">
        <v>42508</v>
      </c>
      <c r="AA5382" s="1">
        <v>993812</v>
      </c>
      <c r="AB5382" s="1" t="s">
        <v>3805</v>
      </c>
      <c r="AC5382" s="5">
        <v>42531</v>
      </c>
      <c r="AF5382" s="1">
        <v>10029</v>
      </c>
      <c r="AI5382" s="1" t="s">
        <v>225</v>
      </c>
      <c r="AJ5382" s="1">
        <v>2013</v>
      </c>
      <c r="AL5382" s="1">
        <v>20</v>
      </c>
    </row>
    <row r="5383" spans="1:38" x14ac:dyDescent="0.2">
      <c r="A5383" s="2" t="str">
        <f>HYPERLINK("https://www.compass.com/listing/53-west-53rd-street-unit-48b-manhattan-ny-10019/239496445382724129/","53 W 53rd St, Unit 48B")</f>
        <v>53 W 53rd St, Unit 48B</v>
      </c>
      <c r="B5383" s="2" t="str">
        <f t="shared" ref="B5383:B5389" si="895">HYPERLINK("https://www.compass.com/building/53-west-53-manhattan-ny/281946357818781477/","53 West 53")</f>
        <v>53 West 53</v>
      </c>
      <c r="C5383" s="1" t="s">
        <v>139</v>
      </c>
      <c r="D5383" s="1" t="s">
        <v>41</v>
      </c>
      <c r="E5383" s="3">
        <v>8450000</v>
      </c>
      <c r="F5383" s="1">
        <v>2425.3731343283498</v>
      </c>
      <c r="G5383" s="1">
        <v>5</v>
      </c>
      <c r="H5383" s="1">
        <v>3</v>
      </c>
      <c r="I5383" s="1">
        <v>4</v>
      </c>
      <c r="J5383" s="1">
        <v>3.5</v>
      </c>
      <c r="K5383" s="1">
        <v>3</v>
      </c>
      <c r="L5383" s="1">
        <v>1</v>
      </c>
      <c r="M5383" s="4">
        <v>3484</v>
      </c>
      <c r="N5383" s="1">
        <v>7070</v>
      </c>
      <c r="O5383" s="1">
        <v>10444</v>
      </c>
      <c r="P5383" s="1">
        <v>3374</v>
      </c>
      <c r="Q5383" s="1" t="s">
        <v>42</v>
      </c>
      <c r="S5383" s="1" t="s">
        <v>42</v>
      </c>
      <c r="T5383" s="1" t="s">
        <v>273</v>
      </c>
      <c r="V5383" s="5">
        <v>43873</v>
      </c>
      <c r="W5383" s="5">
        <v>43566</v>
      </c>
      <c r="X5383" s="1">
        <v>10625000</v>
      </c>
      <c r="Y5383" s="1">
        <v>10625000</v>
      </c>
      <c r="Z5383" s="5">
        <v>43566</v>
      </c>
      <c r="AA5383" s="1">
        <v>8450000</v>
      </c>
      <c r="AB5383" s="1" t="s">
        <v>3806</v>
      </c>
      <c r="AC5383" s="5">
        <v>43840</v>
      </c>
      <c r="AF5383" s="1">
        <v>10019</v>
      </c>
      <c r="AJ5383" s="1">
        <v>2018</v>
      </c>
      <c r="AK5383" s="1" t="s">
        <v>46</v>
      </c>
      <c r="AL5383" s="1">
        <v>145</v>
      </c>
    </row>
    <row r="5384" spans="1:38" x14ac:dyDescent="0.2">
      <c r="A5384" s="2" t="str">
        <f>HYPERLINK("https://www.compass.com/listing/53-west-53rd-street-unit-52b-manhattan-ny-10019/23954377865817073/","53 W 53rd St, Unit 52B")</f>
        <v>53 W 53rd St, Unit 52B</v>
      </c>
      <c r="B5384" s="2" t="str">
        <f t="shared" si="895"/>
        <v>53 West 53</v>
      </c>
      <c r="C5384" s="1" t="s">
        <v>139</v>
      </c>
      <c r="D5384" s="1" t="s">
        <v>41</v>
      </c>
      <c r="E5384" s="3">
        <v>11000000</v>
      </c>
      <c r="F5384" s="1">
        <v>3251.5518770322201</v>
      </c>
      <c r="G5384" s="1">
        <v>5.5</v>
      </c>
      <c r="H5384" s="1">
        <v>3</v>
      </c>
      <c r="I5384" s="1">
        <v>4</v>
      </c>
      <c r="J5384" s="1">
        <v>3.5</v>
      </c>
      <c r="K5384" s="1">
        <v>3</v>
      </c>
      <c r="L5384" s="1">
        <v>1</v>
      </c>
      <c r="M5384" s="4">
        <v>3383</v>
      </c>
      <c r="N5384" s="1">
        <v>6985</v>
      </c>
      <c r="O5384" s="1">
        <v>10319</v>
      </c>
      <c r="P5384" s="1">
        <v>3334</v>
      </c>
      <c r="Q5384" s="1" t="s">
        <v>42</v>
      </c>
      <c r="S5384" s="1" t="s">
        <v>42</v>
      </c>
      <c r="T5384" s="1" t="s">
        <v>273</v>
      </c>
      <c r="U5384" s="1">
        <v>294</v>
      </c>
      <c r="V5384" s="5">
        <v>43893</v>
      </c>
      <c r="W5384" s="5">
        <v>42500</v>
      </c>
      <c r="X5384" s="1">
        <v>13575000</v>
      </c>
      <c r="Y5384" s="1">
        <v>13575000</v>
      </c>
      <c r="Z5384" s="5">
        <v>43594</v>
      </c>
      <c r="AA5384" s="1">
        <v>11000000</v>
      </c>
      <c r="AB5384" s="1" t="s">
        <v>3807</v>
      </c>
      <c r="AC5384" s="5">
        <v>43875</v>
      </c>
      <c r="AF5384" s="1">
        <v>10019</v>
      </c>
      <c r="AJ5384" s="1">
        <v>2018</v>
      </c>
      <c r="AK5384" s="1" t="s">
        <v>46</v>
      </c>
      <c r="AL5384" s="1">
        <v>145</v>
      </c>
    </row>
    <row r="5385" spans="1:38" x14ac:dyDescent="0.2">
      <c r="A5385" s="2" t="str">
        <f>HYPERLINK("https://www.compass.com/listing/53-west-53rd-street-unit-32a-manhattan-ny-10019/23954432525925953/","53 W 53rd St, Unit 32A")</f>
        <v>53 W 53rd St, Unit 32A</v>
      </c>
      <c r="B5385" s="2" t="str">
        <f t="shared" si="895"/>
        <v>53 West 53</v>
      </c>
      <c r="C5385" s="1" t="s">
        <v>139</v>
      </c>
      <c r="D5385" s="1" t="s">
        <v>41</v>
      </c>
      <c r="E5385" s="3">
        <v>7950000</v>
      </c>
      <c r="F5385" s="1">
        <v>2481.2734082397001</v>
      </c>
      <c r="G5385" s="1">
        <v>5</v>
      </c>
      <c r="H5385" s="1">
        <v>3</v>
      </c>
      <c r="I5385" s="1">
        <v>4</v>
      </c>
      <c r="J5385" s="1">
        <v>3.5</v>
      </c>
      <c r="K5385" s="1">
        <v>3</v>
      </c>
      <c r="L5385" s="1">
        <v>1</v>
      </c>
      <c r="M5385" s="4">
        <v>3204</v>
      </c>
      <c r="N5385" s="1">
        <v>6948</v>
      </c>
      <c r="O5385" s="1">
        <v>9929</v>
      </c>
      <c r="P5385" s="1">
        <v>2981</v>
      </c>
      <c r="Q5385" s="1" t="s">
        <v>42</v>
      </c>
      <c r="S5385" s="1" t="s">
        <v>42</v>
      </c>
      <c r="T5385" s="1" t="s">
        <v>273</v>
      </c>
      <c r="U5385" s="1">
        <v>30</v>
      </c>
      <c r="V5385" s="5">
        <v>44067</v>
      </c>
      <c r="W5385" s="5">
        <v>43839</v>
      </c>
      <c r="X5385" s="1">
        <v>9610000</v>
      </c>
      <c r="Y5385" s="1">
        <v>9610000</v>
      </c>
      <c r="Z5385" s="5">
        <v>43869</v>
      </c>
      <c r="AA5385" s="1">
        <v>7950000</v>
      </c>
      <c r="AB5385" s="1" t="s">
        <v>3808</v>
      </c>
      <c r="AC5385" s="5">
        <v>44050</v>
      </c>
      <c r="AF5385" s="1">
        <v>10019</v>
      </c>
      <c r="AJ5385" s="1">
        <v>2018</v>
      </c>
      <c r="AK5385" s="1" t="s">
        <v>46</v>
      </c>
      <c r="AL5385" s="1">
        <v>145</v>
      </c>
    </row>
    <row r="5386" spans="1:38" x14ac:dyDescent="0.2">
      <c r="A5386" s="2" t="str">
        <f>HYPERLINK("https://www.compass.com/listing/53-west-53rd-street-unit-30a-manhattan-ny-10019/23954435067682817/","53 W 53rd St, Unit 30A")</f>
        <v>53 W 53rd St, Unit 30A</v>
      </c>
      <c r="B5386" s="2" t="str">
        <f t="shared" si="895"/>
        <v>53 West 53</v>
      </c>
      <c r="C5386" s="1" t="s">
        <v>139</v>
      </c>
      <c r="D5386" s="1" t="s">
        <v>41</v>
      </c>
      <c r="E5386" s="3">
        <v>8550000</v>
      </c>
      <c r="F5386" s="1">
        <v>2356.6703417860999</v>
      </c>
      <c r="G5386" s="1">
        <v>5</v>
      </c>
      <c r="H5386" s="1">
        <v>3</v>
      </c>
      <c r="I5386" s="1">
        <v>4</v>
      </c>
      <c r="J5386" s="1">
        <v>3.5</v>
      </c>
      <c r="K5386" s="1">
        <v>3</v>
      </c>
      <c r="L5386" s="1">
        <v>1</v>
      </c>
      <c r="M5386" s="4">
        <v>3628</v>
      </c>
      <c r="N5386" s="1">
        <v>6997</v>
      </c>
      <c r="O5386" s="1">
        <v>10337</v>
      </c>
      <c r="P5386" s="1">
        <v>3340</v>
      </c>
      <c r="Q5386" s="1" t="s">
        <v>42</v>
      </c>
      <c r="S5386" s="1" t="s">
        <v>42</v>
      </c>
      <c r="T5386" s="1" t="s">
        <v>273</v>
      </c>
      <c r="U5386" s="1">
        <v>115</v>
      </c>
      <c r="V5386" s="5">
        <v>43907</v>
      </c>
      <c r="W5386" s="5">
        <v>42808</v>
      </c>
      <c r="X5386" s="1">
        <v>10900000</v>
      </c>
      <c r="Y5386" s="1">
        <v>10900000</v>
      </c>
      <c r="Z5386" s="5">
        <v>43585</v>
      </c>
      <c r="AA5386" s="1">
        <v>8550000</v>
      </c>
      <c r="AB5386" s="1" t="s">
        <v>3809</v>
      </c>
      <c r="AC5386" s="5">
        <v>43893</v>
      </c>
      <c r="AF5386" s="1">
        <v>10019</v>
      </c>
      <c r="AJ5386" s="1">
        <v>2018</v>
      </c>
      <c r="AK5386" s="1" t="s">
        <v>46</v>
      </c>
      <c r="AL5386" s="1">
        <v>145</v>
      </c>
    </row>
    <row r="5387" spans="1:38" x14ac:dyDescent="0.2">
      <c r="A5387" s="2" t="str">
        <f>HYPERLINK("https://www.compass.com/listing/53-west-53rd-street-unit-49b-manhattan-ny-10019/278117211032287617/","53 W 53rd St, Unit 49B")</f>
        <v>53 W 53rd St, Unit 49B</v>
      </c>
      <c r="B5387" s="2" t="str">
        <f t="shared" si="895"/>
        <v>53 West 53</v>
      </c>
      <c r="C5387" s="1" t="s">
        <v>139</v>
      </c>
      <c r="D5387" s="1" t="s">
        <v>41</v>
      </c>
      <c r="E5387" s="3">
        <v>11025556</v>
      </c>
      <c r="F5387" s="1">
        <v>3206.0355481244501</v>
      </c>
      <c r="G5387" s="1">
        <v>5</v>
      </c>
      <c r="H5387" s="1">
        <v>3</v>
      </c>
      <c r="I5387" s="1">
        <v>4</v>
      </c>
      <c r="J5387" s="1">
        <v>3.5</v>
      </c>
      <c r="K5387" s="1">
        <v>3</v>
      </c>
      <c r="L5387" s="1">
        <v>1</v>
      </c>
      <c r="M5387" s="4">
        <v>3439</v>
      </c>
      <c r="N5387" s="1">
        <v>7009</v>
      </c>
      <c r="O5387" s="1">
        <v>10354</v>
      </c>
      <c r="P5387" s="1">
        <v>3345</v>
      </c>
      <c r="Q5387" s="1" t="s">
        <v>42</v>
      </c>
      <c r="S5387" s="1" t="s">
        <v>42</v>
      </c>
      <c r="T5387" s="1" t="s">
        <v>273</v>
      </c>
      <c r="V5387" s="5">
        <v>43865</v>
      </c>
      <c r="W5387" s="5">
        <v>43634</v>
      </c>
      <c r="X5387" s="1">
        <v>10825000</v>
      </c>
      <c r="Y5387" s="1">
        <v>10825000</v>
      </c>
      <c r="Z5387" s="5">
        <v>43634</v>
      </c>
      <c r="AA5387" s="1">
        <v>11025556.25</v>
      </c>
      <c r="AB5387" s="1" t="s">
        <v>3810</v>
      </c>
      <c r="AC5387" s="5">
        <v>43853</v>
      </c>
      <c r="AF5387" s="1">
        <v>10019</v>
      </c>
      <c r="AJ5387" s="1">
        <v>2018</v>
      </c>
      <c r="AK5387" s="1" t="s">
        <v>46</v>
      </c>
      <c r="AL5387" s="1">
        <v>145</v>
      </c>
    </row>
    <row r="5388" spans="1:38" x14ac:dyDescent="0.2">
      <c r="A5388" s="2" t="str">
        <f>HYPERLINK("https://www.compass.com/listing/53-west-53rd-street-unit-53b-manhattan-ny-10019/29026684665594625/","53 W 53rd St, Unit 53B")</f>
        <v>53 W 53rd St, Unit 53B</v>
      </c>
      <c r="B5388" s="2" t="str">
        <f t="shared" si="895"/>
        <v>53 West 53</v>
      </c>
      <c r="C5388" s="1" t="s">
        <v>139</v>
      </c>
      <c r="D5388" s="1" t="s">
        <v>41</v>
      </c>
      <c r="E5388" s="3">
        <v>11850000</v>
      </c>
      <c r="F5388" s="1">
        <v>3526.7857142857101</v>
      </c>
      <c r="G5388" s="1">
        <v>5</v>
      </c>
      <c r="H5388" s="1">
        <v>3</v>
      </c>
      <c r="I5388" s="1">
        <v>4</v>
      </c>
      <c r="J5388" s="1">
        <v>3.5</v>
      </c>
      <c r="K5388" s="1">
        <v>3</v>
      </c>
      <c r="L5388" s="1">
        <v>1</v>
      </c>
      <c r="M5388" s="4">
        <v>3360</v>
      </c>
      <c r="N5388" s="1">
        <v>6955</v>
      </c>
      <c r="O5388" s="1">
        <v>10275</v>
      </c>
      <c r="P5388" s="1">
        <v>3320</v>
      </c>
      <c r="Q5388" s="1" t="s">
        <v>42</v>
      </c>
      <c r="S5388" s="1" t="s">
        <v>42</v>
      </c>
      <c r="T5388" s="1" t="s">
        <v>273</v>
      </c>
      <c r="U5388" s="1">
        <v>263</v>
      </c>
      <c r="V5388" s="5">
        <v>43879</v>
      </c>
      <c r="W5388" s="5">
        <v>42794</v>
      </c>
      <c r="X5388" s="1">
        <v>13825000</v>
      </c>
      <c r="Y5388" s="1">
        <v>12150000</v>
      </c>
      <c r="Z5388" s="5">
        <v>43572</v>
      </c>
      <c r="AA5388" s="1">
        <v>11850000</v>
      </c>
      <c r="AB5388" s="1" t="s">
        <v>3811</v>
      </c>
      <c r="AC5388" s="5">
        <v>43865</v>
      </c>
      <c r="AF5388" s="1">
        <v>10019</v>
      </c>
      <c r="AJ5388" s="1">
        <v>2018</v>
      </c>
      <c r="AK5388" s="1" t="s">
        <v>46</v>
      </c>
      <c r="AL5388" s="1">
        <v>145</v>
      </c>
    </row>
    <row r="5389" spans="1:38" x14ac:dyDescent="0.2">
      <c r="A5389" s="2" t="str">
        <f>HYPERLINK("https://www.compass.com/listing/53-west-53rd-street-unit-59b-manhattan-ny-10019/29661161754529297/","53 W 53rd St, Unit 59B")</f>
        <v>53 W 53rd St, Unit 59B</v>
      </c>
      <c r="B5389" s="2" t="str">
        <f t="shared" si="895"/>
        <v>53 West 53</v>
      </c>
      <c r="C5389" s="1" t="s">
        <v>139</v>
      </c>
      <c r="D5389" s="1" t="s">
        <v>41</v>
      </c>
      <c r="E5389" s="3">
        <v>12750000</v>
      </c>
      <c r="F5389" s="1">
        <v>3947.3684210526299</v>
      </c>
      <c r="G5389" s="1">
        <v>5</v>
      </c>
      <c r="H5389" s="1">
        <v>3</v>
      </c>
      <c r="I5389" s="1">
        <v>4</v>
      </c>
      <c r="J5389" s="1">
        <v>3.5</v>
      </c>
      <c r="K5389" s="1">
        <v>3</v>
      </c>
      <c r="L5389" s="1">
        <v>1</v>
      </c>
      <c r="M5389" s="4">
        <v>3230</v>
      </c>
      <c r="N5389" s="1">
        <v>6886</v>
      </c>
      <c r="O5389" s="1">
        <v>10173</v>
      </c>
      <c r="P5389" s="1">
        <v>3287</v>
      </c>
      <c r="Q5389" s="1" t="s">
        <v>42</v>
      </c>
      <c r="S5389" s="1" t="s">
        <v>42</v>
      </c>
      <c r="T5389" s="1" t="s">
        <v>273</v>
      </c>
      <c r="U5389" s="1">
        <v>13</v>
      </c>
      <c r="V5389" s="5">
        <v>43873</v>
      </c>
      <c r="W5389" s="5">
        <v>43293</v>
      </c>
      <c r="X5389" s="1">
        <v>16125000</v>
      </c>
      <c r="Y5389" s="1">
        <v>16125000</v>
      </c>
      <c r="Z5389" s="5">
        <v>43551</v>
      </c>
      <c r="AA5389" s="1">
        <v>12750000</v>
      </c>
      <c r="AB5389" s="1" t="s">
        <v>3812</v>
      </c>
      <c r="AC5389" s="5">
        <v>43854</v>
      </c>
      <c r="AF5389" s="1">
        <v>10019</v>
      </c>
      <c r="AJ5389" s="1">
        <v>2018</v>
      </c>
      <c r="AK5389" s="1" t="s">
        <v>46</v>
      </c>
      <c r="AL5389" s="1">
        <v>145</v>
      </c>
    </row>
    <row r="5390" spans="1:38" x14ac:dyDescent="0.2">
      <c r="A5390" s="2" t="str">
        <f>HYPERLINK("https://www.compass.com/listing/135-west-52nd-street-unit-ph3-manhattan-ny-10019/29383366415531649/","135 W 52nd St, Unit PH3")</f>
        <v>135 W 52nd St, Unit PH3</v>
      </c>
      <c r="B5390" s="2" t="str">
        <f t="shared" ref="B5390:B5393" si="896">HYPERLINK("https://www.compass.com/building/135-w-52nd-st-manhattan-ny-10019/281943802548121109/","135 W 52nd St")</f>
        <v>135 W 52nd St</v>
      </c>
      <c r="C5390" s="1" t="s">
        <v>219</v>
      </c>
      <c r="D5390" s="1" t="s">
        <v>41</v>
      </c>
      <c r="E5390" s="3">
        <v>6852094</v>
      </c>
      <c r="F5390" s="1">
        <v>2354.6713917525699</v>
      </c>
      <c r="G5390" s="1">
        <v>6</v>
      </c>
      <c r="H5390" s="1">
        <v>3</v>
      </c>
      <c r="I5390" s="1">
        <v>4</v>
      </c>
      <c r="J5390" s="1">
        <v>4</v>
      </c>
      <c r="K5390" s="1">
        <v>4</v>
      </c>
      <c r="M5390" s="4">
        <v>2910</v>
      </c>
      <c r="N5390" s="1">
        <v>3454</v>
      </c>
      <c r="O5390" s="1">
        <v>7955</v>
      </c>
      <c r="P5390" s="1">
        <v>4501</v>
      </c>
      <c r="Q5390" s="1" t="s">
        <v>100</v>
      </c>
      <c r="S5390" s="1" t="s">
        <v>100</v>
      </c>
      <c r="T5390" s="1" t="s">
        <v>273</v>
      </c>
      <c r="U5390" s="1">
        <v>993</v>
      </c>
      <c r="V5390" s="5">
        <v>44346</v>
      </c>
      <c r="W5390" s="5">
        <v>41821</v>
      </c>
      <c r="X5390" s="1">
        <v>8000000</v>
      </c>
      <c r="Y5390" s="1">
        <v>8000000</v>
      </c>
      <c r="AA5390" s="1">
        <v>6852093.75</v>
      </c>
      <c r="AB5390" s="1" t="s">
        <v>3813</v>
      </c>
      <c r="AC5390" s="5">
        <v>43167</v>
      </c>
      <c r="AF5390" s="1">
        <v>10019</v>
      </c>
      <c r="AJ5390" s="1">
        <v>2016</v>
      </c>
      <c r="AK5390" s="1" t="s">
        <v>46</v>
      </c>
      <c r="AL5390" s="1">
        <v>109</v>
      </c>
    </row>
    <row r="5391" spans="1:38" x14ac:dyDescent="0.2">
      <c r="A5391" s="2" t="str">
        <f>HYPERLINK("https://www.compass.com/listing/135-west-52nd-street-unit-8d-manhattan-ny-10019/783055824908952097/","135 W 52nd St, Unit 8D")</f>
        <v>135 W 52nd St, Unit 8D</v>
      </c>
      <c r="B5391" s="2" t="str">
        <f t="shared" si="896"/>
        <v>135 W 52nd St</v>
      </c>
      <c r="C5391" s="1" t="s">
        <v>219</v>
      </c>
      <c r="D5391" s="1" t="s">
        <v>41</v>
      </c>
      <c r="E5391" s="3">
        <v>4000000</v>
      </c>
      <c r="F5391" s="1">
        <v>1885.90287600188</v>
      </c>
      <c r="G5391" s="1">
        <v>6</v>
      </c>
      <c r="H5391" s="1">
        <v>3</v>
      </c>
      <c r="I5391" s="1">
        <v>3</v>
      </c>
      <c r="J5391" s="1">
        <v>3</v>
      </c>
      <c r="M5391" s="4">
        <v>2121</v>
      </c>
      <c r="N5391" s="1">
        <v>2317</v>
      </c>
      <c r="O5391" s="1">
        <v>5088</v>
      </c>
      <c r="P5391" s="1">
        <v>2771</v>
      </c>
      <c r="Q5391" s="1" t="s">
        <v>42</v>
      </c>
      <c r="S5391" s="1" t="s">
        <v>42</v>
      </c>
      <c r="T5391" s="1" t="s">
        <v>273</v>
      </c>
      <c r="U5391" s="1">
        <v>1304</v>
      </c>
      <c r="V5391" s="5">
        <v>43258</v>
      </c>
      <c r="W5391" s="5">
        <v>41822</v>
      </c>
      <c r="X5391" s="1">
        <v>4650000</v>
      </c>
      <c r="Y5391" s="1">
        <v>4650000</v>
      </c>
      <c r="AA5391" s="1">
        <v>4000000</v>
      </c>
      <c r="AB5391" s="1" t="s">
        <v>3814</v>
      </c>
      <c r="AC5391" s="5">
        <v>43155</v>
      </c>
      <c r="AF5391" s="1">
        <v>10019</v>
      </c>
      <c r="AI5391" s="1" t="s">
        <v>63</v>
      </c>
      <c r="AJ5391" s="1">
        <v>2016</v>
      </c>
      <c r="AK5391" s="1" t="s">
        <v>49</v>
      </c>
      <c r="AL5391" s="1">
        <v>109</v>
      </c>
    </row>
    <row r="5392" spans="1:38" x14ac:dyDescent="0.2">
      <c r="A5392" s="2" t="str">
        <f>HYPERLINK("https://www.compass.com/listing/135-west-52nd-street-unit-17b-manhattan-ny-10019/29383342256340193/","135 W 52nd St, Unit 17B")</f>
        <v>135 W 52nd St, Unit 17B</v>
      </c>
      <c r="B5392" s="2" t="str">
        <f t="shared" si="896"/>
        <v>135 W 52nd St</v>
      </c>
      <c r="C5392" s="1" t="s">
        <v>139</v>
      </c>
      <c r="D5392" s="1" t="s">
        <v>41</v>
      </c>
      <c r="E5392" s="3">
        <v>3767525</v>
      </c>
      <c r="F5392" s="1">
        <v>2312.78391651319</v>
      </c>
      <c r="G5392" s="1">
        <v>4</v>
      </c>
      <c r="H5392" s="1">
        <v>2</v>
      </c>
      <c r="I5392" s="1">
        <v>3</v>
      </c>
      <c r="J5392" s="1">
        <v>2.5</v>
      </c>
      <c r="M5392" s="4">
        <v>1629</v>
      </c>
      <c r="N5392" s="1">
        <v>1597</v>
      </c>
      <c r="O5392" s="1">
        <v>3292</v>
      </c>
      <c r="P5392" s="1">
        <v>1695</v>
      </c>
      <c r="Q5392" s="1" t="s">
        <v>42</v>
      </c>
      <c r="S5392" s="1" t="s">
        <v>42</v>
      </c>
      <c r="T5392" s="1" t="s">
        <v>273</v>
      </c>
      <c r="U5392" s="1">
        <v>195</v>
      </c>
      <c r="V5392" s="5">
        <v>43630</v>
      </c>
      <c r="W5392" s="5">
        <v>42207</v>
      </c>
      <c r="X5392" s="1">
        <v>3700000</v>
      </c>
      <c r="Y5392" s="1">
        <v>3700000</v>
      </c>
      <c r="Z5392" s="5">
        <v>42402</v>
      </c>
      <c r="AA5392" s="1">
        <v>3767525</v>
      </c>
      <c r="AB5392" s="1" t="s">
        <v>3815</v>
      </c>
      <c r="AC5392" s="5">
        <v>42492</v>
      </c>
      <c r="AF5392" s="1">
        <v>10019</v>
      </c>
      <c r="AI5392" s="1" t="s">
        <v>63</v>
      </c>
      <c r="AJ5392" s="1">
        <v>2016</v>
      </c>
      <c r="AK5392" s="1" t="s">
        <v>49</v>
      </c>
      <c r="AL5392" s="1">
        <v>109</v>
      </c>
    </row>
    <row r="5393" spans="1:38" x14ac:dyDescent="0.2">
      <c r="A5393" s="2" t="str">
        <f>HYPERLINK("https://www.compass.com/listing/135-west-52nd-street-unit-19a-manhattan-ny-10019/29383344219331313/","135 W 52nd St, Unit 19A")</f>
        <v>135 W 52nd St, Unit 19A</v>
      </c>
      <c r="B5393" s="2" t="str">
        <f t="shared" si="896"/>
        <v>135 W 52nd St</v>
      </c>
      <c r="C5393" s="1" t="s">
        <v>139</v>
      </c>
      <c r="D5393" s="1" t="s">
        <v>41</v>
      </c>
      <c r="E5393" s="3">
        <v>3975000</v>
      </c>
      <c r="F5393" s="1">
        <v>2202.2160664819899</v>
      </c>
      <c r="G5393" s="1">
        <v>5</v>
      </c>
      <c r="H5393" s="1">
        <v>2</v>
      </c>
      <c r="I5393" s="1">
        <v>3</v>
      </c>
      <c r="J5393" s="1">
        <v>3</v>
      </c>
      <c r="M5393" s="4">
        <v>1805</v>
      </c>
      <c r="N5393" s="1">
        <v>1738</v>
      </c>
      <c r="O5393" s="1">
        <v>4264</v>
      </c>
      <c r="P5393" s="1">
        <v>2526</v>
      </c>
      <c r="Q5393" s="1" t="s">
        <v>42</v>
      </c>
      <c r="S5393" s="1" t="s">
        <v>42</v>
      </c>
      <c r="T5393" s="1" t="s">
        <v>273</v>
      </c>
      <c r="U5393" s="1">
        <v>185</v>
      </c>
      <c r="V5393" s="5">
        <v>43665</v>
      </c>
      <c r="W5393" s="5">
        <v>42396</v>
      </c>
      <c r="X5393" s="1">
        <v>4025000</v>
      </c>
      <c r="Y5393" s="1">
        <v>3975000</v>
      </c>
      <c r="Z5393" s="5">
        <v>42581</v>
      </c>
      <c r="AA5393" s="1">
        <v>3975000</v>
      </c>
      <c r="AB5393" s="1" t="s">
        <v>3816</v>
      </c>
      <c r="AC5393" s="5">
        <v>42606</v>
      </c>
      <c r="AF5393" s="1">
        <v>10019</v>
      </c>
      <c r="AJ5393" s="1">
        <v>2016</v>
      </c>
      <c r="AK5393" s="1" t="s">
        <v>46</v>
      </c>
      <c r="AL5393" s="1">
        <v>109</v>
      </c>
    </row>
    <row r="5394" spans="1:38" x14ac:dyDescent="0.2">
      <c r="A5394" s="2" t="str">
        <f>HYPERLINK("https://www.compass.com/listing/77-east-110th-street-unit-4b-manhattan-ny-10029/29427498378890049/","77 E 110th St, Unit 4B")</f>
        <v>77 E 110th St, Unit 4B</v>
      </c>
      <c r="B5394" s="2" t="str">
        <f t="shared" ref="B5394:B5395" si="897">HYPERLINK("https://www.compass.com/building/77-condominiums-manhattan-ny/281992190891244549/","77 Condominiums")</f>
        <v>77 Condominiums</v>
      </c>
      <c r="C5394" s="1" t="s">
        <v>424</v>
      </c>
      <c r="D5394" s="1" t="s">
        <v>41</v>
      </c>
      <c r="E5394" s="3">
        <v>842806</v>
      </c>
      <c r="G5394" s="1">
        <v>4</v>
      </c>
      <c r="H5394" s="1">
        <v>2</v>
      </c>
      <c r="I5394" s="1">
        <v>1</v>
      </c>
      <c r="J5394" s="1">
        <v>1</v>
      </c>
      <c r="K5394" s="1">
        <v>1</v>
      </c>
      <c r="N5394" s="1">
        <v>291.33</v>
      </c>
      <c r="O5394" s="1">
        <v>359.11</v>
      </c>
      <c r="P5394" s="1">
        <v>67.75</v>
      </c>
      <c r="Q5394" s="1" t="s">
        <v>42</v>
      </c>
      <c r="S5394" s="1" t="s">
        <v>42</v>
      </c>
      <c r="T5394" s="1" t="s">
        <v>273</v>
      </c>
      <c r="V5394" s="5">
        <v>43782</v>
      </c>
      <c r="W5394" s="5">
        <v>42466</v>
      </c>
      <c r="X5394" s="1">
        <v>855900</v>
      </c>
      <c r="Y5394" s="1">
        <v>855900</v>
      </c>
      <c r="AA5394" s="1">
        <v>842806</v>
      </c>
      <c r="AB5394" s="1" t="s">
        <v>3817</v>
      </c>
      <c r="AC5394" s="5">
        <v>42466</v>
      </c>
      <c r="AF5394" s="1">
        <v>10029</v>
      </c>
      <c r="AI5394" s="1" t="s">
        <v>111</v>
      </c>
      <c r="AJ5394" s="1">
        <v>2013</v>
      </c>
      <c r="AK5394" s="1" t="s">
        <v>136</v>
      </c>
      <c r="AL5394" s="1">
        <v>20</v>
      </c>
    </row>
    <row r="5395" spans="1:38" x14ac:dyDescent="0.2">
      <c r="A5395" s="2" t="str">
        <f>HYPERLINK("https://www.compass.com/listing/77-east-110th-street-unit-4c-manhattan-ny-10029/29427498748005265/","77 E 110th St, Unit 4C")</f>
        <v>77 E 110th St, Unit 4C</v>
      </c>
      <c r="B5395" s="2" t="str">
        <f t="shared" si="897"/>
        <v>77 Condominiums</v>
      </c>
      <c r="C5395" s="1" t="s">
        <v>424</v>
      </c>
      <c r="D5395" s="1" t="s">
        <v>41</v>
      </c>
      <c r="E5395" s="3">
        <v>800000</v>
      </c>
      <c r="F5395" s="1">
        <v>870.51142546245899</v>
      </c>
      <c r="G5395" s="1">
        <v>4</v>
      </c>
      <c r="H5395" s="1">
        <v>2</v>
      </c>
      <c r="I5395" s="1">
        <v>1</v>
      </c>
      <c r="J5395" s="1">
        <v>1.5</v>
      </c>
      <c r="K5395" s="1">
        <v>1</v>
      </c>
      <c r="L5395" s="1">
        <v>1</v>
      </c>
      <c r="M5395" s="1">
        <v>919</v>
      </c>
      <c r="N5395" s="1">
        <v>281.33</v>
      </c>
      <c r="O5395" s="1">
        <v>346.78</v>
      </c>
      <c r="P5395" s="1">
        <v>65.4166666666666</v>
      </c>
      <c r="Q5395" s="1" t="s">
        <v>42</v>
      </c>
      <c r="S5395" s="1" t="s">
        <v>42</v>
      </c>
      <c r="T5395" s="1" t="s">
        <v>273</v>
      </c>
      <c r="V5395" s="5">
        <v>43678</v>
      </c>
      <c r="W5395" s="5">
        <v>42391</v>
      </c>
      <c r="X5395" s="1">
        <v>827100</v>
      </c>
      <c r="Y5395" s="1">
        <v>827100</v>
      </c>
      <c r="Z5395" s="5">
        <v>42391</v>
      </c>
      <c r="AA5395" s="1">
        <v>800000</v>
      </c>
      <c r="AB5395" s="1" t="s">
        <v>3818</v>
      </c>
      <c r="AC5395" s="5">
        <v>42460</v>
      </c>
      <c r="AF5395" s="1">
        <v>10029</v>
      </c>
      <c r="AI5395" s="1" t="s">
        <v>111</v>
      </c>
      <c r="AJ5395" s="1">
        <v>2013</v>
      </c>
      <c r="AL5395" s="1">
        <v>20</v>
      </c>
    </row>
    <row r="5396" spans="1:38" x14ac:dyDescent="0.2">
      <c r="A5396" s="2" t="str">
        <f>HYPERLINK("https://www.compass.com/listing/135-west-52nd-street-unit-ph1-manhattan-ny-10019/200449940151909521/","135 W 52nd St, Unit PH1")</f>
        <v>135 W 52nd St, Unit PH1</v>
      </c>
      <c r="B5396" s="2" t="str">
        <f t="shared" ref="B5396:B5400" si="898">HYPERLINK("https://www.compass.com/building/135-w-52nd-st-manhattan-ny-10019/281943802548121109/","135 W 52nd St")</f>
        <v>135 W 52nd St</v>
      </c>
      <c r="C5396" s="1" t="s">
        <v>219</v>
      </c>
      <c r="D5396" s="1" t="s">
        <v>41</v>
      </c>
      <c r="E5396" s="3">
        <v>12810413</v>
      </c>
      <c r="F5396" s="1">
        <v>2486.0105763632801</v>
      </c>
      <c r="G5396" s="1">
        <v>8</v>
      </c>
      <c r="H5396" s="1">
        <v>5</v>
      </c>
      <c r="I5396" s="1">
        <v>6</v>
      </c>
      <c r="J5396" s="1">
        <v>5</v>
      </c>
      <c r="K5396" s="1">
        <v>4</v>
      </c>
      <c r="L5396" s="1">
        <v>2</v>
      </c>
      <c r="M5396" s="4">
        <v>5153</v>
      </c>
      <c r="N5396" s="1">
        <v>9549</v>
      </c>
      <c r="O5396" s="1">
        <v>18923</v>
      </c>
      <c r="P5396" s="1">
        <v>9374</v>
      </c>
      <c r="Q5396" s="1" t="s">
        <v>42</v>
      </c>
      <c r="S5396" s="1" t="s">
        <v>42</v>
      </c>
      <c r="T5396" s="1" t="s">
        <v>273</v>
      </c>
      <c r="U5396" s="1">
        <v>819</v>
      </c>
      <c r="V5396" s="5">
        <v>43805</v>
      </c>
      <c r="W5396" s="5">
        <v>42902</v>
      </c>
      <c r="Y5396" s="1">
        <v>13500000</v>
      </c>
      <c r="AA5396" s="1">
        <v>12810412.5</v>
      </c>
      <c r="AB5396" s="1" t="s">
        <v>427</v>
      </c>
      <c r="AC5396" s="5">
        <v>43803</v>
      </c>
      <c r="AF5396" s="1">
        <v>10019</v>
      </c>
      <c r="AI5396" s="1" t="s">
        <v>145</v>
      </c>
      <c r="AJ5396" s="1">
        <v>2016</v>
      </c>
      <c r="AK5396" s="1" t="s">
        <v>46</v>
      </c>
      <c r="AL5396" s="1">
        <v>109</v>
      </c>
    </row>
    <row r="5397" spans="1:38" x14ac:dyDescent="0.2">
      <c r="A5397" s="2" t="str">
        <f>HYPERLINK("https://www.compass.com/listing/135-west-52nd-street-unit-20c-manhattan-ny-10019/29383346744303233/","135 W 52nd St, Unit 20C")</f>
        <v>135 W 52nd St, Unit 20C</v>
      </c>
      <c r="B5397" s="2" t="str">
        <f t="shared" si="898"/>
        <v>135 W 52nd St</v>
      </c>
      <c r="C5397" s="1" t="s">
        <v>139</v>
      </c>
      <c r="D5397" s="1" t="s">
        <v>41</v>
      </c>
      <c r="E5397" s="3">
        <v>3995000</v>
      </c>
      <c r="F5397" s="1">
        <v>2207.1823204419802</v>
      </c>
      <c r="G5397" s="1">
        <v>5</v>
      </c>
      <c r="H5397" s="1">
        <v>3</v>
      </c>
      <c r="I5397" s="1">
        <v>3</v>
      </c>
      <c r="J5397" s="1">
        <v>3</v>
      </c>
      <c r="K5397" s="1">
        <v>3</v>
      </c>
      <c r="M5397" s="4">
        <v>1810</v>
      </c>
      <c r="N5397" s="1">
        <v>1759</v>
      </c>
      <c r="O5397" s="1">
        <v>3626</v>
      </c>
      <c r="P5397" s="1">
        <v>1867</v>
      </c>
      <c r="Q5397" s="1" t="s">
        <v>42</v>
      </c>
      <c r="S5397" s="1" t="s">
        <v>42</v>
      </c>
      <c r="T5397" s="1" t="s">
        <v>273</v>
      </c>
      <c r="U5397" s="1">
        <v>266</v>
      </c>
      <c r="V5397" s="5">
        <v>44225</v>
      </c>
      <c r="W5397" s="5">
        <v>42312</v>
      </c>
      <c r="X5397" s="1">
        <v>4075000</v>
      </c>
      <c r="Y5397" s="1">
        <v>3995000</v>
      </c>
      <c r="Z5397" s="5">
        <v>42578</v>
      </c>
      <c r="AA5397" s="1">
        <v>3995000</v>
      </c>
      <c r="AB5397" s="1" t="s">
        <v>3819</v>
      </c>
      <c r="AC5397" s="5">
        <v>42608</v>
      </c>
      <c r="AF5397" s="1">
        <v>10019</v>
      </c>
      <c r="AJ5397" s="1">
        <v>2016</v>
      </c>
      <c r="AK5397" s="1" t="s">
        <v>49</v>
      </c>
      <c r="AL5397" s="1">
        <v>109</v>
      </c>
    </row>
    <row r="5398" spans="1:38" x14ac:dyDescent="0.2">
      <c r="A5398" s="2" t="str">
        <f>HYPERLINK("https://www.compass.com/listing/135-west-52nd-street-unit-26b-manhattan-ny-10019/29383356869352353/","135 W 52nd St, Unit 26B")</f>
        <v>135 W 52nd St, Unit 26B</v>
      </c>
      <c r="B5398" s="2" t="str">
        <f t="shared" si="898"/>
        <v>135 W 52nd St</v>
      </c>
      <c r="C5398" s="1" t="s">
        <v>139</v>
      </c>
      <c r="D5398" s="1" t="s">
        <v>41</v>
      </c>
      <c r="E5398" s="3">
        <v>5050000</v>
      </c>
      <c r="F5398" s="1">
        <v>2288.1739918441299</v>
      </c>
      <c r="G5398" s="1">
        <v>6</v>
      </c>
      <c r="H5398" s="1">
        <v>3</v>
      </c>
      <c r="I5398" s="1">
        <v>4</v>
      </c>
      <c r="J5398" s="1">
        <v>3.5</v>
      </c>
      <c r="K5398" s="1">
        <v>3</v>
      </c>
      <c r="L5398" s="1">
        <v>1</v>
      </c>
      <c r="M5398" s="4">
        <v>2207</v>
      </c>
      <c r="N5398" s="1">
        <v>2245</v>
      </c>
      <c r="O5398" s="1">
        <v>5613</v>
      </c>
      <c r="P5398" s="1">
        <v>3368</v>
      </c>
      <c r="Q5398" s="1" t="s">
        <v>42</v>
      </c>
      <c r="S5398" s="1" t="s">
        <v>42</v>
      </c>
      <c r="T5398" s="1" t="s">
        <v>273</v>
      </c>
      <c r="U5398" s="1">
        <v>199</v>
      </c>
      <c r="V5398" s="5">
        <v>44225</v>
      </c>
      <c r="W5398" s="5">
        <v>42542</v>
      </c>
      <c r="X5398" s="1">
        <v>5200000</v>
      </c>
      <c r="Y5398" s="1">
        <v>5200000</v>
      </c>
      <c r="Z5398" s="5">
        <v>42741</v>
      </c>
      <c r="AA5398" s="1">
        <v>5050000</v>
      </c>
      <c r="AB5398" s="1" t="s">
        <v>3820</v>
      </c>
      <c r="AC5398" s="5">
        <v>42865</v>
      </c>
      <c r="AF5398" s="1">
        <v>10019</v>
      </c>
      <c r="AI5398" s="1" t="s">
        <v>216</v>
      </c>
      <c r="AJ5398" s="1">
        <v>2016</v>
      </c>
      <c r="AK5398" s="1" t="s">
        <v>49</v>
      </c>
      <c r="AL5398" s="1">
        <v>109</v>
      </c>
    </row>
    <row r="5399" spans="1:38" x14ac:dyDescent="0.2">
      <c r="A5399" s="2" t="str">
        <f>HYPERLINK("https://www.compass.com/listing/135-west-52nd-street-unit-29b-manhattan-ny-10019/29383359444655057/","135 W 52nd St, Unit 29B")</f>
        <v>135 W 52nd St, Unit 29B</v>
      </c>
      <c r="B5399" s="2" t="str">
        <f t="shared" si="898"/>
        <v>135 W 52nd St</v>
      </c>
      <c r="C5399" s="1" t="s">
        <v>139</v>
      </c>
      <c r="D5399" s="1" t="s">
        <v>41</v>
      </c>
      <c r="E5399" s="3">
        <v>5050000</v>
      </c>
      <c r="F5399" s="1">
        <v>2262.54480286738</v>
      </c>
      <c r="G5399" s="1">
        <v>6</v>
      </c>
      <c r="H5399" s="1">
        <v>3</v>
      </c>
      <c r="I5399" s="1">
        <v>4</v>
      </c>
      <c r="J5399" s="1">
        <v>3.5</v>
      </c>
      <c r="K5399" s="1">
        <v>3</v>
      </c>
      <c r="L5399" s="1">
        <v>1</v>
      </c>
      <c r="M5399" s="4">
        <v>2232</v>
      </c>
      <c r="N5399" s="1">
        <v>2245</v>
      </c>
      <c r="O5399" s="1">
        <v>5548</v>
      </c>
      <c r="P5399" s="1">
        <v>3303</v>
      </c>
      <c r="Q5399" s="1" t="s">
        <v>42</v>
      </c>
      <c r="S5399" s="1" t="s">
        <v>42</v>
      </c>
      <c r="T5399" s="1" t="s">
        <v>273</v>
      </c>
      <c r="U5399" s="1">
        <v>345</v>
      </c>
      <c r="V5399" s="5">
        <v>44225</v>
      </c>
      <c r="W5399" s="5">
        <v>42396</v>
      </c>
      <c r="X5399" s="1">
        <v>5200000</v>
      </c>
      <c r="Y5399" s="1">
        <v>5200000</v>
      </c>
      <c r="Z5399" s="5">
        <v>42741</v>
      </c>
      <c r="AA5399" s="1">
        <v>5050000</v>
      </c>
      <c r="AB5399" s="1" t="s">
        <v>3821</v>
      </c>
      <c r="AC5399" s="5">
        <v>42858</v>
      </c>
      <c r="AF5399" s="1">
        <v>10019</v>
      </c>
      <c r="AJ5399" s="1">
        <v>2016</v>
      </c>
      <c r="AK5399" s="1" t="s">
        <v>49</v>
      </c>
      <c r="AL5399" s="1">
        <v>109</v>
      </c>
    </row>
    <row r="5400" spans="1:38" x14ac:dyDescent="0.2">
      <c r="A5400" s="2" t="str">
        <f>HYPERLINK("https://www.compass.com/listing/135-west-52nd-street-unit-ph2-manhattan-ny-10019/803312009823332281/","135 W 52nd St, Unit PH2")</f>
        <v>135 W 52nd St, Unit PH2</v>
      </c>
      <c r="B5400" s="2" t="str">
        <f t="shared" si="898"/>
        <v>135 W 52nd St</v>
      </c>
      <c r="C5400" s="1" t="s">
        <v>219</v>
      </c>
      <c r="D5400" s="1" t="s">
        <v>41</v>
      </c>
      <c r="E5400" s="3">
        <v>6512027</v>
      </c>
      <c r="F5400" s="1">
        <v>2503.66277585544</v>
      </c>
      <c r="G5400" s="1">
        <v>6</v>
      </c>
      <c r="H5400" s="1">
        <v>3</v>
      </c>
      <c r="I5400" s="1">
        <v>4</v>
      </c>
      <c r="J5400" s="1">
        <v>4</v>
      </c>
      <c r="K5400" s="1">
        <v>4</v>
      </c>
      <c r="M5400" s="4">
        <v>2601</v>
      </c>
      <c r="N5400" s="1">
        <v>3163</v>
      </c>
      <c r="O5400" s="1">
        <v>7463</v>
      </c>
      <c r="P5400" s="1">
        <v>4300</v>
      </c>
      <c r="Q5400" s="1" t="s">
        <v>100</v>
      </c>
      <c r="S5400" s="1" t="s">
        <v>100</v>
      </c>
      <c r="T5400" s="1" t="s">
        <v>273</v>
      </c>
      <c r="U5400" s="1">
        <v>1338</v>
      </c>
      <c r="V5400" s="5">
        <v>44337</v>
      </c>
      <c r="W5400" s="5">
        <v>41821</v>
      </c>
      <c r="X5400" s="1">
        <v>7300000</v>
      </c>
      <c r="Y5400" s="1">
        <v>7300000</v>
      </c>
      <c r="AA5400" s="1">
        <v>6512026.8799999999</v>
      </c>
      <c r="AB5400" s="1" t="s">
        <v>3822</v>
      </c>
      <c r="AC5400" s="5">
        <v>43167</v>
      </c>
      <c r="AF5400" s="1">
        <v>10019</v>
      </c>
      <c r="AI5400" s="1" t="s">
        <v>131</v>
      </c>
      <c r="AJ5400" s="1">
        <v>2016</v>
      </c>
      <c r="AK5400" s="1" t="s">
        <v>49</v>
      </c>
      <c r="AL5400" s="1">
        <v>109</v>
      </c>
    </row>
    <row r="5401" spans="1:38" x14ac:dyDescent="0.2">
      <c r="A5401" s="2" t="str">
        <f>HYPERLINK("https://www.compass.com/listing/77-east-110th-street-unit-4c-manhattan-ny-10029/279726134235592401/","77 E 110th St, Unit 4C")</f>
        <v>77 E 110th St, Unit 4C</v>
      </c>
      <c r="B5401" s="2" t="str">
        <f t="shared" ref="B5401:B5402" si="899">HYPERLINK("https://www.compass.com/building/77-condominiums-manhattan-ny/281992190891244549/","77 Condominiums")</f>
        <v>77 Condominiums</v>
      </c>
      <c r="C5401" s="1" t="s">
        <v>424</v>
      </c>
      <c r="D5401" s="1" t="s">
        <v>41</v>
      </c>
      <c r="E5401" s="3">
        <v>800000</v>
      </c>
      <c r="F5401" s="1">
        <v>870.51142546245899</v>
      </c>
      <c r="G5401" s="1">
        <v>4</v>
      </c>
      <c r="H5401" s="1">
        <v>2</v>
      </c>
      <c r="I5401" s="1">
        <v>2</v>
      </c>
      <c r="J5401" s="1">
        <v>1.5</v>
      </c>
      <c r="K5401" s="1">
        <v>1</v>
      </c>
      <c r="L5401" s="1">
        <v>1</v>
      </c>
      <c r="M5401" s="1">
        <v>919</v>
      </c>
      <c r="N5401" s="1">
        <v>340</v>
      </c>
      <c r="O5401" s="1">
        <v>379</v>
      </c>
      <c r="P5401" s="1">
        <v>39</v>
      </c>
      <c r="Q5401" s="1" t="s">
        <v>42</v>
      </c>
      <c r="S5401" s="1" t="s">
        <v>42</v>
      </c>
      <c r="T5401" s="1" t="s">
        <v>273</v>
      </c>
      <c r="U5401" s="1">
        <v>38</v>
      </c>
      <c r="V5401" s="5">
        <v>43738</v>
      </c>
      <c r="W5401" s="5">
        <v>43638</v>
      </c>
      <c r="X5401" s="1">
        <v>810000</v>
      </c>
      <c r="Y5401" s="1">
        <v>810000</v>
      </c>
      <c r="Z5401" s="5">
        <v>43676</v>
      </c>
      <c r="AA5401" s="1">
        <v>800000</v>
      </c>
      <c r="AB5401" s="1" t="s">
        <v>3823</v>
      </c>
      <c r="AC5401" s="5">
        <v>43726</v>
      </c>
      <c r="AF5401" s="1">
        <v>10029</v>
      </c>
      <c r="AI5401" s="1" t="s">
        <v>111</v>
      </c>
      <c r="AJ5401" s="1">
        <v>2013</v>
      </c>
      <c r="AK5401" s="1" t="s">
        <v>257</v>
      </c>
      <c r="AL5401" s="1">
        <v>20</v>
      </c>
    </row>
    <row r="5402" spans="1:38" x14ac:dyDescent="0.2">
      <c r="A5402" s="2" t="str">
        <f>HYPERLINK("https://www.compass.com/listing/77-east-110th-street-unit-8b-manhattan-ny-10029/29669113290883057/","77 E 110th St, Unit 8B")</f>
        <v>77 E 110th St, Unit 8B</v>
      </c>
      <c r="B5402" s="2" t="str">
        <f t="shared" si="899"/>
        <v>77 Condominiums</v>
      </c>
      <c r="C5402" s="1" t="s">
        <v>424</v>
      </c>
      <c r="D5402" s="1" t="s">
        <v>41</v>
      </c>
      <c r="E5402" s="3">
        <v>1380000</v>
      </c>
      <c r="F5402" s="1">
        <v>1175.4684838160099</v>
      </c>
      <c r="G5402" s="1">
        <v>4</v>
      </c>
      <c r="H5402" s="1">
        <v>2</v>
      </c>
      <c r="I5402" s="1">
        <v>2</v>
      </c>
      <c r="J5402" s="1">
        <v>2</v>
      </c>
      <c r="K5402" s="1">
        <v>2</v>
      </c>
      <c r="M5402" s="4">
        <v>1174</v>
      </c>
      <c r="N5402" s="1">
        <v>467</v>
      </c>
      <c r="O5402" s="1">
        <v>525</v>
      </c>
      <c r="P5402" s="1">
        <v>58</v>
      </c>
      <c r="Q5402" s="1" t="s">
        <v>42</v>
      </c>
      <c r="S5402" s="1" t="s">
        <v>42</v>
      </c>
      <c r="T5402" s="1" t="s">
        <v>273</v>
      </c>
      <c r="U5402" s="1">
        <v>249</v>
      </c>
      <c r="V5402" s="5">
        <v>43782</v>
      </c>
      <c r="W5402" s="5">
        <v>43290</v>
      </c>
      <c r="X5402" s="1">
        <v>1425000</v>
      </c>
      <c r="Y5402" s="1">
        <v>1395000</v>
      </c>
      <c r="Z5402" s="5">
        <v>43557</v>
      </c>
      <c r="AA5402" s="1">
        <v>1380000</v>
      </c>
      <c r="AB5402" s="1" t="s">
        <v>3510</v>
      </c>
      <c r="AC5402" s="5">
        <v>43602</v>
      </c>
      <c r="AF5402" s="1">
        <v>10029</v>
      </c>
      <c r="AI5402" s="1" t="s">
        <v>265</v>
      </c>
      <c r="AJ5402" s="1">
        <v>2013</v>
      </c>
      <c r="AL5402" s="1">
        <v>20</v>
      </c>
    </row>
    <row r="5403" spans="1:38" x14ac:dyDescent="0.2">
      <c r="A5403" s="2" t="str">
        <f>HYPERLINK("https://www.compass.com/listing/135-west-52nd-street-unit-37a-manhattan-ny-10019/801624451959597937/","135 W 52nd St, Unit 37A")</f>
        <v>135 W 52nd St, Unit 37A</v>
      </c>
      <c r="B5403" s="2" t="str">
        <f>HYPERLINK("https://www.compass.com/building/135-w-52nd-st-manhattan-ny-10019/281943802548121109/","135 W 52nd St")</f>
        <v>135 W 52nd St</v>
      </c>
      <c r="C5403" s="1" t="s">
        <v>219</v>
      </c>
      <c r="D5403" s="1" t="s">
        <v>41</v>
      </c>
      <c r="E5403" s="3">
        <v>5895000</v>
      </c>
      <c r="F5403" s="1">
        <v>1582.12560386473</v>
      </c>
      <c r="G5403" s="1">
        <v>5.5</v>
      </c>
      <c r="H5403" s="1">
        <v>3</v>
      </c>
      <c r="I5403" s="1">
        <v>4</v>
      </c>
      <c r="J5403" s="1">
        <v>3.5</v>
      </c>
      <c r="K5403" s="1">
        <v>3</v>
      </c>
      <c r="L5403" s="1">
        <v>1</v>
      </c>
      <c r="M5403" s="4">
        <v>3726</v>
      </c>
      <c r="N5403" s="1">
        <v>5275</v>
      </c>
      <c r="O5403" s="1">
        <v>11897</v>
      </c>
      <c r="P5403" s="1">
        <v>6622</v>
      </c>
      <c r="Q5403" s="1" t="s">
        <v>42</v>
      </c>
      <c r="S5403" s="1" t="s">
        <v>42</v>
      </c>
      <c r="T5403" s="1" t="s">
        <v>273</v>
      </c>
      <c r="U5403" s="1">
        <v>1217</v>
      </c>
      <c r="V5403" s="5">
        <v>44421</v>
      </c>
      <c r="W5403" s="5">
        <v>43026</v>
      </c>
      <c r="Z5403" s="5">
        <v>44338</v>
      </c>
      <c r="AA5403" s="1">
        <v>5895000</v>
      </c>
      <c r="AB5403" s="1" t="s">
        <v>275</v>
      </c>
      <c r="AC5403" s="5">
        <v>44414</v>
      </c>
      <c r="AF5403" s="1">
        <v>10019</v>
      </c>
      <c r="AI5403" s="1" t="s">
        <v>63</v>
      </c>
      <c r="AJ5403" s="1">
        <v>2016</v>
      </c>
      <c r="AK5403" s="1" t="s">
        <v>49</v>
      </c>
      <c r="AL5403" s="1">
        <v>109</v>
      </c>
    </row>
    <row r="5404" spans="1:38" x14ac:dyDescent="0.2">
      <c r="A5404" s="2" t="str">
        <f>HYPERLINK("https://www.compass.com/listing/196-orchard-street-unit-4h-manhattan-ny-10002/789956296675695537/","196 Orchard St, Unit 4H")</f>
        <v>196 Orchard St, Unit 4H</v>
      </c>
      <c r="B5404" s="2" t="str">
        <f t="shared" ref="B5404:B5406" si="900">HYPERLINK("https://www.compass.com/building/196-orchard-st-manhattan-ny-10002/281886194713760485/","196 Orchard St")</f>
        <v>196 Orchard St</v>
      </c>
      <c r="C5404" s="1" t="s">
        <v>47</v>
      </c>
      <c r="D5404" s="1" t="s">
        <v>41</v>
      </c>
      <c r="E5404" s="3">
        <v>2685350</v>
      </c>
      <c r="F5404" s="1">
        <v>1974.5218749999999</v>
      </c>
      <c r="G5404" s="1">
        <v>4</v>
      </c>
      <c r="H5404" s="1">
        <v>2</v>
      </c>
      <c r="I5404" s="1">
        <v>3</v>
      </c>
      <c r="J5404" s="1">
        <v>2.5</v>
      </c>
      <c r="K5404" s="1">
        <v>2</v>
      </c>
      <c r="L5404" s="1">
        <v>1</v>
      </c>
      <c r="M5404" s="4">
        <v>1360</v>
      </c>
      <c r="N5404" s="1">
        <v>1806</v>
      </c>
      <c r="O5404" s="1">
        <v>4031</v>
      </c>
      <c r="P5404" s="1">
        <v>2225</v>
      </c>
      <c r="Q5404" s="1" t="s">
        <v>42</v>
      </c>
      <c r="S5404" s="1" t="s">
        <v>42</v>
      </c>
      <c r="T5404" s="1" t="s">
        <v>273</v>
      </c>
      <c r="U5404" s="1">
        <v>36</v>
      </c>
      <c r="V5404" s="5">
        <v>44417</v>
      </c>
      <c r="W5404" s="5">
        <v>44341</v>
      </c>
      <c r="X5404" s="1">
        <v>2995000</v>
      </c>
      <c r="Y5404" s="1">
        <v>2995000</v>
      </c>
      <c r="Z5404" s="5">
        <v>44378</v>
      </c>
      <c r="AA5404" s="1">
        <v>2685349.75</v>
      </c>
      <c r="AB5404" s="1" t="s">
        <v>295</v>
      </c>
      <c r="AC5404" s="5">
        <v>44413</v>
      </c>
      <c r="AF5404" s="1">
        <v>10002</v>
      </c>
      <c r="AI5404" s="1" t="s">
        <v>165</v>
      </c>
      <c r="AJ5404" s="1">
        <v>2018</v>
      </c>
      <c r="AK5404" s="1" t="s">
        <v>46</v>
      </c>
      <c r="AL5404" s="1">
        <v>89</v>
      </c>
    </row>
    <row r="5405" spans="1:38" x14ac:dyDescent="0.2">
      <c r="A5405" s="2" t="str">
        <f>HYPERLINK("https://www.compass.com/listing/196-orchard-street-unit-5n-manhattan-ny-10002/153302674605910801/","196 Orchard St, Unit 5N")</f>
        <v>196 Orchard St, Unit 5N</v>
      </c>
      <c r="B5405" s="2" t="str">
        <f t="shared" si="900"/>
        <v>196 Orchard St</v>
      </c>
      <c r="C5405" s="1" t="s">
        <v>47</v>
      </c>
      <c r="D5405" s="1" t="s">
        <v>41</v>
      </c>
      <c r="E5405" s="3">
        <v>965000</v>
      </c>
      <c r="F5405" s="1">
        <v>1605.6572379367699</v>
      </c>
      <c r="H5405" s="1" t="s">
        <v>99</v>
      </c>
      <c r="J5405" s="1">
        <v>1</v>
      </c>
      <c r="K5405" s="1">
        <v>1</v>
      </c>
      <c r="M5405" s="1">
        <v>601</v>
      </c>
      <c r="N5405" s="1">
        <v>796</v>
      </c>
      <c r="O5405" s="1">
        <v>1587</v>
      </c>
      <c r="P5405" s="1">
        <v>791</v>
      </c>
      <c r="Q5405" s="1" t="s">
        <v>42</v>
      </c>
      <c r="S5405" s="1" t="s">
        <v>42</v>
      </c>
      <c r="T5405" s="1" t="s">
        <v>273</v>
      </c>
      <c r="AA5405" s="1">
        <v>965000</v>
      </c>
      <c r="AB5405" s="1" t="s">
        <v>3824</v>
      </c>
      <c r="AC5405" s="5">
        <v>43455</v>
      </c>
      <c r="AF5405" s="1">
        <v>10002</v>
      </c>
      <c r="AI5405" s="1" t="s">
        <v>165</v>
      </c>
      <c r="AJ5405" s="1">
        <v>2018</v>
      </c>
      <c r="AK5405" s="1" t="s">
        <v>202</v>
      </c>
      <c r="AL5405" s="1">
        <v>89</v>
      </c>
    </row>
    <row r="5406" spans="1:38" x14ac:dyDescent="0.2">
      <c r="A5406" s="2" t="str">
        <f>HYPERLINK("https://www.compass.com/listing/196-orchard-street-unit-6l-manhattan-ny-10002/156928231184825681/","196 Orchard St, Unit 6L")</f>
        <v>196 Orchard St, Unit 6L</v>
      </c>
      <c r="B5406" s="2" t="str">
        <f t="shared" si="900"/>
        <v>196 Orchard St</v>
      </c>
      <c r="C5406" s="1" t="s">
        <v>47</v>
      </c>
      <c r="D5406" s="1" t="s">
        <v>41</v>
      </c>
      <c r="E5406" s="3">
        <v>1120075</v>
      </c>
      <c r="F5406" s="1">
        <v>2032.80399274047</v>
      </c>
      <c r="H5406" s="1" t="s">
        <v>99</v>
      </c>
      <c r="J5406" s="1">
        <v>1</v>
      </c>
      <c r="K5406" s="1">
        <v>1</v>
      </c>
      <c r="M5406" s="1">
        <v>551</v>
      </c>
      <c r="N5406" s="1">
        <v>917</v>
      </c>
      <c r="O5406" s="1">
        <v>1649</v>
      </c>
      <c r="P5406" s="1">
        <v>732</v>
      </c>
      <c r="Q5406" s="1" t="s">
        <v>42</v>
      </c>
      <c r="S5406" s="1" t="s">
        <v>42</v>
      </c>
      <c r="T5406" s="1" t="s">
        <v>273</v>
      </c>
      <c r="AA5406" s="1">
        <v>1120075</v>
      </c>
      <c r="AB5406" s="1" t="s">
        <v>3825</v>
      </c>
      <c r="AC5406" s="5">
        <v>43455</v>
      </c>
      <c r="AF5406" s="1">
        <v>10002</v>
      </c>
      <c r="AI5406" s="1" t="s">
        <v>165</v>
      </c>
      <c r="AJ5406" s="1">
        <v>2018</v>
      </c>
      <c r="AK5406" s="1" t="s">
        <v>202</v>
      </c>
      <c r="AL5406" s="1">
        <v>89</v>
      </c>
    </row>
    <row r="5407" spans="1:38" x14ac:dyDescent="0.2">
      <c r="A5407" s="2" t="str">
        <f>HYPERLINK("https://www.compass.com/listing/5-beekman-street-unit-18c-manhattan-ny-10038/4852279049717816689/","5 Beekman St, Unit 18C")</f>
        <v>5 Beekman St, Unit 18C</v>
      </c>
      <c r="B5407" s="2" t="str">
        <f>HYPERLINK("https://www.compass.com/building/the-beekman-residences-manhattan-ny/282030567363458613/","The Beekman Residences")</f>
        <v>The Beekman Residences</v>
      </c>
      <c r="C5407" s="1" t="s">
        <v>96</v>
      </c>
      <c r="D5407" s="1" t="s">
        <v>41</v>
      </c>
      <c r="E5407" s="3">
        <v>1265000</v>
      </c>
      <c r="F5407" s="1">
        <v>1799.4310099573199</v>
      </c>
      <c r="G5407" s="1">
        <v>3</v>
      </c>
      <c r="H5407" s="1">
        <v>1</v>
      </c>
      <c r="I5407" s="1">
        <v>1</v>
      </c>
      <c r="J5407" s="1">
        <v>1</v>
      </c>
      <c r="M5407" s="1">
        <v>703</v>
      </c>
      <c r="N5407" s="1">
        <v>975</v>
      </c>
      <c r="O5407" s="1">
        <v>1970</v>
      </c>
      <c r="P5407" s="1">
        <v>995</v>
      </c>
      <c r="Q5407" s="1" t="s">
        <v>42</v>
      </c>
      <c r="S5407" s="1" t="s">
        <v>42</v>
      </c>
      <c r="T5407" s="1" t="s">
        <v>273</v>
      </c>
      <c r="V5407" s="5">
        <v>43650</v>
      </c>
      <c r="W5407" s="5">
        <v>41976</v>
      </c>
      <c r="X5407" s="1">
        <v>1265000</v>
      </c>
      <c r="Y5407" s="1">
        <v>1265000</v>
      </c>
      <c r="Z5407" s="5">
        <v>41976</v>
      </c>
      <c r="AA5407" s="1">
        <v>1265000</v>
      </c>
      <c r="AB5407" s="1" t="s">
        <v>275</v>
      </c>
      <c r="AC5407" s="5">
        <v>42977</v>
      </c>
      <c r="AF5407" s="1">
        <v>10038</v>
      </c>
      <c r="AI5407" s="1" t="s">
        <v>140</v>
      </c>
      <c r="AJ5407" s="1">
        <v>2015</v>
      </c>
      <c r="AK5407" s="1" t="s">
        <v>49</v>
      </c>
      <c r="AL5407" s="1">
        <v>67</v>
      </c>
    </row>
    <row r="5408" spans="1:38" x14ac:dyDescent="0.2">
      <c r="A5408" s="2" t="str">
        <f>HYPERLINK("https://www.compass.com/listing/50-clinton-street-unit-6f-manhattan-ny-10002/70918975332085265/","50 Clinton St, Unit 6F")</f>
        <v>50 Clinton St, Unit 6F</v>
      </c>
      <c r="B5408" s="2" t="str">
        <f>HYPERLINK("https://www.compass.com/building/50-clinton-manhattan-ny/281887574832709909/","50 Clinton")</f>
        <v>50 Clinton</v>
      </c>
      <c r="C5408" s="1" t="s">
        <v>47</v>
      </c>
      <c r="D5408" s="1" t="s">
        <v>41</v>
      </c>
      <c r="E5408" s="3">
        <v>1250000</v>
      </c>
      <c r="F5408" s="1">
        <v>1923.0769230769199</v>
      </c>
      <c r="G5408" s="1">
        <v>3</v>
      </c>
      <c r="H5408" s="1">
        <v>1</v>
      </c>
      <c r="I5408" s="1">
        <v>1</v>
      </c>
      <c r="J5408" s="1">
        <v>1</v>
      </c>
      <c r="K5408" s="1">
        <v>1</v>
      </c>
      <c r="M5408" s="1">
        <v>650</v>
      </c>
      <c r="N5408" s="1">
        <v>737</v>
      </c>
      <c r="O5408" s="1">
        <v>1293</v>
      </c>
      <c r="Q5408" s="1" t="s">
        <v>158</v>
      </c>
      <c r="S5408" s="1" t="s">
        <v>158</v>
      </c>
      <c r="T5408" s="1" t="s">
        <v>273</v>
      </c>
      <c r="U5408" s="1">
        <v>196</v>
      </c>
      <c r="V5408" s="5">
        <v>44314</v>
      </c>
      <c r="W5408" s="5">
        <v>42101</v>
      </c>
      <c r="AA5408" s="1">
        <v>1250000</v>
      </c>
      <c r="AB5408" s="1" t="s">
        <v>429</v>
      </c>
      <c r="AC5408" s="5">
        <v>43944</v>
      </c>
      <c r="AF5408" s="1">
        <v>10002</v>
      </c>
      <c r="AI5408" s="1" t="s">
        <v>61</v>
      </c>
      <c r="AJ5408" s="1">
        <v>2016</v>
      </c>
      <c r="AK5408" s="1" t="s">
        <v>46</v>
      </c>
      <c r="AL5408" s="1">
        <v>37</v>
      </c>
    </row>
    <row r="5409" spans="1:38" x14ac:dyDescent="0.2">
      <c r="A5409" s="2" t="str">
        <f>HYPERLINK("https://www.compass.com/listing/50-west-street-unit-12b-manhattan-ny-10006/29355197117564913/","50 West St, Unit 12B")</f>
        <v>50 West St, Unit 12B</v>
      </c>
      <c r="B5409" s="2" t="str">
        <f t="shared" ref="B5409:B5413" si="901">HYPERLINK("https://www.compass.com/building/50-west-st-manhattan-ny-10006/281896342152815429/","50 West St")</f>
        <v>50 West St</v>
      </c>
      <c r="C5409" s="1" t="s">
        <v>96</v>
      </c>
      <c r="D5409" s="1" t="s">
        <v>41</v>
      </c>
      <c r="E5409" s="3">
        <v>1613926</v>
      </c>
      <c r="F5409" s="1">
        <v>1484.7527598895999</v>
      </c>
      <c r="H5409" s="1">
        <v>1</v>
      </c>
      <c r="J5409" s="1">
        <v>1</v>
      </c>
      <c r="M5409" s="4">
        <v>1087</v>
      </c>
      <c r="N5409" s="1">
        <v>1202</v>
      </c>
      <c r="O5409" s="1">
        <v>2547</v>
      </c>
      <c r="P5409" s="1">
        <v>1345</v>
      </c>
      <c r="Q5409" s="1" t="s">
        <v>42</v>
      </c>
      <c r="S5409" s="1" t="s">
        <v>42</v>
      </c>
      <c r="T5409" s="1" t="s">
        <v>273</v>
      </c>
      <c r="AA5409" s="1">
        <v>1613926.25</v>
      </c>
      <c r="AB5409" s="1" t="s">
        <v>3826</v>
      </c>
      <c r="AC5409" s="5">
        <v>42780</v>
      </c>
      <c r="AF5409" s="1">
        <v>10006</v>
      </c>
      <c r="AI5409" s="1" t="s">
        <v>97</v>
      </c>
      <c r="AJ5409" s="1">
        <v>2016</v>
      </c>
      <c r="AK5409" s="1" t="s">
        <v>49</v>
      </c>
      <c r="AL5409" s="1">
        <v>186</v>
      </c>
    </row>
    <row r="5410" spans="1:38" x14ac:dyDescent="0.2">
      <c r="A5410" s="2" t="str">
        <f>HYPERLINK("https://www.compass.com/listing/50-west-street-unit-19b-manhattan-ny-10006/29355202989588225/","50 West St, Unit 19B")</f>
        <v>50 West St, Unit 19B</v>
      </c>
      <c r="B5410" s="2" t="str">
        <f t="shared" si="901"/>
        <v>50 West St</v>
      </c>
      <c r="C5410" s="1" t="s">
        <v>96</v>
      </c>
      <c r="D5410" s="1" t="s">
        <v>41</v>
      </c>
      <c r="E5410" s="3">
        <v>1568105</v>
      </c>
      <c r="F5410" s="1">
        <v>1442.59889604415</v>
      </c>
      <c r="H5410" s="1">
        <v>1</v>
      </c>
      <c r="J5410" s="1">
        <v>1</v>
      </c>
      <c r="K5410" s="1">
        <v>1</v>
      </c>
      <c r="M5410" s="4">
        <v>1087</v>
      </c>
      <c r="N5410" s="1">
        <v>1241</v>
      </c>
      <c r="O5410" s="1">
        <v>2668</v>
      </c>
      <c r="P5410" s="1">
        <v>1427</v>
      </c>
      <c r="Q5410" s="1" t="s">
        <v>42</v>
      </c>
      <c r="S5410" s="1" t="s">
        <v>42</v>
      </c>
      <c r="T5410" s="1" t="s">
        <v>273</v>
      </c>
      <c r="AA5410" s="1">
        <v>1568105</v>
      </c>
      <c r="AB5410" s="1" t="s">
        <v>3827</v>
      </c>
      <c r="AC5410" s="5">
        <v>42748</v>
      </c>
      <c r="AF5410" s="1">
        <v>10006</v>
      </c>
      <c r="AI5410" s="1" t="s">
        <v>97</v>
      </c>
      <c r="AJ5410" s="1">
        <v>2016</v>
      </c>
      <c r="AK5410" s="1" t="s">
        <v>49</v>
      </c>
      <c r="AL5410" s="1">
        <v>186</v>
      </c>
    </row>
    <row r="5411" spans="1:38" x14ac:dyDescent="0.2">
      <c r="A5411" s="2" t="str">
        <f>HYPERLINK("https://www.compass.com/listing/50-west-street-unit-19c-manhattan-ny-10006/29355203408986769/","50 West St, Unit 19C")</f>
        <v>50 West St, Unit 19C</v>
      </c>
      <c r="B5411" s="2" t="str">
        <f t="shared" si="901"/>
        <v>50 West St</v>
      </c>
      <c r="C5411" s="1" t="s">
        <v>96</v>
      </c>
      <c r="D5411" s="1" t="s">
        <v>41</v>
      </c>
      <c r="E5411" s="3">
        <v>1522284</v>
      </c>
      <c r="F5411" s="1">
        <v>1409.52199074074</v>
      </c>
      <c r="H5411" s="1">
        <v>1</v>
      </c>
      <c r="J5411" s="1">
        <v>1</v>
      </c>
      <c r="K5411" s="1">
        <v>1</v>
      </c>
      <c r="M5411" s="4">
        <v>1080</v>
      </c>
      <c r="N5411" s="1">
        <v>1237</v>
      </c>
      <c r="O5411" s="1">
        <v>3103</v>
      </c>
      <c r="P5411" s="1">
        <v>1866</v>
      </c>
      <c r="Q5411" s="1" t="s">
        <v>42</v>
      </c>
      <c r="S5411" s="1" t="s">
        <v>42</v>
      </c>
      <c r="T5411" s="1" t="s">
        <v>273</v>
      </c>
      <c r="AA5411" s="1">
        <v>1522283.75</v>
      </c>
      <c r="AB5411" s="1" t="s">
        <v>3828</v>
      </c>
      <c r="AC5411" s="5">
        <v>42781</v>
      </c>
      <c r="AF5411" s="1">
        <v>10006</v>
      </c>
      <c r="AI5411" s="1" t="s">
        <v>97</v>
      </c>
      <c r="AJ5411" s="1">
        <v>2016</v>
      </c>
      <c r="AK5411" s="1" t="s">
        <v>49</v>
      </c>
      <c r="AL5411" s="1">
        <v>186</v>
      </c>
    </row>
    <row r="5412" spans="1:38" x14ac:dyDescent="0.2">
      <c r="A5412" s="2" t="str">
        <f>HYPERLINK("https://www.compass.com/listing/50-west-street-unit-35b-manhattan-ny-10006/29355214398063425/","50 West St, Unit 35B")</f>
        <v>50 West St, Unit 35B</v>
      </c>
      <c r="B5412" s="2" t="str">
        <f t="shared" si="901"/>
        <v>50 West St</v>
      </c>
      <c r="C5412" s="1" t="s">
        <v>96</v>
      </c>
      <c r="D5412" s="1" t="s">
        <v>41</v>
      </c>
      <c r="E5412" s="3">
        <v>2011044</v>
      </c>
      <c r="F5412" s="1">
        <v>1850.08624655013</v>
      </c>
      <c r="H5412" s="1">
        <v>1</v>
      </c>
      <c r="J5412" s="1">
        <v>1</v>
      </c>
      <c r="K5412" s="1">
        <v>1</v>
      </c>
      <c r="M5412" s="4">
        <v>1087</v>
      </c>
      <c r="N5412" s="1">
        <v>1334</v>
      </c>
      <c r="O5412" s="1">
        <v>3367</v>
      </c>
      <c r="P5412" s="1">
        <v>2033</v>
      </c>
      <c r="Q5412" s="1" t="s">
        <v>42</v>
      </c>
      <c r="S5412" s="1" t="s">
        <v>42</v>
      </c>
      <c r="T5412" s="1" t="s">
        <v>273</v>
      </c>
      <c r="AA5412" s="1">
        <v>2011043.75</v>
      </c>
      <c r="AB5412" s="1" t="s">
        <v>3829</v>
      </c>
      <c r="AC5412" s="5">
        <v>42944</v>
      </c>
      <c r="AF5412" s="1">
        <v>10006</v>
      </c>
      <c r="AI5412" s="1" t="s">
        <v>97</v>
      </c>
      <c r="AJ5412" s="1">
        <v>2016</v>
      </c>
      <c r="AK5412" s="1" t="s">
        <v>49</v>
      </c>
      <c r="AL5412" s="1">
        <v>186</v>
      </c>
    </row>
    <row r="5413" spans="1:38" x14ac:dyDescent="0.2">
      <c r="A5413" s="2" t="str">
        <f>HYPERLINK("https://www.compass.com/listing/50-west-street-unit-17b-manhattan-ny-10006/29578293170708545/","50 West St, Unit 17B")</f>
        <v>50 West St, Unit 17B</v>
      </c>
      <c r="B5413" s="2" t="str">
        <f t="shared" si="901"/>
        <v>50 West St</v>
      </c>
      <c r="C5413" s="1" t="s">
        <v>96</v>
      </c>
      <c r="D5413" s="1" t="s">
        <v>41</v>
      </c>
      <c r="E5413" s="3">
        <v>1461189</v>
      </c>
      <c r="F5413" s="1">
        <v>1344.23988040478</v>
      </c>
      <c r="H5413" s="1">
        <v>1</v>
      </c>
      <c r="J5413" s="1">
        <v>1</v>
      </c>
      <c r="M5413" s="4">
        <v>1087</v>
      </c>
      <c r="N5413" s="1">
        <v>1229</v>
      </c>
      <c r="O5413" s="1">
        <v>2682</v>
      </c>
      <c r="P5413" s="1">
        <v>1453</v>
      </c>
      <c r="Q5413" s="1" t="s">
        <v>42</v>
      </c>
      <c r="S5413" s="1" t="s">
        <v>42</v>
      </c>
      <c r="T5413" s="1" t="s">
        <v>273</v>
      </c>
      <c r="AA5413" s="1">
        <v>1461188.75</v>
      </c>
      <c r="AB5413" s="1" t="s">
        <v>3830</v>
      </c>
      <c r="AC5413" s="5">
        <v>42790</v>
      </c>
      <c r="AF5413" s="1">
        <v>10006</v>
      </c>
      <c r="AI5413" s="1" t="s">
        <v>97</v>
      </c>
      <c r="AJ5413" s="1">
        <v>2016</v>
      </c>
      <c r="AK5413" s="1" t="s">
        <v>49</v>
      </c>
      <c r="AL5413" s="1">
        <v>186</v>
      </c>
    </row>
    <row r="5414" spans="1:38" x14ac:dyDescent="0.2">
      <c r="A5414" s="2" t="str">
        <f>HYPERLINK("https://www.compass.com/listing/50-clinton-street-unit-2f-manhattan-ny-10002/29360666557126801/","50 Clinton St, Unit 2F")</f>
        <v>50 Clinton St, Unit 2F</v>
      </c>
      <c r="B5414" s="2" t="str">
        <f>HYPERLINK("https://www.compass.com/building/50-clinton-manhattan-ny/281887574832709909/","50 Clinton")</f>
        <v>50 Clinton</v>
      </c>
      <c r="C5414" s="1" t="s">
        <v>47</v>
      </c>
      <c r="D5414" s="1" t="s">
        <v>41</v>
      </c>
      <c r="E5414" s="3">
        <v>1094619</v>
      </c>
      <c r="F5414" s="1">
        <v>1821.3294509151399</v>
      </c>
      <c r="G5414" s="1">
        <v>3</v>
      </c>
      <c r="H5414" s="1">
        <v>1</v>
      </c>
      <c r="I5414" s="1">
        <v>1</v>
      </c>
      <c r="J5414" s="1">
        <v>1</v>
      </c>
      <c r="M5414" s="1">
        <v>601</v>
      </c>
      <c r="N5414" s="1">
        <v>682</v>
      </c>
      <c r="O5414" s="1">
        <v>1199</v>
      </c>
      <c r="P5414" s="1">
        <v>517</v>
      </c>
      <c r="Q5414" s="1" t="s">
        <v>42</v>
      </c>
      <c r="S5414" s="1" t="s">
        <v>42</v>
      </c>
      <c r="T5414" s="1" t="s">
        <v>273</v>
      </c>
      <c r="V5414" s="5">
        <v>43668</v>
      </c>
      <c r="W5414" s="5">
        <v>42133</v>
      </c>
      <c r="X5414" s="1">
        <v>1075000</v>
      </c>
      <c r="Y5414" s="1">
        <v>1075000</v>
      </c>
      <c r="Z5414" s="5">
        <v>42133</v>
      </c>
      <c r="AA5414" s="1">
        <v>1094619</v>
      </c>
      <c r="AB5414" s="1" t="s">
        <v>3831</v>
      </c>
      <c r="AC5414" s="5">
        <v>42990</v>
      </c>
      <c r="AF5414" s="1">
        <v>10002</v>
      </c>
      <c r="AI5414" s="1" t="s">
        <v>48</v>
      </c>
      <c r="AJ5414" s="1">
        <v>2016</v>
      </c>
      <c r="AK5414" s="1" t="s">
        <v>49</v>
      </c>
      <c r="AL5414" s="1">
        <v>37</v>
      </c>
    </row>
    <row r="5415" spans="1:38" x14ac:dyDescent="0.2">
      <c r="A5415" s="2" t="str">
        <f>HYPERLINK("https://www.compass.com/listing/196-orchard-street-unit-6b-manhattan-ny-10002/146945533347367825/","196 Orchard St, Unit 6B")</f>
        <v>196 Orchard St, Unit 6B</v>
      </c>
      <c r="B5415" s="2" t="str">
        <f>HYPERLINK("https://www.compass.com/building/196-orchard-st-manhattan-ny-10002/281886194713760485/","196 Orchard St")</f>
        <v>196 Orchard St</v>
      </c>
      <c r="C5415" s="1" t="s">
        <v>47</v>
      </c>
      <c r="D5415" s="1" t="s">
        <v>41</v>
      </c>
      <c r="E5415" s="3">
        <v>1340091</v>
      </c>
      <c r="F5415" s="1">
        <v>2039.7117656012099</v>
      </c>
      <c r="H5415" s="1">
        <v>1</v>
      </c>
      <c r="J5415" s="1">
        <v>1</v>
      </c>
      <c r="M5415" s="1">
        <v>657</v>
      </c>
      <c r="Q5415" s="1" t="s">
        <v>42</v>
      </c>
      <c r="S5415" s="1" t="s">
        <v>42</v>
      </c>
      <c r="T5415" s="1" t="s">
        <v>273</v>
      </c>
      <c r="AA5415" s="1">
        <v>1340090.6299999999</v>
      </c>
      <c r="AB5415" s="1" t="s">
        <v>3832</v>
      </c>
      <c r="AC5415" s="5">
        <v>43441</v>
      </c>
      <c r="AF5415" s="1">
        <v>10002</v>
      </c>
      <c r="AI5415" s="1" t="s">
        <v>165</v>
      </c>
      <c r="AJ5415" s="1">
        <v>2018</v>
      </c>
      <c r="AK5415" s="1" t="s">
        <v>202</v>
      </c>
      <c r="AL5415" s="1">
        <v>89</v>
      </c>
    </row>
    <row r="5416" spans="1:38" x14ac:dyDescent="0.2">
      <c r="A5416" s="2" t="str">
        <f>HYPERLINK("https://www.compass.com/listing/50-clinton-street-unit-2b-manhattan-ny-10002/29360665357555825/","50 Clinton St, Unit 2B")</f>
        <v>50 Clinton St, Unit 2B</v>
      </c>
      <c r="B5416" s="2" t="str">
        <f>HYPERLINK("https://www.compass.com/building/50-clinton-manhattan-ny/281887574832709909/","50 Clinton")</f>
        <v>50 Clinton</v>
      </c>
      <c r="C5416" s="1" t="s">
        <v>47</v>
      </c>
      <c r="D5416" s="1" t="s">
        <v>41</v>
      </c>
      <c r="E5416" s="3">
        <v>1250000</v>
      </c>
      <c r="F5416" s="1">
        <v>1908.39694656488</v>
      </c>
      <c r="G5416" s="1">
        <v>3</v>
      </c>
      <c r="H5416" s="1">
        <v>1</v>
      </c>
      <c r="I5416" s="1">
        <v>1</v>
      </c>
      <c r="J5416" s="1">
        <v>1</v>
      </c>
      <c r="K5416" s="1">
        <v>1</v>
      </c>
      <c r="M5416" s="1">
        <v>655</v>
      </c>
      <c r="N5416" s="1">
        <v>746</v>
      </c>
      <c r="O5416" s="1">
        <v>1306</v>
      </c>
      <c r="P5416" s="1">
        <v>560</v>
      </c>
      <c r="Q5416" s="1" t="s">
        <v>42</v>
      </c>
      <c r="S5416" s="1" t="s">
        <v>42</v>
      </c>
      <c r="T5416" s="1" t="s">
        <v>273</v>
      </c>
      <c r="V5416" s="5">
        <v>44345</v>
      </c>
      <c r="W5416" s="5">
        <v>42117</v>
      </c>
      <c r="X5416" s="1">
        <v>1175000</v>
      </c>
      <c r="Y5416" s="1">
        <v>1175000</v>
      </c>
      <c r="Z5416" s="5">
        <v>42117</v>
      </c>
      <c r="AA5416" s="1">
        <v>1250000</v>
      </c>
      <c r="AB5416" s="1" t="s">
        <v>3833</v>
      </c>
      <c r="AC5416" s="5">
        <v>43006</v>
      </c>
      <c r="AF5416" s="1">
        <v>10002</v>
      </c>
      <c r="AI5416" s="1" t="s">
        <v>179</v>
      </c>
      <c r="AJ5416" s="1">
        <v>2016</v>
      </c>
      <c r="AK5416" s="1" t="s">
        <v>46</v>
      </c>
      <c r="AL5416" s="1">
        <v>37</v>
      </c>
    </row>
    <row r="5417" spans="1:38" x14ac:dyDescent="0.2">
      <c r="A5417" s="2" t="str">
        <f>HYPERLINK("https://www.compass.com/listing/5-beekman-street-unit-19b-manhattan-ny-10038/29357224275045825/","5 Beekman St, Unit 19B")</f>
        <v>5 Beekman St, Unit 19B</v>
      </c>
      <c r="B5417" s="2" t="str">
        <f t="shared" ref="B5417:B5420" si="902">HYPERLINK("https://www.compass.com/building/the-beekman-residences-manhattan-ny/282030567363458613/","The Beekman Residences")</f>
        <v>The Beekman Residences</v>
      </c>
      <c r="C5417" s="1" t="s">
        <v>96</v>
      </c>
      <c r="D5417" s="1" t="s">
        <v>41</v>
      </c>
      <c r="E5417" s="3">
        <v>1883763</v>
      </c>
      <c r="F5417" s="1">
        <v>2203.23157894736</v>
      </c>
      <c r="G5417" s="1">
        <v>3</v>
      </c>
      <c r="H5417" s="1">
        <v>1</v>
      </c>
      <c r="I5417" s="1">
        <v>1</v>
      </c>
      <c r="J5417" s="1">
        <v>1</v>
      </c>
      <c r="M5417" s="1">
        <v>855</v>
      </c>
      <c r="N5417" s="1">
        <v>1186</v>
      </c>
      <c r="O5417" s="1">
        <v>2396</v>
      </c>
      <c r="P5417" s="1">
        <v>1210</v>
      </c>
      <c r="Q5417" s="1" t="s">
        <v>42</v>
      </c>
      <c r="S5417" s="1" t="s">
        <v>42</v>
      </c>
      <c r="T5417" s="1" t="s">
        <v>273</v>
      </c>
      <c r="U5417" s="1">
        <v>66</v>
      </c>
      <c r="V5417" s="5">
        <v>43675</v>
      </c>
      <c r="W5417" s="5">
        <v>41976</v>
      </c>
      <c r="X5417" s="1">
        <v>1850000</v>
      </c>
      <c r="Y5417" s="1">
        <v>1850000</v>
      </c>
      <c r="Z5417" s="5">
        <v>42042</v>
      </c>
      <c r="AA5417" s="1">
        <v>1883763</v>
      </c>
      <c r="AB5417" s="1" t="s">
        <v>3834</v>
      </c>
      <c r="AC5417" s="5">
        <v>42651</v>
      </c>
      <c r="AF5417" s="1">
        <v>10038</v>
      </c>
      <c r="AI5417" s="1" t="s">
        <v>101</v>
      </c>
      <c r="AJ5417" s="1">
        <v>2015</v>
      </c>
      <c r="AK5417" s="1" t="s">
        <v>49</v>
      </c>
      <c r="AL5417" s="1">
        <v>67</v>
      </c>
    </row>
    <row r="5418" spans="1:38" x14ac:dyDescent="0.2">
      <c r="A5418" s="2" t="str">
        <f>HYPERLINK("https://www.compass.com/listing/5-beekman-street-unit-25c-manhattan-ny-10038/4852281089550466465/","5 Beekman St, Unit 25C")</f>
        <v>5 Beekman St, Unit 25C</v>
      </c>
      <c r="B5418" s="2" t="str">
        <f t="shared" si="902"/>
        <v>The Beekman Residences</v>
      </c>
      <c r="C5418" s="1" t="s">
        <v>96</v>
      </c>
      <c r="D5418" s="1" t="s">
        <v>41</v>
      </c>
      <c r="E5418" s="3">
        <v>1525000</v>
      </c>
      <c r="F5418" s="1">
        <v>2169.27453769559</v>
      </c>
      <c r="G5418" s="1">
        <v>3</v>
      </c>
      <c r="H5418" s="1">
        <v>1</v>
      </c>
      <c r="I5418" s="1">
        <v>1</v>
      </c>
      <c r="J5418" s="1">
        <v>1</v>
      </c>
      <c r="M5418" s="1">
        <v>703</v>
      </c>
      <c r="N5418" s="1">
        <v>975</v>
      </c>
      <c r="O5418" s="1">
        <v>1970</v>
      </c>
      <c r="P5418" s="1">
        <v>995</v>
      </c>
      <c r="Q5418" s="1" t="s">
        <v>42</v>
      </c>
      <c r="S5418" s="1" t="s">
        <v>42</v>
      </c>
      <c r="T5418" s="1" t="s">
        <v>273</v>
      </c>
      <c r="V5418" s="5">
        <v>43694</v>
      </c>
      <c r="W5418" s="5">
        <v>42509</v>
      </c>
      <c r="X5418" s="1">
        <v>1525000</v>
      </c>
      <c r="Y5418" s="1">
        <v>1525000</v>
      </c>
      <c r="Z5418" s="5">
        <v>42509</v>
      </c>
      <c r="AA5418" s="1">
        <v>1525000</v>
      </c>
      <c r="AB5418" s="1" t="s">
        <v>275</v>
      </c>
      <c r="AC5418" s="5">
        <v>43002</v>
      </c>
      <c r="AF5418" s="1">
        <v>10038</v>
      </c>
      <c r="AI5418" s="1" t="s">
        <v>101</v>
      </c>
      <c r="AJ5418" s="1">
        <v>2015</v>
      </c>
      <c r="AK5418" s="1" t="s">
        <v>49</v>
      </c>
      <c r="AL5418" s="1">
        <v>67</v>
      </c>
    </row>
    <row r="5419" spans="1:38" x14ac:dyDescent="0.2">
      <c r="A5419" s="2" t="str">
        <f>HYPERLINK("https://www.compass.com/listing/5-beekman-street-unit-23c-manhattan-ny-10038/4852281192352848721/","5 Beekman St, Unit 23C")</f>
        <v>5 Beekman St, Unit 23C</v>
      </c>
      <c r="B5419" s="2" t="str">
        <f t="shared" si="902"/>
        <v>The Beekman Residences</v>
      </c>
      <c r="C5419" s="1" t="s">
        <v>96</v>
      </c>
      <c r="D5419" s="1" t="s">
        <v>41</v>
      </c>
      <c r="E5419" s="3">
        <v>1450000</v>
      </c>
      <c r="F5419" s="1">
        <v>2062.5889046941602</v>
      </c>
      <c r="G5419" s="1">
        <v>3</v>
      </c>
      <c r="H5419" s="1">
        <v>1</v>
      </c>
      <c r="I5419" s="1">
        <v>1</v>
      </c>
      <c r="J5419" s="1">
        <v>1</v>
      </c>
      <c r="M5419" s="1">
        <v>703</v>
      </c>
      <c r="N5419" s="1">
        <v>975</v>
      </c>
      <c r="O5419" s="1">
        <v>1970</v>
      </c>
      <c r="P5419" s="1">
        <v>995</v>
      </c>
      <c r="Q5419" s="1" t="s">
        <v>42</v>
      </c>
      <c r="S5419" s="1" t="s">
        <v>42</v>
      </c>
      <c r="T5419" s="1" t="s">
        <v>273</v>
      </c>
      <c r="U5419" s="1">
        <v>215</v>
      </c>
      <c r="V5419" s="5">
        <v>43649</v>
      </c>
      <c r="W5419" s="5">
        <v>42407</v>
      </c>
      <c r="X5419" s="1">
        <v>1450000</v>
      </c>
      <c r="Y5419" s="1">
        <v>1450000</v>
      </c>
      <c r="Z5419" s="5">
        <v>42622</v>
      </c>
      <c r="AA5419" s="1">
        <v>1450000</v>
      </c>
      <c r="AB5419" s="1" t="s">
        <v>275</v>
      </c>
      <c r="AC5419" s="5">
        <v>43002</v>
      </c>
      <c r="AF5419" s="1">
        <v>10038</v>
      </c>
      <c r="AI5419" s="1" t="s">
        <v>201</v>
      </c>
      <c r="AJ5419" s="1">
        <v>2015</v>
      </c>
      <c r="AK5419" s="1" t="s">
        <v>46</v>
      </c>
      <c r="AL5419" s="1">
        <v>67</v>
      </c>
    </row>
    <row r="5420" spans="1:38" x14ac:dyDescent="0.2">
      <c r="A5420" s="2" t="str">
        <f>HYPERLINK("https://www.compass.com/listing/5-beekman-street-unit-20b-manhattan-ny-10038/70920739322072353/","5 Beekman St, Unit 20B")</f>
        <v>5 Beekman St, Unit 20B</v>
      </c>
      <c r="B5420" s="2" t="str">
        <f t="shared" si="902"/>
        <v>The Beekman Residences</v>
      </c>
      <c r="C5420" s="1" t="s">
        <v>96</v>
      </c>
      <c r="D5420" s="1" t="s">
        <v>41</v>
      </c>
      <c r="E5420" s="3">
        <v>1680113</v>
      </c>
      <c r="F5420" s="1">
        <v>1965.0438596491199</v>
      </c>
      <c r="G5420" s="1">
        <v>3</v>
      </c>
      <c r="H5420" s="1">
        <v>1</v>
      </c>
      <c r="I5420" s="1">
        <v>1</v>
      </c>
      <c r="J5420" s="1">
        <v>1</v>
      </c>
      <c r="M5420" s="1">
        <v>855</v>
      </c>
      <c r="N5420" s="1">
        <v>1186</v>
      </c>
      <c r="O5420" s="1">
        <v>2396</v>
      </c>
      <c r="P5420" s="1">
        <v>1210</v>
      </c>
      <c r="Q5420" s="1" t="s">
        <v>42</v>
      </c>
      <c r="S5420" s="1" t="s">
        <v>42</v>
      </c>
      <c r="T5420" s="1" t="s">
        <v>273</v>
      </c>
      <c r="U5420" s="1">
        <v>25</v>
      </c>
      <c r="V5420" s="5">
        <v>42672</v>
      </c>
      <c r="W5420" s="5">
        <v>41911</v>
      </c>
      <c r="X5420" s="1">
        <v>1650000</v>
      </c>
      <c r="Y5420" s="1">
        <v>1650000</v>
      </c>
      <c r="Z5420" s="5">
        <v>41937</v>
      </c>
      <c r="AA5420" s="1">
        <v>1680112.5</v>
      </c>
      <c r="AB5420" s="1" t="s">
        <v>3835</v>
      </c>
      <c r="AC5420" s="5">
        <v>42671</v>
      </c>
      <c r="AF5420" s="1">
        <v>10038</v>
      </c>
      <c r="AI5420" s="1" t="s">
        <v>101</v>
      </c>
      <c r="AJ5420" s="1">
        <v>2015</v>
      </c>
      <c r="AK5420" s="1" t="s">
        <v>46</v>
      </c>
      <c r="AL5420" s="1">
        <v>67</v>
      </c>
    </row>
    <row r="5421" spans="1:38" x14ac:dyDescent="0.2">
      <c r="A5421" s="2" t="str">
        <f>HYPERLINK("https://www.compass.com/listing/50-clinton-street-unit-2b-manhattan-ny-10002/738973398317976097/","50 Clinton St, Unit 2B")</f>
        <v>50 Clinton St, Unit 2B</v>
      </c>
      <c r="B5421" s="2" t="str">
        <f>HYPERLINK("https://www.compass.com/building/50-clinton-manhattan-ny/281887574832709909/","50 Clinton")</f>
        <v>50 Clinton</v>
      </c>
      <c r="C5421" s="1" t="s">
        <v>47</v>
      </c>
      <c r="D5421" s="1" t="s">
        <v>41</v>
      </c>
      <c r="E5421" s="3">
        <v>1150000</v>
      </c>
      <c r="F5421" s="1">
        <v>1703.7037037037001</v>
      </c>
      <c r="G5421" s="1">
        <v>3</v>
      </c>
      <c r="H5421" s="1">
        <v>1</v>
      </c>
      <c r="I5421" s="1">
        <v>1</v>
      </c>
      <c r="J5421" s="1">
        <v>1</v>
      </c>
      <c r="K5421" s="1">
        <v>1</v>
      </c>
      <c r="M5421" s="1">
        <v>675</v>
      </c>
      <c r="N5421" s="1">
        <v>860</v>
      </c>
      <c r="O5421" s="1">
        <v>1605</v>
      </c>
      <c r="P5421" s="1">
        <v>745</v>
      </c>
      <c r="Q5421" s="1" t="s">
        <v>42</v>
      </c>
      <c r="S5421" s="1" t="s">
        <v>42</v>
      </c>
      <c r="T5421" s="1" t="s">
        <v>273</v>
      </c>
      <c r="U5421" s="1">
        <v>95</v>
      </c>
      <c r="V5421" s="5">
        <v>44404</v>
      </c>
      <c r="W5421" s="5">
        <v>44249</v>
      </c>
      <c r="X5421" s="1">
        <v>1249500</v>
      </c>
      <c r="Y5421" s="1">
        <v>1249500</v>
      </c>
      <c r="Z5421" s="5">
        <v>44345</v>
      </c>
      <c r="AA5421" s="1">
        <v>1150000</v>
      </c>
      <c r="AB5421" s="1" t="s">
        <v>3836</v>
      </c>
      <c r="AC5421" s="5">
        <v>44398</v>
      </c>
      <c r="AF5421" s="1">
        <v>10002</v>
      </c>
      <c r="AI5421" s="1" t="s">
        <v>179</v>
      </c>
      <c r="AJ5421" s="1">
        <v>2016</v>
      </c>
      <c r="AK5421" s="1" t="s">
        <v>46</v>
      </c>
      <c r="AL5421" s="1">
        <v>37</v>
      </c>
    </row>
    <row r="5422" spans="1:38" x14ac:dyDescent="0.2">
      <c r="A5422" s="2" t="str">
        <f>HYPERLINK("https://www.compass.com/listing/5-beekman-street-unit-38a-manhattan-ny-10038/483733707990198169/","5 Beekman St, Unit 38A")</f>
        <v>5 Beekman St, Unit 38A</v>
      </c>
      <c r="B5422" s="2" t="str">
        <f>HYPERLINK("https://www.compass.com/building/the-beekman-residences-manhattan-ny/282030567363458613/","The Beekman Residences")</f>
        <v>The Beekman Residences</v>
      </c>
      <c r="C5422" s="1" t="s">
        <v>96</v>
      </c>
      <c r="D5422" s="1" t="s">
        <v>41</v>
      </c>
      <c r="E5422" s="3">
        <v>8171456</v>
      </c>
      <c r="F5422" s="1">
        <v>2556.7760481852301</v>
      </c>
      <c r="H5422" s="1">
        <v>4</v>
      </c>
      <c r="J5422" s="1">
        <v>3.5</v>
      </c>
      <c r="M5422" s="4">
        <v>3196</v>
      </c>
      <c r="N5422" s="1">
        <v>1933</v>
      </c>
      <c r="O5422" s="1">
        <v>3905</v>
      </c>
      <c r="P5422" s="1">
        <v>1972</v>
      </c>
      <c r="Q5422" s="1" t="s">
        <v>42</v>
      </c>
      <c r="S5422" s="1" t="s">
        <v>42</v>
      </c>
      <c r="T5422" s="1" t="s">
        <v>273</v>
      </c>
      <c r="AA5422" s="1">
        <v>8171456.25</v>
      </c>
      <c r="AB5422" s="1" t="s">
        <v>3837</v>
      </c>
      <c r="AC5422" s="5">
        <v>43042</v>
      </c>
      <c r="AF5422" s="1">
        <v>10038</v>
      </c>
      <c r="AI5422" s="1" t="s">
        <v>101</v>
      </c>
      <c r="AJ5422" s="1">
        <v>2015</v>
      </c>
      <c r="AK5422" s="1" t="s">
        <v>49</v>
      </c>
      <c r="AL5422" s="1">
        <v>67</v>
      </c>
    </row>
    <row r="5423" spans="1:38" x14ac:dyDescent="0.2">
      <c r="A5423" s="2" t="str">
        <f>HYPERLINK("https://www.compass.com/listing/50-clinton-street-unit-3b-manhattan-ny-10002/29360667219786561/","50 Clinton St, Unit 3B")</f>
        <v>50 Clinton St, Unit 3B</v>
      </c>
      <c r="B5423" s="2" t="str">
        <f>HYPERLINK("https://www.compass.com/building/50-clinton-manhattan-ny/281887574832709909/","50 Clinton")</f>
        <v>50 Clinton</v>
      </c>
      <c r="C5423" s="1" t="s">
        <v>47</v>
      </c>
      <c r="D5423" s="1" t="s">
        <v>41</v>
      </c>
      <c r="E5423" s="3">
        <v>1221900</v>
      </c>
      <c r="F5423" s="1">
        <v>1865.4961832061001</v>
      </c>
      <c r="G5423" s="1">
        <v>3</v>
      </c>
      <c r="H5423" s="1">
        <v>1</v>
      </c>
      <c r="I5423" s="1">
        <v>1</v>
      </c>
      <c r="J5423" s="1">
        <v>1</v>
      </c>
      <c r="M5423" s="1">
        <v>655</v>
      </c>
      <c r="N5423" s="1">
        <v>746</v>
      </c>
      <c r="O5423" s="1">
        <v>1306</v>
      </c>
      <c r="P5423" s="1">
        <v>560</v>
      </c>
      <c r="Q5423" s="1" t="s">
        <v>42</v>
      </c>
      <c r="S5423" s="1" t="s">
        <v>42</v>
      </c>
      <c r="T5423" s="1" t="s">
        <v>273</v>
      </c>
      <c r="V5423" s="5">
        <v>43668</v>
      </c>
      <c r="W5423" s="5">
        <v>42124</v>
      </c>
      <c r="X5423" s="1">
        <v>1200000</v>
      </c>
      <c r="Y5423" s="1">
        <v>1200000</v>
      </c>
      <c r="Z5423" s="5">
        <v>42124</v>
      </c>
      <c r="AA5423" s="1">
        <v>1221900</v>
      </c>
      <c r="AB5423" s="1" t="s">
        <v>3838</v>
      </c>
      <c r="AC5423" s="5">
        <v>43004</v>
      </c>
      <c r="AF5423" s="1">
        <v>10002</v>
      </c>
      <c r="AI5423" s="1" t="s">
        <v>48</v>
      </c>
      <c r="AJ5423" s="1">
        <v>2016</v>
      </c>
      <c r="AK5423" s="1" t="s">
        <v>49</v>
      </c>
      <c r="AL5423" s="1">
        <v>37</v>
      </c>
    </row>
    <row r="5424" spans="1:38" x14ac:dyDescent="0.2">
      <c r="A5424" s="2" t="str">
        <f>HYPERLINK("https://www.compass.com/listing/196-orchard-street-unit-6c-manhattan-ny-10002/165194873111161425/","196 Orchard St, Unit 6C")</f>
        <v>196 Orchard St, Unit 6C</v>
      </c>
      <c r="B5424" s="2" t="str">
        <f t="shared" ref="B5424:B5425" si="903">HYPERLINK("https://www.compass.com/building/196-orchard-st-manhattan-ny-10002/281886194713760485/","196 Orchard St")</f>
        <v>196 Orchard St</v>
      </c>
      <c r="C5424" s="1" t="s">
        <v>47</v>
      </c>
      <c r="D5424" s="1" t="s">
        <v>41</v>
      </c>
      <c r="E5424" s="3">
        <v>1410000</v>
      </c>
      <c r="F5424" s="1">
        <v>1994.3422913719901</v>
      </c>
      <c r="G5424" s="1">
        <v>3</v>
      </c>
      <c r="H5424" s="1">
        <v>1</v>
      </c>
      <c r="I5424" s="1">
        <v>1</v>
      </c>
      <c r="J5424" s="1">
        <v>1</v>
      </c>
      <c r="K5424" s="1">
        <v>1</v>
      </c>
      <c r="M5424" s="1">
        <v>707</v>
      </c>
      <c r="N5424" s="1">
        <v>944</v>
      </c>
      <c r="O5424" s="1">
        <v>2234</v>
      </c>
      <c r="P5424" s="1">
        <v>1290</v>
      </c>
      <c r="Q5424" s="1" t="s">
        <v>42</v>
      </c>
      <c r="S5424" s="1" t="s">
        <v>42</v>
      </c>
      <c r="T5424" s="1" t="s">
        <v>273</v>
      </c>
      <c r="U5424" s="1">
        <v>502</v>
      </c>
      <c r="V5424" s="5">
        <v>43537</v>
      </c>
      <c r="W5424" s="5">
        <v>42923</v>
      </c>
      <c r="AA5424" s="1">
        <v>1410000</v>
      </c>
      <c r="AB5424" s="1" t="s">
        <v>3839</v>
      </c>
      <c r="AC5424" s="5">
        <v>43425</v>
      </c>
      <c r="AF5424" s="1">
        <v>10002</v>
      </c>
      <c r="AI5424" s="1" t="s">
        <v>165</v>
      </c>
      <c r="AJ5424" s="1">
        <v>2018</v>
      </c>
      <c r="AK5424" s="1" t="s">
        <v>202</v>
      </c>
      <c r="AL5424" s="1">
        <v>89</v>
      </c>
    </row>
    <row r="5425" spans="1:38" x14ac:dyDescent="0.2">
      <c r="A5425" s="2" t="str">
        <f>HYPERLINK("https://www.compass.com/listing/196-orchard-street-unit-4k-manhattan-ny-10002/745132343924327065/","196 Orchard St, Unit 4K")</f>
        <v>196 Orchard St, Unit 4K</v>
      </c>
      <c r="B5425" s="2" t="str">
        <f t="shared" si="903"/>
        <v>196 Orchard St</v>
      </c>
      <c r="C5425" s="1" t="s">
        <v>47</v>
      </c>
      <c r="D5425" s="1" t="s">
        <v>41</v>
      </c>
      <c r="E5425" s="3">
        <v>1425000</v>
      </c>
      <c r="F5425" s="1">
        <v>1892.43027888446</v>
      </c>
      <c r="H5425" s="1">
        <v>1</v>
      </c>
      <c r="J5425" s="1">
        <v>1</v>
      </c>
      <c r="K5425" s="1">
        <v>1</v>
      </c>
      <c r="M5425" s="1">
        <v>753</v>
      </c>
      <c r="N5425" s="1">
        <v>1000</v>
      </c>
      <c r="O5425" s="1">
        <v>1992</v>
      </c>
      <c r="P5425" s="1">
        <v>992</v>
      </c>
      <c r="Q5425" s="1" t="s">
        <v>42</v>
      </c>
      <c r="S5425" s="1" t="s">
        <v>42</v>
      </c>
      <c r="T5425" s="1" t="s">
        <v>273</v>
      </c>
      <c r="AA5425" s="1">
        <v>1425000</v>
      </c>
      <c r="AB5425" s="1" t="s">
        <v>3840</v>
      </c>
      <c r="AC5425" s="5">
        <v>43921</v>
      </c>
      <c r="AF5425" s="1">
        <v>10002</v>
      </c>
      <c r="AI5425" s="1" t="s">
        <v>165</v>
      </c>
      <c r="AJ5425" s="1">
        <v>2018</v>
      </c>
      <c r="AK5425" s="1" t="s">
        <v>202</v>
      </c>
      <c r="AL5425" s="1">
        <v>89</v>
      </c>
    </row>
    <row r="5426" spans="1:38" x14ac:dyDescent="0.2">
      <c r="A5426" s="2" t="str">
        <f>HYPERLINK("https://www.compass.com/listing/5-beekman-street-unit-21c-manhattan-ny-10038/4852279046815357761/","5 Beekman St, Unit 21C")</f>
        <v>5 Beekman St, Unit 21C</v>
      </c>
      <c r="B5426" s="2" t="str">
        <f>HYPERLINK("https://www.compass.com/building/the-beekman-residences-manhattan-ny/282030567363458613/","The Beekman Residences")</f>
        <v>The Beekman Residences</v>
      </c>
      <c r="C5426" s="1" t="s">
        <v>96</v>
      </c>
      <c r="D5426" s="1" t="s">
        <v>41</v>
      </c>
      <c r="E5426" s="3">
        <v>1325000</v>
      </c>
      <c r="F5426" s="1">
        <v>1884.7795163584599</v>
      </c>
      <c r="G5426" s="1">
        <v>3</v>
      </c>
      <c r="H5426" s="1">
        <v>1</v>
      </c>
      <c r="I5426" s="1">
        <v>1</v>
      </c>
      <c r="J5426" s="1">
        <v>1</v>
      </c>
      <c r="M5426" s="1">
        <v>703</v>
      </c>
      <c r="N5426" s="1">
        <v>975</v>
      </c>
      <c r="O5426" s="1">
        <v>1970</v>
      </c>
      <c r="P5426" s="1">
        <v>995</v>
      </c>
      <c r="Q5426" s="1" t="s">
        <v>42</v>
      </c>
      <c r="S5426" s="1" t="s">
        <v>42</v>
      </c>
      <c r="T5426" s="1" t="s">
        <v>273</v>
      </c>
      <c r="V5426" s="5">
        <v>43650</v>
      </c>
      <c r="W5426" s="5">
        <v>41976</v>
      </c>
      <c r="X5426" s="1">
        <v>1325000</v>
      </c>
      <c r="Y5426" s="1">
        <v>1325000</v>
      </c>
      <c r="Z5426" s="5">
        <v>41976</v>
      </c>
      <c r="AA5426" s="1">
        <v>1325000</v>
      </c>
      <c r="AB5426" s="1" t="s">
        <v>275</v>
      </c>
      <c r="AC5426" s="5">
        <v>42977</v>
      </c>
      <c r="AF5426" s="1">
        <v>10038</v>
      </c>
      <c r="AI5426" s="1" t="s">
        <v>101</v>
      </c>
      <c r="AJ5426" s="1">
        <v>2015</v>
      </c>
      <c r="AK5426" s="1" t="s">
        <v>49</v>
      </c>
      <c r="AL5426" s="1">
        <v>67</v>
      </c>
    </row>
    <row r="5427" spans="1:38" x14ac:dyDescent="0.2">
      <c r="A5427" s="2" t="str">
        <f>HYPERLINK("https://www.compass.com/listing/171-henry-street-unit-4a-manhattan-ny-10002/94755262132458721/","171 Henry St, Unit 4A")</f>
        <v>171 Henry St, Unit 4A</v>
      </c>
      <c r="B5427" s="2" t="str">
        <f t="shared" ref="B5427:B5428" si="904">HYPERLINK("https://www.compass.com/building/171-henry-street-manhattan-ny/294837097231611189/","171 Henry Street")</f>
        <v>171 Henry Street</v>
      </c>
      <c r="C5427" s="1" t="s">
        <v>47</v>
      </c>
      <c r="D5427" s="1" t="s">
        <v>41</v>
      </c>
      <c r="E5427" s="3">
        <v>705000</v>
      </c>
      <c r="F5427" s="1">
        <v>1021.73913043478</v>
      </c>
      <c r="G5427" s="1">
        <v>2</v>
      </c>
      <c r="H5427" s="1" t="s">
        <v>99</v>
      </c>
      <c r="I5427" s="1">
        <v>1</v>
      </c>
      <c r="J5427" s="1">
        <v>1</v>
      </c>
      <c r="K5427" s="1">
        <v>1</v>
      </c>
      <c r="M5427" s="1">
        <v>690</v>
      </c>
      <c r="N5427" s="1">
        <v>593</v>
      </c>
      <c r="O5427" s="1">
        <v>1499</v>
      </c>
      <c r="P5427" s="1">
        <v>906</v>
      </c>
      <c r="Q5427" s="1" t="s">
        <v>42</v>
      </c>
      <c r="S5427" s="1" t="s">
        <v>42</v>
      </c>
      <c r="T5427" s="1" t="s">
        <v>273</v>
      </c>
      <c r="U5427" s="1">
        <v>142</v>
      </c>
      <c r="V5427" s="5">
        <v>44110</v>
      </c>
      <c r="W5427" s="5">
        <v>43790</v>
      </c>
      <c r="Y5427" s="1">
        <v>735000</v>
      </c>
      <c r="Z5427" s="5">
        <v>44027</v>
      </c>
      <c r="AA5427" s="1">
        <v>705000</v>
      </c>
      <c r="AB5427" s="1" t="s">
        <v>275</v>
      </c>
      <c r="AC5427" s="5">
        <v>44104</v>
      </c>
      <c r="AF5427" s="1">
        <v>10002</v>
      </c>
      <c r="AI5427" s="1" t="s">
        <v>135</v>
      </c>
      <c r="AJ5427" s="1">
        <v>2017</v>
      </c>
      <c r="AL5427" s="1">
        <v>20</v>
      </c>
    </row>
    <row r="5428" spans="1:38" x14ac:dyDescent="0.2">
      <c r="A5428" s="2" t="str">
        <f>HYPERLINK("https://www.compass.com/listing/171-henry-street-unit-5c-manhattan-ny-10002/710886944438196033/","171 Henry St, Unit 5C")</f>
        <v>171 Henry St, Unit 5C</v>
      </c>
      <c r="B5428" s="2" t="str">
        <f t="shared" si="904"/>
        <v>171 Henry Street</v>
      </c>
      <c r="C5428" s="1" t="s">
        <v>47</v>
      </c>
      <c r="D5428" s="1" t="s">
        <v>41</v>
      </c>
      <c r="E5428" s="3">
        <v>910000</v>
      </c>
      <c r="F5428" s="1">
        <v>1003.30760749724</v>
      </c>
      <c r="G5428" s="1">
        <v>3</v>
      </c>
      <c r="H5428" s="1">
        <v>1</v>
      </c>
      <c r="I5428" s="1">
        <v>2</v>
      </c>
      <c r="J5428" s="1">
        <v>1.5</v>
      </c>
      <c r="K5428" s="1">
        <v>1</v>
      </c>
      <c r="L5428" s="1">
        <v>1</v>
      </c>
      <c r="M5428" s="1">
        <v>907</v>
      </c>
      <c r="N5428" s="1">
        <v>812</v>
      </c>
      <c r="O5428" s="1">
        <v>2035</v>
      </c>
      <c r="P5428" s="1">
        <v>1223</v>
      </c>
      <c r="Q5428" s="1" t="s">
        <v>42</v>
      </c>
      <c r="S5428" s="1" t="s">
        <v>42</v>
      </c>
      <c r="T5428" s="1" t="s">
        <v>273</v>
      </c>
      <c r="U5428" s="1">
        <v>25</v>
      </c>
      <c r="V5428" s="5">
        <v>44357</v>
      </c>
      <c r="W5428" s="5">
        <v>44231</v>
      </c>
      <c r="X5428" s="1">
        <v>999000</v>
      </c>
      <c r="Y5428" s="1">
        <v>999000</v>
      </c>
      <c r="Z5428" s="5">
        <v>44257</v>
      </c>
      <c r="AA5428" s="1">
        <v>910000</v>
      </c>
      <c r="AB5428" s="1" t="s">
        <v>275</v>
      </c>
      <c r="AC5428" s="5">
        <v>44344</v>
      </c>
      <c r="AF5428" s="1">
        <v>10002</v>
      </c>
      <c r="AI5428" s="1" t="s">
        <v>135</v>
      </c>
      <c r="AJ5428" s="1">
        <v>2017</v>
      </c>
      <c r="AL5428" s="1">
        <v>20</v>
      </c>
    </row>
    <row r="5429" spans="1:38" x14ac:dyDescent="0.2">
      <c r="A5429" s="2" t="str">
        <f>HYPERLINK("https://www.compass.com/listing/50-clinton-street-unit-5f-manhattan-ny-10002/29360672554981633/","50 Clinton St, Unit 5F")</f>
        <v>50 Clinton St, Unit 5F</v>
      </c>
      <c r="B5429" s="2" t="str">
        <f>HYPERLINK("https://www.compass.com/building/50-clinton-manhattan-ny/281887574832709909/","50 Clinton")</f>
        <v>50 Clinton</v>
      </c>
      <c r="C5429" s="1" t="s">
        <v>47</v>
      </c>
      <c r="D5429" s="1" t="s">
        <v>41</v>
      </c>
      <c r="E5429" s="3">
        <v>1323725</v>
      </c>
      <c r="F5429" s="1">
        <v>2036.5</v>
      </c>
      <c r="G5429" s="1">
        <v>3</v>
      </c>
      <c r="H5429" s="1">
        <v>1</v>
      </c>
      <c r="I5429" s="1">
        <v>1</v>
      </c>
      <c r="J5429" s="1">
        <v>1</v>
      </c>
      <c r="M5429" s="1">
        <v>650</v>
      </c>
      <c r="N5429" s="1">
        <v>737</v>
      </c>
      <c r="O5429" s="1">
        <v>1293</v>
      </c>
      <c r="P5429" s="1">
        <v>556</v>
      </c>
      <c r="Q5429" s="1" t="s">
        <v>42</v>
      </c>
      <c r="S5429" s="1" t="s">
        <v>42</v>
      </c>
      <c r="T5429" s="1" t="s">
        <v>273</v>
      </c>
      <c r="V5429" s="5">
        <v>43694</v>
      </c>
      <c r="W5429" s="5">
        <v>42130</v>
      </c>
      <c r="X5429" s="1">
        <v>1300000</v>
      </c>
      <c r="Y5429" s="1">
        <v>1300000</v>
      </c>
      <c r="Z5429" s="5">
        <v>42130</v>
      </c>
      <c r="AA5429" s="1">
        <v>1323725</v>
      </c>
      <c r="AB5429" s="1" t="s">
        <v>3841</v>
      </c>
      <c r="AC5429" s="5">
        <v>43005</v>
      </c>
      <c r="AF5429" s="1">
        <v>10002</v>
      </c>
      <c r="AI5429" s="1" t="s">
        <v>48</v>
      </c>
      <c r="AJ5429" s="1">
        <v>2016</v>
      </c>
      <c r="AK5429" s="1" t="s">
        <v>49</v>
      </c>
      <c r="AL5429" s="1">
        <v>37</v>
      </c>
    </row>
    <row r="5430" spans="1:38" x14ac:dyDescent="0.2">
      <c r="A5430" s="2" t="str">
        <f>HYPERLINK("https://www.compass.com/listing/171-henry-street-unit-3c-manhattan-ny-10002/29515206124144721/","171 Henry St, Unit 3C")</f>
        <v>171 Henry St, Unit 3C</v>
      </c>
      <c r="B5430" s="2" t="str">
        <f t="shared" ref="B5430:B5431" si="905">HYPERLINK("https://www.compass.com/building/171-henry-street-manhattan-ny/294837097231611189/","171 Henry Street")</f>
        <v>171 Henry Street</v>
      </c>
      <c r="C5430" s="1" t="s">
        <v>47</v>
      </c>
      <c r="D5430" s="1" t="s">
        <v>41</v>
      </c>
      <c r="E5430" s="3">
        <v>890000</v>
      </c>
      <c r="F5430" s="1">
        <v>981.25689084895203</v>
      </c>
      <c r="G5430" s="1">
        <v>3</v>
      </c>
      <c r="H5430" s="1">
        <v>1</v>
      </c>
      <c r="I5430" s="1">
        <v>2</v>
      </c>
      <c r="J5430" s="1">
        <v>1.5</v>
      </c>
      <c r="K5430" s="1">
        <v>1</v>
      </c>
      <c r="L5430" s="1">
        <v>1</v>
      </c>
      <c r="M5430" s="1">
        <v>907</v>
      </c>
      <c r="N5430" s="1">
        <v>781</v>
      </c>
      <c r="O5430" s="1">
        <v>1998</v>
      </c>
      <c r="P5430" s="1">
        <v>1217</v>
      </c>
      <c r="Q5430" s="1" t="s">
        <v>42</v>
      </c>
      <c r="S5430" s="1" t="s">
        <v>42</v>
      </c>
      <c r="T5430" s="1" t="s">
        <v>273</v>
      </c>
      <c r="U5430" s="1">
        <v>169</v>
      </c>
      <c r="V5430" s="5">
        <v>44403</v>
      </c>
      <c r="W5430" s="5">
        <v>44096</v>
      </c>
      <c r="X5430" s="1">
        <v>929000</v>
      </c>
      <c r="Y5430" s="1">
        <v>899000</v>
      </c>
      <c r="Z5430" s="5">
        <v>44265</v>
      </c>
      <c r="AA5430" s="1">
        <v>890000</v>
      </c>
      <c r="AB5430" s="1" t="s">
        <v>275</v>
      </c>
      <c r="AC5430" s="5">
        <v>44398</v>
      </c>
      <c r="AF5430" s="1">
        <v>10002</v>
      </c>
      <c r="AI5430" s="1" t="s">
        <v>135</v>
      </c>
      <c r="AJ5430" s="1">
        <v>2017</v>
      </c>
      <c r="AL5430" s="1">
        <v>20</v>
      </c>
    </row>
    <row r="5431" spans="1:38" x14ac:dyDescent="0.2">
      <c r="A5431" s="2" t="str">
        <f>HYPERLINK("https://www.compass.com/listing/171-henry-street-unit-2c-manhattan-ny-10002/94755258953214737/","171 Henry St, Unit 2C")</f>
        <v>171 Henry St, Unit 2C</v>
      </c>
      <c r="B5431" s="2" t="str">
        <f t="shared" si="905"/>
        <v>171 Henry Street</v>
      </c>
      <c r="C5431" s="1" t="s">
        <v>47</v>
      </c>
      <c r="D5431" s="1" t="s">
        <v>41</v>
      </c>
      <c r="E5431" s="3">
        <v>865000</v>
      </c>
      <c r="F5431" s="1">
        <v>953.69349503858803</v>
      </c>
      <c r="G5431" s="1">
        <v>3</v>
      </c>
      <c r="H5431" s="1">
        <v>1</v>
      </c>
      <c r="I5431" s="1">
        <v>2</v>
      </c>
      <c r="J5431" s="1">
        <v>1.5</v>
      </c>
      <c r="K5431" s="1">
        <v>1</v>
      </c>
      <c r="L5431" s="1">
        <v>1</v>
      </c>
      <c r="M5431" s="1">
        <v>907</v>
      </c>
      <c r="N5431" s="1">
        <v>764</v>
      </c>
      <c r="O5431" s="1">
        <v>1932</v>
      </c>
      <c r="P5431" s="1">
        <v>1168</v>
      </c>
      <c r="Q5431" s="1" t="s">
        <v>42</v>
      </c>
      <c r="S5431" s="1" t="s">
        <v>42</v>
      </c>
      <c r="T5431" s="1" t="s">
        <v>273</v>
      </c>
      <c r="U5431" s="1">
        <v>78</v>
      </c>
      <c r="V5431" s="5">
        <v>44119</v>
      </c>
      <c r="W5431" s="5">
        <v>43910</v>
      </c>
      <c r="X5431" s="1">
        <v>899000</v>
      </c>
      <c r="Y5431" s="1">
        <v>899000</v>
      </c>
      <c r="Z5431" s="5">
        <v>44083</v>
      </c>
      <c r="AA5431" s="1">
        <v>865000</v>
      </c>
      <c r="AB5431" s="1" t="s">
        <v>275</v>
      </c>
      <c r="AC5431" s="5">
        <v>44118</v>
      </c>
      <c r="AF5431" s="1">
        <v>10002</v>
      </c>
      <c r="AI5431" s="1" t="s">
        <v>135</v>
      </c>
      <c r="AJ5431" s="1">
        <v>2017</v>
      </c>
      <c r="AL5431" s="1">
        <v>20</v>
      </c>
    </row>
    <row r="5432" spans="1:38" x14ac:dyDescent="0.2">
      <c r="A5432" s="2" t="str">
        <f>HYPERLINK("https://www.compass.com/listing/196-orchard-street-unit-5p-manhattan-ny-10002/24675959919642273/","196 Orchard St, Unit 5P")</f>
        <v>196 Orchard St, Unit 5P</v>
      </c>
      <c r="B5432" s="2" t="str">
        <f>HYPERLINK("https://www.compass.com/building/196-orchard-st-manhattan-ny-10002/281886194713760485/","196 Orchard St")</f>
        <v>196 Orchard St</v>
      </c>
      <c r="C5432" s="1" t="s">
        <v>47</v>
      </c>
      <c r="D5432" s="1" t="s">
        <v>41</v>
      </c>
      <c r="E5432" s="3">
        <v>980000</v>
      </c>
      <c r="F5432" s="1">
        <v>1609.19540229885</v>
      </c>
      <c r="G5432" s="1">
        <v>2</v>
      </c>
      <c r="H5432" s="1" t="s">
        <v>99</v>
      </c>
      <c r="I5432" s="1">
        <v>1</v>
      </c>
      <c r="J5432" s="1">
        <v>1</v>
      </c>
      <c r="K5432" s="1">
        <v>1</v>
      </c>
      <c r="M5432" s="1">
        <v>609</v>
      </c>
      <c r="N5432" s="1">
        <v>807</v>
      </c>
      <c r="O5432" s="1">
        <v>1609</v>
      </c>
      <c r="P5432" s="1">
        <v>802</v>
      </c>
      <c r="Q5432" s="1" t="s">
        <v>42</v>
      </c>
      <c r="S5432" s="1" t="s">
        <v>42</v>
      </c>
      <c r="T5432" s="1" t="s">
        <v>273</v>
      </c>
      <c r="U5432" s="1">
        <v>143</v>
      </c>
      <c r="V5432" s="5">
        <v>44338</v>
      </c>
      <c r="W5432" s="5">
        <v>42933</v>
      </c>
      <c r="X5432" s="1">
        <v>1200000</v>
      </c>
      <c r="Y5432" s="1">
        <v>1200000</v>
      </c>
      <c r="AA5432" s="1">
        <v>980000</v>
      </c>
      <c r="AB5432" s="1" t="s">
        <v>3842</v>
      </c>
      <c r="AC5432" s="5">
        <v>43452</v>
      </c>
      <c r="AF5432" s="1">
        <v>10002</v>
      </c>
      <c r="AI5432" s="1" t="s">
        <v>165</v>
      </c>
      <c r="AJ5432" s="1">
        <v>2018</v>
      </c>
      <c r="AK5432" s="1" t="s">
        <v>46</v>
      </c>
      <c r="AL5432" s="1">
        <v>89</v>
      </c>
    </row>
    <row r="5433" spans="1:38" x14ac:dyDescent="0.2">
      <c r="A5433" s="2" t="str">
        <f>HYPERLINK("https://www.compass.com/listing/171-henry-street-unit-3a-manhattan-ny-10002/29515205260118033/","171 Henry St, Unit 3A")</f>
        <v>171 Henry St, Unit 3A</v>
      </c>
      <c r="B5433" s="2" t="str">
        <f>HYPERLINK("https://www.compass.com/building/171-henry-street-manhattan-ny/294837097231611189/","171 Henry Street")</f>
        <v>171 Henry Street</v>
      </c>
      <c r="C5433" s="1" t="s">
        <v>47</v>
      </c>
      <c r="D5433" s="1" t="s">
        <v>41</v>
      </c>
      <c r="E5433" s="3">
        <v>836250</v>
      </c>
      <c r="F5433" s="1">
        <v>1211.95652173913</v>
      </c>
      <c r="G5433" s="1">
        <v>2</v>
      </c>
      <c r="H5433" s="1" t="s">
        <v>99</v>
      </c>
      <c r="I5433" s="1">
        <v>1</v>
      </c>
      <c r="J5433" s="1">
        <v>1</v>
      </c>
      <c r="K5433" s="1">
        <v>1</v>
      </c>
      <c r="M5433" s="1">
        <v>690</v>
      </c>
      <c r="N5433" s="1">
        <v>581</v>
      </c>
      <c r="O5433" s="1">
        <v>1497</v>
      </c>
      <c r="P5433" s="1">
        <v>916</v>
      </c>
      <c r="Q5433" s="1" t="s">
        <v>42</v>
      </c>
      <c r="S5433" s="1" t="s">
        <v>42</v>
      </c>
      <c r="T5433" s="1" t="s">
        <v>273</v>
      </c>
      <c r="V5433" s="5">
        <v>43787</v>
      </c>
      <c r="Y5433" s="1">
        <v>836250</v>
      </c>
      <c r="Z5433" s="5">
        <v>43573</v>
      </c>
      <c r="AA5433" s="1">
        <v>836250</v>
      </c>
      <c r="AB5433" s="1" t="s">
        <v>275</v>
      </c>
      <c r="AC5433" s="5">
        <v>43782</v>
      </c>
      <c r="AF5433" s="1">
        <v>10002</v>
      </c>
      <c r="AI5433" s="1" t="s">
        <v>135</v>
      </c>
      <c r="AJ5433" s="1">
        <v>2017</v>
      </c>
      <c r="AL5433" s="1">
        <v>20</v>
      </c>
    </row>
    <row r="5434" spans="1:38" x14ac:dyDescent="0.2">
      <c r="A5434" s="2" t="str">
        <f>HYPERLINK("https://www.compass.com/listing/196-orchard-street-unit-4n-manhattan-ny-10002/4852290464440662081/","196 Orchard St, Unit 4N")</f>
        <v>196 Orchard St, Unit 4N</v>
      </c>
      <c r="B5434" s="2" t="str">
        <f>HYPERLINK("https://www.compass.com/building/196-orchard-st-manhattan-ny-10002/281886194713760485/","196 Orchard St")</f>
        <v>196 Orchard St</v>
      </c>
      <c r="C5434" s="1" t="s">
        <v>47</v>
      </c>
      <c r="D5434" s="1" t="s">
        <v>41</v>
      </c>
      <c r="E5434" s="3">
        <v>934699</v>
      </c>
      <c r="F5434" s="1">
        <v>1524.79404567699</v>
      </c>
      <c r="G5434" s="1">
        <v>2</v>
      </c>
      <c r="H5434" s="1" t="s">
        <v>99</v>
      </c>
      <c r="I5434" s="1">
        <v>1</v>
      </c>
      <c r="J5434" s="1">
        <v>1</v>
      </c>
      <c r="K5434" s="1">
        <v>1</v>
      </c>
      <c r="M5434" s="1">
        <v>613</v>
      </c>
      <c r="N5434" s="1">
        <v>796</v>
      </c>
      <c r="O5434" s="1">
        <v>1587</v>
      </c>
      <c r="P5434" s="1">
        <v>791</v>
      </c>
      <c r="Q5434" s="1" t="s">
        <v>42</v>
      </c>
      <c r="S5434" s="1" t="s">
        <v>42</v>
      </c>
      <c r="T5434" s="1" t="s">
        <v>273</v>
      </c>
      <c r="V5434" s="5">
        <v>44338</v>
      </c>
      <c r="W5434" s="5">
        <v>42992</v>
      </c>
      <c r="X5434" s="1">
        <v>965000</v>
      </c>
      <c r="Y5434" s="1">
        <v>965000</v>
      </c>
      <c r="AA5434" s="1">
        <v>934698.75</v>
      </c>
      <c r="AB5434" s="1" t="s">
        <v>3843</v>
      </c>
      <c r="AC5434" s="5">
        <v>43461</v>
      </c>
      <c r="AF5434" s="1">
        <v>10002</v>
      </c>
      <c r="AI5434" s="1" t="s">
        <v>165</v>
      </c>
      <c r="AJ5434" s="1">
        <v>2018</v>
      </c>
      <c r="AK5434" s="1" t="s">
        <v>46</v>
      </c>
      <c r="AL5434" s="1">
        <v>89</v>
      </c>
    </row>
    <row r="5435" spans="1:38" x14ac:dyDescent="0.2">
      <c r="A5435" s="2" t="str">
        <f>HYPERLINK("https://www.compass.com/listing/5-beekman-street-unit-18b-manhattan-ny-10038/29357223360687537/","5 Beekman St, Unit 18B")</f>
        <v>5 Beekman St, Unit 18B</v>
      </c>
      <c r="B5435" s="2" t="str">
        <f t="shared" ref="B5435:B5442" si="906">HYPERLINK("https://www.compass.com/building/the-beekman-residences-manhattan-ny/282030567363458613/","The Beekman Residences")</f>
        <v>The Beekman Residences</v>
      </c>
      <c r="C5435" s="1" t="s">
        <v>96</v>
      </c>
      <c r="D5435" s="1" t="s">
        <v>41</v>
      </c>
      <c r="E5435" s="3">
        <v>1832850</v>
      </c>
      <c r="F5435" s="1">
        <v>2143.6842105263099</v>
      </c>
      <c r="G5435" s="1">
        <v>3</v>
      </c>
      <c r="H5435" s="1">
        <v>1</v>
      </c>
      <c r="I5435" s="1">
        <v>1</v>
      </c>
      <c r="J5435" s="1">
        <v>1</v>
      </c>
      <c r="M5435" s="1">
        <v>855</v>
      </c>
      <c r="N5435" s="1">
        <v>1186</v>
      </c>
      <c r="O5435" s="1">
        <v>2396</v>
      </c>
      <c r="P5435" s="1">
        <v>1210</v>
      </c>
      <c r="Q5435" s="1" t="s">
        <v>42</v>
      </c>
      <c r="S5435" s="1" t="s">
        <v>42</v>
      </c>
      <c r="T5435" s="1" t="s">
        <v>273</v>
      </c>
      <c r="U5435" s="1">
        <v>6</v>
      </c>
      <c r="V5435" s="5">
        <v>43673</v>
      </c>
      <c r="W5435" s="5">
        <v>42043</v>
      </c>
      <c r="X5435" s="1">
        <v>1800000</v>
      </c>
      <c r="Y5435" s="1">
        <v>1800000</v>
      </c>
      <c r="Z5435" s="5">
        <v>42049</v>
      </c>
      <c r="AA5435" s="1">
        <v>1832850</v>
      </c>
      <c r="AB5435" s="1" t="s">
        <v>3844</v>
      </c>
      <c r="AC5435" s="5">
        <v>42627</v>
      </c>
      <c r="AF5435" s="1">
        <v>10038</v>
      </c>
      <c r="AI5435" s="1" t="s">
        <v>101</v>
      </c>
      <c r="AJ5435" s="1">
        <v>2015</v>
      </c>
      <c r="AK5435" s="1" t="s">
        <v>49</v>
      </c>
      <c r="AL5435" s="1">
        <v>67</v>
      </c>
    </row>
    <row r="5436" spans="1:38" x14ac:dyDescent="0.2">
      <c r="A5436" s="2" t="str">
        <f>HYPERLINK("https://www.compass.com/listing/5-beekman-street-unit-25b-manhattan-ny-10038/4852263335632060401/","5 Beekman St, Unit 25B")</f>
        <v>5 Beekman St, Unit 25B</v>
      </c>
      <c r="B5436" s="2" t="str">
        <f t="shared" si="906"/>
        <v>The Beekman Residences</v>
      </c>
      <c r="C5436" s="1" t="s">
        <v>96</v>
      </c>
      <c r="D5436" s="1" t="s">
        <v>41</v>
      </c>
      <c r="E5436" s="3">
        <v>1960000</v>
      </c>
      <c r="F5436" s="1">
        <v>2292.3976608187099</v>
      </c>
      <c r="G5436" s="1">
        <v>3</v>
      </c>
      <c r="H5436" s="1">
        <v>1</v>
      </c>
      <c r="I5436" s="1">
        <v>1</v>
      </c>
      <c r="J5436" s="1">
        <v>1</v>
      </c>
      <c r="M5436" s="1">
        <v>855</v>
      </c>
      <c r="N5436" s="1">
        <v>1186</v>
      </c>
      <c r="O5436" s="1">
        <v>2396</v>
      </c>
      <c r="P5436" s="1">
        <v>1210</v>
      </c>
      <c r="Q5436" s="1" t="s">
        <v>42</v>
      </c>
      <c r="S5436" s="1" t="s">
        <v>42</v>
      </c>
      <c r="T5436" s="1" t="s">
        <v>273</v>
      </c>
      <c r="V5436" s="5">
        <v>43668</v>
      </c>
      <c r="W5436" s="5">
        <v>41998</v>
      </c>
      <c r="X5436" s="1">
        <v>1960000</v>
      </c>
      <c r="Y5436" s="1">
        <v>1960000</v>
      </c>
      <c r="Z5436" s="5">
        <v>41998</v>
      </c>
      <c r="AA5436" s="1">
        <v>1960000</v>
      </c>
      <c r="AB5436" s="1" t="s">
        <v>275</v>
      </c>
      <c r="AC5436" s="5">
        <v>42763</v>
      </c>
      <c r="AF5436" s="1">
        <v>10038</v>
      </c>
      <c r="AI5436" s="1" t="s">
        <v>101</v>
      </c>
      <c r="AJ5436" s="1">
        <v>2015</v>
      </c>
      <c r="AK5436" s="1" t="s">
        <v>49</v>
      </c>
      <c r="AL5436" s="1">
        <v>67</v>
      </c>
    </row>
    <row r="5437" spans="1:38" x14ac:dyDescent="0.2">
      <c r="A5437" s="2" t="str">
        <f>HYPERLINK("https://www.compass.com/listing/5-beekman-street-unit-17c-manhattan-ny-10038/4852278957627685889/","5 Beekman St, Unit 17C")</f>
        <v>5 Beekman St, Unit 17C</v>
      </c>
      <c r="B5437" s="2" t="str">
        <f t="shared" si="906"/>
        <v>The Beekman Residences</v>
      </c>
      <c r="C5437" s="1" t="s">
        <v>96</v>
      </c>
      <c r="D5437" s="1" t="s">
        <v>41</v>
      </c>
      <c r="E5437" s="3">
        <v>1400000</v>
      </c>
      <c r="F5437" s="1">
        <v>1991.4651493598799</v>
      </c>
      <c r="G5437" s="1">
        <v>3</v>
      </c>
      <c r="H5437" s="1">
        <v>1</v>
      </c>
      <c r="I5437" s="1">
        <v>1</v>
      </c>
      <c r="J5437" s="1">
        <v>1</v>
      </c>
      <c r="M5437" s="1">
        <v>703</v>
      </c>
      <c r="N5437" s="1">
        <v>975</v>
      </c>
      <c r="O5437" s="1">
        <v>1970</v>
      </c>
      <c r="P5437" s="1">
        <v>995</v>
      </c>
      <c r="Q5437" s="1" t="s">
        <v>42</v>
      </c>
      <c r="S5437" s="1" t="s">
        <v>42</v>
      </c>
      <c r="T5437" s="1" t="s">
        <v>273</v>
      </c>
      <c r="U5437" s="1">
        <v>41</v>
      </c>
      <c r="V5437" s="5">
        <v>43650</v>
      </c>
      <c r="W5437" s="5">
        <v>41976</v>
      </c>
      <c r="X5437" s="1">
        <v>1400000</v>
      </c>
      <c r="Y5437" s="1">
        <v>1400000</v>
      </c>
      <c r="Z5437" s="5">
        <v>42017</v>
      </c>
      <c r="AA5437" s="1">
        <v>1400000</v>
      </c>
      <c r="AB5437" s="1" t="s">
        <v>275</v>
      </c>
      <c r="AC5437" s="5">
        <v>42973</v>
      </c>
      <c r="AF5437" s="1">
        <v>10038</v>
      </c>
      <c r="AI5437" s="1" t="s">
        <v>101</v>
      </c>
      <c r="AJ5437" s="1">
        <v>2015</v>
      </c>
      <c r="AK5437" s="1" t="s">
        <v>49</v>
      </c>
      <c r="AL5437" s="1">
        <v>67</v>
      </c>
    </row>
    <row r="5438" spans="1:38" x14ac:dyDescent="0.2">
      <c r="A5438" s="2" t="str">
        <f>HYPERLINK("https://www.compass.com/listing/5-beekman-street-unit-22c-manhattan-ny-10038/4852281327543648657/","5 Beekman St, Unit 22C")</f>
        <v>5 Beekman St, Unit 22C</v>
      </c>
      <c r="B5438" s="2" t="str">
        <f t="shared" si="906"/>
        <v>The Beekman Residences</v>
      </c>
      <c r="C5438" s="1" t="s">
        <v>96</v>
      </c>
      <c r="D5438" s="1" t="s">
        <v>41</v>
      </c>
      <c r="E5438" s="3">
        <v>1450000</v>
      </c>
      <c r="F5438" s="1">
        <v>2062.5889046941602</v>
      </c>
      <c r="G5438" s="1">
        <v>3</v>
      </c>
      <c r="H5438" s="1">
        <v>1</v>
      </c>
      <c r="I5438" s="1">
        <v>1</v>
      </c>
      <c r="J5438" s="1">
        <v>1</v>
      </c>
      <c r="M5438" s="1">
        <v>703</v>
      </c>
      <c r="N5438" s="1">
        <v>975</v>
      </c>
      <c r="O5438" s="1">
        <v>1916</v>
      </c>
      <c r="P5438" s="1">
        <v>941</v>
      </c>
      <c r="Q5438" s="1" t="s">
        <v>42</v>
      </c>
      <c r="S5438" s="1" t="s">
        <v>42</v>
      </c>
      <c r="T5438" s="1" t="s">
        <v>273</v>
      </c>
      <c r="U5438" s="1">
        <v>13</v>
      </c>
      <c r="V5438" s="5">
        <v>43649</v>
      </c>
      <c r="W5438" s="5">
        <v>42098</v>
      </c>
      <c r="X5438" s="1">
        <v>1500000</v>
      </c>
      <c r="Y5438" s="1">
        <v>1450000</v>
      </c>
      <c r="Z5438" s="5">
        <v>42320</v>
      </c>
      <c r="AA5438" s="1">
        <v>1450000</v>
      </c>
      <c r="AB5438" s="1" t="s">
        <v>275</v>
      </c>
      <c r="AC5438" s="5">
        <v>43004</v>
      </c>
      <c r="AF5438" s="1">
        <v>10038</v>
      </c>
      <c r="AI5438" s="1" t="s">
        <v>101</v>
      </c>
      <c r="AJ5438" s="1">
        <v>2015</v>
      </c>
      <c r="AK5438" s="1" t="s">
        <v>49</v>
      </c>
      <c r="AL5438" s="1">
        <v>67</v>
      </c>
    </row>
    <row r="5439" spans="1:38" x14ac:dyDescent="0.2">
      <c r="A5439" s="2" t="str">
        <f>HYPERLINK("https://www.compass.com/listing/5-beekman-street-unit-24c-manhattan-ny-10038/4852284328366843873/","5 Beekman St, Unit 24C")</f>
        <v>5 Beekman St, Unit 24C</v>
      </c>
      <c r="B5439" s="2" t="str">
        <f t="shared" si="906"/>
        <v>The Beekman Residences</v>
      </c>
      <c r="C5439" s="1" t="s">
        <v>96</v>
      </c>
      <c r="D5439" s="1" t="s">
        <v>41</v>
      </c>
      <c r="E5439" s="3">
        <v>1500000</v>
      </c>
      <c r="F5439" s="1">
        <v>2133.71266002844</v>
      </c>
      <c r="G5439" s="1">
        <v>3</v>
      </c>
      <c r="H5439" s="1">
        <v>1</v>
      </c>
      <c r="I5439" s="1">
        <v>1</v>
      </c>
      <c r="J5439" s="1">
        <v>1</v>
      </c>
      <c r="M5439" s="1">
        <v>703</v>
      </c>
      <c r="N5439" s="1">
        <v>975</v>
      </c>
      <c r="O5439" s="1">
        <v>1970</v>
      </c>
      <c r="P5439" s="1">
        <v>995</v>
      </c>
      <c r="Q5439" s="1" t="s">
        <v>42</v>
      </c>
      <c r="S5439" s="1" t="s">
        <v>42</v>
      </c>
      <c r="T5439" s="1" t="s">
        <v>273</v>
      </c>
      <c r="U5439" s="1">
        <v>235</v>
      </c>
      <c r="V5439" s="5">
        <v>43649</v>
      </c>
      <c r="W5439" s="5">
        <v>42622</v>
      </c>
      <c r="X5439" s="1">
        <v>1500000</v>
      </c>
      <c r="Y5439" s="1">
        <v>1500000</v>
      </c>
      <c r="Z5439" s="5">
        <v>42857</v>
      </c>
      <c r="AA5439" s="1">
        <v>1500000</v>
      </c>
      <c r="AB5439" s="1" t="s">
        <v>275</v>
      </c>
      <c r="AC5439" s="5">
        <v>43055</v>
      </c>
      <c r="AF5439" s="1">
        <v>10038</v>
      </c>
      <c r="AI5439" s="1" t="s">
        <v>101</v>
      </c>
      <c r="AJ5439" s="1">
        <v>2015</v>
      </c>
      <c r="AK5439" s="1" t="s">
        <v>49</v>
      </c>
      <c r="AL5439" s="1">
        <v>67</v>
      </c>
    </row>
    <row r="5440" spans="1:38" x14ac:dyDescent="0.2">
      <c r="A5440" s="2" t="str">
        <f>HYPERLINK("https://www.compass.com/listing/5-beekman-street-unit-22b-manhattan-ny-10038/4852307656909524513/","5 Beekman St, Unit 22B")</f>
        <v>5 Beekman St, Unit 22B</v>
      </c>
      <c r="B5440" s="2" t="str">
        <f t="shared" si="906"/>
        <v>The Beekman Residences</v>
      </c>
      <c r="C5440" s="1" t="s">
        <v>96</v>
      </c>
      <c r="D5440" s="1" t="s">
        <v>41</v>
      </c>
      <c r="E5440" s="3">
        <v>1731025</v>
      </c>
      <c r="F5440" s="1">
        <v>2024.59064327485</v>
      </c>
      <c r="G5440" s="1">
        <v>3</v>
      </c>
      <c r="H5440" s="1">
        <v>1</v>
      </c>
      <c r="I5440" s="1">
        <v>1</v>
      </c>
      <c r="J5440" s="1">
        <v>1</v>
      </c>
      <c r="M5440" s="1">
        <v>855</v>
      </c>
      <c r="N5440" s="1">
        <v>1186</v>
      </c>
      <c r="O5440" s="1">
        <v>2396</v>
      </c>
      <c r="P5440" s="1">
        <v>1210</v>
      </c>
      <c r="Q5440" s="1" t="s">
        <v>42</v>
      </c>
      <c r="S5440" s="1" t="s">
        <v>42</v>
      </c>
      <c r="T5440" s="1" t="s">
        <v>273</v>
      </c>
      <c r="V5440" s="5">
        <v>43673</v>
      </c>
      <c r="W5440" s="5">
        <v>41976</v>
      </c>
      <c r="X5440" s="1">
        <v>1700000</v>
      </c>
      <c r="Y5440" s="1">
        <v>1700000</v>
      </c>
      <c r="Z5440" s="5">
        <v>41976</v>
      </c>
      <c r="AA5440" s="1">
        <v>1731025</v>
      </c>
      <c r="AB5440" s="1" t="s">
        <v>275</v>
      </c>
      <c r="AC5440" s="5">
        <v>42682</v>
      </c>
      <c r="AF5440" s="1">
        <v>10038</v>
      </c>
      <c r="AI5440" s="1" t="s">
        <v>101</v>
      </c>
      <c r="AJ5440" s="1">
        <v>2015</v>
      </c>
      <c r="AK5440" s="1" t="s">
        <v>49</v>
      </c>
      <c r="AL5440" s="1">
        <v>67</v>
      </c>
    </row>
    <row r="5441" spans="1:38" x14ac:dyDescent="0.2">
      <c r="A5441" s="2" t="str">
        <f>HYPERLINK("https://www.compass.com/listing/5-beekman-street-unit-17b-manhattan-ny-10038/70920658976091585/","5 Beekman St, Unit 17B")</f>
        <v>5 Beekman St, Unit 17B</v>
      </c>
      <c r="B5441" s="2" t="str">
        <f t="shared" si="906"/>
        <v>The Beekman Residences</v>
      </c>
      <c r="C5441" s="1" t="s">
        <v>96</v>
      </c>
      <c r="D5441" s="1" t="s">
        <v>41</v>
      </c>
      <c r="E5441" s="3">
        <v>1700000</v>
      </c>
      <c r="F5441" s="1">
        <v>1988.30409356725</v>
      </c>
      <c r="G5441" s="1">
        <v>3</v>
      </c>
      <c r="H5441" s="1">
        <v>1</v>
      </c>
      <c r="I5441" s="1">
        <v>1</v>
      </c>
      <c r="J5441" s="1">
        <v>1</v>
      </c>
      <c r="M5441" s="1">
        <v>855</v>
      </c>
      <c r="N5441" s="1">
        <v>1186</v>
      </c>
      <c r="O5441" s="1">
        <v>2396</v>
      </c>
      <c r="P5441" s="1">
        <v>1210</v>
      </c>
      <c r="Q5441" s="1" t="s">
        <v>42</v>
      </c>
      <c r="S5441" s="1" t="s">
        <v>42</v>
      </c>
      <c r="T5441" s="1" t="s">
        <v>273</v>
      </c>
      <c r="V5441" s="5">
        <v>43662</v>
      </c>
      <c r="W5441" s="5">
        <v>42005</v>
      </c>
      <c r="X5441" s="1">
        <v>1700000</v>
      </c>
      <c r="Y5441" s="1">
        <v>1700000</v>
      </c>
      <c r="Z5441" s="5">
        <v>42005</v>
      </c>
      <c r="AA5441" s="1">
        <v>1700000</v>
      </c>
      <c r="AB5441" s="1" t="s">
        <v>3845</v>
      </c>
      <c r="AC5441" s="5">
        <v>42654</v>
      </c>
      <c r="AF5441" s="1">
        <v>10038</v>
      </c>
      <c r="AI5441" s="1" t="s">
        <v>101</v>
      </c>
      <c r="AJ5441" s="1">
        <v>2015</v>
      </c>
      <c r="AK5441" s="1" t="s">
        <v>46</v>
      </c>
      <c r="AL5441" s="1">
        <v>67</v>
      </c>
    </row>
    <row r="5442" spans="1:38" x14ac:dyDescent="0.2">
      <c r="A5442" s="2" t="str">
        <f>HYPERLINK("https://www.compass.com/listing/5-beekman-street-unit-21b-manhattan-ny-10038/29357226246368753/","5 Beekman St, Unit 21B")</f>
        <v>5 Beekman St, Unit 21B</v>
      </c>
      <c r="B5442" s="2" t="str">
        <f t="shared" si="906"/>
        <v>The Beekman Residences</v>
      </c>
      <c r="C5442" s="1" t="s">
        <v>96</v>
      </c>
      <c r="D5442" s="1" t="s">
        <v>41</v>
      </c>
      <c r="E5442" s="3">
        <v>1624109</v>
      </c>
      <c r="F5442" s="1">
        <v>1899.54269005847</v>
      </c>
      <c r="G5442" s="1">
        <v>3</v>
      </c>
      <c r="H5442" s="1">
        <v>1</v>
      </c>
      <c r="I5442" s="1">
        <v>1</v>
      </c>
      <c r="J5442" s="1">
        <v>1</v>
      </c>
      <c r="M5442" s="1">
        <v>855</v>
      </c>
      <c r="N5442" s="1">
        <v>1186</v>
      </c>
      <c r="O5442" s="1">
        <v>2396</v>
      </c>
      <c r="P5442" s="1">
        <v>1210</v>
      </c>
      <c r="Q5442" s="1" t="s">
        <v>42</v>
      </c>
      <c r="S5442" s="1" t="s">
        <v>42</v>
      </c>
      <c r="T5442" s="1" t="s">
        <v>273</v>
      </c>
      <c r="V5442" s="5">
        <v>43675</v>
      </c>
      <c r="W5442" s="5">
        <v>41976</v>
      </c>
      <c r="X5442" s="1">
        <v>1595000</v>
      </c>
      <c r="Y5442" s="1">
        <v>1595000</v>
      </c>
      <c r="Z5442" s="5">
        <v>41976</v>
      </c>
      <c r="AA5442" s="1">
        <v>1624109</v>
      </c>
      <c r="AB5442" s="1" t="s">
        <v>3846</v>
      </c>
      <c r="AC5442" s="5">
        <v>42679</v>
      </c>
      <c r="AF5442" s="1">
        <v>10038</v>
      </c>
      <c r="AI5442" s="1" t="s">
        <v>101</v>
      </c>
      <c r="AJ5442" s="1">
        <v>2015</v>
      </c>
      <c r="AK5442" s="1" t="s">
        <v>49</v>
      </c>
      <c r="AL5442" s="1">
        <v>67</v>
      </c>
    </row>
    <row r="5443" spans="1:38" x14ac:dyDescent="0.2">
      <c r="A5443" s="2" t="str">
        <f>HYPERLINK("https://www.compass.com/listing/50-west-street-unit-8b-manhattan-ny-10006/29355194030557105/","50 West St, Unit 8B")</f>
        <v>50 West St, Unit 8B</v>
      </c>
      <c r="B5443" s="2" t="str">
        <f t="shared" ref="B5443:B5444" si="907">HYPERLINK("https://www.compass.com/building/50-west-st-manhattan-ny-10006/281896342152815429/","50 West St")</f>
        <v>50 West St</v>
      </c>
      <c r="C5443" s="1" t="s">
        <v>96</v>
      </c>
      <c r="D5443" s="1" t="s">
        <v>41</v>
      </c>
      <c r="E5443" s="3">
        <v>1995770</v>
      </c>
      <c r="F5443" s="1">
        <v>1889.93371212121</v>
      </c>
      <c r="G5443" s="1">
        <v>3</v>
      </c>
      <c r="H5443" s="1">
        <v>1</v>
      </c>
      <c r="I5443" s="1">
        <v>1</v>
      </c>
      <c r="J5443" s="1">
        <v>1</v>
      </c>
      <c r="K5443" s="1">
        <v>1</v>
      </c>
      <c r="M5443" s="4">
        <v>1056</v>
      </c>
      <c r="N5443" s="1">
        <v>1154</v>
      </c>
      <c r="O5443" s="1">
        <v>2440.83</v>
      </c>
      <c r="P5443" s="1">
        <v>1286.8333333333301</v>
      </c>
      <c r="Q5443" s="1" t="s">
        <v>42</v>
      </c>
      <c r="S5443" s="1" t="s">
        <v>42</v>
      </c>
      <c r="T5443" s="1" t="s">
        <v>273</v>
      </c>
      <c r="U5443" s="1">
        <v>570</v>
      </c>
      <c r="V5443" s="5">
        <v>43676</v>
      </c>
      <c r="W5443" s="5">
        <v>42014</v>
      </c>
      <c r="X5443" s="1">
        <v>1865000</v>
      </c>
      <c r="Y5443" s="1">
        <v>1960000</v>
      </c>
      <c r="Z5443" s="5">
        <v>42584</v>
      </c>
      <c r="AA5443" s="1">
        <v>1995770</v>
      </c>
      <c r="AB5443" s="1" t="s">
        <v>3847</v>
      </c>
      <c r="AC5443" s="5">
        <v>42788</v>
      </c>
      <c r="AF5443" s="1">
        <v>10006</v>
      </c>
      <c r="AI5443" s="1" t="s">
        <v>97</v>
      </c>
      <c r="AJ5443" s="1">
        <v>2016</v>
      </c>
      <c r="AK5443" s="1" t="s">
        <v>46</v>
      </c>
      <c r="AL5443" s="1">
        <v>186</v>
      </c>
    </row>
    <row r="5444" spans="1:38" x14ac:dyDescent="0.2">
      <c r="A5444" s="2" t="str">
        <f>HYPERLINK("https://www.compass.com/listing/50-west-street-unit-15c-manhattan-ny-10006/29355199147608097/","50 West St, Unit 15C")</f>
        <v>50 West St, Unit 15C</v>
      </c>
      <c r="B5444" s="2" t="str">
        <f t="shared" si="907"/>
        <v>50 West St</v>
      </c>
      <c r="C5444" s="1" t="s">
        <v>96</v>
      </c>
      <c r="D5444" s="1" t="s">
        <v>41</v>
      </c>
      <c r="E5444" s="3">
        <v>2072139</v>
      </c>
      <c r="F5444" s="1">
        <v>1918.6472222222201</v>
      </c>
      <c r="G5444" s="1">
        <v>3</v>
      </c>
      <c r="H5444" s="1">
        <v>1</v>
      </c>
      <c r="I5444" s="1">
        <v>1</v>
      </c>
      <c r="J5444" s="1">
        <v>1</v>
      </c>
      <c r="K5444" s="1">
        <v>1</v>
      </c>
      <c r="M5444" s="4">
        <v>1080</v>
      </c>
      <c r="N5444" s="1">
        <v>1213.9100000000001</v>
      </c>
      <c r="O5444" s="1">
        <v>2567.56</v>
      </c>
      <c r="P5444" s="1">
        <v>1353.6666666666599</v>
      </c>
      <c r="Q5444" s="1" t="s">
        <v>42</v>
      </c>
      <c r="S5444" s="1" t="s">
        <v>42</v>
      </c>
      <c r="T5444" s="1" t="s">
        <v>273</v>
      </c>
      <c r="U5444" s="1">
        <v>27</v>
      </c>
      <c r="V5444" s="5">
        <v>43650</v>
      </c>
      <c r="W5444" s="5">
        <v>42056</v>
      </c>
      <c r="X5444" s="1">
        <v>2035000</v>
      </c>
      <c r="Y5444" s="1">
        <v>2035000</v>
      </c>
      <c r="Z5444" s="5">
        <v>42083</v>
      </c>
      <c r="AA5444" s="1">
        <v>2072139</v>
      </c>
      <c r="AB5444" s="1" t="s">
        <v>3848</v>
      </c>
      <c r="AC5444" s="5">
        <v>42948</v>
      </c>
      <c r="AF5444" s="1">
        <v>10006</v>
      </c>
      <c r="AI5444" s="1" t="s">
        <v>97</v>
      </c>
      <c r="AJ5444" s="1">
        <v>2016</v>
      </c>
      <c r="AK5444" s="1" t="s">
        <v>46</v>
      </c>
      <c r="AL5444" s="1">
        <v>186</v>
      </c>
    </row>
    <row r="5445" spans="1:38" x14ac:dyDescent="0.2">
      <c r="A5445" s="2" t="str">
        <f>HYPERLINK("https://www.compass.com/listing/50-clinton-street-unit-4f-manhattan-ny-10002/23228798010920145/","50 Clinton St, Unit 4F")</f>
        <v>50 Clinton St, Unit 4F</v>
      </c>
      <c r="B5445" s="2" t="str">
        <f t="shared" ref="B5445:B5446" si="908">HYPERLINK("https://www.compass.com/building/50-clinton-manhattan-ny/281887574832709909/","50 Clinton")</f>
        <v>50 Clinton</v>
      </c>
      <c r="C5445" s="1" t="s">
        <v>47</v>
      </c>
      <c r="D5445" s="1" t="s">
        <v>41</v>
      </c>
      <c r="E5445" s="3">
        <v>1250000</v>
      </c>
      <c r="F5445" s="1">
        <v>1923.0769230769199</v>
      </c>
      <c r="G5445" s="1">
        <v>3</v>
      </c>
      <c r="H5445" s="1">
        <v>1</v>
      </c>
      <c r="I5445" s="1">
        <v>1</v>
      </c>
      <c r="J5445" s="1">
        <v>1</v>
      </c>
      <c r="M5445" s="1">
        <v>650</v>
      </c>
      <c r="N5445" s="1">
        <v>737</v>
      </c>
      <c r="O5445" s="1">
        <v>1293</v>
      </c>
      <c r="P5445" s="1">
        <v>556</v>
      </c>
      <c r="Q5445" s="1" t="s">
        <v>42</v>
      </c>
      <c r="S5445" s="1" t="s">
        <v>42</v>
      </c>
      <c r="T5445" s="1" t="s">
        <v>273</v>
      </c>
      <c r="U5445" s="1">
        <v>61</v>
      </c>
      <c r="V5445" s="5">
        <v>43694</v>
      </c>
      <c r="W5445" s="5">
        <v>42299</v>
      </c>
      <c r="X5445" s="1">
        <v>1250000</v>
      </c>
      <c r="Y5445" s="1">
        <v>1250000</v>
      </c>
      <c r="Z5445" s="5">
        <v>42360</v>
      </c>
      <c r="AA5445" s="1">
        <v>1250000</v>
      </c>
      <c r="AB5445" s="1" t="s">
        <v>3849</v>
      </c>
      <c r="AC5445" s="5">
        <v>43344</v>
      </c>
      <c r="AF5445" s="1">
        <v>10002</v>
      </c>
      <c r="AI5445" s="1" t="s">
        <v>48</v>
      </c>
      <c r="AJ5445" s="1">
        <v>2016</v>
      </c>
      <c r="AK5445" s="1" t="s">
        <v>49</v>
      </c>
      <c r="AL5445" s="1">
        <v>37</v>
      </c>
    </row>
    <row r="5446" spans="1:38" x14ac:dyDescent="0.2">
      <c r="A5446" s="2" t="str">
        <f>HYPERLINK("https://www.compass.com/listing/50-clinton-street-unit-3f-manhattan-ny-10002/29360668008350993/","50 Clinton St, Unit 3F")</f>
        <v>50 Clinton St, Unit 3F</v>
      </c>
      <c r="B5446" s="2" t="str">
        <f t="shared" si="908"/>
        <v>50 Clinton</v>
      </c>
      <c r="C5446" s="1" t="s">
        <v>47</v>
      </c>
      <c r="D5446" s="1" t="s">
        <v>41</v>
      </c>
      <c r="E5446" s="3">
        <v>1221900</v>
      </c>
      <c r="F5446" s="1">
        <v>1879.8461538461499</v>
      </c>
      <c r="G5446" s="1">
        <v>3</v>
      </c>
      <c r="H5446" s="1">
        <v>1</v>
      </c>
      <c r="I5446" s="1">
        <v>1</v>
      </c>
      <c r="J5446" s="1">
        <v>1</v>
      </c>
      <c r="M5446" s="1">
        <v>650</v>
      </c>
      <c r="N5446" s="1">
        <v>737</v>
      </c>
      <c r="O5446" s="1">
        <v>1293</v>
      </c>
      <c r="P5446" s="1">
        <v>556</v>
      </c>
      <c r="Q5446" s="1" t="s">
        <v>42</v>
      </c>
      <c r="S5446" s="1" t="s">
        <v>42</v>
      </c>
      <c r="T5446" s="1" t="s">
        <v>273</v>
      </c>
      <c r="U5446" s="1">
        <v>13</v>
      </c>
      <c r="V5446" s="5">
        <v>43668</v>
      </c>
      <c r="W5446" s="5">
        <v>42104</v>
      </c>
      <c r="X5446" s="1">
        <v>1200000</v>
      </c>
      <c r="Y5446" s="1">
        <v>1200000</v>
      </c>
      <c r="Z5446" s="5">
        <v>42117</v>
      </c>
      <c r="AA5446" s="1">
        <v>1221900</v>
      </c>
      <c r="AB5446" s="1" t="s">
        <v>3850</v>
      </c>
      <c r="AC5446" s="5">
        <v>42998</v>
      </c>
      <c r="AF5446" s="1">
        <v>10002</v>
      </c>
      <c r="AI5446" s="1" t="s">
        <v>61</v>
      </c>
      <c r="AJ5446" s="1">
        <v>2016</v>
      </c>
      <c r="AK5446" s="1" t="s">
        <v>49</v>
      </c>
      <c r="AL5446" s="1">
        <v>37</v>
      </c>
    </row>
    <row r="5447" spans="1:38" x14ac:dyDescent="0.2">
      <c r="A5447" s="2" t="str">
        <f>HYPERLINK("https://www.compass.com/listing/196-orchard-street-unit-7q-manhattan-ny-10002/386202237668789105/","196 Orchard St, Unit 7Q")</f>
        <v>196 Orchard St, Unit 7Q</v>
      </c>
      <c r="B5447" s="2" t="str">
        <f>HYPERLINK("https://www.compass.com/building/196-orchard-st-manhattan-ny-10002/281886194713760485/","196 Orchard St")</f>
        <v>196 Orchard St</v>
      </c>
      <c r="C5447" s="1" t="s">
        <v>47</v>
      </c>
      <c r="D5447" s="1" t="s">
        <v>41</v>
      </c>
      <c r="E5447" s="3">
        <v>1117000</v>
      </c>
      <c r="F5447" s="1">
        <v>1628.2798833819199</v>
      </c>
      <c r="G5447" s="1">
        <v>3</v>
      </c>
      <c r="H5447" s="1">
        <v>1</v>
      </c>
      <c r="I5447" s="1">
        <v>1</v>
      </c>
      <c r="J5447" s="1">
        <v>1</v>
      </c>
      <c r="K5447" s="1">
        <v>1</v>
      </c>
      <c r="M5447" s="1">
        <v>686</v>
      </c>
      <c r="N5447" s="1">
        <v>911</v>
      </c>
      <c r="O5447" s="1">
        <v>1814</v>
      </c>
      <c r="P5447" s="1">
        <v>903</v>
      </c>
      <c r="Q5447" s="1" t="s">
        <v>42</v>
      </c>
      <c r="S5447" s="1" t="s">
        <v>42</v>
      </c>
      <c r="T5447" s="1" t="s">
        <v>273</v>
      </c>
      <c r="U5447" s="1">
        <v>126</v>
      </c>
      <c r="V5447" s="5">
        <v>43920</v>
      </c>
      <c r="W5447" s="5">
        <v>43738</v>
      </c>
      <c r="X5447" s="1">
        <v>1250000</v>
      </c>
      <c r="Y5447" s="1">
        <v>1250000</v>
      </c>
      <c r="Z5447" s="5">
        <v>43864</v>
      </c>
      <c r="AA5447" s="1">
        <v>1117000</v>
      </c>
      <c r="AB5447" s="1" t="s">
        <v>3851</v>
      </c>
      <c r="AC5447" s="5">
        <v>43909</v>
      </c>
      <c r="AF5447" s="1">
        <v>10002</v>
      </c>
      <c r="AI5447" s="1" t="s">
        <v>165</v>
      </c>
      <c r="AJ5447" s="1">
        <v>2018</v>
      </c>
      <c r="AK5447" s="1" t="s">
        <v>46</v>
      </c>
      <c r="AL5447" s="1">
        <v>89</v>
      </c>
    </row>
    <row r="5448" spans="1:38" x14ac:dyDescent="0.2">
      <c r="A5448" s="2" t="str">
        <f>HYPERLINK("https://www.compass.com/listing/50-clinton-street-unit-5b-manhattan-ny-10002/29360670977883009/","50 Clinton St, Unit 5B")</f>
        <v>50 Clinton St, Unit 5B</v>
      </c>
      <c r="B5448" s="2" t="str">
        <f t="shared" ref="B5448:B5450" si="909">HYPERLINK("https://www.compass.com/building/50-clinton-manhattan-ny/281887574832709909/","50 Clinton")</f>
        <v>50 Clinton</v>
      </c>
      <c r="C5448" s="1" t="s">
        <v>47</v>
      </c>
      <c r="D5448" s="1" t="s">
        <v>41</v>
      </c>
      <c r="E5448" s="3">
        <v>1323725</v>
      </c>
      <c r="F5448" s="1">
        <v>2020.95419847328</v>
      </c>
      <c r="G5448" s="1">
        <v>3</v>
      </c>
      <c r="H5448" s="1">
        <v>1</v>
      </c>
      <c r="I5448" s="1">
        <v>1</v>
      </c>
      <c r="J5448" s="1">
        <v>1</v>
      </c>
      <c r="M5448" s="1">
        <v>655</v>
      </c>
      <c r="N5448" s="1">
        <v>746</v>
      </c>
      <c r="O5448" s="1">
        <v>1306</v>
      </c>
      <c r="P5448" s="1">
        <v>560</v>
      </c>
      <c r="Q5448" s="1" t="s">
        <v>42</v>
      </c>
      <c r="S5448" s="1" t="s">
        <v>42</v>
      </c>
      <c r="T5448" s="1" t="s">
        <v>273</v>
      </c>
      <c r="V5448" s="5">
        <v>43679</v>
      </c>
      <c r="W5448" s="5">
        <v>42130</v>
      </c>
      <c r="X5448" s="1">
        <v>1300000</v>
      </c>
      <c r="Y5448" s="1">
        <v>1300000</v>
      </c>
      <c r="Z5448" s="5">
        <v>42130</v>
      </c>
      <c r="AA5448" s="1">
        <v>1323725</v>
      </c>
      <c r="AB5448" s="1" t="s">
        <v>3852</v>
      </c>
      <c r="AC5448" s="5">
        <v>43047</v>
      </c>
      <c r="AF5448" s="1">
        <v>10002</v>
      </c>
      <c r="AI5448" s="1" t="s">
        <v>61</v>
      </c>
      <c r="AJ5448" s="1">
        <v>2016</v>
      </c>
      <c r="AK5448" s="1" t="s">
        <v>49</v>
      </c>
      <c r="AL5448" s="1">
        <v>37</v>
      </c>
    </row>
    <row r="5449" spans="1:38" x14ac:dyDescent="0.2">
      <c r="A5449" s="2" t="str">
        <f>HYPERLINK("https://www.compass.com/listing/50-clinton-street-unit-2d-manhattan-ny-10002/34470430639145937/","50 Clinton St, Unit 2D")</f>
        <v>50 Clinton St, Unit 2D</v>
      </c>
      <c r="B5449" s="2" t="str">
        <f t="shared" si="909"/>
        <v>50 Clinton</v>
      </c>
      <c r="C5449" s="1" t="s">
        <v>47</v>
      </c>
      <c r="D5449" s="1" t="s">
        <v>41</v>
      </c>
      <c r="E5449" s="3">
        <v>1920000</v>
      </c>
      <c r="F5449" s="1">
        <v>1634.04255319148</v>
      </c>
      <c r="G5449" s="1">
        <v>4</v>
      </c>
      <c r="H5449" s="1">
        <v>2</v>
      </c>
      <c r="I5449" s="1">
        <v>2</v>
      </c>
      <c r="J5449" s="1">
        <v>2</v>
      </c>
      <c r="M5449" s="4">
        <v>1175</v>
      </c>
      <c r="N5449" s="1">
        <v>1359</v>
      </c>
      <c r="O5449" s="1">
        <v>2659</v>
      </c>
      <c r="P5449" s="1">
        <v>1300</v>
      </c>
      <c r="Q5449" s="1" t="s">
        <v>42</v>
      </c>
      <c r="S5449" s="1" t="s">
        <v>42</v>
      </c>
      <c r="T5449" s="1" t="s">
        <v>273</v>
      </c>
      <c r="U5449" s="1">
        <v>60</v>
      </c>
      <c r="V5449" s="5">
        <v>43637</v>
      </c>
      <c r="W5449" s="5">
        <v>43302</v>
      </c>
      <c r="X5449" s="1">
        <v>2250000</v>
      </c>
      <c r="Y5449" s="1">
        <v>2250000</v>
      </c>
      <c r="Z5449" s="5">
        <v>43362</v>
      </c>
      <c r="AA5449" s="1">
        <v>1920000</v>
      </c>
      <c r="AB5449" s="1" t="s">
        <v>3853</v>
      </c>
      <c r="AC5449" s="5">
        <v>43383</v>
      </c>
      <c r="AF5449" s="1">
        <v>10002</v>
      </c>
      <c r="AI5449" s="1" t="s">
        <v>48</v>
      </c>
      <c r="AJ5449" s="1">
        <v>2016</v>
      </c>
      <c r="AK5449" s="1" t="s">
        <v>49</v>
      </c>
      <c r="AL5449" s="1">
        <v>37</v>
      </c>
    </row>
    <row r="5450" spans="1:38" x14ac:dyDescent="0.2">
      <c r="A5450" s="2" t="str">
        <f>HYPERLINK("https://www.compass.com/listing/50-clinton-street-unit-2d-manhattan-ny-10002/803315718351469185/","50 Clinton St, Unit 2D")</f>
        <v>50 Clinton St, Unit 2D</v>
      </c>
      <c r="B5450" s="2" t="str">
        <f t="shared" si="909"/>
        <v>50 Clinton</v>
      </c>
      <c r="C5450" s="1" t="s">
        <v>47</v>
      </c>
      <c r="D5450" s="1" t="s">
        <v>41</v>
      </c>
      <c r="E5450" s="3">
        <v>1920000</v>
      </c>
      <c r="F5450" s="1">
        <v>1634.04255319148</v>
      </c>
      <c r="G5450" s="1">
        <v>4</v>
      </c>
      <c r="H5450" s="1">
        <v>2</v>
      </c>
      <c r="I5450" s="1">
        <v>2</v>
      </c>
      <c r="J5450" s="1">
        <v>2</v>
      </c>
      <c r="M5450" s="4">
        <v>1175</v>
      </c>
      <c r="N5450" s="1">
        <v>1333</v>
      </c>
      <c r="O5450" s="1">
        <v>2342</v>
      </c>
      <c r="P5450" s="1">
        <v>1009</v>
      </c>
      <c r="Q5450" s="1" t="s">
        <v>42</v>
      </c>
      <c r="S5450" s="1" t="s">
        <v>42</v>
      </c>
      <c r="T5450" s="1" t="s">
        <v>273</v>
      </c>
      <c r="U5450" s="1">
        <v>143</v>
      </c>
      <c r="V5450" s="5">
        <v>43298</v>
      </c>
      <c r="W5450" s="5">
        <v>43039</v>
      </c>
      <c r="X5450" s="1">
        <v>2425000</v>
      </c>
      <c r="Y5450" s="1">
        <v>2250000</v>
      </c>
      <c r="AA5450" s="1">
        <v>1920000</v>
      </c>
      <c r="AB5450" s="1" t="s">
        <v>3853</v>
      </c>
      <c r="AC5450" s="5">
        <v>43383</v>
      </c>
      <c r="AF5450" s="1">
        <v>10002</v>
      </c>
      <c r="AI5450" s="1" t="s">
        <v>48</v>
      </c>
      <c r="AJ5450" s="1">
        <v>2016</v>
      </c>
      <c r="AK5450" s="1" t="s">
        <v>49</v>
      </c>
      <c r="AL5450" s="1">
        <v>37</v>
      </c>
    </row>
    <row r="5451" spans="1:38" x14ac:dyDescent="0.2">
      <c r="A5451" s="2" t="str">
        <f>HYPERLINK("https://www.compass.com/listing/50-west-street-unit-21c-manhattan-ny-10006/29355204885416065/","50 West St, Unit 21C")</f>
        <v>50 West St, Unit 21C</v>
      </c>
      <c r="B5451" s="2" t="str">
        <f>HYPERLINK("https://www.compass.com/building/50-west-st-manhattan-ny-10006/281896342152815429/","50 West St")</f>
        <v>50 West St</v>
      </c>
      <c r="C5451" s="1" t="s">
        <v>96</v>
      </c>
      <c r="D5451" s="1" t="s">
        <v>41</v>
      </c>
      <c r="E5451" s="3">
        <v>2480000</v>
      </c>
      <c r="F5451" s="1">
        <v>2296.2962962962902</v>
      </c>
      <c r="G5451" s="1">
        <v>3</v>
      </c>
      <c r="H5451" s="1">
        <v>1</v>
      </c>
      <c r="I5451" s="1">
        <v>1</v>
      </c>
      <c r="J5451" s="1">
        <v>1</v>
      </c>
      <c r="K5451" s="1">
        <v>1</v>
      </c>
      <c r="M5451" s="4">
        <v>1080</v>
      </c>
      <c r="N5451" s="1">
        <v>1248.76</v>
      </c>
      <c r="O5451" s="1">
        <v>2641.27</v>
      </c>
      <c r="P5451" s="1">
        <v>1392.5</v>
      </c>
      <c r="Q5451" s="1" t="s">
        <v>42</v>
      </c>
      <c r="S5451" s="1" t="s">
        <v>42</v>
      </c>
      <c r="T5451" s="1" t="s">
        <v>273</v>
      </c>
      <c r="U5451" s="1">
        <v>154</v>
      </c>
      <c r="V5451" s="5">
        <v>43677</v>
      </c>
      <c r="W5451" s="5">
        <v>42392</v>
      </c>
      <c r="X5451" s="1">
        <v>2480000</v>
      </c>
      <c r="Y5451" s="1">
        <v>2480000</v>
      </c>
      <c r="Z5451" s="5">
        <v>42546</v>
      </c>
      <c r="AA5451" s="1">
        <v>2480000</v>
      </c>
      <c r="AB5451" s="1" t="s">
        <v>3854</v>
      </c>
      <c r="AC5451" s="5">
        <v>42856</v>
      </c>
      <c r="AF5451" s="1">
        <v>10006</v>
      </c>
      <c r="AI5451" s="1" t="s">
        <v>97</v>
      </c>
      <c r="AJ5451" s="1">
        <v>2016</v>
      </c>
      <c r="AK5451" s="1" t="s">
        <v>46</v>
      </c>
      <c r="AL5451" s="1">
        <v>186</v>
      </c>
    </row>
    <row r="5452" spans="1:38" x14ac:dyDescent="0.2">
      <c r="A5452" s="2" t="str">
        <f>HYPERLINK("https://www.compass.com/listing/171-henry-street-unit-3b-manhattan-ny-10002/29515205528580497/","171 Henry St, Unit 3B")</f>
        <v>171 Henry St, Unit 3B</v>
      </c>
      <c r="B5452" s="2" t="str">
        <f>HYPERLINK("https://www.compass.com/building/171-henry-street-manhattan-ny/294837097231611189/","171 Henry Street")</f>
        <v>171 Henry Street</v>
      </c>
      <c r="C5452" s="1" t="s">
        <v>47</v>
      </c>
      <c r="D5452" s="1" t="s">
        <v>41</v>
      </c>
      <c r="E5452" s="3">
        <v>828750</v>
      </c>
      <c r="F5452" s="1">
        <v>1211.62280701754</v>
      </c>
      <c r="G5452" s="1">
        <v>2</v>
      </c>
      <c r="H5452" s="1" t="s">
        <v>99</v>
      </c>
      <c r="I5452" s="1">
        <v>1</v>
      </c>
      <c r="J5452" s="1">
        <v>1</v>
      </c>
      <c r="K5452" s="1">
        <v>1</v>
      </c>
      <c r="M5452" s="1">
        <v>684</v>
      </c>
      <c r="N5452" s="1">
        <v>577</v>
      </c>
      <c r="O5452" s="1">
        <v>1487</v>
      </c>
      <c r="P5452" s="1">
        <v>910</v>
      </c>
      <c r="Q5452" s="1" t="s">
        <v>42</v>
      </c>
      <c r="S5452" s="1" t="s">
        <v>42</v>
      </c>
      <c r="T5452" s="1" t="s">
        <v>273</v>
      </c>
      <c r="V5452" s="5">
        <v>43795</v>
      </c>
      <c r="W5452" s="5">
        <v>43119</v>
      </c>
      <c r="X5452" s="1">
        <v>855000</v>
      </c>
      <c r="Y5452" s="1">
        <v>828750</v>
      </c>
      <c r="Z5452" s="5">
        <v>43573</v>
      </c>
      <c r="AA5452" s="1">
        <v>828750</v>
      </c>
      <c r="AB5452" s="1" t="s">
        <v>275</v>
      </c>
      <c r="AC5452" s="5">
        <v>43782</v>
      </c>
      <c r="AF5452" s="1">
        <v>10002</v>
      </c>
      <c r="AI5452" s="1" t="s">
        <v>135</v>
      </c>
      <c r="AJ5452" s="1">
        <v>2017</v>
      </c>
      <c r="AL5452" s="1">
        <v>20</v>
      </c>
    </row>
    <row r="5453" spans="1:38" x14ac:dyDescent="0.2">
      <c r="A5453" s="2" t="str">
        <f>HYPERLINK("https://www.compass.com/listing/5-beekman-street-unit-20c-manhattan-ny-10038/4852278955496979073/","5 Beekman St, Unit 20C")</f>
        <v>5 Beekman St, Unit 20C</v>
      </c>
      <c r="B5453" s="2" t="str">
        <f t="shared" ref="B5453:B5454" si="910">HYPERLINK("https://www.compass.com/building/the-beekman-residences-manhattan-ny/282030567363458613/","The Beekman Residences")</f>
        <v>The Beekman Residences</v>
      </c>
      <c r="C5453" s="1" t="s">
        <v>96</v>
      </c>
      <c r="D5453" s="1" t="s">
        <v>41</v>
      </c>
      <c r="E5453" s="3">
        <v>1425000</v>
      </c>
      <c r="F5453" s="1">
        <v>2027.02702702702</v>
      </c>
      <c r="G5453" s="1">
        <v>3</v>
      </c>
      <c r="H5453" s="1">
        <v>1</v>
      </c>
      <c r="I5453" s="1">
        <v>1</v>
      </c>
      <c r="J5453" s="1">
        <v>1</v>
      </c>
      <c r="K5453" s="1">
        <v>1</v>
      </c>
      <c r="M5453" s="1">
        <v>703</v>
      </c>
      <c r="N5453" s="1">
        <v>975</v>
      </c>
      <c r="O5453" s="1">
        <v>1970</v>
      </c>
      <c r="P5453" s="1">
        <v>995</v>
      </c>
      <c r="Q5453" s="1" t="s">
        <v>42</v>
      </c>
      <c r="S5453" s="1" t="s">
        <v>42</v>
      </c>
      <c r="T5453" s="1" t="s">
        <v>273</v>
      </c>
      <c r="U5453" s="1">
        <v>121</v>
      </c>
      <c r="V5453" s="5">
        <v>44345</v>
      </c>
      <c r="W5453" s="5">
        <v>41976</v>
      </c>
      <c r="X5453" s="1">
        <v>1550000</v>
      </c>
      <c r="Y5453" s="1">
        <v>1550000</v>
      </c>
      <c r="Z5453" s="5">
        <v>42321</v>
      </c>
      <c r="AA5453" s="1">
        <v>1425000</v>
      </c>
      <c r="AB5453" s="1" t="s">
        <v>275</v>
      </c>
      <c r="AC5453" s="5">
        <v>42976</v>
      </c>
      <c r="AF5453" s="1">
        <v>10038</v>
      </c>
      <c r="AI5453" s="1" t="s">
        <v>101</v>
      </c>
      <c r="AJ5453" s="1">
        <v>2015</v>
      </c>
      <c r="AK5453" s="1" t="s">
        <v>49</v>
      </c>
      <c r="AL5453" s="1">
        <v>67</v>
      </c>
    </row>
    <row r="5454" spans="1:38" x14ac:dyDescent="0.2">
      <c r="A5454" s="2" t="str">
        <f>HYPERLINK("https://www.compass.com/listing/5-beekman-street-unit-26b-manhattan-ny-10038/190538993811603697/","5 Beekman St, Unit 26B")</f>
        <v>5 Beekman St, Unit 26B</v>
      </c>
      <c r="B5454" s="2" t="str">
        <f t="shared" si="910"/>
        <v>The Beekman Residences</v>
      </c>
      <c r="C5454" s="1" t="s">
        <v>96</v>
      </c>
      <c r="D5454" s="1" t="s">
        <v>41</v>
      </c>
      <c r="E5454" s="3">
        <v>2100000</v>
      </c>
      <c r="F5454" s="1">
        <v>2456.14035087719</v>
      </c>
      <c r="G5454" s="1">
        <v>3</v>
      </c>
      <c r="H5454" s="1">
        <v>1</v>
      </c>
      <c r="I5454" s="1">
        <v>1</v>
      </c>
      <c r="J5454" s="1">
        <v>1</v>
      </c>
      <c r="K5454" s="1">
        <v>1</v>
      </c>
      <c r="M5454" s="1">
        <v>855</v>
      </c>
      <c r="N5454" s="1">
        <v>1186</v>
      </c>
      <c r="O5454" s="1">
        <v>2396</v>
      </c>
      <c r="P5454" s="1">
        <v>1210</v>
      </c>
      <c r="Q5454" s="1" t="s">
        <v>42</v>
      </c>
      <c r="S5454" s="1" t="s">
        <v>42</v>
      </c>
      <c r="T5454" s="1" t="s">
        <v>273</v>
      </c>
      <c r="U5454" s="1">
        <v>37</v>
      </c>
      <c r="V5454" s="5">
        <v>44225</v>
      </c>
      <c r="W5454" s="5">
        <v>42621</v>
      </c>
      <c r="X5454" s="1">
        <v>2100000</v>
      </c>
      <c r="Y5454" s="1">
        <v>2100000</v>
      </c>
      <c r="Z5454" s="5">
        <v>42658</v>
      </c>
      <c r="AA5454" s="1">
        <v>2100000</v>
      </c>
      <c r="AB5454" s="1" t="s">
        <v>275</v>
      </c>
      <c r="AC5454" s="5">
        <v>42865</v>
      </c>
      <c r="AF5454" s="1">
        <v>10038</v>
      </c>
      <c r="AI5454" s="1" t="s">
        <v>101</v>
      </c>
      <c r="AJ5454" s="1">
        <v>2015</v>
      </c>
      <c r="AK5454" s="1" t="s">
        <v>49</v>
      </c>
      <c r="AL5454" s="1">
        <v>67</v>
      </c>
    </row>
    <row r="5455" spans="1:38" x14ac:dyDescent="0.2">
      <c r="A5455" s="2" t="str">
        <f>HYPERLINK("https://www.compass.com/listing/50-clinton-street-unit-5a-manhattan-ny-10002/29360670550099249/","50 Clinton St, Unit 5A")</f>
        <v>50 Clinton St, Unit 5A</v>
      </c>
      <c r="B5455" s="2" t="str">
        <f t="shared" ref="B5455:B5459" si="911">HYPERLINK("https://www.compass.com/building/50-clinton-manhattan-ny/281887574832709909/","50 Clinton")</f>
        <v>50 Clinton</v>
      </c>
      <c r="C5455" s="1" t="s">
        <v>47</v>
      </c>
      <c r="D5455" s="1" t="s">
        <v>41</v>
      </c>
      <c r="E5455" s="3">
        <v>2036500</v>
      </c>
      <c r="F5455" s="1">
        <v>2123.5662148070901</v>
      </c>
      <c r="G5455" s="1">
        <v>4</v>
      </c>
      <c r="H5455" s="1">
        <v>2</v>
      </c>
      <c r="I5455" s="1">
        <v>2</v>
      </c>
      <c r="J5455" s="1">
        <v>2</v>
      </c>
      <c r="K5455" s="1">
        <v>2</v>
      </c>
      <c r="M5455" s="1">
        <v>959</v>
      </c>
      <c r="N5455" s="1">
        <v>1089</v>
      </c>
      <c r="O5455" s="1">
        <v>1912</v>
      </c>
      <c r="P5455" s="1">
        <v>823</v>
      </c>
      <c r="Q5455" s="1" t="s">
        <v>42</v>
      </c>
      <c r="S5455" s="1" t="s">
        <v>42</v>
      </c>
      <c r="T5455" s="1" t="s">
        <v>273</v>
      </c>
      <c r="U5455" s="1">
        <v>29</v>
      </c>
      <c r="V5455" s="5">
        <v>44225</v>
      </c>
      <c r="W5455" s="5">
        <v>42123</v>
      </c>
      <c r="X5455" s="1">
        <v>2000000</v>
      </c>
      <c r="Y5455" s="1">
        <v>2000000</v>
      </c>
      <c r="Z5455" s="5">
        <v>42152</v>
      </c>
      <c r="AA5455" s="1">
        <v>2036500</v>
      </c>
      <c r="AB5455" s="1" t="s">
        <v>3855</v>
      </c>
      <c r="AC5455" s="5">
        <v>42978</v>
      </c>
      <c r="AF5455" s="1">
        <v>10002</v>
      </c>
      <c r="AI5455" s="1" t="s">
        <v>61</v>
      </c>
      <c r="AJ5455" s="1">
        <v>2016</v>
      </c>
      <c r="AK5455" s="1" t="s">
        <v>49</v>
      </c>
      <c r="AL5455" s="1">
        <v>37</v>
      </c>
    </row>
    <row r="5456" spans="1:38" x14ac:dyDescent="0.2">
      <c r="A5456" s="2" t="str">
        <f>HYPERLINK("https://www.compass.com/listing/50-clinton-street-unit-6a-manhattan-ny-10002/29360672882132321/","50 Clinton St, Unit 6A")</f>
        <v>50 Clinton St, Unit 6A</v>
      </c>
      <c r="B5456" s="2" t="str">
        <f t="shared" si="911"/>
        <v>50 Clinton</v>
      </c>
      <c r="C5456" s="1" t="s">
        <v>47</v>
      </c>
      <c r="D5456" s="1" t="s">
        <v>41</v>
      </c>
      <c r="E5456" s="3">
        <v>2189238</v>
      </c>
      <c r="F5456" s="1">
        <v>2282.8342022940501</v>
      </c>
      <c r="G5456" s="1">
        <v>4</v>
      </c>
      <c r="H5456" s="1">
        <v>2</v>
      </c>
      <c r="I5456" s="1">
        <v>2</v>
      </c>
      <c r="J5456" s="1">
        <v>2</v>
      </c>
      <c r="K5456" s="1">
        <v>2</v>
      </c>
      <c r="M5456" s="1">
        <v>959</v>
      </c>
      <c r="N5456" s="1">
        <v>1089</v>
      </c>
      <c r="O5456" s="1">
        <v>1912</v>
      </c>
      <c r="P5456" s="1">
        <v>823</v>
      </c>
      <c r="Q5456" s="1" t="s">
        <v>42</v>
      </c>
      <c r="S5456" s="1" t="s">
        <v>42</v>
      </c>
      <c r="T5456" s="1" t="s">
        <v>273</v>
      </c>
      <c r="V5456" s="5">
        <v>44338</v>
      </c>
      <c r="W5456" s="5">
        <v>42118</v>
      </c>
      <c r="X5456" s="1">
        <v>2150000</v>
      </c>
      <c r="Y5456" s="1">
        <v>2150000</v>
      </c>
      <c r="Z5456" s="5">
        <v>42118</v>
      </c>
      <c r="AA5456" s="1">
        <v>2189238</v>
      </c>
      <c r="AB5456" s="1" t="s">
        <v>3856</v>
      </c>
      <c r="AC5456" s="5">
        <v>43117</v>
      </c>
      <c r="AF5456" s="1">
        <v>10002</v>
      </c>
      <c r="AI5456" s="1" t="s">
        <v>48</v>
      </c>
      <c r="AJ5456" s="1">
        <v>2016</v>
      </c>
      <c r="AK5456" s="1" t="s">
        <v>49</v>
      </c>
      <c r="AL5456" s="1">
        <v>37</v>
      </c>
    </row>
    <row r="5457" spans="1:38" x14ac:dyDescent="0.2">
      <c r="A5457" s="2" t="str">
        <f>HYPERLINK("https://www.compass.com/listing/50-clinton-street-unit-5e-manhattan-ny-10002/70924219235450209/","50 Clinton St, Unit 5E")</f>
        <v>50 Clinton St, Unit 5E</v>
      </c>
      <c r="B5457" s="2" t="str">
        <f t="shared" si="911"/>
        <v>50 Clinton</v>
      </c>
      <c r="C5457" s="1" t="s">
        <v>47</v>
      </c>
      <c r="D5457" s="1" t="s">
        <v>41</v>
      </c>
      <c r="E5457" s="3">
        <v>2163781</v>
      </c>
      <c r="F5457" s="1">
        <v>2375.1712403951701</v>
      </c>
      <c r="G5457" s="1">
        <v>4</v>
      </c>
      <c r="H5457" s="1">
        <v>2</v>
      </c>
      <c r="I5457" s="1">
        <v>2</v>
      </c>
      <c r="J5457" s="1">
        <v>2</v>
      </c>
      <c r="M5457" s="1">
        <v>911</v>
      </c>
      <c r="N5457" s="1">
        <v>1036</v>
      </c>
      <c r="O5457" s="1">
        <v>1817</v>
      </c>
      <c r="P5457" s="1">
        <v>781</v>
      </c>
      <c r="Q5457" s="1" t="s">
        <v>42</v>
      </c>
      <c r="S5457" s="1" t="s">
        <v>42</v>
      </c>
      <c r="T5457" s="1" t="s">
        <v>273</v>
      </c>
      <c r="U5457" s="1">
        <v>15</v>
      </c>
      <c r="V5457" s="5">
        <v>43649</v>
      </c>
      <c r="W5457" s="5">
        <v>43046</v>
      </c>
      <c r="X5457" s="1">
        <v>2125000</v>
      </c>
      <c r="Y5457" s="1">
        <v>2125000</v>
      </c>
      <c r="Z5457" s="5">
        <v>43061</v>
      </c>
      <c r="AA5457" s="1">
        <v>2163781</v>
      </c>
      <c r="AB5457" s="1" t="s">
        <v>3857</v>
      </c>
      <c r="AC5457" s="5">
        <v>43070</v>
      </c>
      <c r="AF5457" s="1">
        <v>10002</v>
      </c>
      <c r="AI5457" s="1" t="s">
        <v>48</v>
      </c>
      <c r="AJ5457" s="1">
        <v>2016</v>
      </c>
      <c r="AK5457" s="1" t="s">
        <v>49</v>
      </c>
      <c r="AL5457" s="1">
        <v>37</v>
      </c>
    </row>
    <row r="5458" spans="1:38" x14ac:dyDescent="0.2">
      <c r="A5458" s="2" t="str">
        <f>HYPERLINK("https://www.compass.com/listing/50-clinton-street-unit-3c-manhattan-ny-10002/29360667563759777/","50 Clinton St, Unit 3C")</f>
        <v>50 Clinton St, Unit 3C</v>
      </c>
      <c r="B5458" s="2" t="str">
        <f t="shared" si="911"/>
        <v>50 Clinton</v>
      </c>
      <c r="C5458" s="1" t="s">
        <v>47</v>
      </c>
      <c r="D5458" s="1" t="s">
        <v>41</v>
      </c>
      <c r="E5458" s="3">
        <v>2189238</v>
      </c>
      <c r="F5458" s="1">
        <v>1940.8138297872299</v>
      </c>
      <c r="G5458" s="1">
        <v>4</v>
      </c>
      <c r="H5458" s="1">
        <v>2</v>
      </c>
      <c r="I5458" s="1">
        <v>2</v>
      </c>
      <c r="J5458" s="1">
        <v>2</v>
      </c>
      <c r="M5458" s="4">
        <v>1128</v>
      </c>
      <c r="N5458" s="1">
        <v>1279</v>
      </c>
      <c r="O5458" s="1">
        <v>2245</v>
      </c>
      <c r="P5458" s="1">
        <v>966</v>
      </c>
      <c r="Q5458" s="1" t="s">
        <v>42</v>
      </c>
      <c r="S5458" s="1" t="s">
        <v>42</v>
      </c>
      <c r="T5458" s="1" t="s">
        <v>273</v>
      </c>
      <c r="V5458" s="5">
        <v>43668</v>
      </c>
      <c r="W5458" s="5">
        <v>42174</v>
      </c>
      <c r="X5458" s="1">
        <v>2150000</v>
      </c>
      <c r="Y5458" s="1">
        <v>2150000</v>
      </c>
      <c r="Z5458" s="5">
        <v>42174</v>
      </c>
      <c r="AA5458" s="1">
        <v>2189238</v>
      </c>
      <c r="AB5458" s="1" t="s">
        <v>3858</v>
      </c>
      <c r="AC5458" s="5">
        <v>43008</v>
      </c>
      <c r="AF5458" s="1">
        <v>10002</v>
      </c>
      <c r="AI5458" s="1" t="s">
        <v>48</v>
      </c>
      <c r="AJ5458" s="1">
        <v>2016</v>
      </c>
      <c r="AK5458" s="1" t="s">
        <v>49</v>
      </c>
      <c r="AL5458" s="1">
        <v>37</v>
      </c>
    </row>
    <row r="5459" spans="1:38" x14ac:dyDescent="0.2">
      <c r="A5459" s="2" t="str">
        <f>HYPERLINK("https://www.compass.com/listing/50-clinton-street-unit-phd-manhattan-ny-10002/29669110606546273/","50 Clinton St, Unit PHD")</f>
        <v>50 Clinton St, Unit PHD</v>
      </c>
      <c r="B5459" s="2" t="str">
        <f t="shared" si="911"/>
        <v>50 Clinton</v>
      </c>
      <c r="C5459" s="1" t="s">
        <v>47</v>
      </c>
      <c r="D5459" s="1" t="s">
        <v>41</v>
      </c>
      <c r="E5459" s="3">
        <v>3258400</v>
      </c>
      <c r="F5459" s="1">
        <v>2972.9927007299202</v>
      </c>
      <c r="G5459" s="1">
        <v>4</v>
      </c>
      <c r="H5459" s="1">
        <v>2</v>
      </c>
      <c r="I5459" s="1">
        <v>2</v>
      </c>
      <c r="J5459" s="1">
        <v>2</v>
      </c>
      <c r="K5459" s="1">
        <v>2</v>
      </c>
      <c r="M5459" s="4">
        <v>1096</v>
      </c>
      <c r="N5459" s="1">
        <v>1491</v>
      </c>
      <c r="O5459" s="1">
        <v>2617</v>
      </c>
      <c r="P5459" s="1">
        <v>1126</v>
      </c>
      <c r="Q5459" s="1" t="s">
        <v>42</v>
      </c>
      <c r="S5459" s="1" t="s">
        <v>42</v>
      </c>
      <c r="T5459" s="1" t="s">
        <v>273</v>
      </c>
      <c r="U5459" s="1">
        <v>12</v>
      </c>
      <c r="V5459" s="5">
        <v>44385</v>
      </c>
      <c r="W5459" s="5">
        <v>42111</v>
      </c>
      <c r="X5459" s="1">
        <v>3200000</v>
      </c>
      <c r="Y5459" s="1">
        <v>3200000</v>
      </c>
      <c r="Z5459" s="5">
        <v>42123</v>
      </c>
      <c r="AA5459" s="1">
        <v>3258400</v>
      </c>
      <c r="AB5459" s="1" t="s">
        <v>3859</v>
      </c>
      <c r="AC5459" s="5">
        <v>43124</v>
      </c>
      <c r="AF5459" s="1">
        <v>10002</v>
      </c>
      <c r="AI5459" s="1" t="s">
        <v>240</v>
      </c>
      <c r="AJ5459" s="1">
        <v>2016</v>
      </c>
      <c r="AK5459" s="1" t="s">
        <v>49</v>
      </c>
      <c r="AL5459" s="1">
        <v>37</v>
      </c>
    </row>
    <row r="5460" spans="1:38" x14ac:dyDescent="0.2">
      <c r="A5460" s="2" t="str">
        <f>HYPERLINK("https://www.compass.com/listing/171-henry-street-unit-6c-manhattan-ny-10002/188274126996189873/","171 Henry St, Unit 6C")</f>
        <v>171 Henry St, Unit 6C</v>
      </c>
      <c r="B5460" s="2" t="str">
        <f>HYPERLINK("https://www.compass.com/building/171-henry-street-manhattan-ny/294837097231611189/","171 Henry Street")</f>
        <v>171 Henry Street</v>
      </c>
      <c r="C5460" s="1" t="s">
        <v>47</v>
      </c>
      <c r="D5460" s="1" t="s">
        <v>41</v>
      </c>
      <c r="E5460" s="3">
        <v>1065000</v>
      </c>
      <c r="F5460" s="1">
        <v>1174.20066152149</v>
      </c>
      <c r="G5460" s="1">
        <v>3</v>
      </c>
      <c r="H5460" s="1">
        <v>1</v>
      </c>
      <c r="I5460" s="1">
        <v>2</v>
      </c>
      <c r="J5460" s="1">
        <v>1.5</v>
      </c>
      <c r="K5460" s="1">
        <v>1</v>
      </c>
      <c r="L5460" s="1">
        <v>1</v>
      </c>
      <c r="M5460" s="1">
        <v>907</v>
      </c>
      <c r="N5460" s="1">
        <v>828</v>
      </c>
      <c r="O5460" s="1">
        <v>2094</v>
      </c>
      <c r="P5460" s="1">
        <v>1266</v>
      </c>
      <c r="Q5460" s="1" t="s">
        <v>42</v>
      </c>
      <c r="S5460" s="1" t="s">
        <v>42</v>
      </c>
      <c r="T5460" s="1" t="s">
        <v>273</v>
      </c>
      <c r="U5460" s="1">
        <v>226</v>
      </c>
      <c r="V5460" s="5">
        <v>43886</v>
      </c>
      <c r="W5460" s="5">
        <v>43512</v>
      </c>
      <c r="X5460" s="1">
        <v>1111075</v>
      </c>
      <c r="Y5460" s="1">
        <v>1111075</v>
      </c>
      <c r="Z5460" s="5">
        <v>43768</v>
      </c>
      <c r="AA5460" s="1">
        <v>1065000</v>
      </c>
      <c r="AB5460" s="1" t="s">
        <v>275</v>
      </c>
      <c r="AC5460" s="5">
        <v>43876</v>
      </c>
      <c r="AF5460" s="1">
        <v>10002</v>
      </c>
      <c r="AI5460" s="1" t="s">
        <v>135</v>
      </c>
      <c r="AJ5460" s="1">
        <v>2017</v>
      </c>
      <c r="AL5460" s="1">
        <v>20</v>
      </c>
    </row>
    <row r="5461" spans="1:38" x14ac:dyDescent="0.2">
      <c r="A5461" s="2" t="str">
        <f>HYPERLINK("https://www.compass.com/listing/5-beekman-street-unit-37a-manhattan-ny-10038/38909738649423153/","5 Beekman St, Unit 37A")</f>
        <v>5 Beekman St, Unit 37A</v>
      </c>
      <c r="B5461" s="2" t="str">
        <f t="shared" ref="B5461:B5462" si="912">HYPERLINK("https://www.compass.com/building/the-beekman-residences-manhattan-ny/282030567363458613/","The Beekman Residences")</f>
        <v>The Beekman Residences</v>
      </c>
      <c r="C5461" s="1" t="s">
        <v>96</v>
      </c>
      <c r="D5461" s="1" t="s">
        <v>41</v>
      </c>
      <c r="E5461" s="3">
        <v>2750000</v>
      </c>
      <c r="F5461" s="1">
        <v>1974.1564967695599</v>
      </c>
      <c r="G5461" s="1">
        <v>4</v>
      </c>
      <c r="H5461" s="1">
        <v>2</v>
      </c>
      <c r="I5461" s="1">
        <v>3</v>
      </c>
      <c r="J5461" s="1">
        <v>2.5</v>
      </c>
      <c r="M5461" s="4">
        <v>1393</v>
      </c>
      <c r="N5461" s="1">
        <v>1933</v>
      </c>
      <c r="O5461" s="1">
        <v>4571</v>
      </c>
      <c r="P5461" s="1">
        <v>2638</v>
      </c>
      <c r="Q5461" s="1" t="s">
        <v>42</v>
      </c>
      <c r="S5461" s="1" t="s">
        <v>42</v>
      </c>
      <c r="T5461" s="1" t="s">
        <v>273</v>
      </c>
      <c r="U5461" s="1">
        <v>51</v>
      </c>
      <c r="V5461" s="5">
        <v>43636</v>
      </c>
      <c r="W5461" s="5">
        <v>43306</v>
      </c>
      <c r="X5461" s="1">
        <v>2900000</v>
      </c>
      <c r="Y5461" s="1">
        <v>2900000</v>
      </c>
      <c r="Z5461" s="5">
        <v>43357</v>
      </c>
      <c r="AA5461" s="1">
        <v>2750000</v>
      </c>
      <c r="AB5461" s="1" t="s">
        <v>275</v>
      </c>
      <c r="AC5461" s="5">
        <v>43397</v>
      </c>
      <c r="AF5461" s="1">
        <v>10038</v>
      </c>
      <c r="AI5461" s="1" t="s">
        <v>140</v>
      </c>
      <c r="AJ5461" s="1">
        <v>2015</v>
      </c>
      <c r="AK5461" s="1" t="s">
        <v>49</v>
      </c>
      <c r="AL5461" s="1">
        <v>67</v>
      </c>
    </row>
    <row r="5462" spans="1:38" x14ac:dyDescent="0.2">
      <c r="A5462" s="2" t="str">
        <f>HYPERLINK("https://www.compass.com/listing/5-beekman-street-unit-17b-manhattan-ny-10038/29357222177926897/","5 Beekman St, Unit 17B")</f>
        <v>5 Beekman St, Unit 17B</v>
      </c>
      <c r="B5462" s="2" t="str">
        <f t="shared" si="912"/>
        <v>The Beekman Residences</v>
      </c>
      <c r="C5462" s="1" t="s">
        <v>96</v>
      </c>
      <c r="D5462" s="1" t="s">
        <v>41</v>
      </c>
      <c r="E5462" s="3">
        <v>1900000</v>
      </c>
      <c r="F5462" s="1">
        <v>2222.2222222222199</v>
      </c>
      <c r="G5462" s="1">
        <v>3</v>
      </c>
      <c r="H5462" s="1">
        <v>1</v>
      </c>
      <c r="I5462" s="1">
        <v>1</v>
      </c>
      <c r="J5462" s="1">
        <v>1</v>
      </c>
      <c r="M5462" s="1">
        <v>855</v>
      </c>
      <c r="N5462" s="1">
        <v>1186</v>
      </c>
      <c r="O5462" s="1">
        <v>2519</v>
      </c>
      <c r="P5462" s="1">
        <v>1333</v>
      </c>
      <c r="Q5462" s="1" t="s">
        <v>42</v>
      </c>
      <c r="S5462" s="1" t="s">
        <v>42</v>
      </c>
      <c r="T5462" s="1" t="s">
        <v>273</v>
      </c>
      <c r="U5462" s="1">
        <v>267</v>
      </c>
      <c r="V5462" s="5">
        <v>43694</v>
      </c>
      <c r="W5462" s="5">
        <v>42910</v>
      </c>
      <c r="X5462" s="1">
        <v>2125000</v>
      </c>
      <c r="Y5462" s="1">
        <v>1900000</v>
      </c>
      <c r="Z5462" s="5">
        <v>43177</v>
      </c>
      <c r="AA5462" s="1">
        <v>1900000</v>
      </c>
      <c r="AB5462" s="1" t="s">
        <v>275</v>
      </c>
      <c r="AC5462" s="5">
        <v>43194</v>
      </c>
      <c r="AF5462" s="1">
        <v>10038</v>
      </c>
      <c r="AI5462" s="1" t="s">
        <v>140</v>
      </c>
      <c r="AJ5462" s="1">
        <v>2015</v>
      </c>
      <c r="AK5462" s="1" t="s">
        <v>49</v>
      </c>
      <c r="AL5462" s="1">
        <v>67</v>
      </c>
    </row>
    <row r="5463" spans="1:38" x14ac:dyDescent="0.2">
      <c r="A5463" s="2" t="str">
        <f>HYPERLINK("https://www.compass.com/listing/196-orchard-street-unit-4j-manhattan-ny-10002/432161500175143937/","196 Orchard St, Unit 4J")</f>
        <v>196 Orchard St, Unit 4J</v>
      </c>
      <c r="B5463" s="2" t="str">
        <f>HYPERLINK("https://www.compass.com/building/196-orchard-st-manhattan-ny-10002/281886194713760485/","196 Orchard St")</f>
        <v>196 Orchard St</v>
      </c>
      <c r="C5463" s="1" t="s">
        <v>47</v>
      </c>
      <c r="D5463" s="1" t="s">
        <v>41</v>
      </c>
      <c r="E5463" s="3">
        <v>1217827</v>
      </c>
      <c r="F5463" s="1">
        <v>1606.63192612137</v>
      </c>
      <c r="H5463" s="1">
        <v>1</v>
      </c>
      <c r="I5463" s="1">
        <v>1</v>
      </c>
      <c r="J5463" s="1">
        <v>1</v>
      </c>
      <c r="K5463" s="1">
        <v>1</v>
      </c>
      <c r="M5463" s="1">
        <v>758</v>
      </c>
      <c r="N5463" s="1">
        <v>1006</v>
      </c>
      <c r="O5463" s="1">
        <v>2004</v>
      </c>
      <c r="P5463" s="1">
        <v>998</v>
      </c>
      <c r="Q5463" s="1" t="s">
        <v>42</v>
      </c>
      <c r="S5463" s="1" t="s">
        <v>42</v>
      </c>
      <c r="T5463" s="1" t="s">
        <v>273</v>
      </c>
      <c r="V5463" s="5">
        <v>44248</v>
      </c>
      <c r="W5463" s="5">
        <v>43848</v>
      </c>
      <c r="X5463" s="1">
        <v>1495000</v>
      </c>
      <c r="Y5463" s="1">
        <v>1495000</v>
      </c>
      <c r="Z5463" s="5">
        <v>43848</v>
      </c>
      <c r="AA5463" s="1">
        <v>1217827</v>
      </c>
      <c r="AB5463" s="1" t="s">
        <v>3860</v>
      </c>
      <c r="AC5463" s="5">
        <v>43861</v>
      </c>
      <c r="AF5463" s="1">
        <v>10002</v>
      </c>
      <c r="AI5463" s="1" t="s">
        <v>165</v>
      </c>
      <c r="AJ5463" s="1">
        <v>2018</v>
      </c>
      <c r="AK5463" s="1" t="s">
        <v>125</v>
      </c>
      <c r="AL5463" s="1">
        <v>89</v>
      </c>
    </row>
    <row r="5464" spans="1:38" x14ac:dyDescent="0.2">
      <c r="A5464" s="2" t="str">
        <f>HYPERLINK("https://www.compass.com/listing/50-clinton-street-unit-4d-manhattan-ny-10002/29360669669260129/","50 Clinton St, Unit 4D")</f>
        <v>50 Clinton St, Unit 4D</v>
      </c>
      <c r="B5464" s="2" t="str">
        <f>HYPERLINK("https://www.compass.com/building/50-clinton-manhattan-ny/281887574832709909/","50 Clinton")</f>
        <v>50 Clinton</v>
      </c>
      <c r="C5464" s="1" t="s">
        <v>47</v>
      </c>
      <c r="D5464" s="1" t="s">
        <v>41</v>
      </c>
      <c r="E5464" s="3">
        <v>2494712</v>
      </c>
      <c r="F5464" s="1">
        <v>2098.1597981496998</v>
      </c>
      <c r="G5464" s="1">
        <v>4</v>
      </c>
      <c r="H5464" s="1">
        <v>2</v>
      </c>
      <c r="I5464" s="1">
        <v>2</v>
      </c>
      <c r="J5464" s="1">
        <v>2</v>
      </c>
      <c r="K5464" s="1">
        <v>2</v>
      </c>
      <c r="M5464" s="4">
        <v>1189</v>
      </c>
      <c r="N5464" s="1">
        <v>1351</v>
      </c>
      <c r="O5464" s="1">
        <v>2371</v>
      </c>
      <c r="Q5464" s="1" t="s">
        <v>158</v>
      </c>
      <c r="S5464" s="1" t="s">
        <v>158</v>
      </c>
      <c r="T5464" s="1" t="s">
        <v>273</v>
      </c>
      <c r="U5464" s="1">
        <v>68</v>
      </c>
      <c r="V5464" s="5">
        <v>43746</v>
      </c>
      <c r="W5464" s="5">
        <v>42104</v>
      </c>
      <c r="X5464" s="1">
        <v>2450000</v>
      </c>
      <c r="Y5464" s="1">
        <v>2450000</v>
      </c>
      <c r="Z5464" s="5">
        <v>42488</v>
      </c>
      <c r="AA5464" s="1">
        <v>2494712.5</v>
      </c>
      <c r="AB5464" s="1" t="s">
        <v>3861</v>
      </c>
      <c r="AC5464" s="5">
        <v>43126</v>
      </c>
      <c r="AF5464" s="1">
        <v>10002</v>
      </c>
      <c r="AI5464" s="1" t="s">
        <v>211</v>
      </c>
      <c r="AJ5464" s="1">
        <v>2016</v>
      </c>
      <c r="AK5464" s="1" t="s">
        <v>46</v>
      </c>
      <c r="AL5464" s="1">
        <v>37</v>
      </c>
    </row>
    <row r="5465" spans="1:38" x14ac:dyDescent="0.2">
      <c r="A5465" s="2" t="str">
        <f>HYPERLINK("https://www.compass.com/listing/50-west-street-unit-20a-manhattan-ny-10006/29355203727788145/","50 West St, Unit 20A")</f>
        <v>50 West St, Unit 20A</v>
      </c>
      <c r="B5465" s="2" t="str">
        <f t="shared" ref="B5465:B5471" si="913">HYPERLINK("https://www.compass.com/building/50-west-st-manhattan-ny-10006/281896342152815429/","50 West St")</f>
        <v>50 West St</v>
      </c>
      <c r="C5465" s="1" t="s">
        <v>96</v>
      </c>
      <c r="D5465" s="1" t="s">
        <v>41</v>
      </c>
      <c r="E5465" s="3">
        <v>1710660</v>
      </c>
      <c r="F5465" s="1">
        <v>1465.86118251928</v>
      </c>
      <c r="H5465" s="1">
        <v>1</v>
      </c>
      <c r="J5465" s="1">
        <v>1.5</v>
      </c>
      <c r="K5465" s="1">
        <v>1</v>
      </c>
      <c r="L5465" s="1">
        <v>1</v>
      </c>
      <c r="M5465" s="4">
        <v>1167</v>
      </c>
      <c r="N5465" s="1">
        <v>1338.42</v>
      </c>
      <c r="O5465" s="1">
        <v>2830.88</v>
      </c>
      <c r="P5465" s="1">
        <v>1492.5</v>
      </c>
      <c r="Q5465" s="1" t="s">
        <v>42</v>
      </c>
      <c r="S5465" s="1" t="s">
        <v>42</v>
      </c>
      <c r="T5465" s="1" t="s">
        <v>273</v>
      </c>
      <c r="AA5465" s="1">
        <v>1710660</v>
      </c>
      <c r="AB5465" s="1" t="s">
        <v>3862</v>
      </c>
      <c r="AC5465" s="5">
        <v>42789</v>
      </c>
      <c r="AF5465" s="1">
        <v>10006</v>
      </c>
      <c r="AI5465" s="1" t="s">
        <v>97</v>
      </c>
      <c r="AJ5465" s="1">
        <v>2016</v>
      </c>
      <c r="AK5465" s="1" t="s">
        <v>49</v>
      </c>
      <c r="AL5465" s="1">
        <v>186</v>
      </c>
    </row>
    <row r="5466" spans="1:38" x14ac:dyDescent="0.2">
      <c r="A5466" s="2" t="str">
        <f>HYPERLINK("https://www.compass.com/listing/50-west-street-unit-26a-manhattan-ny-10006/29355207829817521/","50 West St, Unit 26A")</f>
        <v>50 West St, Unit 26A</v>
      </c>
      <c r="B5466" s="2" t="str">
        <f t="shared" si="913"/>
        <v>50 West St</v>
      </c>
      <c r="C5466" s="1" t="s">
        <v>96</v>
      </c>
      <c r="D5466" s="1" t="s">
        <v>41</v>
      </c>
      <c r="E5466" s="3">
        <v>1899036</v>
      </c>
      <c r="F5466" s="1">
        <v>1627.28041988003</v>
      </c>
      <c r="H5466" s="1">
        <v>1</v>
      </c>
      <c r="J5466" s="1">
        <v>1.5</v>
      </c>
      <c r="K5466" s="1">
        <v>1</v>
      </c>
      <c r="L5466" s="1">
        <v>1</v>
      </c>
      <c r="M5466" s="4">
        <v>1167</v>
      </c>
      <c r="N5466" s="1">
        <v>1375</v>
      </c>
      <c r="O5466" s="1">
        <v>3426</v>
      </c>
      <c r="P5466" s="1">
        <v>2051</v>
      </c>
      <c r="Q5466" s="1" t="s">
        <v>42</v>
      </c>
      <c r="S5466" s="1" t="s">
        <v>42</v>
      </c>
      <c r="T5466" s="1" t="s">
        <v>273</v>
      </c>
      <c r="AA5466" s="1">
        <v>1899036.25</v>
      </c>
      <c r="AB5466" s="1" t="s">
        <v>3863</v>
      </c>
      <c r="AC5466" s="5">
        <v>42755</v>
      </c>
      <c r="AF5466" s="1">
        <v>10006</v>
      </c>
      <c r="AI5466" s="1" t="s">
        <v>97</v>
      </c>
      <c r="AJ5466" s="1">
        <v>2016</v>
      </c>
      <c r="AK5466" s="1" t="s">
        <v>49</v>
      </c>
      <c r="AL5466" s="1">
        <v>186</v>
      </c>
    </row>
    <row r="5467" spans="1:38" x14ac:dyDescent="0.2">
      <c r="A5467" s="2" t="str">
        <f>HYPERLINK("https://www.compass.com/listing/50-west-street-unit-31a-manhattan-ny-10006/29355210413474561/","50 West St, Unit 31A")</f>
        <v>50 West St, Unit 31A</v>
      </c>
      <c r="B5467" s="2" t="str">
        <f t="shared" si="913"/>
        <v>50 West St</v>
      </c>
      <c r="C5467" s="1" t="s">
        <v>96</v>
      </c>
      <c r="D5467" s="1" t="s">
        <v>41</v>
      </c>
      <c r="E5467" s="3">
        <v>2835826</v>
      </c>
      <c r="F5467" s="1">
        <v>1706.27331528279</v>
      </c>
      <c r="H5467" s="1">
        <v>2</v>
      </c>
      <c r="J5467" s="1">
        <v>2</v>
      </c>
      <c r="M5467" s="4">
        <v>1662</v>
      </c>
      <c r="N5467" s="1">
        <v>1968</v>
      </c>
      <c r="O5467" s="1">
        <v>4163</v>
      </c>
      <c r="P5467" s="1">
        <v>2195</v>
      </c>
      <c r="Q5467" s="1" t="s">
        <v>42</v>
      </c>
      <c r="S5467" s="1" t="s">
        <v>42</v>
      </c>
      <c r="T5467" s="1" t="s">
        <v>273</v>
      </c>
      <c r="AA5467" s="1">
        <v>2835826.25</v>
      </c>
      <c r="AB5467" s="1" t="s">
        <v>3864</v>
      </c>
      <c r="AC5467" s="5">
        <v>42807</v>
      </c>
      <c r="AF5467" s="1">
        <v>10006</v>
      </c>
      <c r="AI5467" s="1" t="s">
        <v>97</v>
      </c>
      <c r="AJ5467" s="1">
        <v>2016</v>
      </c>
      <c r="AK5467" s="1" t="s">
        <v>49</v>
      </c>
      <c r="AL5467" s="1">
        <v>186</v>
      </c>
    </row>
    <row r="5468" spans="1:38" x14ac:dyDescent="0.2">
      <c r="A5468" s="2" t="str">
        <f>HYPERLINK("https://www.compass.com/listing/50-west-street-unit-35a-manhattan-ny-10006/29355214087716801/","50 West St, Unit 35A")</f>
        <v>50 West St, Unit 35A</v>
      </c>
      <c r="B5468" s="2" t="str">
        <f t="shared" si="913"/>
        <v>50 West St</v>
      </c>
      <c r="C5468" s="1" t="s">
        <v>96</v>
      </c>
      <c r="D5468" s="1" t="s">
        <v>41</v>
      </c>
      <c r="E5468" s="3">
        <v>3024203</v>
      </c>
      <c r="F5468" s="1">
        <v>1841.7798416565099</v>
      </c>
      <c r="H5468" s="1">
        <v>2</v>
      </c>
      <c r="J5468" s="1">
        <v>2.5</v>
      </c>
      <c r="K5468" s="1">
        <v>2</v>
      </c>
      <c r="L5468" s="1">
        <v>1</v>
      </c>
      <c r="M5468" s="4">
        <v>1642</v>
      </c>
      <c r="Q5468" s="1" t="s">
        <v>42</v>
      </c>
      <c r="S5468" s="1" t="s">
        <v>42</v>
      </c>
      <c r="T5468" s="1" t="s">
        <v>273</v>
      </c>
      <c r="AA5468" s="1">
        <v>3024202.5</v>
      </c>
      <c r="AB5468" s="1" t="s">
        <v>3865</v>
      </c>
      <c r="AC5468" s="5">
        <v>42814</v>
      </c>
      <c r="AF5468" s="1">
        <v>10006</v>
      </c>
      <c r="AI5468" s="1" t="s">
        <v>97</v>
      </c>
      <c r="AJ5468" s="1">
        <v>2016</v>
      </c>
      <c r="AK5468" s="1" t="s">
        <v>49</v>
      </c>
      <c r="AL5468" s="1">
        <v>186</v>
      </c>
    </row>
    <row r="5469" spans="1:38" x14ac:dyDescent="0.2">
      <c r="A5469" s="2" t="str">
        <f>HYPERLINK("https://www.compass.com/listing/50-west-street-unit-47d-manhattan-ny-10006/29355227694041617/","50 West St, Unit 47D")</f>
        <v>50 West St, Unit 47D</v>
      </c>
      <c r="B5469" s="2" t="str">
        <f t="shared" si="913"/>
        <v>50 West St</v>
      </c>
      <c r="C5469" s="1" t="s">
        <v>96</v>
      </c>
      <c r="D5469" s="1" t="s">
        <v>41</v>
      </c>
      <c r="E5469" s="3">
        <v>2545625</v>
      </c>
      <c r="F5469" s="1">
        <v>2023.54928457869</v>
      </c>
      <c r="H5469" s="1">
        <v>1</v>
      </c>
      <c r="J5469" s="1">
        <v>2</v>
      </c>
      <c r="K5469" s="1">
        <v>2</v>
      </c>
      <c r="M5469" s="4">
        <v>1258</v>
      </c>
      <c r="N5469" s="1">
        <v>1624</v>
      </c>
      <c r="O5469" s="1">
        <v>3435</v>
      </c>
      <c r="P5469" s="1">
        <v>1811</v>
      </c>
      <c r="Q5469" s="1" t="s">
        <v>42</v>
      </c>
      <c r="S5469" s="1" t="s">
        <v>42</v>
      </c>
      <c r="T5469" s="1" t="s">
        <v>273</v>
      </c>
      <c r="AA5469" s="1">
        <v>2545625</v>
      </c>
      <c r="AB5469" s="1" t="s">
        <v>3866</v>
      </c>
      <c r="AC5469" s="5">
        <v>43019</v>
      </c>
      <c r="AF5469" s="1">
        <v>10006</v>
      </c>
      <c r="AI5469" s="1" t="s">
        <v>97</v>
      </c>
      <c r="AJ5469" s="1">
        <v>2016</v>
      </c>
      <c r="AK5469" s="1" t="s">
        <v>49</v>
      </c>
      <c r="AL5469" s="1">
        <v>186</v>
      </c>
    </row>
    <row r="5470" spans="1:38" x14ac:dyDescent="0.2">
      <c r="A5470" s="2" t="str">
        <f>HYPERLINK("https://www.compass.com/listing/50-west-street-unit-11a-manhattan-ny-10006/29512669912417905/","50 West St, Unit 11A")</f>
        <v>50 West St, Unit 11A</v>
      </c>
      <c r="B5470" s="2" t="str">
        <f t="shared" si="913"/>
        <v>50 West St</v>
      </c>
      <c r="C5470" s="1" t="s">
        <v>96</v>
      </c>
      <c r="D5470" s="1" t="s">
        <v>41</v>
      </c>
      <c r="E5470" s="3">
        <v>1507010</v>
      </c>
      <c r="F5470" s="1">
        <v>1291.35389888603</v>
      </c>
      <c r="H5470" s="1">
        <v>1</v>
      </c>
      <c r="J5470" s="1">
        <v>1.5</v>
      </c>
      <c r="K5470" s="1">
        <v>1</v>
      </c>
      <c r="L5470" s="1">
        <v>1</v>
      </c>
      <c r="M5470" s="4">
        <v>1167</v>
      </c>
      <c r="N5470" s="1">
        <v>1289</v>
      </c>
      <c r="O5470" s="1">
        <v>3255</v>
      </c>
      <c r="P5470" s="1">
        <v>1966</v>
      </c>
      <c r="Q5470" s="1" t="s">
        <v>42</v>
      </c>
      <c r="S5470" s="1" t="s">
        <v>42</v>
      </c>
      <c r="T5470" s="1" t="s">
        <v>273</v>
      </c>
      <c r="AA5470" s="1">
        <v>1507010</v>
      </c>
      <c r="AB5470" s="1" t="s">
        <v>3867</v>
      </c>
      <c r="AC5470" s="5">
        <v>42793</v>
      </c>
      <c r="AF5470" s="1">
        <v>10006</v>
      </c>
      <c r="AI5470" s="1" t="s">
        <v>97</v>
      </c>
      <c r="AJ5470" s="1">
        <v>2016</v>
      </c>
      <c r="AK5470" s="1" t="s">
        <v>49</v>
      </c>
      <c r="AL5470" s="1">
        <v>186</v>
      </c>
    </row>
    <row r="5471" spans="1:38" x14ac:dyDescent="0.2">
      <c r="A5471" s="2" t="str">
        <f>HYPERLINK("https://www.compass.com/listing/50-west-street-unit-19a-manhattan-ny-10006/29512670256386433/","50 West St, Unit 19A")</f>
        <v>50 West St, Unit 19A</v>
      </c>
      <c r="B5471" s="2" t="str">
        <f t="shared" si="913"/>
        <v>50 West St</v>
      </c>
      <c r="C5471" s="1" t="s">
        <v>96</v>
      </c>
      <c r="D5471" s="1" t="s">
        <v>41</v>
      </c>
      <c r="E5471" s="3">
        <v>2647450</v>
      </c>
      <c r="F5471" s="1">
        <v>1592.9302045728</v>
      </c>
      <c r="H5471" s="1">
        <v>2</v>
      </c>
      <c r="J5471" s="1">
        <v>2.5</v>
      </c>
      <c r="K5471" s="1">
        <v>2</v>
      </c>
      <c r="L5471" s="1">
        <v>1</v>
      </c>
      <c r="M5471" s="4">
        <v>1662</v>
      </c>
      <c r="N5471" s="1">
        <v>1903</v>
      </c>
      <c r="O5471" s="1">
        <v>3903</v>
      </c>
      <c r="P5471" s="1">
        <v>2000</v>
      </c>
      <c r="Q5471" s="1" t="s">
        <v>42</v>
      </c>
      <c r="S5471" s="1" t="s">
        <v>42</v>
      </c>
      <c r="T5471" s="1" t="s">
        <v>273</v>
      </c>
      <c r="AA5471" s="1">
        <v>2647450</v>
      </c>
      <c r="AB5471" s="1" t="s">
        <v>3868</v>
      </c>
      <c r="AC5471" s="5">
        <v>42782</v>
      </c>
      <c r="AF5471" s="1">
        <v>10006</v>
      </c>
      <c r="AI5471" s="1" t="s">
        <v>97</v>
      </c>
      <c r="AJ5471" s="1">
        <v>2016</v>
      </c>
      <c r="AK5471" s="1" t="s">
        <v>49</v>
      </c>
      <c r="AL5471" s="1">
        <v>186</v>
      </c>
    </row>
    <row r="5472" spans="1:38" x14ac:dyDescent="0.2">
      <c r="A5472" s="2" t="str">
        <f>HYPERLINK("https://www.compass.com/listing/50-clinton-street-unit-6b-manhattan-ny-10002/22503173788812497/","50 Clinton St, Unit 6B")</f>
        <v>50 Clinton St, Unit 6B</v>
      </c>
      <c r="B5472" s="2" t="str">
        <f t="shared" ref="B5472:B5475" si="914">HYPERLINK("https://www.compass.com/building/50-clinton-manhattan-ny/281887574832709909/","50 Clinton")</f>
        <v>50 Clinton</v>
      </c>
      <c r="C5472" s="1" t="s">
        <v>47</v>
      </c>
      <c r="D5472" s="1" t="s">
        <v>41</v>
      </c>
      <c r="E5472" s="3">
        <v>1420459</v>
      </c>
      <c r="F5472" s="1">
        <v>2168.63931297709</v>
      </c>
      <c r="G5472" s="1">
        <v>3</v>
      </c>
      <c r="H5472" s="1">
        <v>1</v>
      </c>
      <c r="I5472" s="1">
        <v>1</v>
      </c>
      <c r="J5472" s="1">
        <v>1</v>
      </c>
      <c r="K5472" s="1">
        <v>1</v>
      </c>
      <c r="M5472" s="1">
        <v>655</v>
      </c>
      <c r="N5472" s="1">
        <v>746</v>
      </c>
      <c r="O5472" s="1">
        <v>1306</v>
      </c>
      <c r="P5472" s="1">
        <v>560</v>
      </c>
      <c r="Q5472" s="1" t="s">
        <v>42</v>
      </c>
      <c r="S5472" s="1" t="s">
        <v>42</v>
      </c>
      <c r="T5472" s="1" t="s">
        <v>273</v>
      </c>
      <c r="U5472" s="1">
        <v>52</v>
      </c>
      <c r="V5472" s="5">
        <v>44378</v>
      </c>
      <c r="W5472" s="5">
        <v>42425</v>
      </c>
      <c r="X5472" s="1">
        <v>1375000</v>
      </c>
      <c r="Y5472" s="1">
        <v>1375000</v>
      </c>
      <c r="Z5472" s="5">
        <v>42477</v>
      </c>
      <c r="AA5472" s="1">
        <v>1420458.75</v>
      </c>
      <c r="AB5472" s="1" t="s">
        <v>3869</v>
      </c>
      <c r="AC5472" s="5">
        <v>43080</v>
      </c>
      <c r="AF5472" s="1">
        <v>10002</v>
      </c>
      <c r="AI5472" s="1" t="s">
        <v>48</v>
      </c>
      <c r="AJ5472" s="1">
        <v>2016</v>
      </c>
      <c r="AK5472" s="1" t="s">
        <v>49</v>
      </c>
      <c r="AL5472" s="1">
        <v>37</v>
      </c>
    </row>
    <row r="5473" spans="1:38" x14ac:dyDescent="0.2">
      <c r="A5473" s="2" t="str">
        <f>HYPERLINK("https://www.compass.com/listing/50-clinton-street-unit-4b-manhattan-ny-10002/29360668738164913/","50 Clinton St, Unit 4B")</f>
        <v>50 Clinton St, Unit 4B</v>
      </c>
      <c r="B5473" s="2" t="str">
        <f t="shared" si="914"/>
        <v>50 Clinton</v>
      </c>
      <c r="C5473" s="1" t="s">
        <v>47</v>
      </c>
      <c r="D5473" s="1" t="s">
        <v>41</v>
      </c>
      <c r="E5473" s="3">
        <v>1374638</v>
      </c>
      <c r="F5473" s="1">
        <v>2098.6839694656401</v>
      </c>
      <c r="G5473" s="1">
        <v>3</v>
      </c>
      <c r="H5473" s="1">
        <v>1</v>
      </c>
      <c r="I5473" s="1">
        <v>1</v>
      </c>
      <c r="J5473" s="1">
        <v>1</v>
      </c>
      <c r="M5473" s="1">
        <v>655</v>
      </c>
      <c r="N5473" s="1">
        <v>746</v>
      </c>
      <c r="O5473" s="1">
        <v>1306</v>
      </c>
      <c r="P5473" s="1">
        <v>560</v>
      </c>
      <c r="Q5473" s="1" t="s">
        <v>42</v>
      </c>
      <c r="S5473" s="1" t="s">
        <v>42</v>
      </c>
      <c r="T5473" s="1" t="s">
        <v>273</v>
      </c>
      <c r="U5473" s="1">
        <v>173</v>
      </c>
      <c r="V5473" s="5">
        <v>43650</v>
      </c>
      <c r="W5473" s="5">
        <v>42771</v>
      </c>
      <c r="X5473" s="1">
        <v>1350000</v>
      </c>
      <c r="Y5473" s="1">
        <v>1350000</v>
      </c>
      <c r="Z5473" s="5">
        <v>42944</v>
      </c>
      <c r="AA5473" s="1">
        <v>1374638</v>
      </c>
      <c r="AB5473" s="1" t="s">
        <v>3870</v>
      </c>
      <c r="AC5473" s="5">
        <v>42992</v>
      </c>
      <c r="AF5473" s="1">
        <v>10002</v>
      </c>
      <c r="AI5473" s="1" t="s">
        <v>48</v>
      </c>
      <c r="AJ5473" s="1">
        <v>2016</v>
      </c>
      <c r="AK5473" s="1" t="s">
        <v>49</v>
      </c>
      <c r="AL5473" s="1">
        <v>37</v>
      </c>
    </row>
    <row r="5474" spans="1:38" x14ac:dyDescent="0.2">
      <c r="A5474" s="2" t="str">
        <f>HYPERLINK("https://www.compass.com/listing/50-clinton-street-unit-6f-manhattan-ny-10002/783614878051513505/","50 Clinton St, Unit 6F")</f>
        <v>50 Clinton St, Unit 6F</v>
      </c>
      <c r="B5474" s="2" t="str">
        <f t="shared" si="914"/>
        <v>50 Clinton</v>
      </c>
      <c r="C5474" s="1" t="s">
        <v>47</v>
      </c>
      <c r="D5474" s="1" t="s">
        <v>41</v>
      </c>
      <c r="E5474" s="3">
        <v>1400094</v>
      </c>
      <c r="F5474" s="1">
        <v>2153.9903846153802</v>
      </c>
      <c r="G5474" s="1">
        <v>4</v>
      </c>
      <c r="H5474" s="1">
        <v>1</v>
      </c>
      <c r="I5474" s="1">
        <v>1</v>
      </c>
      <c r="J5474" s="1">
        <v>1</v>
      </c>
      <c r="K5474" s="1">
        <v>1</v>
      </c>
      <c r="M5474" s="1">
        <v>650</v>
      </c>
      <c r="N5474" s="1">
        <v>737</v>
      </c>
      <c r="O5474" s="1">
        <v>1293</v>
      </c>
      <c r="P5474" s="1">
        <v>556</v>
      </c>
      <c r="Q5474" s="1" t="s">
        <v>42</v>
      </c>
      <c r="S5474" s="1" t="s">
        <v>42</v>
      </c>
      <c r="T5474" s="1" t="s">
        <v>273</v>
      </c>
      <c r="U5474" s="1">
        <v>268</v>
      </c>
      <c r="V5474" s="5">
        <v>44314</v>
      </c>
      <c r="W5474" s="5">
        <v>42359</v>
      </c>
      <c r="X5474" s="1">
        <v>1375000</v>
      </c>
      <c r="Y5474" s="1">
        <v>1375000</v>
      </c>
      <c r="Z5474" s="5">
        <v>42627</v>
      </c>
      <c r="AA5474" s="1">
        <v>1400093.75</v>
      </c>
      <c r="AB5474" s="1" t="s">
        <v>3871</v>
      </c>
      <c r="AC5474" s="5">
        <v>43117</v>
      </c>
      <c r="AF5474" s="1">
        <v>10002</v>
      </c>
      <c r="AI5474" s="1" t="s">
        <v>48</v>
      </c>
      <c r="AJ5474" s="1">
        <v>2016</v>
      </c>
      <c r="AK5474" s="1" t="s">
        <v>49</v>
      </c>
      <c r="AL5474" s="1">
        <v>37</v>
      </c>
    </row>
    <row r="5475" spans="1:38" x14ac:dyDescent="0.2">
      <c r="A5475" s="2" t="str">
        <f>HYPERLINK("https://www.compass.com/listing/50-clinton-street-unit-3a-manhattan-ny-10002/70918622532378753/","50 Clinton St, Unit 3A")</f>
        <v>50 Clinton St, Unit 3A</v>
      </c>
      <c r="B5475" s="2" t="str">
        <f t="shared" si="914"/>
        <v>50 Clinton</v>
      </c>
      <c r="C5475" s="1" t="s">
        <v>47</v>
      </c>
      <c r="D5475" s="1" t="s">
        <v>41</v>
      </c>
      <c r="E5475" s="3">
        <v>1909219</v>
      </c>
      <c r="F5475" s="1">
        <v>1990.84358706986</v>
      </c>
      <c r="G5475" s="1">
        <v>4</v>
      </c>
      <c r="H5475" s="1">
        <v>2</v>
      </c>
      <c r="I5475" s="1">
        <v>2</v>
      </c>
      <c r="J5475" s="1">
        <v>2</v>
      </c>
      <c r="K5475" s="1">
        <v>2</v>
      </c>
      <c r="M5475" s="1">
        <v>959</v>
      </c>
      <c r="N5475" s="1">
        <v>1089</v>
      </c>
      <c r="O5475" s="1">
        <v>1912</v>
      </c>
      <c r="P5475" s="1">
        <v>823</v>
      </c>
      <c r="Q5475" s="1" t="s">
        <v>42</v>
      </c>
      <c r="S5475" s="1" t="s">
        <v>42</v>
      </c>
      <c r="T5475" s="1" t="s">
        <v>273</v>
      </c>
      <c r="U5475" s="1">
        <v>62</v>
      </c>
      <c r="V5475" s="5">
        <v>44394</v>
      </c>
      <c r="W5475" s="5">
        <v>42544</v>
      </c>
      <c r="X5475" s="1">
        <v>1875000</v>
      </c>
      <c r="Y5475" s="1">
        <v>1875000</v>
      </c>
      <c r="Z5475" s="5">
        <v>42606</v>
      </c>
      <c r="AA5475" s="1">
        <v>1909219</v>
      </c>
      <c r="AB5475" s="1" t="s">
        <v>3872</v>
      </c>
      <c r="AC5475" s="5">
        <v>42979</v>
      </c>
      <c r="AF5475" s="1">
        <v>10002</v>
      </c>
      <c r="AI5475" s="1" t="s">
        <v>61</v>
      </c>
      <c r="AJ5475" s="1">
        <v>2016</v>
      </c>
      <c r="AK5475" s="1" t="s">
        <v>49</v>
      </c>
      <c r="AL5475" s="1">
        <v>37</v>
      </c>
    </row>
    <row r="5476" spans="1:38" x14ac:dyDescent="0.2">
      <c r="A5476" s="2" t="str">
        <f>HYPERLINK("https://www.compass.com/listing/5-beekman-street-unit-24b-manhattan-ny-10038/50856821686020449/","5 Beekman St, Unit 24B")</f>
        <v>5 Beekman St, Unit 24B</v>
      </c>
      <c r="B5476" s="2" t="str">
        <f>HYPERLINK("https://www.compass.com/building/the-beekman-residences-manhattan-ny/282030567363458613/","The Beekman Residences")</f>
        <v>The Beekman Residences</v>
      </c>
      <c r="C5476" s="1" t="s">
        <v>96</v>
      </c>
      <c r="D5476" s="1" t="s">
        <v>41</v>
      </c>
      <c r="E5476" s="3">
        <v>2011043</v>
      </c>
      <c r="F5476" s="1">
        <v>2352.0970760233899</v>
      </c>
      <c r="G5476" s="1">
        <v>3</v>
      </c>
      <c r="H5476" s="1">
        <v>1</v>
      </c>
      <c r="I5476" s="1">
        <v>1</v>
      </c>
      <c r="J5476" s="1">
        <v>1</v>
      </c>
      <c r="K5476" s="1">
        <v>1</v>
      </c>
      <c r="M5476" s="1">
        <v>855</v>
      </c>
      <c r="N5476" s="1">
        <v>1186</v>
      </c>
      <c r="O5476" s="1">
        <v>2396</v>
      </c>
      <c r="P5476" s="1">
        <v>1210</v>
      </c>
      <c r="Q5476" s="1" t="s">
        <v>42</v>
      </c>
      <c r="S5476" s="1" t="s">
        <v>42</v>
      </c>
      <c r="T5476" s="1" t="s">
        <v>273</v>
      </c>
      <c r="V5476" s="5">
        <v>44225</v>
      </c>
      <c r="W5476" s="5">
        <v>42119</v>
      </c>
      <c r="X5476" s="1">
        <v>1975000</v>
      </c>
      <c r="Y5476" s="1">
        <v>1975000</v>
      </c>
      <c r="Z5476" s="5">
        <v>42119</v>
      </c>
      <c r="AA5476" s="1">
        <v>2011043</v>
      </c>
      <c r="AB5476" s="1" t="s">
        <v>275</v>
      </c>
      <c r="AC5476" s="5">
        <v>42761</v>
      </c>
      <c r="AF5476" s="1">
        <v>10038</v>
      </c>
      <c r="AI5476" s="1" t="s">
        <v>3873</v>
      </c>
      <c r="AJ5476" s="1">
        <v>2015</v>
      </c>
      <c r="AK5476" s="1" t="s">
        <v>49</v>
      </c>
      <c r="AL5476" s="1">
        <v>67</v>
      </c>
    </row>
    <row r="5477" spans="1:38" x14ac:dyDescent="0.2">
      <c r="A5477" s="2" t="str">
        <f>HYPERLINK("https://www.compass.com/listing/196-orchard-street-unit-6m-manhattan-ny-10002/282035676210393825/","196 Orchard St, Unit 6M")</f>
        <v>196 Orchard St, Unit 6M</v>
      </c>
      <c r="B5477" s="2" t="str">
        <f t="shared" ref="B5477:B5479" si="915">HYPERLINK("https://www.compass.com/building/196-orchard-st-manhattan-ny-10002/281886194713760485/","196 Orchard St")</f>
        <v>196 Orchard St</v>
      </c>
      <c r="C5477" s="1" t="s">
        <v>47</v>
      </c>
      <c r="D5477" s="1" t="s">
        <v>41</v>
      </c>
      <c r="E5477" s="3">
        <v>950000</v>
      </c>
      <c r="F5477" s="1">
        <v>1657.9406631762599</v>
      </c>
      <c r="G5477" s="1">
        <v>2</v>
      </c>
      <c r="H5477" s="1" t="s">
        <v>99</v>
      </c>
      <c r="I5477" s="1">
        <v>1</v>
      </c>
      <c r="J5477" s="1">
        <v>1</v>
      </c>
      <c r="K5477" s="1">
        <v>1</v>
      </c>
      <c r="M5477" s="1">
        <v>573</v>
      </c>
      <c r="N5477" s="1">
        <v>761</v>
      </c>
      <c r="O5477" s="1">
        <v>1516</v>
      </c>
      <c r="P5477" s="1">
        <v>755</v>
      </c>
      <c r="Q5477" s="1" t="s">
        <v>42</v>
      </c>
      <c r="S5477" s="1" t="s">
        <v>42</v>
      </c>
      <c r="T5477" s="1" t="s">
        <v>273</v>
      </c>
      <c r="U5477" s="1">
        <v>274</v>
      </c>
      <c r="V5477" s="5">
        <v>44338</v>
      </c>
      <c r="W5477" s="5">
        <v>43405</v>
      </c>
      <c r="X5477" s="1">
        <v>985000</v>
      </c>
      <c r="Y5477" s="1">
        <v>950000</v>
      </c>
      <c r="Z5477" s="5">
        <v>43679</v>
      </c>
      <c r="AA5477" s="1">
        <v>950000</v>
      </c>
      <c r="AB5477" s="1" t="s">
        <v>3874</v>
      </c>
      <c r="AC5477" s="5">
        <v>43696</v>
      </c>
      <c r="AF5477" s="1">
        <v>10002</v>
      </c>
      <c r="AI5477" s="1" t="s">
        <v>223</v>
      </c>
      <c r="AJ5477" s="1">
        <v>2018</v>
      </c>
      <c r="AK5477" s="1" t="s">
        <v>46</v>
      </c>
      <c r="AL5477" s="1">
        <v>89</v>
      </c>
    </row>
    <row r="5478" spans="1:38" x14ac:dyDescent="0.2">
      <c r="A5478" s="2" t="str">
        <f>HYPERLINK("https://www.compass.com/listing/196-orchard-street-unit-6n-manhattan-ny-10002/803337357914774593/","196 Orchard St, Unit 6N")</f>
        <v>196 Orchard St, Unit 6N</v>
      </c>
      <c r="B5478" s="2" t="str">
        <f t="shared" si="915"/>
        <v>196 Orchard St</v>
      </c>
      <c r="C5478" s="1" t="s">
        <v>47</v>
      </c>
      <c r="D5478" s="1" t="s">
        <v>41</v>
      </c>
      <c r="E5478" s="3">
        <v>965000</v>
      </c>
      <c r="F5478" s="1">
        <v>1605.6572379367699</v>
      </c>
      <c r="G5478" s="1">
        <v>2</v>
      </c>
      <c r="H5478" s="1" t="s">
        <v>99</v>
      </c>
      <c r="I5478" s="1">
        <v>1</v>
      </c>
      <c r="J5478" s="1">
        <v>1</v>
      </c>
      <c r="K5478" s="1">
        <v>1</v>
      </c>
      <c r="M5478" s="1">
        <v>601</v>
      </c>
      <c r="N5478" s="1">
        <v>798</v>
      </c>
      <c r="O5478" s="1">
        <v>1590</v>
      </c>
      <c r="P5478" s="1">
        <v>792</v>
      </c>
      <c r="Q5478" s="1" t="s">
        <v>42</v>
      </c>
      <c r="S5478" s="1" t="s">
        <v>42</v>
      </c>
      <c r="T5478" s="1" t="s">
        <v>273</v>
      </c>
      <c r="U5478" s="1">
        <v>181</v>
      </c>
      <c r="V5478" s="5">
        <v>44338</v>
      </c>
      <c r="W5478" s="5">
        <v>43196</v>
      </c>
      <c r="X5478" s="1">
        <v>1120000</v>
      </c>
      <c r="Y5478" s="1">
        <v>1120000</v>
      </c>
      <c r="Z5478" s="5">
        <v>43379</v>
      </c>
      <c r="AA5478" s="1">
        <v>965000</v>
      </c>
      <c r="AB5478" s="1" t="s">
        <v>3875</v>
      </c>
      <c r="AC5478" s="5">
        <v>43377</v>
      </c>
      <c r="AF5478" s="1">
        <v>10002</v>
      </c>
      <c r="AI5478" s="1" t="s">
        <v>165</v>
      </c>
      <c r="AJ5478" s="1">
        <v>2018</v>
      </c>
      <c r="AK5478" s="1" t="s">
        <v>46</v>
      </c>
      <c r="AL5478" s="1">
        <v>89</v>
      </c>
    </row>
    <row r="5479" spans="1:38" x14ac:dyDescent="0.2">
      <c r="A5479" s="2" t="str">
        <f>HYPERLINK("https://www.compass.com/listing/196-orchard-street-unit-6n-manhattan-ny-10002/91833402264768545/","196 Orchard St, Unit 6N")</f>
        <v>196 Orchard St, Unit 6N</v>
      </c>
      <c r="B5479" s="2" t="str">
        <f t="shared" si="915"/>
        <v>196 Orchard St</v>
      </c>
      <c r="C5479" s="1" t="s">
        <v>47</v>
      </c>
      <c r="D5479" s="1" t="s">
        <v>41</v>
      </c>
      <c r="E5479" s="3">
        <v>965000</v>
      </c>
      <c r="F5479" s="1">
        <v>1605.6572379367699</v>
      </c>
      <c r="G5479" s="1">
        <v>2</v>
      </c>
      <c r="H5479" s="1" t="s">
        <v>99</v>
      </c>
      <c r="I5479" s="1">
        <v>1</v>
      </c>
      <c r="J5479" s="1">
        <v>1</v>
      </c>
      <c r="K5479" s="1">
        <v>1</v>
      </c>
      <c r="M5479" s="1">
        <v>601</v>
      </c>
      <c r="N5479" s="1">
        <v>796</v>
      </c>
      <c r="O5479" s="1">
        <v>1587</v>
      </c>
      <c r="P5479" s="1">
        <v>791</v>
      </c>
      <c r="Q5479" s="1" t="s">
        <v>42</v>
      </c>
      <c r="S5479" s="1" t="s">
        <v>42</v>
      </c>
      <c r="T5479" s="1" t="s">
        <v>273</v>
      </c>
      <c r="U5479" s="1">
        <v>993</v>
      </c>
      <c r="V5479" s="5">
        <v>44338</v>
      </c>
      <c r="W5479" s="5">
        <v>42383</v>
      </c>
      <c r="X5479" s="1">
        <v>1120000</v>
      </c>
      <c r="Y5479" s="1">
        <v>1120000</v>
      </c>
      <c r="AA5479" s="1">
        <v>965000</v>
      </c>
      <c r="AB5479" s="1" t="s">
        <v>3875</v>
      </c>
      <c r="AC5479" s="5">
        <v>43377</v>
      </c>
      <c r="AF5479" s="1">
        <v>10002</v>
      </c>
      <c r="AI5479" s="1" t="s">
        <v>165</v>
      </c>
      <c r="AJ5479" s="1">
        <v>2018</v>
      </c>
      <c r="AK5479" s="1" t="s">
        <v>46</v>
      </c>
      <c r="AL5479" s="1">
        <v>89</v>
      </c>
    </row>
    <row r="5480" spans="1:38" x14ac:dyDescent="0.2">
      <c r="A5480" s="2" t="str">
        <f>HYPERLINK("https://www.compass.com/listing/50-clinton-street-unit-2a-manhattan-ny-10002/29360665005194017/","50 Clinton St, Unit 2A")</f>
        <v>50 Clinton St, Unit 2A</v>
      </c>
      <c r="B5480" s="2" t="str">
        <f t="shared" ref="B5480:B5483" si="916">HYPERLINK("https://www.compass.com/building/50-clinton-manhattan-ny/281887574832709909/","50 Clinton")</f>
        <v>50 Clinton</v>
      </c>
      <c r="C5480" s="1" t="s">
        <v>47</v>
      </c>
      <c r="D5480" s="1" t="s">
        <v>41</v>
      </c>
      <c r="E5480" s="3">
        <v>1781938</v>
      </c>
      <c r="F5480" s="1">
        <v>1858.12095933263</v>
      </c>
      <c r="G5480" s="1">
        <v>4</v>
      </c>
      <c r="H5480" s="1">
        <v>2</v>
      </c>
      <c r="I5480" s="1">
        <v>2</v>
      </c>
      <c r="J5480" s="1">
        <v>2</v>
      </c>
      <c r="K5480" s="1">
        <v>2</v>
      </c>
      <c r="M5480" s="1">
        <v>959</v>
      </c>
      <c r="N5480" s="1">
        <v>1089</v>
      </c>
      <c r="O5480" s="1">
        <v>1912</v>
      </c>
      <c r="P5480" s="1">
        <v>823</v>
      </c>
      <c r="Q5480" s="1" t="s">
        <v>42</v>
      </c>
      <c r="S5480" s="1" t="s">
        <v>42</v>
      </c>
      <c r="T5480" s="1" t="s">
        <v>273</v>
      </c>
      <c r="V5480" s="5">
        <v>44314</v>
      </c>
      <c r="Y5480" s="1">
        <v>1825000</v>
      </c>
      <c r="Z5480" s="5">
        <v>42112</v>
      </c>
      <c r="AA5480" s="1">
        <v>1781938</v>
      </c>
      <c r="AB5480" s="1" t="s">
        <v>3876</v>
      </c>
      <c r="AC5480" s="5">
        <v>42917</v>
      </c>
      <c r="AF5480" s="1">
        <v>10002</v>
      </c>
      <c r="AI5480" s="1" t="s">
        <v>48</v>
      </c>
      <c r="AJ5480" s="1">
        <v>2016</v>
      </c>
      <c r="AK5480" s="1" t="s">
        <v>49</v>
      </c>
      <c r="AL5480" s="1">
        <v>37</v>
      </c>
    </row>
    <row r="5481" spans="1:38" x14ac:dyDescent="0.2">
      <c r="A5481" s="2" t="str">
        <f>HYPERLINK("https://www.compass.com/listing/50-clinton-street-unit-4e-manhattan-ny-10002/29360670197782737/","50 Clinton St, Unit 4E")</f>
        <v>50 Clinton St, Unit 4E</v>
      </c>
      <c r="B5481" s="2" t="str">
        <f t="shared" si="916"/>
        <v>50 Clinton</v>
      </c>
      <c r="C5481" s="1" t="s">
        <v>47</v>
      </c>
      <c r="D5481" s="1" t="s">
        <v>41</v>
      </c>
      <c r="E5481" s="3">
        <v>1934675</v>
      </c>
      <c r="F5481" s="1">
        <v>2123.6827661909902</v>
      </c>
      <c r="G5481" s="1">
        <v>4</v>
      </c>
      <c r="H5481" s="1">
        <v>2</v>
      </c>
      <c r="I5481" s="1">
        <v>2</v>
      </c>
      <c r="J5481" s="1">
        <v>2</v>
      </c>
      <c r="K5481" s="1">
        <v>2</v>
      </c>
      <c r="M5481" s="1">
        <v>911</v>
      </c>
      <c r="N5481" s="1">
        <v>1035</v>
      </c>
      <c r="O5481" s="1">
        <v>1816</v>
      </c>
      <c r="P5481" s="1">
        <v>781</v>
      </c>
      <c r="Q5481" s="1" t="s">
        <v>42</v>
      </c>
      <c r="S5481" s="1" t="s">
        <v>42</v>
      </c>
      <c r="T5481" s="1" t="s">
        <v>273</v>
      </c>
      <c r="V5481" s="5">
        <v>44412</v>
      </c>
      <c r="W5481" s="5">
        <v>42112</v>
      </c>
      <c r="X5481" s="1">
        <v>1900000</v>
      </c>
      <c r="Y5481" s="1">
        <v>1900000</v>
      </c>
      <c r="Z5481" s="5">
        <v>42112</v>
      </c>
      <c r="AA5481" s="1">
        <v>1934675</v>
      </c>
      <c r="AB5481" s="1" t="s">
        <v>3877</v>
      </c>
      <c r="AC5481" s="5">
        <v>43007</v>
      </c>
      <c r="AF5481" s="1">
        <v>10002</v>
      </c>
      <c r="AI5481" s="1" t="s">
        <v>48</v>
      </c>
      <c r="AJ5481" s="1">
        <v>2016</v>
      </c>
      <c r="AK5481" s="1" t="s">
        <v>49</v>
      </c>
      <c r="AL5481" s="1">
        <v>37</v>
      </c>
    </row>
    <row r="5482" spans="1:38" x14ac:dyDescent="0.2">
      <c r="A5482" s="2" t="str">
        <f>HYPERLINK("https://www.compass.com/listing/50-clinton-street-unit-2e-manhattan-ny-10002/70919320967951825/","50 Clinton St, Unit 2E")</f>
        <v>50 Clinton St, Unit 2E</v>
      </c>
      <c r="B5482" s="2" t="str">
        <f t="shared" si="916"/>
        <v>50 Clinton</v>
      </c>
      <c r="C5482" s="1" t="s">
        <v>47</v>
      </c>
      <c r="D5482" s="1" t="s">
        <v>41</v>
      </c>
      <c r="E5482" s="3">
        <v>1832850</v>
      </c>
      <c r="F5482" s="1">
        <v>2011.90998902305</v>
      </c>
      <c r="G5482" s="1">
        <v>4</v>
      </c>
      <c r="H5482" s="1">
        <v>2</v>
      </c>
      <c r="I5482" s="1">
        <v>2</v>
      </c>
      <c r="J5482" s="1">
        <v>2</v>
      </c>
      <c r="M5482" s="1">
        <v>911</v>
      </c>
      <c r="N5482" s="1">
        <v>1035</v>
      </c>
      <c r="O5482" s="1">
        <v>1816</v>
      </c>
      <c r="P5482" s="1">
        <v>781</v>
      </c>
      <c r="Q5482" s="1" t="s">
        <v>42</v>
      </c>
      <c r="S5482" s="1" t="s">
        <v>42</v>
      </c>
      <c r="T5482" s="1" t="s">
        <v>273</v>
      </c>
      <c r="U5482" s="1">
        <v>42</v>
      </c>
      <c r="V5482" s="5">
        <v>43650</v>
      </c>
      <c r="W5482" s="5">
        <v>42425</v>
      </c>
      <c r="X5482" s="1">
        <v>1800000</v>
      </c>
      <c r="Y5482" s="1">
        <v>1800000</v>
      </c>
      <c r="Z5482" s="5">
        <v>42467</v>
      </c>
      <c r="AA5482" s="1">
        <v>1832850</v>
      </c>
      <c r="AB5482" s="1" t="s">
        <v>3878</v>
      </c>
      <c r="AC5482" s="5">
        <v>42991</v>
      </c>
      <c r="AF5482" s="1">
        <v>10002</v>
      </c>
      <c r="AI5482" s="1" t="s">
        <v>48</v>
      </c>
      <c r="AJ5482" s="1">
        <v>2016</v>
      </c>
      <c r="AK5482" s="1" t="s">
        <v>49</v>
      </c>
      <c r="AL5482" s="1">
        <v>37</v>
      </c>
    </row>
    <row r="5483" spans="1:38" x14ac:dyDescent="0.2">
      <c r="A5483" s="2" t="str">
        <f>HYPERLINK("https://www.compass.com/listing/50-clinton-street-unit-3d-manhattan-ny-10002/91229300031827937/","50 Clinton St, Unit 3D")</f>
        <v>50 Clinton St, Unit 3D</v>
      </c>
      <c r="B5483" s="2" t="str">
        <f t="shared" si="916"/>
        <v>50 Clinton</v>
      </c>
      <c r="C5483" s="1" t="s">
        <v>47</v>
      </c>
      <c r="D5483" s="1" t="s">
        <v>41</v>
      </c>
      <c r="E5483" s="3">
        <v>1886763</v>
      </c>
      <c r="F5483" s="1">
        <v>1605.7557446808501</v>
      </c>
      <c r="G5483" s="1">
        <v>4</v>
      </c>
      <c r="H5483" s="1">
        <v>2</v>
      </c>
      <c r="I5483" s="1">
        <v>2</v>
      </c>
      <c r="J5483" s="1">
        <v>2</v>
      </c>
      <c r="K5483" s="1">
        <v>2</v>
      </c>
      <c r="M5483" s="4">
        <v>1175</v>
      </c>
      <c r="N5483" s="1">
        <v>1359</v>
      </c>
      <c r="O5483" s="1">
        <v>2989</v>
      </c>
      <c r="P5483" s="1">
        <v>1630</v>
      </c>
      <c r="Q5483" s="1" t="s">
        <v>42</v>
      </c>
      <c r="S5483" s="1" t="s">
        <v>42</v>
      </c>
      <c r="T5483" s="1" t="s">
        <v>273</v>
      </c>
      <c r="U5483" s="1">
        <v>304</v>
      </c>
      <c r="V5483" s="5">
        <v>43645</v>
      </c>
      <c r="W5483" s="5">
        <v>43183</v>
      </c>
      <c r="X5483" s="1">
        <v>2295000</v>
      </c>
      <c r="Y5483" s="1">
        <v>1895000</v>
      </c>
      <c r="Z5483" s="5">
        <v>43487</v>
      </c>
      <c r="AA5483" s="1">
        <v>1886763</v>
      </c>
      <c r="AB5483" s="1" t="s">
        <v>3879</v>
      </c>
      <c r="AC5483" s="5">
        <v>43512</v>
      </c>
      <c r="AF5483" s="1">
        <v>10002</v>
      </c>
      <c r="AI5483" s="1" t="s">
        <v>48</v>
      </c>
      <c r="AJ5483" s="1">
        <v>2016</v>
      </c>
      <c r="AK5483" s="1" t="s">
        <v>49</v>
      </c>
      <c r="AL5483" s="1">
        <v>37</v>
      </c>
    </row>
    <row r="5484" spans="1:38" x14ac:dyDescent="0.2">
      <c r="A5484" s="2" t="str">
        <f>HYPERLINK("https://www.compass.com/listing/5-beekman-street-unit-19c-manhattan-ny-10038/4852279187198708897/","5 Beekman St, Unit 19C")</f>
        <v>5 Beekman St, Unit 19C</v>
      </c>
      <c r="B5484" s="2" t="str">
        <f>HYPERLINK("https://www.compass.com/building/the-beekman-residences-manhattan-ny/282030567363458613/","The Beekman Residences")</f>
        <v>The Beekman Residences</v>
      </c>
      <c r="C5484" s="1" t="s">
        <v>96</v>
      </c>
      <c r="D5484" s="1" t="s">
        <v>41</v>
      </c>
      <c r="E5484" s="3">
        <v>1400000</v>
      </c>
      <c r="F5484" s="1">
        <v>1991.4651493598799</v>
      </c>
      <c r="G5484" s="1">
        <v>3</v>
      </c>
      <c r="H5484" s="1">
        <v>1</v>
      </c>
      <c r="I5484" s="1">
        <v>1</v>
      </c>
      <c r="J5484" s="1">
        <v>1</v>
      </c>
      <c r="K5484" s="1">
        <v>1</v>
      </c>
      <c r="M5484" s="1">
        <v>703</v>
      </c>
      <c r="N5484" s="1">
        <v>975</v>
      </c>
      <c r="O5484" s="1">
        <v>1970</v>
      </c>
      <c r="P5484" s="1">
        <v>995</v>
      </c>
      <c r="Q5484" s="1" t="s">
        <v>42</v>
      </c>
      <c r="S5484" s="1" t="s">
        <v>42</v>
      </c>
      <c r="T5484" s="1" t="s">
        <v>273</v>
      </c>
      <c r="V5484" s="5">
        <v>44369</v>
      </c>
      <c r="W5484" s="5">
        <v>41976</v>
      </c>
      <c r="X5484" s="1">
        <v>1400000</v>
      </c>
      <c r="Y5484" s="1">
        <v>1400000</v>
      </c>
      <c r="Z5484" s="5">
        <v>41976</v>
      </c>
      <c r="AA5484" s="1">
        <v>1400000</v>
      </c>
      <c r="AB5484" s="1" t="s">
        <v>275</v>
      </c>
      <c r="AC5484" s="5">
        <v>42978</v>
      </c>
      <c r="AF5484" s="1">
        <v>10038</v>
      </c>
      <c r="AI5484" s="1" t="s">
        <v>101</v>
      </c>
      <c r="AJ5484" s="1">
        <v>2015</v>
      </c>
      <c r="AK5484" s="1" t="s">
        <v>49</v>
      </c>
      <c r="AL5484" s="1">
        <v>67</v>
      </c>
    </row>
    <row r="5485" spans="1:38" x14ac:dyDescent="0.2">
      <c r="A5485" s="2" t="str">
        <f>HYPERLINK("https://www.compass.com/listing/50-west-street-unit-41a-manhattan-ny-10006/29355220320420785/","50 West St, Unit 41A")</f>
        <v>50 West St, Unit 41A</v>
      </c>
      <c r="B5485" s="2" t="str">
        <f t="shared" ref="B5485:B5486" si="917">HYPERLINK("https://www.compass.com/building/50-west-st-manhattan-ny-10006/281896342152815429/","50 West St")</f>
        <v>50 West St</v>
      </c>
      <c r="C5485" s="1" t="s">
        <v>96</v>
      </c>
      <c r="D5485" s="1" t="s">
        <v>41</v>
      </c>
      <c r="E5485" s="3">
        <v>3845000</v>
      </c>
      <c r="F5485" s="1">
        <v>2217.4163783160302</v>
      </c>
      <c r="H5485" s="1">
        <v>2</v>
      </c>
      <c r="J5485" s="1">
        <v>3</v>
      </c>
      <c r="K5485" s="1">
        <v>3</v>
      </c>
      <c r="M5485" s="4">
        <v>1734</v>
      </c>
      <c r="N5485" s="1">
        <v>2194</v>
      </c>
      <c r="O5485" s="1">
        <v>4640.55</v>
      </c>
      <c r="P5485" s="1">
        <v>2446.5833333333298</v>
      </c>
      <c r="Q5485" s="1" t="s">
        <v>42</v>
      </c>
      <c r="S5485" s="1" t="s">
        <v>42</v>
      </c>
      <c r="T5485" s="1" t="s">
        <v>273</v>
      </c>
      <c r="AA5485" s="1">
        <v>3845000</v>
      </c>
      <c r="AB5485" s="1" t="s">
        <v>3880</v>
      </c>
      <c r="AC5485" s="5">
        <v>42828</v>
      </c>
      <c r="AF5485" s="1">
        <v>10006</v>
      </c>
      <c r="AI5485" s="1" t="s">
        <v>97</v>
      </c>
      <c r="AJ5485" s="1">
        <v>2016</v>
      </c>
      <c r="AK5485" s="1" t="s">
        <v>49</v>
      </c>
      <c r="AL5485" s="1">
        <v>186</v>
      </c>
    </row>
    <row r="5486" spans="1:38" x14ac:dyDescent="0.2">
      <c r="A5486" s="2" t="str">
        <f>HYPERLINK("https://www.compass.com/listing/50-west-street-unit-51a-manhattan-ny-10006/841191657122831937/","50 West St, Unit 51A")</f>
        <v>50 West St, Unit 51A</v>
      </c>
      <c r="B5486" s="2" t="str">
        <f t="shared" si="917"/>
        <v>50 West St</v>
      </c>
      <c r="C5486" s="1" t="s">
        <v>96</v>
      </c>
      <c r="D5486" s="1" t="s">
        <v>41</v>
      </c>
      <c r="E5486" s="3">
        <v>4305000</v>
      </c>
      <c r="F5486" s="1">
        <v>2479.83870967741</v>
      </c>
      <c r="G5486" s="1">
        <v>5</v>
      </c>
      <c r="H5486" s="1">
        <v>2</v>
      </c>
      <c r="I5486" s="1">
        <v>3</v>
      </c>
      <c r="J5486" s="1">
        <v>3</v>
      </c>
      <c r="M5486" s="4">
        <v>1736</v>
      </c>
      <c r="N5486" s="1">
        <v>2276</v>
      </c>
      <c r="O5486" s="1">
        <v>4815</v>
      </c>
      <c r="P5486" s="1">
        <v>2539</v>
      </c>
      <c r="Q5486" s="1" t="s">
        <v>42</v>
      </c>
      <c r="S5486" s="1" t="s">
        <v>42</v>
      </c>
      <c r="T5486" s="1" t="s">
        <v>273</v>
      </c>
      <c r="U5486" s="1">
        <v>24</v>
      </c>
      <c r="V5486" s="5">
        <v>42916</v>
      </c>
      <c r="W5486" s="5">
        <v>42634</v>
      </c>
      <c r="X5486" s="1">
        <v>4305000</v>
      </c>
      <c r="Y5486" s="1">
        <v>4305000</v>
      </c>
      <c r="Z5486" s="5">
        <v>42658</v>
      </c>
      <c r="AA5486" s="1">
        <v>4305000</v>
      </c>
      <c r="AB5486" s="1" t="s">
        <v>3881</v>
      </c>
      <c r="AC5486" s="5">
        <v>42921</v>
      </c>
      <c r="AF5486" s="1">
        <v>10006</v>
      </c>
      <c r="AI5486" s="1" t="s">
        <v>97</v>
      </c>
      <c r="AJ5486" s="1">
        <v>2016</v>
      </c>
      <c r="AK5486" s="1" t="s">
        <v>46</v>
      </c>
      <c r="AL5486" s="1">
        <v>186</v>
      </c>
    </row>
    <row r="5487" spans="1:38" x14ac:dyDescent="0.2">
      <c r="A5487" s="2" t="str">
        <f>HYPERLINK("https://www.compass.com/listing/196-orchard-street-unit-5l-manhattan-ny-10002/552614556336767121/","196 Orchard St, Unit 5L")</f>
        <v>196 Orchard St, Unit 5L</v>
      </c>
      <c r="B5487" s="2" t="str">
        <f>HYPERLINK("https://www.compass.com/building/196-orchard-st-manhattan-ny-10002/281886194713760485/","196 Orchard St")</f>
        <v>196 Orchard St</v>
      </c>
      <c r="C5487" s="1" t="s">
        <v>47</v>
      </c>
      <c r="D5487" s="1" t="s">
        <v>41</v>
      </c>
      <c r="E5487" s="3">
        <v>1749500</v>
      </c>
      <c r="F5487" s="1">
        <v>3175.1361161524501</v>
      </c>
      <c r="H5487" s="1">
        <v>1</v>
      </c>
      <c r="J5487" s="1">
        <v>2</v>
      </c>
      <c r="K5487" s="1">
        <v>2</v>
      </c>
      <c r="M5487" s="1">
        <v>551</v>
      </c>
      <c r="N5487" s="1">
        <v>1492</v>
      </c>
      <c r="O5487" s="1">
        <v>2972</v>
      </c>
      <c r="P5487" s="1">
        <v>1480</v>
      </c>
      <c r="Q5487" s="1" t="s">
        <v>42</v>
      </c>
      <c r="S5487" s="1" t="s">
        <v>42</v>
      </c>
      <c r="T5487" s="1" t="s">
        <v>273</v>
      </c>
      <c r="AA5487" s="1">
        <v>1749500</v>
      </c>
      <c r="AB5487" s="1" t="s">
        <v>3882</v>
      </c>
      <c r="AC5487" s="5">
        <v>44008</v>
      </c>
      <c r="AF5487" s="1">
        <v>10002</v>
      </c>
      <c r="AI5487" s="1" t="s">
        <v>165</v>
      </c>
      <c r="AJ5487" s="1">
        <v>2018</v>
      </c>
      <c r="AK5487" s="1" t="s">
        <v>202</v>
      </c>
      <c r="AL5487" s="1">
        <v>89</v>
      </c>
    </row>
    <row r="5488" spans="1:38" x14ac:dyDescent="0.2">
      <c r="A5488" s="2" t="str">
        <f>HYPERLINK("https://www.compass.com/listing/5-beekman-street-unit-26c-manhattan-ny-10038/4852284293176630401/","5 Beekman St, Unit 26C")</f>
        <v>5 Beekman St, Unit 26C</v>
      </c>
      <c r="B5488" s="2" t="str">
        <f>HYPERLINK("https://www.compass.com/building/the-beekman-residences-manhattan-ny/282030567363458613/","The Beekman Residences")</f>
        <v>The Beekman Residences</v>
      </c>
      <c r="C5488" s="1" t="s">
        <v>96</v>
      </c>
      <c r="D5488" s="1" t="s">
        <v>41</v>
      </c>
      <c r="E5488" s="3">
        <v>1525000</v>
      </c>
      <c r="F5488" s="1">
        <v>2169.27453769559</v>
      </c>
      <c r="G5488" s="1">
        <v>3</v>
      </c>
      <c r="H5488" s="1">
        <v>1</v>
      </c>
      <c r="I5488" s="1">
        <v>1</v>
      </c>
      <c r="J5488" s="1">
        <v>1</v>
      </c>
      <c r="K5488" s="1">
        <v>1</v>
      </c>
      <c r="M5488" s="1">
        <v>703</v>
      </c>
      <c r="N5488" s="1">
        <v>975</v>
      </c>
      <c r="O5488" s="1">
        <v>1916</v>
      </c>
      <c r="P5488" s="1">
        <v>941</v>
      </c>
      <c r="Q5488" s="1" t="s">
        <v>42</v>
      </c>
      <c r="S5488" s="1" t="s">
        <v>42</v>
      </c>
      <c r="T5488" s="1" t="s">
        <v>273</v>
      </c>
      <c r="V5488" s="5">
        <v>44362</v>
      </c>
      <c r="W5488" s="5">
        <v>42770</v>
      </c>
      <c r="X5488" s="1">
        <v>1525000</v>
      </c>
      <c r="Y5488" s="1">
        <v>1525000</v>
      </c>
      <c r="Z5488" s="5">
        <v>42770</v>
      </c>
      <c r="AA5488" s="1">
        <v>1525000</v>
      </c>
      <c r="AB5488" s="1" t="s">
        <v>275</v>
      </c>
      <c r="AC5488" s="5">
        <v>43055</v>
      </c>
      <c r="AF5488" s="1">
        <v>10038</v>
      </c>
      <c r="AI5488" s="1" t="s">
        <v>140</v>
      </c>
      <c r="AJ5488" s="1">
        <v>2015</v>
      </c>
      <c r="AK5488" s="1" t="s">
        <v>46</v>
      </c>
      <c r="AL5488" s="1">
        <v>67</v>
      </c>
    </row>
    <row r="5489" spans="1:38" x14ac:dyDescent="0.2">
      <c r="A5489" s="2" t="str">
        <f>HYPERLINK("https://www.compass.com/listing/50-west-street-unit-9a-manhattan-ny-10006/29355194760331793/","50 West St, Unit 9A")</f>
        <v>50 West St, Unit 9A</v>
      </c>
      <c r="B5489" s="2" t="str">
        <f>HYPERLINK("https://www.compass.com/building/50-west-st-manhattan-ny-10006/281896342152815429/","50 West St")</f>
        <v>50 West St</v>
      </c>
      <c r="C5489" s="1" t="s">
        <v>96</v>
      </c>
      <c r="D5489" s="1" t="s">
        <v>41</v>
      </c>
      <c r="E5489" s="3">
        <v>1552831</v>
      </c>
      <c r="F5489" s="1">
        <v>1330.617823479</v>
      </c>
      <c r="G5489" s="1">
        <v>3</v>
      </c>
      <c r="H5489" s="1">
        <v>1</v>
      </c>
      <c r="I5489" s="1">
        <v>2</v>
      </c>
      <c r="J5489" s="1">
        <v>1.5</v>
      </c>
      <c r="K5489" s="1">
        <v>1</v>
      </c>
      <c r="L5489" s="1">
        <v>1</v>
      </c>
      <c r="M5489" s="4">
        <v>1167</v>
      </c>
      <c r="N5489" s="1">
        <v>1280.31</v>
      </c>
      <c r="O5489" s="1">
        <v>2708</v>
      </c>
      <c r="P5489" s="1">
        <v>1427.6666666666599</v>
      </c>
      <c r="Q5489" s="1" t="s">
        <v>42</v>
      </c>
      <c r="S5489" s="1" t="s">
        <v>42</v>
      </c>
      <c r="T5489" s="1" t="s">
        <v>273</v>
      </c>
      <c r="U5489" s="1">
        <v>11</v>
      </c>
      <c r="V5489" s="5">
        <v>43666</v>
      </c>
      <c r="W5489" s="5">
        <v>41909</v>
      </c>
      <c r="X5489" s="1">
        <v>1525000</v>
      </c>
      <c r="Y5489" s="1">
        <v>1525000</v>
      </c>
      <c r="Z5489" s="5">
        <v>41920</v>
      </c>
      <c r="AA5489" s="1">
        <v>1552831</v>
      </c>
      <c r="AB5489" s="1" t="s">
        <v>3883</v>
      </c>
      <c r="AC5489" s="5">
        <v>42756</v>
      </c>
      <c r="AF5489" s="1">
        <v>10006</v>
      </c>
      <c r="AI5489" s="1" t="s">
        <v>97</v>
      </c>
      <c r="AJ5489" s="1">
        <v>2016</v>
      </c>
      <c r="AK5489" s="1" t="s">
        <v>46</v>
      </c>
      <c r="AL5489" s="1">
        <v>186</v>
      </c>
    </row>
    <row r="5490" spans="1:38" x14ac:dyDescent="0.2">
      <c r="A5490" s="2" t="str">
        <f>HYPERLINK("https://www.compass.com/listing/50-clinton-street-unit-3e-manhattan-ny-10002/27574702092373761/","50 Clinton St, Unit 3E")</f>
        <v>50 Clinton St, Unit 3E</v>
      </c>
      <c r="B5490" s="2" t="str">
        <f t="shared" ref="B5490:B5498" si="918">HYPERLINK("https://www.compass.com/building/50-clinton-manhattan-ny/281887574832709909/","50 Clinton")</f>
        <v>50 Clinton</v>
      </c>
      <c r="C5490" s="1" t="s">
        <v>47</v>
      </c>
      <c r="D5490" s="1" t="s">
        <v>41</v>
      </c>
      <c r="E5490" s="3">
        <v>1950000</v>
      </c>
      <c r="F5490" s="1">
        <v>2140.50493962678</v>
      </c>
      <c r="G5490" s="1">
        <v>4</v>
      </c>
      <c r="H5490" s="1">
        <v>2</v>
      </c>
      <c r="I5490" s="1">
        <v>2</v>
      </c>
      <c r="J5490" s="1">
        <v>2</v>
      </c>
      <c r="M5490" s="1">
        <v>911</v>
      </c>
      <c r="N5490" s="1">
        <v>1035</v>
      </c>
      <c r="O5490" s="1">
        <v>1816</v>
      </c>
      <c r="P5490" s="1">
        <v>781</v>
      </c>
      <c r="Q5490" s="1" t="s">
        <v>42</v>
      </c>
      <c r="S5490" s="1" t="s">
        <v>42</v>
      </c>
      <c r="T5490" s="1" t="s">
        <v>273</v>
      </c>
      <c r="U5490" s="1">
        <v>87</v>
      </c>
      <c r="V5490" s="5">
        <v>43649</v>
      </c>
      <c r="W5490" s="5">
        <v>42682</v>
      </c>
      <c r="X5490" s="1">
        <v>1950000</v>
      </c>
      <c r="Y5490" s="1">
        <v>1950000</v>
      </c>
      <c r="Z5490" s="5">
        <v>42769</v>
      </c>
      <c r="AA5490" s="1">
        <v>1950000</v>
      </c>
      <c r="AB5490" s="1" t="s">
        <v>3884</v>
      </c>
      <c r="AC5490" s="5">
        <v>42987</v>
      </c>
      <c r="AF5490" s="1">
        <v>10002</v>
      </c>
      <c r="AI5490" s="1" t="s">
        <v>48</v>
      </c>
      <c r="AJ5490" s="1">
        <v>2016</v>
      </c>
      <c r="AK5490" s="1" t="s">
        <v>49</v>
      </c>
      <c r="AL5490" s="1">
        <v>37</v>
      </c>
    </row>
    <row r="5491" spans="1:38" x14ac:dyDescent="0.2">
      <c r="A5491" s="2" t="str">
        <f>HYPERLINK("https://www.compass.com/listing/50-clinton-street-unit-4a-manhattan-ny-10002/29360668360637265/","50 Clinton St, Unit 4A")</f>
        <v>50 Clinton St, Unit 4A</v>
      </c>
      <c r="B5491" s="2" t="str">
        <f t="shared" si="918"/>
        <v>50 Clinton</v>
      </c>
      <c r="C5491" s="1" t="s">
        <v>47</v>
      </c>
      <c r="D5491" s="1" t="s">
        <v>41</v>
      </c>
      <c r="E5491" s="3">
        <v>1909219</v>
      </c>
      <c r="F5491" s="1">
        <v>1990.84358706986</v>
      </c>
      <c r="G5491" s="1">
        <v>4</v>
      </c>
      <c r="H5491" s="1">
        <v>2</v>
      </c>
      <c r="I5491" s="1">
        <v>2</v>
      </c>
      <c r="J5491" s="1">
        <v>2</v>
      </c>
      <c r="M5491" s="1">
        <v>959</v>
      </c>
      <c r="N5491" s="1">
        <v>1089</v>
      </c>
      <c r="O5491" s="1">
        <v>1912</v>
      </c>
      <c r="P5491" s="1">
        <v>823</v>
      </c>
      <c r="Q5491" s="1" t="s">
        <v>42</v>
      </c>
      <c r="S5491" s="1" t="s">
        <v>42</v>
      </c>
      <c r="T5491" s="1" t="s">
        <v>273</v>
      </c>
      <c r="V5491" s="5">
        <v>43650</v>
      </c>
      <c r="W5491" s="5">
        <v>42124</v>
      </c>
      <c r="X5491" s="1">
        <v>1925000</v>
      </c>
      <c r="Y5491" s="1">
        <v>1925000</v>
      </c>
      <c r="Z5491" s="5">
        <v>42124</v>
      </c>
      <c r="AA5491" s="1">
        <v>1909219</v>
      </c>
      <c r="AB5491" s="1" t="s">
        <v>3885</v>
      </c>
      <c r="AC5491" s="5">
        <v>42990</v>
      </c>
      <c r="AF5491" s="1">
        <v>10002</v>
      </c>
      <c r="AI5491" s="1" t="s">
        <v>48</v>
      </c>
      <c r="AJ5491" s="1">
        <v>2016</v>
      </c>
      <c r="AK5491" s="1" t="s">
        <v>49</v>
      </c>
      <c r="AL5491" s="1">
        <v>37</v>
      </c>
    </row>
    <row r="5492" spans="1:38" x14ac:dyDescent="0.2">
      <c r="A5492" s="2" t="str">
        <f>HYPERLINK("https://www.compass.com/listing/50-clinton-street-unit-6d-manhattan-ny-10002/26850086885600561/","50 Clinton St, Unit 6D")</f>
        <v>50 Clinton St, Unit 6D</v>
      </c>
      <c r="B5492" s="2" t="str">
        <f t="shared" si="918"/>
        <v>50 Clinton</v>
      </c>
      <c r="C5492" s="1" t="s">
        <v>47</v>
      </c>
      <c r="D5492" s="1" t="s">
        <v>41</v>
      </c>
      <c r="E5492" s="3">
        <v>2820553</v>
      </c>
      <c r="F5492" s="1">
        <v>2372.2056349873801</v>
      </c>
      <c r="G5492" s="1">
        <v>4</v>
      </c>
      <c r="H5492" s="1">
        <v>2</v>
      </c>
      <c r="I5492" s="1">
        <v>2</v>
      </c>
      <c r="J5492" s="1">
        <v>2</v>
      </c>
      <c r="M5492" s="4">
        <v>1189</v>
      </c>
      <c r="N5492" s="1">
        <v>1351</v>
      </c>
      <c r="O5492" s="1">
        <v>2371</v>
      </c>
      <c r="P5492" s="1">
        <v>1020</v>
      </c>
      <c r="Q5492" s="1" t="s">
        <v>42</v>
      </c>
      <c r="S5492" s="1" t="s">
        <v>42</v>
      </c>
      <c r="T5492" s="1" t="s">
        <v>273</v>
      </c>
      <c r="V5492" s="5">
        <v>43700</v>
      </c>
      <c r="W5492" s="5">
        <v>42113</v>
      </c>
      <c r="X5492" s="1">
        <v>2750000</v>
      </c>
      <c r="Y5492" s="1">
        <v>2750000</v>
      </c>
      <c r="Z5492" s="5">
        <v>42113</v>
      </c>
      <c r="AA5492" s="1">
        <v>2820552.5</v>
      </c>
      <c r="AB5492" s="1" t="s">
        <v>3886</v>
      </c>
      <c r="AC5492" s="5">
        <v>43130</v>
      </c>
      <c r="AF5492" s="1">
        <v>10002</v>
      </c>
      <c r="AI5492" s="1" t="s">
        <v>48</v>
      </c>
      <c r="AJ5492" s="1">
        <v>2016</v>
      </c>
      <c r="AK5492" s="1" t="s">
        <v>49</v>
      </c>
      <c r="AL5492" s="1">
        <v>37</v>
      </c>
    </row>
    <row r="5493" spans="1:38" x14ac:dyDescent="0.2">
      <c r="A5493" s="2" t="str">
        <f>HYPERLINK("https://www.compass.com/listing/50-clinton-street-unit-phc-manhattan-ny-10002/29314232432475009/","50 Clinton St, Unit PHC")</f>
        <v>50 Clinton St, Unit PHC</v>
      </c>
      <c r="B5493" s="2" t="str">
        <f t="shared" si="918"/>
        <v>50 Clinton</v>
      </c>
      <c r="C5493" s="1" t="s">
        <v>47</v>
      </c>
      <c r="D5493" s="1" t="s">
        <v>41</v>
      </c>
      <c r="E5493" s="3">
        <v>3200000</v>
      </c>
      <c r="F5493" s="1">
        <v>2857.1428571428501</v>
      </c>
      <c r="G5493" s="1">
        <v>4</v>
      </c>
      <c r="H5493" s="1">
        <v>2</v>
      </c>
      <c r="I5493" s="1">
        <v>2</v>
      </c>
      <c r="J5493" s="1">
        <v>2</v>
      </c>
      <c r="M5493" s="4">
        <v>1120</v>
      </c>
      <c r="N5493" s="1">
        <v>1537</v>
      </c>
      <c r="O5493" s="1">
        <v>2699</v>
      </c>
      <c r="P5493" s="1">
        <v>1162</v>
      </c>
      <c r="Q5493" s="1" t="s">
        <v>42</v>
      </c>
      <c r="S5493" s="1" t="s">
        <v>42</v>
      </c>
      <c r="T5493" s="1" t="s">
        <v>273</v>
      </c>
      <c r="U5493" s="1">
        <v>5</v>
      </c>
      <c r="V5493" s="5">
        <v>43637</v>
      </c>
      <c r="W5493" s="5">
        <v>42104</v>
      </c>
      <c r="X5493" s="1">
        <v>3200000</v>
      </c>
      <c r="Y5493" s="1">
        <v>3200000</v>
      </c>
      <c r="Z5493" s="5">
        <v>42109</v>
      </c>
      <c r="AA5493" s="1">
        <v>3200000</v>
      </c>
      <c r="AB5493" s="1" t="s">
        <v>3887</v>
      </c>
      <c r="AC5493" s="5">
        <v>43113</v>
      </c>
      <c r="AF5493" s="1">
        <v>10002</v>
      </c>
      <c r="AI5493" s="1" t="s">
        <v>436</v>
      </c>
      <c r="AJ5493" s="1">
        <v>2016</v>
      </c>
      <c r="AK5493" s="1" t="s">
        <v>49</v>
      </c>
      <c r="AL5493" s="1">
        <v>37</v>
      </c>
    </row>
    <row r="5494" spans="1:38" x14ac:dyDescent="0.2">
      <c r="A5494" s="2" t="str">
        <f>HYPERLINK("https://www.compass.com/listing/50-clinton-street-unit-4c-manhattan-ny-10002/29360669216310561/","50 Clinton St, Unit 4C")</f>
        <v>50 Clinton St, Unit 4C</v>
      </c>
      <c r="B5494" s="2" t="str">
        <f t="shared" si="918"/>
        <v>50 Clinton</v>
      </c>
      <c r="C5494" s="1" t="s">
        <v>47</v>
      </c>
      <c r="D5494" s="1" t="s">
        <v>41</v>
      </c>
      <c r="E5494" s="3">
        <v>2291063</v>
      </c>
      <c r="F5494" s="1">
        <v>2000.92838427947</v>
      </c>
      <c r="G5494" s="1">
        <v>4</v>
      </c>
      <c r="H5494" s="1">
        <v>2</v>
      </c>
      <c r="I5494" s="1">
        <v>2</v>
      </c>
      <c r="J5494" s="1">
        <v>2</v>
      </c>
      <c r="K5494" s="1">
        <v>2</v>
      </c>
      <c r="M5494" s="4">
        <v>1145</v>
      </c>
      <c r="N5494" s="1">
        <v>1297</v>
      </c>
      <c r="O5494" s="1">
        <v>2277</v>
      </c>
      <c r="P5494" s="1">
        <v>980</v>
      </c>
      <c r="Q5494" s="1" t="s">
        <v>42</v>
      </c>
      <c r="S5494" s="1" t="s">
        <v>42</v>
      </c>
      <c r="T5494" s="1" t="s">
        <v>273</v>
      </c>
      <c r="U5494" s="1">
        <v>55</v>
      </c>
      <c r="V5494" s="5">
        <v>44225</v>
      </c>
      <c r="W5494" s="5">
        <v>42251</v>
      </c>
      <c r="X5494" s="1">
        <v>2250000</v>
      </c>
      <c r="Y5494" s="1">
        <v>2250000</v>
      </c>
      <c r="Z5494" s="5">
        <v>42306</v>
      </c>
      <c r="AA5494" s="1">
        <v>2291063</v>
      </c>
      <c r="AB5494" s="1" t="s">
        <v>3888</v>
      </c>
      <c r="AC5494" s="5">
        <v>43020</v>
      </c>
      <c r="AF5494" s="1">
        <v>10002</v>
      </c>
      <c r="AI5494" s="1" t="s">
        <v>48</v>
      </c>
      <c r="AJ5494" s="1">
        <v>2016</v>
      </c>
      <c r="AK5494" s="1" t="s">
        <v>49</v>
      </c>
      <c r="AL5494" s="1">
        <v>37</v>
      </c>
    </row>
    <row r="5495" spans="1:38" x14ac:dyDescent="0.2">
      <c r="A5495" s="2" t="str">
        <f>HYPERLINK("https://www.compass.com/listing/50-clinton-street-unit-5c-manhattan-ny-10002/29360671388965089/","50 Clinton St, Unit 5C")</f>
        <v>50 Clinton St, Unit 5C</v>
      </c>
      <c r="B5495" s="2" t="str">
        <f t="shared" si="918"/>
        <v>50 Clinton</v>
      </c>
      <c r="C5495" s="1" t="s">
        <v>47</v>
      </c>
      <c r="D5495" s="1" t="s">
        <v>41</v>
      </c>
      <c r="E5495" s="3">
        <v>2392888</v>
      </c>
      <c r="F5495" s="1">
        <v>2095.34851138353</v>
      </c>
      <c r="G5495" s="1">
        <v>4</v>
      </c>
      <c r="H5495" s="1">
        <v>2</v>
      </c>
      <c r="I5495" s="1">
        <v>2</v>
      </c>
      <c r="J5495" s="1">
        <v>2</v>
      </c>
      <c r="M5495" s="4">
        <v>1142</v>
      </c>
      <c r="N5495" s="1">
        <v>1237</v>
      </c>
      <c r="O5495" s="1">
        <v>2217</v>
      </c>
      <c r="P5495" s="1">
        <v>980</v>
      </c>
      <c r="Q5495" s="1" t="s">
        <v>42</v>
      </c>
      <c r="S5495" s="1" t="s">
        <v>42</v>
      </c>
      <c r="T5495" s="1" t="s">
        <v>273</v>
      </c>
      <c r="V5495" s="5">
        <v>43649</v>
      </c>
      <c r="W5495" s="5">
        <v>42393</v>
      </c>
      <c r="X5495" s="1">
        <v>2350000</v>
      </c>
      <c r="Y5495" s="1">
        <v>2350000</v>
      </c>
      <c r="Z5495" s="5">
        <v>42393</v>
      </c>
      <c r="AA5495" s="1">
        <v>2392888</v>
      </c>
      <c r="AB5495" s="1" t="s">
        <v>3889</v>
      </c>
      <c r="AC5495" s="5">
        <v>43033</v>
      </c>
      <c r="AF5495" s="1">
        <v>10002</v>
      </c>
      <c r="AI5495" s="1" t="s">
        <v>48</v>
      </c>
      <c r="AJ5495" s="1">
        <v>2016</v>
      </c>
      <c r="AK5495" s="1" t="s">
        <v>49</v>
      </c>
      <c r="AL5495" s="1">
        <v>37</v>
      </c>
    </row>
    <row r="5496" spans="1:38" x14ac:dyDescent="0.2">
      <c r="A5496" s="2" t="str">
        <f>HYPERLINK("https://www.compass.com/listing/50-clinton-street-unit-5d-manhattan-ny-10002/29360671816779073/","50 Clinton St, Unit 5D")</f>
        <v>50 Clinton St, Unit 5D</v>
      </c>
      <c r="B5496" s="2" t="str">
        <f t="shared" si="918"/>
        <v>50 Clinton</v>
      </c>
      <c r="C5496" s="1" t="s">
        <v>47</v>
      </c>
      <c r="D5496" s="1" t="s">
        <v>41</v>
      </c>
      <c r="E5496" s="3">
        <v>2647450</v>
      </c>
      <c r="F5496" s="1">
        <v>2226.6190075693798</v>
      </c>
      <c r="G5496" s="1">
        <v>4</v>
      </c>
      <c r="H5496" s="1">
        <v>2</v>
      </c>
      <c r="I5496" s="1">
        <v>2</v>
      </c>
      <c r="J5496" s="1">
        <v>2</v>
      </c>
      <c r="K5496" s="1">
        <v>2</v>
      </c>
      <c r="M5496" s="4">
        <v>1189</v>
      </c>
      <c r="N5496" s="1">
        <v>1351</v>
      </c>
      <c r="O5496" s="1">
        <v>2371</v>
      </c>
      <c r="P5496" s="1">
        <v>1020</v>
      </c>
      <c r="Q5496" s="1" t="s">
        <v>42</v>
      </c>
      <c r="S5496" s="1" t="s">
        <v>42</v>
      </c>
      <c r="T5496" s="1" t="s">
        <v>273</v>
      </c>
      <c r="V5496" s="5">
        <v>43694</v>
      </c>
      <c r="W5496" s="5">
        <v>42197</v>
      </c>
      <c r="X5496" s="1">
        <v>2600000</v>
      </c>
      <c r="Y5496" s="1">
        <v>2600000</v>
      </c>
      <c r="Z5496" s="5">
        <v>42197</v>
      </c>
      <c r="AA5496" s="1">
        <v>2647450</v>
      </c>
      <c r="AB5496" s="1" t="s">
        <v>3890</v>
      </c>
      <c r="AC5496" s="5">
        <v>43123</v>
      </c>
      <c r="AF5496" s="1">
        <v>10002</v>
      </c>
      <c r="AI5496" s="1" t="s">
        <v>48</v>
      </c>
      <c r="AJ5496" s="1">
        <v>2016</v>
      </c>
      <c r="AK5496" s="1" t="s">
        <v>49</v>
      </c>
      <c r="AL5496" s="1">
        <v>37</v>
      </c>
    </row>
    <row r="5497" spans="1:38" x14ac:dyDescent="0.2">
      <c r="A5497" s="2" t="str">
        <f>HYPERLINK("https://www.compass.com/listing/50-clinton-street-unit-6c-manhattan-ny-10002/29514175088752833/","50 Clinton St, Unit 6C")</f>
        <v>50 Clinton St, Unit 6C</v>
      </c>
      <c r="B5497" s="2" t="str">
        <f t="shared" si="918"/>
        <v>50 Clinton</v>
      </c>
      <c r="C5497" s="1" t="s">
        <v>47</v>
      </c>
      <c r="D5497" s="1" t="s">
        <v>41</v>
      </c>
      <c r="E5497" s="3">
        <v>2321000</v>
      </c>
      <c r="F5497" s="1">
        <v>1934.1666666666599</v>
      </c>
      <c r="G5497" s="1">
        <v>4</v>
      </c>
      <c r="H5497" s="1">
        <v>2</v>
      </c>
      <c r="I5497" s="1">
        <v>2</v>
      </c>
      <c r="J5497" s="1">
        <v>2</v>
      </c>
      <c r="K5497" s="1">
        <v>2</v>
      </c>
      <c r="M5497" s="4">
        <v>1200</v>
      </c>
      <c r="N5497" s="1">
        <v>1322</v>
      </c>
      <c r="O5497" s="1">
        <v>2585</v>
      </c>
      <c r="P5497" s="1">
        <v>1263</v>
      </c>
      <c r="Q5497" s="1" t="s">
        <v>42</v>
      </c>
      <c r="S5497" s="1" t="s">
        <v>42</v>
      </c>
      <c r="T5497" s="1" t="s">
        <v>273</v>
      </c>
      <c r="U5497" s="1">
        <v>1069</v>
      </c>
      <c r="V5497" s="5">
        <v>44225</v>
      </c>
      <c r="W5497" s="5">
        <v>42202</v>
      </c>
      <c r="X5497" s="1">
        <v>2475000</v>
      </c>
      <c r="Y5497" s="1">
        <v>2450000</v>
      </c>
      <c r="Z5497" s="5">
        <v>43271</v>
      </c>
      <c r="AA5497" s="1">
        <v>2321000</v>
      </c>
      <c r="AB5497" s="1" t="s">
        <v>3891</v>
      </c>
      <c r="AC5497" s="5">
        <v>43326</v>
      </c>
      <c r="AF5497" s="1">
        <v>10002</v>
      </c>
      <c r="AI5497" s="1" t="s">
        <v>48</v>
      </c>
      <c r="AJ5497" s="1">
        <v>2016</v>
      </c>
      <c r="AK5497" s="1" t="s">
        <v>49</v>
      </c>
      <c r="AL5497" s="1">
        <v>37</v>
      </c>
    </row>
    <row r="5498" spans="1:38" x14ac:dyDescent="0.2">
      <c r="A5498" s="2" t="str">
        <f>HYPERLINK("https://www.compass.com/listing/50-clinton-street-unit-2c-manhattan-ny-10002/70912370746066225/","50 Clinton St, Unit 2C")</f>
        <v>50 Clinton St, Unit 2C</v>
      </c>
      <c r="B5498" s="2" t="str">
        <f t="shared" si="918"/>
        <v>50 Clinton</v>
      </c>
      <c r="C5498" s="1" t="s">
        <v>47</v>
      </c>
      <c r="D5498" s="1" t="s">
        <v>41</v>
      </c>
      <c r="E5498" s="3">
        <v>2240150</v>
      </c>
      <c r="F5498" s="1">
        <v>1961.6024518388699</v>
      </c>
      <c r="G5498" s="1">
        <v>4</v>
      </c>
      <c r="H5498" s="1">
        <v>2</v>
      </c>
      <c r="I5498" s="1">
        <v>2</v>
      </c>
      <c r="J5498" s="1">
        <v>2</v>
      </c>
      <c r="K5498" s="1">
        <v>2</v>
      </c>
      <c r="M5498" s="4">
        <v>1142</v>
      </c>
      <c r="N5498" s="1">
        <v>1279</v>
      </c>
      <c r="O5498" s="1">
        <v>2245</v>
      </c>
      <c r="P5498" s="1">
        <v>966</v>
      </c>
      <c r="Q5498" s="1" t="s">
        <v>42</v>
      </c>
      <c r="S5498" s="1" t="s">
        <v>42</v>
      </c>
      <c r="T5498" s="1" t="s">
        <v>273</v>
      </c>
      <c r="V5498" s="5">
        <v>44351</v>
      </c>
      <c r="W5498" s="5">
        <v>42682</v>
      </c>
      <c r="X5498" s="1">
        <v>2200000</v>
      </c>
      <c r="Y5498" s="1">
        <v>2200000</v>
      </c>
      <c r="Z5498" s="5">
        <v>42682</v>
      </c>
      <c r="AA5498" s="1">
        <v>2240150</v>
      </c>
      <c r="AB5498" s="1" t="s">
        <v>3892</v>
      </c>
      <c r="AC5498" s="5">
        <v>43007</v>
      </c>
      <c r="AF5498" s="1">
        <v>10002</v>
      </c>
      <c r="AI5498" s="1" t="s">
        <v>48</v>
      </c>
      <c r="AJ5498" s="1">
        <v>2016</v>
      </c>
      <c r="AK5498" s="1" t="s">
        <v>49</v>
      </c>
      <c r="AL5498" s="1">
        <v>37</v>
      </c>
    </row>
    <row r="5499" spans="1:38" x14ac:dyDescent="0.2">
      <c r="A5499" s="2" t="str">
        <f>HYPERLINK("https://www.compass.com/listing/196-orchard-street-unit-5e-manhattan-ny-10002/166347756879741457/","196 Orchard St, Unit 5E")</f>
        <v>196 Orchard St, Unit 5E</v>
      </c>
      <c r="B5499" s="2" t="str">
        <f t="shared" ref="B5499:B5503" si="919">HYPERLINK("https://www.compass.com/building/196-orchard-st-manhattan-ny-10002/281886194713760485/","196 Orchard St")</f>
        <v>196 Orchard St</v>
      </c>
      <c r="C5499" s="1" t="s">
        <v>47</v>
      </c>
      <c r="D5499" s="1" t="s">
        <v>41</v>
      </c>
      <c r="E5499" s="3">
        <v>1465000</v>
      </c>
      <c r="F5499" s="1">
        <v>2110.9510086455298</v>
      </c>
      <c r="H5499" s="1">
        <v>1</v>
      </c>
      <c r="J5499" s="1">
        <v>1</v>
      </c>
      <c r="M5499" s="1">
        <v>694</v>
      </c>
      <c r="N5499" s="1">
        <v>911.65</v>
      </c>
      <c r="O5499" s="1">
        <v>1825.02</v>
      </c>
      <c r="P5499" s="1">
        <v>913.33333333333303</v>
      </c>
      <c r="Q5499" s="1" t="s">
        <v>42</v>
      </c>
      <c r="S5499" s="1" t="s">
        <v>42</v>
      </c>
      <c r="T5499" s="1" t="s">
        <v>273</v>
      </c>
      <c r="AA5499" s="1">
        <v>1465000</v>
      </c>
      <c r="AB5499" s="1" t="s">
        <v>3893</v>
      </c>
      <c r="AC5499" s="5">
        <v>43475</v>
      </c>
      <c r="AF5499" s="1">
        <v>10002</v>
      </c>
      <c r="AI5499" s="1" t="s">
        <v>165</v>
      </c>
      <c r="AJ5499" s="1">
        <v>2018</v>
      </c>
      <c r="AK5499" s="1" t="s">
        <v>202</v>
      </c>
      <c r="AL5499" s="1">
        <v>89</v>
      </c>
    </row>
    <row r="5500" spans="1:38" x14ac:dyDescent="0.2">
      <c r="A5500" s="2" t="str">
        <f>HYPERLINK("https://www.compass.com/listing/196-orchard-street-unit-5r-manhattan-ny-10002/177222525338593729/","196 Orchard St, Unit 5R")</f>
        <v>196 Orchard St, Unit 5R</v>
      </c>
      <c r="B5500" s="2" t="str">
        <f t="shared" si="919"/>
        <v>196 Orchard St</v>
      </c>
      <c r="C5500" s="1" t="s">
        <v>47</v>
      </c>
      <c r="D5500" s="1" t="s">
        <v>41</v>
      </c>
      <c r="E5500" s="3">
        <v>1647474</v>
      </c>
      <c r="F5500" s="1">
        <v>1947.36849881796</v>
      </c>
      <c r="H5500" s="1">
        <v>1</v>
      </c>
      <c r="J5500" s="1">
        <v>1</v>
      </c>
      <c r="K5500" s="1">
        <v>1</v>
      </c>
      <c r="M5500" s="1">
        <v>846</v>
      </c>
      <c r="N5500" s="1">
        <v>1123</v>
      </c>
      <c r="O5500" s="1">
        <v>2237</v>
      </c>
      <c r="P5500" s="1">
        <v>1114</v>
      </c>
      <c r="Q5500" s="1" t="s">
        <v>42</v>
      </c>
      <c r="S5500" s="1" t="s">
        <v>42</v>
      </c>
      <c r="T5500" s="1" t="s">
        <v>273</v>
      </c>
      <c r="AA5500" s="1">
        <v>1647473.75</v>
      </c>
      <c r="AB5500" s="1" t="s">
        <v>3894</v>
      </c>
      <c r="AC5500" s="5">
        <v>43481</v>
      </c>
      <c r="AF5500" s="1">
        <v>10002</v>
      </c>
      <c r="AI5500" s="1" t="s">
        <v>165</v>
      </c>
      <c r="AJ5500" s="1">
        <v>2018</v>
      </c>
      <c r="AK5500" s="1" t="s">
        <v>202</v>
      </c>
      <c r="AL5500" s="1">
        <v>89</v>
      </c>
    </row>
    <row r="5501" spans="1:38" x14ac:dyDescent="0.2">
      <c r="A5501" s="2" t="str">
        <f>HYPERLINK("https://www.compass.com/listing/196-orchard-street-unit-4e-manhattan-ny-10002/196071230204364769/","196 Orchard St, Unit 4E")</f>
        <v>196 Orchard St, Unit 4E</v>
      </c>
      <c r="B5501" s="2" t="str">
        <f t="shared" si="919"/>
        <v>196 Orchard St</v>
      </c>
      <c r="C5501" s="1" t="s">
        <v>47</v>
      </c>
      <c r="D5501" s="1" t="s">
        <v>41</v>
      </c>
      <c r="E5501" s="3">
        <v>1500000</v>
      </c>
      <c r="F5501" s="1">
        <v>2161.3832853025901</v>
      </c>
      <c r="H5501" s="1">
        <v>1</v>
      </c>
      <c r="J5501" s="1">
        <v>1</v>
      </c>
      <c r="K5501" s="1">
        <v>1</v>
      </c>
      <c r="M5501" s="1">
        <v>694</v>
      </c>
      <c r="N5501" s="1">
        <v>919</v>
      </c>
      <c r="O5501" s="1">
        <v>1832</v>
      </c>
      <c r="P5501" s="1">
        <v>913</v>
      </c>
      <c r="Q5501" s="1" t="s">
        <v>42</v>
      </c>
      <c r="S5501" s="1" t="s">
        <v>42</v>
      </c>
      <c r="T5501" s="1" t="s">
        <v>273</v>
      </c>
      <c r="AA5501" s="1">
        <v>1500000</v>
      </c>
      <c r="AB5501" s="1" t="s">
        <v>3895</v>
      </c>
      <c r="AC5501" s="5">
        <v>43504</v>
      </c>
      <c r="AF5501" s="1">
        <v>10002</v>
      </c>
      <c r="AI5501" s="1" t="s">
        <v>165</v>
      </c>
      <c r="AJ5501" s="1">
        <v>2018</v>
      </c>
      <c r="AK5501" s="1" t="s">
        <v>202</v>
      </c>
      <c r="AL5501" s="1">
        <v>89</v>
      </c>
    </row>
    <row r="5502" spans="1:38" x14ac:dyDescent="0.2">
      <c r="A5502" s="2" t="str">
        <f>HYPERLINK("https://www.compass.com/listing/196-orchard-street-unit-5c-manhattan-ny-10002/803395988949658025/","196 Orchard St, Unit 5C")</f>
        <v>196 Orchard St, Unit 5C</v>
      </c>
      <c r="B5502" s="2" t="str">
        <f t="shared" si="919"/>
        <v>196 Orchard St</v>
      </c>
      <c r="C5502" s="1" t="s">
        <v>47</v>
      </c>
      <c r="D5502" s="1" t="s">
        <v>41</v>
      </c>
      <c r="E5502" s="3">
        <v>1400000</v>
      </c>
      <c r="F5502" s="1">
        <v>1977.4011299435001</v>
      </c>
      <c r="G5502" s="1">
        <v>3</v>
      </c>
      <c r="H5502" s="1">
        <v>1</v>
      </c>
      <c r="I5502" s="1">
        <v>1</v>
      </c>
      <c r="J5502" s="1">
        <v>1</v>
      </c>
      <c r="K5502" s="1">
        <v>1</v>
      </c>
      <c r="M5502" s="1">
        <v>708</v>
      </c>
      <c r="N5502" s="1">
        <v>938</v>
      </c>
      <c r="O5502" s="1">
        <v>1870</v>
      </c>
      <c r="P5502" s="1">
        <v>932</v>
      </c>
      <c r="Q5502" s="1" t="s">
        <v>42</v>
      </c>
      <c r="S5502" s="1" t="s">
        <v>42</v>
      </c>
      <c r="T5502" s="1" t="s">
        <v>273</v>
      </c>
      <c r="U5502" s="1">
        <v>694</v>
      </c>
      <c r="V5502" s="5">
        <v>44338</v>
      </c>
      <c r="W5502" s="5">
        <v>42382</v>
      </c>
      <c r="X5502" s="1">
        <v>1435000</v>
      </c>
      <c r="Y5502" s="1">
        <v>1435000</v>
      </c>
      <c r="AA5502" s="1">
        <v>1400000</v>
      </c>
      <c r="AB5502" s="1" t="s">
        <v>3896</v>
      </c>
      <c r="AC5502" s="5">
        <v>43447</v>
      </c>
      <c r="AF5502" s="1">
        <v>10002</v>
      </c>
      <c r="AI5502" s="1" t="s">
        <v>165</v>
      </c>
      <c r="AJ5502" s="1">
        <v>2018</v>
      </c>
      <c r="AK5502" s="1" t="s">
        <v>46</v>
      </c>
      <c r="AL5502" s="1">
        <v>89</v>
      </c>
    </row>
    <row r="5503" spans="1:38" x14ac:dyDescent="0.2">
      <c r="A5503" s="2" t="str">
        <f>HYPERLINK("https://www.compass.com/listing/196-orchard-street-unit-5q-manhattan-ny-10002/116626966618112417/","196 Orchard St, Unit 5Q")</f>
        <v>196 Orchard St, Unit 5Q</v>
      </c>
      <c r="B5503" s="2" t="str">
        <f t="shared" si="919"/>
        <v>196 Orchard St</v>
      </c>
      <c r="C5503" s="1" t="s">
        <v>47</v>
      </c>
      <c r="D5503" s="1" t="s">
        <v>41</v>
      </c>
      <c r="E5503" s="3">
        <v>1180000</v>
      </c>
      <c r="F5503" s="1">
        <v>1720.1166180758</v>
      </c>
      <c r="G5503" s="1">
        <v>3</v>
      </c>
      <c r="H5503" s="1">
        <v>1</v>
      </c>
      <c r="I5503" s="1">
        <v>1</v>
      </c>
      <c r="J5503" s="1">
        <v>1</v>
      </c>
      <c r="K5503" s="1">
        <v>1</v>
      </c>
      <c r="M5503" s="1">
        <v>686</v>
      </c>
      <c r="N5503" s="1">
        <v>911</v>
      </c>
      <c r="O5503" s="1">
        <v>1814</v>
      </c>
      <c r="P5503" s="1">
        <v>903</v>
      </c>
      <c r="Q5503" s="1" t="s">
        <v>42</v>
      </c>
      <c r="S5503" s="1" t="s">
        <v>42</v>
      </c>
      <c r="T5503" s="1" t="s">
        <v>273</v>
      </c>
      <c r="V5503" s="5">
        <v>44338</v>
      </c>
      <c r="W5503" s="5">
        <v>43307</v>
      </c>
      <c r="X5503" s="1">
        <v>1300000</v>
      </c>
      <c r="Y5503" s="1">
        <v>1300000</v>
      </c>
      <c r="Z5503" s="5">
        <v>43307</v>
      </c>
      <c r="AA5503" s="1">
        <v>1180000</v>
      </c>
      <c r="AB5503" s="1" t="s">
        <v>3897</v>
      </c>
      <c r="AC5503" s="5">
        <v>43592</v>
      </c>
      <c r="AF5503" s="1">
        <v>10002</v>
      </c>
      <c r="AI5503" s="1" t="s">
        <v>165</v>
      </c>
      <c r="AJ5503" s="1">
        <v>2018</v>
      </c>
      <c r="AK5503" s="1" t="s">
        <v>46</v>
      </c>
      <c r="AL5503" s="1">
        <v>89</v>
      </c>
    </row>
    <row r="5504" spans="1:38" x14ac:dyDescent="0.2">
      <c r="A5504" s="2" t="str">
        <f>HYPERLINK("https://www.compass.com/listing/5-beekman-street-unit-23c-manhattan-ny-10038/761980372057900825/","5 Beekman St, Unit 23C")</f>
        <v>5 Beekman St, Unit 23C</v>
      </c>
      <c r="B5504" s="2" t="str">
        <f>HYPERLINK("https://www.compass.com/building/the-beekman-residences-manhattan-ny/282030567363458613/","The Beekman Residences")</f>
        <v>The Beekman Residences</v>
      </c>
      <c r="C5504" s="1" t="s">
        <v>96</v>
      </c>
      <c r="D5504" s="1" t="s">
        <v>41</v>
      </c>
      <c r="E5504" s="3">
        <v>1275000</v>
      </c>
      <c r="F5504" s="1">
        <v>1758.6206896551701</v>
      </c>
      <c r="G5504" s="1">
        <v>3</v>
      </c>
      <c r="H5504" s="1">
        <v>1</v>
      </c>
      <c r="J5504" s="1">
        <v>1</v>
      </c>
      <c r="M5504" s="1">
        <v>725</v>
      </c>
      <c r="N5504" s="1">
        <v>1314</v>
      </c>
      <c r="O5504" s="1">
        <v>2703</v>
      </c>
      <c r="P5504" s="1">
        <v>1389</v>
      </c>
      <c r="S5504" s="1" t="s">
        <v>42</v>
      </c>
      <c r="T5504" s="1" t="s">
        <v>273</v>
      </c>
      <c r="U5504" s="1">
        <v>55</v>
      </c>
      <c r="V5504" s="5">
        <v>44362</v>
      </c>
      <c r="W5504" s="5">
        <v>44302</v>
      </c>
      <c r="X5504" s="1">
        <v>1275000</v>
      </c>
      <c r="Y5504" s="1">
        <v>1275000</v>
      </c>
      <c r="AA5504" s="1">
        <v>1275000</v>
      </c>
      <c r="AB5504" s="1" t="s">
        <v>275</v>
      </c>
      <c r="AC5504" s="5">
        <v>44357</v>
      </c>
      <c r="AF5504" s="1">
        <v>10038</v>
      </c>
      <c r="AI5504" s="1" t="s">
        <v>3898</v>
      </c>
      <c r="AJ5504" s="1">
        <v>2015</v>
      </c>
      <c r="AK5504" s="1" t="s">
        <v>49</v>
      </c>
      <c r="AL5504" s="1">
        <v>67</v>
      </c>
    </row>
    <row r="5505" spans="1:38" x14ac:dyDescent="0.2">
      <c r="A5505" s="2" t="str">
        <f>HYPERLINK("https://www.compass.com/listing/50-west-street-unit-42c-manhattan-ny-10006/29355222014951505/","50 West St, Unit 42C")</f>
        <v>50 West St, Unit 42C</v>
      </c>
      <c r="B5505" s="2" t="str">
        <f t="shared" ref="B5505:B5506" si="920">HYPERLINK("https://www.compass.com/building/50-west-st-manhattan-ny-10006/281896342152815429/","50 West St")</f>
        <v>50 West St</v>
      </c>
      <c r="C5505" s="1" t="s">
        <v>96</v>
      </c>
      <c r="D5505" s="1" t="s">
        <v>41</v>
      </c>
      <c r="E5505" s="3">
        <v>3042750</v>
      </c>
      <c r="F5505" s="1">
        <v>1140.0337204945599</v>
      </c>
      <c r="H5505" s="1">
        <v>4</v>
      </c>
      <c r="J5505" s="1">
        <v>4</v>
      </c>
      <c r="K5505" s="1">
        <v>4</v>
      </c>
      <c r="M5505" s="4">
        <v>2669</v>
      </c>
      <c r="N5505" s="1">
        <v>3375.84</v>
      </c>
      <c r="O5505" s="1">
        <v>7140.32</v>
      </c>
      <c r="P5505" s="1">
        <v>3764.5</v>
      </c>
      <c r="Q5505" s="1" t="s">
        <v>42</v>
      </c>
      <c r="S5505" s="1" t="s">
        <v>42</v>
      </c>
      <c r="T5505" s="1" t="s">
        <v>273</v>
      </c>
      <c r="AA5505" s="1">
        <v>3042750</v>
      </c>
      <c r="AB5505" s="1" t="s">
        <v>3899</v>
      </c>
      <c r="AC5505" s="5">
        <v>43206</v>
      </c>
      <c r="AF5505" s="1">
        <v>10006</v>
      </c>
      <c r="AI5505" s="1" t="s">
        <v>97</v>
      </c>
      <c r="AJ5505" s="1">
        <v>2016</v>
      </c>
      <c r="AK5505" s="1" t="s">
        <v>49</v>
      </c>
      <c r="AL5505" s="1">
        <v>186</v>
      </c>
    </row>
    <row r="5506" spans="1:38" x14ac:dyDescent="0.2">
      <c r="A5506" s="2" t="str">
        <f>HYPERLINK("https://www.compass.com/listing/50-west-street-unit-42c-manhattan-ny-10006/483725833041868857/","50 West St, Unit 42C")</f>
        <v>50 West St, Unit 42C</v>
      </c>
      <c r="B5506" s="2" t="str">
        <f t="shared" si="920"/>
        <v>50 West St</v>
      </c>
      <c r="C5506" s="1" t="s">
        <v>96</v>
      </c>
      <c r="D5506" s="1" t="s">
        <v>41</v>
      </c>
      <c r="E5506" s="3">
        <v>3194888</v>
      </c>
      <c r="F5506" s="1">
        <v>1197.0354065192901</v>
      </c>
      <c r="H5506" s="1">
        <v>4</v>
      </c>
      <c r="J5506" s="1">
        <v>4</v>
      </c>
      <c r="K5506" s="1">
        <v>4</v>
      </c>
      <c r="M5506" s="4">
        <v>2669</v>
      </c>
      <c r="N5506" s="1">
        <v>3375.84</v>
      </c>
      <c r="O5506" s="1">
        <v>7140.32</v>
      </c>
      <c r="P5506" s="1">
        <v>3764.5</v>
      </c>
      <c r="Q5506" s="1" t="s">
        <v>42</v>
      </c>
      <c r="S5506" s="1" t="s">
        <v>42</v>
      </c>
      <c r="T5506" s="1" t="s">
        <v>273</v>
      </c>
      <c r="AA5506" s="1">
        <v>3194887.5</v>
      </c>
      <c r="AB5506" s="1" t="s">
        <v>3900</v>
      </c>
      <c r="AC5506" s="5">
        <v>42997</v>
      </c>
      <c r="AF5506" s="1">
        <v>10006</v>
      </c>
      <c r="AI5506" s="1" t="s">
        <v>97</v>
      </c>
      <c r="AJ5506" s="1">
        <v>2016</v>
      </c>
      <c r="AK5506" s="1" t="s">
        <v>49</v>
      </c>
      <c r="AL5506" s="1">
        <v>186</v>
      </c>
    </row>
    <row r="5507" spans="1:38" x14ac:dyDescent="0.2">
      <c r="A5507" s="2" t="str">
        <f>HYPERLINK("https://www.compass.com/listing/196-orchard-street-unit-6a-manhattan-ny-10002/359247698554770081/","196 Orchard St, Unit 6A")</f>
        <v>196 Orchard St, Unit 6A</v>
      </c>
      <c r="B5507" s="2" t="str">
        <f>HYPERLINK("https://www.compass.com/building/196-orchard-st-manhattan-ny-10002/281886194713760485/","196 Orchard St")</f>
        <v>196 Orchard St</v>
      </c>
      <c r="C5507" s="1" t="s">
        <v>47</v>
      </c>
      <c r="D5507" s="1" t="s">
        <v>41</v>
      </c>
      <c r="E5507" s="3">
        <v>1330000</v>
      </c>
      <c r="F5507" s="1">
        <v>1629.9019607843099</v>
      </c>
      <c r="G5507" s="1">
        <v>3</v>
      </c>
      <c r="H5507" s="1">
        <v>1</v>
      </c>
      <c r="I5507" s="1">
        <v>1</v>
      </c>
      <c r="J5507" s="1">
        <v>1</v>
      </c>
      <c r="K5507" s="1">
        <v>1</v>
      </c>
      <c r="M5507" s="1">
        <v>816</v>
      </c>
      <c r="N5507" s="1">
        <v>1083</v>
      </c>
      <c r="O5507" s="1">
        <v>2157</v>
      </c>
      <c r="P5507" s="1">
        <v>1074</v>
      </c>
      <c r="Q5507" s="1" t="s">
        <v>42</v>
      </c>
      <c r="S5507" s="1" t="s">
        <v>42</v>
      </c>
      <c r="T5507" s="1" t="s">
        <v>273</v>
      </c>
      <c r="U5507" s="1">
        <v>375</v>
      </c>
      <c r="V5507" s="5">
        <v>44338</v>
      </c>
      <c r="W5507" s="5">
        <v>43412</v>
      </c>
      <c r="X5507" s="1">
        <v>1575000</v>
      </c>
      <c r="Y5507" s="1">
        <v>1575000</v>
      </c>
      <c r="AA5507" s="1">
        <v>1330000</v>
      </c>
      <c r="AB5507" s="1" t="s">
        <v>3901</v>
      </c>
      <c r="AC5507" s="5">
        <v>43864</v>
      </c>
      <c r="AF5507" s="1">
        <v>10002</v>
      </c>
      <c r="AI5507" s="1" t="s">
        <v>165</v>
      </c>
      <c r="AJ5507" s="1">
        <v>2018</v>
      </c>
      <c r="AK5507" s="1" t="s">
        <v>49</v>
      </c>
      <c r="AL5507" s="1">
        <v>89</v>
      </c>
    </row>
    <row r="5508" spans="1:38" x14ac:dyDescent="0.2">
      <c r="A5508" s="2" t="str">
        <f>HYPERLINK("https://www.compass.com/listing/50-clinton-street-unit-phb-manhattan-ny-10002/29360673762941201/","50 Clinton St, Unit PHB")</f>
        <v>50 Clinton St, Unit PHB</v>
      </c>
      <c r="B5508" s="2" t="str">
        <f>HYPERLINK("https://www.compass.com/building/50-clinton-manhattan-ny/281887574832709909/","50 Clinton")</f>
        <v>50 Clinton</v>
      </c>
      <c r="C5508" s="1" t="s">
        <v>47</v>
      </c>
      <c r="D5508" s="1" t="s">
        <v>41</v>
      </c>
      <c r="E5508" s="3">
        <v>3700000</v>
      </c>
      <c r="F5508" s="1">
        <v>2971.8875502008</v>
      </c>
      <c r="G5508" s="1">
        <v>6</v>
      </c>
      <c r="H5508" s="1">
        <v>3</v>
      </c>
      <c r="I5508" s="1">
        <v>2</v>
      </c>
      <c r="J5508" s="1">
        <v>2</v>
      </c>
      <c r="K5508" s="1">
        <v>2</v>
      </c>
      <c r="M5508" s="4">
        <v>1245</v>
      </c>
      <c r="N5508" s="1">
        <v>1546</v>
      </c>
      <c r="O5508" s="1">
        <v>2687</v>
      </c>
      <c r="P5508" s="1">
        <v>1141</v>
      </c>
      <c r="Q5508" s="1" t="s">
        <v>42</v>
      </c>
      <c r="S5508" s="1" t="s">
        <v>42</v>
      </c>
      <c r="T5508" s="1" t="s">
        <v>273</v>
      </c>
      <c r="U5508" s="1">
        <v>82</v>
      </c>
      <c r="V5508" s="5">
        <v>44406</v>
      </c>
      <c r="W5508" s="5">
        <v>42804</v>
      </c>
      <c r="X5508" s="1">
        <v>3750000</v>
      </c>
      <c r="Y5508" s="1">
        <v>3750000</v>
      </c>
      <c r="Z5508" s="5">
        <v>42886</v>
      </c>
      <c r="AA5508" s="1">
        <v>3700000</v>
      </c>
      <c r="AB5508" s="1" t="s">
        <v>3902</v>
      </c>
      <c r="AC5508" s="5">
        <v>43137</v>
      </c>
      <c r="AF5508" s="1">
        <v>10002</v>
      </c>
      <c r="AI5508" s="1" t="s">
        <v>61</v>
      </c>
      <c r="AJ5508" s="1">
        <v>2016</v>
      </c>
      <c r="AK5508" s="1" t="s">
        <v>49</v>
      </c>
      <c r="AL5508" s="1">
        <v>37</v>
      </c>
    </row>
    <row r="5509" spans="1:38" x14ac:dyDescent="0.2">
      <c r="A5509" s="2" t="str">
        <f>HYPERLINK("https://www.compass.com/listing/5-beekman-street-unit-18a-manhattan-ny-10038/29357223050342145/","5 Beekman St, Unit 18A")</f>
        <v>5 Beekman St, Unit 18A</v>
      </c>
      <c r="B5509" s="2" t="str">
        <f t="shared" ref="B5509:B5512" si="921">HYPERLINK("https://www.compass.com/building/the-beekman-residences-manhattan-ny/282030567363458613/","The Beekman Residences")</f>
        <v>The Beekman Residences</v>
      </c>
      <c r="C5509" s="1" t="s">
        <v>96</v>
      </c>
      <c r="D5509" s="1" t="s">
        <v>41</v>
      </c>
      <c r="E5509" s="3">
        <v>3062524</v>
      </c>
      <c r="F5509" s="1">
        <v>1884.6301538461501</v>
      </c>
      <c r="G5509" s="1">
        <v>4</v>
      </c>
      <c r="H5509" s="1">
        <v>2</v>
      </c>
      <c r="I5509" s="1">
        <v>2</v>
      </c>
      <c r="J5509" s="1">
        <v>2</v>
      </c>
      <c r="M5509" s="4">
        <v>1625</v>
      </c>
      <c r="N5509" s="1">
        <v>2254</v>
      </c>
      <c r="O5509" s="1">
        <v>4554</v>
      </c>
      <c r="P5509" s="1">
        <v>2300</v>
      </c>
      <c r="Q5509" s="1" t="s">
        <v>42</v>
      </c>
      <c r="S5509" s="1" t="s">
        <v>42</v>
      </c>
      <c r="T5509" s="1" t="s">
        <v>273</v>
      </c>
      <c r="V5509" s="5">
        <v>43675</v>
      </c>
      <c r="W5509" s="5">
        <v>41976</v>
      </c>
      <c r="X5509" s="1">
        <v>3015000</v>
      </c>
      <c r="Y5509" s="1">
        <v>3015000</v>
      </c>
      <c r="Z5509" s="5">
        <v>41976</v>
      </c>
      <c r="AA5509" s="1">
        <v>3062524</v>
      </c>
      <c r="AB5509" s="1" t="s">
        <v>3903</v>
      </c>
      <c r="AC5509" s="5">
        <v>42609</v>
      </c>
      <c r="AF5509" s="1">
        <v>10038</v>
      </c>
      <c r="AI5509" s="1" t="s">
        <v>101</v>
      </c>
      <c r="AJ5509" s="1">
        <v>2015</v>
      </c>
      <c r="AK5509" s="1" t="s">
        <v>49</v>
      </c>
      <c r="AL5509" s="1">
        <v>67</v>
      </c>
    </row>
    <row r="5510" spans="1:38" x14ac:dyDescent="0.2">
      <c r="A5510" s="2" t="str">
        <f>HYPERLINK("https://www.compass.com/listing/5-beekman-street-unit-28a-manhattan-ny-10038/29357232009342545/","5 Beekman St, Unit 28A")</f>
        <v>5 Beekman St, Unit 28A</v>
      </c>
      <c r="B5510" s="2" t="str">
        <f t="shared" si="921"/>
        <v>The Beekman Residences</v>
      </c>
      <c r="C5510" s="1" t="s">
        <v>96</v>
      </c>
      <c r="D5510" s="1" t="s">
        <v>41</v>
      </c>
      <c r="E5510" s="3">
        <v>3131119</v>
      </c>
      <c r="F5510" s="1">
        <v>2244.5295698924701</v>
      </c>
      <c r="G5510" s="1">
        <v>4</v>
      </c>
      <c r="H5510" s="1">
        <v>2</v>
      </c>
      <c r="I5510" s="1">
        <v>3</v>
      </c>
      <c r="J5510" s="1">
        <v>2.5</v>
      </c>
      <c r="M5510" s="4">
        <v>1395</v>
      </c>
      <c r="N5510" s="1">
        <v>1935</v>
      </c>
      <c r="O5510" s="1">
        <v>3910</v>
      </c>
      <c r="P5510" s="1">
        <v>1975</v>
      </c>
      <c r="Q5510" s="1" t="s">
        <v>42</v>
      </c>
      <c r="S5510" s="1" t="s">
        <v>42</v>
      </c>
      <c r="T5510" s="1" t="s">
        <v>273</v>
      </c>
      <c r="U5510" s="1">
        <v>1</v>
      </c>
      <c r="V5510" s="5">
        <v>43601</v>
      </c>
      <c r="W5510" s="5">
        <v>41975</v>
      </c>
      <c r="X5510" s="1">
        <v>3075000</v>
      </c>
      <c r="Y5510" s="1">
        <v>3075000</v>
      </c>
      <c r="Z5510" s="5">
        <v>41977</v>
      </c>
      <c r="AA5510" s="1">
        <v>3131118.75</v>
      </c>
      <c r="AB5510" s="1" t="s">
        <v>3904</v>
      </c>
      <c r="AC5510" s="5">
        <v>42901</v>
      </c>
      <c r="AF5510" s="1">
        <v>10038</v>
      </c>
      <c r="AI5510" s="1" t="s">
        <v>101</v>
      </c>
      <c r="AJ5510" s="1">
        <v>2015</v>
      </c>
      <c r="AK5510" s="1" t="s">
        <v>49</v>
      </c>
      <c r="AL5510" s="1">
        <v>67</v>
      </c>
    </row>
    <row r="5511" spans="1:38" x14ac:dyDescent="0.2">
      <c r="A5511" s="2" t="str">
        <f>HYPERLINK("https://www.compass.com/listing/5-beekman-street-unit-29a-manhattan-ny-10038/4852274520926470113/","5 Beekman St, Unit 29A")</f>
        <v>5 Beekman St, Unit 29A</v>
      </c>
      <c r="B5511" s="2" t="str">
        <f t="shared" si="921"/>
        <v>The Beekman Residences</v>
      </c>
      <c r="C5511" s="1" t="s">
        <v>96</v>
      </c>
      <c r="D5511" s="1" t="s">
        <v>41</v>
      </c>
      <c r="E5511" s="3">
        <v>2850000</v>
      </c>
      <c r="F5511" s="1">
        <v>2043.01075268817</v>
      </c>
      <c r="G5511" s="1">
        <v>4</v>
      </c>
      <c r="H5511" s="1">
        <v>2</v>
      </c>
      <c r="I5511" s="1">
        <v>3</v>
      </c>
      <c r="J5511" s="1">
        <v>2.5</v>
      </c>
      <c r="K5511" s="1">
        <v>2</v>
      </c>
      <c r="L5511" s="1">
        <v>1</v>
      </c>
      <c r="M5511" s="4">
        <v>1395</v>
      </c>
      <c r="N5511" s="1">
        <v>1935</v>
      </c>
      <c r="O5511" s="1">
        <v>3910</v>
      </c>
      <c r="P5511" s="1">
        <v>1975</v>
      </c>
      <c r="Q5511" s="1" t="s">
        <v>42</v>
      </c>
      <c r="S5511" s="1" t="s">
        <v>42</v>
      </c>
      <c r="T5511" s="1" t="s">
        <v>273</v>
      </c>
      <c r="V5511" s="5">
        <v>44225</v>
      </c>
      <c r="W5511" s="5">
        <v>42392</v>
      </c>
      <c r="X5511" s="1">
        <v>2850000</v>
      </c>
      <c r="Y5511" s="1">
        <v>2850000</v>
      </c>
      <c r="Z5511" s="5">
        <v>42392</v>
      </c>
      <c r="AA5511" s="1">
        <v>2850000</v>
      </c>
      <c r="AB5511" s="1" t="s">
        <v>275</v>
      </c>
      <c r="AC5511" s="5">
        <v>42892</v>
      </c>
      <c r="AF5511" s="1">
        <v>10038</v>
      </c>
      <c r="AI5511" s="1" t="s">
        <v>101</v>
      </c>
      <c r="AJ5511" s="1">
        <v>2015</v>
      </c>
      <c r="AK5511" s="1" t="s">
        <v>49</v>
      </c>
      <c r="AL5511" s="1">
        <v>67</v>
      </c>
    </row>
    <row r="5512" spans="1:38" x14ac:dyDescent="0.2">
      <c r="A5512" s="2" t="str">
        <f>HYPERLINK("https://www.compass.com/listing/5-beekman-street-unit-23b-manhattan-ny-10038/212939178403531153/","5 Beekman St, Unit 23B")</f>
        <v>5 Beekman St, Unit 23B</v>
      </c>
      <c r="B5512" s="2" t="str">
        <f t="shared" si="921"/>
        <v>The Beekman Residences</v>
      </c>
      <c r="C5512" s="1" t="s">
        <v>96</v>
      </c>
      <c r="D5512" s="1" t="s">
        <v>41</v>
      </c>
      <c r="E5512" s="3">
        <v>2036500</v>
      </c>
      <c r="F5512" s="1">
        <v>2381.8713450292398</v>
      </c>
      <c r="G5512" s="1">
        <v>3</v>
      </c>
      <c r="H5512" s="1">
        <v>1</v>
      </c>
      <c r="I5512" s="1">
        <v>1</v>
      </c>
      <c r="J5512" s="1">
        <v>1</v>
      </c>
      <c r="K5512" s="1">
        <v>1</v>
      </c>
      <c r="M5512" s="1">
        <v>855</v>
      </c>
      <c r="N5512" s="1">
        <v>1186</v>
      </c>
      <c r="O5512" s="1">
        <v>2396</v>
      </c>
      <c r="P5512" s="1">
        <v>1210</v>
      </c>
      <c r="Q5512" s="1" t="s">
        <v>42</v>
      </c>
      <c r="S5512" s="1" t="s">
        <v>42</v>
      </c>
      <c r="T5512" s="1" t="s">
        <v>273</v>
      </c>
      <c r="V5512" s="5">
        <v>44342</v>
      </c>
      <c r="W5512" s="5">
        <v>42318</v>
      </c>
      <c r="X5512" s="1">
        <v>2000000</v>
      </c>
      <c r="Y5512" s="1">
        <v>2000000</v>
      </c>
      <c r="Z5512" s="5">
        <v>42318</v>
      </c>
      <c r="AA5512" s="1">
        <v>2036500</v>
      </c>
      <c r="AB5512" s="1" t="s">
        <v>275</v>
      </c>
      <c r="AC5512" s="5">
        <v>42760</v>
      </c>
      <c r="AF5512" s="1">
        <v>10038</v>
      </c>
      <c r="AI5512" s="1" t="s">
        <v>101</v>
      </c>
      <c r="AJ5512" s="1">
        <v>2015</v>
      </c>
      <c r="AK5512" s="1" t="s">
        <v>49</v>
      </c>
      <c r="AL5512" s="1">
        <v>67</v>
      </c>
    </row>
    <row r="5513" spans="1:38" x14ac:dyDescent="0.2">
      <c r="A5513" s="2" t="str">
        <f>HYPERLINK("https://www.compass.com/listing/50-west-street-unit-9b-manhattan-ny-10006/29355195095910337/","50 West St, Unit 9B")</f>
        <v>50 West St, Unit 9B</v>
      </c>
      <c r="B5513" s="2" t="str">
        <f t="shared" ref="B5513:B5516" si="922">HYPERLINK("https://www.compass.com/building/50-west-st-manhattan-ny-10006/281896342152815429/","50 West St")</f>
        <v>50 West St</v>
      </c>
      <c r="C5513" s="1" t="s">
        <v>96</v>
      </c>
      <c r="D5513" s="1" t="s">
        <v>41</v>
      </c>
      <c r="E5513" s="3">
        <v>4235920</v>
      </c>
      <c r="F5513" s="1">
        <v>1834.52576873105</v>
      </c>
      <c r="H5513" s="1">
        <v>3</v>
      </c>
      <c r="J5513" s="1">
        <v>3.5</v>
      </c>
      <c r="K5513" s="1">
        <v>3</v>
      </c>
      <c r="L5513" s="1">
        <v>1</v>
      </c>
      <c r="M5513" s="4">
        <v>2309</v>
      </c>
      <c r="N5513" s="1">
        <v>2524</v>
      </c>
      <c r="O5513" s="1">
        <v>5676</v>
      </c>
      <c r="P5513" s="1">
        <v>3152</v>
      </c>
      <c r="Q5513" s="1" t="s">
        <v>42</v>
      </c>
      <c r="S5513" s="1" t="s">
        <v>42</v>
      </c>
      <c r="T5513" s="1" t="s">
        <v>273</v>
      </c>
      <c r="AA5513" s="1">
        <v>4235920</v>
      </c>
      <c r="AB5513" s="1" t="s">
        <v>3905</v>
      </c>
      <c r="AC5513" s="5">
        <v>42796</v>
      </c>
      <c r="AF5513" s="1">
        <v>10006</v>
      </c>
      <c r="AI5513" s="1" t="s">
        <v>97</v>
      </c>
      <c r="AJ5513" s="1">
        <v>2016</v>
      </c>
      <c r="AK5513" s="1" t="s">
        <v>49</v>
      </c>
      <c r="AL5513" s="1">
        <v>186</v>
      </c>
    </row>
    <row r="5514" spans="1:38" x14ac:dyDescent="0.2">
      <c r="A5514" s="2" t="str">
        <f>HYPERLINK("https://www.compass.com/listing/50-west-street-unit-ph58b-manhattan-ny-10006/480322027333920129/","50 West St, Unit PH58B")</f>
        <v>50 West St, Unit PH58B</v>
      </c>
      <c r="B5514" s="2" t="str">
        <f t="shared" si="922"/>
        <v>50 West St</v>
      </c>
      <c r="C5514" s="1" t="s">
        <v>96</v>
      </c>
      <c r="D5514" s="1" t="s">
        <v>41</v>
      </c>
      <c r="E5514" s="3">
        <v>4123913</v>
      </c>
      <c r="F5514" s="1">
        <v>1147.4436560934801</v>
      </c>
      <c r="H5514" s="1">
        <v>3</v>
      </c>
      <c r="J5514" s="1">
        <v>4</v>
      </c>
      <c r="K5514" s="1">
        <v>4</v>
      </c>
      <c r="M5514" s="4">
        <v>3594</v>
      </c>
      <c r="N5514" s="1">
        <v>4870</v>
      </c>
      <c r="O5514" s="1">
        <v>10301</v>
      </c>
      <c r="P5514" s="1">
        <v>5431</v>
      </c>
      <c r="Q5514" s="1" t="s">
        <v>42</v>
      </c>
      <c r="S5514" s="1" t="s">
        <v>42</v>
      </c>
      <c r="T5514" s="1" t="s">
        <v>273</v>
      </c>
      <c r="AA5514" s="1">
        <v>4123912.5</v>
      </c>
      <c r="AB5514" s="1" t="s">
        <v>3906</v>
      </c>
      <c r="AC5514" s="5">
        <v>42951</v>
      </c>
      <c r="AF5514" s="1">
        <v>10006</v>
      </c>
      <c r="AI5514" s="1" t="s">
        <v>97</v>
      </c>
      <c r="AJ5514" s="1">
        <v>2016</v>
      </c>
      <c r="AK5514" s="1" t="s">
        <v>49</v>
      </c>
      <c r="AL5514" s="1">
        <v>186</v>
      </c>
    </row>
    <row r="5515" spans="1:38" x14ac:dyDescent="0.2">
      <c r="A5515" s="2" t="str">
        <f>HYPERLINK("https://www.compass.com/listing/50-west-street-unit-32c-manhattan-ny-10006/483725798713738905/","50 West St, Unit 32C")</f>
        <v>50 West St, Unit 32C</v>
      </c>
      <c r="B5515" s="2" t="str">
        <f t="shared" si="922"/>
        <v>50 West St</v>
      </c>
      <c r="C5515" s="1" t="s">
        <v>96</v>
      </c>
      <c r="D5515" s="1" t="s">
        <v>41</v>
      </c>
      <c r="E5515" s="3">
        <v>12651756</v>
      </c>
      <c r="F5515" s="1">
        <v>2678.1871824724799</v>
      </c>
      <c r="H5515" s="1">
        <v>3</v>
      </c>
      <c r="J5515" s="1">
        <v>3.5</v>
      </c>
      <c r="K5515" s="1">
        <v>3</v>
      </c>
      <c r="L5515" s="1">
        <v>1</v>
      </c>
      <c r="M5515" s="4">
        <v>4724</v>
      </c>
      <c r="N5515" s="1">
        <v>2797.89</v>
      </c>
      <c r="O5515" s="1">
        <v>5917.85</v>
      </c>
      <c r="P5515" s="1">
        <v>3120</v>
      </c>
      <c r="Q5515" s="1" t="s">
        <v>42</v>
      </c>
      <c r="S5515" s="1" t="s">
        <v>42</v>
      </c>
      <c r="T5515" s="1" t="s">
        <v>273</v>
      </c>
      <c r="AA5515" s="1">
        <v>12651756.25</v>
      </c>
      <c r="AB5515" s="1" t="s">
        <v>3907</v>
      </c>
      <c r="AC5515" s="5">
        <v>42878</v>
      </c>
      <c r="AF5515" s="1">
        <v>10006</v>
      </c>
      <c r="AI5515" s="1" t="s">
        <v>97</v>
      </c>
      <c r="AJ5515" s="1">
        <v>2016</v>
      </c>
      <c r="AK5515" s="1" t="s">
        <v>49</v>
      </c>
      <c r="AL5515" s="1">
        <v>186</v>
      </c>
    </row>
    <row r="5516" spans="1:38" x14ac:dyDescent="0.2">
      <c r="A5516" s="2" t="str">
        <f>HYPERLINK("https://www.compass.com/listing/50-west-street-unit-51c-manhattan-ny-10006/483725869035601249/","50 West St, Unit 51C")</f>
        <v>50 West St, Unit 51C</v>
      </c>
      <c r="B5516" s="2" t="str">
        <f t="shared" si="922"/>
        <v>50 West St</v>
      </c>
      <c r="C5516" s="1" t="s">
        <v>96</v>
      </c>
      <c r="D5516" s="1" t="s">
        <v>41</v>
      </c>
      <c r="E5516" s="3">
        <v>11404400</v>
      </c>
      <c r="F5516" s="1">
        <v>2868.3098591549201</v>
      </c>
      <c r="H5516" s="1">
        <v>4</v>
      </c>
      <c r="J5516" s="1">
        <v>4</v>
      </c>
      <c r="K5516" s="1">
        <v>4</v>
      </c>
      <c r="M5516" s="4">
        <v>3976</v>
      </c>
      <c r="N5516" s="1">
        <v>3504.58</v>
      </c>
      <c r="O5516" s="1">
        <v>7412.62</v>
      </c>
      <c r="P5516" s="1">
        <v>3908</v>
      </c>
      <c r="Q5516" s="1" t="s">
        <v>42</v>
      </c>
      <c r="S5516" s="1" t="s">
        <v>42</v>
      </c>
      <c r="T5516" s="1" t="s">
        <v>273</v>
      </c>
      <c r="AA5516" s="1">
        <v>11404400</v>
      </c>
      <c r="AB5516" s="1" t="s">
        <v>3908</v>
      </c>
      <c r="AC5516" s="5">
        <v>42958</v>
      </c>
      <c r="AF5516" s="1">
        <v>10006</v>
      </c>
      <c r="AI5516" s="1" t="s">
        <v>97</v>
      </c>
      <c r="AJ5516" s="1">
        <v>2016</v>
      </c>
      <c r="AK5516" s="1" t="s">
        <v>49</v>
      </c>
      <c r="AL5516" s="1">
        <v>186</v>
      </c>
    </row>
    <row r="5517" spans="1:38" x14ac:dyDescent="0.2">
      <c r="A5517" s="2" t="str">
        <f>HYPERLINK("https://www.compass.com/listing/196-orchard-street-unit-4b-manhattan-ny-10002/167800316505389393/","196 Orchard St, Unit 4B")</f>
        <v>196 Orchard St, Unit 4B</v>
      </c>
      <c r="B5517" s="2" t="str">
        <f t="shared" ref="B5517:B5520" si="923">HYPERLINK("https://www.compass.com/building/196-orchard-st-manhattan-ny-10002/281886194713760485/","196 Orchard St")</f>
        <v>196 Orchard St</v>
      </c>
      <c r="C5517" s="1" t="s">
        <v>47</v>
      </c>
      <c r="D5517" s="1" t="s">
        <v>41</v>
      </c>
      <c r="E5517" s="3">
        <v>1275000</v>
      </c>
      <c r="F5517" s="1">
        <v>1940.63926940639</v>
      </c>
      <c r="G5517" s="1">
        <v>3</v>
      </c>
      <c r="H5517" s="1">
        <v>1</v>
      </c>
      <c r="I5517" s="1">
        <v>1</v>
      </c>
      <c r="J5517" s="1">
        <v>1</v>
      </c>
      <c r="K5517" s="1">
        <v>1</v>
      </c>
      <c r="M5517" s="1">
        <v>657</v>
      </c>
      <c r="N5517" s="1">
        <v>872</v>
      </c>
      <c r="O5517" s="1">
        <v>1737</v>
      </c>
      <c r="P5517" s="1">
        <v>865</v>
      </c>
      <c r="Q5517" s="1" t="s">
        <v>42</v>
      </c>
      <c r="S5517" s="1" t="s">
        <v>42</v>
      </c>
      <c r="T5517" s="1" t="s">
        <v>273</v>
      </c>
      <c r="U5517" s="1">
        <v>482</v>
      </c>
      <c r="V5517" s="5">
        <v>44338</v>
      </c>
      <c r="W5517" s="5">
        <v>42964</v>
      </c>
      <c r="X5517" s="1">
        <v>1275000</v>
      </c>
      <c r="Y5517" s="1">
        <v>1275000</v>
      </c>
      <c r="AA5517" s="1">
        <v>1275000</v>
      </c>
      <c r="AB5517" s="1" t="s">
        <v>3909</v>
      </c>
      <c r="AC5517" s="5">
        <v>43446</v>
      </c>
      <c r="AF5517" s="1">
        <v>10002</v>
      </c>
      <c r="AI5517" s="1" t="s">
        <v>165</v>
      </c>
      <c r="AJ5517" s="1">
        <v>2018</v>
      </c>
      <c r="AK5517" s="1" t="s">
        <v>46</v>
      </c>
      <c r="AL5517" s="1">
        <v>89</v>
      </c>
    </row>
    <row r="5518" spans="1:38" x14ac:dyDescent="0.2">
      <c r="A5518" s="2" t="str">
        <f>HYPERLINK("https://www.compass.com/listing/196-orchard-street-unit-6q-manhattan-ny-10002/221004599098673713/","196 Orchard St, Unit 6Q")</f>
        <v>196 Orchard St, Unit 6Q</v>
      </c>
      <c r="B5518" s="2" t="str">
        <f t="shared" si="923"/>
        <v>196 Orchard St</v>
      </c>
      <c r="C5518" s="1" t="s">
        <v>47</v>
      </c>
      <c r="D5518" s="1" t="s">
        <v>41</v>
      </c>
      <c r="E5518" s="3">
        <v>1243267</v>
      </c>
      <c r="F5518" s="1">
        <v>1812.34256559766</v>
      </c>
      <c r="G5518" s="1">
        <v>3</v>
      </c>
      <c r="H5518" s="1">
        <v>1</v>
      </c>
      <c r="I5518" s="1">
        <v>1</v>
      </c>
      <c r="J5518" s="1">
        <v>1</v>
      </c>
      <c r="K5518" s="1">
        <v>1</v>
      </c>
      <c r="M5518" s="1">
        <v>686</v>
      </c>
      <c r="N5518" s="1">
        <v>911</v>
      </c>
      <c r="O5518" s="1">
        <v>1814</v>
      </c>
      <c r="P5518" s="1">
        <v>903</v>
      </c>
      <c r="Q5518" s="1" t="s">
        <v>42</v>
      </c>
      <c r="S5518" s="1" t="s">
        <v>42</v>
      </c>
      <c r="T5518" s="1" t="s">
        <v>273</v>
      </c>
      <c r="U5518" s="1">
        <v>57</v>
      </c>
      <c r="V5518" s="5">
        <v>44338</v>
      </c>
      <c r="W5518" s="5">
        <v>43557</v>
      </c>
      <c r="X5518" s="1">
        <v>1250000</v>
      </c>
      <c r="Y5518" s="1">
        <v>1250000</v>
      </c>
      <c r="Z5518" s="5">
        <v>43614</v>
      </c>
      <c r="AA5518" s="1">
        <v>1243267</v>
      </c>
      <c r="AB5518" s="1" t="s">
        <v>3910</v>
      </c>
      <c r="AC5518" s="5">
        <v>43615</v>
      </c>
      <c r="AF5518" s="1">
        <v>10002</v>
      </c>
      <c r="AI5518" s="1" t="s">
        <v>223</v>
      </c>
      <c r="AJ5518" s="1">
        <v>2018</v>
      </c>
      <c r="AK5518" s="1" t="s">
        <v>46</v>
      </c>
      <c r="AL5518" s="1">
        <v>89</v>
      </c>
    </row>
    <row r="5519" spans="1:38" x14ac:dyDescent="0.2">
      <c r="A5519" s="2" t="str">
        <f>HYPERLINK("https://www.compass.com/listing/196-orchard-street-unit-8q-manhattan-ny-10002/282035810872712849/","196 Orchard St, Unit 8Q")</f>
        <v>196 Orchard St, Unit 8Q</v>
      </c>
      <c r="B5519" s="2" t="str">
        <f t="shared" si="923"/>
        <v>196 Orchard St</v>
      </c>
      <c r="C5519" s="1" t="s">
        <v>47</v>
      </c>
      <c r="D5519" s="1" t="s">
        <v>41</v>
      </c>
      <c r="E5519" s="3">
        <v>1272000</v>
      </c>
      <c r="F5519" s="1">
        <v>1854.2274052478101</v>
      </c>
      <c r="G5519" s="1">
        <v>3</v>
      </c>
      <c r="H5519" s="1">
        <v>1</v>
      </c>
      <c r="I5519" s="1">
        <v>1</v>
      </c>
      <c r="J5519" s="1">
        <v>1</v>
      </c>
      <c r="K5519" s="1">
        <v>1</v>
      </c>
      <c r="M5519" s="1">
        <v>686</v>
      </c>
      <c r="N5519" s="1">
        <v>911</v>
      </c>
      <c r="O5519" s="1">
        <v>1814</v>
      </c>
      <c r="P5519" s="1">
        <v>903</v>
      </c>
      <c r="Q5519" s="1" t="s">
        <v>42</v>
      </c>
      <c r="S5519" s="1" t="s">
        <v>42</v>
      </c>
      <c r="T5519" s="1" t="s">
        <v>273</v>
      </c>
      <c r="U5519" s="1">
        <v>1350</v>
      </c>
      <c r="V5519" s="5">
        <v>44338</v>
      </c>
      <c r="W5519" s="5">
        <v>42384</v>
      </c>
      <c r="X5519" s="1">
        <v>1325000</v>
      </c>
      <c r="Y5519" s="1">
        <v>1325000</v>
      </c>
      <c r="Z5519" s="5">
        <v>43735</v>
      </c>
      <c r="AA5519" s="1">
        <v>1272000</v>
      </c>
      <c r="AB5519" s="1" t="s">
        <v>3911</v>
      </c>
      <c r="AC5519" s="5">
        <v>43763</v>
      </c>
      <c r="AF5519" s="1">
        <v>10002</v>
      </c>
      <c r="AI5519" s="1" t="s">
        <v>165</v>
      </c>
      <c r="AJ5519" s="1">
        <v>2018</v>
      </c>
      <c r="AK5519" s="1" t="s">
        <v>46</v>
      </c>
      <c r="AL5519" s="1">
        <v>89</v>
      </c>
    </row>
    <row r="5520" spans="1:38" x14ac:dyDescent="0.2">
      <c r="A5520" s="2" t="str">
        <f>HYPERLINK("https://www.compass.com/listing/196-orchard-street-unit-7k-manhattan-ny-10002/92580576393005649/","196 Orchard St, Unit 7K")</f>
        <v>196 Orchard St, Unit 7K</v>
      </c>
      <c r="B5520" s="2" t="str">
        <f t="shared" si="923"/>
        <v>196 Orchard St</v>
      </c>
      <c r="C5520" s="1" t="s">
        <v>47</v>
      </c>
      <c r="D5520" s="1" t="s">
        <v>41</v>
      </c>
      <c r="E5520" s="3">
        <v>1275813</v>
      </c>
      <c r="F5520" s="1">
        <v>2203.4766839378199</v>
      </c>
      <c r="G5520" s="1">
        <v>2</v>
      </c>
      <c r="H5520" s="1" t="s">
        <v>99</v>
      </c>
      <c r="I5520" s="1">
        <v>1</v>
      </c>
      <c r="J5520" s="1">
        <v>1</v>
      </c>
      <c r="K5520" s="1">
        <v>1</v>
      </c>
      <c r="M5520" s="1">
        <v>579</v>
      </c>
      <c r="N5520" s="1">
        <v>769</v>
      </c>
      <c r="O5520" s="1">
        <v>1531</v>
      </c>
      <c r="P5520" s="1">
        <v>762</v>
      </c>
      <c r="Q5520" s="1" t="s">
        <v>42</v>
      </c>
      <c r="S5520" s="1" t="s">
        <v>42</v>
      </c>
      <c r="T5520" s="1" t="s">
        <v>273</v>
      </c>
      <c r="V5520" s="5">
        <v>44338</v>
      </c>
      <c r="W5520" s="5">
        <v>43380</v>
      </c>
      <c r="X5520" s="1">
        <v>1250000</v>
      </c>
      <c r="Y5520" s="1">
        <v>1250000</v>
      </c>
      <c r="Z5520" s="5">
        <v>43380</v>
      </c>
      <c r="AA5520" s="1">
        <v>1275813</v>
      </c>
      <c r="AB5520" s="1" t="s">
        <v>3912</v>
      </c>
      <c r="AC5520" s="5">
        <v>43496</v>
      </c>
      <c r="AF5520" s="1">
        <v>10002</v>
      </c>
      <c r="AI5520" s="1" t="s">
        <v>165</v>
      </c>
      <c r="AJ5520" s="1">
        <v>2018</v>
      </c>
      <c r="AK5520" s="1" t="s">
        <v>46</v>
      </c>
      <c r="AL5520" s="1">
        <v>89</v>
      </c>
    </row>
    <row r="5521" spans="1:38" x14ac:dyDescent="0.2">
      <c r="A5521" s="2" t="str">
        <f>HYPERLINK("https://www.compass.com/listing/5-beekman-street-unit-27a-manhattan-ny-10038/4852275573294111569/","5 Beekman St, Unit 27A")</f>
        <v>5 Beekman St, Unit 27A</v>
      </c>
      <c r="B5521" s="2" t="str">
        <f>HYPERLINK("https://www.compass.com/building/the-beekman-residences-manhattan-ny/282030567363458613/","The Beekman Residences")</f>
        <v>The Beekman Residences</v>
      </c>
      <c r="C5521" s="1" t="s">
        <v>96</v>
      </c>
      <c r="D5521" s="1" t="s">
        <v>41</v>
      </c>
      <c r="E5521" s="3">
        <v>2925000</v>
      </c>
      <c r="F5521" s="1">
        <v>2096.77419354838</v>
      </c>
      <c r="G5521" s="1">
        <v>4</v>
      </c>
      <c r="H5521" s="1">
        <v>2</v>
      </c>
      <c r="I5521" s="1">
        <v>3</v>
      </c>
      <c r="J5521" s="1">
        <v>2.5</v>
      </c>
      <c r="K5521" s="1">
        <v>2</v>
      </c>
      <c r="L5521" s="1">
        <v>1</v>
      </c>
      <c r="M5521" s="4">
        <v>1395</v>
      </c>
      <c r="N5521" s="1">
        <v>1935</v>
      </c>
      <c r="O5521" s="1">
        <v>3910</v>
      </c>
      <c r="P5521" s="1">
        <v>1975</v>
      </c>
      <c r="Q5521" s="1" t="s">
        <v>42</v>
      </c>
      <c r="S5521" s="1" t="s">
        <v>42</v>
      </c>
      <c r="T5521" s="1" t="s">
        <v>273</v>
      </c>
      <c r="V5521" s="5">
        <v>44370</v>
      </c>
      <c r="W5521" s="5">
        <v>41976</v>
      </c>
      <c r="X5521" s="1">
        <v>2925000</v>
      </c>
      <c r="Y5521" s="1">
        <v>2925000</v>
      </c>
      <c r="Z5521" s="5">
        <v>41976</v>
      </c>
      <c r="AA5521" s="1">
        <v>2925000</v>
      </c>
      <c r="AB5521" s="1" t="s">
        <v>275</v>
      </c>
      <c r="AC5521" s="5">
        <v>42937</v>
      </c>
      <c r="AF5521" s="1">
        <v>10038</v>
      </c>
      <c r="AI5521" s="1" t="s">
        <v>101</v>
      </c>
      <c r="AJ5521" s="1">
        <v>2015</v>
      </c>
      <c r="AK5521" s="1" t="s">
        <v>46</v>
      </c>
      <c r="AL5521" s="1">
        <v>67</v>
      </c>
    </row>
    <row r="5522" spans="1:38" x14ac:dyDescent="0.2">
      <c r="A5522" s="2" t="str">
        <f>HYPERLINK("https://www.compass.com/listing/196-orchard-street-unit-5j-manhattan-ny-10002/431145229276619241/","196 Orchard St, Unit 5J")</f>
        <v>196 Orchard St, Unit 5J</v>
      </c>
      <c r="B5522" s="2" t="str">
        <f>HYPERLINK("https://www.compass.com/building/196-orchard-st-manhattan-ny-10002/281886194713760485/","196 Orchard St")</f>
        <v>196 Orchard St</v>
      </c>
      <c r="C5522" s="1" t="s">
        <v>47</v>
      </c>
      <c r="D5522" s="1" t="s">
        <v>41</v>
      </c>
      <c r="E5522" s="3">
        <v>1265630</v>
      </c>
      <c r="F5522" s="1">
        <v>1669.6965699208399</v>
      </c>
      <c r="G5522" s="1">
        <v>3</v>
      </c>
      <c r="H5522" s="1">
        <v>1</v>
      </c>
      <c r="I5522" s="1">
        <v>1</v>
      </c>
      <c r="J5522" s="1">
        <v>1</v>
      </c>
      <c r="K5522" s="1">
        <v>1</v>
      </c>
      <c r="M5522" s="1">
        <v>758</v>
      </c>
      <c r="N5522" s="1">
        <v>1006</v>
      </c>
      <c r="O5522" s="1">
        <v>2004</v>
      </c>
      <c r="P5522" s="1">
        <v>998</v>
      </c>
      <c r="Q5522" s="1" t="s">
        <v>42</v>
      </c>
      <c r="S5522" s="1" t="s">
        <v>42</v>
      </c>
      <c r="T5522" s="1" t="s">
        <v>273</v>
      </c>
      <c r="U5522" s="1">
        <v>1</v>
      </c>
      <c r="V5522" s="5">
        <v>44248</v>
      </c>
      <c r="W5522" s="5">
        <v>43847</v>
      </c>
      <c r="X5522" s="1">
        <v>1550000</v>
      </c>
      <c r="Y5522" s="1">
        <v>1550000</v>
      </c>
      <c r="Z5522" s="5">
        <v>43849</v>
      </c>
      <c r="AA5522" s="1">
        <v>1265630</v>
      </c>
      <c r="AB5522" s="1" t="s">
        <v>3913</v>
      </c>
      <c r="AC5522" s="5">
        <v>43860</v>
      </c>
      <c r="AF5522" s="1">
        <v>10002</v>
      </c>
      <c r="AI5522" s="1" t="s">
        <v>165</v>
      </c>
      <c r="AJ5522" s="1">
        <v>2018</v>
      </c>
      <c r="AK5522" s="1" t="s">
        <v>125</v>
      </c>
      <c r="AL5522" s="1">
        <v>89</v>
      </c>
    </row>
    <row r="5523" spans="1:38" x14ac:dyDescent="0.2">
      <c r="A5523" s="2" t="str">
        <f>HYPERLINK("https://www.compass.com/listing/50-west-street-unit-7a-manhattan-ny-10006/29355193040701345/","50 West St, Unit 7A")</f>
        <v>50 West St, Unit 7A</v>
      </c>
      <c r="B5523" s="2" t="str">
        <f t="shared" ref="B5523:B5525" si="924">HYPERLINK("https://www.compass.com/building/50-west-st-manhattan-ny-10006/281896342152815429/","50 West St")</f>
        <v>50 West St</v>
      </c>
      <c r="C5523" s="1" t="s">
        <v>96</v>
      </c>
      <c r="D5523" s="1" t="s">
        <v>41</v>
      </c>
      <c r="E5523" s="3">
        <v>3767525</v>
      </c>
      <c r="F5523" s="1">
        <v>1599.11926994906</v>
      </c>
      <c r="G5523" s="1">
        <v>5</v>
      </c>
      <c r="H5523" s="1">
        <v>3</v>
      </c>
      <c r="I5523" s="1">
        <v>3</v>
      </c>
      <c r="J5523" s="1">
        <v>3</v>
      </c>
      <c r="K5523" s="1">
        <v>3</v>
      </c>
      <c r="M5523" s="4">
        <v>2356</v>
      </c>
      <c r="N5523" s="1">
        <v>2559.44</v>
      </c>
      <c r="O5523" s="1">
        <v>5413.5</v>
      </c>
      <c r="P5523" s="1">
        <v>2854.0833333333298</v>
      </c>
      <c r="Q5523" s="1" t="s">
        <v>42</v>
      </c>
      <c r="S5523" s="1" t="s">
        <v>42</v>
      </c>
      <c r="T5523" s="1" t="s">
        <v>273</v>
      </c>
      <c r="V5523" s="5">
        <v>43664</v>
      </c>
      <c r="W5523" s="5">
        <v>42390</v>
      </c>
      <c r="X5523" s="1">
        <v>3700000</v>
      </c>
      <c r="Y5523" s="1">
        <v>3700000</v>
      </c>
      <c r="Z5523" s="5">
        <v>42390</v>
      </c>
      <c r="AA5523" s="1">
        <v>3767525</v>
      </c>
      <c r="AB5523" s="1" t="s">
        <v>3914</v>
      </c>
      <c r="AC5523" s="5">
        <v>42846</v>
      </c>
      <c r="AF5523" s="1">
        <v>10006</v>
      </c>
      <c r="AI5523" s="1" t="s">
        <v>97</v>
      </c>
      <c r="AJ5523" s="1">
        <v>2016</v>
      </c>
      <c r="AK5523" s="1" t="s">
        <v>46</v>
      </c>
      <c r="AL5523" s="1">
        <v>186</v>
      </c>
    </row>
    <row r="5524" spans="1:38" x14ac:dyDescent="0.2">
      <c r="A5524" s="2" t="str">
        <f>HYPERLINK("https://www.compass.com/listing/50-west-street-unit-15a-manhattan-ny-10006/29355198459739793/","50 West St, Unit 15A")</f>
        <v>50 West St, Unit 15A</v>
      </c>
      <c r="B5524" s="2" t="str">
        <f t="shared" si="924"/>
        <v>50 West St</v>
      </c>
      <c r="C5524" s="1" t="s">
        <v>96</v>
      </c>
      <c r="D5524" s="1" t="s">
        <v>41</v>
      </c>
      <c r="E5524" s="3">
        <v>2571081</v>
      </c>
      <c r="F5524" s="1">
        <v>1546.9801444043301</v>
      </c>
      <c r="G5524" s="1">
        <v>4</v>
      </c>
      <c r="H5524" s="1">
        <v>2</v>
      </c>
      <c r="I5524" s="1">
        <v>3</v>
      </c>
      <c r="J5524" s="1">
        <v>2.5</v>
      </c>
      <c r="K5524" s="1">
        <v>2</v>
      </c>
      <c r="L5524" s="1">
        <v>1</v>
      </c>
      <c r="M5524" s="4">
        <v>1662</v>
      </c>
      <c r="N5524" s="1">
        <v>2868.08</v>
      </c>
      <c r="O5524" s="1">
        <v>4951.2</v>
      </c>
      <c r="P5524" s="1">
        <v>2083.0833333333298</v>
      </c>
      <c r="Q5524" s="1" t="s">
        <v>42</v>
      </c>
      <c r="S5524" s="1" t="s">
        <v>42</v>
      </c>
      <c r="T5524" s="1" t="s">
        <v>273</v>
      </c>
      <c r="U5524" s="1">
        <v>24</v>
      </c>
      <c r="V5524" s="5">
        <v>43664</v>
      </c>
      <c r="W5524" s="5">
        <v>41920</v>
      </c>
      <c r="X5524" s="1">
        <v>2525000</v>
      </c>
      <c r="Y5524" s="1">
        <v>2525000</v>
      </c>
      <c r="Z5524" s="5">
        <v>41944</v>
      </c>
      <c r="AA5524" s="1">
        <v>2571081</v>
      </c>
      <c r="AB5524" s="1" t="s">
        <v>3915</v>
      </c>
      <c r="AC5524" s="5">
        <v>42782</v>
      </c>
      <c r="AF5524" s="1">
        <v>10006</v>
      </c>
      <c r="AI5524" s="1" t="s">
        <v>97</v>
      </c>
      <c r="AJ5524" s="1">
        <v>2016</v>
      </c>
      <c r="AK5524" s="1" t="s">
        <v>46</v>
      </c>
      <c r="AL5524" s="1">
        <v>186</v>
      </c>
    </row>
    <row r="5525" spans="1:38" x14ac:dyDescent="0.2">
      <c r="A5525" s="2" t="str">
        <f>HYPERLINK("https://www.compass.com/listing/50-west-street-unit-32a-manhattan-ny-10006/29512673108513265/","50 West St, Unit 32A")</f>
        <v>50 West St, Unit 32A</v>
      </c>
      <c r="B5525" s="2" t="str">
        <f t="shared" si="924"/>
        <v>50 West St</v>
      </c>
      <c r="C5525" s="1" t="s">
        <v>96</v>
      </c>
      <c r="D5525" s="1" t="s">
        <v>41</v>
      </c>
      <c r="E5525" s="3">
        <v>2123051</v>
      </c>
      <c r="F5525" s="1">
        <v>1849.3475609755999</v>
      </c>
      <c r="G5525" s="1">
        <v>3</v>
      </c>
      <c r="H5525" s="1">
        <v>1</v>
      </c>
      <c r="I5525" s="1">
        <v>2</v>
      </c>
      <c r="J5525" s="1">
        <v>1.5</v>
      </c>
      <c r="K5525" s="1">
        <v>1</v>
      </c>
      <c r="L5525" s="1">
        <v>1</v>
      </c>
      <c r="M5525" s="4">
        <v>1148</v>
      </c>
      <c r="N5525" s="1">
        <v>1395.3</v>
      </c>
      <c r="O5525" s="1">
        <v>2951.22</v>
      </c>
      <c r="P5525" s="1">
        <v>1555.9166666666599</v>
      </c>
      <c r="Q5525" s="1" t="s">
        <v>42</v>
      </c>
      <c r="S5525" s="1" t="s">
        <v>42</v>
      </c>
      <c r="T5525" s="1" t="s">
        <v>273</v>
      </c>
      <c r="U5525" s="1">
        <v>132</v>
      </c>
      <c r="V5525" s="5">
        <v>43676</v>
      </c>
      <c r="W5525" s="5">
        <v>41854</v>
      </c>
      <c r="X5525" s="1">
        <v>1985000</v>
      </c>
      <c r="Y5525" s="1">
        <v>2085000</v>
      </c>
      <c r="Z5525" s="5">
        <v>41986</v>
      </c>
      <c r="AA5525" s="1">
        <v>2123051</v>
      </c>
      <c r="AB5525" s="1" t="s">
        <v>3916</v>
      </c>
      <c r="AC5525" s="5">
        <v>42791</v>
      </c>
      <c r="AF5525" s="1">
        <v>10006</v>
      </c>
      <c r="AI5525" s="1" t="s">
        <v>97</v>
      </c>
      <c r="AJ5525" s="1">
        <v>2016</v>
      </c>
      <c r="AK5525" s="1" t="s">
        <v>46</v>
      </c>
      <c r="AL5525" s="1">
        <v>186</v>
      </c>
    </row>
    <row r="5526" spans="1:38" x14ac:dyDescent="0.2">
      <c r="A5526" s="2" t="str">
        <f>HYPERLINK("https://www.compass.com/listing/252-south-street-unit-8n-manhattan-ny-10002/218533623094179297/","252 South St, Unit 8N")</f>
        <v>252 South St, Unit 8N</v>
      </c>
      <c r="B5526" s="2" t="str">
        <f t="shared" ref="B5526:B5527" si="925">HYPERLINK("https://www.compass.com/building/one-manhattan-square-manhattan-ny/294844950218926165/","One Manhattan Square")</f>
        <v>One Manhattan Square</v>
      </c>
      <c r="C5526" s="1" t="s">
        <v>47</v>
      </c>
      <c r="D5526" s="1" t="s">
        <v>41</v>
      </c>
      <c r="E5526" s="3">
        <v>1239586</v>
      </c>
      <c r="F5526" s="1">
        <v>1783.57628776978</v>
      </c>
      <c r="M5526" s="1">
        <v>695</v>
      </c>
      <c r="Q5526" s="1" t="s">
        <v>42</v>
      </c>
      <c r="S5526" s="1" t="s">
        <v>42</v>
      </c>
      <c r="T5526" s="1" t="s">
        <v>273</v>
      </c>
      <c r="AA5526" s="1">
        <v>1239585.52</v>
      </c>
      <c r="AB5526" s="1" t="s">
        <v>3917</v>
      </c>
      <c r="AC5526" s="5">
        <v>43544</v>
      </c>
      <c r="AF5526" s="1">
        <v>10002</v>
      </c>
      <c r="AI5526" s="1" t="s">
        <v>66</v>
      </c>
      <c r="AJ5526" s="1">
        <v>2019</v>
      </c>
      <c r="AK5526" s="1" t="s">
        <v>49</v>
      </c>
      <c r="AL5526" s="1">
        <v>787</v>
      </c>
    </row>
    <row r="5527" spans="1:38" x14ac:dyDescent="0.2">
      <c r="A5527" s="2" t="str">
        <f>HYPERLINK("https://www.compass.com/listing/252-south-street-unit-25j-manhattan-ny-10002/29513540566084705/","252 South St, Unit 25J")</f>
        <v>252 South St, Unit 25J</v>
      </c>
      <c r="B5527" s="2" t="str">
        <f t="shared" si="925"/>
        <v>One Manhattan Square</v>
      </c>
      <c r="C5527" s="1" t="s">
        <v>47</v>
      </c>
      <c r="D5527" s="1" t="s">
        <v>41</v>
      </c>
      <c r="E5527" s="3">
        <v>1306037</v>
      </c>
      <c r="F5527" s="1">
        <v>1876.4906321839001</v>
      </c>
      <c r="G5527" s="1">
        <v>3</v>
      </c>
      <c r="H5527" s="1">
        <v>1</v>
      </c>
      <c r="I5527" s="1">
        <v>1</v>
      </c>
      <c r="J5527" s="1">
        <v>1</v>
      </c>
      <c r="M5527" s="1">
        <v>696</v>
      </c>
      <c r="N5527" s="1">
        <v>793</v>
      </c>
      <c r="O5527" s="1">
        <v>806</v>
      </c>
      <c r="P5527" s="1">
        <v>13</v>
      </c>
      <c r="Q5527" s="1" t="s">
        <v>42</v>
      </c>
      <c r="S5527" s="1" t="s">
        <v>42</v>
      </c>
      <c r="T5527" s="1" t="s">
        <v>273</v>
      </c>
      <c r="U5527" s="1">
        <v>2</v>
      </c>
      <c r="V5527" s="5">
        <v>43680</v>
      </c>
      <c r="W5527" s="5">
        <v>42879</v>
      </c>
      <c r="X5527" s="1">
        <v>1346000</v>
      </c>
      <c r="Y5527" s="1">
        <v>1346000</v>
      </c>
      <c r="Z5527" s="5">
        <v>42881</v>
      </c>
      <c r="AA5527" s="1">
        <v>1306037.48</v>
      </c>
      <c r="AB5527" s="1" t="s">
        <v>3918</v>
      </c>
      <c r="AC5527" s="5">
        <v>43585</v>
      </c>
      <c r="AF5527" s="1">
        <v>10002</v>
      </c>
      <c r="AI5527" s="1" t="s">
        <v>66</v>
      </c>
      <c r="AJ5527" s="1">
        <v>2019</v>
      </c>
      <c r="AK5527" s="1" t="s">
        <v>46</v>
      </c>
      <c r="AL5527" s="1">
        <v>787</v>
      </c>
    </row>
    <row r="5528" spans="1:38" x14ac:dyDescent="0.2">
      <c r="A5528" s="2" t="str">
        <f>HYPERLINK("https://www.compass.com/listing/196-orchard-street-unit-7b-manhattan-ny-10002/147747124241564273/","196 Orchard St, Unit 7B")</f>
        <v>196 Orchard St, Unit 7B</v>
      </c>
      <c r="B5528" s="2" t="str">
        <f>HYPERLINK("https://www.compass.com/building/196-orchard-st-manhattan-ny-10002/281886194713760485/","196 Orchard St")</f>
        <v>196 Orchard St</v>
      </c>
      <c r="C5528" s="1" t="s">
        <v>47</v>
      </c>
      <c r="D5528" s="1" t="s">
        <v>41</v>
      </c>
      <c r="E5528" s="3">
        <v>1314000</v>
      </c>
      <c r="F5528" s="1">
        <v>2000</v>
      </c>
      <c r="G5528" s="1">
        <v>3.5</v>
      </c>
      <c r="H5528" s="1">
        <v>1</v>
      </c>
      <c r="I5528" s="1">
        <v>1</v>
      </c>
      <c r="J5528" s="1">
        <v>1</v>
      </c>
      <c r="K5528" s="1">
        <v>1</v>
      </c>
      <c r="M5528" s="1">
        <v>657</v>
      </c>
      <c r="N5528" s="1">
        <v>872</v>
      </c>
      <c r="O5528" s="1">
        <v>1737</v>
      </c>
      <c r="P5528" s="1">
        <v>865</v>
      </c>
      <c r="Q5528" s="1" t="s">
        <v>42</v>
      </c>
      <c r="S5528" s="1" t="s">
        <v>42</v>
      </c>
      <c r="T5528" s="1" t="s">
        <v>273</v>
      </c>
      <c r="V5528" s="5">
        <v>44338</v>
      </c>
      <c r="W5528" s="5">
        <v>42923</v>
      </c>
      <c r="X5528" s="1">
        <v>1380000</v>
      </c>
      <c r="Y5528" s="1">
        <v>1380000</v>
      </c>
      <c r="Z5528" s="5">
        <v>42923</v>
      </c>
      <c r="AA5528" s="1">
        <v>1314000</v>
      </c>
      <c r="AB5528" s="1" t="s">
        <v>3919</v>
      </c>
      <c r="AC5528" s="5">
        <v>43601</v>
      </c>
      <c r="AF5528" s="1">
        <v>10002</v>
      </c>
      <c r="AI5528" s="1" t="s">
        <v>165</v>
      </c>
      <c r="AJ5528" s="1">
        <v>2018</v>
      </c>
      <c r="AK5528" s="1" t="s">
        <v>46</v>
      </c>
      <c r="AL5528" s="1">
        <v>89</v>
      </c>
    </row>
    <row r="5529" spans="1:38" x14ac:dyDescent="0.2">
      <c r="A5529" s="2" t="str">
        <f>HYPERLINK("https://www.compass.com/listing/5-beekman-street-unit-38ab-manhattan-ny-10038/795699363917526969/","5 Beekman St, Unit 38AB")</f>
        <v>5 Beekman St, Unit 38AB</v>
      </c>
      <c r="B5529" s="2" t="str">
        <f t="shared" ref="B5529:B5530" si="926">HYPERLINK("https://www.compass.com/building/the-beekman-residences-manhattan-ny/282030567363458613/","The Beekman Residences")</f>
        <v>The Beekman Residences</v>
      </c>
      <c r="C5529" s="1" t="s">
        <v>96</v>
      </c>
      <c r="D5529" s="1" t="s">
        <v>41</v>
      </c>
      <c r="E5529" s="3">
        <v>8025000</v>
      </c>
      <c r="F5529" s="1">
        <v>2510.9511889862301</v>
      </c>
      <c r="G5529" s="1">
        <v>10</v>
      </c>
      <c r="H5529" s="1">
        <v>4</v>
      </c>
      <c r="I5529" s="1">
        <v>5</v>
      </c>
      <c r="J5529" s="1">
        <v>5</v>
      </c>
      <c r="K5529" s="1">
        <v>5</v>
      </c>
      <c r="M5529" s="4">
        <v>3196</v>
      </c>
      <c r="N5529" s="1">
        <v>4434</v>
      </c>
      <c r="O5529" s="1">
        <v>10045</v>
      </c>
      <c r="P5529" s="1">
        <v>5611</v>
      </c>
      <c r="Q5529" s="1" t="s">
        <v>42</v>
      </c>
      <c r="S5529" s="1" t="s">
        <v>42</v>
      </c>
      <c r="T5529" s="1" t="s">
        <v>273</v>
      </c>
      <c r="V5529" s="5">
        <v>44350</v>
      </c>
      <c r="W5529" s="5">
        <v>43045</v>
      </c>
      <c r="X5529" s="1">
        <v>8025000</v>
      </c>
      <c r="Y5529" s="1">
        <v>8025000</v>
      </c>
      <c r="AA5529" s="1">
        <v>8025000</v>
      </c>
      <c r="AB5529" s="1" t="s">
        <v>275</v>
      </c>
      <c r="AC5529" s="5">
        <v>43045</v>
      </c>
      <c r="AF5529" s="1">
        <v>10038</v>
      </c>
      <c r="AI5529" s="1" t="s">
        <v>101</v>
      </c>
      <c r="AJ5529" s="1">
        <v>2015</v>
      </c>
      <c r="AK5529" s="1" t="s">
        <v>49</v>
      </c>
      <c r="AL5529" s="1">
        <v>67</v>
      </c>
    </row>
    <row r="5530" spans="1:38" x14ac:dyDescent="0.2">
      <c r="A5530" s="2" t="str">
        <f>HYPERLINK("https://www.compass.com/listing/5-beekman-street-unit-42a-manhattan-ny-10038/278957306668956321/","5 Beekman St, Unit 42A")</f>
        <v>5 Beekman St, Unit 42A</v>
      </c>
      <c r="B5530" s="2" t="str">
        <f t="shared" si="926"/>
        <v>The Beekman Residences</v>
      </c>
      <c r="C5530" s="1" t="s">
        <v>96</v>
      </c>
      <c r="D5530" s="1" t="s">
        <v>41</v>
      </c>
      <c r="E5530" s="3">
        <v>2950000</v>
      </c>
      <c r="F5530" s="1">
        <v>1815.38461538461</v>
      </c>
      <c r="G5530" s="1">
        <v>4</v>
      </c>
      <c r="H5530" s="1">
        <v>2</v>
      </c>
      <c r="I5530" s="1">
        <v>3</v>
      </c>
      <c r="J5530" s="1">
        <v>2.5</v>
      </c>
      <c r="K5530" s="1">
        <v>2</v>
      </c>
      <c r="L5530" s="1">
        <v>1</v>
      </c>
      <c r="M5530" s="4">
        <v>1625</v>
      </c>
      <c r="N5530" s="1">
        <v>2250</v>
      </c>
      <c r="O5530" s="1">
        <v>4540</v>
      </c>
      <c r="P5530" s="1">
        <v>2290</v>
      </c>
      <c r="Q5530" s="1" t="s">
        <v>42</v>
      </c>
      <c r="S5530" s="1" t="s">
        <v>42</v>
      </c>
      <c r="T5530" s="1" t="s">
        <v>273</v>
      </c>
      <c r="U5530" s="1">
        <v>466</v>
      </c>
      <c r="V5530" s="5">
        <v>44370</v>
      </c>
      <c r="W5530" s="5">
        <v>43622</v>
      </c>
      <c r="X5530" s="1">
        <v>3500000</v>
      </c>
      <c r="Y5530" s="1">
        <v>3395000</v>
      </c>
      <c r="Z5530" s="5">
        <v>44183</v>
      </c>
      <c r="AA5530" s="1">
        <v>2950000</v>
      </c>
      <c r="AB5530" s="1" t="s">
        <v>295</v>
      </c>
      <c r="AC5530" s="5">
        <v>44258</v>
      </c>
      <c r="AF5530" s="1">
        <v>10038</v>
      </c>
      <c r="AI5530" s="1" t="s">
        <v>140</v>
      </c>
      <c r="AJ5530" s="1">
        <v>2015</v>
      </c>
      <c r="AK5530" s="1" t="s">
        <v>46</v>
      </c>
      <c r="AL5530" s="1">
        <v>67</v>
      </c>
    </row>
    <row r="5531" spans="1:38" x14ac:dyDescent="0.2">
      <c r="A5531" s="2" t="str">
        <f>HYPERLINK("https://www.compass.com/listing/50-west-street-unit-17a-manhattan-ny-10006/29355200254904369/","50 West St, Unit 17A")</f>
        <v>50 West St, Unit 17A</v>
      </c>
      <c r="B5531" s="2" t="str">
        <f t="shared" ref="B5531:B5533" si="927">HYPERLINK("https://www.compass.com/building/50-west-st-manhattan-ny-10006/281896342152815429/","50 West St")</f>
        <v>50 West St</v>
      </c>
      <c r="C5531" s="1" t="s">
        <v>96</v>
      </c>
      <c r="D5531" s="1" t="s">
        <v>41</v>
      </c>
      <c r="E5531" s="3">
        <v>2606720</v>
      </c>
      <c r="F5531" s="1">
        <v>1568.4235860409101</v>
      </c>
      <c r="G5531" s="1">
        <v>4</v>
      </c>
      <c r="H5531" s="1">
        <v>2</v>
      </c>
      <c r="I5531" s="1">
        <v>3</v>
      </c>
      <c r="J5531" s="1">
        <v>2.5</v>
      </c>
      <c r="K5531" s="1">
        <v>2</v>
      </c>
      <c r="L5531" s="1">
        <v>1</v>
      </c>
      <c r="M5531" s="4">
        <v>1662</v>
      </c>
      <c r="N5531" s="1">
        <v>1885.95</v>
      </c>
      <c r="O5531" s="1">
        <v>3989</v>
      </c>
      <c r="P5531" s="1">
        <v>2103.0833333333298</v>
      </c>
      <c r="Q5531" s="1" t="s">
        <v>42</v>
      </c>
      <c r="S5531" s="1" t="s">
        <v>42</v>
      </c>
      <c r="T5531" s="1" t="s">
        <v>273</v>
      </c>
      <c r="U5531" s="1">
        <v>41</v>
      </c>
      <c r="V5531" s="5">
        <v>43677</v>
      </c>
      <c r="W5531" s="5">
        <v>41910</v>
      </c>
      <c r="X5531" s="1">
        <v>2560000</v>
      </c>
      <c r="Y5531" s="1">
        <v>2560000</v>
      </c>
      <c r="Z5531" s="5">
        <v>41951</v>
      </c>
      <c r="AA5531" s="1">
        <v>2606720</v>
      </c>
      <c r="AB5531" s="1" t="s">
        <v>3920</v>
      </c>
      <c r="AC5531" s="5">
        <v>42795</v>
      </c>
      <c r="AF5531" s="1">
        <v>10006</v>
      </c>
      <c r="AI5531" s="1" t="s">
        <v>97</v>
      </c>
      <c r="AJ5531" s="1">
        <v>2016</v>
      </c>
      <c r="AK5531" s="1" t="s">
        <v>46</v>
      </c>
      <c r="AL5531" s="1">
        <v>186</v>
      </c>
    </row>
    <row r="5532" spans="1:38" x14ac:dyDescent="0.2">
      <c r="A5532" s="2" t="str">
        <f>HYPERLINK("https://www.compass.com/listing/50-west-street-unit-28a-manhattan-ny-10006/29355208458928865/","50 West St, Unit 28A")</f>
        <v>50 West St, Unit 28A</v>
      </c>
      <c r="B5532" s="2" t="str">
        <f t="shared" si="927"/>
        <v>50 West St</v>
      </c>
      <c r="C5532" s="1" t="s">
        <v>96</v>
      </c>
      <c r="D5532" s="1" t="s">
        <v>41</v>
      </c>
      <c r="E5532" s="3">
        <v>2229968</v>
      </c>
      <c r="F5532" s="1">
        <v>1910.8551842330701</v>
      </c>
      <c r="G5532" s="1">
        <v>3</v>
      </c>
      <c r="H5532" s="1">
        <v>1</v>
      </c>
      <c r="I5532" s="1">
        <v>2</v>
      </c>
      <c r="J5532" s="1">
        <v>1.5</v>
      </c>
      <c r="K5532" s="1">
        <v>1</v>
      </c>
      <c r="L5532" s="1">
        <v>1</v>
      </c>
      <c r="M5532" s="4">
        <v>1167</v>
      </c>
      <c r="N5532" s="1">
        <v>1393.29</v>
      </c>
      <c r="O5532" s="1">
        <v>2946.97</v>
      </c>
      <c r="P5532" s="1">
        <v>1553.6666666666599</v>
      </c>
      <c r="Q5532" s="1" t="s">
        <v>42</v>
      </c>
      <c r="S5532" s="1" t="s">
        <v>42</v>
      </c>
      <c r="T5532" s="1" t="s">
        <v>273</v>
      </c>
      <c r="U5532" s="1">
        <v>60</v>
      </c>
      <c r="V5532" s="5">
        <v>43677</v>
      </c>
      <c r="W5532" s="5">
        <v>41909</v>
      </c>
      <c r="X5532" s="1">
        <v>1895000</v>
      </c>
      <c r="Y5532" s="1">
        <v>2190000</v>
      </c>
      <c r="Z5532" s="5">
        <v>41969</v>
      </c>
      <c r="AA5532" s="1">
        <v>2229968</v>
      </c>
      <c r="AB5532" s="1" t="s">
        <v>3921</v>
      </c>
      <c r="AC5532" s="5">
        <v>42770</v>
      </c>
      <c r="AF5532" s="1">
        <v>10006</v>
      </c>
      <c r="AI5532" s="1" t="s">
        <v>97</v>
      </c>
      <c r="AJ5532" s="1">
        <v>2016</v>
      </c>
      <c r="AK5532" s="1" t="s">
        <v>46</v>
      </c>
      <c r="AL5532" s="1">
        <v>186</v>
      </c>
    </row>
    <row r="5533" spans="1:38" x14ac:dyDescent="0.2">
      <c r="A5533" s="2" t="str">
        <f>HYPERLINK("https://www.compass.com/listing/50-west-street-unit-34a-manhattan-ny-10006/29355213081083825/","50 West St, Unit 34A")</f>
        <v>50 West St, Unit 34A</v>
      </c>
      <c r="B5533" s="2" t="str">
        <f t="shared" si="927"/>
        <v>50 West St</v>
      </c>
      <c r="C5533" s="1" t="s">
        <v>96</v>
      </c>
      <c r="D5533" s="1" t="s">
        <v>41</v>
      </c>
      <c r="E5533" s="3">
        <v>2606720</v>
      </c>
      <c r="F5533" s="1">
        <v>2270.6620209059201</v>
      </c>
      <c r="G5533" s="1">
        <v>3</v>
      </c>
      <c r="H5533" s="1">
        <v>1</v>
      </c>
      <c r="I5533" s="1">
        <v>2</v>
      </c>
      <c r="J5533" s="1">
        <v>1.5</v>
      </c>
      <c r="K5533" s="1">
        <v>1</v>
      </c>
      <c r="L5533" s="1">
        <v>1</v>
      </c>
      <c r="M5533" s="4">
        <v>1148</v>
      </c>
      <c r="N5533" s="1">
        <v>1407.65</v>
      </c>
      <c r="O5533" s="1">
        <v>2977.33</v>
      </c>
      <c r="P5533" s="1">
        <v>1569.6666666666599</v>
      </c>
      <c r="Q5533" s="1" t="s">
        <v>42</v>
      </c>
      <c r="S5533" s="1" t="s">
        <v>42</v>
      </c>
      <c r="T5533" s="1" t="s">
        <v>273</v>
      </c>
      <c r="U5533" s="1">
        <v>45</v>
      </c>
      <c r="V5533" s="5">
        <v>43676</v>
      </c>
      <c r="W5533" s="5">
        <v>41910</v>
      </c>
      <c r="X5533" s="1">
        <v>2560000</v>
      </c>
      <c r="Y5533" s="1">
        <v>2560000</v>
      </c>
      <c r="Z5533" s="5">
        <v>41955</v>
      </c>
      <c r="AA5533" s="1">
        <v>2606720</v>
      </c>
      <c r="AB5533" s="1" t="s">
        <v>3922</v>
      </c>
      <c r="AC5533" s="5">
        <v>42783</v>
      </c>
      <c r="AF5533" s="1">
        <v>10006</v>
      </c>
      <c r="AI5533" s="1" t="s">
        <v>97</v>
      </c>
      <c r="AJ5533" s="1">
        <v>2016</v>
      </c>
      <c r="AK5533" s="1" t="s">
        <v>46</v>
      </c>
      <c r="AL5533" s="1">
        <v>186</v>
      </c>
    </row>
    <row r="5534" spans="1:38" x14ac:dyDescent="0.2">
      <c r="A5534" s="2" t="str">
        <f>HYPERLINK("https://www.compass.com/listing/130-william-street-unit-15e-manhattan-ny-10038/713076777655137993/","130 William St, Unit 15E")</f>
        <v>130 William St, Unit 15E</v>
      </c>
      <c r="B5534" s="2" t="str">
        <f>HYPERLINK("https://www.compass.com/building/130-william-st-manhattan-ny-10038/282029682239486757/","130 William St")</f>
        <v>130 William St</v>
      </c>
      <c r="C5534" s="1" t="s">
        <v>96</v>
      </c>
      <c r="D5534" s="1" t="s">
        <v>41</v>
      </c>
      <c r="E5534" s="3">
        <v>717398</v>
      </c>
      <c r="F5534" s="1">
        <v>1649.19048275862</v>
      </c>
      <c r="G5534" s="1">
        <v>2</v>
      </c>
      <c r="H5534" s="1" t="s">
        <v>99</v>
      </c>
      <c r="I5534" s="1">
        <v>1</v>
      </c>
      <c r="J5534" s="1">
        <v>1</v>
      </c>
      <c r="K5534" s="1">
        <v>1</v>
      </c>
      <c r="M5534" s="1">
        <v>435</v>
      </c>
      <c r="N5534" s="1">
        <v>296.37</v>
      </c>
      <c r="O5534" s="1">
        <v>870.54</v>
      </c>
      <c r="P5534" s="1">
        <v>574.16666666666595</v>
      </c>
      <c r="Q5534" s="1" t="s">
        <v>42</v>
      </c>
      <c r="S5534" s="1" t="s">
        <v>42</v>
      </c>
      <c r="T5534" s="1" t="s">
        <v>273</v>
      </c>
      <c r="V5534" s="5">
        <v>44394</v>
      </c>
      <c r="W5534" s="5">
        <v>44235</v>
      </c>
      <c r="X5534" s="1">
        <v>700990</v>
      </c>
      <c r="Y5534" s="1">
        <v>700990</v>
      </c>
      <c r="Z5534" s="5">
        <v>44236</v>
      </c>
      <c r="AA5534" s="1">
        <v>717397.86</v>
      </c>
      <c r="AB5534" s="1" t="s">
        <v>3923</v>
      </c>
      <c r="AC5534" s="5">
        <v>44392</v>
      </c>
      <c r="AF5534" s="1">
        <v>10038</v>
      </c>
      <c r="AI5534" s="1" t="s">
        <v>111</v>
      </c>
      <c r="AJ5534" s="1">
        <v>2020</v>
      </c>
      <c r="AK5534" s="1" t="s">
        <v>46</v>
      </c>
      <c r="AL5534" s="1">
        <v>244</v>
      </c>
    </row>
    <row r="5535" spans="1:38" x14ac:dyDescent="0.2">
      <c r="A5535" s="2" t="str">
        <f>HYPERLINK("https://www.compass.com/listing/196-orchard-street-unit-6a-manhattan-ny-10002/432170173980676249/","196 Orchard St, Unit 6A")</f>
        <v>196 Orchard St, Unit 6A</v>
      </c>
      <c r="B5535" s="2" t="str">
        <f>HYPERLINK("https://www.compass.com/building/196-orchard-st-manhattan-ny-10002/281886194713760485/","196 Orchard St")</f>
        <v>196 Orchard St</v>
      </c>
      <c r="C5535" s="1" t="s">
        <v>47</v>
      </c>
      <c r="D5535" s="1" t="s">
        <v>41</v>
      </c>
      <c r="E5535" s="3">
        <v>1330000</v>
      </c>
      <c r="F5535" s="1">
        <v>1618.0048661800399</v>
      </c>
      <c r="G5535" s="1">
        <v>3</v>
      </c>
      <c r="H5535" s="1">
        <v>1</v>
      </c>
      <c r="I5535" s="1">
        <v>1</v>
      </c>
      <c r="J5535" s="1">
        <v>1</v>
      </c>
      <c r="K5535" s="1">
        <v>1</v>
      </c>
      <c r="M5535" s="1">
        <v>822</v>
      </c>
      <c r="N5535" s="1">
        <v>1083</v>
      </c>
      <c r="O5535" s="1">
        <v>2158</v>
      </c>
      <c r="P5535" s="1">
        <v>1075</v>
      </c>
      <c r="Q5535" s="1" t="s">
        <v>42</v>
      </c>
      <c r="S5535" s="1" t="s">
        <v>42</v>
      </c>
      <c r="T5535" s="1" t="s">
        <v>273</v>
      </c>
      <c r="V5535" s="5">
        <v>44248</v>
      </c>
      <c r="W5535" s="5">
        <v>43848</v>
      </c>
      <c r="X5535" s="1">
        <v>1575000</v>
      </c>
      <c r="Y5535" s="1">
        <v>1575000</v>
      </c>
      <c r="Z5535" s="5">
        <v>43848</v>
      </c>
      <c r="AA5535" s="1">
        <v>1330000</v>
      </c>
      <c r="AB5535" s="1" t="s">
        <v>3901</v>
      </c>
      <c r="AC5535" s="5">
        <v>43864</v>
      </c>
      <c r="AF5535" s="1">
        <v>10002</v>
      </c>
      <c r="AI5535" s="1" t="s">
        <v>165</v>
      </c>
      <c r="AJ5535" s="1">
        <v>2018</v>
      </c>
      <c r="AK5535" s="1" t="s">
        <v>125</v>
      </c>
      <c r="AL5535" s="1">
        <v>89</v>
      </c>
    </row>
    <row r="5536" spans="1:38" x14ac:dyDescent="0.2">
      <c r="A5536" s="2" t="str">
        <f>HYPERLINK("https://www.compass.com/listing/50-west-street-unit-36a-manhattan-ny-10006/29355214708476193/","50 West St, Unit 36A")</f>
        <v>50 West St, Unit 36A</v>
      </c>
      <c r="B5536" s="2" t="str">
        <f t="shared" ref="B5536:B5541" si="928">HYPERLINK("https://www.compass.com/building/50-west-st-manhattan-ny-10006/281896342152815429/","50 West St")</f>
        <v>50 West St</v>
      </c>
      <c r="C5536" s="1" t="s">
        <v>96</v>
      </c>
      <c r="D5536" s="1" t="s">
        <v>41</v>
      </c>
      <c r="E5536" s="3">
        <v>3675883</v>
      </c>
      <c r="F5536" s="1">
        <v>2119.8863898500499</v>
      </c>
      <c r="G5536" s="1">
        <v>5</v>
      </c>
      <c r="H5536" s="1">
        <v>2</v>
      </c>
      <c r="I5536" s="1">
        <v>3</v>
      </c>
      <c r="J5536" s="1">
        <v>3</v>
      </c>
      <c r="K5536" s="1">
        <v>3</v>
      </c>
      <c r="M5536" s="4">
        <v>1734</v>
      </c>
      <c r="N5536" s="1">
        <v>2147.31</v>
      </c>
      <c r="O5536" s="1">
        <v>4541.8099999999904</v>
      </c>
      <c r="P5536" s="1">
        <v>2394.5</v>
      </c>
      <c r="Q5536" s="1" t="s">
        <v>42</v>
      </c>
      <c r="S5536" s="1" t="s">
        <v>42</v>
      </c>
      <c r="T5536" s="1" t="s">
        <v>273</v>
      </c>
      <c r="U5536" s="1">
        <v>84</v>
      </c>
      <c r="V5536" s="5">
        <v>43664</v>
      </c>
      <c r="W5536" s="5">
        <v>42068</v>
      </c>
      <c r="X5536" s="1">
        <v>3610000</v>
      </c>
      <c r="Y5536" s="1">
        <v>3610000</v>
      </c>
      <c r="Z5536" s="5">
        <v>42152</v>
      </c>
      <c r="AA5536" s="1">
        <v>3675883</v>
      </c>
      <c r="AB5536" s="1" t="s">
        <v>3924</v>
      </c>
      <c r="AC5536" s="5">
        <v>42780</v>
      </c>
      <c r="AF5536" s="1">
        <v>10006</v>
      </c>
      <c r="AI5536" s="1" t="s">
        <v>97</v>
      </c>
      <c r="AJ5536" s="1">
        <v>2016</v>
      </c>
      <c r="AK5536" s="1" t="s">
        <v>46</v>
      </c>
      <c r="AL5536" s="1">
        <v>186</v>
      </c>
    </row>
    <row r="5537" spans="1:38" x14ac:dyDescent="0.2">
      <c r="A5537" s="2" t="str">
        <f>HYPERLINK("https://www.compass.com/listing/50-west-street-unit-37a-manhattan-ny-10006/29355215337587537/","50 West St, Unit 37A")</f>
        <v>50 West St, Unit 37A</v>
      </c>
      <c r="B5537" s="2" t="str">
        <f t="shared" si="928"/>
        <v>50 West St</v>
      </c>
      <c r="C5537" s="1" t="s">
        <v>96</v>
      </c>
      <c r="D5537" s="1" t="s">
        <v>41</v>
      </c>
      <c r="E5537" s="3">
        <v>3721704</v>
      </c>
      <c r="F5537" s="1">
        <v>2146.3114186851199</v>
      </c>
      <c r="G5537" s="1">
        <v>5</v>
      </c>
      <c r="H5537" s="1">
        <v>2</v>
      </c>
      <c r="I5537" s="1">
        <v>3</v>
      </c>
      <c r="J5537" s="1">
        <v>3</v>
      </c>
      <c r="K5537" s="1">
        <v>3</v>
      </c>
      <c r="M5537" s="4">
        <v>1734</v>
      </c>
      <c r="N5537" s="1">
        <v>2156.64</v>
      </c>
      <c r="O5537" s="1">
        <v>4561.54</v>
      </c>
      <c r="P5537" s="1">
        <v>2404.9166666666601</v>
      </c>
      <c r="Q5537" s="1" t="s">
        <v>42</v>
      </c>
      <c r="S5537" s="1" t="s">
        <v>42</v>
      </c>
      <c r="T5537" s="1" t="s">
        <v>273</v>
      </c>
      <c r="U5537" s="1">
        <v>129</v>
      </c>
      <c r="V5537" s="5">
        <v>43677</v>
      </c>
      <c r="W5537" s="5">
        <v>41942</v>
      </c>
      <c r="X5537" s="1">
        <v>3655000</v>
      </c>
      <c r="Y5537" s="1">
        <v>3655000</v>
      </c>
      <c r="Z5537" s="5">
        <v>42071</v>
      </c>
      <c r="AA5537" s="1">
        <v>3721704</v>
      </c>
      <c r="AB5537" s="1" t="s">
        <v>3925</v>
      </c>
      <c r="AC5537" s="5">
        <v>42822</v>
      </c>
      <c r="AF5537" s="1">
        <v>10006</v>
      </c>
      <c r="AI5537" s="1" t="s">
        <v>97</v>
      </c>
      <c r="AJ5537" s="1">
        <v>2016</v>
      </c>
      <c r="AK5537" s="1" t="s">
        <v>46</v>
      </c>
      <c r="AL5537" s="1">
        <v>186</v>
      </c>
    </row>
    <row r="5538" spans="1:38" x14ac:dyDescent="0.2">
      <c r="A5538" s="2" t="str">
        <f>HYPERLINK("https://www.compass.com/listing/50-west-street-unit-39a-manhattan-ny-10006/29355217711597921/","50 West St, Unit 39A")</f>
        <v>50 West St, Unit 39A</v>
      </c>
      <c r="B5538" s="2" t="str">
        <f t="shared" si="928"/>
        <v>50 West St</v>
      </c>
      <c r="C5538" s="1" t="s">
        <v>96</v>
      </c>
      <c r="D5538" s="1" t="s">
        <v>41</v>
      </c>
      <c r="E5538" s="3">
        <v>3818438</v>
      </c>
      <c r="F5538" s="1">
        <v>2199.56105990783</v>
      </c>
      <c r="G5538" s="1">
        <v>4</v>
      </c>
      <c r="H5538" s="1">
        <v>2</v>
      </c>
      <c r="I5538" s="1">
        <v>3</v>
      </c>
      <c r="J5538" s="1">
        <v>3</v>
      </c>
      <c r="K5538" s="1">
        <v>3</v>
      </c>
      <c r="M5538" s="4">
        <v>1736</v>
      </c>
      <c r="N5538" s="1">
        <v>2175.3200000000002</v>
      </c>
      <c r="O5538" s="1">
        <v>4601.04</v>
      </c>
      <c r="P5538" s="1">
        <v>2425.75</v>
      </c>
      <c r="Q5538" s="1" t="s">
        <v>42</v>
      </c>
      <c r="S5538" s="1" t="s">
        <v>42</v>
      </c>
      <c r="T5538" s="1" t="s">
        <v>273</v>
      </c>
      <c r="U5538" s="1">
        <v>167</v>
      </c>
      <c r="V5538" s="5">
        <v>43676</v>
      </c>
      <c r="W5538" s="5">
        <v>42130</v>
      </c>
      <c r="X5538" s="1">
        <v>3750000</v>
      </c>
      <c r="Y5538" s="1">
        <v>3750000</v>
      </c>
      <c r="Z5538" s="5">
        <v>42297</v>
      </c>
      <c r="AA5538" s="1">
        <v>3818438</v>
      </c>
      <c r="AB5538" s="1" t="s">
        <v>3926</v>
      </c>
      <c r="AC5538" s="5">
        <v>42843</v>
      </c>
      <c r="AF5538" s="1">
        <v>10006</v>
      </c>
      <c r="AI5538" s="1" t="s">
        <v>97</v>
      </c>
      <c r="AJ5538" s="1">
        <v>2016</v>
      </c>
      <c r="AK5538" s="1" t="s">
        <v>46</v>
      </c>
      <c r="AL5538" s="1">
        <v>186</v>
      </c>
    </row>
    <row r="5539" spans="1:38" x14ac:dyDescent="0.2">
      <c r="A5539" s="2" t="str">
        <f>HYPERLINK("https://www.compass.com/listing/50-west-street-unit-42b-manhattan-ny-10006/29355221268333505/","50 West St, Unit 42B")</f>
        <v>50 West St, Unit 42B</v>
      </c>
      <c r="B5539" s="2" t="str">
        <f t="shared" si="928"/>
        <v>50 West St</v>
      </c>
      <c r="C5539" s="1" t="s">
        <v>96</v>
      </c>
      <c r="D5539" s="1" t="s">
        <v>41</v>
      </c>
      <c r="E5539" s="3">
        <v>4006814</v>
      </c>
      <c r="F5539" s="1">
        <v>2648.2577660277502</v>
      </c>
      <c r="G5539" s="1">
        <v>4</v>
      </c>
      <c r="H5539" s="1">
        <v>2</v>
      </c>
      <c r="I5539" s="1">
        <v>3</v>
      </c>
      <c r="J5539" s="1">
        <v>2.5</v>
      </c>
      <c r="K5539" s="1">
        <v>2</v>
      </c>
      <c r="L5539" s="1">
        <v>1</v>
      </c>
      <c r="M5539" s="4">
        <v>1513</v>
      </c>
      <c r="N5539" s="1">
        <v>1913.69</v>
      </c>
      <c r="O5539" s="1">
        <v>4047.69</v>
      </c>
      <c r="P5539" s="1">
        <v>2134</v>
      </c>
      <c r="Q5539" s="1" t="s">
        <v>42</v>
      </c>
      <c r="S5539" s="1" t="s">
        <v>42</v>
      </c>
      <c r="T5539" s="1" t="s">
        <v>273</v>
      </c>
      <c r="U5539" s="1">
        <v>246</v>
      </c>
      <c r="V5539" s="5">
        <v>43676</v>
      </c>
      <c r="W5539" s="5">
        <v>42538</v>
      </c>
      <c r="X5539" s="1">
        <v>3935000</v>
      </c>
      <c r="Y5539" s="1">
        <v>3935000</v>
      </c>
      <c r="Z5539" s="5">
        <v>42784</v>
      </c>
      <c r="AA5539" s="1">
        <v>4006814</v>
      </c>
      <c r="AB5539" s="1" t="s">
        <v>3927</v>
      </c>
      <c r="AC5539" s="5">
        <v>42866</v>
      </c>
      <c r="AF5539" s="1">
        <v>10006</v>
      </c>
      <c r="AI5539" s="1" t="s">
        <v>97</v>
      </c>
      <c r="AJ5539" s="1">
        <v>2016</v>
      </c>
      <c r="AK5539" s="1" t="s">
        <v>46</v>
      </c>
      <c r="AL5539" s="1">
        <v>186</v>
      </c>
    </row>
    <row r="5540" spans="1:38" x14ac:dyDescent="0.2">
      <c r="A5540" s="2" t="str">
        <f>HYPERLINK("https://www.compass.com/listing/50-west-street-unit-43b-manhattan-ny-10006/29355222971252833/","50 West St, Unit 43B")</f>
        <v>50 West St, Unit 43B</v>
      </c>
      <c r="B5540" s="2" t="str">
        <f t="shared" si="928"/>
        <v>50 West St</v>
      </c>
      <c r="C5540" s="1" t="s">
        <v>96</v>
      </c>
      <c r="D5540" s="1" t="s">
        <v>41</v>
      </c>
      <c r="E5540" s="3">
        <v>3975000</v>
      </c>
      <c r="F5540" s="1">
        <v>2627.2306675479099</v>
      </c>
      <c r="G5540" s="1">
        <v>4</v>
      </c>
      <c r="H5540" s="1">
        <v>2</v>
      </c>
      <c r="I5540" s="1">
        <v>3</v>
      </c>
      <c r="J5540" s="1">
        <v>2.5</v>
      </c>
      <c r="K5540" s="1">
        <v>2</v>
      </c>
      <c r="L5540" s="1">
        <v>1</v>
      </c>
      <c r="M5540" s="4">
        <v>1513</v>
      </c>
      <c r="N5540" s="1">
        <v>1921.8</v>
      </c>
      <c r="O5540" s="1">
        <v>4064.85</v>
      </c>
      <c r="P5540" s="1">
        <v>2143.0833333333298</v>
      </c>
      <c r="Q5540" s="1" t="s">
        <v>42</v>
      </c>
      <c r="S5540" s="1" t="s">
        <v>42</v>
      </c>
      <c r="T5540" s="1" t="s">
        <v>273</v>
      </c>
      <c r="U5540" s="1">
        <v>22</v>
      </c>
      <c r="V5540" s="5">
        <v>43677</v>
      </c>
      <c r="W5540" s="5">
        <v>42755</v>
      </c>
      <c r="X5540" s="1">
        <v>3975000</v>
      </c>
      <c r="Y5540" s="1">
        <v>3975000</v>
      </c>
      <c r="Z5540" s="5">
        <v>42777</v>
      </c>
      <c r="AA5540" s="1">
        <v>3975000</v>
      </c>
      <c r="AB5540" s="1" t="s">
        <v>3928</v>
      </c>
      <c r="AC5540" s="5">
        <v>42877</v>
      </c>
      <c r="AF5540" s="1">
        <v>10006</v>
      </c>
      <c r="AI5540" s="1" t="s">
        <v>97</v>
      </c>
      <c r="AJ5540" s="1">
        <v>2016</v>
      </c>
      <c r="AK5540" s="1" t="s">
        <v>46</v>
      </c>
      <c r="AL5540" s="1">
        <v>186</v>
      </c>
    </row>
    <row r="5541" spans="1:38" x14ac:dyDescent="0.2">
      <c r="A5541" s="2" t="str">
        <f>HYPERLINK("https://www.compass.com/listing/50-west-street-unit-54a-manhattan-ny-10006/29355232458736769/","50 West St, Unit 54A")</f>
        <v>50 West St, Unit 54A</v>
      </c>
      <c r="B5541" s="2" t="str">
        <f t="shared" si="928"/>
        <v>50 West St</v>
      </c>
      <c r="C5541" s="1" t="s">
        <v>96</v>
      </c>
      <c r="D5541" s="1" t="s">
        <v>41</v>
      </c>
      <c r="E5541" s="3">
        <v>4521020</v>
      </c>
      <c r="F5541" s="1">
        <v>2607.2779700115302</v>
      </c>
      <c r="G5541" s="1">
        <v>5</v>
      </c>
      <c r="H5541" s="1">
        <v>2</v>
      </c>
      <c r="I5541" s="1">
        <v>3</v>
      </c>
      <c r="J5541" s="1">
        <v>3</v>
      </c>
      <c r="K5541" s="1">
        <v>3</v>
      </c>
      <c r="M5541" s="4">
        <v>1734</v>
      </c>
      <c r="N5541" s="1">
        <v>2315.37</v>
      </c>
      <c r="O5541" s="1">
        <v>4897.25</v>
      </c>
      <c r="P5541" s="1">
        <v>2581.9166666666601</v>
      </c>
      <c r="Q5541" s="1" t="s">
        <v>42</v>
      </c>
      <c r="S5541" s="1" t="s">
        <v>42</v>
      </c>
      <c r="T5541" s="1" t="s">
        <v>273</v>
      </c>
      <c r="U5541" s="1">
        <v>15</v>
      </c>
      <c r="V5541" s="5">
        <v>43676</v>
      </c>
      <c r="W5541" s="5">
        <v>42228</v>
      </c>
      <c r="X5541" s="1">
        <v>4440000</v>
      </c>
      <c r="Y5541" s="1">
        <v>4440000</v>
      </c>
      <c r="Z5541" s="5">
        <v>42243</v>
      </c>
      <c r="AA5541" s="1">
        <v>4521020</v>
      </c>
      <c r="AB5541" s="1" t="s">
        <v>3929</v>
      </c>
      <c r="AC5541" s="5">
        <v>42833</v>
      </c>
      <c r="AF5541" s="1">
        <v>10006</v>
      </c>
      <c r="AI5541" s="1" t="s">
        <v>97</v>
      </c>
      <c r="AJ5541" s="1">
        <v>2016</v>
      </c>
      <c r="AK5541" s="1" t="s">
        <v>46</v>
      </c>
      <c r="AL5541" s="1">
        <v>186</v>
      </c>
    </row>
    <row r="5542" spans="1:38" x14ac:dyDescent="0.2">
      <c r="A5542" s="2" t="str">
        <f>HYPERLINK("https://www.compass.com/listing/50-clinton-street-unit-1c-manhattan-ny-10002/29314164652637777/","50 Clinton St, Unit 1C")</f>
        <v>50 Clinton St, Unit 1C</v>
      </c>
      <c r="B5542" s="2" t="str">
        <f t="shared" ref="B5542:B5543" si="929">HYPERLINK("https://www.compass.com/building/50-clinton-manhattan-ny/281887574832709909/","50 Clinton")</f>
        <v>50 Clinton</v>
      </c>
      <c r="C5542" s="1" t="s">
        <v>47</v>
      </c>
      <c r="D5542" s="1" t="s">
        <v>41</v>
      </c>
      <c r="E5542" s="3">
        <v>2711091</v>
      </c>
      <c r="F5542" s="1">
        <v>1573.47105629715</v>
      </c>
      <c r="G5542" s="1">
        <v>3</v>
      </c>
      <c r="H5542" s="1">
        <v>1</v>
      </c>
      <c r="I5542" s="1">
        <v>4</v>
      </c>
      <c r="J5542" s="1">
        <v>3.5</v>
      </c>
      <c r="M5542" s="4">
        <v>1723</v>
      </c>
      <c r="N5542" s="1">
        <v>2328</v>
      </c>
      <c r="O5542" s="1">
        <v>4085</v>
      </c>
      <c r="P5542" s="1">
        <v>1757</v>
      </c>
      <c r="Q5542" s="1" t="s">
        <v>42</v>
      </c>
      <c r="S5542" s="1" t="s">
        <v>42</v>
      </c>
      <c r="T5542" s="1" t="s">
        <v>273</v>
      </c>
      <c r="V5542" s="5">
        <v>43700</v>
      </c>
      <c r="W5542" s="5">
        <v>42928</v>
      </c>
      <c r="X5542" s="1">
        <v>2650000</v>
      </c>
      <c r="Y5542" s="1">
        <v>2650000</v>
      </c>
      <c r="Z5542" s="5">
        <v>42928</v>
      </c>
      <c r="AA5542" s="1">
        <v>2711090.63</v>
      </c>
      <c r="AB5542" s="1" t="s">
        <v>3930</v>
      </c>
      <c r="AC5542" s="5">
        <v>43179</v>
      </c>
      <c r="AF5542" s="1">
        <v>10002</v>
      </c>
      <c r="AI5542" s="1" t="s">
        <v>211</v>
      </c>
      <c r="AJ5542" s="1">
        <v>2016</v>
      </c>
      <c r="AK5542" s="1" t="s">
        <v>49</v>
      </c>
      <c r="AL5542" s="1">
        <v>37</v>
      </c>
    </row>
    <row r="5543" spans="1:38" x14ac:dyDescent="0.2">
      <c r="A5543" s="2" t="str">
        <f>HYPERLINK("https://www.compass.com/listing/50-clinton-street-unit-6c-manhattan-ny-10002/371039703122647697/","50 Clinton St, Unit 6C")</f>
        <v>50 Clinton St, Unit 6C</v>
      </c>
      <c r="B5543" s="2" t="str">
        <f t="shared" si="929"/>
        <v>50 Clinton</v>
      </c>
      <c r="C5543" s="1" t="s">
        <v>47</v>
      </c>
      <c r="D5543" s="1" t="s">
        <v>41</v>
      </c>
      <c r="E5543" s="3">
        <v>2125000</v>
      </c>
      <c r="F5543" s="1">
        <v>1860.7705779334501</v>
      </c>
      <c r="G5543" s="1">
        <v>4</v>
      </c>
      <c r="H5543" s="1">
        <v>2</v>
      </c>
      <c r="I5543" s="1">
        <v>2</v>
      </c>
      <c r="J5543" s="1">
        <v>2</v>
      </c>
      <c r="K5543" s="1">
        <v>2</v>
      </c>
      <c r="M5543" s="4">
        <v>1142</v>
      </c>
      <c r="N5543" s="1">
        <v>1322</v>
      </c>
      <c r="O5543" s="1">
        <v>2585</v>
      </c>
      <c r="P5543" s="1">
        <v>1263</v>
      </c>
      <c r="Q5543" s="1" t="s">
        <v>42</v>
      </c>
      <c r="S5543" s="1" t="s">
        <v>42</v>
      </c>
      <c r="T5543" s="1" t="s">
        <v>273</v>
      </c>
      <c r="U5543" s="1">
        <v>154</v>
      </c>
      <c r="V5543" s="5">
        <v>44399</v>
      </c>
      <c r="W5543" s="5">
        <v>43763</v>
      </c>
      <c r="X5543" s="1">
        <v>2425000</v>
      </c>
      <c r="Y5543" s="1">
        <v>2425000</v>
      </c>
      <c r="Z5543" s="5">
        <v>44012</v>
      </c>
      <c r="AA5543" s="1">
        <v>2125000</v>
      </c>
      <c r="AB5543" s="1" t="s">
        <v>3931</v>
      </c>
      <c r="AC5543" s="5">
        <v>44042</v>
      </c>
      <c r="AF5543" s="1">
        <v>10002</v>
      </c>
      <c r="AI5543" s="1" t="s">
        <v>48</v>
      </c>
      <c r="AJ5543" s="1">
        <v>2016</v>
      </c>
      <c r="AK5543" s="1" t="s">
        <v>175</v>
      </c>
      <c r="AL5543" s="1">
        <v>37</v>
      </c>
    </row>
    <row r="5544" spans="1:38" x14ac:dyDescent="0.2">
      <c r="A5544" s="2" t="str">
        <f>HYPERLINK("https://www.compass.com/listing/5-beekman-street-unit-19a-manhattan-ny-10038/29357223964700433/","5 Beekman St, Unit 19A")</f>
        <v>5 Beekman St, Unit 19A</v>
      </c>
      <c r="B5544" s="2" t="str">
        <f t="shared" ref="B5544:B5547" si="930">HYPERLINK("https://www.compass.com/building/the-beekman-residences-manhattan-ny/282030567363458613/","The Beekman Residences")</f>
        <v>The Beekman Residences</v>
      </c>
      <c r="C5544" s="1" t="s">
        <v>96</v>
      </c>
      <c r="D5544" s="1" t="s">
        <v>41</v>
      </c>
      <c r="E5544" s="3">
        <v>2846009</v>
      </c>
      <c r="F5544" s="1">
        <v>1751.39015384615</v>
      </c>
      <c r="G5544" s="1">
        <v>4</v>
      </c>
      <c r="H5544" s="1">
        <v>2</v>
      </c>
      <c r="I5544" s="1">
        <v>3</v>
      </c>
      <c r="J5544" s="1">
        <v>2.5</v>
      </c>
      <c r="K5544" s="1">
        <v>2</v>
      </c>
      <c r="L5544" s="1">
        <v>1</v>
      </c>
      <c r="M5544" s="4">
        <v>1625</v>
      </c>
      <c r="N5544" s="1">
        <v>2254</v>
      </c>
      <c r="O5544" s="1">
        <v>4554</v>
      </c>
      <c r="P5544" s="1">
        <v>2300</v>
      </c>
      <c r="Q5544" s="1" t="s">
        <v>42</v>
      </c>
      <c r="S5544" s="1" t="s">
        <v>42</v>
      </c>
      <c r="T5544" s="1" t="s">
        <v>273</v>
      </c>
      <c r="V5544" s="5">
        <v>44225</v>
      </c>
      <c r="W5544" s="5">
        <v>42117</v>
      </c>
      <c r="X5544" s="1">
        <v>2795000</v>
      </c>
      <c r="Y5544" s="1">
        <v>2795000</v>
      </c>
      <c r="Z5544" s="5">
        <v>42117</v>
      </c>
      <c r="AA5544" s="1">
        <v>2846009</v>
      </c>
      <c r="AB5544" s="1" t="s">
        <v>3932</v>
      </c>
      <c r="AC5544" s="5">
        <v>42630</v>
      </c>
      <c r="AF5544" s="1">
        <v>10038</v>
      </c>
      <c r="AI5544" s="1" t="s">
        <v>101</v>
      </c>
      <c r="AJ5544" s="1">
        <v>2015</v>
      </c>
      <c r="AK5544" s="1" t="s">
        <v>49</v>
      </c>
      <c r="AL5544" s="1">
        <v>67</v>
      </c>
    </row>
    <row r="5545" spans="1:38" x14ac:dyDescent="0.2">
      <c r="A5545" s="2" t="str">
        <f>HYPERLINK("https://www.compass.com/listing/5-beekman-street-unit-30a-manhattan-ny-10038/4852275231458338993/","5 Beekman St, Unit 30A")</f>
        <v>5 Beekman St, Unit 30A</v>
      </c>
      <c r="B5545" s="2" t="str">
        <f t="shared" si="930"/>
        <v>The Beekman Residences</v>
      </c>
      <c r="C5545" s="1" t="s">
        <v>96</v>
      </c>
      <c r="D5545" s="1" t="s">
        <v>41</v>
      </c>
      <c r="E5545" s="3">
        <v>3075000</v>
      </c>
      <c r="F5545" s="1">
        <v>2204.3010752688101</v>
      </c>
      <c r="G5545" s="1">
        <v>4</v>
      </c>
      <c r="H5545" s="1">
        <v>2</v>
      </c>
      <c r="I5545" s="1">
        <v>3</v>
      </c>
      <c r="J5545" s="1">
        <v>2.5</v>
      </c>
      <c r="K5545" s="1">
        <v>2</v>
      </c>
      <c r="L5545" s="1">
        <v>1</v>
      </c>
      <c r="M5545" s="4">
        <v>1395</v>
      </c>
      <c r="N5545" s="1">
        <v>1935</v>
      </c>
      <c r="O5545" s="1">
        <v>3910</v>
      </c>
      <c r="P5545" s="1">
        <v>1975</v>
      </c>
      <c r="Q5545" s="1" t="s">
        <v>42</v>
      </c>
      <c r="S5545" s="1" t="s">
        <v>42</v>
      </c>
      <c r="T5545" s="1" t="s">
        <v>273</v>
      </c>
      <c r="V5545" s="5">
        <v>44225</v>
      </c>
      <c r="W5545" s="5">
        <v>41976</v>
      </c>
      <c r="X5545" s="1">
        <v>3075000</v>
      </c>
      <c r="Y5545" s="1">
        <v>3075000</v>
      </c>
      <c r="Z5545" s="5">
        <v>41976</v>
      </c>
      <c r="AA5545" s="1">
        <v>3075000</v>
      </c>
      <c r="AB5545" s="1" t="s">
        <v>275</v>
      </c>
      <c r="AC5545" s="5">
        <v>42865</v>
      </c>
      <c r="AF5545" s="1">
        <v>10038</v>
      </c>
      <c r="AI5545" s="1" t="s">
        <v>101</v>
      </c>
      <c r="AJ5545" s="1">
        <v>2015</v>
      </c>
      <c r="AK5545" s="1" t="s">
        <v>46</v>
      </c>
      <c r="AL5545" s="1">
        <v>67</v>
      </c>
    </row>
    <row r="5546" spans="1:38" x14ac:dyDescent="0.2">
      <c r="A5546" s="2" t="str">
        <f>HYPERLINK("https://www.compass.com/listing/5-beekman-street-unit-20a-manhattan-ny-10038/29357224912613153/","5 Beekman St, Unit 20A")</f>
        <v>5 Beekman St, Unit 20A</v>
      </c>
      <c r="B5546" s="2" t="str">
        <f t="shared" si="930"/>
        <v>The Beekman Residences</v>
      </c>
      <c r="C5546" s="1" t="s">
        <v>96</v>
      </c>
      <c r="D5546" s="1" t="s">
        <v>41</v>
      </c>
      <c r="E5546" s="3">
        <v>2771215</v>
      </c>
      <c r="F5546" s="1">
        <v>1705.3630769230699</v>
      </c>
      <c r="G5546" s="1">
        <v>4</v>
      </c>
      <c r="H5546" s="1">
        <v>2</v>
      </c>
      <c r="I5546" s="1">
        <v>3</v>
      </c>
      <c r="J5546" s="1">
        <v>2.5</v>
      </c>
      <c r="M5546" s="4">
        <v>1625</v>
      </c>
      <c r="N5546" s="1">
        <v>2254</v>
      </c>
      <c r="O5546" s="1">
        <v>4554</v>
      </c>
      <c r="P5546" s="1">
        <v>2300</v>
      </c>
      <c r="Q5546" s="1" t="s">
        <v>42</v>
      </c>
      <c r="S5546" s="1" t="s">
        <v>42</v>
      </c>
      <c r="T5546" s="1" t="s">
        <v>273</v>
      </c>
      <c r="U5546" s="1">
        <v>68</v>
      </c>
      <c r="V5546" s="5">
        <v>43664</v>
      </c>
      <c r="W5546" s="5">
        <v>42327</v>
      </c>
      <c r="X5546" s="1">
        <v>2800000</v>
      </c>
      <c r="Y5546" s="1">
        <v>2800000</v>
      </c>
      <c r="Z5546" s="5">
        <v>42395</v>
      </c>
      <c r="AA5546" s="1">
        <v>2771215</v>
      </c>
      <c r="AB5546" s="1" t="s">
        <v>3933</v>
      </c>
      <c r="AC5546" s="5">
        <v>42679</v>
      </c>
      <c r="AF5546" s="1">
        <v>10038</v>
      </c>
      <c r="AI5546" s="1" t="s">
        <v>101</v>
      </c>
      <c r="AJ5546" s="1">
        <v>2015</v>
      </c>
      <c r="AK5546" s="1" t="s">
        <v>49</v>
      </c>
      <c r="AL5546" s="1">
        <v>67</v>
      </c>
    </row>
    <row r="5547" spans="1:38" x14ac:dyDescent="0.2">
      <c r="A5547" s="2" t="str">
        <f>HYPERLINK("https://www.compass.com/listing/5-beekman-street-unit-25a-manhattan-ny-10038/4852266370882089585/","5 Beekman St, Unit 25A")</f>
        <v>5 Beekman St, Unit 25A</v>
      </c>
      <c r="B5547" s="2" t="str">
        <f t="shared" si="930"/>
        <v>The Beekman Residences</v>
      </c>
      <c r="C5547" s="1" t="s">
        <v>96</v>
      </c>
      <c r="D5547" s="1" t="s">
        <v>41</v>
      </c>
      <c r="E5547" s="3">
        <v>3295000</v>
      </c>
      <c r="F5547" s="1">
        <v>2027.6923076922999</v>
      </c>
      <c r="G5547" s="1">
        <v>4</v>
      </c>
      <c r="H5547" s="1">
        <v>2</v>
      </c>
      <c r="I5547" s="1">
        <v>3</v>
      </c>
      <c r="J5547" s="1">
        <v>2.5</v>
      </c>
      <c r="K5547" s="1">
        <v>2</v>
      </c>
      <c r="L5547" s="1">
        <v>1</v>
      </c>
      <c r="M5547" s="4">
        <v>1625</v>
      </c>
      <c r="N5547" s="1">
        <v>2254</v>
      </c>
      <c r="O5547" s="1">
        <v>4554</v>
      </c>
      <c r="P5547" s="1">
        <v>2300</v>
      </c>
      <c r="Q5547" s="1" t="s">
        <v>42</v>
      </c>
      <c r="S5547" s="1" t="s">
        <v>42</v>
      </c>
      <c r="T5547" s="1" t="s">
        <v>273</v>
      </c>
      <c r="V5547" s="5">
        <v>44338</v>
      </c>
      <c r="W5547" s="5">
        <v>41976</v>
      </c>
      <c r="X5547" s="1">
        <v>3295000</v>
      </c>
      <c r="Y5547" s="1">
        <v>3295000</v>
      </c>
      <c r="Z5547" s="5">
        <v>41976</v>
      </c>
      <c r="AA5547" s="1">
        <v>3295000</v>
      </c>
      <c r="AB5547" s="1" t="s">
        <v>275</v>
      </c>
      <c r="AC5547" s="5">
        <v>42777</v>
      </c>
      <c r="AF5547" s="1">
        <v>10038</v>
      </c>
      <c r="AI5547" s="1" t="s">
        <v>101</v>
      </c>
      <c r="AJ5547" s="1">
        <v>2015</v>
      </c>
      <c r="AK5547" s="1" t="s">
        <v>49</v>
      </c>
      <c r="AL5547" s="1">
        <v>67</v>
      </c>
    </row>
    <row r="5548" spans="1:38" x14ac:dyDescent="0.2">
      <c r="A5548" s="2" t="str">
        <f>HYPERLINK("https://www.compass.com/listing/50-west-street-unit-40a-manhattan-ny-10006/29355218986663953/","50 West St, Unit 40A")</f>
        <v>50 West St, Unit 40A</v>
      </c>
      <c r="B5548" s="2" t="str">
        <f>HYPERLINK("https://www.compass.com/building/50-west-st-manhattan-ny-10006/281896342152815429/","50 West St")</f>
        <v>50 West St</v>
      </c>
      <c r="C5548" s="1" t="s">
        <v>96</v>
      </c>
      <c r="D5548" s="1" t="s">
        <v>41</v>
      </c>
      <c r="E5548" s="3">
        <v>3864259</v>
      </c>
      <c r="F5548" s="1">
        <v>2228.5230680507402</v>
      </c>
      <c r="G5548" s="1">
        <v>5</v>
      </c>
      <c r="H5548" s="1">
        <v>2</v>
      </c>
      <c r="I5548" s="1">
        <v>3</v>
      </c>
      <c r="J5548" s="1">
        <v>3</v>
      </c>
      <c r="K5548" s="1">
        <v>3</v>
      </c>
      <c r="M5548" s="4">
        <v>1734</v>
      </c>
      <c r="N5548" s="1">
        <v>2184.65</v>
      </c>
      <c r="O5548" s="1">
        <v>4620.78</v>
      </c>
      <c r="P5548" s="1">
        <v>2436.1666666666601</v>
      </c>
      <c r="Q5548" s="1" t="s">
        <v>42</v>
      </c>
      <c r="S5548" s="1" t="s">
        <v>42</v>
      </c>
      <c r="T5548" s="1" t="s">
        <v>273</v>
      </c>
      <c r="U5548" s="1">
        <v>15</v>
      </c>
      <c r="V5548" s="5">
        <v>43676</v>
      </c>
      <c r="W5548" s="5">
        <v>42307</v>
      </c>
      <c r="X5548" s="1">
        <v>3795000</v>
      </c>
      <c r="Y5548" s="1">
        <v>3795000</v>
      </c>
      <c r="Z5548" s="5">
        <v>42322</v>
      </c>
      <c r="AA5548" s="1">
        <v>3864259</v>
      </c>
      <c r="AB5548" s="1" t="s">
        <v>3934</v>
      </c>
      <c r="AC5548" s="5">
        <v>42789</v>
      </c>
      <c r="AF5548" s="1">
        <v>10006</v>
      </c>
      <c r="AI5548" s="1" t="s">
        <v>97</v>
      </c>
      <c r="AJ5548" s="1">
        <v>2016</v>
      </c>
      <c r="AK5548" s="1" t="s">
        <v>46</v>
      </c>
      <c r="AL5548" s="1">
        <v>186</v>
      </c>
    </row>
    <row r="5549" spans="1:38" x14ac:dyDescent="0.2">
      <c r="A5549" s="2" t="str">
        <f>HYPERLINK("https://www.compass.com/listing/196-orchard-street-unit-4c-manhattan-ny-10002/141285114528169329/","196 Orchard St, Unit 4C")</f>
        <v>196 Orchard St, Unit 4C</v>
      </c>
      <c r="B5549" s="2" t="str">
        <f t="shared" ref="B5549:B5550" si="931">HYPERLINK("https://www.compass.com/building/196-orchard-st-manhattan-ny-10002/281886194713760485/","196 Orchard St")</f>
        <v>196 Orchard St</v>
      </c>
      <c r="C5549" s="1" t="s">
        <v>47</v>
      </c>
      <c r="D5549" s="1" t="s">
        <v>41</v>
      </c>
      <c r="E5549" s="3">
        <v>1385000</v>
      </c>
      <c r="F5549" s="1">
        <v>1956.2146892655301</v>
      </c>
      <c r="G5549" s="1">
        <v>3</v>
      </c>
      <c r="H5549" s="1">
        <v>1</v>
      </c>
      <c r="I5549" s="1">
        <v>1</v>
      </c>
      <c r="J5549" s="1">
        <v>1</v>
      </c>
      <c r="K5549" s="1">
        <v>1</v>
      </c>
      <c r="M5549" s="1">
        <v>708</v>
      </c>
      <c r="N5549" s="1">
        <v>940</v>
      </c>
      <c r="O5549" s="1">
        <v>1872</v>
      </c>
      <c r="P5549" s="1">
        <v>932</v>
      </c>
      <c r="Q5549" s="1" t="s">
        <v>42</v>
      </c>
      <c r="S5549" s="1" t="s">
        <v>42</v>
      </c>
      <c r="T5549" s="1" t="s">
        <v>273</v>
      </c>
      <c r="V5549" s="5">
        <v>44338</v>
      </c>
      <c r="W5549" s="5">
        <v>43447</v>
      </c>
      <c r="X5549" s="1">
        <v>1416000</v>
      </c>
      <c r="Y5549" s="1">
        <v>1416000</v>
      </c>
      <c r="Z5549" s="5">
        <v>43447</v>
      </c>
      <c r="AA5549" s="1">
        <v>1385000</v>
      </c>
      <c r="AB5549" s="1" t="s">
        <v>3935</v>
      </c>
      <c r="AC5549" s="5">
        <v>43455</v>
      </c>
      <c r="AF5549" s="1">
        <v>10002</v>
      </c>
      <c r="AI5549" s="1" t="s">
        <v>165</v>
      </c>
      <c r="AJ5549" s="1">
        <v>2018</v>
      </c>
      <c r="AK5549" s="1" t="s">
        <v>46</v>
      </c>
      <c r="AL5549" s="1">
        <v>89</v>
      </c>
    </row>
    <row r="5550" spans="1:38" x14ac:dyDescent="0.2">
      <c r="A5550" s="2" t="str">
        <f>HYPERLINK("https://www.compass.com/listing/196-orchard-street-unit-5c-manhattan-ny-10002/141285115098583697/","196 Orchard St, Unit 5C")</f>
        <v>196 Orchard St, Unit 5C</v>
      </c>
      <c r="B5550" s="2" t="str">
        <f t="shared" si="931"/>
        <v>196 Orchard St</v>
      </c>
      <c r="C5550" s="1" t="s">
        <v>47</v>
      </c>
      <c r="D5550" s="1" t="s">
        <v>41</v>
      </c>
      <c r="E5550" s="3">
        <v>1400000</v>
      </c>
      <c r="F5550" s="1">
        <v>1977.4011299435001</v>
      </c>
      <c r="G5550" s="1">
        <v>3</v>
      </c>
      <c r="H5550" s="1">
        <v>1</v>
      </c>
      <c r="I5550" s="1">
        <v>1</v>
      </c>
      <c r="J5550" s="1">
        <v>1</v>
      </c>
      <c r="K5550" s="1">
        <v>1</v>
      </c>
      <c r="M5550" s="1">
        <v>708</v>
      </c>
      <c r="N5550" s="1">
        <v>940</v>
      </c>
      <c r="O5550" s="1">
        <v>1872</v>
      </c>
      <c r="P5550" s="1">
        <v>932</v>
      </c>
      <c r="Q5550" s="1" t="s">
        <v>42</v>
      </c>
      <c r="S5550" s="1" t="s">
        <v>42</v>
      </c>
      <c r="T5550" s="1" t="s">
        <v>273</v>
      </c>
      <c r="V5550" s="5">
        <v>44338</v>
      </c>
      <c r="W5550" s="5">
        <v>43447</v>
      </c>
      <c r="X5550" s="1">
        <v>1435000</v>
      </c>
      <c r="Y5550" s="1">
        <v>1435000</v>
      </c>
      <c r="Z5550" s="5">
        <v>43447</v>
      </c>
      <c r="AA5550" s="1">
        <v>1400000</v>
      </c>
      <c r="AB5550" s="1" t="s">
        <v>3896</v>
      </c>
      <c r="AC5550" s="5">
        <v>43447</v>
      </c>
      <c r="AF5550" s="1">
        <v>10002</v>
      </c>
      <c r="AI5550" s="1" t="s">
        <v>165</v>
      </c>
      <c r="AJ5550" s="1">
        <v>2018</v>
      </c>
      <c r="AK5550" s="1" t="s">
        <v>46</v>
      </c>
      <c r="AL5550" s="1">
        <v>89</v>
      </c>
    </row>
    <row r="5551" spans="1:38" x14ac:dyDescent="0.2">
      <c r="A5551" s="2" t="str">
        <f>HYPERLINK("https://www.compass.com/listing/50-clinton-street-unit-1b-manhattan-ny-10002/101889660770344929/","50 Clinton St, Unit 1B")</f>
        <v>50 Clinton St, Unit 1B</v>
      </c>
      <c r="B5551" s="2" t="str">
        <f t="shared" ref="B5551:B5552" si="932">HYPERLINK("https://www.compass.com/building/50-clinton-manhattan-ny/281887574832709909/","50 Clinton")</f>
        <v>50 Clinton</v>
      </c>
      <c r="C5551" s="1" t="s">
        <v>47</v>
      </c>
      <c r="D5551" s="1" t="s">
        <v>41</v>
      </c>
      <c r="E5551" s="3">
        <v>2250000</v>
      </c>
      <c r="F5551" s="1">
        <v>1278.4090909090901</v>
      </c>
      <c r="G5551" s="1">
        <v>3</v>
      </c>
      <c r="H5551" s="1">
        <v>1</v>
      </c>
      <c r="I5551" s="1">
        <v>2</v>
      </c>
      <c r="J5551" s="1">
        <v>1.5</v>
      </c>
      <c r="K5551" s="1">
        <v>1</v>
      </c>
      <c r="L5551" s="1">
        <v>1</v>
      </c>
      <c r="M5551" s="4">
        <v>1760</v>
      </c>
      <c r="N5551" s="1">
        <v>2399</v>
      </c>
      <c r="O5551" s="1">
        <v>5271</v>
      </c>
      <c r="P5551" s="1">
        <v>2872</v>
      </c>
      <c r="Q5551" s="1" t="s">
        <v>42</v>
      </c>
      <c r="S5551" s="1" t="s">
        <v>42</v>
      </c>
      <c r="T5551" s="1" t="s">
        <v>273</v>
      </c>
      <c r="U5551" s="1">
        <v>146</v>
      </c>
      <c r="V5551" s="5">
        <v>44387</v>
      </c>
      <c r="W5551" s="5">
        <v>43393</v>
      </c>
      <c r="X5551" s="1">
        <v>2495000</v>
      </c>
      <c r="Y5551" s="1">
        <v>2250000</v>
      </c>
      <c r="Z5551" s="5">
        <v>43539</v>
      </c>
      <c r="AA5551" s="1">
        <v>2250000</v>
      </c>
      <c r="AB5551" s="1" t="s">
        <v>3936</v>
      </c>
      <c r="AC5551" s="5">
        <v>43581</v>
      </c>
      <c r="AF5551" s="1">
        <v>10002</v>
      </c>
      <c r="AI5551" s="1" t="s">
        <v>211</v>
      </c>
      <c r="AJ5551" s="1">
        <v>2016</v>
      </c>
      <c r="AK5551" s="1" t="s">
        <v>46</v>
      </c>
      <c r="AL5551" s="1">
        <v>37</v>
      </c>
    </row>
    <row r="5552" spans="1:38" x14ac:dyDescent="0.2">
      <c r="A5552" s="2" t="str">
        <f>HYPERLINK("https://www.compass.com/listing/50-clinton-street-unit-1a-manhattan-ny-10002/34470428248433265/","50 Clinton St, Unit 1A")</f>
        <v>50 Clinton St, Unit 1A</v>
      </c>
      <c r="B5552" s="2" t="str">
        <f t="shared" si="932"/>
        <v>50 Clinton</v>
      </c>
      <c r="C5552" s="1" t="s">
        <v>47</v>
      </c>
      <c r="D5552" s="1" t="s">
        <v>41</v>
      </c>
      <c r="E5552" s="3">
        <v>2523500</v>
      </c>
      <c r="F5552" s="1">
        <v>1239.44007858546</v>
      </c>
      <c r="G5552" s="1">
        <v>3</v>
      </c>
      <c r="H5552" s="1">
        <v>1</v>
      </c>
      <c r="I5552" s="1">
        <v>2</v>
      </c>
      <c r="J5552" s="1">
        <v>1.5</v>
      </c>
      <c r="K5552" s="1">
        <v>1</v>
      </c>
      <c r="L5552" s="1">
        <v>1</v>
      </c>
      <c r="M5552" s="4">
        <v>2036</v>
      </c>
      <c r="N5552" s="1">
        <v>2731</v>
      </c>
      <c r="O5552" s="1">
        <v>6001</v>
      </c>
      <c r="P5552" s="1">
        <v>3270</v>
      </c>
      <c r="Q5552" s="1" t="s">
        <v>42</v>
      </c>
      <c r="S5552" s="1" t="s">
        <v>42</v>
      </c>
      <c r="T5552" s="1" t="s">
        <v>273</v>
      </c>
      <c r="U5552" s="1">
        <v>139</v>
      </c>
      <c r="V5552" s="5">
        <v>43687</v>
      </c>
      <c r="W5552" s="5">
        <v>43302</v>
      </c>
      <c r="X5552" s="1">
        <v>3150000</v>
      </c>
      <c r="Y5552" s="1">
        <v>2795000</v>
      </c>
      <c r="Z5552" s="5">
        <v>43441</v>
      </c>
      <c r="AA5552" s="1">
        <v>2523500</v>
      </c>
      <c r="AB5552" s="1" t="s">
        <v>3937</v>
      </c>
      <c r="AC5552" s="5">
        <v>43481</v>
      </c>
      <c r="AF5552" s="1">
        <v>10002</v>
      </c>
      <c r="AI5552" s="1" t="s">
        <v>211</v>
      </c>
      <c r="AJ5552" s="1">
        <v>2016</v>
      </c>
      <c r="AK5552" s="1" t="s">
        <v>49</v>
      </c>
      <c r="AL5552" s="1">
        <v>37</v>
      </c>
    </row>
    <row r="5553" spans="1:38" x14ac:dyDescent="0.2">
      <c r="A5553" s="2" t="str">
        <f>HYPERLINK("https://www.compass.com/listing/5-beekman-street-unit-37b-manhattan-ny-10038/29357233871613553/","5 Beekman St, Unit 37B")</f>
        <v>5 Beekman St, Unit 37B</v>
      </c>
      <c r="B5553" s="2" t="str">
        <f>HYPERLINK("https://www.compass.com/building/the-beekman-residences-manhattan-ny/282030567363458613/","The Beekman Residences")</f>
        <v>The Beekman Residences</v>
      </c>
      <c r="C5553" s="1" t="s">
        <v>96</v>
      </c>
      <c r="D5553" s="1" t="s">
        <v>41</v>
      </c>
      <c r="E5553" s="3">
        <v>4276650</v>
      </c>
      <c r="F5553" s="1">
        <v>2371.9633943427598</v>
      </c>
      <c r="G5553" s="1">
        <v>6</v>
      </c>
      <c r="H5553" s="1">
        <v>3</v>
      </c>
      <c r="I5553" s="1">
        <v>3</v>
      </c>
      <c r="J5553" s="1">
        <v>2.5</v>
      </c>
      <c r="M5553" s="4">
        <v>1803</v>
      </c>
      <c r="N5553" s="1">
        <v>2501</v>
      </c>
      <c r="O5553" s="1">
        <v>5053</v>
      </c>
      <c r="P5553" s="1">
        <v>2552</v>
      </c>
      <c r="Q5553" s="1" t="s">
        <v>42</v>
      </c>
      <c r="S5553" s="1" t="s">
        <v>42</v>
      </c>
      <c r="T5553" s="1" t="s">
        <v>273</v>
      </c>
      <c r="V5553" s="5">
        <v>43649</v>
      </c>
      <c r="W5553" s="5">
        <v>41976</v>
      </c>
      <c r="X5553" s="1">
        <v>4200000</v>
      </c>
      <c r="Y5553" s="1">
        <v>4200000</v>
      </c>
      <c r="Z5553" s="5">
        <v>41976</v>
      </c>
      <c r="AA5553" s="1">
        <v>4276650</v>
      </c>
      <c r="AB5553" s="1" t="s">
        <v>3938</v>
      </c>
      <c r="AC5553" s="5">
        <v>43053</v>
      </c>
      <c r="AF5553" s="1">
        <v>10038</v>
      </c>
      <c r="AI5553" s="1" t="s">
        <v>101</v>
      </c>
      <c r="AJ5553" s="1">
        <v>2015</v>
      </c>
      <c r="AK5553" s="1" t="s">
        <v>49</v>
      </c>
      <c r="AL5553" s="1">
        <v>67</v>
      </c>
    </row>
    <row r="5554" spans="1:38" x14ac:dyDescent="0.2">
      <c r="A5554" s="2" t="str">
        <f>HYPERLINK("https://www.compass.com/listing/130-william-street-unit-32c-manhattan-ny-10038/790648616090291161/","130 William St, Unit 32C")</f>
        <v>130 William St, Unit 32C</v>
      </c>
      <c r="B5554" s="2" t="str">
        <f>HYPERLINK("https://www.compass.com/building/130-william-st-manhattan-ny-10038/282029682239486757/","130 William St")</f>
        <v>130 William St</v>
      </c>
      <c r="C5554" s="1" t="s">
        <v>96</v>
      </c>
      <c r="D5554" s="1" t="s">
        <v>41</v>
      </c>
      <c r="E5554" s="3">
        <v>2326234</v>
      </c>
      <c r="F5554" s="1">
        <v>2194.5603773584899</v>
      </c>
      <c r="G5554" s="1">
        <v>4</v>
      </c>
      <c r="H5554" s="1">
        <v>2</v>
      </c>
      <c r="I5554" s="1">
        <v>3</v>
      </c>
      <c r="J5554" s="1">
        <v>2.5</v>
      </c>
      <c r="K5554" s="1">
        <v>2</v>
      </c>
      <c r="L5554" s="1">
        <v>1</v>
      </c>
      <c r="M5554" s="4">
        <v>1060</v>
      </c>
      <c r="N5554" s="1">
        <v>773</v>
      </c>
      <c r="O5554" s="1">
        <v>2271</v>
      </c>
      <c r="P5554" s="1">
        <v>1498</v>
      </c>
      <c r="Q5554" s="1" t="s">
        <v>42</v>
      </c>
      <c r="S5554" s="1" t="s">
        <v>42</v>
      </c>
      <c r="T5554" s="1" t="s">
        <v>273</v>
      </c>
      <c r="U5554" s="1">
        <v>7</v>
      </c>
      <c r="V5554" s="5">
        <v>44412</v>
      </c>
      <c r="W5554" s="5">
        <v>44342</v>
      </c>
      <c r="X5554" s="1">
        <v>2280990</v>
      </c>
      <c r="Y5554" s="1">
        <v>2280990</v>
      </c>
      <c r="Z5554" s="5">
        <v>44350</v>
      </c>
      <c r="AA5554" s="1">
        <v>2326234</v>
      </c>
      <c r="AB5554" s="1" t="s">
        <v>275</v>
      </c>
      <c r="AC5554" s="5">
        <v>44406</v>
      </c>
      <c r="AF5554" s="1">
        <v>10038</v>
      </c>
      <c r="AI5554" s="1" t="s">
        <v>111</v>
      </c>
      <c r="AJ5554" s="1">
        <v>2020</v>
      </c>
      <c r="AK5554" s="1" t="s">
        <v>46</v>
      </c>
      <c r="AL5554" s="1">
        <v>244</v>
      </c>
    </row>
    <row r="5555" spans="1:38" x14ac:dyDescent="0.2">
      <c r="A5555" s="2" t="str">
        <f>HYPERLINK("https://www.compass.com/listing/5-beekman-street-unit-40b-manhattan-ny-10038/4836404744266191793/","5 Beekman St, Unit 40B")</f>
        <v>5 Beekman St, Unit 40B</v>
      </c>
      <c r="B5555" s="2" t="str">
        <f t="shared" ref="B5555:B5561" si="933">HYPERLINK("https://www.compass.com/building/the-beekman-residences-manhattan-ny/282030567363458613/","The Beekman Residences")</f>
        <v>The Beekman Residences</v>
      </c>
      <c r="C5555" s="1" t="s">
        <v>96</v>
      </c>
      <c r="D5555" s="1" t="s">
        <v>41</v>
      </c>
      <c r="E5555" s="3">
        <v>3645000</v>
      </c>
      <c r="F5555" s="1">
        <v>2318.70229007633</v>
      </c>
      <c r="G5555" s="1">
        <v>4</v>
      </c>
      <c r="H5555" s="1">
        <v>2</v>
      </c>
      <c r="I5555" s="1">
        <v>3</v>
      </c>
      <c r="J5555" s="1">
        <v>2.5</v>
      </c>
      <c r="M5555" s="4">
        <v>1572</v>
      </c>
      <c r="N5555" s="1">
        <v>2181</v>
      </c>
      <c r="O5555" s="1">
        <v>4406</v>
      </c>
      <c r="P5555" s="1">
        <v>2225</v>
      </c>
      <c r="Q5555" s="1" t="s">
        <v>42</v>
      </c>
      <c r="S5555" s="1" t="s">
        <v>42</v>
      </c>
      <c r="T5555" s="1" t="s">
        <v>273</v>
      </c>
      <c r="V5555" s="5">
        <v>43640</v>
      </c>
      <c r="W5555" s="5">
        <v>41976</v>
      </c>
      <c r="X5555" s="1">
        <v>3645000</v>
      </c>
      <c r="Y5555" s="1">
        <v>3645000</v>
      </c>
      <c r="Z5555" s="5">
        <v>41976</v>
      </c>
      <c r="AA5555" s="1">
        <v>3645000</v>
      </c>
      <c r="AB5555" s="1" t="s">
        <v>275</v>
      </c>
      <c r="AC5555" s="5">
        <v>43091</v>
      </c>
      <c r="AF5555" s="1">
        <v>10038</v>
      </c>
      <c r="AI5555" s="1" t="s">
        <v>140</v>
      </c>
      <c r="AJ5555" s="1">
        <v>2015</v>
      </c>
      <c r="AK5555" s="1" t="s">
        <v>49</v>
      </c>
      <c r="AL5555" s="1">
        <v>67</v>
      </c>
    </row>
    <row r="5556" spans="1:38" x14ac:dyDescent="0.2">
      <c r="A5556" s="2" t="str">
        <f>HYPERLINK("https://www.compass.com/listing/5-beekman-street-unit-49b-manhattan-ny-10038/4836404747613246849/","5 Beekman St, Unit 49B")</f>
        <v>5 Beekman St, Unit 49B</v>
      </c>
      <c r="B5556" s="2" t="str">
        <f t="shared" si="933"/>
        <v>The Beekman Residences</v>
      </c>
      <c r="C5556" s="1" t="s">
        <v>96</v>
      </c>
      <c r="D5556" s="1" t="s">
        <v>41</v>
      </c>
      <c r="E5556" s="3">
        <v>4450000</v>
      </c>
      <c r="F5556" s="1">
        <v>2830.7888040712401</v>
      </c>
      <c r="G5556" s="1">
        <v>4</v>
      </c>
      <c r="H5556" s="1">
        <v>2</v>
      </c>
      <c r="I5556" s="1">
        <v>3</v>
      </c>
      <c r="J5556" s="1">
        <v>2.5</v>
      </c>
      <c r="M5556" s="4">
        <v>1572</v>
      </c>
      <c r="N5556" s="1">
        <v>2181</v>
      </c>
      <c r="O5556" s="1">
        <v>4406</v>
      </c>
      <c r="P5556" s="1">
        <v>2225</v>
      </c>
      <c r="Q5556" s="1" t="s">
        <v>42</v>
      </c>
      <c r="S5556" s="1" t="s">
        <v>42</v>
      </c>
      <c r="T5556" s="1" t="s">
        <v>273</v>
      </c>
      <c r="U5556" s="1">
        <v>55</v>
      </c>
      <c r="V5556" s="5">
        <v>43640</v>
      </c>
      <c r="W5556" s="5">
        <v>42042</v>
      </c>
      <c r="X5556" s="1">
        <v>4450000</v>
      </c>
      <c r="Y5556" s="1">
        <v>4450000</v>
      </c>
      <c r="Z5556" s="5">
        <v>42097</v>
      </c>
      <c r="AA5556" s="1">
        <v>4450000</v>
      </c>
      <c r="AB5556" s="1" t="s">
        <v>275</v>
      </c>
      <c r="AC5556" s="5">
        <v>43197</v>
      </c>
      <c r="AF5556" s="1">
        <v>10038</v>
      </c>
      <c r="AI5556" s="1" t="s">
        <v>140</v>
      </c>
      <c r="AJ5556" s="1">
        <v>2015</v>
      </c>
      <c r="AK5556" s="1" t="s">
        <v>49</v>
      </c>
      <c r="AL5556" s="1">
        <v>67</v>
      </c>
    </row>
    <row r="5557" spans="1:38" x14ac:dyDescent="0.2">
      <c r="A5557" s="2" t="str">
        <f>HYPERLINK("https://www.compass.com/listing/5-beekman-street-unit-44b-manhattan-ny-10038/4852287343584886193/","5 Beekman St, Unit 44B")</f>
        <v>5 Beekman St, Unit 44B</v>
      </c>
      <c r="B5557" s="2" t="str">
        <f t="shared" si="933"/>
        <v>The Beekman Residences</v>
      </c>
      <c r="C5557" s="1" t="s">
        <v>96</v>
      </c>
      <c r="D5557" s="1" t="s">
        <v>41</v>
      </c>
      <c r="E5557" s="3">
        <v>3700000</v>
      </c>
      <c r="F5557" s="1">
        <v>2353.6895674300199</v>
      </c>
      <c r="G5557" s="1">
        <v>4</v>
      </c>
      <c r="H5557" s="1">
        <v>2</v>
      </c>
      <c r="I5557" s="1">
        <v>3</v>
      </c>
      <c r="J5557" s="1">
        <v>2.5</v>
      </c>
      <c r="M5557" s="4">
        <v>1572</v>
      </c>
      <c r="N5557" s="1">
        <v>2181</v>
      </c>
      <c r="O5557" s="1">
        <v>4406</v>
      </c>
      <c r="P5557" s="1">
        <v>2225</v>
      </c>
      <c r="Q5557" s="1" t="s">
        <v>42</v>
      </c>
      <c r="S5557" s="1" t="s">
        <v>42</v>
      </c>
      <c r="T5557" s="1" t="s">
        <v>273</v>
      </c>
      <c r="U5557" s="1">
        <v>43</v>
      </c>
      <c r="V5557" s="5">
        <v>43649</v>
      </c>
      <c r="W5557" s="5">
        <v>42621</v>
      </c>
      <c r="X5557" s="1">
        <v>3700000</v>
      </c>
      <c r="Y5557" s="1">
        <v>3700000</v>
      </c>
      <c r="Z5557" s="5">
        <v>42664</v>
      </c>
      <c r="AA5557" s="1">
        <v>3700000</v>
      </c>
      <c r="AB5557" s="1" t="s">
        <v>275</v>
      </c>
      <c r="AC5557" s="5">
        <v>43084</v>
      </c>
      <c r="AF5557" s="1">
        <v>10038</v>
      </c>
      <c r="AI5557" s="1" t="s">
        <v>101</v>
      </c>
      <c r="AJ5557" s="1">
        <v>2015</v>
      </c>
      <c r="AK5557" s="1" t="s">
        <v>49</v>
      </c>
      <c r="AL5557" s="1">
        <v>67</v>
      </c>
    </row>
    <row r="5558" spans="1:38" x14ac:dyDescent="0.2">
      <c r="A5558" s="2" t="str">
        <f>HYPERLINK("https://www.compass.com/listing/5-beekman-street-unit-43b-manhattan-ny-10038/4852287395619408721/","5 Beekman St, Unit 43B")</f>
        <v>5 Beekman St, Unit 43B</v>
      </c>
      <c r="B5558" s="2" t="str">
        <f t="shared" si="933"/>
        <v>The Beekman Residences</v>
      </c>
      <c r="C5558" s="1" t="s">
        <v>96</v>
      </c>
      <c r="D5558" s="1" t="s">
        <v>41</v>
      </c>
      <c r="E5558" s="3">
        <v>3650000</v>
      </c>
      <c r="F5558" s="1">
        <v>2321.8829516539399</v>
      </c>
      <c r="G5558" s="1">
        <v>4</v>
      </c>
      <c r="H5558" s="1">
        <v>2</v>
      </c>
      <c r="I5558" s="1">
        <v>3</v>
      </c>
      <c r="J5558" s="1">
        <v>2.5</v>
      </c>
      <c r="M5558" s="4">
        <v>1572</v>
      </c>
      <c r="N5558" s="1">
        <v>2181</v>
      </c>
      <c r="O5558" s="1">
        <v>4406</v>
      </c>
      <c r="P5558" s="1">
        <v>2225</v>
      </c>
      <c r="Q5558" s="1" t="s">
        <v>42</v>
      </c>
      <c r="S5558" s="1" t="s">
        <v>42</v>
      </c>
      <c r="T5558" s="1" t="s">
        <v>273</v>
      </c>
      <c r="U5558" s="1">
        <v>111</v>
      </c>
      <c r="V5558" s="5">
        <v>43649</v>
      </c>
      <c r="W5558" s="5">
        <v>42511</v>
      </c>
      <c r="X5558" s="1">
        <v>3650000</v>
      </c>
      <c r="Y5558" s="1">
        <v>3650000</v>
      </c>
      <c r="Z5558" s="5">
        <v>42622</v>
      </c>
      <c r="AA5558" s="1">
        <v>3650000</v>
      </c>
      <c r="AB5558" s="1" t="s">
        <v>275</v>
      </c>
      <c r="AC5558" s="5">
        <v>43084</v>
      </c>
      <c r="AF5558" s="1">
        <v>10038</v>
      </c>
      <c r="AI5558" s="1" t="s">
        <v>101</v>
      </c>
      <c r="AJ5558" s="1">
        <v>2015</v>
      </c>
      <c r="AK5558" s="1" t="s">
        <v>49</v>
      </c>
      <c r="AL5558" s="1">
        <v>67</v>
      </c>
    </row>
    <row r="5559" spans="1:38" x14ac:dyDescent="0.2">
      <c r="A5559" s="2" t="str">
        <f>HYPERLINK("https://www.compass.com/listing/5-beekman-street-unit-47b-manhattan-ny-10038/54114807716061825/","5 Beekman St, Unit 47B")</f>
        <v>5 Beekman St, Unit 47B</v>
      </c>
      <c r="B5559" s="2" t="str">
        <f t="shared" si="933"/>
        <v>The Beekman Residences</v>
      </c>
      <c r="C5559" s="1" t="s">
        <v>96</v>
      </c>
      <c r="D5559" s="1" t="s">
        <v>41</v>
      </c>
      <c r="E5559" s="3">
        <v>3563875</v>
      </c>
      <c r="F5559" s="1">
        <v>2267.0960559796399</v>
      </c>
      <c r="G5559" s="1">
        <v>4</v>
      </c>
      <c r="H5559" s="1">
        <v>2</v>
      </c>
      <c r="I5559" s="1">
        <v>3</v>
      </c>
      <c r="J5559" s="1">
        <v>2.5</v>
      </c>
      <c r="M5559" s="4">
        <v>1572</v>
      </c>
      <c r="N5559" s="1">
        <v>2181</v>
      </c>
      <c r="O5559" s="1">
        <v>5158</v>
      </c>
      <c r="P5559" s="1">
        <v>2977</v>
      </c>
      <c r="Q5559" s="1" t="s">
        <v>42</v>
      </c>
      <c r="S5559" s="1" t="s">
        <v>42</v>
      </c>
      <c r="T5559" s="1" t="s">
        <v>273</v>
      </c>
      <c r="U5559" s="1">
        <v>192</v>
      </c>
      <c r="V5559" s="5">
        <v>43647</v>
      </c>
      <c r="W5559" s="5">
        <v>43179</v>
      </c>
      <c r="X5559" s="1">
        <v>3975000</v>
      </c>
      <c r="Y5559" s="1">
        <v>3800000</v>
      </c>
      <c r="Z5559" s="5">
        <v>43371</v>
      </c>
      <c r="AA5559" s="1">
        <v>3563875</v>
      </c>
      <c r="AB5559" s="1" t="s">
        <v>3939</v>
      </c>
      <c r="AC5559" s="5">
        <v>43378</v>
      </c>
      <c r="AF5559" s="1">
        <v>10038</v>
      </c>
      <c r="AI5559" s="1" t="s">
        <v>140</v>
      </c>
      <c r="AJ5559" s="1">
        <v>2015</v>
      </c>
      <c r="AK5559" s="1" t="s">
        <v>49</v>
      </c>
      <c r="AL5559" s="1">
        <v>67</v>
      </c>
    </row>
    <row r="5560" spans="1:38" x14ac:dyDescent="0.2">
      <c r="A5560" s="2" t="str">
        <f>HYPERLINK("https://www.compass.com/listing/5-beekman-street-unit-24a-manhattan-ny-10038/4852274097284972785/","5 Beekman St, Unit 24A")</f>
        <v>5 Beekman St, Unit 24A</v>
      </c>
      <c r="B5560" s="2" t="str">
        <f t="shared" si="933"/>
        <v>The Beekman Residences</v>
      </c>
      <c r="C5560" s="1" t="s">
        <v>96</v>
      </c>
      <c r="D5560" s="1" t="s">
        <v>41</v>
      </c>
      <c r="E5560" s="3">
        <v>2900000</v>
      </c>
      <c r="F5560" s="1">
        <v>1784.61538461538</v>
      </c>
      <c r="G5560" s="1">
        <v>4</v>
      </c>
      <c r="H5560" s="1">
        <v>2</v>
      </c>
      <c r="I5560" s="1">
        <v>3</v>
      </c>
      <c r="J5560" s="1">
        <v>2.5</v>
      </c>
      <c r="M5560" s="4">
        <v>1625</v>
      </c>
      <c r="N5560" s="1">
        <v>2254</v>
      </c>
      <c r="O5560" s="1">
        <v>4554</v>
      </c>
      <c r="P5560" s="1">
        <v>2300</v>
      </c>
      <c r="Q5560" s="1" t="s">
        <v>42</v>
      </c>
      <c r="S5560" s="1" t="s">
        <v>42</v>
      </c>
      <c r="T5560" s="1" t="s">
        <v>273</v>
      </c>
      <c r="U5560" s="1">
        <v>3</v>
      </c>
      <c r="V5560" s="5">
        <v>43678</v>
      </c>
      <c r="W5560" s="5">
        <v>42840</v>
      </c>
      <c r="X5560" s="1">
        <v>2900000</v>
      </c>
      <c r="Y5560" s="1">
        <v>2900000</v>
      </c>
      <c r="Z5560" s="5">
        <v>42843</v>
      </c>
      <c r="AA5560" s="1">
        <v>2900000</v>
      </c>
      <c r="AB5560" s="1" t="s">
        <v>275</v>
      </c>
      <c r="AC5560" s="5">
        <v>42906</v>
      </c>
      <c r="AF5560" s="1">
        <v>10038</v>
      </c>
      <c r="AI5560" s="1" t="s">
        <v>101</v>
      </c>
      <c r="AJ5560" s="1">
        <v>2015</v>
      </c>
      <c r="AK5560" s="1" t="s">
        <v>49</v>
      </c>
      <c r="AL5560" s="1">
        <v>67</v>
      </c>
    </row>
    <row r="5561" spans="1:38" x14ac:dyDescent="0.2">
      <c r="A5561" s="2" t="str">
        <f>HYPERLINK("https://www.compass.com/listing/5-beekman-street-unit-21a-manhattan-ny-10038/4852275873161690433/","5 Beekman St, Unit 21A")</f>
        <v>5 Beekman St, Unit 21A</v>
      </c>
      <c r="B5561" s="2" t="str">
        <f t="shared" si="933"/>
        <v>The Beekman Residences</v>
      </c>
      <c r="C5561" s="1" t="s">
        <v>96</v>
      </c>
      <c r="D5561" s="1" t="s">
        <v>41</v>
      </c>
      <c r="E5561" s="3">
        <v>2825000</v>
      </c>
      <c r="F5561" s="1">
        <v>1738.4615384615299</v>
      </c>
      <c r="G5561" s="1">
        <v>4</v>
      </c>
      <c r="H5561" s="1">
        <v>2</v>
      </c>
      <c r="I5561" s="1">
        <v>3</v>
      </c>
      <c r="J5561" s="1">
        <v>2.5</v>
      </c>
      <c r="M5561" s="4">
        <v>1625</v>
      </c>
      <c r="N5561" s="1">
        <v>2254</v>
      </c>
      <c r="O5561" s="1">
        <v>4554</v>
      </c>
      <c r="P5561" s="1">
        <v>2300</v>
      </c>
      <c r="Q5561" s="1" t="s">
        <v>42</v>
      </c>
      <c r="S5561" s="1" t="s">
        <v>42</v>
      </c>
      <c r="T5561" s="1" t="s">
        <v>273</v>
      </c>
      <c r="U5561" s="1">
        <v>97</v>
      </c>
      <c r="V5561" s="5">
        <v>43662</v>
      </c>
      <c r="W5561" s="5">
        <v>42782</v>
      </c>
      <c r="X5561" s="1">
        <v>2825000</v>
      </c>
      <c r="Y5561" s="1">
        <v>2825000</v>
      </c>
      <c r="Z5561" s="5">
        <v>42879</v>
      </c>
      <c r="AA5561" s="1">
        <v>2825000</v>
      </c>
      <c r="AB5561" s="1" t="s">
        <v>275</v>
      </c>
      <c r="AC5561" s="5">
        <v>42937</v>
      </c>
      <c r="AF5561" s="1">
        <v>10038</v>
      </c>
      <c r="AI5561" s="1" t="s">
        <v>101</v>
      </c>
      <c r="AJ5561" s="1">
        <v>2015</v>
      </c>
      <c r="AK5561" s="1" t="s">
        <v>46</v>
      </c>
      <c r="AL5561" s="1">
        <v>67</v>
      </c>
    </row>
    <row r="5562" spans="1:38" x14ac:dyDescent="0.2">
      <c r="A5562" s="2" t="str">
        <f>HYPERLINK("https://www.compass.com/listing/196-orchard-street-unit-6r-manhattan-ny-10002/386202238893564385/","196 Orchard St, Unit 6R")</f>
        <v>196 Orchard St, Unit 6R</v>
      </c>
      <c r="B5562" s="2" t="str">
        <f t="shared" ref="B5562:B5563" si="934">HYPERLINK("https://www.compass.com/building/196-orchard-st-manhattan-ny-10002/281886194713760485/","196 Orchard St")</f>
        <v>196 Orchard St</v>
      </c>
      <c r="C5562" s="1" t="s">
        <v>47</v>
      </c>
      <c r="D5562" s="1" t="s">
        <v>41</v>
      </c>
      <c r="E5562" s="3">
        <v>1380000</v>
      </c>
      <c r="F5562" s="1">
        <v>1631.20567375886</v>
      </c>
      <c r="G5562" s="1">
        <v>3</v>
      </c>
      <c r="H5562" s="1">
        <v>1</v>
      </c>
      <c r="I5562" s="1">
        <v>1</v>
      </c>
      <c r="J5562" s="1">
        <v>1</v>
      </c>
      <c r="K5562" s="1">
        <v>1</v>
      </c>
      <c r="M5562" s="1">
        <v>846</v>
      </c>
      <c r="N5562" s="1">
        <v>1123</v>
      </c>
      <c r="O5562" s="1">
        <v>2237</v>
      </c>
      <c r="P5562" s="1">
        <v>1114</v>
      </c>
      <c r="Q5562" s="1" t="s">
        <v>42</v>
      </c>
      <c r="S5562" s="1" t="s">
        <v>42</v>
      </c>
      <c r="T5562" s="1" t="s">
        <v>273</v>
      </c>
      <c r="U5562" s="1">
        <v>89</v>
      </c>
      <c r="V5562" s="5">
        <v>43936</v>
      </c>
      <c r="W5562" s="5">
        <v>43784</v>
      </c>
      <c r="X5562" s="1">
        <v>1500000</v>
      </c>
      <c r="Y5562" s="1">
        <v>1500000</v>
      </c>
      <c r="Z5562" s="5">
        <v>43873</v>
      </c>
      <c r="AA5562" s="1">
        <v>1380000</v>
      </c>
      <c r="AB5562" s="1" t="s">
        <v>3940</v>
      </c>
      <c r="AC5562" s="5">
        <v>43914</v>
      </c>
      <c r="AF5562" s="1">
        <v>10002</v>
      </c>
      <c r="AI5562" s="1" t="s">
        <v>165</v>
      </c>
      <c r="AJ5562" s="1">
        <v>2018</v>
      </c>
      <c r="AK5562" s="1" t="s">
        <v>46</v>
      </c>
      <c r="AL5562" s="1">
        <v>89</v>
      </c>
    </row>
    <row r="5563" spans="1:38" x14ac:dyDescent="0.2">
      <c r="A5563" s="2" t="str">
        <f>HYPERLINK("https://www.compass.com/listing/196-orchard-street-unit-7a-manhattan-ny-10002/520778396365121721/","196 Orchard St, Unit 7A")</f>
        <v>196 Orchard St, Unit 7A</v>
      </c>
      <c r="B5563" s="2" t="str">
        <f t="shared" si="934"/>
        <v>196 Orchard St</v>
      </c>
      <c r="C5563" s="1" t="s">
        <v>47</v>
      </c>
      <c r="D5563" s="1" t="s">
        <v>41</v>
      </c>
      <c r="E5563" s="3">
        <v>1425000</v>
      </c>
      <c r="F5563" s="1">
        <v>1746.3235294117601</v>
      </c>
      <c r="G5563" s="1">
        <v>3</v>
      </c>
      <c r="H5563" s="1">
        <v>1</v>
      </c>
      <c r="I5563" s="1">
        <v>1</v>
      </c>
      <c r="J5563" s="1">
        <v>1</v>
      </c>
      <c r="K5563" s="1">
        <v>1</v>
      </c>
      <c r="M5563" s="1">
        <v>816</v>
      </c>
      <c r="N5563" s="1">
        <v>1083</v>
      </c>
      <c r="O5563" s="1">
        <v>2158</v>
      </c>
      <c r="P5563" s="1">
        <v>1075</v>
      </c>
      <c r="Q5563" s="1" t="s">
        <v>42</v>
      </c>
      <c r="S5563" s="1" t="s">
        <v>42</v>
      </c>
      <c r="T5563" s="1" t="s">
        <v>273</v>
      </c>
      <c r="U5563" s="1">
        <v>31</v>
      </c>
      <c r="V5563" s="5">
        <v>44053</v>
      </c>
      <c r="W5563" s="5">
        <v>43970</v>
      </c>
      <c r="X5563" s="1">
        <v>1595000</v>
      </c>
      <c r="Y5563" s="1">
        <v>1595000</v>
      </c>
      <c r="Z5563" s="5">
        <v>44036</v>
      </c>
      <c r="AA5563" s="1">
        <v>1425000</v>
      </c>
      <c r="AB5563" s="1" t="s">
        <v>3941</v>
      </c>
      <c r="AC5563" s="5">
        <v>44064</v>
      </c>
      <c r="AF5563" s="1">
        <v>10002</v>
      </c>
      <c r="AI5563" s="1" t="s">
        <v>165</v>
      </c>
      <c r="AJ5563" s="1">
        <v>2018</v>
      </c>
      <c r="AK5563" s="1" t="s">
        <v>46</v>
      </c>
      <c r="AL5563" s="1">
        <v>89</v>
      </c>
    </row>
    <row r="5564" spans="1:38" x14ac:dyDescent="0.2">
      <c r="A5564" s="2" t="str">
        <f>HYPERLINK("https://www.compass.com/listing/5-beekman-street-unit-39b-manhattan-ny-10038/116536416619484209/","5 Beekman St, Unit 39B")</f>
        <v>5 Beekman St, Unit 39B</v>
      </c>
      <c r="B5564" s="2" t="str">
        <f t="shared" ref="B5564:B5565" si="935">HYPERLINK("https://www.compass.com/building/the-beekman-residences-manhattan-ny/282030567363458613/","The Beekman Residences")</f>
        <v>The Beekman Residences</v>
      </c>
      <c r="C5564" s="1" t="s">
        <v>96</v>
      </c>
      <c r="D5564" s="1" t="s">
        <v>41</v>
      </c>
      <c r="E5564" s="3">
        <v>3900000</v>
      </c>
      <c r="F5564" s="1">
        <v>2163.0615640598999</v>
      </c>
      <c r="G5564" s="1">
        <v>6</v>
      </c>
      <c r="H5564" s="1">
        <v>3</v>
      </c>
      <c r="I5564" s="1">
        <v>3</v>
      </c>
      <c r="J5564" s="1">
        <v>2.5</v>
      </c>
      <c r="K5564" s="1">
        <v>2</v>
      </c>
      <c r="L5564" s="1">
        <v>1</v>
      </c>
      <c r="M5564" s="4">
        <v>1803</v>
      </c>
      <c r="N5564" s="1">
        <v>2501</v>
      </c>
      <c r="O5564" s="1">
        <v>5915</v>
      </c>
      <c r="P5564" s="1">
        <v>3414</v>
      </c>
      <c r="Q5564" s="1" t="s">
        <v>42</v>
      </c>
      <c r="S5564" s="1" t="s">
        <v>42</v>
      </c>
      <c r="T5564" s="1" t="s">
        <v>273</v>
      </c>
      <c r="U5564" s="1">
        <v>69</v>
      </c>
      <c r="V5564" s="5">
        <v>43645</v>
      </c>
      <c r="W5564" s="5">
        <v>43413</v>
      </c>
      <c r="X5564" s="1">
        <v>4150000</v>
      </c>
      <c r="Y5564" s="1">
        <v>4150000</v>
      </c>
      <c r="Z5564" s="5">
        <v>43482</v>
      </c>
      <c r="AA5564" s="1">
        <v>3900000</v>
      </c>
      <c r="AB5564" s="1" t="s">
        <v>275</v>
      </c>
      <c r="AC5564" s="5">
        <v>43512</v>
      </c>
      <c r="AF5564" s="1">
        <v>10038</v>
      </c>
      <c r="AI5564" s="1" t="s">
        <v>140</v>
      </c>
      <c r="AJ5564" s="1">
        <v>2015</v>
      </c>
      <c r="AK5564" s="1" t="s">
        <v>49</v>
      </c>
      <c r="AL5564" s="1">
        <v>67</v>
      </c>
    </row>
    <row r="5565" spans="1:38" x14ac:dyDescent="0.2">
      <c r="A5565" s="2" t="str">
        <f>HYPERLINK("https://www.compass.com/listing/5-beekman-street-unit-28b-manhattan-ny-10038/165194872196802865/","5 Beekman St, Unit 28B")</f>
        <v>5 Beekman St, Unit 28B</v>
      </c>
      <c r="B5565" s="2" t="str">
        <f t="shared" si="935"/>
        <v>The Beekman Residences</v>
      </c>
      <c r="C5565" s="1" t="s">
        <v>96</v>
      </c>
      <c r="D5565" s="1" t="s">
        <v>41</v>
      </c>
      <c r="E5565" s="3">
        <v>3589761</v>
      </c>
      <c r="F5565" s="1">
        <v>1984.3897180762799</v>
      </c>
      <c r="G5565" s="1">
        <v>6</v>
      </c>
      <c r="H5565" s="1">
        <v>3</v>
      </c>
      <c r="I5565" s="1">
        <v>3</v>
      </c>
      <c r="J5565" s="1">
        <v>2.5</v>
      </c>
      <c r="K5565" s="1">
        <v>2</v>
      </c>
      <c r="L5565" s="1">
        <v>1</v>
      </c>
      <c r="M5565" s="4">
        <v>1809</v>
      </c>
      <c r="N5565" s="1">
        <v>2510</v>
      </c>
      <c r="O5565" s="1">
        <v>5936</v>
      </c>
      <c r="P5565" s="1">
        <v>3426</v>
      </c>
      <c r="Q5565" s="1" t="s">
        <v>42</v>
      </c>
      <c r="S5565" s="1" t="s">
        <v>42</v>
      </c>
      <c r="T5565" s="1" t="s">
        <v>273</v>
      </c>
      <c r="U5565" s="1">
        <v>1561</v>
      </c>
      <c r="V5565" s="5">
        <v>43668</v>
      </c>
      <c r="W5565" s="5">
        <v>41930</v>
      </c>
      <c r="X5565" s="1">
        <v>3900000</v>
      </c>
      <c r="Y5565" s="1">
        <v>3800000</v>
      </c>
      <c r="Z5565" s="5">
        <v>43491</v>
      </c>
      <c r="AA5565" s="1">
        <v>3589761</v>
      </c>
      <c r="AB5565" s="1" t="s">
        <v>275</v>
      </c>
      <c r="AC5565" s="5">
        <v>43516</v>
      </c>
      <c r="AF5565" s="1">
        <v>10038</v>
      </c>
      <c r="AI5565" s="1" t="s">
        <v>140</v>
      </c>
      <c r="AJ5565" s="1">
        <v>2015</v>
      </c>
      <c r="AK5565" s="1" t="s">
        <v>49</v>
      </c>
      <c r="AL5565" s="1">
        <v>67</v>
      </c>
    </row>
    <row r="5566" spans="1:38" x14ac:dyDescent="0.2">
      <c r="A5566" s="2" t="str">
        <f>HYPERLINK("https://www.compass.com/listing/50-west-street-unit-10c-manhattan-ny-10006/29512669258142033/","50 West St, Unit 10C")</f>
        <v>50 West St, Unit 10C</v>
      </c>
      <c r="B5566" s="2" t="str">
        <f>HYPERLINK("https://www.compass.com/building/50-west-st-manhattan-ny-10006/281896342152815429/","50 West St")</f>
        <v>50 West St</v>
      </c>
      <c r="C5566" s="1" t="s">
        <v>96</v>
      </c>
      <c r="D5566" s="1" t="s">
        <v>41</v>
      </c>
      <c r="E5566" s="3">
        <v>1883763</v>
      </c>
      <c r="F5566" s="1">
        <v>1744.2249999999999</v>
      </c>
      <c r="G5566" s="1">
        <v>3</v>
      </c>
      <c r="H5566" s="1">
        <v>1</v>
      </c>
      <c r="I5566" s="1">
        <v>1</v>
      </c>
      <c r="J5566" s="1">
        <v>1</v>
      </c>
      <c r="K5566" s="1">
        <v>1</v>
      </c>
      <c r="M5566" s="4">
        <v>1080</v>
      </c>
      <c r="N5566" s="1">
        <v>1190.68</v>
      </c>
      <c r="O5566" s="1">
        <v>2518.41</v>
      </c>
      <c r="P5566" s="1">
        <v>1327.75</v>
      </c>
      <c r="Q5566" s="1" t="s">
        <v>42</v>
      </c>
      <c r="S5566" s="1" t="s">
        <v>42</v>
      </c>
      <c r="T5566" s="1" t="s">
        <v>273</v>
      </c>
      <c r="U5566" s="1">
        <v>35</v>
      </c>
      <c r="V5566" s="5">
        <v>43664</v>
      </c>
      <c r="W5566" s="5">
        <v>41920</v>
      </c>
      <c r="X5566" s="1">
        <v>1850000</v>
      </c>
      <c r="Y5566" s="1">
        <v>1850000</v>
      </c>
      <c r="Z5566" s="5">
        <v>41955</v>
      </c>
      <c r="AA5566" s="1">
        <v>1883763</v>
      </c>
      <c r="AB5566" s="1" t="s">
        <v>3942</v>
      </c>
      <c r="AC5566" s="5">
        <v>42861</v>
      </c>
      <c r="AF5566" s="1">
        <v>10006</v>
      </c>
      <c r="AI5566" s="1" t="s">
        <v>97</v>
      </c>
      <c r="AJ5566" s="1">
        <v>2016</v>
      </c>
      <c r="AK5566" s="1" t="s">
        <v>46</v>
      </c>
      <c r="AL5566" s="1">
        <v>186</v>
      </c>
    </row>
    <row r="5567" spans="1:38" x14ac:dyDescent="0.2">
      <c r="A5567" s="2" t="str">
        <f>HYPERLINK("https://www.compass.com/listing/196-orchard-street-unit-4j-manhattan-ny-10002/359247699837676257/","196 Orchard St, Unit 4J")</f>
        <v>196 Orchard St, Unit 4J</v>
      </c>
      <c r="B5567" s="2" t="str">
        <f>HYPERLINK("https://www.compass.com/building/196-orchard-st-manhattan-ny-10002/281886194713760485/","196 Orchard St")</f>
        <v>196 Orchard St</v>
      </c>
      <c r="C5567" s="1" t="s">
        <v>47</v>
      </c>
      <c r="D5567" s="1" t="s">
        <v>41</v>
      </c>
      <c r="E5567" s="3">
        <v>1217827</v>
      </c>
      <c r="F5567" s="1">
        <v>1606.63192612137</v>
      </c>
      <c r="G5567" s="1">
        <v>3</v>
      </c>
      <c r="H5567" s="1">
        <v>1</v>
      </c>
      <c r="I5567" s="1">
        <v>1</v>
      </c>
      <c r="J5567" s="1">
        <v>1</v>
      </c>
      <c r="K5567" s="1">
        <v>1</v>
      </c>
      <c r="M5567" s="1">
        <v>758</v>
      </c>
      <c r="N5567" s="1">
        <v>1006</v>
      </c>
      <c r="O5567" s="1">
        <v>2004</v>
      </c>
      <c r="P5567" s="1">
        <v>998</v>
      </c>
      <c r="Q5567" s="1" t="s">
        <v>42</v>
      </c>
      <c r="S5567" s="1" t="s">
        <v>42</v>
      </c>
      <c r="T5567" s="1" t="s">
        <v>273</v>
      </c>
      <c r="U5567" s="1">
        <v>172</v>
      </c>
      <c r="V5567" s="5">
        <v>44338</v>
      </c>
      <c r="W5567" s="5">
        <v>43615</v>
      </c>
      <c r="X5567" s="1">
        <v>1495000</v>
      </c>
      <c r="Y5567" s="1">
        <v>1495000</v>
      </c>
      <c r="AA5567" s="1">
        <v>1217827</v>
      </c>
      <c r="AB5567" s="1" t="s">
        <v>3860</v>
      </c>
      <c r="AC5567" s="5">
        <v>43861</v>
      </c>
      <c r="AF5567" s="1">
        <v>10002</v>
      </c>
      <c r="AI5567" s="1" t="s">
        <v>165</v>
      </c>
      <c r="AJ5567" s="1">
        <v>2018</v>
      </c>
      <c r="AK5567" s="1" t="s">
        <v>46</v>
      </c>
      <c r="AL5567" s="1">
        <v>89</v>
      </c>
    </row>
    <row r="5568" spans="1:38" x14ac:dyDescent="0.2">
      <c r="A5568" s="2" t="str">
        <f>HYPERLINK("https://www.compass.com/listing/5-beekman-street-unit-24b-manhattan-ny-10038/637511723043636329/","5 Beekman St, Unit 24B")</f>
        <v>5 Beekman St, Unit 24B</v>
      </c>
      <c r="B5568" s="2" t="str">
        <f t="shared" ref="B5568:B5575" si="936">HYPERLINK("https://www.compass.com/building/the-beekman-residences-manhattan-ny/282030567363458613/","The Beekman Residences")</f>
        <v>The Beekman Residences</v>
      </c>
      <c r="C5568" s="1" t="s">
        <v>96</v>
      </c>
      <c r="D5568" s="1" t="s">
        <v>41</v>
      </c>
      <c r="E5568" s="3">
        <v>1300000</v>
      </c>
      <c r="F5568" s="1">
        <v>1520.46783625731</v>
      </c>
      <c r="G5568" s="1">
        <v>3</v>
      </c>
      <c r="H5568" s="1">
        <v>1</v>
      </c>
      <c r="I5568" s="1">
        <v>1</v>
      </c>
      <c r="J5568" s="1">
        <v>1</v>
      </c>
      <c r="K5568" s="1">
        <v>1</v>
      </c>
      <c r="M5568" s="1">
        <v>855</v>
      </c>
      <c r="N5568" s="1">
        <v>1599</v>
      </c>
      <c r="O5568" s="1">
        <v>3289</v>
      </c>
      <c r="P5568" s="1">
        <v>1690</v>
      </c>
      <c r="Q5568" s="1" t="s">
        <v>42</v>
      </c>
      <c r="S5568" s="1" t="s">
        <v>42</v>
      </c>
      <c r="T5568" s="1" t="s">
        <v>273</v>
      </c>
      <c r="U5568" s="1">
        <v>218</v>
      </c>
      <c r="V5568" s="5">
        <v>44399</v>
      </c>
      <c r="W5568" s="5">
        <v>44131</v>
      </c>
      <c r="X5568" s="1">
        <v>1495000</v>
      </c>
      <c r="Y5568" s="1">
        <v>1495000</v>
      </c>
      <c r="Z5568" s="5">
        <v>44350</v>
      </c>
      <c r="AA5568" s="1">
        <v>1300000</v>
      </c>
      <c r="AB5568" s="1" t="s">
        <v>275</v>
      </c>
      <c r="AC5568" s="5">
        <v>44391</v>
      </c>
      <c r="AF5568" s="1">
        <v>10038</v>
      </c>
      <c r="AI5568" s="1" t="s">
        <v>225</v>
      </c>
      <c r="AJ5568" s="1">
        <v>2015</v>
      </c>
      <c r="AK5568" s="1" t="s">
        <v>46</v>
      </c>
      <c r="AL5568" s="1">
        <v>67</v>
      </c>
    </row>
    <row r="5569" spans="1:38" x14ac:dyDescent="0.2">
      <c r="A5569" s="2" t="str">
        <f>HYPERLINK("https://www.compass.com/listing/5-beekman-street-unit-47b-manhattan-ny-10038/21728443695729505/","5 Beekman St, Unit 47B")</f>
        <v>5 Beekman St, Unit 47B</v>
      </c>
      <c r="B5569" s="2" t="str">
        <f t="shared" si="936"/>
        <v>The Beekman Residences</v>
      </c>
      <c r="C5569" s="1" t="s">
        <v>96</v>
      </c>
      <c r="D5569" s="1" t="s">
        <v>41</v>
      </c>
      <c r="E5569" s="3">
        <v>3563875</v>
      </c>
      <c r="F5569" s="1">
        <v>2267.0960559796399</v>
      </c>
      <c r="G5569" s="1">
        <v>4</v>
      </c>
      <c r="H5569" s="1">
        <v>2</v>
      </c>
      <c r="I5569" s="1">
        <v>3</v>
      </c>
      <c r="J5569" s="1">
        <v>2.5</v>
      </c>
      <c r="M5569" s="4">
        <v>1572</v>
      </c>
      <c r="N5569" s="1">
        <v>2181</v>
      </c>
      <c r="O5569" s="1">
        <v>4941</v>
      </c>
      <c r="P5569" s="1">
        <v>2760</v>
      </c>
      <c r="Q5569" s="1" t="s">
        <v>42</v>
      </c>
      <c r="S5569" s="1" t="s">
        <v>42</v>
      </c>
      <c r="T5569" s="1" t="s">
        <v>273</v>
      </c>
      <c r="U5569" s="1">
        <v>206</v>
      </c>
      <c r="V5569" s="5">
        <v>43280</v>
      </c>
      <c r="W5569" s="5">
        <v>43073</v>
      </c>
      <c r="X5569" s="1">
        <v>3975000</v>
      </c>
      <c r="Y5569" s="1">
        <v>3800000</v>
      </c>
      <c r="AA5569" s="1">
        <v>3563875</v>
      </c>
      <c r="AB5569" s="1" t="s">
        <v>3939</v>
      </c>
      <c r="AC5569" s="5">
        <v>43378</v>
      </c>
      <c r="AF5569" s="1">
        <v>10038</v>
      </c>
      <c r="AI5569" s="1" t="s">
        <v>101</v>
      </c>
      <c r="AJ5569" s="1">
        <v>2015</v>
      </c>
      <c r="AK5569" s="1" t="s">
        <v>49</v>
      </c>
      <c r="AL5569" s="1">
        <v>67</v>
      </c>
    </row>
    <row r="5570" spans="1:38" x14ac:dyDescent="0.2">
      <c r="A5570" s="2" t="str">
        <f>HYPERLINK("https://www.compass.com/listing/5-beekman-street-unit-47a-manhattan-ny-10038/380441190156342865/","5 Beekman St, Unit 47A")</f>
        <v>5 Beekman St, Unit 47A</v>
      </c>
      <c r="B5570" s="2" t="str">
        <f t="shared" si="936"/>
        <v>The Beekman Residences</v>
      </c>
      <c r="C5570" s="1" t="s">
        <v>96</v>
      </c>
      <c r="D5570" s="1" t="s">
        <v>41</v>
      </c>
      <c r="E5570" s="3">
        <v>3750000</v>
      </c>
      <c r="F5570" s="1">
        <v>2309.1133004926101</v>
      </c>
      <c r="G5570" s="1">
        <v>4</v>
      </c>
      <c r="H5570" s="1">
        <v>2</v>
      </c>
      <c r="I5570" s="1">
        <v>3</v>
      </c>
      <c r="J5570" s="1">
        <v>2.5</v>
      </c>
      <c r="K5570" s="1">
        <v>2</v>
      </c>
      <c r="L5570" s="1">
        <v>1</v>
      </c>
      <c r="M5570" s="4">
        <v>1624</v>
      </c>
      <c r="N5570" s="1">
        <v>2636</v>
      </c>
      <c r="O5570" s="1">
        <v>6059</v>
      </c>
      <c r="P5570" s="1">
        <v>3423</v>
      </c>
      <c r="Q5570" s="1" t="s">
        <v>42</v>
      </c>
      <c r="S5570" s="1" t="s">
        <v>42</v>
      </c>
      <c r="T5570" s="1" t="s">
        <v>273</v>
      </c>
      <c r="V5570" s="5">
        <v>43874</v>
      </c>
      <c r="W5570" s="5">
        <v>43776</v>
      </c>
      <c r="X5570" s="1">
        <v>3200000</v>
      </c>
      <c r="Y5570" s="1">
        <v>3750000</v>
      </c>
      <c r="Z5570" s="5">
        <v>43777</v>
      </c>
      <c r="AA5570" s="1">
        <v>3750000</v>
      </c>
      <c r="AB5570" s="1" t="s">
        <v>275</v>
      </c>
      <c r="AC5570" s="5">
        <v>43795</v>
      </c>
      <c r="AF5570" s="1">
        <v>10038</v>
      </c>
      <c r="AI5570" s="1" t="s">
        <v>140</v>
      </c>
      <c r="AJ5570" s="1">
        <v>2015</v>
      </c>
      <c r="AK5570" s="1" t="s">
        <v>49</v>
      </c>
      <c r="AL5570" s="1">
        <v>67</v>
      </c>
    </row>
    <row r="5571" spans="1:38" x14ac:dyDescent="0.2">
      <c r="A5571" s="2" t="str">
        <f>HYPERLINK("https://www.compass.com/listing/5-beekman-street-unit-45b-manhattan-ny-10038/4836404736414453601/","5 Beekman St, Unit 45B")</f>
        <v>5 Beekman St, Unit 45B</v>
      </c>
      <c r="B5571" s="2" t="str">
        <f t="shared" si="936"/>
        <v>The Beekman Residences</v>
      </c>
      <c r="C5571" s="1" t="s">
        <v>96</v>
      </c>
      <c r="D5571" s="1" t="s">
        <v>41</v>
      </c>
      <c r="E5571" s="3">
        <v>3750000</v>
      </c>
      <c r="F5571" s="1">
        <v>2385.4961832060999</v>
      </c>
      <c r="G5571" s="1">
        <v>4</v>
      </c>
      <c r="H5571" s="1">
        <v>2</v>
      </c>
      <c r="I5571" s="1">
        <v>3</v>
      </c>
      <c r="J5571" s="1">
        <v>2.5</v>
      </c>
      <c r="M5571" s="4">
        <v>1572</v>
      </c>
      <c r="N5571" s="1">
        <v>2181</v>
      </c>
      <c r="O5571" s="1">
        <v>4406</v>
      </c>
      <c r="P5571" s="1">
        <v>2225</v>
      </c>
      <c r="Q5571" s="1" t="s">
        <v>42</v>
      </c>
      <c r="S5571" s="1" t="s">
        <v>42</v>
      </c>
      <c r="T5571" s="1" t="s">
        <v>273</v>
      </c>
      <c r="V5571" s="5">
        <v>43649</v>
      </c>
      <c r="W5571" s="5">
        <v>42622</v>
      </c>
      <c r="X5571" s="1">
        <v>3750000</v>
      </c>
      <c r="Y5571" s="1">
        <v>3750000</v>
      </c>
      <c r="Z5571" s="5">
        <v>42622</v>
      </c>
      <c r="AA5571" s="1">
        <v>3750000</v>
      </c>
      <c r="AB5571" s="1" t="s">
        <v>275</v>
      </c>
      <c r="AC5571" s="5">
        <v>43109</v>
      </c>
      <c r="AF5571" s="1">
        <v>10038</v>
      </c>
      <c r="AI5571" s="1" t="s">
        <v>140</v>
      </c>
      <c r="AJ5571" s="1">
        <v>2015</v>
      </c>
      <c r="AK5571" s="1" t="s">
        <v>49</v>
      </c>
      <c r="AL5571" s="1">
        <v>67</v>
      </c>
    </row>
    <row r="5572" spans="1:38" x14ac:dyDescent="0.2">
      <c r="A5572" s="2" t="str">
        <f>HYPERLINK("https://www.compass.com/listing/5-beekman-street-unit-42b-manhattan-ny-10038/4836404742202593969/","5 Beekman St, Unit 42B")</f>
        <v>5 Beekman St, Unit 42B</v>
      </c>
      <c r="B5572" s="2" t="str">
        <f t="shared" si="936"/>
        <v>The Beekman Residences</v>
      </c>
      <c r="C5572" s="1" t="s">
        <v>96</v>
      </c>
      <c r="D5572" s="1" t="s">
        <v>41</v>
      </c>
      <c r="E5572" s="3">
        <v>3600000</v>
      </c>
      <c r="F5572" s="1">
        <v>2290.0763358778599</v>
      </c>
      <c r="G5572" s="1">
        <v>4</v>
      </c>
      <c r="H5572" s="1">
        <v>2</v>
      </c>
      <c r="I5572" s="1">
        <v>3</v>
      </c>
      <c r="J5572" s="1">
        <v>2.5</v>
      </c>
      <c r="M5572" s="4">
        <v>1572</v>
      </c>
      <c r="N5572" s="1">
        <v>2181</v>
      </c>
      <c r="O5572" s="1">
        <v>4406</v>
      </c>
      <c r="P5572" s="1">
        <v>2225</v>
      </c>
      <c r="Q5572" s="1" t="s">
        <v>42</v>
      </c>
      <c r="S5572" s="1" t="s">
        <v>42</v>
      </c>
      <c r="T5572" s="1" t="s">
        <v>273</v>
      </c>
      <c r="V5572" s="5">
        <v>43645</v>
      </c>
      <c r="W5572" s="5">
        <v>43005</v>
      </c>
      <c r="X5572" s="1">
        <v>3600000</v>
      </c>
      <c r="Y5572" s="1">
        <v>3600000</v>
      </c>
      <c r="Z5572" s="5">
        <v>43005</v>
      </c>
      <c r="AA5572" s="1">
        <v>3600000</v>
      </c>
      <c r="AB5572" s="1" t="s">
        <v>275</v>
      </c>
      <c r="AC5572" s="5">
        <v>43137</v>
      </c>
      <c r="AF5572" s="1">
        <v>10038</v>
      </c>
      <c r="AI5572" s="1" t="s">
        <v>140</v>
      </c>
      <c r="AJ5572" s="1">
        <v>2015</v>
      </c>
      <c r="AK5572" s="1" t="s">
        <v>49</v>
      </c>
      <c r="AL5572" s="1">
        <v>67</v>
      </c>
    </row>
    <row r="5573" spans="1:38" x14ac:dyDescent="0.2">
      <c r="A5573" s="2" t="str">
        <f>HYPERLINK("https://www.compass.com/listing/5-beekman-street-unit-48b-manhattan-ny-10038/4836404748041065937/","5 Beekman St, Unit 48B")</f>
        <v>5 Beekman St, Unit 48B</v>
      </c>
      <c r="B5573" s="2" t="str">
        <f t="shared" si="936"/>
        <v>The Beekman Residences</v>
      </c>
      <c r="C5573" s="1" t="s">
        <v>96</v>
      </c>
      <c r="D5573" s="1" t="s">
        <v>41</v>
      </c>
      <c r="E5573" s="3">
        <v>4075000</v>
      </c>
      <c r="F5573" s="1">
        <v>2592.23918575063</v>
      </c>
      <c r="G5573" s="1">
        <v>4</v>
      </c>
      <c r="H5573" s="1">
        <v>2</v>
      </c>
      <c r="I5573" s="1">
        <v>3</v>
      </c>
      <c r="J5573" s="1">
        <v>2.5</v>
      </c>
      <c r="M5573" s="4">
        <v>1572</v>
      </c>
      <c r="N5573" s="1">
        <v>2181</v>
      </c>
      <c r="O5573" s="1">
        <v>4406</v>
      </c>
      <c r="P5573" s="1">
        <v>2225</v>
      </c>
      <c r="Q5573" s="1" t="s">
        <v>42</v>
      </c>
      <c r="S5573" s="1" t="s">
        <v>42</v>
      </c>
      <c r="T5573" s="1" t="s">
        <v>273</v>
      </c>
      <c r="U5573" s="1">
        <v>298</v>
      </c>
      <c r="V5573" s="5">
        <v>43677</v>
      </c>
      <c r="W5573" s="5">
        <v>42672</v>
      </c>
      <c r="X5573" s="1">
        <v>4350000</v>
      </c>
      <c r="Y5573" s="1">
        <v>4075000</v>
      </c>
      <c r="Z5573" s="5">
        <v>42970</v>
      </c>
      <c r="AA5573" s="1">
        <v>4075000</v>
      </c>
      <c r="AB5573" s="1" t="s">
        <v>275</v>
      </c>
      <c r="AC5573" s="5">
        <v>43197</v>
      </c>
      <c r="AF5573" s="1">
        <v>10038</v>
      </c>
      <c r="AI5573" s="1" t="s">
        <v>140</v>
      </c>
      <c r="AJ5573" s="1">
        <v>2015</v>
      </c>
      <c r="AK5573" s="1" t="s">
        <v>46</v>
      </c>
      <c r="AL5573" s="1">
        <v>67</v>
      </c>
    </row>
    <row r="5574" spans="1:38" x14ac:dyDescent="0.2">
      <c r="A5574" s="2" t="str">
        <f>HYPERLINK("https://www.compass.com/listing/5-beekman-street-unit-42a-manhattan-ny-10038/4852287375847459201/","5 Beekman St, Unit 42A")</f>
        <v>5 Beekman St, Unit 42A</v>
      </c>
      <c r="B5574" s="2" t="str">
        <f t="shared" si="936"/>
        <v>The Beekman Residences</v>
      </c>
      <c r="C5574" s="1" t="s">
        <v>96</v>
      </c>
      <c r="D5574" s="1" t="s">
        <v>41</v>
      </c>
      <c r="E5574" s="3">
        <v>3600000</v>
      </c>
      <c r="F5574" s="1">
        <v>2215.3846153846098</v>
      </c>
      <c r="G5574" s="1">
        <v>4</v>
      </c>
      <c r="H5574" s="1">
        <v>2</v>
      </c>
      <c r="I5574" s="1">
        <v>3</v>
      </c>
      <c r="J5574" s="1">
        <v>2.5</v>
      </c>
      <c r="K5574" s="1">
        <v>2</v>
      </c>
      <c r="L5574" s="1">
        <v>1</v>
      </c>
      <c r="M5574" s="4">
        <v>1625</v>
      </c>
      <c r="N5574" s="1">
        <v>2253</v>
      </c>
      <c r="O5574" s="1">
        <v>4552</v>
      </c>
      <c r="P5574" s="1">
        <v>2299</v>
      </c>
      <c r="Q5574" s="1" t="s">
        <v>42</v>
      </c>
      <c r="S5574" s="1" t="s">
        <v>42</v>
      </c>
      <c r="T5574" s="1" t="s">
        <v>273</v>
      </c>
      <c r="U5574" s="1">
        <v>98</v>
      </c>
      <c r="V5574" s="5">
        <v>44225</v>
      </c>
      <c r="W5574" s="5">
        <v>42614</v>
      </c>
      <c r="X5574" s="1">
        <v>3600000</v>
      </c>
      <c r="Y5574" s="1">
        <v>3600000</v>
      </c>
      <c r="Z5574" s="5">
        <v>42712</v>
      </c>
      <c r="AA5574" s="1">
        <v>3600000</v>
      </c>
      <c r="AB5574" s="1" t="s">
        <v>275</v>
      </c>
      <c r="AC5574" s="5">
        <v>43076</v>
      </c>
      <c r="AF5574" s="1">
        <v>10038</v>
      </c>
      <c r="AI5574" s="1" t="s">
        <v>140</v>
      </c>
      <c r="AJ5574" s="1">
        <v>2015</v>
      </c>
      <c r="AK5574" s="1" t="s">
        <v>49</v>
      </c>
      <c r="AL5574" s="1">
        <v>67</v>
      </c>
    </row>
    <row r="5575" spans="1:38" x14ac:dyDescent="0.2">
      <c r="A5575" s="2" t="str">
        <f>HYPERLINK("https://www.compass.com/listing/5-beekman-street-unit-46b-manhattan-ny-10038/784908240348482241/","5 Beekman St, Unit 46B")</f>
        <v>5 Beekman St, Unit 46B</v>
      </c>
      <c r="B5575" s="2" t="str">
        <f t="shared" si="936"/>
        <v>The Beekman Residences</v>
      </c>
      <c r="C5575" s="1" t="s">
        <v>96</v>
      </c>
      <c r="D5575" s="1" t="s">
        <v>41</v>
      </c>
      <c r="E5575" s="3">
        <v>3475000</v>
      </c>
      <c r="F5575" s="1">
        <v>2210.5597964376502</v>
      </c>
      <c r="G5575" s="1">
        <v>4</v>
      </c>
      <c r="H5575" s="1">
        <v>2</v>
      </c>
      <c r="I5575" s="1">
        <v>3</v>
      </c>
      <c r="J5575" s="1">
        <v>2.5</v>
      </c>
      <c r="M5575" s="4">
        <v>1572</v>
      </c>
      <c r="N5575" s="1">
        <v>2181</v>
      </c>
      <c r="O5575" s="1">
        <v>5158</v>
      </c>
      <c r="P5575" s="1">
        <v>2977</v>
      </c>
      <c r="Q5575" s="1" t="s">
        <v>42</v>
      </c>
      <c r="S5575" s="1" t="s">
        <v>42</v>
      </c>
      <c r="T5575" s="1" t="s">
        <v>273</v>
      </c>
      <c r="U5575" s="1">
        <v>46</v>
      </c>
      <c r="V5575" s="5">
        <v>43347</v>
      </c>
      <c r="W5575" s="5">
        <v>43279</v>
      </c>
      <c r="X5575" s="1">
        <v>3750000</v>
      </c>
      <c r="Y5575" s="1">
        <v>3750000</v>
      </c>
      <c r="Z5575" s="5">
        <v>43325</v>
      </c>
      <c r="AA5575" s="1">
        <v>3475000</v>
      </c>
      <c r="AB5575" s="1" t="s">
        <v>275</v>
      </c>
      <c r="AC5575" s="5">
        <v>43342</v>
      </c>
      <c r="AF5575" s="1">
        <v>10038</v>
      </c>
      <c r="AI5575" s="1" t="s">
        <v>140</v>
      </c>
      <c r="AJ5575" s="1">
        <v>2015</v>
      </c>
      <c r="AK5575" s="1" t="s">
        <v>49</v>
      </c>
      <c r="AL5575" s="1">
        <v>67</v>
      </c>
    </row>
    <row r="5576" spans="1:38" x14ac:dyDescent="0.2">
      <c r="A5576" s="2" t="str">
        <f>HYPERLINK("https://www.compass.com/listing/196-orchard-street-unit-5a-manhattan-ny-10002/29669297395604001/","196 Orchard St, Unit 5A")</f>
        <v>196 Orchard St, Unit 5A</v>
      </c>
      <c r="B5576" s="2" t="str">
        <f t="shared" ref="B5576:B5577" si="937">HYPERLINK("https://www.compass.com/building/196-orchard-st-manhattan-ny-10002/281886194713760485/","196 Orchard St")</f>
        <v>196 Orchard St</v>
      </c>
      <c r="C5576" s="1" t="s">
        <v>47</v>
      </c>
      <c r="D5576" s="1" t="s">
        <v>41</v>
      </c>
      <c r="E5576" s="3">
        <v>1500000</v>
      </c>
      <c r="F5576" s="1">
        <v>1824.81751824817</v>
      </c>
      <c r="G5576" s="1">
        <v>3</v>
      </c>
      <c r="H5576" s="1">
        <v>1</v>
      </c>
      <c r="I5576" s="1">
        <v>1</v>
      </c>
      <c r="J5576" s="1">
        <v>1</v>
      </c>
      <c r="K5576" s="1">
        <v>1</v>
      </c>
      <c r="M5576" s="1">
        <v>822</v>
      </c>
      <c r="N5576" s="1">
        <v>1089</v>
      </c>
      <c r="O5576" s="1">
        <v>2171</v>
      </c>
      <c r="P5576" s="1">
        <v>1082</v>
      </c>
      <c r="Q5576" s="1" t="s">
        <v>42</v>
      </c>
      <c r="S5576" s="1" t="s">
        <v>42</v>
      </c>
      <c r="T5576" s="1" t="s">
        <v>273</v>
      </c>
      <c r="U5576" s="1">
        <v>925</v>
      </c>
      <c r="V5576" s="5">
        <v>44338</v>
      </c>
      <c r="W5576" s="5">
        <v>42382</v>
      </c>
      <c r="X5576" s="1">
        <v>1550000</v>
      </c>
      <c r="Y5576" s="1">
        <v>1550000</v>
      </c>
      <c r="AA5576" s="1">
        <v>1500000</v>
      </c>
      <c r="AB5576" s="1" t="s">
        <v>3943</v>
      </c>
      <c r="AC5576" s="5">
        <v>43447</v>
      </c>
      <c r="AF5576" s="1">
        <v>10002</v>
      </c>
      <c r="AI5576" s="1" t="s">
        <v>165</v>
      </c>
      <c r="AJ5576" s="1">
        <v>2018</v>
      </c>
      <c r="AK5576" s="1" t="s">
        <v>49</v>
      </c>
      <c r="AL5576" s="1">
        <v>89</v>
      </c>
    </row>
    <row r="5577" spans="1:38" x14ac:dyDescent="0.2">
      <c r="A5577" s="2" t="str">
        <f>HYPERLINK("https://www.compass.com/listing/196-orchard-street-unit-7f-manhattan-ny-10002/91289939794244865/","196 Orchard St, Unit 7F")</f>
        <v>196 Orchard St, Unit 7F</v>
      </c>
      <c r="B5577" s="2" t="str">
        <f t="shared" si="937"/>
        <v>196 Orchard St</v>
      </c>
      <c r="C5577" s="1" t="s">
        <v>47</v>
      </c>
      <c r="D5577" s="1" t="s">
        <v>41</v>
      </c>
      <c r="E5577" s="3">
        <v>1582281</v>
      </c>
      <c r="F5577" s="1">
        <v>2323.4669603524198</v>
      </c>
      <c r="G5577" s="1">
        <v>3</v>
      </c>
      <c r="H5577" s="1">
        <v>1</v>
      </c>
      <c r="I5577" s="1">
        <v>1</v>
      </c>
      <c r="J5577" s="1">
        <v>1</v>
      </c>
      <c r="K5577" s="1">
        <v>1</v>
      </c>
      <c r="M5577" s="1">
        <v>681</v>
      </c>
      <c r="N5577" s="1">
        <v>904</v>
      </c>
      <c r="O5577" s="1">
        <v>1801</v>
      </c>
      <c r="P5577" s="1">
        <v>897</v>
      </c>
      <c r="Q5577" s="1" t="s">
        <v>42</v>
      </c>
      <c r="S5577" s="1" t="s">
        <v>42</v>
      </c>
      <c r="T5577" s="1" t="s">
        <v>273</v>
      </c>
      <c r="V5577" s="5">
        <v>44338</v>
      </c>
      <c r="W5577" s="5">
        <v>43378</v>
      </c>
      <c r="X5577" s="1">
        <v>1565000</v>
      </c>
      <c r="Y5577" s="1">
        <v>1565000</v>
      </c>
      <c r="Z5577" s="5">
        <v>43378</v>
      </c>
      <c r="AA5577" s="1">
        <v>1582281</v>
      </c>
      <c r="AB5577" s="1" t="s">
        <v>3944</v>
      </c>
      <c r="AC5577" s="5">
        <v>43461</v>
      </c>
      <c r="AF5577" s="1">
        <v>10002</v>
      </c>
      <c r="AI5577" s="1" t="s">
        <v>165</v>
      </c>
      <c r="AJ5577" s="1">
        <v>2018</v>
      </c>
      <c r="AK5577" s="1" t="s">
        <v>46</v>
      </c>
      <c r="AL5577" s="1">
        <v>89</v>
      </c>
    </row>
    <row r="5578" spans="1:38" x14ac:dyDescent="0.2">
      <c r="A5578" s="2" t="str">
        <f>HYPERLINK("https://www.compass.com/listing/204-forsyth-street-unit-ps1-manhattan-ny-10002/230889864957041585/","204 Forsyth St, Unit PS1")</f>
        <v>204 Forsyth St, Unit PS1</v>
      </c>
      <c r="B5578" s="2" t="str">
        <f>HYPERLINK("https://www.compass.com/building/204-forsyth-st-manhattan-ny-10002/281886285847598005/","204 Forsyth St")</f>
        <v>204 Forsyth St</v>
      </c>
      <c r="C5578" s="1" t="s">
        <v>47</v>
      </c>
      <c r="D5578" s="1" t="s">
        <v>41</v>
      </c>
      <c r="E5578" s="3">
        <v>625000</v>
      </c>
      <c r="G5578" s="1">
        <v>1</v>
      </c>
      <c r="H5578" s="1" t="s">
        <v>99</v>
      </c>
      <c r="Q5578" s="1" t="s">
        <v>100</v>
      </c>
      <c r="S5578" s="1" t="s">
        <v>100</v>
      </c>
      <c r="T5578" s="1" t="s">
        <v>273</v>
      </c>
      <c r="V5578" s="5">
        <v>43570</v>
      </c>
      <c r="AA5578" s="1">
        <v>625000</v>
      </c>
      <c r="AB5578" s="1" t="s">
        <v>3945</v>
      </c>
      <c r="AC5578" s="5">
        <v>43565</v>
      </c>
      <c r="AF5578" s="1">
        <v>10002</v>
      </c>
      <c r="AI5578" s="1" t="s">
        <v>48</v>
      </c>
      <c r="AJ5578" s="1">
        <v>2016</v>
      </c>
      <c r="AK5578" s="1" t="s">
        <v>46</v>
      </c>
      <c r="AL5578" s="1">
        <v>11</v>
      </c>
    </row>
    <row r="5579" spans="1:38" x14ac:dyDescent="0.2">
      <c r="A5579" s="2" t="str">
        <f>HYPERLINK("https://www.compass.com/listing/5-beekman-street-unit-27b-manhattan-ny-10038/4840094286152214225/","5 Beekman St, Unit 27B")</f>
        <v>5 Beekman St, Unit 27B</v>
      </c>
      <c r="B5579" s="2" t="str">
        <f t="shared" ref="B5579:B5580" si="938">HYPERLINK("https://www.compass.com/building/the-beekman-residences-manhattan-ny/282030567363458613/","The Beekman Residences")</f>
        <v>The Beekman Residences</v>
      </c>
      <c r="C5579" s="1" t="s">
        <v>96</v>
      </c>
      <c r="D5579" s="1" t="s">
        <v>41</v>
      </c>
      <c r="E5579" s="3">
        <v>3750000</v>
      </c>
      <c r="F5579" s="1">
        <v>2072.96849087893</v>
      </c>
      <c r="G5579" s="1">
        <v>6</v>
      </c>
      <c r="H5579" s="1">
        <v>3</v>
      </c>
      <c r="I5579" s="1">
        <v>3</v>
      </c>
      <c r="J5579" s="1">
        <v>2.5</v>
      </c>
      <c r="M5579" s="4">
        <v>1809</v>
      </c>
      <c r="N5579" s="1">
        <v>2510</v>
      </c>
      <c r="O5579" s="1">
        <v>5071</v>
      </c>
      <c r="P5579" s="1">
        <v>2561</v>
      </c>
      <c r="Q5579" s="1" t="s">
        <v>42</v>
      </c>
      <c r="S5579" s="1" t="s">
        <v>42</v>
      </c>
      <c r="T5579" s="1" t="s">
        <v>273</v>
      </c>
      <c r="U5579" s="1">
        <v>1086</v>
      </c>
      <c r="V5579" s="5">
        <v>43649</v>
      </c>
      <c r="W5579" s="5">
        <v>41912</v>
      </c>
      <c r="X5579" s="1">
        <v>4500000</v>
      </c>
      <c r="Y5579" s="1">
        <v>4500000</v>
      </c>
      <c r="AA5579" s="1">
        <v>3750000</v>
      </c>
      <c r="AB5579" s="1" t="s">
        <v>275</v>
      </c>
      <c r="AC5579" s="5">
        <v>42998</v>
      </c>
      <c r="AF5579" s="1">
        <v>10038</v>
      </c>
      <c r="AI5579" s="1" t="s">
        <v>101</v>
      </c>
      <c r="AJ5579" s="1">
        <v>2015</v>
      </c>
      <c r="AK5579" s="1" t="s">
        <v>49</v>
      </c>
      <c r="AL5579" s="1">
        <v>67</v>
      </c>
    </row>
    <row r="5580" spans="1:38" x14ac:dyDescent="0.2">
      <c r="A5580" s="2" t="str">
        <f>HYPERLINK("https://www.compass.com/listing/5-beekman-street-unit-43a-manhattan-ny-10038/70905687961584065/","5 Beekman St, Unit 43A")</f>
        <v>5 Beekman St, Unit 43A</v>
      </c>
      <c r="B5580" s="2" t="str">
        <f t="shared" si="938"/>
        <v>The Beekman Residences</v>
      </c>
      <c r="C5580" s="1" t="s">
        <v>96</v>
      </c>
      <c r="D5580" s="1" t="s">
        <v>41</v>
      </c>
      <c r="E5580" s="3">
        <v>3625000</v>
      </c>
      <c r="F5580" s="1">
        <v>2232.1428571428501</v>
      </c>
      <c r="G5580" s="1">
        <v>4</v>
      </c>
      <c r="H5580" s="1">
        <v>2</v>
      </c>
      <c r="I5580" s="1">
        <v>3</v>
      </c>
      <c r="J5580" s="1">
        <v>2.5</v>
      </c>
      <c r="K5580" s="1">
        <v>2</v>
      </c>
      <c r="L5580" s="1">
        <v>1</v>
      </c>
      <c r="M5580" s="4">
        <v>1624</v>
      </c>
      <c r="N5580" s="1">
        <v>2253</v>
      </c>
      <c r="O5580" s="1">
        <v>4552</v>
      </c>
      <c r="P5580" s="1">
        <v>2299</v>
      </c>
      <c r="Q5580" s="1" t="s">
        <v>42</v>
      </c>
      <c r="S5580" s="1" t="s">
        <v>42</v>
      </c>
      <c r="T5580" s="1" t="s">
        <v>273</v>
      </c>
      <c r="U5580" s="1">
        <v>12</v>
      </c>
      <c r="V5580" s="5">
        <v>44352</v>
      </c>
      <c r="W5580" s="5">
        <v>42447</v>
      </c>
      <c r="X5580" s="1">
        <v>3650000</v>
      </c>
      <c r="Y5580" s="1">
        <v>3650000</v>
      </c>
      <c r="Z5580" s="5">
        <v>42459</v>
      </c>
      <c r="AA5580" s="1">
        <v>3625000</v>
      </c>
      <c r="AB5580" s="1" t="s">
        <v>3946</v>
      </c>
      <c r="AC5580" s="5">
        <v>43075</v>
      </c>
      <c r="AF5580" s="1">
        <v>10038</v>
      </c>
      <c r="AI5580" s="1" t="s">
        <v>140</v>
      </c>
      <c r="AJ5580" s="1">
        <v>2015</v>
      </c>
      <c r="AK5580" s="1" t="s">
        <v>49</v>
      </c>
      <c r="AL5580" s="1">
        <v>67</v>
      </c>
    </row>
    <row r="5581" spans="1:38" x14ac:dyDescent="0.2">
      <c r="A5581" s="2" t="str">
        <f>HYPERLINK("https://www.compass.com/listing/50-west-street-unit-40d-manhattan-ny-10006/29355220010074145/","50 West St, Unit 40D")</f>
        <v>50 West St, Unit 40D</v>
      </c>
      <c r="B5581" s="2" t="str">
        <f t="shared" ref="B5581:B5586" si="939">HYPERLINK("https://www.compass.com/building/50-west-st-manhattan-ny-10006/281896342152815429/","50 West St")</f>
        <v>50 West St</v>
      </c>
      <c r="C5581" s="1" t="s">
        <v>96</v>
      </c>
      <c r="D5581" s="1" t="s">
        <v>41</v>
      </c>
      <c r="E5581" s="3">
        <v>3232944</v>
      </c>
      <c r="F5581" s="1">
        <v>2569.9075914149398</v>
      </c>
      <c r="G5581" s="1">
        <v>3</v>
      </c>
      <c r="H5581" s="1">
        <v>1</v>
      </c>
      <c r="I5581" s="1">
        <v>2</v>
      </c>
      <c r="J5581" s="1">
        <v>2</v>
      </c>
      <c r="K5581" s="1">
        <v>2</v>
      </c>
      <c r="M5581" s="4">
        <v>1258</v>
      </c>
      <c r="N5581" s="1">
        <v>1583.11</v>
      </c>
      <c r="O5581" s="1">
        <v>3348.46</v>
      </c>
      <c r="P5581" s="1">
        <v>1765.3333333333301</v>
      </c>
      <c r="Q5581" s="1" t="s">
        <v>42</v>
      </c>
      <c r="S5581" s="1" t="s">
        <v>42</v>
      </c>
      <c r="T5581" s="1" t="s">
        <v>273</v>
      </c>
      <c r="U5581" s="1">
        <v>7</v>
      </c>
      <c r="V5581" s="5">
        <v>43606</v>
      </c>
      <c r="W5581" s="5">
        <v>41857</v>
      </c>
      <c r="X5581" s="1">
        <v>3175000</v>
      </c>
      <c r="Y5581" s="1">
        <v>3175000</v>
      </c>
      <c r="Z5581" s="5">
        <v>41864</v>
      </c>
      <c r="AA5581" s="1">
        <v>3232943.75</v>
      </c>
      <c r="AB5581" s="1" t="s">
        <v>3947</v>
      </c>
      <c r="AC5581" s="5">
        <v>42811</v>
      </c>
      <c r="AF5581" s="1">
        <v>10006</v>
      </c>
      <c r="AI5581" s="1" t="s">
        <v>97</v>
      </c>
      <c r="AJ5581" s="1">
        <v>2016</v>
      </c>
      <c r="AK5581" s="1" t="s">
        <v>46</v>
      </c>
      <c r="AL5581" s="1">
        <v>186</v>
      </c>
    </row>
    <row r="5582" spans="1:38" x14ac:dyDescent="0.2">
      <c r="A5582" s="2" t="str">
        <f>HYPERLINK("https://www.compass.com/listing/50-west-street-unit-49d-manhattan-ny-10006/29355229380117585/","50 West St, Unit 49D")</f>
        <v>50 West St, Unit 49D</v>
      </c>
      <c r="B5582" s="2" t="str">
        <f t="shared" si="939"/>
        <v>50 West St</v>
      </c>
      <c r="C5582" s="1" t="s">
        <v>96</v>
      </c>
      <c r="D5582" s="1" t="s">
        <v>41</v>
      </c>
      <c r="E5582" s="3">
        <v>3375499</v>
      </c>
      <c r="F5582" s="1">
        <v>2683.2265500794902</v>
      </c>
      <c r="G5582" s="1">
        <v>4</v>
      </c>
      <c r="H5582" s="1">
        <v>1</v>
      </c>
      <c r="I5582" s="1">
        <v>2</v>
      </c>
      <c r="J5582" s="1">
        <v>2</v>
      </c>
      <c r="K5582" s="1">
        <v>2</v>
      </c>
      <c r="M5582" s="4">
        <v>1258</v>
      </c>
      <c r="N5582" s="1">
        <v>1644</v>
      </c>
      <c r="O5582" s="1">
        <v>3477</v>
      </c>
      <c r="P5582" s="1">
        <v>1833</v>
      </c>
      <c r="Q5582" s="1" t="s">
        <v>42</v>
      </c>
      <c r="S5582" s="1" t="s">
        <v>42</v>
      </c>
      <c r="T5582" s="1" t="s">
        <v>273</v>
      </c>
      <c r="V5582" s="5">
        <v>43664</v>
      </c>
      <c r="W5582" s="5">
        <v>41929</v>
      </c>
      <c r="X5582" s="1">
        <v>3315000</v>
      </c>
      <c r="Y5582" s="1">
        <v>3315000</v>
      </c>
      <c r="Z5582" s="5">
        <v>41929</v>
      </c>
      <c r="AA5582" s="1">
        <v>3375499</v>
      </c>
      <c r="AB5582" s="1" t="s">
        <v>3948</v>
      </c>
      <c r="AC5582" s="5">
        <v>42812</v>
      </c>
      <c r="AF5582" s="1">
        <v>10006</v>
      </c>
      <c r="AI5582" s="1" t="s">
        <v>97</v>
      </c>
      <c r="AJ5582" s="1">
        <v>2016</v>
      </c>
      <c r="AK5582" s="1" t="s">
        <v>46</v>
      </c>
      <c r="AL5582" s="1">
        <v>186</v>
      </c>
    </row>
    <row r="5583" spans="1:38" x14ac:dyDescent="0.2">
      <c r="A5583" s="2" t="str">
        <f>HYPERLINK("https://www.compass.com/listing/50-west-street-unit-55d-manhattan-ny-10006/29355234203599169/","50 West St, Unit 55D")</f>
        <v>50 West St, Unit 55D</v>
      </c>
      <c r="B5583" s="2" t="str">
        <f t="shared" si="939"/>
        <v>50 West St</v>
      </c>
      <c r="C5583" s="1" t="s">
        <v>96</v>
      </c>
      <c r="D5583" s="1" t="s">
        <v>41</v>
      </c>
      <c r="E5583" s="3">
        <v>2749275</v>
      </c>
      <c r="F5583" s="1">
        <v>2185.43322734499</v>
      </c>
      <c r="G5583" s="1">
        <v>4</v>
      </c>
      <c r="H5583" s="1">
        <v>1</v>
      </c>
      <c r="I5583" s="1">
        <v>2</v>
      </c>
      <c r="J5583" s="1">
        <v>2</v>
      </c>
      <c r="K5583" s="1">
        <v>2</v>
      </c>
      <c r="M5583" s="4">
        <v>1258</v>
      </c>
      <c r="N5583" s="1">
        <v>1684</v>
      </c>
      <c r="O5583" s="1">
        <v>3562</v>
      </c>
      <c r="P5583" s="1">
        <v>1878</v>
      </c>
      <c r="Q5583" s="1" t="s">
        <v>42</v>
      </c>
      <c r="S5583" s="1" t="s">
        <v>42</v>
      </c>
      <c r="T5583" s="1" t="s">
        <v>273</v>
      </c>
      <c r="U5583" s="1">
        <v>6</v>
      </c>
      <c r="V5583" s="5">
        <v>42851</v>
      </c>
      <c r="W5583" s="5">
        <v>41922</v>
      </c>
      <c r="X5583" s="1">
        <v>2700000</v>
      </c>
      <c r="Y5583" s="1">
        <v>2700000</v>
      </c>
      <c r="Z5583" s="5">
        <v>41928</v>
      </c>
      <c r="AA5583" s="1">
        <v>2749275</v>
      </c>
      <c r="AB5583" s="1" t="s">
        <v>3949</v>
      </c>
      <c r="AC5583" s="5">
        <v>42849</v>
      </c>
      <c r="AF5583" s="1">
        <v>10006</v>
      </c>
      <c r="AI5583" s="1" t="s">
        <v>97</v>
      </c>
      <c r="AJ5583" s="1">
        <v>2016</v>
      </c>
      <c r="AK5583" s="1" t="s">
        <v>46</v>
      </c>
      <c r="AL5583" s="1">
        <v>186</v>
      </c>
    </row>
    <row r="5584" spans="1:38" x14ac:dyDescent="0.2">
      <c r="A5584" s="2" t="str">
        <f>HYPERLINK("https://www.compass.com/listing/50-west-street-unit-52d-manhattan-ny-10006/29512672412298561/","50 West St, Unit 52D")</f>
        <v>50 West St, Unit 52D</v>
      </c>
      <c r="B5584" s="2" t="str">
        <f t="shared" si="939"/>
        <v>50 West St</v>
      </c>
      <c r="C5584" s="1" t="s">
        <v>96</v>
      </c>
      <c r="D5584" s="1" t="s">
        <v>41</v>
      </c>
      <c r="E5584" s="3">
        <v>2942743</v>
      </c>
      <c r="F5584" s="1">
        <v>2339.2233704292498</v>
      </c>
      <c r="G5584" s="1">
        <v>4</v>
      </c>
      <c r="H5584" s="1">
        <v>1</v>
      </c>
      <c r="I5584" s="1">
        <v>2</v>
      </c>
      <c r="J5584" s="1">
        <v>2</v>
      </c>
      <c r="K5584" s="1">
        <v>2</v>
      </c>
      <c r="M5584" s="4">
        <v>1258</v>
      </c>
      <c r="N5584" s="1">
        <v>1664</v>
      </c>
      <c r="O5584" s="1">
        <v>3519</v>
      </c>
      <c r="P5584" s="1">
        <v>1855</v>
      </c>
      <c r="Q5584" s="1" t="s">
        <v>42</v>
      </c>
      <c r="S5584" s="1" t="s">
        <v>42</v>
      </c>
      <c r="T5584" s="1" t="s">
        <v>273</v>
      </c>
      <c r="V5584" s="5">
        <v>43664</v>
      </c>
      <c r="W5584" s="5">
        <v>41929</v>
      </c>
      <c r="X5584" s="1">
        <v>2890000</v>
      </c>
      <c r="Y5584" s="1">
        <v>2890000</v>
      </c>
      <c r="Z5584" s="5">
        <v>41929</v>
      </c>
      <c r="AA5584" s="1">
        <v>2942743</v>
      </c>
      <c r="AB5584" s="1" t="s">
        <v>3950</v>
      </c>
      <c r="AC5584" s="5">
        <v>42850</v>
      </c>
      <c r="AF5584" s="1">
        <v>10006</v>
      </c>
      <c r="AI5584" s="1" t="s">
        <v>97</v>
      </c>
      <c r="AJ5584" s="1">
        <v>2016</v>
      </c>
      <c r="AK5584" s="1" t="s">
        <v>46</v>
      </c>
      <c r="AL5584" s="1">
        <v>186</v>
      </c>
    </row>
    <row r="5585" spans="1:38" x14ac:dyDescent="0.2">
      <c r="A5585" s="2" t="str">
        <f>HYPERLINK("https://www.compass.com/listing/50-west-street-unit-47d-manhattan-ny-10006/50852766507146033/","50 West St, Unit 47D")</f>
        <v>50 West St, Unit 47D</v>
      </c>
      <c r="B5585" s="2" t="str">
        <f t="shared" si="939"/>
        <v>50 West St</v>
      </c>
      <c r="C5585" s="1" t="s">
        <v>96</v>
      </c>
      <c r="D5585" s="1" t="s">
        <v>41</v>
      </c>
      <c r="E5585" s="3">
        <v>2500000</v>
      </c>
      <c r="F5585" s="1">
        <v>1987.2813990461</v>
      </c>
      <c r="G5585" s="1">
        <v>4</v>
      </c>
      <c r="H5585" s="1">
        <v>1</v>
      </c>
      <c r="I5585" s="1">
        <v>2</v>
      </c>
      <c r="J5585" s="1">
        <v>2</v>
      </c>
      <c r="K5585" s="1">
        <v>2</v>
      </c>
      <c r="M5585" s="4">
        <v>1258</v>
      </c>
      <c r="N5585" s="1">
        <v>3448</v>
      </c>
      <c r="O5585" s="1">
        <v>5266</v>
      </c>
      <c r="P5585" s="1">
        <v>1818</v>
      </c>
      <c r="Q5585" s="1" t="s">
        <v>42</v>
      </c>
      <c r="S5585" s="1" t="s">
        <v>42</v>
      </c>
      <c r="T5585" s="1" t="s">
        <v>273</v>
      </c>
      <c r="V5585" s="5">
        <v>43677</v>
      </c>
      <c r="W5585" s="5">
        <v>41929</v>
      </c>
      <c r="X5585" s="1">
        <v>2500000</v>
      </c>
      <c r="Y5585" s="1">
        <v>2500000</v>
      </c>
      <c r="Z5585" s="5">
        <v>41929</v>
      </c>
      <c r="AA5585" s="1">
        <v>2500000</v>
      </c>
      <c r="AB5585" s="1" t="s">
        <v>275</v>
      </c>
      <c r="AC5585" s="5">
        <v>42804</v>
      </c>
      <c r="AF5585" s="1">
        <v>10006</v>
      </c>
      <c r="AI5585" s="1" t="s">
        <v>97</v>
      </c>
      <c r="AJ5585" s="1">
        <v>2016</v>
      </c>
      <c r="AK5585" s="1" t="s">
        <v>46</v>
      </c>
      <c r="AL5585" s="1">
        <v>186</v>
      </c>
    </row>
    <row r="5586" spans="1:38" x14ac:dyDescent="0.2">
      <c r="A5586" s="2" t="str">
        <f>HYPERLINK("https://www.compass.com/listing/50-west-street-unit-54d-manhattan-ny-10006/50852852163225665/","50 West St, Unit 54D")</f>
        <v>50 West St, Unit 54D</v>
      </c>
      <c r="B5586" s="2" t="str">
        <f t="shared" si="939"/>
        <v>50 West St</v>
      </c>
      <c r="C5586" s="1" t="s">
        <v>96</v>
      </c>
      <c r="D5586" s="1" t="s">
        <v>41</v>
      </c>
      <c r="E5586" s="3">
        <v>2675000</v>
      </c>
      <c r="F5586" s="1">
        <v>2126.3910969793301</v>
      </c>
      <c r="G5586" s="1">
        <v>4</v>
      </c>
      <c r="H5586" s="1">
        <v>1</v>
      </c>
      <c r="I5586" s="1">
        <v>2</v>
      </c>
      <c r="J5586" s="1">
        <v>2</v>
      </c>
      <c r="K5586" s="1">
        <v>2</v>
      </c>
      <c r="M5586" s="4">
        <v>1258</v>
      </c>
      <c r="N5586" s="1">
        <v>1677</v>
      </c>
      <c r="O5586" s="1">
        <v>3547</v>
      </c>
      <c r="P5586" s="1">
        <v>1870</v>
      </c>
      <c r="Q5586" s="1" t="s">
        <v>42</v>
      </c>
      <c r="S5586" s="1" t="s">
        <v>42</v>
      </c>
      <c r="T5586" s="1" t="s">
        <v>273</v>
      </c>
      <c r="V5586" s="5">
        <v>43677</v>
      </c>
      <c r="W5586" s="5">
        <v>41929</v>
      </c>
      <c r="X5586" s="1">
        <v>2675000</v>
      </c>
      <c r="Y5586" s="1">
        <v>2675000</v>
      </c>
      <c r="Z5586" s="5">
        <v>41929</v>
      </c>
      <c r="AA5586" s="1">
        <v>2675000</v>
      </c>
      <c r="AB5586" s="1" t="s">
        <v>3951</v>
      </c>
      <c r="AC5586" s="5">
        <v>43083</v>
      </c>
      <c r="AF5586" s="1">
        <v>10006</v>
      </c>
      <c r="AI5586" s="1" t="s">
        <v>97</v>
      </c>
      <c r="AJ5586" s="1">
        <v>2016</v>
      </c>
      <c r="AK5586" s="1" t="s">
        <v>46</v>
      </c>
      <c r="AL5586" s="1">
        <v>186</v>
      </c>
    </row>
    <row r="5587" spans="1:38" x14ac:dyDescent="0.2">
      <c r="A5587" s="2" t="str">
        <f>HYPERLINK("https://www.compass.com/listing/5-beekman-street-unit-30b-manhattan-ny-10038/4852281329380754097/","5 Beekman St, Unit 30B")</f>
        <v>5 Beekman St, Unit 30B</v>
      </c>
      <c r="B5587" s="2" t="str">
        <f t="shared" ref="B5587:B5588" si="940">HYPERLINK("https://www.compass.com/building/the-beekman-residences-manhattan-ny/282030567363458613/","The Beekman Residences")</f>
        <v>The Beekman Residences</v>
      </c>
      <c r="C5587" s="1" t="s">
        <v>96</v>
      </c>
      <c r="D5587" s="1" t="s">
        <v>41</v>
      </c>
      <c r="E5587" s="3">
        <v>4000000</v>
      </c>
      <c r="F5587" s="1">
        <v>2211.1663902708601</v>
      </c>
      <c r="G5587" s="1">
        <v>6</v>
      </c>
      <c r="H5587" s="1">
        <v>3</v>
      </c>
      <c r="I5587" s="1">
        <v>3</v>
      </c>
      <c r="J5587" s="1">
        <v>2.5</v>
      </c>
      <c r="M5587" s="4">
        <v>1809</v>
      </c>
      <c r="N5587" s="1">
        <v>2510</v>
      </c>
      <c r="O5587" s="1">
        <v>5071</v>
      </c>
      <c r="P5587" s="1">
        <v>2561</v>
      </c>
      <c r="Q5587" s="1" t="s">
        <v>42</v>
      </c>
      <c r="S5587" s="1" t="s">
        <v>42</v>
      </c>
      <c r="T5587" s="1" t="s">
        <v>273</v>
      </c>
      <c r="U5587" s="1">
        <v>80</v>
      </c>
      <c r="V5587" s="5">
        <v>43694</v>
      </c>
      <c r="W5587" s="5">
        <v>42113</v>
      </c>
      <c r="X5587" s="1">
        <v>4000000</v>
      </c>
      <c r="Y5587" s="1">
        <v>4000000</v>
      </c>
      <c r="Z5587" s="5">
        <v>42193</v>
      </c>
      <c r="AA5587" s="1">
        <v>4000000</v>
      </c>
      <c r="AB5587" s="1" t="s">
        <v>275</v>
      </c>
      <c r="AC5587" s="5">
        <v>43004</v>
      </c>
      <c r="AF5587" s="1">
        <v>10038</v>
      </c>
      <c r="AI5587" s="1" t="s">
        <v>101</v>
      </c>
      <c r="AJ5587" s="1">
        <v>2015</v>
      </c>
      <c r="AK5587" s="1" t="s">
        <v>49</v>
      </c>
      <c r="AL5587" s="1">
        <v>67</v>
      </c>
    </row>
    <row r="5588" spans="1:38" x14ac:dyDescent="0.2">
      <c r="A5588" s="2" t="str">
        <f>HYPERLINK("https://www.compass.com/listing/5-beekman-street-unit-29b-manhattan-ny-10038/4852283990943466929/","5 Beekman St, Unit 29B")</f>
        <v>5 Beekman St, Unit 29B</v>
      </c>
      <c r="B5588" s="2" t="str">
        <f t="shared" si="940"/>
        <v>The Beekman Residences</v>
      </c>
      <c r="C5588" s="1" t="s">
        <v>96</v>
      </c>
      <c r="D5588" s="1" t="s">
        <v>41</v>
      </c>
      <c r="E5588" s="3">
        <v>3950000</v>
      </c>
      <c r="F5588" s="1">
        <v>2183.52681039248</v>
      </c>
      <c r="G5588" s="1">
        <v>6</v>
      </c>
      <c r="H5588" s="1">
        <v>3</v>
      </c>
      <c r="I5588" s="1">
        <v>3</v>
      </c>
      <c r="J5588" s="1">
        <v>2.5</v>
      </c>
      <c r="M5588" s="4">
        <v>1809</v>
      </c>
      <c r="N5588" s="1">
        <v>2510</v>
      </c>
      <c r="O5588" s="1">
        <v>5071</v>
      </c>
      <c r="P5588" s="1">
        <v>2561</v>
      </c>
      <c r="Q5588" s="1" t="s">
        <v>42</v>
      </c>
      <c r="S5588" s="1" t="s">
        <v>42</v>
      </c>
      <c r="T5588" s="1" t="s">
        <v>273</v>
      </c>
      <c r="U5588" s="1">
        <v>67</v>
      </c>
      <c r="V5588" s="5">
        <v>43649</v>
      </c>
      <c r="W5588" s="5">
        <v>42042</v>
      </c>
      <c r="X5588" s="1">
        <v>3950000</v>
      </c>
      <c r="Y5588" s="1">
        <v>3950000</v>
      </c>
      <c r="Z5588" s="5">
        <v>42109</v>
      </c>
      <c r="AA5588" s="1">
        <v>3950000</v>
      </c>
      <c r="AB5588" s="1" t="s">
        <v>275</v>
      </c>
      <c r="AC5588" s="5">
        <v>43055</v>
      </c>
      <c r="AF5588" s="1">
        <v>10038</v>
      </c>
      <c r="AI5588" s="1" t="s">
        <v>101</v>
      </c>
      <c r="AJ5588" s="1">
        <v>2015</v>
      </c>
      <c r="AK5588" s="1" t="s">
        <v>49</v>
      </c>
      <c r="AL5588" s="1">
        <v>67</v>
      </c>
    </row>
    <row r="5589" spans="1:38" x14ac:dyDescent="0.2">
      <c r="A5589" s="2" t="str">
        <f>HYPERLINK("https://www.compass.com/listing/50-west-street-unit-55a-manhattan-ny-10006/29512672076714417/","50 West St, Unit 55A")</f>
        <v>50 West St, Unit 55A</v>
      </c>
      <c r="B5589" s="2" t="str">
        <f t="shared" ref="B5589:B5590" si="941">HYPERLINK("https://www.compass.com/building/50-west-st-manhattan-ny-10006/281896342152815429/","50 West St")</f>
        <v>50 West St</v>
      </c>
      <c r="C5589" s="1" t="s">
        <v>96</v>
      </c>
      <c r="D5589" s="1" t="s">
        <v>41</v>
      </c>
      <c r="E5589" s="3">
        <v>3955901</v>
      </c>
      <c r="F5589" s="1">
        <v>2281.3731257208701</v>
      </c>
      <c r="G5589" s="1">
        <v>5</v>
      </c>
      <c r="H5589" s="1">
        <v>2</v>
      </c>
      <c r="I5589" s="1">
        <v>3</v>
      </c>
      <c r="J5589" s="1">
        <v>3</v>
      </c>
      <c r="K5589" s="1">
        <v>3</v>
      </c>
      <c r="M5589" s="4">
        <v>1734</v>
      </c>
      <c r="N5589" s="1">
        <v>2324</v>
      </c>
      <c r="O5589" s="1">
        <v>4916</v>
      </c>
      <c r="P5589" s="1">
        <v>2592</v>
      </c>
      <c r="Q5589" s="1" t="s">
        <v>42</v>
      </c>
      <c r="S5589" s="1" t="s">
        <v>42</v>
      </c>
      <c r="T5589" s="1" t="s">
        <v>273</v>
      </c>
      <c r="V5589" s="5">
        <v>43676</v>
      </c>
      <c r="W5589" s="5">
        <v>41929</v>
      </c>
      <c r="X5589" s="1">
        <v>3885000</v>
      </c>
      <c r="Y5589" s="1">
        <v>3885000</v>
      </c>
      <c r="Z5589" s="5">
        <v>41929</v>
      </c>
      <c r="AA5589" s="1">
        <v>3955901</v>
      </c>
      <c r="AB5589" s="1" t="s">
        <v>3952</v>
      </c>
      <c r="AC5589" s="5">
        <v>42859</v>
      </c>
      <c r="AF5589" s="1">
        <v>10006</v>
      </c>
      <c r="AI5589" s="1" t="s">
        <v>97</v>
      </c>
      <c r="AJ5589" s="1">
        <v>2016</v>
      </c>
      <c r="AK5589" s="1" t="s">
        <v>46</v>
      </c>
      <c r="AL5589" s="1">
        <v>186</v>
      </c>
    </row>
    <row r="5590" spans="1:38" x14ac:dyDescent="0.2">
      <c r="A5590" s="2" t="str">
        <f>HYPERLINK("https://www.compass.com/listing/50-west-street-unit-48d-manhattan-ny-10006/4852274362625037185/","50 West St, Unit 48D")</f>
        <v>50 West St, Unit 48D</v>
      </c>
      <c r="B5590" s="2" t="str">
        <f t="shared" si="941"/>
        <v>50 West St</v>
      </c>
      <c r="C5590" s="1" t="s">
        <v>96</v>
      </c>
      <c r="D5590" s="1" t="s">
        <v>41</v>
      </c>
      <c r="E5590" s="3">
        <v>3905000</v>
      </c>
      <c r="F5590" s="1">
        <v>3104.13354531001</v>
      </c>
      <c r="G5590" s="1">
        <v>3</v>
      </c>
      <c r="H5590" s="1">
        <v>1</v>
      </c>
      <c r="I5590" s="1">
        <v>2</v>
      </c>
      <c r="J5590" s="1">
        <v>2</v>
      </c>
      <c r="K5590" s="1">
        <v>2</v>
      </c>
      <c r="M5590" s="4">
        <v>1258</v>
      </c>
      <c r="N5590" s="1">
        <v>1637.25</v>
      </c>
      <c r="O5590" s="1">
        <v>3462.95</v>
      </c>
      <c r="P5590" s="1">
        <v>1825.6666666666599</v>
      </c>
      <c r="Q5590" s="1" t="s">
        <v>42</v>
      </c>
      <c r="S5590" s="1" t="s">
        <v>42</v>
      </c>
      <c r="T5590" s="1" t="s">
        <v>273</v>
      </c>
      <c r="U5590" s="1">
        <v>77</v>
      </c>
      <c r="V5590" s="5">
        <v>43603</v>
      </c>
      <c r="W5590" s="5">
        <v>42124</v>
      </c>
      <c r="X5590" s="1">
        <v>3905000</v>
      </c>
      <c r="Y5590" s="1">
        <v>3905000</v>
      </c>
      <c r="Z5590" s="5">
        <v>42202</v>
      </c>
      <c r="AA5590" s="1">
        <v>3905000</v>
      </c>
      <c r="AB5590" s="1" t="s">
        <v>275</v>
      </c>
      <c r="AC5590" s="5">
        <v>42903</v>
      </c>
      <c r="AF5590" s="1">
        <v>10006</v>
      </c>
      <c r="AI5590" s="1" t="s">
        <v>97</v>
      </c>
      <c r="AJ5590" s="1">
        <v>2016</v>
      </c>
      <c r="AK5590" s="1" t="s">
        <v>46</v>
      </c>
      <c r="AL5590" s="1">
        <v>186</v>
      </c>
    </row>
    <row r="5591" spans="1:38" x14ac:dyDescent="0.2">
      <c r="A5591" s="2" t="str">
        <f>HYPERLINK("https://www.compass.com/listing/50-clinton-street-unit-1b-manhattan-ny-10002/755182366069877929/","50 Clinton St, Unit 1B")</f>
        <v>50 Clinton St, Unit 1B</v>
      </c>
      <c r="B5591" s="2" t="str">
        <f>HYPERLINK("https://www.compass.com/building/50-clinton-manhattan-ny/281887574832709909/","50 Clinton")</f>
        <v>50 Clinton</v>
      </c>
      <c r="C5591" s="1" t="s">
        <v>47</v>
      </c>
      <c r="D5591" s="1" t="s">
        <v>41</v>
      </c>
      <c r="E5591" s="3">
        <v>2085000</v>
      </c>
      <c r="F5591" s="1">
        <v>1184.6590909090901</v>
      </c>
      <c r="G5591" s="1">
        <v>3</v>
      </c>
      <c r="H5591" s="1">
        <v>1</v>
      </c>
      <c r="I5591" s="1">
        <v>2</v>
      </c>
      <c r="J5591" s="1">
        <v>1.5</v>
      </c>
      <c r="K5591" s="1">
        <v>1</v>
      </c>
      <c r="L5591" s="1">
        <v>1</v>
      </c>
      <c r="M5591" s="4">
        <v>1760</v>
      </c>
      <c r="N5591" s="1">
        <v>2715</v>
      </c>
      <c r="O5591" s="1">
        <v>5183</v>
      </c>
      <c r="P5591" s="1">
        <v>2468</v>
      </c>
      <c r="Q5591" s="1" t="s">
        <v>42</v>
      </c>
      <c r="S5591" s="1" t="s">
        <v>42</v>
      </c>
      <c r="T5591" s="1" t="s">
        <v>273</v>
      </c>
      <c r="U5591" s="1">
        <v>93</v>
      </c>
      <c r="V5591" s="5">
        <v>44407</v>
      </c>
      <c r="W5591" s="5">
        <v>44293</v>
      </c>
      <c r="X5591" s="1">
        <v>2250000</v>
      </c>
      <c r="Y5591" s="1">
        <v>2250000</v>
      </c>
      <c r="Z5591" s="5">
        <v>44387</v>
      </c>
      <c r="AA5591" s="1">
        <v>2085000</v>
      </c>
      <c r="AB5591" s="1" t="s">
        <v>3953</v>
      </c>
      <c r="AC5591" s="5">
        <v>44399</v>
      </c>
      <c r="AF5591" s="1">
        <v>10002</v>
      </c>
      <c r="AI5591" s="1" t="s">
        <v>211</v>
      </c>
      <c r="AJ5591" s="1">
        <v>2016</v>
      </c>
      <c r="AK5591" s="1" t="s">
        <v>46</v>
      </c>
      <c r="AL5591" s="1">
        <v>37</v>
      </c>
    </row>
    <row r="5592" spans="1:38" x14ac:dyDescent="0.2">
      <c r="A5592" s="2" t="str">
        <f>HYPERLINK("https://www.compass.com/listing/130-william-street-unit-41a-manhattan-ny-10038/784900708470206305/","130 William St, Unit 41A")</f>
        <v>130 William St, Unit 41A</v>
      </c>
      <c r="B5592" s="2" t="str">
        <f>HYPERLINK("https://www.compass.com/building/130-william-st-manhattan-ny-10038/282029682239486757/","130 William St")</f>
        <v>130 William St</v>
      </c>
      <c r="C5592" s="1" t="s">
        <v>96</v>
      </c>
      <c r="D5592" s="1" t="s">
        <v>41</v>
      </c>
      <c r="E5592" s="3">
        <v>1924024</v>
      </c>
      <c r="F5592" s="1">
        <v>2178.9626274065599</v>
      </c>
      <c r="G5592" s="1">
        <v>3</v>
      </c>
      <c r="H5592" s="1">
        <v>1</v>
      </c>
      <c r="I5592" s="1">
        <v>1</v>
      </c>
      <c r="J5592" s="1">
        <v>1</v>
      </c>
      <c r="K5592" s="1">
        <v>1</v>
      </c>
      <c r="M5592" s="1">
        <v>883</v>
      </c>
      <c r="N5592" s="1">
        <v>635</v>
      </c>
      <c r="O5592" s="1">
        <v>1866</v>
      </c>
      <c r="P5592" s="1">
        <v>1231</v>
      </c>
      <c r="Q5592" s="1" t="s">
        <v>42</v>
      </c>
      <c r="S5592" s="1" t="s">
        <v>42</v>
      </c>
      <c r="T5592" s="1" t="s">
        <v>273</v>
      </c>
      <c r="U5592" s="1">
        <v>15</v>
      </c>
      <c r="V5592" s="5">
        <v>44405</v>
      </c>
      <c r="W5592" s="5">
        <v>44334</v>
      </c>
      <c r="X5592" s="1">
        <v>1885990</v>
      </c>
      <c r="Y5592" s="1">
        <v>1885990</v>
      </c>
      <c r="Z5592" s="5">
        <v>44350</v>
      </c>
      <c r="AA5592" s="1">
        <v>1924024</v>
      </c>
      <c r="AB5592" s="1" t="s">
        <v>275</v>
      </c>
      <c r="AC5592" s="5">
        <v>44398</v>
      </c>
      <c r="AF5592" s="1">
        <v>10038</v>
      </c>
      <c r="AI5592" s="1" t="s">
        <v>111</v>
      </c>
      <c r="AJ5592" s="1">
        <v>2020</v>
      </c>
      <c r="AK5592" s="1" t="s">
        <v>46</v>
      </c>
      <c r="AL5592" s="1">
        <v>244</v>
      </c>
    </row>
    <row r="5593" spans="1:38" x14ac:dyDescent="0.2">
      <c r="A5593" s="2" t="str">
        <f>HYPERLINK("https://www.compass.com/listing/5-beekman-street-unit-41b-manhattan-ny-10038/4852287338383948177/","5 Beekman St, Unit 41B")</f>
        <v>5 Beekman St, Unit 41B</v>
      </c>
      <c r="B5593" s="2" t="str">
        <f>HYPERLINK("https://www.compass.com/building/the-beekman-residences-manhattan-ny/282030567363458613/","The Beekman Residences")</f>
        <v>The Beekman Residences</v>
      </c>
      <c r="C5593" s="1" t="s">
        <v>96</v>
      </c>
      <c r="D5593" s="1" t="s">
        <v>41</v>
      </c>
      <c r="E5593" s="3">
        <v>3850000</v>
      </c>
      <c r="F5593" s="1">
        <v>2449.1094147582698</v>
      </c>
      <c r="G5593" s="1">
        <v>4</v>
      </c>
      <c r="H5593" s="1">
        <v>2</v>
      </c>
      <c r="I5593" s="1">
        <v>3</v>
      </c>
      <c r="J5593" s="1">
        <v>2.5</v>
      </c>
      <c r="M5593" s="4">
        <v>1572</v>
      </c>
      <c r="N5593" s="1">
        <v>2181</v>
      </c>
      <c r="O5593" s="1">
        <v>4285</v>
      </c>
      <c r="P5593" s="1">
        <v>2104</v>
      </c>
      <c r="Q5593" s="1" t="s">
        <v>42</v>
      </c>
      <c r="S5593" s="1" t="s">
        <v>42</v>
      </c>
      <c r="T5593" s="1" t="s">
        <v>273</v>
      </c>
      <c r="U5593" s="1">
        <v>65</v>
      </c>
      <c r="V5593" s="5">
        <v>43694</v>
      </c>
      <c r="W5593" s="5">
        <v>41976</v>
      </c>
      <c r="X5593" s="1">
        <v>3850000</v>
      </c>
      <c r="Y5593" s="1">
        <v>3850000</v>
      </c>
      <c r="Z5593" s="5">
        <v>42266</v>
      </c>
      <c r="AA5593" s="1">
        <v>3850000</v>
      </c>
      <c r="AB5593" s="1" t="s">
        <v>275</v>
      </c>
      <c r="AC5593" s="5">
        <v>43084</v>
      </c>
      <c r="AF5593" s="1">
        <v>10038</v>
      </c>
      <c r="AI5593" s="1" t="s">
        <v>101</v>
      </c>
      <c r="AJ5593" s="1">
        <v>2015</v>
      </c>
      <c r="AK5593" s="1" t="s">
        <v>49</v>
      </c>
      <c r="AL5593" s="1">
        <v>67</v>
      </c>
    </row>
    <row r="5594" spans="1:38" x14ac:dyDescent="0.2">
      <c r="A5594" s="2" t="str">
        <f>HYPERLINK("https://www.compass.com/listing/50-west-street-unit-41d-manhattan-ny-10006/29355220639222161/","50 West St, Unit 41D")</f>
        <v>50 West St, Unit 41D</v>
      </c>
      <c r="B5594" s="2" t="str">
        <f t="shared" ref="B5594:B5596" si="942">HYPERLINK("https://www.compass.com/building/50-west-st-manhattan-ny-10006/281896342152815429/","50 West St")</f>
        <v>50 West St</v>
      </c>
      <c r="C5594" s="1" t="s">
        <v>96</v>
      </c>
      <c r="D5594" s="1" t="s">
        <v>41</v>
      </c>
      <c r="E5594" s="3">
        <v>3609696</v>
      </c>
      <c r="F5594" s="1">
        <v>2869.39268680445</v>
      </c>
      <c r="G5594" s="1">
        <v>4</v>
      </c>
      <c r="H5594" s="1">
        <v>1</v>
      </c>
      <c r="I5594" s="1">
        <v>2</v>
      </c>
      <c r="J5594" s="1">
        <v>2</v>
      </c>
      <c r="K5594" s="1">
        <v>2</v>
      </c>
      <c r="M5594" s="4">
        <v>1258</v>
      </c>
      <c r="N5594" s="1">
        <v>1589.89</v>
      </c>
      <c r="O5594" s="1">
        <v>3362.79</v>
      </c>
      <c r="P5594" s="1">
        <v>1772.9166666666599</v>
      </c>
      <c r="Q5594" s="1" t="s">
        <v>42</v>
      </c>
      <c r="S5594" s="1" t="s">
        <v>42</v>
      </c>
      <c r="T5594" s="1" t="s">
        <v>273</v>
      </c>
      <c r="U5594" s="1">
        <v>99</v>
      </c>
      <c r="V5594" s="5">
        <v>43664</v>
      </c>
      <c r="W5594" s="5">
        <v>41942</v>
      </c>
      <c r="X5594" s="1">
        <v>3375000</v>
      </c>
      <c r="Y5594" s="1">
        <v>3545000</v>
      </c>
      <c r="Z5594" s="5">
        <v>42041</v>
      </c>
      <c r="AA5594" s="1">
        <v>3609696</v>
      </c>
      <c r="AB5594" s="1" t="s">
        <v>3954</v>
      </c>
      <c r="AC5594" s="5">
        <v>42819</v>
      </c>
      <c r="AF5594" s="1">
        <v>10006</v>
      </c>
      <c r="AI5594" s="1" t="s">
        <v>97</v>
      </c>
      <c r="AJ5594" s="1">
        <v>2016</v>
      </c>
      <c r="AK5594" s="1" t="s">
        <v>46</v>
      </c>
      <c r="AL5594" s="1">
        <v>186</v>
      </c>
    </row>
    <row r="5595" spans="1:38" x14ac:dyDescent="0.2">
      <c r="A5595" s="2" t="str">
        <f>HYPERLINK("https://www.compass.com/listing/50-west-street-unit-49b-manhattan-ny-10006/29355229052993745/","50 West St, Unit 49B")</f>
        <v>50 West St, Unit 49B</v>
      </c>
      <c r="B5595" s="2" t="str">
        <f t="shared" si="942"/>
        <v>50 West St</v>
      </c>
      <c r="C5595" s="1" t="s">
        <v>96</v>
      </c>
      <c r="D5595" s="1" t="s">
        <v>41</v>
      </c>
      <c r="E5595" s="3">
        <v>4098456</v>
      </c>
      <c r="F5595" s="1">
        <v>2708.82749504296</v>
      </c>
      <c r="G5595" s="1">
        <v>4</v>
      </c>
      <c r="H5595" s="1">
        <v>2</v>
      </c>
      <c r="I5595" s="1">
        <v>3</v>
      </c>
      <c r="J5595" s="1">
        <v>2.5</v>
      </c>
      <c r="K5595" s="1">
        <v>2</v>
      </c>
      <c r="L5595" s="1">
        <v>1</v>
      </c>
      <c r="M5595" s="4">
        <v>1513</v>
      </c>
      <c r="N5595" s="1">
        <v>1977</v>
      </c>
      <c r="O5595" s="1">
        <v>4181</v>
      </c>
      <c r="P5595" s="1">
        <v>2204</v>
      </c>
      <c r="Q5595" s="1" t="s">
        <v>42</v>
      </c>
      <c r="S5595" s="1" t="s">
        <v>42</v>
      </c>
      <c r="T5595" s="1" t="s">
        <v>273</v>
      </c>
      <c r="V5595" s="5">
        <v>43664</v>
      </c>
      <c r="W5595" s="5">
        <v>41929</v>
      </c>
      <c r="X5595" s="1">
        <v>4025000</v>
      </c>
      <c r="Y5595" s="1">
        <v>4025000</v>
      </c>
      <c r="Z5595" s="5">
        <v>41929</v>
      </c>
      <c r="AA5595" s="1">
        <v>4098456</v>
      </c>
      <c r="AB5595" s="1" t="s">
        <v>3955</v>
      </c>
      <c r="AC5595" s="5">
        <v>42810</v>
      </c>
      <c r="AF5595" s="1">
        <v>10006</v>
      </c>
      <c r="AI5595" s="1" t="s">
        <v>97</v>
      </c>
      <c r="AJ5595" s="1">
        <v>2016</v>
      </c>
      <c r="AK5595" s="1" t="s">
        <v>46</v>
      </c>
      <c r="AL5595" s="1">
        <v>186</v>
      </c>
    </row>
    <row r="5596" spans="1:38" x14ac:dyDescent="0.2">
      <c r="A5596" s="2" t="str">
        <f>HYPERLINK("https://www.compass.com/listing/50-west-street-unit-55b-manhattan-ny-10006/29512671682414241/","50 West St, Unit 55B")</f>
        <v>50 West St, Unit 55B</v>
      </c>
      <c r="B5596" s="2" t="str">
        <f t="shared" si="942"/>
        <v>50 West St</v>
      </c>
      <c r="C5596" s="1" t="s">
        <v>96</v>
      </c>
      <c r="D5596" s="1" t="s">
        <v>41</v>
      </c>
      <c r="E5596" s="3">
        <v>3762434</v>
      </c>
      <c r="F5596" s="1">
        <v>2486.7376074025101</v>
      </c>
      <c r="G5596" s="1">
        <v>4</v>
      </c>
      <c r="H5596" s="1">
        <v>2</v>
      </c>
      <c r="I5596" s="1">
        <v>3</v>
      </c>
      <c r="J5596" s="1">
        <v>2.5</v>
      </c>
      <c r="K5596" s="1">
        <v>2</v>
      </c>
      <c r="L5596" s="1">
        <v>1</v>
      </c>
      <c r="M5596" s="4">
        <v>1513</v>
      </c>
      <c r="N5596" s="1">
        <v>2026</v>
      </c>
      <c r="O5596" s="1">
        <v>4285</v>
      </c>
      <c r="P5596" s="1">
        <v>2259</v>
      </c>
      <c r="Q5596" s="1" t="s">
        <v>42</v>
      </c>
      <c r="S5596" s="1" t="s">
        <v>42</v>
      </c>
      <c r="T5596" s="1" t="s">
        <v>273</v>
      </c>
      <c r="V5596" s="5">
        <v>43664</v>
      </c>
      <c r="W5596" s="5">
        <v>41929</v>
      </c>
      <c r="X5596" s="1">
        <v>3695000</v>
      </c>
      <c r="Y5596" s="1">
        <v>3695000</v>
      </c>
      <c r="Z5596" s="5">
        <v>41929</v>
      </c>
      <c r="AA5596" s="1">
        <v>3762434</v>
      </c>
      <c r="AB5596" s="1" t="s">
        <v>3956</v>
      </c>
      <c r="AC5596" s="5">
        <v>42941</v>
      </c>
      <c r="AF5596" s="1">
        <v>10006</v>
      </c>
      <c r="AI5596" s="1" t="s">
        <v>97</v>
      </c>
      <c r="AJ5596" s="1">
        <v>2016</v>
      </c>
      <c r="AK5596" s="1" t="s">
        <v>46</v>
      </c>
      <c r="AL5596" s="1">
        <v>186</v>
      </c>
    </row>
    <row r="5597" spans="1:38" x14ac:dyDescent="0.2">
      <c r="A5597" s="2" t="str">
        <f>HYPERLINK("https://www.compass.com/listing/130-william-street-unit-48c-manhattan-ny-10038/784900613326287097/","130 William St, Unit 48C")</f>
        <v>130 William St, Unit 48C</v>
      </c>
      <c r="B5597" s="2" t="str">
        <f>HYPERLINK("https://www.compass.com/building/130-william-st-manhattan-ny-10038/282029682239486757/","130 William St")</f>
        <v>130 William St</v>
      </c>
      <c r="C5597" s="1" t="s">
        <v>96</v>
      </c>
      <c r="D5597" s="1" t="s">
        <v>41</v>
      </c>
      <c r="E5597" s="3">
        <v>3054283</v>
      </c>
      <c r="F5597" s="1">
        <v>2534.6746887966801</v>
      </c>
      <c r="G5597" s="1">
        <v>4</v>
      </c>
      <c r="H5597" s="1">
        <v>2</v>
      </c>
      <c r="I5597" s="1">
        <v>2</v>
      </c>
      <c r="J5597" s="1">
        <v>2</v>
      </c>
      <c r="K5597" s="1">
        <v>2</v>
      </c>
      <c r="M5597" s="4">
        <v>1205</v>
      </c>
      <c r="N5597" s="1">
        <v>902</v>
      </c>
      <c r="O5597" s="1">
        <v>2649</v>
      </c>
      <c r="P5597" s="1">
        <v>1747</v>
      </c>
      <c r="Q5597" s="1" t="s">
        <v>42</v>
      </c>
      <c r="S5597" s="1" t="s">
        <v>42</v>
      </c>
      <c r="T5597" s="1" t="s">
        <v>273</v>
      </c>
      <c r="U5597" s="1">
        <v>38</v>
      </c>
      <c r="V5597" s="5">
        <v>44408</v>
      </c>
      <c r="W5597" s="5">
        <v>44334</v>
      </c>
      <c r="X5597" s="1">
        <v>2995990</v>
      </c>
      <c r="Y5597" s="1">
        <v>2995990</v>
      </c>
      <c r="Z5597" s="5">
        <v>44373</v>
      </c>
      <c r="AA5597" s="1">
        <v>3054283</v>
      </c>
      <c r="AB5597" s="1" t="s">
        <v>275</v>
      </c>
      <c r="AC5597" s="5">
        <v>44405</v>
      </c>
      <c r="AF5597" s="1">
        <v>10038</v>
      </c>
      <c r="AI5597" s="1" t="s">
        <v>111</v>
      </c>
      <c r="AJ5597" s="1">
        <v>2020</v>
      </c>
      <c r="AK5597" s="1" t="s">
        <v>46</v>
      </c>
      <c r="AL5597" s="1">
        <v>244</v>
      </c>
    </row>
    <row r="5598" spans="1:38" x14ac:dyDescent="0.2">
      <c r="A5598" s="2" t="str">
        <f>HYPERLINK("https://www.compass.com/listing/42-allen-street-unit-5a-manhattan-ny-10002/398350888258791377/","42 Allen St, Unit 5A")</f>
        <v>42 Allen St, Unit 5A</v>
      </c>
      <c r="B5598" s="2" t="str">
        <f>HYPERLINK("https://www.compass.com/building/42-allen-manhattan-ny/307432515178187973/","42 Allen")</f>
        <v>42 Allen</v>
      </c>
      <c r="C5598" s="1" t="s">
        <v>47</v>
      </c>
      <c r="D5598" s="1" t="s">
        <v>41</v>
      </c>
      <c r="E5598" s="3">
        <v>985861</v>
      </c>
      <c r="F5598" s="1">
        <v>1574.8582268370601</v>
      </c>
      <c r="G5598" s="1">
        <v>5</v>
      </c>
      <c r="H5598" s="1">
        <v>2</v>
      </c>
      <c r="I5598" s="1">
        <v>2</v>
      </c>
      <c r="J5598" s="1">
        <v>2</v>
      </c>
      <c r="K5598" s="1">
        <v>2</v>
      </c>
      <c r="M5598" s="1">
        <v>626</v>
      </c>
      <c r="N5598" s="1">
        <v>397</v>
      </c>
      <c r="O5598" s="1">
        <v>1344</v>
      </c>
      <c r="P5598" s="1">
        <v>947</v>
      </c>
      <c r="Q5598" s="1" t="s">
        <v>42</v>
      </c>
      <c r="S5598" s="1" t="s">
        <v>42</v>
      </c>
      <c r="T5598" s="1" t="s">
        <v>273</v>
      </c>
      <c r="U5598" s="1">
        <v>22</v>
      </c>
      <c r="V5598" s="5">
        <v>44248</v>
      </c>
      <c r="W5598" s="5">
        <v>43801</v>
      </c>
      <c r="X5598" s="1">
        <v>965000</v>
      </c>
      <c r="Y5598" s="1">
        <v>965000</v>
      </c>
      <c r="Z5598" s="5">
        <v>43824</v>
      </c>
      <c r="AA5598" s="1">
        <v>985861.25</v>
      </c>
      <c r="AB5598" s="1" t="s">
        <v>3957</v>
      </c>
      <c r="AC5598" s="5">
        <v>43889</v>
      </c>
      <c r="AF5598" s="1">
        <v>10002</v>
      </c>
      <c r="AI5598" s="1" t="s">
        <v>231</v>
      </c>
      <c r="AJ5598" s="1">
        <v>2019</v>
      </c>
      <c r="AK5598" s="1" t="s">
        <v>3958</v>
      </c>
      <c r="AL5598" s="1">
        <v>8</v>
      </c>
    </row>
    <row r="5599" spans="1:38" x14ac:dyDescent="0.2">
      <c r="A5599" s="2" t="str">
        <f>HYPERLINK("https://www.compass.com/listing/196-orchard-street-unit-7g-manhattan-ny-10002/724915650728826409/","196 Orchard St, Unit 7G")</f>
        <v>196 Orchard St, Unit 7G</v>
      </c>
      <c r="B5599" s="2" t="str">
        <f>HYPERLINK("https://www.compass.com/building/196-orchard-st-manhattan-ny-10002/281886194713760485/","196 Orchard St")</f>
        <v>196 Orchard St</v>
      </c>
      <c r="C5599" s="1" t="s">
        <v>47</v>
      </c>
      <c r="D5599" s="1" t="s">
        <v>41</v>
      </c>
      <c r="E5599" s="3">
        <v>1986513</v>
      </c>
      <c r="F5599" s="1">
        <v>2047.9515463917501</v>
      </c>
      <c r="G5599" s="1">
        <v>4</v>
      </c>
      <c r="H5599" s="1">
        <v>2</v>
      </c>
      <c r="I5599" s="1">
        <v>2</v>
      </c>
      <c r="J5599" s="1">
        <v>2</v>
      </c>
      <c r="K5599" s="1">
        <v>2</v>
      </c>
      <c r="M5599" s="1">
        <v>970</v>
      </c>
      <c r="N5599" s="1">
        <v>1287.83</v>
      </c>
      <c r="O5599" s="1">
        <v>2347.3999999999901</v>
      </c>
      <c r="P5599" s="1">
        <v>1059.5833333333301</v>
      </c>
      <c r="Q5599" s="1" t="s">
        <v>42</v>
      </c>
      <c r="S5599" s="1" t="s">
        <v>42</v>
      </c>
      <c r="T5599" s="1" t="s">
        <v>273</v>
      </c>
      <c r="V5599" s="5">
        <v>44310</v>
      </c>
      <c r="W5599" s="5">
        <v>44251</v>
      </c>
      <c r="X5599" s="1">
        <v>2245000</v>
      </c>
      <c r="Y5599" s="1">
        <v>2245000</v>
      </c>
      <c r="Z5599" s="5">
        <v>44251</v>
      </c>
      <c r="AA5599" s="1">
        <v>1986513</v>
      </c>
      <c r="AB5599" s="1" t="s">
        <v>3959</v>
      </c>
      <c r="AC5599" s="5">
        <v>44306</v>
      </c>
      <c r="AF5599" s="1">
        <v>10002</v>
      </c>
      <c r="AI5599" s="1" t="s">
        <v>165</v>
      </c>
      <c r="AJ5599" s="1">
        <v>2018</v>
      </c>
      <c r="AK5599" s="1" t="s">
        <v>46</v>
      </c>
      <c r="AL5599" s="1">
        <v>89</v>
      </c>
    </row>
    <row r="5600" spans="1:38" x14ac:dyDescent="0.2">
      <c r="A5600" s="2" t="str">
        <f>HYPERLINK("https://www.compass.com/listing/42-allen-street-unit-phn-manhattan-ny-10002/368852516510761201/","42 Allen St, Unit PHN")</f>
        <v>42 Allen St, Unit PHN</v>
      </c>
      <c r="B5600" s="2" t="str">
        <f>HYPERLINK("https://www.compass.com/building/42-allen-manhattan-ny/307432515178187973/","42 Allen")</f>
        <v>42 Allen</v>
      </c>
      <c r="C5600" s="1" t="s">
        <v>47</v>
      </c>
      <c r="D5600" s="1" t="s">
        <v>41</v>
      </c>
      <c r="E5600" s="3">
        <v>868763</v>
      </c>
      <c r="F5600" s="1">
        <v>1387.79952076677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M5600" s="1">
        <v>626</v>
      </c>
      <c r="N5600" s="1">
        <v>396</v>
      </c>
      <c r="O5600" s="1">
        <v>1342</v>
      </c>
      <c r="P5600" s="1">
        <v>946</v>
      </c>
      <c r="Q5600" s="1" t="s">
        <v>42</v>
      </c>
      <c r="S5600" s="1" t="s">
        <v>42</v>
      </c>
      <c r="T5600" s="1" t="s">
        <v>273</v>
      </c>
      <c r="V5600" s="5">
        <v>44248</v>
      </c>
      <c r="W5600" s="5">
        <v>43761</v>
      </c>
      <c r="X5600" s="1">
        <v>995000</v>
      </c>
      <c r="Y5600" s="1">
        <v>995000</v>
      </c>
      <c r="Z5600" s="5">
        <v>43761</v>
      </c>
      <c r="AA5600" s="1">
        <v>868762.5</v>
      </c>
      <c r="AB5600" s="1" t="s">
        <v>3960</v>
      </c>
      <c r="AC5600" s="5">
        <v>43892</v>
      </c>
      <c r="AF5600" s="1">
        <v>10002</v>
      </c>
      <c r="AI5600" s="1" t="s">
        <v>231</v>
      </c>
      <c r="AJ5600" s="1">
        <v>2019</v>
      </c>
      <c r="AK5600" s="1" t="s">
        <v>136</v>
      </c>
      <c r="AL5600" s="1">
        <v>8</v>
      </c>
    </row>
    <row r="5601" spans="1:38" x14ac:dyDescent="0.2">
      <c r="A5601" s="2" t="str">
        <f>HYPERLINK("https://www.compass.com/listing/50-west-street-unit-17c-manhattan-ny-10006/29355201026622065/","50 West St, Unit 17C")</f>
        <v>50 West St, Unit 17C</v>
      </c>
      <c r="B5601" s="2" t="str">
        <f t="shared" ref="B5601:B5602" si="943">HYPERLINK("https://www.compass.com/building/50-west-st-manhattan-ny-10006/281896342152815429/","50 West St")</f>
        <v>50 West St</v>
      </c>
      <c r="C5601" s="1" t="s">
        <v>96</v>
      </c>
      <c r="D5601" s="1" t="s">
        <v>41</v>
      </c>
      <c r="E5601" s="3">
        <v>2199420</v>
      </c>
      <c r="F5601" s="1">
        <v>2036.5</v>
      </c>
      <c r="G5601" s="1">
        <v>3</v>
      </c>
      <c r="H5601" s="1">
        <v>1</v>
      </c>
      <c r="I5601" s="1">
        <v>1</v>
      </c>
      <c r="J5601" s="1">
        <v>1</v>
      </c>
      <c r="K5601" s="1">
        <v>1</v>
      </c>
      <c r="M5601" s="4">
        <v>1080</v>
      </c>
      <c r="N5601" s="1">
        <v>1225.53</v>
      </c>
      <c r="O5601" s="1">
        <v>2592.12</v>
      </c>
      <c r="P5601" s="1">
        <v>1366.5833333333301</v>
      </c>
      <c r="Q5601" s="1" t="s">
        <v>42</v>
      </c>
      <c r="S5601" s="1" t="s">
        <v>42</v>
      </c>
      <c r="T5601" s="1" t="s">
        <v>273</v>
      </c>
      <c r="U5601" s="1">
        <v>27</v>
      </c>
      <c r="V5601" s="5">
        <v>43676</v>
      </c>
      <c r="W5601" s="5">
        <v>42056</v>
      </c>
      <c r="X5601" s="1">
        <v>2160000</v>
      </c>
      <c r="Y5601" s="1">
        <v>2160000</v>
      </c>
      <c r="Z5601" s="5">
        <v>42083</v>
      </c>
      <c r="AA5601" s="1">
        <v>2199420</v>
      </c>
      <c r="AB5601" s="1" t="s">
        <v>3961</v>
      </c>
      <c r="AC5601" s="5">
        <v>42944</v>
      </c>
      <c r="AF5601" s="1">
        <v>10006</v>
      </c>
      <c r="AI5601" s="1" t="s">
        <v>97</v>
      </c>
      <c r="AJ5601" s="1">
        <v>2016</v>
      </c>
      <c r="AK5601" s="1" t="s">
        <v>46</v>
      </c>
      <c r="AL5601" s="1">
        <v>186</v>
      </c>
    </row>
    <row r="5602" spans="1:38" x14ac:dyDescent="0.2">
      <c r="A5602" s="2" t="str">
        <f>HYPERLINK("https://www.compass.com/listing/50-west-street-unit-38d-manhattan-ny-10006/29355217384407937/","50 West St, Unit 38D")</f>
        <v>50 West St, Unit 38D</v>
      </c>
      <c r="B5602" s="2" t="str">
        <f t="shared" si="943"/>
        <v>50 West St</v>
      </c>
      <c r="C5602" s="1" t="s">
        <v>96</v>
      </c>
      <c r="D5602" s="1" t="s">
        <v>41</v>
      </c>
      <c r="E5602" s="3">
        <v>3584240</v>
      </c>
      <c r="F5602" s="1">
        <v>2849.1573926868</v>
      </c>
      <c r="G5602" s="1">
        <v>4</v>
      </c>
      <c r="H5602" s="1">
        <v>1</v>
      </c>
      <c r="I5602" s="1">
        <v>2</v>
      </c>
      <c r="J5602" s="1">
        <v>2</v>
      </c>
      <c r="K5602" s="1">
        <v>2</v>
      </c>
      <c r="M5602" s="4">
        <v>1258</v>
      </c>
      <c r="N5602" s="1">
        <v>1569.58</v>
      </c>
      <c r="O5602" s="1">
        <v>3319.85</v>
      </c>
      <c r="P5602" s="1">
        <v>1750.25</v>
      </c>
      <c r="Q5602" s="1" t="s">
        <v>42</v>
      </c>
      <c r="S5602" s="1" t="s">
        <v>42</v>
      </c>
      <c r="T5602" s="1" t="s">
        <v>273</v>
      </c>
      <c r="U5602" s="1">
        <v>78</v>
      </c>
      <c r="V5602" s="5">
        <v>43664</v>
      </c>
      <c r="W5602" s="5">
        <v>42200</v>
      </c>
      <c r="X5602" s="1">
        <v>3520000</v>
      </c>
      <c r="Y5602" s="1">
        <v>3520000</v>
      </c>
      <c r="Z5602" s="5">
        <v>42278</v>
      </c>
      <c r="AA5602" s="1">
        <v>3584240</v>
      </c>
      <c r="AB5602" s="1" t="s">
        <v>3962</v>
      </c>
      <c r="AC5602" s="5">
        <v>42816</v>
      </c>
      <c r="AF5602" s="1">
        <v>10006</v>
      </c>
      <c r="AI5602" s="1" t="s">
        <v>97</v>
      </c>
      <c r="AJ5602" s="1">
        <v>2016</v>
      </c>
      <c r="AK5602" s="1" t="s">
        <v>46</v>
      </c>
      <c r="AL5602" s="1">
        <v>186</v>
      </c>
    </row>
    <row r="5603" spans="1:38" x14ac:dyDescent="0.2">
      <c r="A5603" s="2" t="str">
        <f>HYPERLINK("https://www.compass.com/listing/42-allen-street-unit-7a-manhattan-ny-10002/476773455217038521/","42 Allen St, Unit 7A")</f>
        <v>42 Allen St, Unit 7A</v>
      </c>
      <c r="B5603" s="2" t="str">
        <f>HYPERLINK("https://www.compass.com/building/42-allen-manhattan-ny/307432515178187973/","42 Allen")</f>
        <v>42 Allen</v>
      </c>
      <c r="C5603" s="1" t="s">
        <v>47</v>
      </c>
      <c r="D5603" s="1" t="s">
        <v>41</v>
      </c>
      <c r="E5603" s="3">
        <v>965000</v>
      </c>
      <c r="F5603" s="1">
        <v>1541.53354632587</v>
      </c>
      <c r="G5603" s="1">
        <v>5</v>
      </c>
      <c r="H5603" s="1">
        <v>2</v>
      </c>
      <c r="I5603" s="1">
        <v>2</v>
      </c>
      <c r="J5603" s="1">
        <v>2</v>
      </c>
      <c r="K5603" s="1">
        <v>2</v>
      </c>
      <c r="M5603" s="1">
        <v>626</v>
      </c>
      <c r="N5603" s="1">
        <v>396</v>
      </c>
      <c r="O5603" s="1">
        <v>1342</v>
      </c>
      <c r="P5603" s="1">
        <v>946</v>
      </c>
      <c r="Q5603" s="1" t="s">
        <v>42</v>
      </c>
      <c r="S5603" s="1" t="s">
        <v>42</v>
      </c>
      <c r="T5603" s="1" t="s">
        <v>273</v>
      </c>
      <c r="V5603" s="5">
        <v>44248</v>
      </c>
      <c r="W5603" s="5">
        <v>43910</v>
      </c>
      <c r="X5603" s="1">
        <v>995000</v>
      </c>
      <c r="Y5603" s="1">
        <v>995000</v>
      </c>
      <c r="Z5603" s="5">
        <v>43962</v>
      </c>
      <c r="AA5603" s="1">
        <v>965000</v>
      </c>
      <c r="AB5603" s="1" t="s">
        <v>3963</v>
      </c>
      <c r="AC5603" s="5">
        <v>44007</v>
      </c>
      <c r="AF5603" s="1">
        <v>10002</v>
      </c>
      <c r="AI5603" s="1" t="s">
        <v>74</v>
      </c>
      <c r="AJ5603" s="1">
        <v>2019</v>
      </c>
      <c r="AK5603" s="1" t="s">
        <v>125</v>
      </c>
      <c r="AL5603" s="1">
        <v>8</v>
      </c>
    </row>
    <row r="5604" spans="1:38" x14ac:dyDescent="0.2">
      <c r="A5604" s="2" t="str">
        <f>HYPERLINK("https://www.compass.com/listing/5-beekman-street-unit-44a-manhattan-ny-10038/4852284331479017905/","5 Beekman St, Unit 44A")</f>
        <v>5 Beekman St, Unit 44A</v>
      </c>
      <c r="B5604" s="2" t="str">
        <f>HYPERLINK("https://www.compass.com/building/the-beekman-residences-manhattan-ny/282030567363458613/","The Beekman Residences")</f>
        <v>The Beekman Residences</v>
      </c>
      <c r="C5604" s="1" t="s">
        <v>96</v>
      </c>
      <c r="D5604" s="1" t="s">
        <v>41</v>
      </c>
      <c r="E5604" s="3">
        <v>3700000</v>
      </c>
      <c r="F5604" s="1">
        <v>2278.3251231527001</v>
      </c>
      <c r="G5604" s="1">
        <v>4</v>
      </c>
      <c r="H5604" s="1">
        <v>2</v>
      </c>
      <c r="I5604" s="1">
        <v>3</v>
      </c>
      <c r="J5604" s="1">
        <v>2.5</v>
      </c>
      <c r="M5604" s="4">
        <v>1624</v>
      </c>
      <c r="N5604" s="1">
        <v>2253</v>
      </c>
      <c r="O5604" s="1">
        <v>4552</v>
      </c>
      <c r="P5604" s="1">
        <v>2299</v>
      </c>
      <c r="Q5604" s="1" t="s">
        <v>42</v>
      </c>
      <c r="S5604" s="1" t="s">
        <v>42</v>
      </c>
      <c r="T5604" s="1" t="s">
        <v>273</v>
      </c>
      <c r="V5604" s="5">
        <v>43670</v>
      </c>
      <c r="W5604" s="5">
        <v>42843</v>
      </c>
      <c r="X5604" s="1">
        <v>3700000</v>
      </c>
      <c r="Y5604" s="1">
        <v>3700000</v>
      </c>
      <c r="Z5604" s="5">
        <v>42843</v>
      </c>
      <c r="AA5604" s="1">
        <v>3700000</v>
      </c>
      <c r="AB5604" s="1" t="s">
        <v>275</v>
      </c>
      <c r="AC5604" s="5">
        <v>43055</v>
      </c>
      <c r="AF5604" s="1">
        <v>10038</v>
      </c>
      <c r="AI5604" s="1" t="s">
        <v>101</v>
      </c>
      <c r="AJ5604" s="1">
        <v>2015</v>
      </c>
      <c r="AK5604" s="1" t="s">
        <v>49</v>
      </c>
      <c r="AL5604" s="1">
        <v>67</v>
      </c>
    </row>
    <row r="5605" spans="1:38" x14ac:dyDescent="0.2">
      <c r="A5605" s="2" t="str">
        <f>HYPERLINK("https://www.compass.com/listing/50-west-street-unit-ph58b-manhattan-ny-10006/29512670541638785/","50 West St, Unit PH58B")</f>
        <v>50 West St, Unit PH58B</v>
      </c>
      <c r="B5605" s="2" t="str">
        <f t="shared" ref="B5605:B5607" si="944">HYPERLINK("https://www.compass.com/building/50-west-st-manhattan-ny-10006/281896342152815429/","50 West St")</f>
        <v>50 West St</v>
      </c>
      <c r="C5605" s="1" t="s">
        <v>96</v>
      </c>
      <c r="D5605" s="1" t="s">
        <v>41</v>
      </c>
      <c r="E5605" s="3">
        <v>4123913</v>
      </c>
      <c r="F5605" s="1">
        <v>1147.44379521424</v>
      </c>
      <c r="G5605" s="1">
        <v>7</v>
      </c>
      <c r="H5605" s="1">
        <v>3</v>
      </c>
      <c r="I5605" s="1">
        <v>4</v>
      </c>
      <c r="J5605" s="1">
        <v>4</v>
      </c>
      <c r="K5605" s="1">
        <v>4</v>
      </c>
      <c r="M5605" s="4">
        <v>3594</v>
      </c>
      <c r="N5605" s="1">
        <v>4870</v>
      </c>
      <c r="O5605" s="1">
        <v>10301</v>
      </c>
      <c r="P5605" s="1">
        <v>5431</v>
      </c>
      <c r="Q5605" s="1" t="s">
        <v>42</v>
      </c>
      <c r="S5605" s="1" t="s">
        <v>42</v>
      </c>
      <c r="T5605" s="1" t="s">
        <v>273</v>
      </c>
      <c r="V5605" s="5">
        <v>43650</v>
      </c>
      <c r="W5605" s="5">
        <v>41929</v>
      </c>
      <c r="X5605" s="1">
        <v>10550000</v>
      </c>
      <c r="Y5605" s="1">
        <v>10550000</v>
      </c>
      <c r="Z5605" s="5">
        <v>41929</v>
      </c>
      <c r="AA5605" s="1">
        <v>4123913</v>
      </c>
      <c r="AB5605" s="1" t="s">
        <v>275</v>
      </c>
      <c r="AC5605" s="5">
        <v>42952</v>
      </c>
      <c r="AF5605" s="1">
        <v>10006</v>
      </c>
      <c r="AI5605" s="1" t="s">
        <v>97</v>
      </c>
      <c r="AJ5605" s="1">
        <v>2016</v>
      </c>
      <c r="AK5605" s="1" t="s">
        <v>46</v>
      </c>
      <c r="AL5605" s="1">
        <v>186</v>
      </c>
    </row>
    <row r="5606" spans="1:38" x14ac:dyDescent="0.2">
      <c r="A5606" s="2" t="str">
        <f>HYPERLINK("https://www.compass.com/listing/50-west-street-unit-29b-manhattan-ny-10006/212980059378673857/","50 West St, Unit 29B")</f>
        <v>50 West St, Unit 29B</v>
      </c>
      <c r="B5606" s="2" t="str">
        <f t="shared" si="944"/>
        <v>50 West St</v>
      </c>
      <c r="C5606" s="1" t="s">
        <v>96</v>
      </c>
      <c r="D5606" s="1" t="s">
        <v>41</v>
      </c>
      <c r="E5606" s="3">
        <v>2077230</v>
      </c>
      <c r="F5606" s="1">
        <v>1910.9751609935599</v>
      </c>
      <c r="G5606" s="1">
        <v>3</v>
      </c>
      <c r="H5606" s="1">
        <v>1</v>
      </c>
      <c r="I5606" s="1">
        <v>1</v>
      </c>
      <c r="J5606" s="1">
        <v>1</v>
      </c>
      <c r="K5606" s="1">
        <v>1</v>
      </c>
      <c r="M5606" s="4">
        <v>1087</v>
      </c>
      <c r="N5606" s="1">
        <v>1303.6099999999999</v>
      </c>
      <c r="O5606" s="1">
        <v>2757.29</v>
      </c>
      <c r="P5606" s="1">
        <v>1453.6666666666599</v>
      </c>
      <c r="Q5606" s="1" t="s">
        <v>42</v>
      </c>
      <c r="S5606" s="1" t="s">
        <v>42</v>
      </c>
      <c r="T5606" s="1" t="s">
        <v>273</v>
      </c>
      <c r="U5606" s="1">
        <v>35</v>
      </c>
      <c r="V5606" s="5">
        <v>43666</v>
      </c>
      <c r="W5606" s="5">
        <v>41836</v>
      </c>
      <c r="X5606" s="1">
        <v>1940000</v>
      </c>
      <c r="Y5606" s="1">
        <v>2040000</v>
      </c>
      <c r="Z5606" s="5">
        <v>41871</v>
      </c>
      <c r="AA5606" s="1">
        <v>2077230</v>
      </c>
      <c r="AB5606" s="1" t="s">
        <v>3964</v>
      </c>
      <c r="AC5606" s="5">
        <v>42755</v>
      </c>
      <c r="AF5606" s="1">
        <v>10006</v>
      </c>
      <c r="AI5606" s="1" t="s">
        <v>97</v>
      </c>
      <c r="AJ5606" s="1">
        <v>2016</v>
      </c>
      <c r="AK5606" s="1" t="s">
        <v>46</v>
      </c>
      <c r="AL5606" s="1">
        <v>186</v>
      </c>
    </row>
    <row r="5607" spans="1:38" x14ac:dyDescent="0.2">
      <c r="A5607" s="2" t="str">
        <f>HYPERLINK("https://www.compass.com/listing/50-west-street-unit-23c-manhattan-ny-10006/29355206512771777/","50 West St, Unit 23C")</f>
        <v>50 West St, Unit 23C</v>
      </c>
      <c r="B5607" s="2" t="str">
        <f t="shared" si="944"/>
        <v>50 West St</v>
      </c>
      <c r="C5607" s="1" t="s">
        <v>96</v>
      </c>
      <c r="D5607" s="1" t="s">
        <v>41</v>
      </c>
      <c r="E5607" s="3">
        <v>1980496</v>
      </c>
      <c r="F5607" s="1">
        <v>1833.7925925925899</v>
      </c>
      <c r="G5607" s="1">
        <v>3</v>
      </c>
      <c r="H5607" s="1">
        <v>1</v>
      </c>
      <c r="I5607" s="1">
        <v>1</v>
      </c>
      <c r="J5607" s="1">
        <v>1</v>
      </c>
      <c r="K5607" s="1">
        <v>1</v>
      </c>
      <c r="M5607" s="4">
        <v>1080</v>
      </c>
      <c r="N5607" s="1">
        <v>1260.3800000000001</v>
      </c>
      <c r="O5607" s="1">
        <v>2665.83</v>
      </c>
      <c r="P5607" s="1">
        <v>1405.4166666666599</v>
      </c>
      <c r="Q5607" s="1" t="s">
        <v>42</v>
      </c>
      <c r="S5607" s="1" t="s">
        <v>42</v>
      </c>
      <c r="T5607" s="1" t="s">
        <v>273</v>
      </c>
      <c r="V5607" s="5">
        <v>43677</v>
      </c>
      <c r="W5607" s="5">
        <v>41854</v>
      </c>
      <c r="X5607" s="1">
        <v>1945000</v>
      </c>
      <c r="Y5607" s="1">
        <v>1945000</v>
      </c>
      <c r="Z5607" s="5">
        <v>41854</v>
      </c>
      <c r="AA5607" s="1">
        <v>1980496</v>
      </c>
      <c r="AB5607" s="1" t="s">
        <v>3965</v>
      </c>
      <c r="AC5607" s="5">
        <v>42857</v>
      </c>
      <c r="AF5607" s="1">
        <v>10006</v>
      </c>
      <c r="AI5607" s="1" t="s">
        <v>97</v>
      </c>
      <c r="AJ5607" s="1">
        <v>2016</v>
      </c>
      <c r="AK5607" s="1" t="s">
        <v>46</v>
      </c>
      <c r="AL5607" s="1">
        <v>186</v>
      </c>
    </row>
    <row r="5608" spans="1:38" x14ac:dyDescent="0.2">
      <c r="A5608" s="2" t="str">
        <f>HYPERLINK("https://www.compass.com/listing/196-orchard-street-unit-5d-manhattan-ny-10002/386194357836393985/","196 Orchard St, Unit 5D")</f>
        <v>196 Orchard St, Unit 5D</v>
      </c>
      <c r="B5608" s="2" t="str">
        <f>HYPERLINK("https://www.compass.com/building/196-orchard-st-manhattan-ny-10002/281886194713760485/","196 Orchard St")</f>
        <v>196 Orchard St</v>
      </c>
      <c r="C5608" s="1" t="s">
        <v>47</v>
      </c>
      <c r="D5608" s="1" t="s">
        <v>41</v>
      </c>
      <c r="E5608" s="3">
        <v>2375000</v>
      </c>
      <c r="F5608" s="1">
        <v>1970.9543568464701</v>
      </c>
      <c r="G5608" s="1">
        <v>4</v>
      </c>
      <c r="H5608" s="1">
        <v>2</v>
      </c>
      <c r="I5608" s="1">
        <v>2</v>
      </c>
      <c r="J5608" s="1">
        <v>2</v>
      </c>
      <c r="K5608" s="1">
        <v>2</v>
      </c>
      <c r="M5608" s="4">
        <v>1205</v>
      </c>
      <c r="N5608" s="1">
        <v>1600</v>
      </c>
      <c r="O5608" s="1">
        <v>3187</v>
      </c>
      <c r="P5608" s="1">
        <v>1587</v>
      </c>
      <c r="Q5608" s="1" t="s">
        <v>42</v>
      </c>
      <c r="S5608" s="1" t="s">
        <v>42</v>
      </c>
      <c r="T5608" s="1" t="s">
        <v>273</v>
      </c>
      <c r="U5608" s="1">
        <v>89</v>
      </c>
      <c r="V5608" s="5">
        <v>43907</v>
      </c>
      <c r="W5608" s="5">
        <v>43786</v>
      </c>
      <c r="X5608" s="1">
        <v>2500000</v>
      </c>
      <c r="Y5608" s="1">
        <v>2500000</v>
      </c>
      <c r="Z5608" s="5">
        <v>43875</v>
      </c>
      <c r="AA5608" s="1">
        <v>2375000</v>
      </c>
      <c r="AB5608" s="1" t="s">
        <v>3966</v>
      </c>
      <c r="AC5608" s="5">
        <v>43894</v>
      </c>
      <c r="AF5608" s="1">
        <v>10002</v>
      </c>
      <c r="AI5608" s="1" t="s">
        <v>165</v>
      </c>
      <c r="AJ5608" s="1">
        <v>2018</v>
      </c>
      <c r="AK5608" s="1" t="s">
        <v>46</v>
      </c>
      <c r="AL5608" s="1">
        <v>89</v>
      </c>
    </row>
    <row r="5609" spans="1:38" x14ac:dyDescent="0.2">
      <c r="A5609" s="2" t="str">
        <f>HYPERLINK("https://www.compass.com/listing/5-beekman-street-unit-ph50-manhattan-ny-10038/4875011591050889441/","5 Beekman St, Unit PH50")</f>
        <v>5 Beekman St, Unit PH50</v>
      </c>
      <c r="B5609" s="2" t="str">
        <f>HYPERLINK("https://www.compass.com/building/the-beekman-residences-manhattan-ny/282030567363458613/","The Beekman Residences")</f>
        <v>The Beekman Residences</v>
      </c>
      <c r="C5609" s="1" t="s">
        <v>96</v>
      </c>
      <c r="D5609" s="1" t="s">
        <v>41</v>
      </c>
      <c r="E5609" s="3">
        <v>11995000</v>
      </c>
      <c r="F5609" s="1">
        <v>3375.0703432751802</v>
      </c>
      <c r="G5609" s="1">
        <v>6</v>
      </c>
      <c r="H5609" s="1">
        <v>3</v>
      </c>
      <c r="I5609" s="1">
        <v>4</v>
      </c>
      <c r="J5609" s="1">
        <v>4</v>
      </c>
      <c r="K5609" s="1">
        <v>4</v>
      </c>
      <c r="M5609" s="4">
        <v>3554</v>
      </c>
      <c r="N5609" s="1">
        <v>4981</v>
      </c>
      <c r="O5609" s="1">
        <v>10063</v>
      </c>
      <c r="P5609" s="1">
        <v>5082</v>
      </c>
      <c r="Q5609" s="1" t="s">
        <v>42</v>
      </c>
      <c r="S5609" s="1" t="s">
        <v>42</v>
      </c>
      <c r="T5609" s="1" t="s">
        <v>273</v>
      </c>
      <c r="U5609" s="1">
        <v>64</v>
      </c>
      <c r="V5609" s="5">
        <v>44225</v>
      </c>
      <c r="W5609" s="5">
        <v>42539</v>
      </c>
      <c r="X5609" s="1">
        <v>11995000</v>
      </c>
      <c r="Y5609" s="1">
        <v>11995000</v>
      </c>
      <c r="Z5609" s="5">
        <v>42603</v>
      </c>
      <c r="AA5609" s="1">
        <v>11995000</v>
      </c>
      <c r="AB5609" s="1" t="s">
        <v>275</v>
      </c>
      <c r="AC5609" s="5">
        <v>43230</v>
      </c>
      <c r="AF5609" s="1">
        <v>10038</v>
      </c>
      <c r="AI5609" s="1" t="s">
        <v>211</v>
      </c>
      <c r="AJ5609" s="1">
        <v>2015</v>
      </c>
      <c r="AK5609" s="1" t="s">
        <v>49</v>
      </c>
      <c r="AL5609" s="1">
        <v>67</v>
      </c>
    </row>
    <row r="5610" spans="1:38" x14ac:dyDescent="0.2">
      <c r="A5610" s="2" t="str">
        <f>HYPERLINK("https://www.compass.com/listing/50-west-street-unit-12b-manhattan-ny-10006/269804123212274737/","50 West St, Unit 12B")</f>
        <v>50 West St, Unit 12B</v>
      </c>
      <c r="B5610" s="2" t="str">
        <f>HYPERLINK("https://www.compass.com/building/50-west-st-manhattan-ny-10006/281896342152815429/","50 West St")</f>
        <v>50 West St</v>
      </c>
      <c r="C5610" s="1" t="s">
        <v>96</v>
      </c>
      <c r="D5610" s="1" t="s">
        <v>41</v>
      </c>
      <c r="E5610" s="3">
        <v>1475000</v>
      </c>
      <c r="F5610" s="1">
        <v>1356.94572217111</v>
      </c>
      <c r="G5610" s="1">
        <v>3</v>
      </c>
      <c r="H5610" s="1">
        <v>1</v>
      </c>
      <c r="I5610" s="1">
        <v>1</v>
      </c>
      <c r="J5610" s="1">
        <v>1</v>
      </c>
      <c r="K5610" s="1">
        <v>1</v>
      </c>
      <c r="M5610" s="4">
        <v>1087</v>
      </c>
      <c r="N5610" s="1">
        <v>1205</v>
      </c>
      <c r="O5610" s="1">
        <v>3043</v>
      </c>
      <c r="P5610" s="1">
        <v>1838</v>
      </c>
      <c r="Q5610" s="1" t="s">
        <v>42</v>
      </c>
      <c r="S5610" s="1" t="s">
        <v>42</v>
      </c>
      <c r="T5610" s="1" t="s">
        <v>273</v>
      </c>
      <c r="U5610" s="1">
        <v>160</v>
      </c>
      <c r="V5610" s="5">
        <v>43898</v>
      </c>
      <c r="W5610" s="5">
        <v>43623</v>
      </c>
      <c r="X5610" s="1">
        <v>1695000</v>
      </c>
      <c r="Y5610" s="1">
        <v>1595000</v>
      </c>
      <c r="Z5610" s="5">
        <v>43784</v>
      </c>
      <c r="AA5610" s="1">
        <v>1475000</v>
      </c>
      <c r="AB5610" s="1" t="s">
        <v>3967</v>
      </c>
      <c r="AC5610" s="5">
        <v>43886</v>
      </c>
      <c r="AF5610" s="1">
        <v>10006</v>
      </c>
      <c r="AI5610" s="1" t="s">
        <v>97</v>
      </c>
      <c r="AJ5610" s="1">
        <v>2016</v>
      </c>
      <c r="AK5610" s="1" t="s">
        <v>49</v>
      </c>
      <c r="AL5610" s="1">
        <v>186</v>
      </c>
    </row>
    <row r="5611" spans="1:38" x14ac:dyDescent="0.2">
      <c r="A5611" s="2" t="str">
        <f>HYPERLINK("https://www.compass.com/listing/196-orchard-street-unit-4f-manhattan-ny-10002/200746613927422433/","196 Orchard St, Unit 4F")</f>
        <v>196 Orchard St, Unit 4F</v>
      </c>
      <c r="B5611" s="2" t="str">
        <f>HYPERLINK("https://www.compass.com/building/196-orchard-st-manhattan-ny-10002/281886194713760485/","196 Orchard St")</f>
        <v>196 Orchard St</v>
      </c>
      <c r="C5611" s="1" t="s">
        <v>47</v>
      </c>
      <c r="D5611" s="1" t="s">
        <v>41</v>
      </c>
      <c r="E5611" s="3">
        <v>1448915</v>
      </c>
      <c r="F5611" s="1">
        <v>2127.6284875183501</v>
      </c>
      <c r="G5611" s="1">
        <v>3</v>
      </c>
      <c r="H5611" s="1">
        <v>1</v>
      </c>
      <c r="I5611" s="1">
        <v>1</v>
      </c>
      <c r="J5611" s="1">
        <v>1</v>
      </c>
      <c r="K5611" s="1">
        <v>1</v>
      </c>
      <c r="M5611" s="1">
        <v>681</v>
      </c>
      <c r="N5611" s="1">
        <v>904</v>
      </c>
      <c r="O5611" s="1">
        <v>1801</v>
      </c>
      <c r="P5611" s="1">
        <v>897</v>
      </c>
      <c r="Q5611" s="1" t="s">
        <v>42</v>
      </c>
      <c r="S5611" s="1" t="s">
        <v>42</v>
      </c>
      <c r="T5611" s="1" t="s">
        <v>273</v>
      </c>
      <c r="V5611" s="5">
        <v>44338</v>
      </c>
      <c r="W5611" s="5">
        <v>43529</v>
      </c>
      <c r="X5611" s="1">
        <v>1500000</v>
      </c>
      <c r="Y5611" s="1">
        <v>1500000</v>
      </c>
      <c r="Z5611" s="5">
        <v>43529</v>
      </c>
      <c r="AA5611" s="1">
        <v>1448915</v>
      </c>
      <c r="AB5611" s="1" t="s">
        <v>3968</v>
      </c>
      <c r="AC5611" s="5">
        <v>43535</v>
      </c>
      <c r="AF5611" s="1">
        <v>10002</v>
      </c>
      <c r="AI5611" s="1" t="s">
        <v>165</v>
      </c>
      <c r="AJ5611" s="1">
        <v>2018</v>
      </c>
      <c r="AK5611" s="1" t="s">
        <v>46</v>
      </c>
      <c r="AL5611" s="1">
        <v>89</v>
      </c>
    </row>
    <row r="5612" spans="1:38" x14ac:dyDescent="0.2">
      <c r="A5612" s="2" t="str">
        <f>HYPERLINK("https://www.compass.com/listing/50-west-street-unit-47c-manhattan-ny-10006/29355227341685809/","50 West St, Unit 47C")</f>
        <v>50 West St, Unit 47C</v>
      </c>
      <c r="B5612" s="2" t="str">
        <f>HYPERLINK("https://www.compass.com/building/50-west-st-manhattan-ny-10006/281896342152815429/","50 West St")</f>
        <v>50 West St</v>
      </c>
      <c r="C5612" s="1" t="s">
        <v>96</v>
      </c>
      <c r="D5612" s="1" t="s">
        <v>41</v>
      </c>
      <c r="E5612" s="3">
        <v>6516800</v>
      </c>
      <c r="F5612" s="1">
        <v>2441.6635443986502</v>
      </c>
      <c r="G5612" s="1">
        <v>7</v>
      </c>
      <c r="H5612" s="1">
        <v>4</v>
      </c>
      <c r="I5612" s="1">
        <v>4</v>
      </c>
      <c r="J5612" s="1">
        <v>4</v>
      </c>
      <c r="K5612" s="1">
        <v>4</v>
      </c>
      <c r="M5612" s="4">
        <v>2669</v>
      </c>
      <c r="N5612" s="1">
        <v>3459</v>
      </c>
      <c r="O5612" s="1">
        <v>7316</v>
      </c>
      <c r="P5612" s="1">
        <v>3857</v>
      </c>
      <c r="Q5612" s="1" t="s">
        <v>42</v>
      </c>
      <c r="S5612" s="1" t="s">
        <v>42</v>
      </c>
      <c r="T5612" s="1" t="s">
        <v>273</v>
      </c>
      <c r="V5612" s="5">
        <v>43662</v>
      </c>
      <c r="W5612" s="5">
        <v>41929</v>
      </c>
      <c r="X5612" s="1">
        <v>6400000</v>
      </c>
      <c r="Y5612" s="1">
        <v>6400000</v>
      </c>
      <c r="Z5612" s="5">
        <v>41929</v>
      </c>
      <c r="AA5612" s="1">
        <v>6516800</v>
      </c>
      <c r="AB5612" s="1" t="s">
        <v>3969</v>
      </c>
      <c r="AC5612" s="5">
        <v>42909</v>
      </c>
      <c r="AF5612" s="1">
        <v>10006</v>
      </c>
      <c r="AI5612" s="1" t="s">
        <v>97</v>
      </c>
      <c r="AJ5612" s="1">
        <v>2016</v>
      </c>
      <c r="AK5612" s="1" t="s">
        <v>46</v>
      </c>
      <c r="AL5612" s="1">
        <v>186</v>
      </c>
    </row>
    <row r="5613" spans="1:38" x14ac:dyDescent="0.2">
      <c r="A5613" s="2" t="str">
        <f>HYPERLINK("https://www.compass.com/listing/196-orchard-street-unit-10e-manhattan-ny-10002/694348502348969705/","196 Orchard St, Unit 10E")</f>
        <v>196 Orchard St, Unit 10E</v>
      </c>
      <c r="B5613" s="2" t="str">
        <f t="shared" ref="B5613:B5635" si="945">HYPERLINK("https://www.compass.com/building/196-orchard-st-manhattan-ny-10002/281886194713760485/","196 Orchard St")</f>
        <v>196 Orchard St</v>
      </c>
      <c r="C5613" s="1" t="s">
        <v>47</v>
      </c>
      <c r="D5613" s="1" t="s">
        <v>41</v>
      </c>
      <c r="E5613" s="3">
        <v>4390000</v>
      </c>
      <c r="F5613" s="1">
        <v>2121.7979700338301</v>
      </c>
      <c r="G5613" s="1">
        <v>5</v>
      </c>
      <c r="H5613" s="1">
        <v>3</v>
      </c>
      <c r="I5613" s="1">
        <v>4</v>
      </c>
      <c r="J5613" s="1">
        <v>3.5</v>
      </c>
      <c r="K5613" s="1">
        <v>3</v>
      </c>
      <c r="L5613" s="1">
        <v>1</v>
      </c>
      <c r="M5613" s="4">
        <v>2069</v>
      </c>
      <c r="N5613" s="1">
        <v>2802</v>
      </c>
      <c r="O5613" s="1">
        <v>5108</v>
      </c>
      <c r="P5613" s="1">
        <v>2306</v>
      </c>
      <c r="Q5613" s="1" t="s">
        <v>42</v>
      </c>
      <c r="S5613" s="1" t="s">
        <v>42</v>
      </c>
      <c r="T5613" s="1" t="s">
        <v>273</v>
      </c>
      <c r="V5613" s="5">
        <v>44302</v>
      </c>
      <c r="W5613" s="5">
        <v>44209</v>
      </c>
      <c r="Y5613" s="1">
        <v>5250000</v>
      </c>
      <c r="Z5613" s="5">
        <v>44209</v>
      </c>
      <c r="AA5613" s="1">
        <v>4390000</v>
      </c>
      <c r="AB5613" s="1" t="s">
        <v>3970</v>
      </c>
      <c r="AC5613" s="5">
        <v>44270</v>
      </c>
      <c r="AF5613" s="1">
        <v>10002</v>
      </c>
      <c r="AI5613" s="1" t="s">
        <v>156</v>
      </c>
      <c r="AJ5613" s="1">
        <v>2018</v>
      </c>
      <c r="AK5613" s="1" t="s">
        <v>46</v>
      </c>
      <c r="AL5613" s="1">
        <v>89</v>
      </c>
    </row>
    <row r="5614" spans="1:38" x14ac:dyDescent="0.2">
      <c r="A5614" s="2" t="str">
        <f>HYPERLINK("https://www.compass.com/listing/196-orchard-street-unit-6j-manhattan-ny-10002/232472969660664257/","196 Orchard St, Unit 6J")</f>
        <v>196 Orchard St, Unit 6J</v>
      </c>
      <c r="B5614" s="2" t="str">
        <f t="shared" si="945"/>
        <v>196 Orchard St</v>
      </c>
      <c r="C5614" s="1" t="s">
        <v>47</v>
      </c>
      <c r="D5614" s="1" t="s">
        <v>41</v>
      </c>
      <c r="E5614" s="3">
        <v>1478000</v>
      </c>
      <c r="F5614" s="1">
        <v>1957.6158940397299</v>
      </c>
      <c r="G5614" s="1">
        <v>3</v>
      </c>
      <c r="H5614" s="1">
        <v>1</v>
      </c>
      <c r="I5614" s="1">
        <v>1</v>
      </c>
      <c r="J5614" s="1">
        <v>1</v>
      </c>
      <c r="K5614" s="1">
        <v>1</v>
      </c>
      <c r="M5614" s="1">
        <v>755</v>
      </c>
      <c r="N5614" s="1">
        <v>1006</v>
      </c>
      <c r="O5614" s="1">
        <v>2004</v>
      </c>
      <c r="P5614" s="1">
        <v>998</v>
      </c>
      <c r="Q5614" s="1" t="s">
        <v>42</v>
      </c>
      <c r="S5614" s="1" t="s">
        <v>42</v>
      </c>
      <c r="T5614" s="1" t="s">
        <v>273</v>
      </c>
      <c r="U5614" s="1">
        <v>168</v>
      </c>
      <c r="V5614" s="5">
        <v>44338</v>
      </c>
      <c r="W5614" s="5">
        <v>43404</v>
      </c>
      <c r="X5614" s="1">
        <v>1630000</v>
      </c>
      <c r="Y5614" s="1">
        <v>1630000</v>
      </c>
      <c r="Z5614" s="5">
        <v>43573</v>
      </c>
      <c r="AA5614" s="1">
        <v>1478000</v>
      </c>
      <c r="AB5614" s="1" t="s">
        <v>3971</v>
      </c>
      <c r="AC5614" s="5">
        <v>43599</v>
      </c>
      <c r="AF5614" s="1">
        <v>10002</v>
      </c>
      <c r="AI5614" s="1" t="s">
        <v>165</v>
      </c>
      <c r="AJ5614" s="1">
        <v>2018</v>
      </c>
      <c r="AK5614" s="1" t="s">
        <v>46</v>
      </c>
      <c r="AL5614" s="1">
        <v>89</v>
      </c>
    </row>
    <row r="5615" spans="1:38" x14ac:dyDescent="0.2">
      <c r="A5615" s="2" t="str">
        <f>HYPERLINK("https://www.compass.com/listing/196-orchard-street-unit-6k-manhattan-ny-10002/232472971640354081/","196 Orchard St, Unit 6K")</f>
        <v>196 Orchard St, Unit 6K</v>
      </c>
      <c r="B5615" s="2" t="str">
        <f t="shared" si="945"/>
        <v>196 Orchard St</v>
      </c>
      <c r="C5615" s="1" t="s">
        <v>47</v>
      </c>
      <c r="D5615" s="1" t="s">
        <v>41</v>
      </c>
      <c r="E5615" s="3">
        <v>1468000</v>
      </c>
      <c r="F5615" s="1">
        <v>1949.53519256308</v>
      </c>
      <c r="G5615" s="1">
        <v>3</v>
      </c>
      <c r="H5615" s="1">
        <v>1</v>
      </c>
      <c r="I5615" s="1">
        <v>1</v>
      </c>
      <c r="J5615" s="1">
        <v>1</v>
      </c>
      <c r="K5615" s="1">
        <v>1</v>
      </c>
      <c r="M5615" s="1">
        <v>753</v>
      </c>
      <c r="N5615" s="1">
        <v>1000</v>
      </c>
      <c r="O5615" s="1">
        <v>1992</v>
      </c>
      <c r="P5615" s="1">
        <v>992</v>
      </c>
      <c r="Q5615" s="1" t="s">
        <v>42</v>
      </c>
      <c r="S5615" s="1" t="s">
        <v>42</v>
      </c>
      <c r="T5615" s="1" t="s">
        <v>273</v>
      </c>
      <c r="U5615" s="1">
        <v>160</v>
      </c>
      <c r="V5615" s="5">
        <v>44338</v>
      </c>
      <c r="W5615" s="5">
        <v>43412</v>
      </c>
      <c r="X5615" s="1">
        <v>1605000</v>
      </c>
      <c r="Y5615" s="1">
        <v>1605000</v>
      </c>
      <c r="Z5615" s="5">
        <v>43573</v>
      </c>
      <c r="AA5615" s="1">
        <v>1468000</v>
      </c>
      <c r="AB5615" s="1" t="s">
        <v>3972</v>
      </c>
      <c r="AC5615" s="5">
        <v>43599</v>
      </c>
      <c r="AF5615" s="1">
        <v>10002</v>
      </c>
      <c r="AI5615" s="1" t="s">
        <v>165</v>
      </c>
      <c r="AJ5615" s="1">
        <v>2018</v>
      </c>
      <c r="AK5615" s="1" t="s">
        <v>46</v>
      </c>
      <c r="AL5615" s="1">
        <v>89</v>
      </c>
    </row>
    <row r="5616" spans="1:38" x14ac:dyDescent="0.2">
      <c r="A5616" s="2" t="str">
        <f>HYPERLINK("https://www.compass.com/listing/196-orchard-street-unit-8r-manhattan-ny-10002/276758390712065313/","196 Orchard St, Unit 8R")</f>
        <v>196 Orchard St, Unit 8R</v>
      </c>
      <c r="B5616" s="2" t="str">
        <f t="shared" si="945"/>
        <v>196 Orchard St</v>
      </c>
      <c r="C5616" s="1" t="s">
        <v>47</v>
      </c>
      <c r="D5616" s="1" t="s">
        <v>41</v>
      </c>
      <c r="E5616" s="3">
        <v>1620000</v>
      </c>
      <c r="F5616" s="1">
        <v>1899.17936694021</v>
      </c>
      <c r="G5616" s="1">
        <v>3.5</v>
      </c>
      <c r="H5616" s="1">
        <v>1</v>
      </c>
      <c r="I5616" s="1">
        <v>1</v>
      </c>
      <c r="J5616" s="1">
        <v>1</v>
      </c>
      <c r="K5616" s="1">
        <v>1</v>
      </c>
      <c r="M5616" s="1">
        <v>853</v>
      </c>
      <c r="N5616" s="1">
        <v>1132</v>
      </c>
      <c r="O5616" s="1">
        <v>2255</v>
      </c>
      <c r="P5616" s="1">
        <v>1123</v>
      </c>
      <c r="Q5616" s="1" t="s">
        <v>42</v>
      </c>
      <c r="S5616" s="1" t="s">
        <v>42</v>
      </c>
      <c r="T5616" s="1" t="s">
        <v>273</v>
      </c>
      <c r="U5616" s="1">
        <v>1</v>
      </c>
      <c r="V5616" s="5">
        <v>44338</v>
      </c>
      <c r="W5616" s="5">
        <v>43559</v>
      </c>
      <c r="X5616" s="1">
        <v>1775000</v>
      </c>
      <c r="Y5616" s="1">
        <v>1775000</v>
      </c>
      <c r="Z5616" s="5">
        <v>43560</v>
      </c>
      <c r="AA5616" s="1">
        <v>1620000</v>
      </c>
      <c r="AB5616" s="1" t="s">
        <v>3973</v>
      </c>
      <c r="AC5616" s="5">
        <v>43644</v>
      </c>
      <c r="AF5616" s="1">
        <v>10002</v>
      </c>
      <c r="AI5616" s="1" t="s">
        <v>165</v>
      </c>
      <c r="AJ5616" s="1">
        <v>2018</v>
      </c>
      <c r="AK5616" s="1" t="s">
        <v>46</v>
      </c>
      <c r="AL5616" s="1">
        <v>89</v>
      </c>
    </row>
    <row r="5617" spans="1:38" x14ac:dyDescent="0.2">
      <c r="A5617" s="2" t="str">
        <f>HYPERLINK("https://www.compass.com/listing/196-orchard-street-unit-9g-manhattan-ny-10002/282036066263788705/","196 Orchard St, Unit 9G")</f>
        <v>196 Orchard St, Unit 9G</v>
      </c>
      <c r="B5617" s="2" t="str">
        <f t="shared" si="945"/>
        <v>196 Orchard St</v>
      </c>
      <c r="C5617" s="1" t="s">
        <v>47</v>
      </c>
      <c r="D5617" s="1" t="s">
        <v>41</v>
      </c>
      <c r="E5617" s="3">
        <v>1500000</v>
      </c>
      <c r="F5617" s="1">
        <v>1908.39694656488</v>
      </c>
      <c r="G5617" s="1">
        <v>3</v>
      </c>
      <c r="H5617" s="1">
        <v>1</v>
      </c>
      <c r="I5617" s="1">
        <v>1</v>
      </c>
      <c r="J5617" s="1">
        <v>1</v>
      </c>
      <c r="K5617" s="1">
        <v>1</v>
      </c>
      <c r="M5617" s="1">
        <v>786</v>
      </c>
      <c r="N5617" s="1">
        <v>1044</v>
      </c>
      <c r="O5617" s="1">
        <v>2079</v>
      </c>
      <c r="P5617" s="1">
        <v>1035</v>
      </c>
      <c r="Q5617" s="1" t="s">
        <v>42</v>
      </c>
      <c r="S5617" s="1" t="s">
        <v>42</v>
      </c>
      <c r="T5617" s="1" t="s">
        <v>273</v>
      </c>
      <c r="U5617" s="1">
        <v>1294</v>
      </c>
      <c r="V5617" s="5">
        <v>44338</v>
      </c>
      <c r="W5617" s="5">
        <v>42384</v>
      </c>
      <c r="X5617" s="1">
        <v>1685000</v>
      </c>
      <c r="Y5617" s="1">
        <v>1575000</v>
      </c>
      <c r="Z5617" s="5">
        <v>43678</v>
      </c>
      <c r="AA5617" s="1">
        <v>1500000</v>
      </c>
      <c r="AB5617" s="1" t="s">
        <v>3974</v>
      </c>
      <c r="AC5617" s="5">
        <v>43763</v>
      </c>
      <c r="AF5617" s="1">
        <v>10002</v>
      </c>
      <c r="AI5617" s="1" t="s">
        <v>223</v>
      </c>
      <c r="AJ5617" s="1">
        <v>2018</v>
      </c>
      <c r="AK5617" s="1" t="s">
        <v>46</v>
      </c>
      <c r="AL5617" s="1">
        <v>89</v>
      </c>
    </row>
    <row r="5618" spans="1:38" x14ac:dyDescent="0.2">
      <c r="A5618" s="2" t="str">
        <f>HYPERLINK("https://www.compass.com/listing/196-orchard-street-unit-4r-manhattan-ny-10002/380657524513221617/","196 Orchard St, Unit 4R")</f>
        <v>196 Orchard St, Unit 4R</v>
      </c>
      <c r="B5618" s="2" t="str">
        <f t="shared" si="945"/>
        <v>196 Orchard St</v>
      </c>
      <c r="C5618" s="1" t="s">
        <v>47</v>
      </c>
      <c r="D5618" s="1" t="s">
        <v>41</v>
      </c>
      <c r="E5618" s="3">
        <v>1725000</v>
      </c>
      <c r="F5618" s="1">
        <v>2031.8021201413401</v>
      </c>
      <c r="G5618" s="1">
        <v>2</v>
      </c>
      <c r="H5618" s="1">
        <v>1</v>
      </c>
      <c r="I5618" s="1">
        <v>1</v>
      </c>
      <c r="J5618" s="1">
        <v>1</v>
      </c>
      <c r="K5618" s="1">
        <v>1</v>
      </c>
      <c r="M5618" s="1">
        <v>849</v>
      </c>
      <c r="N5618" s="1">
        <v>1255</v>
      </c>
      <c r="O5618" s="1">
        <v>2500</v>
      </c>
      <c r="P5618" s="1">
        <v>1245</v>
      </c>
      <c r="Q5618" s="1" t="s">
        <v>42</v>
      </c>
      <c r="S5618" s="1" t="s">
        <v>42</v>
      </c>
      <c r="T5618" s="1" t="s">
        <v>273</v>
      </c>
      <c r="U5618" s="1">
        <v>1169</v>
      </c>
      <c r="V5618" s="5">
        <v>44338</v>
      </c>
      <c r="W5618" s="5">
        <v>42382</v>
      </c>
      <c r="X5618" s="1">
        <v>1995000</v>
      </c>
      <c r="Y5618" s="1">
        <v>1995000</v>
      </c>
      <c r="AA5618" s="1">
        <v>1725000</v>
      </c>
      <c r="AB5618" s="1" t="s">
        <v>3975</v>
      </c>
      <c r="AC5618" s="5">
        <v>43552</v>
      </c>
      <c r="AF5618" s="1">
        <v>10002</v>
      </c>
      <c r="AI5618" s="1" t="s">
        <v>156</v>
      </c>
      <c r="AJ5618" s="1">
        <v>2018</v>
      </c>
      <c r="AK5618" s="1" t="s">
        <v>46</v>
      </c>
      <c r="AL5618" s="1">
        <v>89</v>
      </c>
    </row>
    <row r="5619" spans="1:38" x14ac:dyDescent="0.2">
      <c r="A5619" s="2" t="str">
        <f>HYPERLINK("https://www.compass.com/listing/196-orchard-street-unit-8r-manhattan-ny-10002/803357417702245897/","196 Orchard St, Unit 8R")</f>
        <v>196 Orchard St, Unit 8R</v>
      </c>
      <c r="B5619" s="2" t="str">
        <f t="shared" si="945"/>
        <v>196 Orchard St</v>
      </c>
      <c r="C5619" s="1" t="s">
        <v>47</v>
      </c>
      <c r="D5619" s="1" t="s">
        <v>41</v>
      </c>
      <c r="E5619" s="3">
        <v>1620000</v>
      </c>
      <c r="F5619" s="1">
        <v>1899.17936694021</v>
      </c>
      <c r="G5619" s="1">
        <v>3</v>
      </c>
      <c r="H5619" s="1">
        <v>1</v>
      </c>
      <c r="I5619" s="1">
        <v>1</v>
      </c>
      <c r="J5619" s="1">
        <v>1</v>
      </c>
      <c r="K5619" s="1">
        <v>1</v>
      </c>
      <c r="M5619" s="1">
        <v>853</v>
      </c>
      <c r="N5619" s="1">
        <v>1132</v>
      </c>
      <c r="O5619" s="1">
        <v>2255</v>
      </c>
      <c r="P5619" s="1">
        <v>1123</v>
      </c>
      <c r="Q5619" s="1" t="s">
        <v>42</v>
      </c>
      <c r="S5619" s="1" t="s">
        <v>42</v>
      </c>
      <c r="T5619" s="1" t="s">
        <v>273</v>
      </c>
      <c r="V5619" s="5">
        <v>44338</v>
      </c>
      <c r="W5619" s="5">
        <v>42384</v>
      </c>
      <c r="X5619" s="1">
        <v>1775000</v>
      </c>
      <c r="Y5619" s="1">
        <v>1775000</v>
      </c>
      <c r="Z5619" s="5">
        <v>42384</v>
      </c>
      <c r="AA5619" s="1">
        <v>1620000</v>
      </c>
      <c r="AB5619" s="1" t="s">
        <v>3973</v>
      </c>
      <c r="AC5619" s="5">
        <v>43644</v>
      </c>
      <c r="AF5619" s="1">
        <v>10002</v>
      </c>
      <c r="AI5619" s="1" t="s">
        <v>165</v>
      </c>
      <c r="AJ5619" s="1">
        <v>2018</v>
      </c>
      <c r="AK5619" s="1" t="s">
        <v>46</v>
      </c>
      <c r="AL5619" s="1">
        <v>89</v>
      </c>
    </row>
    <row r="5620" spans="1:38" x14ac:dyDescent="0.2">
      <c r="A5620" s="2" t="str">
        <f>HYPERLINK("https://www.compass.com/listing/196-orchard-street-unit-8f-manhattan-ny-10002/803417935049866777/","196 Orchard St, Unit 8F")</f>
        <v>196 Orchard St, Unit 8F</v>
      </c>
      <c r="B5620" s="2" t="str">
        <f t="shared" si="945"/>
        <v>196 Orchard St</v>
      </c>
      <c r="C5620" s="1" t="s">
        <v>47</v>
      </c>
      <c r="D5620" s="1" t="s">
        <v>41</v>
      </c>
      <c r="E5620" s="3">
        <v>1581288</v>
      </c>
      <c r="F5620" s="1">
        <v>2322.0080763582901</v>
      </c>
      <c r="G5620" s="1">
        <v>3</v>
      </c>
      <c r="H5620" s="1">
        <v>1</v>
      </c>
      <c r="I5620" s="1">
        <v>1</v>
      </c>
      <c r="J5620" s="1">
        <v>1</v>
      </c>
      <c r="K5620" s="1">
        <v>1</v>
      </c>
      <c r="M5620" s="1">
        <v>681</v>
      </c>
      <c r="N5620" s="1">
        <v>904</v>
      </c>
      <c r="O5620" s="1">
        <v>1801</v>
      </c>
      <c r="P5620" s="1">
        <v>897</v>
      </c>
      <c r="Q5620" s="1" t="s">
        <v>42</v>
      </c>
      <c r="S5620" s="1" t="s">
        <v>42</v>
      </c>
      <c r="T5620" s="1" t="s">
        <v>273</v>
      </c>
      <c r="V5620" s="5">
        <v>44338</v>
      </c>
      <c r="AA5620" s="1">
        <v>1581287.5</v>
      </c>
      <c r="AB5620" s="1" t="s">
        <v>3976</v>
      </c>
      <c r="AC5620" s="5">
        <v>43441</v>
      </c>
      <c r="AF5620" s="1">
        <v>10002</v>
      </c>
      <c r="AI5620" s="1" t="s">
        <v>165</v>
      </c>
      <c r="AJ5620" s="1">
        <v>2018</v>
      </c>
      <c r="AK5620" s="1" t="s">
        <v>46</v>
      </c>
      <c r="AL5620" s="1">
        <v>89</v>
      </c>
    </row>
    <row r="5621" spans="1:38" x14ac:dyDescent="0.2">
      <c r="A5621" s="2" t="str">
        <f>HYPERLINK("https://www.compass.com/listing/196-orchard-street-unit-6e-manhattan-ny-10002/81113115500064161/","196 Orchard St, Unit 6E")</f>
        <v>196 Orchard St, Unit 6E</v>
      </c>
      <c r="B5621" s="2" t="str">
        <f t="shared" si="945"/>
        <v>196 Orchard St</v>
      </c>
      <c r="C5621" s="1" t="s">
        <v>47</v>
      </c>
      <c r="D5621" s="1" t="s">
        <v>41</v>
      </c>
      <c r="E5621" s="3">
        <v>1463225</v>
      </c>
      <c r="F5621" s="1">
        <v>2108.3933717579198</v>
      </c>
      <c r="G5621" s="1">
        <v>3</v>
      </c>
      <c r="H5621" s="1">
        <v>1</v>
      </c>
      <c r="I5621" s="1">
        <v>1</v>
      </c>
      <c r="J5621" s="1">
        <v>1</v>
      </c>
      <c r="K5621" s="1">
        <v>1</v>
      </c>
      <c r="M5621" s="1">
        <v>694</v>
      </c>
      <c r="N5621" s="1">
        <v>921</v>
      </c>
      <c r="O5621" s="1">
        <v>1835</v>
      </c>
      <c r="P5621" s="1">
        <v>914</v>
      </c>
      <c r="Q5621" s="1" t="s">
        <v>42</v>
      </c>
      <c r="S5621" s="1" t="s">
        <v>42</v>
      </c>
      <c r="T5621" s="1" t="s">
        <v>273</v>
      </c>
      <c r="V5621" s="5">
        <v>44338</v>
      </c>
      <c r="W5621" s="5">
        <v>43364</v>
      </c>
      <c r="X5621" s="1">
        <v>1545000</v>
      </c>
      <c r="Y5621" s="1">
        <v>1545000</v>
      </c>
      <c r="Z5621" s="5">
        <v>43364</v>
      </c>
      <c r="AA5621" s="1">
        <v>1463225</v>
      </c>
      <c r="AB5621" s="1" t="s">
        <v>3977</v>
      </c>
      <c r="AC5621" s="5">
        <v>43371</v>
      </c>
      <c r="AF5621" s="1">
        <v>10002</v>
      </c>
      <c r="AI5621" s="1" t="s">
        <v>165</v>
      </c>
      <c r="AJ5621" s="1">
        <v>2018</v>
      </c>
      <c r="AK5621" s="1" t="s">
        <v>46</v>
      </c>
      <c r="AL5621" s="1">
        <v>89</v>
      </c>
    </row>
    <row r="5622" spans="1:38" x14ac:dyDescent="0.2">
      <c r="A5622" s="2" t="str">
        <f>HYPERLINK("https://www.compass.com/listing/196-orchard-street-unit-6f-manhattan-ny-10002/81113116171049089/","196 Orchard St, Unit 6F")</f>
        <v>196 Orchard St, Unit 6F</v>
      </c>
      <c r="B5622" s="2" t="str">
        <f t="shared" si="945"/>
        <v>196 Orchard St</v>
      </c>
      <c r="C5622" s="1" t="s">
        <v>47</v>
      </c>
      <c r="D5622" s="1" t="s">
        <v>41</v>
      </c>
      <c r="E5622" s="3">
        <v>1463225</v>
      </c>
      <c r="F5622" s="1">
        <v>2148.6417033773801</v>
      </c>
      <c r="G5622" s="1">
        <v>3</v>
      </c>
      <c r="H5622" s="1">
        <v>1</v>
      </c>
      <c r="I5622" s="1">
        <v>1</v>
      </c>
      <c r="J5622" s="1">
        <v>1</v>
      </c>
      <c r="K5622" s="1">
        <v>1</v>
      </c>
      <c r="M5622" s="1">
        <v>681</v>
      </c>
      <c r="N5622" s="1">
        <v>904</v>
      </c>
      <c r="O5622" s="1">
        <v>1801</v>
      </c>
      <c r="P5622" s="1">
        <v>897</v>
      </c>
      <c r="Q5622" s="1" t="s">
        <v>42</v>
      </c>
      <c r="S5622" s="1" t="s">
        <v>42</v>
      </c>
      <c r="T5622" s="1" t="s">
        <v>273</v>
      </c>
      <c r="U5622" s="1">
        <v>5</v>
      </c>
      <c r="V5622" s="5">
        <v>44338</v>
      </c>
      <c r="W5622" s="5">
        <v>43365</v>
      </c>
      <c r="X5622" s="1">
        <v>1545000</v>
      </c>
      <c r="Y5622" s="1">
        <v>1545000</v>
      </c>
      <c r="AA5622" s="1">
        <v>1463225</v>
      </c>
      <c r="AB5622" s="1" t="s">
        <v>3978</v>
      </c>
      <c r="AC5622" s="5">
        <v>43371</v>
      </c>
      <c r="AF5622" s="1">
        <v>10002</v>
      </c>
      <c r="AI5622" s="1" t="s">
        <v>165</v>
      </c>
      <c r="AJ5622" s="1">
        <v>2018</v>
      </c>
      <c r="AK5622" s="1" t="s">
        <v>46</v>
      </c>
      <c r="AL5622" s="1">
        <v>89</v>
      </c>
    </row>
    <row r="5623" spans="1:38" x14ac:dyDescent="0.2">
      <c r="A5623" s="2" t="str">
        <f>HYPERLINK("https://www.compass.com/listing/196-orchard-street-unit-7c-manhattan-ny-10002/83823559058680225/","196 Orchard St, Unit 7C")</f>
        <v>196 Orchard St, Unit 7C</v>
      </c>
      <c r="B5623" s="2" t="str">
        <f t="shared" si="945"/>
        <v>196 Orchard St</v>
      </c>
      <c r="C5623" s="1" t="s">
        <v>47</v>
      </c>
      <c r="D5623" s="1" t="s">
        <v>41</v>
      </c>
      <c r="E5623" s="3">
        <v>1464189</v>
      </c>
      <c r="F5623" s="1">
        <v>2068.06355932203</v>
      </c>
      <c r="G5623" s="1">
        <v>3</v>
      </c>
      <c r="H5623" s="1">
        <v>1</v>
      </c>
      <c r="I5623" s="1">
        <v>1</v>
      </c>
      <c r="J5623" s="1">
        <v>1</v>
      </c>
      <c r="K5623" s="1">
        <v>1</v>
      </c>
      <c r="M5623" s="1">
        <v>708</v>
      </c>
      <c r="N5623" s="1">
        <v>940</v>
      </c>
      <c r="O5623" s="1">
        <v>1872</v>
      </c>
      <c r="P5623" s="1">
        <v>932</v>
      </c>
      <c r="Q5623" s="1" t="s">
        <v>42</v>
      </c>
      <c r="S5623" s="1" t="s">
        <v>42</v>
      </c>
      <c r="T5623" s="1" t="s">
        <v>273</v>
      </c>
      <c r="V5623" s="5">
        <v>44338</v>
      </c>
      <c r="W5623" s="5">
        <v>43368</v>
      </c>
      <c r="X5623" s="1">
        <v>1485000</v>
      </c>
      <c r="Y5623" s="1">
        <v>1485000</v>
      </c>
      <c r="Z5623" s="5">
        <v>43368</v>
      </c>
      <c r="AA5623" s="1">
        <v>1464189</v>
      </c>
      <c r="AB5623" s="1" t="s">
        <v>3979</v>
      </c>
      <c r="AC5623" s="5">
        <v>43453</v>
      </c>
      <c r="AF5623" s="1">
        <v>10002</v>
      </c>
      <c r="AI5623" s="1" t="s">
        <v>165</v>
      </c>
      <c r="AJ5623" s="1">
        <v>2018</v>
      </c>
      <c r="AK5623" s="1" t="s">
        <v>46</v>
      </c>
      <c r="AL5623" s="1">
        <v>89</v>
      </c>
    </row>
    <row r="5624" spans="1:38" x14ac:dyDescent="0.2">
      <c r="A5624" s="2" t="str">
        <f>HYPERLINK("https://www.compass.com/listing/196-orchard-street-unit-8e-manhattan-ny-10002/83823559629152017/","196 Orchard St, Unit 8E")</f>
        <v>196 Orchard St, Unit 8E</v>
      </c>
      <c r="B5624" s="2" t="str">
        <f t="shared" si="945"/>
        <v>196 Orchard St</v>
      </c>
      <c r="C5624" s="1" t="s">
        <v>47</v>
      </c>
      <c r="D5624" s="1" t="s">
        <v>41</v>
      </c>
      <c r="E5624" s="3">
        <v>1607509</v>
      </c>
      <c r="F5624" s="1">
        <v>2360.5121145374401</v>
      </c>
      <c r="G5624" s="1">
        <v>3</v>
      </c>
      <c r="H5624" s="1">
        <v>1</v>
      </c>
      <c r="I5624" s="1">
        <v>1</v>
      </c>
      <c r="J5624" s="1">
        <v>1</v>
      </c>
      <c r="K5624" s="1">
        <v>1</v>
      </c>
      <c r="M5624" s="1">
        <v>681</v>
      </c>
      <c r="N5624" s="1">
        <v>921</v>
      </c>
      <c r="O5624" s="1">
        <v>1835</v>
      </c>
      <c r="P5624" s="1">
        <v>914</v>
      </c>
      <c r="Q5624" s="1" t="s">
        <v>42</v>
      </c>
      <c r="S5624" s="1" t="s">
        <v>42</v>
      </c>
      <c r="T5624" s="1" t="s">
        <v>273</v>
      </c>
      <c r="V5624" s="5">
        <v>44338</v>
      </c>
      <c r="W5624" s="5">
        <v>43368</v>
      </c>
      <c r="X5624" s="1">
        <v>1575000</v>
      </c>
      <c r="Y5624" s="1">
        <v>1575000</v>
      </c>
      <c r="Z5624" s="5">
        <v>43368</v>
      </c>
      <c r="AA5624" s="1">
        <v>1607508.75</v>
      </c>
      <c r="AB5624" s="1" t="s">
        <v>3980</v>
      </c>
      <c r="AC5624" s="5">
        <v>43453</v>
      </c>
      <c r="AF5624" s="1">
        <v>10002</v>
      </c>
      <c r="AI5624" s="1" t="s">
        <v>165</v>
      </c>
      <c r="AJ5624" s="1">
        <v>2018</v>
      </c>
      <c r="AK5624" s="1" t="s">
        <v>46</v>
      </c>
      <c r="AL5624" s="1">
        <v>89</v>
      </c>
    </row>
    <row r="5625" spans="1:38" x14ac:dyDescent="0.2">
      <c r="A5625" s="2" t="str">
        <f>HYPERLINK("https://www.compass.com/listing/196-orchard-street-unit-8f-manhattan-ny-10002/83823559830432241/","196 Orchard St, Unit 8F")</f>
        <v>196 Orchard St, Unit 8F</v>
      </c>
      <c r="B5625" s="2" t="str">
        <f t="shared" si="945"/>
        <v>196 Orchard St</v>
      </c>
      <c r="C5625" s="1" t="s">
        <v>47</v>
      </c>
      <c r="D5625" s="1" t="s">
        <v>41</v>
      </c>
      <c r="E5625" s="3">
        <v>1581288</v>
      </c>
      <c r="F5625" s="1">
        <v>2322.0080763582901</v>
      </c>
      <c r="G5625" s="1">
        <v>3</v>
      </c>
      <c r="H5625" s="1">
        <v>1</v>
      </c>
      <c r="I5625" s="1">
        <v>1</v>
      </c>
      <c r="J5625" s="1">
        <v>1</v>
      </c>
      <c r="K5625" s="1">
        <v>1</v>
      </c>
      <c r="M5625" s="1">
        <v>681</v>
      </c>
      <c r="N5625" s="1">
        <v>904</v>
      </c>
      <c r="O5625" s="1">
        <v>1801</v>
      </c>
      <c r="P5625" s="1">
        <v>897</v>
      </c>
      <c r="Q5625" s="1" t="s">
        <v>42</v>
      </c>
      <c r="S5625" s="1" t="s">
        <v>42</v>
      </c>
      <c r="T5625" s="1" t="s">
        <v>273</v>
      </c>
      <c r="U5625" s="1">
        <v>984</v>
      </c>
      <c r="V5625" s="5">
        <v>44338</v>
      </c>
      <c r="W5625" s="5">
        <v>42383</v>
      </c>
      <c r="X5625" s="1">
        <v>1575000</v>
      </c>
      <c r="Y5625" s="1">
        <v>1575000</v>
      </c>
      <c r="Z5625" s="5">
        <v>43367</v>
      </c>
      <c r="AA5625" s="1">
        <v>1581287.5</v>
      </c>
      <c r="AB5625" s="1" t="s">
        <v>3976</v>
      </c>
      <c r="AC5625" s="5">
        <v>43441</v>
      </c>
      <c r="AF5625" s="1">
        <v>10002</v>
      </c>
      <c r="AI5625" s="1" t="s">
        <v>165</v>
      </c>
      <c r="AJ5625" s="1">
        <v>2018</v>
      </c>
      <c r="AK5625" s="1" t="s">
        <v>46</v>
      </c>
      <c r="AL5625" s="1">
        <v>89</v>
      </c>
    </row>
    <row r="5626" spans="1:38" x14ac:dyDescent="0.2">
      <c r="A5626" s="2" t="str">
        <f>HYPERLINK("https://www.compass.com/listing/196-orchard-street-unit-7e-manhattan-ny-10002/91199770982450113/","196 Orchard St, Unit 7E")</f>
        <v>196 Orchard St, Unit 7E</v>
      </c>
      <c r="B5626" s="2" t="str">
        <f t="shared" si="945"/>
        <v>196 Orchard St</v>
      </c>
      <c r="C5626" s="1" t="s">
        <v>47</v>
      </c>
      <c r="D5626" s="1" t="s">
        <v>41</v>
      </c>
      <c r="E5626" s="3">
        <v>1545413</v>
      </c>
      <c r="F5626" s="1">
        <v>2226.8198847262202</v>
      </c>
      <c r="G5626" s="1">
        <v>3</v>
      </c>
      <c r="H5626" s="1">
        <v>1</v>
      </c>
      <c r="I5626" s="1">
        <v>1</v>
      </c>
      <c r="J5626" s="1">
        <v>1</v>
      </c>
      <c r="K5626" s="1">
        <v>1</v>
      </c>
      <c r="M5626" s="1">
        <v>694</v>
      </c>
      <c r="N5626" s="1">
        <v>921</v>
      </c>
      <c r="O5626" s="1">
        <v>1835</v>
      </c>
      <c r="P5626" s="1">
        <v>914</v>
      </c>
      <c r="Q5626" s="1" t="s">
        <v>42</v>
      </c>
      <c r="S5626" s="1" t="s">
        <v>42</v>
      </c>
      <c r="T5626" s="1" t="s">
        <v>273</v>
      </c>
      <c r="V5626" s="5">
        <v>44338</v>
      </c>
      <c r="W5626" s="5">
        <v>43378</v>
      </c>
      <c r="X5626" s="1">
        <v>1565000</v>
      </c>
      <c r="Y5626" s="1">
        <v>1565000</v>
      </c>
      <c r="Z5626" s="5">
        <v>43378</v>
      </c>
      <c r="AA5626" s="1">
        <v>1545413</v>
      </c>
      <c r="AB5626" s="1" t="s">
        <v>3981</v>
      </c>
      <c r="AC5626" s="5">
        <v>43453</v>
      </c>
      <c r="AF5626" s="1">
        <v>10002</v>
      </c>
      <c r="AI5626" s="1" t="s">
        <v>165</v>
      </c>
      <c r="AJ5626" s="1">
        <v>2018</v>
      </c>
      <c r="AK5626" s="1" t="s">
        <v>46</v>
      </c>
      <c r="AL5626" s="1">
        <v>89</v>
      </c>
    </row>
    <row r="5627" spans="1:38" x14ac:dyDescent="0.2">
      <c r="A5627" s="2" t="str">
        <f>HYPERLINK("https://www.compass.com/listing/196-orchard-street-unit-4d-manhattan-ny-10002/116626965963767073/","196 Orchard St, Unit 4D")</f>
        <v>196 Orchard St, Unit 4D</v>
      </c>
      <c r="B5627" s="2" t="str">
        <f t="shared" si="945"/>
        <v>196 Orchard St</v>
      </c>
      <c r="C5627" s="1" t="s">
        <v>47</v>
      </c>
      <c r="D5627" s="1" t="s">
        <v>41</v>
      </c>
      <c r="E5627" s="3">
        <v>2420000</v>
      </c>
      <c r="F5627" s="1">
        <v>2008.29875518672</v>
      </c>
      <c r="G5627" s="1">
        <v>4</v>
      </c>
      <c r="H5627" s="1">
        <v>2</v>
      </c>
      <c r="I5627" s="1">
        <v>2</v>
      </c>
      <c r="J5627" s="1">
        <v>2</v>
      </c>
      <c r="K5627" s="1">
        <v>2</v>
      </c>
      <c r="M5627" s="4">
        <v>1205</v>
      </c>
      <c r="N5627" s="1">
        <v>1600</v>
      </c>
      <c r="O5627" s="1">
        <v>3187</v>
      </c>
      <c r="P5627" s="1">
        <v>1587</v>
      </c>
      <c r="Q5627" s="1" t="s">
        <v>42</v>
      </c>
      <c r="S5627" s="1" t="s">
        <v>42</v>
      </c>
      <c r="T5627" s="1" t="s">
        <v>273</v>
      </c>
      <c r="U5627" s="1">
        <v>162</v>
      </c>
      <c r="V5627" s="5">
        <v>44338</v>
      </c>
      <c r="W5627" s="5">
        <v>43413</v>
      </c>
      <c r="X5627" s="1">
        <v>2650000</v>
      </c>
      <c r="Y5627" s="1">
        <v>2495000</v>
      </c>
      <c r="Z5627" s="5">
        <v>43575</v>
      </c>
      <c r="AA5627" s="1">
        <v>2420000</v>
      </c>
      <c r="AB5627" s="1" t="s">
        <v>3982</v>
      </c>
      <c r="AC5627" s="5">
        <v>43619</v>
      </c>
      <c r="AF5627" s="1">
        <v>10002</v>
      </c>
      <c r="AI5627" s="1" t="s">
        <v>165</v>
      </c>
      <c r="AJ5627" s="1">
        <v>2018</v>
      </c>
      <c r="AK5627" s="1" t="s">
        <v>46</v>
      </c>
      <c r="AL5627" s="1">
        <v>89</v>
      </c>
    </row>
    <row r="5628" spans="1:38" x14ac:dyDescent="0.2">
      <c r="A5628" s="2" t="str">
        <f>HYPERLINK("https://www.compass.com/listing/196-orchard-street-unit-ph11d-manhattan-ny-10002/29669284091268385/","196 Orchard St, Unit PH11D")</f>
        <v>196 Orchard St, Unit PH11D</v>
      </c>
      <c r="B5628" s="2" t="str">
        <f t="shared" si="945"/>
        <v>196 Orchard St</v>
      </c>
      <c r="C5628" s="1" t="s">
        <v>47</v>
      </c>
      <c r="D5628" s="1" t="s">
        <v>41</v>
      </c>
      <c r="E5628" s="3">
        <v>3274128</v>
      </c>
      <c r="F5628" s="1">
        <v>2580.0852009456198</v>
      </c>
      <c r="G5628" s="1">
        <v>4</v>
      </c>
      <c r="H5628" s="1">
        <v>2</v>
      </c>
      <c r="I5628" s="1">
        <v>2</v>
      </c>
      <c r="J5628" s="1">
        <v>2</v>
      </c>
      <c r="K5628" s="1">
        <v>2</v>
      </c>
      <c r="M5628" s="4">
        <v>1269</v>
      </c>
      <c r="N5628" s="1">
        <v>1707</v>
      </c>
      <c r="O5628" s="1">
        <v>3403</v>
      </c>
      <c r="P5628" s="1">
        <v>1696</v>
      </c>
      <c r="Q5628" s="1" t="s">
        <v>42</v>
      </c>
      <c r="S5628" s="1" t="s">
        <v>42</v>
      </c>
      <c r="T5628" s="1" t="s">
        <v>273</v>
      </c>
      <c r="U5628" s="1">
        <v>1028</v>
      </c>
      <c r="V5628" s="5">
        <v>44338</v>
      </c>
      <c r="W5628" s="5">
        <v>42384</v>
      </c>
      <c r="X5628" s="1">
        <v>3495000</v>
      </c>
      <c r="Y5628" s="1">
        <v>3495000</v>
      </c>
      <c r="AA5628" s="1">
        <v>3274128.12</v>
      </c>
      <c r="AB5628" s="1" t="s">
        <v>3983</v>
      </c>
      <c r="AC5628" s="5">
        <v>43511</v>
      </c>
      <c r="AF5628" s="1">
        <v>10002</v>
      </c>
      <c r="AI5628" s="1" t="s">
        <v>165</v>
      </c>
      <c r="AJ5628" s="1">
        <v>2018</v>
      </c>
      <c r="AK5628" s="1" t="s">
        <v>46</v>
      </c>
      <c r="AL5628" s="1">
        <v>89</v>
      </c>
    </row>
    <row r="5629" spans="1:38" x14ac:dyDescent="0.2">
      <c r="A5629" s="2" t="str">
        <f>HYPERLINK("https://www.compass.com/listing/196-orchard-street-unit-8b-manhattan-ny-10002/303393761396375537/","196 Orchard St, Unit 8B")</f>
        <v>196 Orchard St, Unit 8B</v>
      </c>
      <c r="B5629" s="2" t="str">
        <f t="shared" si="945"/>
        <v>196 Orchard St</v>
      </c>
      <c r="C5629" s="1" t="s">
        <v>47</v>
      </c>
      <c r="D5629" s="1" t="s">
        <v>41</v>
      </c>
      <c r="E5629" s="3">
        <v>2045570</v>
      </c>
      <c r="F5629" s="1">
        <v>1963.11900191938</v>
      </c>
      <c r="G5629" s="1">
        <v>4</v>
      </c>
      <c r="H5629" s="1">
        <v>2</v>
      </c>
      <c r="I5629" s="1">
        <v>2</v>
      </c>
      <c r="J5629" s="1">
        <v>2</v>
      </c>
      <c r="K5629" s="1">
        <v>2</v>
      </c>
      <c r="M5629" s="4">
        <v>1042</v>
      </c>
      <c r="N5629" s="1">
        <v>1383</v>
      </c>
      <c r="O5629" s="1">
        <v>2755</v>
      </c>
      <c r="P5629" s="1">
        <v>1372</v>
      </c>
      <c r="Q5629" s="1" t="s">
        <v>42</v>
      </c>
      <c r="S5629" s="1" t="s">
        <v>42</v>
      </c>
      <c r="T5629" s="1" t="s">
        <v>273</v>
      </c>
      <c r="V5629" s="5">
        <v>44338</v>
      </c>
      <c r="W5629" s="5">
        <v>43670</v>
      </c>
      <c r="X5629" s="1">
        <v>2225000</v>
      </c>
      <c r="Y5629" s="1">
        <v>2225000</v>
      </c>
      <c r="Z5629" s="5">
        <v>43670</v>
      </c>
      <c r="AA5629" s="1">
        <v>2045570</v>
      </c>
      <c r="AB5629" s="1" t="s">
        <v>3984</v>
      </c>
      <c r="AC5629" s="5">
        <v>43692</v>
      </c>
      <c r="AF5629" s="1">
        <v>10002</v>
      </c>
      <c r="AI5629" s="1" t="s">
        <v>165</v>
      </c>
      <c r="AJ5629" s="1">
        <v>2018</v>
      </c>
      <c r="AK5629" s="1" t="s">
        <v>46</v>
      </c>
      <c r="AL5629" s="1">
        <v>89</v>
      </c>
    </row>
    <row r="5630" spans="1:38" x14ac:dyDescent="0.2">
      <c r="A5630" s="2" t="str">
        <f>HYPERLINK("https://www.compass.com/listing/196-orchard-street-unit-6d-manhattan-ny-10002/80992422967924689/","196 Orchard St, Unit 6D")</f>
        <v>196 Orchard St, Unit 6D</v>
      </c>
      <c r="B5630" s="2" t="str">
        <f t="shared" si="945"/>
        <v>196 Orchard St</v>
      </c>
      <c r="C5630" s="1" t="s">
        <v>47</v>
      </c>
      <c r="D5630" s="1" t="s">
        <v>41</v>
      </c>
      <c r="E5630" s="3">
        <v>2625000</v>
      </c>
      <c r="F5630" s="1">
        <v>2178.4232365145199</v>
      </c>
      <c r="G5630" s="1">
        <v>4</v>
      </c>
      <c r="H5630" s="1">
        <v>2</v>
      </c>
      <c r="I5630" s="1">
        <v>2</v>
      </c>
      <c r="J5630" s="1">
        <v>2</v>
      </c>
      <c r="K5630" s="1">
        <v>2</v>
      </c>
      <c r="M5630" s="4">
        <v>1205</v>
      </c>
      <c r="N5630" s="1">
        <v>1600</v>
      </c>
      <c r="O5630" s="1">
        <v>3187</v>
      </c>
      <c r="P5630" s="1">
        <v>1587</v>
      </c>
      <c r="Q5630" s="1" t="s">
        <v>42</v>
      </c>
      <c r="S5630" s="1" t="s">
        <v>42</v>
      </c>
      <c r="T5630" s="1" t="s">
        <v>273</v>
      </c>
      <c r="V5630" s="5">
        <v>44338</v>
      </c>
      <c r="W5630" s="5">
        <v>43364</v>
      </c>
      <c r="X5630" s="1">
        <v>2800000</v>
      </c>
      <c r="Y5630" s="1">
        <v>2800000</v>
      </c>
      <c r="Z5630" s="5">
        <v>43364</v>
      </c>
      <c r="AA5630" s="1">
        <v>2625000</v>
      </c>
      <c r="AB5630" s="1" t="s">
        <v>3985</v>
      </c>
      <c r="AC5630" s="5">
        <v>43371</v>
      </c>
      <c r="AF5630" s="1">
        <v>10002</v>
      </c>
      <c r="AI5630" s="1" t="s">
        <v>165</v>
      </c>
      <c r="AJ5630" s="1">
        <v>2018</v>
      </c>
      <c r="AK5630" s="1" t="s">
        <v>46</v>
      </c>
      <c r="AL5630" s="1">
        <v>89</v>
      </c>
    </row>
    <row r="5631" spans="1:38" x14ac:dyDescent="0.2">
      <c r="A5631" s="2" t="str">
        <f>HYPERLINK("https://www.compass.com/listing/196-orchard-street-unit-6g-manhattan-ny-10002/81113119132336641/","196 Orchard St, Unit 6G")</f>
        <v>196 Orchard St, Unit 6G</v>
      </c>
      <c r="B5631" s="2" t="str">
        <f t="shared" si="945"/>
        <v>196 Orchard St</v>
      </c>
      <c r="C5631" s="1" t="s">
        <v>47</v>
      </c>
      <c r="D5631" s="1" t="s">
        <v>41</v>
      </c>
      <c r="E5631" s="3">
        <v>2192000</v>
      </c>
      <c r="F5631" s="1">
        <v>2259.7938144329801</v>
      </c>
      <c r="G5631" s="1">
        <v>4</v>
      </c>
      <c r="H5631" s="1">
        <v>2</v>
      </c>
      <c r="I5631" s="1">
        <v>2</v>
      </c>
      <c r="J5631" s="1">
        <v>2</v>
      </c>
      <c r="K5631" s="1">
        <v>2</v>
      </c>
      <c r="M5631" s="1">
        <v>970</v>
      </c>
      <c r="N5631" s="1">
        <v>1288</v>
      </c>
      <c r="O5631" s="1">
        <v>2565</v>
      </c>
      <c r="P5631" s="1">
        <v>1277</v>
      </c>
      <c r="Q5631" s="1" t="s">
        <v>100</v>
      </c>
      <c r="S5631" s="1" t="s">
        <v>100</v>
      </c>
      <c r="T5631" s="1" t="s">
        <v>273</v>
      </c>
      <c r="V5631" s="5">
        <v>44338</v>
      </c>
      <c r="W5631" s="5">
        <v>43364</v>
      </c>
      <c r="X5631" s="1">
        <v>2335000</v>
      </c>
      <c r="Y5631" s="1">
        <v>2335000</v>
      </c>
      <c r="Z5631" s="5">
        <v>43364</v>
      </c>
      <c r="AA5631" s="1">
        <v>2192000</v>
      </c>
      <c r="AB5631" s="1" t="s">
        <v>3986</v>
      </c>
      <c r="AC5631" s="5">
        <v>43371</v>
      </c>
      <c r="AF5631" s="1">
        <v>10002</v>
      </c>
      <c r="AI5631" s="1" t="s">
        <v>165</v>
      </c>
      <c r="AJ5631" s="1">
        <v>2018</v>
      </c>
      <c r="AK5631" s="1" t="s">
        <v>46</v>
      </c>
      <c r="AL5631" s="1">
        <v>89</v>
      </c>
    </row>
    <row r="5632" spans="1:38" x14ac:dyDescent="0.2">
      <c r="A5632" s="2" t="str">
        <f>HYPERLINK("https://www.compass.com/listing/196-orchard-street-unit-8g-manhattan-ny-10002/81113120910617745/","196 Orchard St, Unit 8G")</f>
        <v>196 Orchard St, Unit 8G</v>
      </c>
      <c r="B5632" s="2" t="str">
        <f t="shared" si="945"/>
        <v>196 Orchard St</v>
      </c>
      <c r="C5632" s="1" t="s">
        <v>47</v>
      </c>
      <c r="D5632" s="1" t="s">
        <v>41</v>
      </c>
      <c r="E5632" s="3">
        <v>2285000</v>
      </c>
      <c r="F5632" s="1">
        <v>2355.6701030927802</v>
      </c>
      <c r="G5632" s="1">
        <v>4</v>
      </c>
      <c r="H5632" s="1">
        <v>2</v>
      </c>
      <c r="I5632" s="1">
        <v>2</v>
      </c>
      <c r="J5632" s="1">
        <v>2</v>
      </c>
      <c r="K5632" s="1">
        <v>2</v>
      </c>
      <c r="M5632" s="1">
        <v>970</v>
      </c>
      <c r="N5632" s="1">
        <v>1288</v>
      </c>
      <c r="O5632" s="1">
        <v>2565</v>
      </c>
      <c r="P5632" s="1">
        <v>1277</v>
      </c>
      <c r="Q5632" s="1" t="s">
        <v>42</v>
      </c>
      <c r="S5632" s="1" t="s">
        <v>42</v>
      </c>
      <c r="T5632" s="1" t="s">
        <v>273</v>
      </c>
      <c r="V5632" s="5">
        <v>44338</v>
      </c>
      <c r="W5632" s="5">
        <v>43364</v>
      </c>
      <c r="X5632" s="1">
        <v>2435000</v>
      </c>
      <c r="Y5632" s="1">
        <v>2435000</v>
      </c>
      <c r="Z5632" s="5">
        <v>43364</v>
      </c>
      <c r="AA5632" s="1">
        <v>2285000</v>
      </c>
      <c r="AB5632" s="1" t="s">
        <v>3987</v>
      </c>
      <c r="AC5632" s="5">
        <v>43371</v>
      </c>
      <c r="AF5632" s="1">
        <v>10002</v>
      </c>
      <c r="AI5632" s="1" t="s">
        <v>165</v>
      </c>
      <c r="AJ5632" s="1">
        <v>2018</v>
      </c>
      <c r="AK5632" s="1" t="s">
        <v>46</v>
      </c>
      <c r="AL5632" s="1">
        <v>89</v>
      </c>
    </row>
    <row r="5633" spans="1:38" x14ac:dyDescent="0.2">
      <c r="A5633" s="2" t="str">
        <f>HYPERLINK("https://www.compass.com/listing/196-orchard-street-unit-8d-manhattan-ny-10002/83823559335564017/","196 Orchard St, Unit 8D")</f>
        <v>196 Orchard St, Unit 8D</v>
      </c>
      <c r="B5633" s="2" t="str">
        <f t="shared" si="945"/>
        <v>196 Orchard St</v>
      </c>
      <c r="C5633" s="1" t="s">
        <v>47</v>
      </c>
      <c r="D5633" s="1" t="s">
        <v>41</v>
      </c>
      <c r="E5633" s="3">
        <v>3032294</v>
      </c>
      <c r="F5633" s="1">
        <v>2487.5258408531499</v>
      </c>
      <c r="G5633" s="1">
        <v>4</v>
      </c>
      <c r="H5633" s="1">
        <v>2</v>
      </c>
      <c r="I5633" s="1">
        <v>2</v>
      </c>
      <c r="J5633" s="1">
        <v>2</v>
      </c>
      <c r="K5633" s="1">
        <v>2</v>
      </c>
      <c r="M5633" s="4">
        <v>1219</v>
      </c>
      <c r="N5633" s="1">
        <v>1600</v>
      </c>
      <c r="O5633" s="1">
        <v>3187</v>
      </c>
      <c r="P5633" s="1">
        <v>1587</v>
      </c>
      <c r="Q5633" s="1" t="s">
        <v>42</v>
      </c>
      <c r="S5633" s="1" t="s">
        <v>42</v>
      </c>
      <c r="T5633" s="1" t="s">
        <v>273</v>
      </c>
      <c r="V5633" s="5">
        <v>44338</v>
      </c>
      <c r="W5633" s="5">
        <v>43368</v>
      </c>
      <c r="X5633" s="1">
        <v>2975000</v>
      </c>
      <c r="Y5633" s="1">
        <v>2975000</v>
      </c>
      <c r="Z5633" s="5">
        <v>43368</v>
      </c>
      <c r="AA5633" s="1">
        <v>3032294</v>
      </c>
      <c r="AB5633" s="1" t="s">
        <v>3988</v>
      </c>
      <c r="AC5633" s="5">
        <v>43481</v>
      </c>
      <c r="AF5633" s="1">
        <v>10002</v>
      </c>
      <c r="AI5633" s="1" t="s">
        <v>165</v>
      </c>
      <c r="AJ5633" s="1">
        <v>2018</v>
      </c>
      <c r="AK5633" s="1" t="s">
        <v>46</v>
      </c>
      <c r="AL5633" s="1">
        <v>89</v>
      </c>
    </row>
    <row r="5634" spans="1:38" x14ac:dyDescent="0.2">
      <c r="A5634" s="2" t="str">
        <f>HYPERLINK("https://www.compass.com/listing/196-orchard-street-unit-7d-manhattan-ny-10002/85454712475756881/","196 Orchard St, Unit 7D")</f>
        <v>196 Orchard St, Unit 7D</v>
      </c>
      <c r="B5634" s="2" t="str">
        <f t="shared" si="945"/>
        <v>196 Orchard St</v>
      </c>
      <c r="C5634" s="1" t="s">
        <v>47</v>
      </c>
      <c r="D5634" s="1" t="s">
        <v>41</v>
      </c>
      <c r="E5634" s="3">
        <v>2899189</v>
      </c>
      <c r="F5634" s="1">
        <v>2405.9657676348502</v>
      </c>
      <c r="G5634" s="1">
        <v>4</v>
      </c>
      <c r="H5634" s="1">
        <v>2</v>
      </c>
      <c r="I5634" s="1">
        <v>2</v>
      </c>
      <c r="J5634" s="1">
        <v>2</v>
      </c>
      <c r="K5634" s="1">
        <v>2</v>
      </c>
      <c r="M5634" s="4">
        <v>1205</v>
      </c>
      <c r="N5634" s="1">
        <v>1600</v>
      </c>
      <c r="O5634" s="1">
        <v>3187</v>
      </c>
      <c r="P5634" s="1">
        <v>1587</v>
      </c>
      <c r="Q5634" s="1" t="s">
        <v>42</v>
      </c>
      <c r="S5634" s="1" t="s">
        <v>42</v>
      </c>
      <c r="T5634" s="1" t="s">
        <v>273</v>
      </c>
      <c r="V5634" s="5">
        <v>44338</v>
      </c>
      <c r="W5634" s="5">
        <v>43370</v>
      </c>
      <c r="X5634" s="1">
        <v>2850000</v>
      </c>
      <c r="Y5634" s="1">
        <v>2850000</v>
      </c>
      <c r="Z5634" s="5">
        <v>43370</v>
      </c>
      <c r="AA5634" s="1">
        <v>2899188.75</v>
      </c>
      <c r="AB5634" s="1" t="s">
        <v>3989</v>
      </c>
      <c r="AC5634" s="5">
        <v>43473</v>
      </c>
      <c r="AF5634" s="1">
        <v>10002</v>
      </c>
      <c r="AI5634" s="1" t="s">
        <v>165</v>
      </c>
      <c r="AJ5634" s="1">
        <v>2018</v>
      </c>
      <c r="AK5634" s="1" t="s">
        <v>46</v>
      </c>
      <c r="AL5634" s="1">
        <v>89</v>
      </c>
    </row>
    <row r="5635" spans="1:38" x14ac:dyDescent="0.2">
      <c r="A5635" s="2" t="str">
        <f>HYPERLINK("https://www.compass.com/listing/196-orchard-street-unit-5g-manhattan-ny-10002/91229304343538001/","196 Orchard St, Unit 5G")</f>
        <v>196 Orchard St, Unit 5G</v>
      </c>
      <c r="B5635" s="2" t="str">
        <f t="shared" si="945"/>
        <v>196 Orchard St</v>
      </c>
      <c r="C5635" s="1" t="s">
        <v>47</v>
      </c>
      <c r="D5635" s="1" t="s">
        <v>41</v>
      </c>
      <c r="E5635" s="3">
        <v>2150000</v>
      </c>
      <c r="F5635" s="1">
        <v>2216.4948453608199</v>
      </c>
      <c r="G5635" s="1">
        <v>4</v>
      </c>
      <c r="H5635" s="1">
        <v>2</v>
      </c>
      <c r="I5635" s="1">
        <v>2</v>
      </c>
      <c r="J5635" s="1">
        <v>2</v>
      </c>
      <c r="K5635" s="1">
        <v>2</v>
      </c>
      <c r="M5635" s="1">
        <v>970</v>
      </c>
      <c r="N5635" s="1">
        <v>1288</v>
      </c>
      <c r="O5635" s="1">
        <v>2565</v>
      </c>
      <c r="P5635" s="1">
        <v>1277</v>
      </c>
      <c r="Q5635" s="1" t="s">
        <v>42</v>
      </c>
      <c r="S5635" s="1" t="s">
        <v>42</v>
      </c>
      <c r="T5635" s="1" t="s">
        <v>273</v>
      </c>
      <c r="V5635" s="5">
        <v>44338</v>
      </c>
      <c r="W5635" s="5">
        <v>43378</v>
      </c>
      <c r="X5635" s="1">
        <v>2195000</v>
      </c>
      <c r="Y5635" s="1">
        <v>2195000</v>
      </c>
      <c r="Z5635" s="5">
        <v>43378</v>
      </c>
      <c r="AA5635" s="1">
        <v>2150000</v>
      </c>
      <c r="AB5635" s="1" t="s">
        <v>3990</v>
      </c>
      <c r="AC5635" s="5">
        <v>43462</v>
      </c>
      <c r="AF5635" s="1">
        <v>10002</v>
      </c>
      <c r="AI5635" s="1" t="s">
        <v>165</v>
      </c>
      <c r="AJ5635" s="1">
        <v>2018</v>
      </c>
      <c r="AK5635" s="1" t="s">
        <v>46</v>
      </c>
      <c r="AL5635" s="1">
        <v>89</v>
      </c>
    </row>
    <row r="5636" spans="1:38" x14ac:dyDescent="0.2">
      <c r="A5636" s="2" t="str">
        <f>HYPERLINK("https://www.compass.com/listing/5-beekman-street-unit-30a-manhattan-ny-10038/216929556131499969/","5 Beekman St, Unit 30A")</f>
        <v>5 Beekman St, Unit 30A</v>
      </c>
      <c r="B5636" s="2" t="str">
        <f>HYPERLINK("https://www.compass.com/building/the-beekman-residences-manhattan-ny/282030567363458613/","The Beekman Residences")</f>
        <v>The Beekman Residences</v>
      </c>
      <c r="C5636" s="1" t="s">
        <v>96</v>
      </c>
      <c r="D5636" s="1" t="s">
        <v>41</v>
      </c>
      <c r="E5636" s="3">
        <v>2000000</v>
      </c>
      <c r="F5636" s="1">
        <v>1433.6917562724</v>
      </c>
      <c r="G5636" s="1">
        <v>4</v>
      </c>
      <c r="H5636" s="1">
        <v>2</v>
      </c>
      <c r="I5636" s="1">
        <v>3</v>
      </c>
      <c r="J5636" s="1">
        <v>2.5</v>
      </c>
      <c r="K5636" s="1">
        <v>2</v>
      </c>
      <c r="L5636" s="1">
        <v>1</v>
      </c>
      <c r="M5636" s="4">
        <v>1395</v>
      </c>
      <c r="N5636" s="1">
        <v>2457</v>
      </c>
      <c r="O5636" s="1">
        <v>4128</v>
      </c>
      <c r="P5636" s="1">
        <v>1671</v>
      </c>
      <c r="Q5636" s="1" t="s">
        <v>42</v>
      </c>
      <c r="S5636" s="1" t="s">
        <v>42</v>
      </c>
      <c r="T5636" s="1" t="s">
        <v>273</v>
      </c>
      <c r="U5636" s="1">
        <v>24</v>
      </c>
      <c r="V5636" s="5">
        <v>44247</v>
      </c>
      <c r="W5636" s="5">
        <v>44104</v>
      </c>
      <c r="Y5636" s="1">
        <v>2250000</v>
      </c>
      <c r="Z5636" s="5">
        <v>44128</v>
      </c>
      <c r="AA5636" s="1">
        <v>2000000</v>
      </c>
      <c r="AB5636" s="1" t="s">
        <v>275</v>
      </c>
      <c r="AC5636" s="5">
        <v>44216</v>
      </c>
      <c r="AF5636" s="1">
        <v>10038</v>
      </c>
      <c r="AI5636" s="1" t="s">
        <v>48</v>
      </c>
      <c r="AJ5636" s="1">
        <v>2015</v>
      </c>
      <c r="AK5636" s="1" t="s">
        <v>46</v>
      </c>
      <c r="AL5636" s="1">
        <v>67</v>
      </c>
    </row>
    <row r="5637" spans="1:38" x14ac:dyDescent="0.2">
      <c r="A5637" s="2" t="str">
        <f>HYPERLINK("https://www.compass.com/listing/196-orchard-street-unit-9d-manhattan-ny-10002/457386858025178225/","196 Orchard St, Unit 9D")</f>
        <v>196 Orchard St, Unit 9D</v>
      </c>
      <c r="B5637" s="2" t="str">
        <f t="shared" ref="B5637:B5638" si="946">HYPERLINK("https://www.compass.com/building/196-orchard-st-manhattan-ny-10002/281886194713760485/","196 Orchard St")</f>
        <v>196 Orchard St</v>
      </c>
      <c r="C5637" s="1" t="s">
        <v>47</v>
      </c>
      <c r="D5637" s="1" t="s">
        <v>41</v>
      </c>
      <c r="E5637" s="3">
        <v>4150000</v>
      </c>
      <c r="F5637" s="1">
        <v>2783.36686787391</v>
      </c>
      <c r="G5637" s="1">
        <v>4</v>
      </c>
      <c r="H5637" s="1">
        <v>2</v>
      </c>
      <c r="I5637" s="1">
        <v>3</v>
      </c>
      <c r="J5637" s="1">
        <v>2.5</v>
      </c>
      <c r="K5637" s="1">
        <v>2</v>
      </c>
      <c r="L5637" s="1">
        <v>1</v>
      </c>
      <c r="M5637" s="4">
        <v>1491</v>
      </c>
      <c r="N5637" s="1">
        <v>2065</v>
      </c>
      <c r="O5637" s="1">
        <v>4113</v>
      </c>
      <c r="P5637" s="1">
        <v>2048</v>
      </c>
      <c r="Q5637" s="1" t="s">
        <v>42</v>
      </c>
      <c r="S5637" s="1" t="s">
        <v>42</v>
      </c>
      <c r="T5637" s="1" t="s">
        <v>273</v>
      </c>
      <c r="V5637" s="5">
        <v>43931</v>
      </c>
      <c r="W5637" s="5">
        <v>43881</v>
      </c>
      <c r="X5637" s="1">
        <v>4150000</v>
      </c>
      <c r="Y5637" s="1">
        <v>3455000</v>
      </c>
      <c r="Z5637" s="5">
        <v>43881</v>
      </c>
      <c r="AA5637" s="1">
        <v>4150000</v>
      </c>
      <c r="AB5637" s="1" t="s">
        <v>275</v>
      </c>
      <c r="AC5637" s="5">
        <v>43917</v>
      </c>
      <c r="AF5637" s="1">
        <v>10002</v>
      </c>
      <c r="AI5637" s="1" t="s">
        <v>156</v>
      </c>
      <c r="AJ5637" s="1">
        <v>2018</v>
      </c>
      <c r="AK5637" s="1" t="s">
        <v>46</v>
      </c>
      <c r="AL5637" s="1">
        <v>89</v>
      </c>
    </row>
    <row r="5638" spans="1:38" x14ac:dyDescent="0.2">
      <c r="A5638" s="2" t="str">
        <f>HYPERLINK("https://www.compass.com/listing/196-orchard-street-unit-5k-manhattan-ny-10002/724915661617181713/","196 Orchard St, Unit 5K")</f>
        <v>196 Orchard St, Unit 5K</v>
      </c>
      <c r="B5638" s="2" t="str">
        <f t="shared" si="946"/>
        <v>196 Orchard St</v>
      </c>
      <c r="C5638" s="1" t="s">
        <v>47</v>
      </c>
      <c r="D5638" s="1" t="s">
        <v>41</v>
      </c>
      <c r="E5638" s="3">
        <v>1500000</v>
      </c>
      <c r="F5638" s="1">
        <v>1992.0318725099601</v>
      </c>
      <c r="G5638" s="1">
        <v>3</v>
      </c>
      <c r="H5638" s="1">
        <v>1</v>
      </c>
      <c r="I5638" s="1">
        <v>1</v>
      </c>
      <c r="J5638" s="1">
        <v>1</v>
      </c>
      <c r="K5638" s="1">
        <v>1</v>
      </c>
      <c r="M5638" s="1">
        <v>753</v>
      </c>
      <c r="N5638" s="1">
        <v>999.73</v>
      </c>
      <c r="O5638" s="1">
        <v>2309.13</v>
      </c>
      <c r="P5638" s="1">
        <v>1309.4166666666599</v>
      </c>
      <c r="Q5638" s="1" t="s">
        <v>42</v>
      </c>
      <c r="S5638" s="1" t="s">
        <v>42</v>
      </c>
      <c r="T5638" s="1" t="s">
        <v>273</v>
      </c>
      <c r="U5638" s="1">
        <v>67</v>
      </c>
      <c r="V5638" s="5">
        <v>44421</v>
      </c>
      <c r="W5638" s="5">
        <v>44251</v>
      </c>
      <c r="X5638" s="1">
        <v>1500000</v>
      </c>
      <c r="Y5638" s="1">
        <v>1500000</v>
      </c>
      <c r="Z5638" s="5">
        <v>44319</v>
      </c>
      <c r="AA5638" s="1">
        <v>1500000</v>
      </c>
      <c r="AB5638" s="1" t="s">
        <v>275</v>
      </c>
      <c r="AC5638" s="5">
        <v>44420</v>
      </c>
      <c r="AF5638" s="1">
        <v>10002</v>
      </c>
      <c r="AI5638" s="1" t="s">
        <v>165</v>
      </c>
      <c r="AJ5638" s="1">
        <v>2018</v>
      </c>
      <c r="AK5638" s="1" t="s">
        <v>46</v>
      </c>
      <c r="AL5638" s="1">
        <v>89</v>
      </c>
    </row>
    <row r="5639" spans="1:38" x14ac:dyDescent="0.2">
      <c r="A5639" s="2" t="str">
        <f>HYPERLINK("https://www.compass.com/listing/5-beekman-street-unit-17a-manhattan-ny-10038/841475305436025153/","5 Beekman St, Unit 17A")</f>
        <v>5 Beekman St, Unit 17A</v>
      </c>
      <c r="B5639" s="2" t="str">
        <f t="shared" ref="B5639:B5643" si="947">HYPERLINK("https://www.compass.com/building/the-beekman-residences-manhattan-ny/282030567363458613/","The Beekman Residences")</f>
        <v>The Beekman Residences</v>
      </c>
      <c r="C5639" s="1" t="s">
        <v>96</v>
      </c>
      <c r="D5639" s="1" t="s">
        <v>41</v>
      </c>
      <c r="E5639" s="3">
        <v>2695000</v>
      </c>
      <c r="F5639" s="1">
        <v>1658.4615384615299</v>
      </c>
      <c r="G5639" s="1">
        <v>4</v>
      </c>
      <c r="H5639" s="1">
        <v>2</v>
      </c>
      <c r="I5639" s="1">
        <v>2.5</v>
      </c>
      <c r="J5639" s="1">
        <v>2.5</v>
      </c>
      <c r="M5639" s="4">
        <v>1625</v>
      </c>
      <c r="N5639" s="1">
        <v>2254</v>
      </c>
      <c r="O5639" s="1">
        <v>4554</v>
      </c>
      <c r="P5639" s="1">
        <v>2300</v>
      </c>
      <c r="Q5639" s="1" t="s">
        <v>42</v>
      </c>
      <c r="S5639" s="1" t="s">
        <v>42</v>
      </c>
      <c r="T5639" s="1" t="s">
        <v>273</v>
      </c>
      <c r="U5639" s="1">
        <v>126</v>
      </c>
      <c r="V5639" s="5">
        <v>42901</v>
      </c>
      <c r="W5639" s="5">
        <v>42697</v>
      </c>
      <c r="X5639" s="1">
        <v>2750000</v>
      </c>
      <c r="Y5639" s="1">
        <v>2750000</v>
      </c>
      <c r="Z5639" s="5">
        <v>42824</v>
      </c>
      <c r="AA5639" s="1">
        <v>2695000</v>
      </c>
      <c r="AB5639" s="1" t="s">
        <v>275</v>
      </c>
      <c r="AC5639" s="5">
        <v>42893</v>
      </c>
      <c r="AF5639" s="1">
        <v>10038</v>
      </c>
      <c r="AI5639" s="1" t="s">
        <v>101</v>
      </c>
      <c r="AJ5639" s="1">
        <v>2015</v>
      </c>
      <c r="AK5639" s="1" t="s">
        <v>49</v>
      </c>
      <c r="AL5639" s="1">
        <v>67</v>
      </c>
    </row>
    <row r="5640" spans="1:38" x14ac:dyDescent="0.2">
      <c r="A5640" s="2" t="str">
        <f>HYPERLINK("https://www.compass.com/listing/5-beekman-street-unit-17a-manhattan-ny-10038/29513616231281585/","5 Beekman St, Unit 17A")</f>
        <v>5 Beekman St, Unit 17A</v>
      </c>
      <c r="B5640" s="2" t="str">
        <f t="shared" si="947"/>
        <v>The Beekman Residences</v>
      </c>
      <c r="C5640" s="1" t="s">
        <v>96</v>
      </c>
      <c r="D5640" s="1" t="s">
        <v>41</v>
      </c>
      <c r="E5640" s="3">
        <v>2200000</v>
      </c>
      <c r="F5640" s="1">
        <v>1353.8461538461499</v>
      </c>
      <c r="G5640" s="1">
        <v>4</v>
      </c>
      <c r="H5640" s="1">
        <v>2</v>
      </c>
      <c r="I5640" s="1">
        <v>3</v>
      </c>
      <c r="J5640" s="1">
        <v>2.5</v>
      </c>
      <c r="K5640" s="1">
        <v>2</v>
      </c>
      <c r="L5640" s="1">
        <v>1</v>
      </c>
      <c r="M5640" s="4">
        <v>1625</v>
      </c>
      <c r="N5640" s="1">
        <v>2254</v>
      </c>
      <c r="O5640" s="1">
        <v>5280</v>
      </c>
      <c r="P5640" s="1">
        <v>3026</v>
      </c>
      <c r="Q5640" s="1" t="s">
        <v>42</v>
      </c>
      <c r="S5640" s="1" t="s">
        <v>42</v>
      </c>
      <c r="T5640" s="1" t="s">
        <v>273</v>
      </c>
      <c r="U5640" s="1">
        <v>337</v>
      </c>
      <c r="V5640" s="5">
        <v>43638</v>
      </c>
      <c r="W5640" s="5">
        <v>43201</v>
      </c>
      <c r="X5640" s="1">
        <v>2785000</v>
      </c>
      <c r="Y5640" s="1">
        <v>2299000</v>
      </c>
      <c r="Z5640" s="5">
        <v>43539</v>
      </c>
      <c r="AA5640" s="1">
        <v>2200000</v>
      </c>
      <c r="AB5640" s="1" t="s">
        <v>275</v>
      </c>
      <c r="AC5640" s="5">
        <v>43605</v>
      </c>
      <c r="AF5640" s="1">
        <v>10038</v>
      </c>
      <c r="AI5640" s="1" t="s">
        <v>140</v>
      </c>
      <c r="AJ5640" s="1">
        <v>2015</v>
      </c>
      <c r="AK5640" s="1" t="s">
        <v>49</v>
      </c>
      <c r="AL5640" s="1">
        <v>67</v>
      </c>
    </row>
    <row r="5641" spans="1:38" x14ac:dyDescent="0.2">
      <c r="A5641" s="2" t="str">
        <f>HYPERLINK("https://www.compass.com/listing/5-beekman-street-unit-39a-manhattan-ny-10038/4852287363809804337/","5 Beekman St, Unit 39A")</f>
        <v>5 Beekman St, Unit 39A</v>
      </c>
      <c r="B5641" s="2" t="str">
        <f t="shared" si="947"/>
        <v>The Beekman Residences</v>
      </c>
      <c r="C5641" s="1" t="s">
        <v>96</v>
      </c>
      <c r="D5641" s="1" t="s">
        <v>41</v>
      </c>
      <c r="E5641" s="3">
        <v>3150000</v>
      </c>
      <c r="F5641" s="1">
        <v>2261.30653266331</v>
      </c>
      <c r="G5641" s="1">
        <v>4</v>
      </c>
      <c r="H5641" s="1">
        <v>2</v>
      </c>
      <c r="I5641" s="1">
        <v>3</v>
      </c>
      <c r="J5641" s="1">
        <v>2.5</v>
      </c>
      <c r="M5641" s="4">
        <v>1393</v>
      </c>
      <c r="N5641" s="1">
        <v>1933</v>
      </c>
      <c r="O5641" s="1">
        <v>3905</v>
      </c>
      <c r="P5641" s="1">
        <v>1972</v>
      </c>
      <c r="Q5641" s="1" t="s">
        <v>42</v>
      </c>
      <c r="S5641" s="1" t="s">
        <v>42</v>
      </c>
      <c r="T5641" s="1" t="s">
        <v>273</v>
      </c>
      <c r="U5641" s="1">
        <v>67</v>
      </c>
      <c r="V5641" s="5">
        <v>43649</v>
      </c>
      <c r="W5641" s="5">
        <v>42672</v>
      </c>
      <c r="X5641" s="1">
        <v>3150000</v>
      </c>
      <c r="Y5641" s="1">
        <v>3150000</v>
      </c>
      <c r="Z5641" s="5">
        <v>42739</v>
      </c>
      <c r="AA5641" s="1">
        <v>3150000</v>
      </c>
      <c r="AB5641" s="1" t="s">
        <v>275</v>
      </c>
      <c r="AC5641" s="5">
        <v>43084</v>
      </c>
      <c r="AF5641" s="1">
        <v>10038</v>
      </c>
      <c r="AI5641" s="1" t="s">
        <v>101</v>
      </c>
      <c r="AJ5641" s="1">
        <v>2015</v>
      </c>
      <c r="AK5641" s="1" t="s">
        <v>49</v>
      </c>
      <c r="AL5641" s="1">
        <v>67</v>
      </c>
    </row>
    <row r="5642" spans="1:38" x14ac:dyDescent="0.2">
      <c r="A5642" s="2" t="str">
        <f>HYPERLINK("https://www.compass.com/listing/5-beekman-street-unit-26a-manhattan-ny-10038/4852309599602082513/","5 Beekman St, Unit 26A")</f>
        <v>5 Beekman St, Unit 26A</v>
      </c>
      <c r="B5642" s="2" t="str">
        <f t="shared" si="947"/>
        <v>The Beekman Residences</v>
      </c>
      <c r="C5642" s="1" t="s">
        <v>96</v>
      </c>
      <c r="D5642" s="1" t="s">
        <v>41</v>
      </c>
      <c r="E5642" s="3">
        <v>2900000</v>
      </c>
      <c r="F5642" s="1">
        <v>1784.61538461538</v>
      </c>
      <c r="G5642" s="1">
        <v>4</v>
      </c>
      <c r="H5642" s="1">
        <v>2</v>
      </c>
      <c r="I5642" s="1">
        <v>3</v>
      </c>
      <c r="J5642" s="1">
        <v>2.5</v>
      </c>
      <c r="M5642" s="4">
        <v>1625</v>
      </c>
      <c r="N5642" s="1">
        <v>2254</v>
      </c>
      <c r="O5642" s="1">
        <v>4554</v>
      </c>
      <c r="P5642" s="1">
        <v>2300</v>
      </c>
      <c r="Q5642" s="1" t="s">
        <v>42</v>
      </c>
      <c r="S5642" s="1" t="s">
        <v>42</v>
      </c>
      <c r="T5642" s="1" t="s">
        <v>273</v>
      </c>
      <c r="U5642" s="1">
        <v>24</v>
      </c>
      <c r="V5642" s="5">
        <v>43662</v>
      </c>
      <c r="W5642" s="5">
        <v>42802</v>
      </c>
      <c r="X5642" s="1">
        <v>2950000</v>
      </c>
      <c r="Y5642" s="1">
        <v>2950000</v>
      </c>
      <c r="Z5642" s="5">
        <v>42826</v>
      </c>
      <c r="AA5642" s="1">
        <v>2900000</v>
      </c>
      <c r="AB5642" s="1" t="s">
        <v>275</v>
      </c>
      <c r="AC5642" s="5">
        <v>42889</v>
      </c>
      <c r="AF5642" s="1">
        <v>10038</v>
      </c>
      <c r="AI5642" s="1" t="s">
        <v>101</v>
      </c>
      <c r="AJ5642" s="1">
        <v>2015</v>
      </c>
      <c r="AK5642" s="1" t="s">
        <v>49</v>
      </c>
      <c r="AL5642" s="1">
        <v>67</v>
      </c>
    </row>
    <row r="5643" spans="1:38" x14ac:dyDescent="0.2">
      <c r="A5643" s="2" t="str">
        <f>HYPERLINK("https://www.compass.com/listing/5-beekman-street-unit-17a-manhattan-ny-10038/70924658454630801/","5 Beekman St, Unit 17A")</f>
        <v>5 Beekman St, Unit 17A</v>
      </c>
      <c r="B5643" s="2" t="str">
        <f t="shared" si="947"/>
        <v>The Beekman Residences</v>
      </c>
      <c r="C5643" s="1" t="s">
        <v>96</v>
      </c>
      <c r="D5643" s="1" t="s">
        <v>41</v>
      </c>
      <c r="E5643" s="3">
        <v>2299000</v>
      </c>
      <c r="F5643" s="1">
        <v>1414.76923076923</v>
      </c>
      <c r="G5643" s="1">
        <v>4</v>
      </c>
      <c r="H5643" s="1">
        <v>2</v>
      </c>
      <c r="I5643" s="1">
        <v>3</v>
      </c>
      <c r="J5643" s="1">
        <v>2.5</v>
      </c>
      <c r="M5643" s="4">
        <v>1625</v>
      </c>
      <c r="N5643" s="1">
        <v>2254</v>
      </c>
      <c r="O5643" s="1">
        <v>4554</v>
      </c>
      <c r="P5643" s="1">
        <v>2300</v>
      </c>
      <c r="Q5643" s="1" t="s">
        <v>42</v>
      </c>
      <c r="S5643" s="1" t="s">
        <v>42</v>
      </c>
      <c r="T5643" s="1" t="s">
        <v>273</v>
      </c>
      <c r="U5643" s="1">
        <v>337</v>
      </c>
      <c r="V5643" s="5">
        <v>43676</v>
      </c>
      <c r="W5643" s="5">
        <v>43202</v>
      </c>
      <c r="X5643" s="1">
        <v>2785000</v>
      </c>
      <c r="Y5643" s="1">
        <v>2299000</v>
      </c>
      <c r="Z5643" s="5">
        <v>43539</v>
      </c>
      <c r="AA5643" s="1">
        <v>2299000</v>
      </c>
      <c r="AB5643" s="1" t="s">
        <v>275</v>
      </c>
      <c r="AC5643" s="5">
        <v>43639</v>
      </c>
      <c r="AF5643" s="1">
        <v>10038</v>
      </c>
      <c r="AI5643" s="1" t="s">
        <v>140</v>
      </c>
      <c r="AJ5643" s="1">
        <v>2015</v>
      </c>
      <c r="AK5643" s="1" t="s">
        <v>49</v>
      </c>
      <c r="AL5643" s="1">
        <v>67</v>
      </c>
    </row>
    <row r="5644" spans="1:38" x14ac:dyDescent="0.2">
      <c r="A5644" s="2" t="str">
        <f>HYPERLINK("https://www.compass.com/listing/130-william-street-unit-9a-manhattan-ny-10038/657299275015015409/","130 William St, Unit 9A")</f>
        <v>130 William St, Unit 9A</v>
      </c>
      <c r="B5644" s="2" t="str">
        <f>HYPERLINK("https://www.compass.com/building/130-william-st-manhattan-ny-10038/282029682239486757/","130 William St")</f>
        <v>130 William St</v>
      </c>
      <c r="C5644" s="1" t="s">
        <v>96</v>
      </c>
      <c r="D5644" s="1" t="s">
        <v>41</v>
      </c>
      <c r="E5644" s="3">
        <v>905774</v>
      </c>
      <c r="F5644" s="1">
        <v>1517.2095644891101</v>
      </c>
      <c r="G5644" s="1">
        <v>2</v>
      </c>
      <c r="H5644" s="1" t="s">
        <v>99</v>
      </c>
      <c r="I5644" s="1">
        <v>1</v>
      </c>
      <c r="J5644" s="1">
        <v>1</v>
      </c>
      <c r="K5644" s="1">
        <v>1</v>
      </c>
      <c r="M5644" s="1">
        <v>597</v>
      </c>
      <c r="N5644" s="1">
        <v>394.41</v>
      </c>
      <c r="O5644" s="1">
        <v>1158.51</v>
      </c>
      <c r="P5644" s="1">
        <v>764.08333333333303</v>
      </c>
      <c r="Q5644" s="1" t="s">
        <v>42</v>
      </c>
      <c r="S5644" s="1" t="s">
        <v>42</v>
      </c>
      <c r="T5644" s="1" t="s">
        <v>273</v>
      </c>
      <c r="V5644" s="5">
        <v>44159</v>
      </c>
      <c r="W5644" s="5">
        <v>44158</v>
      </c>
      <c r="X5644" s="1">
        <v>885990</v>
      </c>
      <c r="Y5644" s="1">
        <v>885990</v>
      </c>
      <c r="Z5644" s="5">
        <v>44159</v>
      </c>
      <c r="AA5644" s="1">
        <v>905774.11</v>
      </c>
      <c r="AB5644" s="1" t="s">
        <v>3991</v>
      </c>
      <c r="AC5644" s="5">
        <v>44174</v>
      </c>
      <c r="AF5644" s="1">
        <v>10038</v>
      </c>
      <c r="AI5644" s="1" t="s">
        <v>111</v>
      </c>
      <c r="AJ5644" s="1">
        <v>2020</v>
      </c>
      <c r="AK5644" s="1" t="s">
        <v>46</v>
      </c>
      <c r="AL5644" s="1">
        <v>244</v>
      </c>
    </row>
    <row r="5645" spans="1:38" x14ac:dyDescent="0.2">
      <c r="A5645" s="2" t="str">
        <f>HYPERLINK("https://www.compass.com/listing/196-orchard-street-unit-10d-manhattan-ny-10002/110775864614051009/","196 Orchard St, Unit 10D")</f>
        <v>196 Orchard St, Unit 10D</v>
      </c>
      <c r="B5645" s="2" t="str">
        <f>HYPERLINK("https://www.compass.com/building/196-orchard-st-manhattan-ny-10002/281886194713760485/","196 Orchard St")</f>
        <v>196 Orchard St</v>
      </c>
      <c r="C5645" s="1" t="s">
        <v>47</v>
      </c>
      <c r="D5645" s="1" t="s">
        <v>41</v>
      </c>
      <c r="E5645" s="3">
        <v>3875000</v>
      </c>
      <c r="F5645" s="1">
        <v>2491.9614147909901</v>
      </c>
      <c r="G5645" s="1">
        <v>5</v>
      </c>
      <c r="H5645" s="1">
        <v>3</v>
      </c>
      <c r="I5645" s="1">
        <v>3</v>
      </c>
      <c r="J5645" s="1">
        <v>3</v>
      </c>
      <c r="K5645" s="1">
        <v>3</v>
      </c>
      <c r="M5645" s="4">
        <v>1555</v>
      </c>
      <c r="N5645" s="1">
        <v>2113</v>
      </c>
      <c r="O5645" s="1">
        <v>4209</v>
      </c>
      <c r="P5645" s="1">
        <v>2096</v>
      </c>
      <c r="Q5645" s="1" t="s">
        <v>42</v>
      </c>
      <c r="S5645" s="1" t="s">
        <v>42</v>
      </c>
      <c r="T5645" s="1" t="s">
        <v>273</v>
      </c>
      <c r="U5645" s="1">
        <v>107</v>
      </c>
      <c r="V5645" s="5">
        <v>44338</v>
      </c>
      <c r="W5645" s="5">
        <v>43405</v>
      </c>
      <c r="X5645" s="1">
        <v>4200000</v>
      </c>
      <c r="Y5645" s="1">
        <v>4200000</v>
      </c>
      <c r="Z5645" s="5">
        <v>43512</v>
      </c>
      <c r="AA5645" s="1">
        <v>3875000</v>
      </c>
      <c r="AB5645" s="1" t="s">
        <v>3992</v>
      </c>
      <c r="AC5645" s="5">
        <v>43550</v>
      </c>
      <c r="AF5645" s="1">
        <v>10002</v>
      </c>
      <c r="AI5645" s="1" t="s">
        <v>156</v>
      </c>
      <c r="AJ5645" s="1">
        <v>2018</v>
      </c>
      <c r="AK5645" s="1" t="s">
        <v>46</v>
      </c>
      <c r="AL5645" s="1">
        <v>89</v>
      </c>
    </row>
    <row r="5646" spans="1:38" x14ac:dyDescent="0.2">
      <c r="A5646" s="2" t="str">
        <f>HYPERLINK("https://www.compass.com/listing/130-william-street-unit-10d-manhattan-ny-10038/631937087729545697/","130 William St, Unit 10D")</f>
        <v>130 William St, Unit 10D</v>
      </c>
      <c r="B5646" s="2" t="str">
        <f t="shared" ref="B5646:B5662" si="948">HYPERLINK("https://www.compass.com/building/130-william-st-manhattan-ny-10038/282029682239486757/","130 William St")</f>
        <v>130 William St</v>
      </c>
      <c r="C5646" s="1" t="s">
        <v>96</v>
      </c>
      <c r="D5646" s="1" t="s">
        <v>41</v>
      </c>
      <c r="E5646" s="3">
        <v>1155245</v>
      </c>
      <c r="F5646" s="1">
        <v>1338.63888760139</v>
      </c>
      <c r="G5646" s="1">
        <v>3</v>
      </c>
      <c r="H5646" s="1">
        <v>1</v>
      </c>
      <c r="I5646" s="1">
        <v>1</v>
      </c>
      <c r="J5646" s="1">
        <v>1</v>
      </c>
      <c r="K5646" s="1">
        <v>1</v>
      </c>
      <c r="M5646" s="1">
        <v>863</v>
      </c>
      <c r="N5646" s="1">
        <v>574.14</v>
      </c>
      <c r="O5646" s="1">
        <v>1686.44</v>
      </c>
      <c r="P5646" s="1">
        <v>1112.3333333333301</v>
      </c>
      <c r="Q5646" s="1" t="s">
        <v>42</v>
      </c>
      <c r="S5646" s="1" t="s">
        <v>42</v>
      </c>
      <c r="T5646" s="1" t="s">
        <v>273</v>
      </c>
      <c r="V5646" s="5">
        <v>44266</v>
      </c>
      <c r="W5646" s="5">
        <v>44123</v>
      </c>
      <c r="X5646" s="1">
        <v>1130990</v>
      </c>
      <c r="Y5646" s="1">
        <v>1130990</v>
      </c>
      <c r="Z5646" s="5">
        <v>44124</v>
      </c>
      <c r="AA5646" s="1">
        <v>1155245.3600000001</v>
      </c>
      <c r="AB5646" s="1" t="s">
        <v>3993</v>
      </c>
      <c r="AC5646" s="5">
        <v>44252</v>
      </c>
      <c r="AF5646" s="1">
        <v>10038</v>
      </c>
      <c r="AI5646" s="1" t="s">
        <v>111</v>
      </c>
      <c r="AJ5646" s="1">
        <v>2020</v>
      </c>
      <c r="AK5646" s="1" t="s">
        <v>46</v>
      </c>
      <c r="AL5646" s="1">
        <v>244</v>
      </c>
    </row>
    <row r="5647" spans="1:38" x14ac:dyDescent="0.2">
      <c r="A5647" s="2" t="str">
        <f>HYPERLINK("https://www.compass.com/listing/130-william-street-unit-17a-manhattan-ny-10038/46340102913264193/","130 William St, Unit 17A")</f>
        <v>130 William St, Unit 17A</v>
      </c>
      <c r="B5647" s="2" t="str">
        <f t="shared" si="948"/>
        <v>130 William St</v>
      </c>
      <c r="C5647" s="1" t="s">
        <v>96</v>
      </c>
      <c r="D5647" s="1" t="s">
        <v>41</v>
      </c>
      <c r="E5647" s="3">
        <v>992325</v>
      </c>
      <c r="F5647" s="1">
        <v>1595.37839228295</v>
      </c>
      <c r="G5647" s="1">
        <v>2</v>
      </c>
      <c r="H5647" s="1" t="s">
        <v>99</v>
      </c>
      <c r="I5647" s="1">
        <v>1</v>
      </c>
      <c r="J5647" s="1">
        <v>1</v>
      </c>
      <c r="K5647" s="1">
        <v>1</v>
      </c>
      <c r="M5647" s="1">
        <v>622</v>
      </c>
      <c r="N5647" s="1">
        <v>417</v>
      </c>
      <c r="O5647" s="1">
        <v>1225</v>
      </c>
      <c r="P5647" s="1">
        <v>808</v>
      </c>
      <c r="Q5647" s="1" t="s">
        <v>42</v>
      </c>
      <c r="S5647" s="1" t="s">
        <v>42</v>
      </c>
      <c r="T5647" s="1" t="s">
        <v>273</v>
      </c>
      <c r="U5647" s="1">
        <v>69</v>
      </c>
      <c r="V5647" s="5">
        <v>44252</v>
      </c>
      <c r="W5647" s="5">
        <v>43314</v>
      </c>
      <c r="X5647" s="1">
        <v>955990</v>
      </c>
      <c r="Y5647" s="1">
        <v>955990</v>
      </c>
      <c r="Z5647" s="5">
        <v>44158</v>
      </c>
      <c r="AA5647" s="1">
        <v>992325.36</v>
      </c>
      <c r="AB5647" s="1" t="s">
        <v>3994</v>
      </c>
      <c r="AC5647" s="5">
        <v>44235</v>
      </c>
      <c r="AF5647" s="1">
        <v>10038</v>
      </c>
      <c r="AI5647" s="1" t="s">
        <v>265</v>
      </c>
      <c r="AJ5647" s="1">
        <v>2020</v>
      </c>
      <c r="AK5647" s="1" t="s">
        <v>46</v>
      </c>
      <c r="AL5647" s="1">
        <v>244</v>
      </c>
    </row>
    <row r="5648" spans="1:38" x14ac:dyDescent="0.2">
      <c r="A5648" s="2" t="str">
        <f>HYPERLINK("https://www.compass.com/listing/130-william-street-unit-17e-manhattan-ny-10038/53963128446126593/","130 William St, Unit 17E")</f>
        <v>130 William St, Unit 17E</v>
      </c>
      <c r="B5648" s="2" t="str">
        <f t="shared" si="948"/>
        <v>130 William St</v>
      </c>
      <c r="C5648" s="1" t="s">
        <v>96</v>
      </c>
      <c r="D5648" s="1" t="s">
        <v>41</v>
      </c>
      <c r="E5648" s="3">
        <v>844679</v>
      </c>
      <c r="F5648" s="1">
        <v>1941.79105747126</v>
      </c>
      <c r="G5648" s="1">
        <v>2</v>
      </c>
      <c r="H5648" s="1" t="s">
        <v>99</v>
      </c>
      <c r="I5648" s="1">
        <v>1</v>
      </c>
      <c r="J5648" s="1">
        <v>1</v>
      </c>
      <c r="K5648" s="1">
        <v>1</v>
      </c>
      <c r="M5648" s="1">
        <v>435</v>
      </c>
      <c r="N5648" s="1">
        <v>298.19</v>
      </c>
      <c r="O5648" s="1">
        <v>875.88</v>
      </c>
      <c r="P5648" s="1">
        <v>577.66666666666595</v>
      </c>
      <c r="Q5648" s="1" t="s">
        <v>42</v>
      </c>
      <c r="S5648" s="1" t="s">
        <v>42</v>
      </c>
      <c r="T5648" s="1" t="s">
        <v>273</v>
      </c>
      <c r="U5648" s="1">
        <v>37</v>
      </c>
      <c r="V5648" s="5">
        <v>44412</v>
      </c>
      <c r="W5648" s="5">
        <v>43325</v>
      </c>
      <c r="X5648" s="1">
        <v>825990</v>
      </c>
      <c r="Y5648" s="1">
        <v>825990</v>
      </c>
      <c r="Z5648" s="5">
        <v>44240</v>
      </c>
      <c r="AA5648" s="1">
        <v>844679.11</v>
      </c>
      <c r="AB5648" s="1" t="s">
        <v>3995</v>
      </c>
      <c r="AC5648" s="5">
        <v>44396</v>
      </c>
      <c r="AF5648" s="1">
        <v>10038</v>
      </c>
      <c r="AI5648" s="1" t="s">
        <v>111</v>
      </c>
      <c r="AJ5648" s="1">
        <v>2020</v>
      </c>
      <c r="AK5648" s="1" t="s">
        <v>46</v>
      </c>
      <c r="AL5648" s="1">
        <v>244</v>
      </c>
    </row>
    <row r="5649" spans="1:38" x14ac:dyDescent="0.2">
      <c r="A5649" s="2" t="str">
        <f>HYPERLINK("https://www.compass.com/listing/130-william-street-unit-8d-manhattan-ny-10038/621827700822340849/","130 William St, Unit 8D")</f>
        <v>130 William St, Unit 8D</v>
      </c>
      <c r="B5649" s="2" t="str">
        <f t="shared" si="948"/>
        <v>130 William St</v>
      </c>
      <c r="C5649" s="1" t="s">
        <v>96</v>
      </c>
      <c r="D5649" s="1" t="s">
        <v>41</v>
      </c>
      <c r="E5649" s="3">
        <v>1134880</v>
      </c>
      <c r="F5649" s="1">
        <v>1315.0405561993</v>
      </c>
      <c r="G5649" s="1">
        <v>3</v>
      </c>
      <c r="H5649" s="1">
        <v>1</v>
      </c>
      <c r="I5649" s="1">
        <v>1</v>
      </c>
      <c r="J5649" s="1">
        <v>1</v>
      </c>
      <c r="K5649" s="1">
        <v>1</v>
      </c>
      <c r="M5649" s="1">
        <v>863</v>
      </c>
      <c r="N5649" s="1">
        <v>572.32000000000005</v>
      </c>
      <c r="O5649" s="1">
        <v>1681.1</v>
      </c>
      <c r="P5649" s="1">
        <v>1108.75</v>
      </c>
      <c r="Q5649" s="1" t="s">
        <v>42</v>
      </c>
      <c r="S5649" s="1" t="s">
        <v>42</v>
      </c>
      <c r="T5649" s="1" t="s">
        <v>273</v>
      </c>
      <c r="U5649" s="1">
        <v>823</v>
      </c>
      <c r="V5649" s="5">
        <v>44223</v>
      </c>
      <c r="W5649" s="5">
        <v>43301</v>
      </c>
      <c r="X5649" s="1">
        <v>1110990</v>
      </c>
      <c r="Y5649" s="1">
        <v>1110990</v>
      </c>
      <c r="AA5649" s="1">
        <v>1134880</v>
      </c>
      <c r="AB5649" s="1" t="s">
        <v>275</v>
      </c>
      <c r="AC5649" s="5">
        <v>44218</v>
      </c>
      <c r="AF5649" s="1">
        <v>10038</v>
      </c>
      <c r="AI5649" s="1" t="s">
        <v>111</v>
      </c>
      <c r="AJ5649" s="1">
        <v>2020</v>
      </c>
      <c r="AK5649" s="1" t="s">
        <v>46</v>
      </c>
      <c r="AL5649" s="1">
        <v>244</v>
      </c>
    </row>
    <row r="5650" spans="1:38" x14ac:dyDescent="0.2">
      <c r="A5650" s="2" t="str">
        <f>HYPERLINK("https://www.compass.com/listing/130-william-street-unit-8a-manhattan-ny-10038/626739354336993377/","130 William St, Unit 8A")</f>
        <v>130 William St, Unit 8A</v>
      </c>
      <c r="B5650" s="2" t="str">
        <f t="shared" si="948"/>
        <v>130 William St</v>
      </c>
      <c r="C5650" s="1" t="s">
        <v>96</v>
      </c>
      <c r="D5650" s="1" t="s">
        <v>41</v>
      </c>
      <c r="E5650" s="3">
        <v>895592</v>
      </c>
      <c r="F5650" s="1">
        <v>1500.1534505862601</v>
      </c>
      <c r="G5650" s="1">
        <v>2</v>
      </c>
      <c r="H5650" s="1" t="s">
        <v>99</v>
      </c>
      <c r="I5650" s="1">
        <v>1</v>
      </c>
      <c r="J5650" s="1">
        <v>1</v>
      </c>
      <c r="K5650" s="1">
        <v>1</v>
      </c>
      <c r="M5650" s="1">
        <v>597</v>
      </c>
      <c r="N5650" s="1">
        <v>393.5</v>
      </c>
      <c r="O5650" s="1">
        <v>1155.8399999999999</v>
      </c>
      <c r="P5650" s="1">
        <v>762.33333333333303</v>
      </c>
      <c r="Q5650" s="1" t="s">
        <v>42</v>
      </c>
      <c r="S5650" s="1" t="s">
        <v>42</v>
      </c>
      <c r="T5650" s="1" t="s">
        <v>273</v>
      </c>
      <c r="U5650" s="1">
        <v>714</v>
      </c>
      <c r="V5650" s="5">
        <v>44243</v>
      </c>
      <c r="W5650" s="5">
        <v>43308</v>
      </c>
      <c r="X5650" s="1">
        <v>875990</v>
      </c>
      <c r="Y5650" s="1">
        <v>875990</v>
      </c>
      <c r="Z5650" s="5">
        <v>44117</v>
      </c>
      <c r="AA5650" s="1">
        <v>895591.61</v>
      </c>
      <c r="AB5650" s="1" t="s">
        <v>3996</v>
      </c>
      <c r="AC5650" s="5">
        <v>44167</v>
      </c>
      <c r="AF5650" s="1">
        <v>10038</v>
      </c>
      <c r="AI5650" s="1" t="s">
        <v>111</v>
      </c>
      <c r="AJ5650" s="1">
        <v>2020</v>
      </c>
      <c r="AK5650" s="1" t="s">
        <v>46</v>
      </c>
      <c r="AL5650" s="1">
        <v>244</v>
      </c>
    </row>
    <row r="5651" spans="1:38" x14ac:dyDescent="0.2">
      <c r="A5651" s="2" t="str">
        <f>HYPERLINK("https://www.compass.com/listing/130-william-street-unit-7a-manhattan-ny-10038/636975720586973329/","130 William St, Unit 7A")</f>
        <v>130 William St, Unit 7A</v>
      </c>
      <c r="B5651" s="2" t="str">
        <f t="shared" si="948"/>
        <v>130 William St</v>
      </c>
      <c r="C5651" s="1" t="s">
        <v>96</v>
      </c>
      <c r="D5651" s="1" t="s">
        <v>41</v>
      </c>
      <c r="E5651" s="3">
        <v>926139</v>
      </c>
      <c r="F5651" s="1">
        <v>1551.3217922947999</v>
      </c>
      <c r="G5651" s="1">
        <v>2</v>
      </c>
      <c r="H5651" s="1" t="s">
        <v>99</v>
      </c>
      <c r="I5651" s="1">
        <v>1</v>
      </c>
      <c r="J5651" s="1">
        <v>1</v>
      </c>
      <c r="K5651" s="1">
        <v>1</v>
      </c>
      <c r="M5651" s="1">
        <v>597</v>
      </c>
      <c r="N5651" s="1">
        <v>392.82</v>
      </c>
      <c r="O5651" s="1">
        <v>1153.8399999999999</v>
      </c>
      <c r="P5651" s="1">
        <v>761</v>
      </c>
      <c r="Q5651" s="1" t="s">
        <v>42</v>
      </c>
      <c r="S5651" s="1" t="s">
        <v>42</v>
      </c>
      <c r="T5651" s="1" t="s">
        <v>273</v>
      </c>
      <c r="U5651" s="1">
        <v>633</v>
      </c>
      <c r="V5651" s="5">
        <v>44223</v>
      </c>
      <c r="W5651" s="5">
        <v>43403</v>
      </c>
      <c r="X5651" s="1">
        <v>905990</v>
      </c>
      <c r="Y5651" s="1">
        <v>905990</v>
      </c>
      <c r="Z5651" s="5">
        <v>44131</v>
      </c>
      <c r="AA5651" s="1">
        <v>926139.11</v>
      </c>
      <c r="AB5651" s="1" t="s">
        <v>3997</v>
      </c>
      <c r="AC5651" s="5">
        <v>44196</v>
      </c>
      <c r="AF5651" s="1">
        <v>10038</v>
      </c>
      <c r="AI5651" s="1" t="s">
        <v>111</v>
      </c>
      <c r="AJ5651" s="1">
        <v>2020</v>
      </c>
      <c r="AK5651" s="1" t="s">
        <v>46</v>
      </c>
      <c r="AL5651" s="1">
        <v>244</v>
      </c>
    </row>
    <row r="5652" spans="1:38" x14ac:dyDescent="0.2">
      <c r="A5652" s="2" t="str">
        <f>HYPERLINK("https://www.compass.com/listing/130-william-street-unit-14a-manhattan-ny-10038/642125843719840329/","130 William St, Unit 14A")</f>
        <v>130 William St, Unit 14A</v>
      </c>
      <c r="B5652" s="2" t="str">
        <f t="shared" si="948"/>
        <v>130 William St</v>
      </c>
      <c r="C5652" s="1" t="s">
        <v>96</v>
      </c>
      <c r="D5652" s="1" t="s">
        <v>41</v>
      </c>
      <c r="E5652" s="3">
        <v>910865</v>
      </c>
      <c r="F5652" s="1">
        <v>1464.41318327974</v>
      </c>
      <c r="G5652" s="1">
        <v>2</v>
      </c>
      <c r="H5652" s="1" t="s">
        <v>99</v>
      </c>
      <c r="I5652" s="1">
        <v>1</v>
      </c>
      <c r="J5652" s="1">
        <v>1</v>
      </c>
      <c r="K5652" s="1">
        <v>1</v>
      </c>
      <c r="M5652" s="1">
        <v>622</v>
      </c>
      <c r="N5652" s="1">
        <v>414.15</v>
      </c>
      <c r="O5652" s="1">
        <v>1216.5</v>
      </c>
      <c r="P5652" s="1">
        <v>802.33333333333303</v>
      </c>
      <c r="Q5652" s="1" t="s">
        <v>42</v>
      </c>
      <c r="S5652" s="1" t="s">
        <v>42</v>
      </c>
      <c r="T5652" s="1" t="s">
        <v>273</v>
      </c>
      <c r="U5652" s="1">
        <v>737</v>
      </c>
      <c r="V5652" s="5">
        <v>44223</v>
      </c>
      <c r="W5652" s="5">
        <v>43306</v>
      </c>
      <c r="X5652" s="1">
        <v>890990</v>
      </c>
      <c r="Y5652" s="1">
        <v>890990</v>
      </c>
      <c r="Z5652" s="5">
        <v>44138</v>
      </c>
      <c r="AA5652" s="1">
        <v>910865</v>
      </c>
      <c r="AB5652" s="1" t="s">
        <v>275</v>
      </c>
      <c r="AC5652" s="5">
        <v>44188</v>
      </c>
      <c r="AF5652" s="1">
        <v>10038</v>
      </c>
      <c r="AI5652" s="1" t="s">
        <v>111</v>
      </c>
      <c r="AJ5652" s="1">
        <v>2020</v>
      </c>
      <c r="AK5652" s="1" t="s">
        <v>46</v>
      </c>
      <c r="AL5652" s="1">
        <v>244</v>
      </c>
    </row>
    <row r="5653" spans="1:38" x14ac:dyDescent="0.2">
      <c r="A5653" s="2" t="str">
        <f>HYPERLINK("https://www.compass.com/listing/130-william-street-unit-9d-manhattan-ny-10038/642180765649651841/","130 William St, Unit 9D")</f>
        <v>130 William St, Unit 9D</v>
      </c>
      <c r="B5653" s="2" t="str">
        <f t="shared" si="948"/>
        <v>130 William St</v>
      </c>
      <c r="C5653" s="1" t="s">
        <v>96</v>
      </c>
      <c r="D5653" s="1" t="s">
        <v>41</v>
      </c>
      <c r="E5653" s="3">
        <v>1206158</v>
      </c>
      <c r="F5653" s="1">
        <v>1397.6336732329</v>
      </c>
      <c r="G5653" s="1">
        <v>3</v>
      </c>
      <c r="H5653" s="1">
        <v>1</v>
      </c>
      <c r="I5653" s="1">
        <v>1</v>
      </c>
      <c r="J5653" s="1">
        <v>1</v>
      </c>
      <c r="K5653" s="1">
        <v>1</v>
      </c>
      <c r="M5653" s="1">
        <v>863</v>
      </c>
      <c r="N5653" s="1">
        <v>573.23</v>
      </c>
      <c r="O5653" s="1">
        <v>1683.77</v>
      </c>
      <c r="P5653" s="1">
        <v>1110.5</v>
      </c>
      <c r="Q5653" s="1" t="s">
        <v>42</v>
      </c>
      <c r="S5653" s="1" t="s">
        <v>42</v>
      </c>
      <c r="T5653" s="1" t="s">
        <v>273</v>
      </c>
      <c r="U5653" s="1">
        <v>738</v>
      </c>
      <c r="V5653" s="5">
        <v>44223</v>
      </c>
      <c r="W5653" s="5">
        <v>43305</v>
      </c>
      <c r="X5653" s="1">
        <v>1180990</v>
      </c>
      <c r="Y5653" s="1">
        <v>1180990</v>
      </c>
      <c r="Z5653" s="5">
        <v>44138</v>
      </c>
      <c r="AA5653" s="1">
        <v>1206157.8600000001</v>
      </c>
      <c r="AB5653" s="1" t="s">
        <v>3998</v>
      </c>
      <c r="AC5653" s="5">
        <v>44211</v>
      </c>
      <c r="AF5653" s="1">
        <v>10038</v>
      </c>
      <c r="AI5653" s="1" t="s">
        <v>111</v>
      </c>
      <c r="AJ5653" s="1">
        <v>2020</v>
      </c>
      <c r="AK5653" s="1" t="s">
        <v>46</v>
      </c>
      <c r="AL5653" s="1">
        <v>244</v>
      </c>
    </row>
    <row r="5654" spans="1:38" x14ac:dyDescent="0.2">
      <c r="A5654" s="2" t="str">
        <f>HYPERLINK("https://www.compass.com/listing/130-william-street-unit-11a-manhattan-ny-10038/646496770800438465/","130 William St, Unit 11A")</f>
        <v>130 William St, Unit 11A</v>
      </c>
      <c r="B5654" s="2" t="str">
        <f t="shared" si="948"/>
        <v>130 William St</v>
      </c>
      <c r="C5654" s="1" t="s">
        <v>96</v>
      </c>
      <c r="D5654" s="1" t="s">
        <v>41</v>
      </c>
      <c r="E5654" s="3">
        <v>926139</v>
      </c>
      <c r="F5654" s="1">
        <v>1551.3217922947999</v>
      </c>
      <c r="G5654" s="1">
        <v>2</v>
      </c>
      <c r="H5654" s="1" t="s">
        <v>99</v>
      </c>
      <c r="I5654" s="1">
        <v>1</v>
      </c>
      <c r="J5654" s="1">
        <v>1</v>
      </c>
      <c r="K5654" s="1">
        <v>1</v>
      </c>
      <c r="M5654" s="1">
        <v>597</v>
      </c>
      <c r="N5654" s="1">
        <v>396.22</v>
      </c>
      <c r="O5654" s="1">
        <v>1163.8399999999999</v>
      </c>
      <c r="P5654" s="1">
        <v>767.58333333333303</v>
      </c>
      <c r="Q5654" s="1" t="s">
        <v>42</v>
      </c>
      <c r="S5654" s="1" t="s">
        <v>42</v>
      </c>
      <c r="T5654" s="1" t="s">
        <v>273</v>
      </c>
      <c r="U5654" s="1">
        <v>741</v>
      </c>
      <c r="V5654" s="5">
        <v>44223</v>
      </c>
      <c r="W5654" s="5">
        <v>43308</v>
      </c>
      <c r="X5654" s="1">
        <v>905990</v>
      </c>
      <c r="Y5654" s="1">
        <v>905990</v>
      </c>
      <c r="Z5654" s="5">
        <v>44144</v>
      </c>
      <c r="AA5654" s="1">
        <v>926139.11</v>
      </c>
      <c r="AB5654" s="1" t="s">
        <v>3999</v>
      </c>
      <c r="AC5654" s="5">
        <v>44207</v>
      </c>
      <c r="AF5654" s="1">
        <v>10038</v>
      </c>
      <c r="AI5654" s="1" t="s">
        <v>111</v>
      </c>
      <c r="AJ5654" s="1">
        <v>2020</v>
      </c>
      <c r="AK5654" s="1" t="s">
        <v>46</v>
      </c>
      <c r="AL5654" s="1">
        <v>244</v>
      </c>
    </row>
    <row r="5655" spans="1:38" x14ac:dyDescent="0.2">
      <c r="A5655" s="2" t="str">
        <f>HYPERLINK("https://www.compass.com/listing/130-william-street-unit-15a-manhattan-ny-10038/646516867531520825/","130 William St, Unit 15A")</f>
        <v>130 William St, Unit 15A</v>
      </c>
      <c r="B5655" s="2" t="str">
        <f t="shared" si="948"/>
        <v>130 William St</v>
      </c>
      <c r="C5655" s="1" t="s">
        <v>96</v>
      </c>
      <c r="D5655" s="1" t="s">
        <v>41</v>
      </c>
      <c r="E5655" s="3">
        <v>921048</v>
      </c>
      <c r="F5655" s="1">
        <v>1480.78434083601</v>
      </c>
      <c r="G5655" s="1">
        <v>2</v>
      </c>
      <c r="H5655" s="1" t="s">
        <v>99</v>
      </c>
      <c r="I5655" s="1">
        <v>1</v>
      </c>
      <c r="J5655" s="1">
        <v>1</v>
      </c>
      <c r="K5655" s="1">
        <v>1</v>
      </c>
      <c r="M5655" s="1">
        <v>622</v>
      </c>
      <c r="N5655" s="1">
        <v>415.06</v>
      </c>
      <c r="O5655" s="1">
        <v>1219.17</v>
      </c>
      <c r="P5655" s="1">
        <v>804.08333333333303</v>
      </c>
      <c r="Q5655" s="1" t="s">
        <v>42</v>
      </c>
      <c r="S5655" s="1" t="s">
        <v>42</v>
      </c>
      <c r="T5655" s="1" t="s">
        <v>273</v>
      </c>
      <c r="U5655" s="1">
        <v>765</v>
      </c>
      <c r="V5655" s="5">
        <v>44223</v>
      </c>
      <c r="W5655" s="5">
        <v>43284</v>
      </c>
      <c r="X5655" s="1">
        <v>900990</v>
      </c>
      <c r="Y5655" s="1">
        <v>900990</v>
      </c>
      <c r="Z5655" s="5">
        <v>44144</v>
      </c>
      <c r="AA5655" s="1">
        <v>921047.86</v>
      </c>
      <c r="AB5655" s="1" t="s">
        <v>4000</v>
      </c>
      <c r="AC5655" s="5">
        <v>44181</v>
      </c>
      <c r="AF5655" s="1">
        <v>10038</v>
      </c>
      <c r="AI5655" s="1" t="s">
        <v>111</v>
      </c>
      <c r="AJ5655" s="1">
        <v>2020</v>
      </c>
      <c r="AK5655" s="1" t="s">
        <v>46</v>
      </c>
      <c r="AL5655" s="1">
        <v>244</v>
      </c>
    </row>
    <row r="5656" spans="1:38" x14ac:dyDescent="0.2">
      <c r="A5656" s="2" t="str">
        <f>HYPERLINK("https://www.compass.com/listing/130-william-street-unit-12a-manhattan-ny-10038/652332054445720449/","130 William St, Unit 12A")</f>
        <v>130 William St, Unit 12A</v>
      </c>
      <c r="B5656" s="2" t="str">
        <f t="shared" si="948"/>
        <v>130 William St</v>
      </c>
      <c r="C5656" s="1" t="s">
        <v>96</v>
      </c>
      <c r="D5656" s="1" t="s">
        <v>41</v>
      </c>
      <c r="E5656" s="3">
        <v>936322</v>
      </c>
      <c r="F5656" s="1">
        <v>1505.34020900321</v>
      </c>
      <c r="G5656" s="1">
        <v>2</v>
      </c>
      <c r="H5656" s="1" t="s">
        <v>99</v>
      </c>
      <c r="I5656" s="1">
        <v>1</v>
      </c>
      <c r="J5656" s="1">
        <v>1</v>
      </c>
      <c r="K5656" s="1">
        <v>1</v>
      </c>
      <c r="M5656" s="1">
        <v>622</v>
      </c>
      <c r="N5656" s="1">
        <v>413.24</v>
      </c>
      <c r="O5656" s="1">
        <v>1213.83</v>
      </c>
      <c r="P5656" s="1">
        <v>800.58333333333303</v>
      </c>
      <c r="Q5656" s="1" t="s">
        <v>42</v>
      </c>
      <c r="S5656" s="1" t="s">
        <v>42</v>
      </c>
      <c r="T5656" s="1" t="s">
        <v>273</v>
      </c>
      <c r="U5656" s="1">
        <v>750</v>
      </c>
      <c r="V5656" s="5">
        <v>44152</v>
      </c>
      <c r="W5656" s="5">
        <v>43307</v>
      </c>
      <c r="X5656" s="1">
        <v>915990</v>
      </c>
      <c r="Y5656" s="1">
        <v>915990</v>
      </c>
      <c r="Z5656" s="5">
        <v>44152</v>
      </c>
      <c r="AA5656" s="1">
        <v>936321.61</v>
      </c>
      <c r="AB5656" s="1" t="s">
        <v>4001</v>
      </c>
      <c r="AC5656" s="5">
        <v>44180</v>
      </c>
      <c r="AF5656" s="1">
        <v>10038</v>
      </c>
      <c r="AI5656" s="1" t="s">
        <v>111</v>
      </c>
      <c r="AJ5656" s="1">
        <v>2020</v>
      </c>
      <c r="AK5656" s="1" t="s">
        <v>46</v>
      </c>
      <c r="AL5656" s="1">
        <v>244</v>
      </c>
    </row>
    <row r="5657" spans="1:38" x14ac:dyDescent="0.2">
      <c r="A5657" s="2" t="str">
        <f>HYPERLINK("https://www.compass.com/listing/130-william-street-unit-16a-manhattan-ny-10038/652333660939447633/","130 William St, Unit 16A")</f>
        <v>130 William St, Unit 16A</v>
      </c>
      <c r="B5657" s="2" t="str">
        <f t="shared" si="948"/>
        <v>130 William St</v>
      </c>
      <c r="C5657" s="1" t="s">
        <v>96</v>
      </c>
      <c r="D5657" s="1" t="s">
        <v>41</v>
      </c>
      <c r="E5657" s="3">
        <v>931230</v>
      </c>
      <c r="F5657" s="1">
        <v>1497.15491961414</v>
      </c>
      <c r="G5657" s="1">
        <v>2</v>
      </c>
      <c r="H5657" s="1" t="s">
        <v>99</v>
      </c>
      <c r="I5657" s="1">
        <v>1</v>
      </c>
      <c r="J5657" s="1">
        <v>1</v>
      </c>
      <c r="K5657" s="1">
        <v>1</v>
      </c>
      <c r="M5657" s="1">
        <v>622</v>
      </c>
      <c r="N5657" s="1">
        <v>805.86</v>
      </c>
      <c r="O5657" s="1">
        <v>1221.83</v>
      </c>
      <c r="P5657" s="1">
        <v>416</v>
      </c>
      <c r="Q5657" s="1" t="s">
        <v>42</v>
      </c>
      <c r="S5657" s="1" t="s">
        <v>42</v>
      </c>
      <c r="T5657" s="1" t="s">
        <v>273</v>
      </c>
      <c r="U5657" s="1">
        <v>764</v>
      </c>
      <c r="V5657" s="5">
        <v>44334</v>
      </c>
      <c r="W5657" s="5">
        <v>43293</v>
      </c>
      <c r="X5657" s="1">
        <v>910990</v>
      </c>
      <c r="Y5657" s="1">
        <v>910990</v>
      </c>
      <c r="Z5657" s="5">
        <v>44152</v>
      </c>
      <c r="AA5657" s="1">
        <v>931230.36</v>
      </c>
      <c r="AB5657" s="1" t="s">
        <v>4002</v>
      </c>
      <c r="AC5657" s="5">
        <v>44326</v>
      </c>
      <c r="AF5657" s="1">
        <v>10038</v>
      </c>
      <c r="AI5657" s="1" t="s">
        <v>111</v>
      </c>
      <c r="AJ5657" s="1">
        <v>2020</v>
      </c>
      <c r="AK5657" s="1" t="s">
        <v>46</v>
      </c>
      <c r="AL5657" s="1">
        <v>244</v>
      </c>
    </row>
    <row r="5658" spans="1:38" x14ac:dyDescent="0.2">
      <c r="A5658" s="2" t="str">
        <f>HYPERLINK("https://www.compass.com/listing/130-william-street-unit-8e-manhattan-ny-10038/668892159348284313/","130 William St, Unit 8E")</f>
        <v>130 William St, Unit 8E</v>
      </c>
      <c r="B5658" s="2" t="str">
        <f t="shared" si="948"/>
        <v>130 William St</v>
      </c>
      <c r="C5658" s="1" t="s">
        <v>96</v>
      </c>
      <c r="D5658" s="1" t="s">
        <v>41</v>
      </c>
      <c r="E5658" s="3">
        <v>803950</v>
      </c>
      <c r="F5658" s="1">
        <v>1843.92201834862</v>
      </c>
      <c r="G5658" s="1">
        <v>2</v>
      </c>
      <c r="H5658" s="1" t="s">
        <v>99</v>
      </c>
      <c r="I5658" s="1">
        <v>1</v>
      </c>
      <c r="J5658" s="1">
        <v>1</v>
      </c>
      <c r="K5658" s="1">
        <v>1</v>
      </c>
      <c r="M5658" s="1">
        <v>436</v>
      </c>
      <c r="N5658" s="1">
        <v>291.83999999999997</v>
      </c>
      <c r="O5658" s="1">
        <v>857.22</v>
      </c>
      <c r="P5658" s="1">
        <v>565.41666666666595</v>
      </c>
      <c r="Q5658" s="1" t="s">
        <v>42</v>
      </c>
      <c r="S5658" s="1" t="s">
        <v>42</v>
      </c>
      <c r="T5658" s="1" t="s">
        <v>273</v>
      </c>
      <c r="U5658" s="1">
        <v>633</v>
      </c>
      <c r="V5658" s="5">
        <v>44405</v>
      </c>
      <c r="W5658" s="5">
        <v>43447</v>
      </c>
      <c r="X5658" s="1">
        <v>785990</v>
      </c>
      <c r="Y5658" s="1">
        <v>785990</v>
      </c>
      <c r="Z5658" s="5">
        <v>44175</v>
      </c>
      <c r="AA5658" s="1">
        <v>803950</v>
      </c>
      <c r="AB5658" s="1" t="s">
        <v>275</v>
      </c>
      <c r="AC5658" s="5">
        <v>44400</v>
      </c>
      <c r="AF5658" s="1">
        <v>10038</v>
      </c>
      <c r="AI5658" s="1" t="s">
        <v>111</v>
      </c>
      <c r="AJ5658" s="1">
        <v>2020</v>
      </c>
      <c r="AK5658" s="1" t="s">
        <v>46</v>
      </c>
      <c r="AL5658" s="1">
        <v>244</v>
      </c>
    </row>
    <row r="5659" spans="1:38" x14ac:dyDescent="0.2">
      <c r="A5659" s="2" t="str">
        <f>HYPERLINK("https://www.compass.com/listing/130-william-street-unit-19d-manhattan-ny-10038/725379272819347097/","130 William St, Unit 19D")</f>
        <v>130 William St, Unit 19D</v>
      </c>
      <c r="B5659" s="2" t="str">
        <f t="shared" si="948"/>
        <v>130 William St</v>
      </c>
      <c r="C5659" s="1" t="s">
        <v>96</v>
      </c>
      <c r="D5659" s="1" t="s">
        <v>41</v>
      </c>
      <c r="E5659" s="3">
        <v>758127</v>
      </c>
      <c r="F5659" s="1">
        <v>1742.8206896551701</v>
      </c>
      <c r="G5659" s="1">
        <v>2</v>
      </c>
      <c r="H5659" s="1" t="s">
        <v>99</v>
      </c>
      <c r="I5659" s="1">
        <v>1</v>
      </c>
      <c r="J5659" s="1">
        <v>1</v>
      </c>
      <c r="K5659" s="1">
        <v>1</v>
      </c>
      <c r="M5659" s="1">
        <v>435</v>
      </c>
      <c r="N5659" s="1">
        <v>300</v>
      </c>
      <c r="O5659" s="1">
        <v>881.21</v>
      </c>
      <c r="P5659" s="1">
        <v>581.25</v>
      </c>
      <c r="Q5659" s="1" t="s">
        <v>42</v>
      </c>
      <c r="S5659" s="1" t="s">
        <v>42</v>
      </c>
      <c r="T5659" s="1" t="s">
        <v>273</v>
      </c>
      <c r="U5659" s="1">
        <v>879</v>
      </c>
      <c r="V5659" s="5">
        <v>44405</v>
      </c>
      <c r="W5659" s="5">
        <v>43279</v>
      </c>
      <c r="X5659" s="1">
        <v>740990</v>
      </c>
      <c r="Y5659" s="1">
        <v>740990</v>
      </c>
      <c r="Z5659" s="5">
        <v>44253</v>
      </c>
      <c r="AA5659" s="1">
        <v>758127</v>
      </c>
      <c r="AB5659" s="1" t="s">
        <v>275</v>
      </c>
      <c r="AC5659" s="5">
        <v>44400</v>
      </c>
      <c r="AF5659" s="1">
        <v>10038</v>
      </c>
      <c r="AI5659" s="1" t="s">
        <v>111</v>
      </c>
      <c r="AJ5659" s="1">
        <v>2020</v>
      </c>
      <c r="AK5659" s="1" t="s">
        <v>46</v>
      </c>
      <c r="AL5659" s="1">
        <v>244</v>
      </c>
    </row>
    <row r="5660" spans="1:38" x14ac:dyDescent="0.2">
      <c r="A5660" s="2" t="str">
        <f>HYPERLINK("https://www.compass.com/listing/130-william-street-unit-21d-manhattan-ny-10038/728234891835090801/","130 William St, Unit 21D")</f>
        <v>130 William St, Unit 21D</v>
      </c>
      <c r="B5660" s="2" t="str">
        <f t="shared" si="948"/>
        <v>130 William St</v>
      </c>
      <c r="C5660" s="1" t="s">
        <v>96</v>
      </c>
      <c r="D5660" s="1" t="s">
        <v>41</v>
      </c>
      <c r="E5660" s="3">
        <v>814131</v>
      </c>
      <c r="F5660" s="1">
        <v>1871.5655172413699</v>
      </c>
      <c r="G5660" s="1">
        <v>2</v>
      </c>
      <c r="H5660" s="1" t="s">
        <v>99</v>
      </c>
      <c r="I5660" s="1">
        <v>1</v>
      </c>
      <c r="J5660" s="1">
        <v>1</v>
      </c>
      <c r="K5660" s="1">
        <v>1</v>
      </c>
      <c r="M5660" s="1">
        <v>435</v>
      </c>
      <c r="N5660" s="1">
        <v>301.82</v>
      </c>
      <c r="O5660" s="1">
        <v>886.54</v>
      </c>
      <c r="P5660" s="1">
        <v>584.75</v>
      </c>
      <c r="Q5660" s="1" t="s">
        <v>42</v>
      </c>
      <c r="S5660" s="1" t="s">
        <v>42</v>
      </c>
      <c r="T5660" s="1" t="s">
        <v>273</v>
      </c>
      <c r="U5660" s="1">
        <v>821</v>
      </c>
      <c r="V5660" s="5">
        <v>44405</v>
      </c>
      <c r="W5660" s="5">
        <v>43341</v>
      </c>
      <c r="X5660" s="1">
        <v>795990</v>
      </c>
      <c r="Y5660" s="1">
        <v>795990</v>
      </c>
      <c r="Z5660" s="5">
        <v>44257</v>
      </c>
      <c r="AA5660" s="1">
        <v>814131</v>
      </c>
      <c r="AB5660" s="1" t="s">
        <v>275</v>
      </c>
      <c r="AC5660" s="5">
        <v>44403</v>
      </c>
      <c r="AF5660" s="1">
        <v>10038</v>
      </c>
      <c r="AI5660" s="1" t="s">
        <v>111</v>
      </c>
      <c r="AJ5660" s="1">
        <v>2020</v>
      </c>
      <c r="AK5660" s="1" t="s">
        <v>46</v>
      </c>
      <c r="AL5660" s="1">
        <v>244</v>
      </c>
    </row>
    <row r="5661" spans="1:38" x14ac:dyDescent="0.2">
      <c r="A5661" s="2" t="str">
        <f>HYPERLINK("https://www.compass.com/listing/130-william-street-unit-10a-manhattan-ny-10038/96063434042402689/","130 William St, Unit 10A")</f>
        <v>130 William St, Unit 10A</v>
      </c>
      <c r="B5661" s="2" t="str">
        <f t="shared" si="948"/>
        <v>130 William St</v>
      </c>
      <c r="C5661" s="1" t="s">
        <v>96</v>
      </c>
      <c r="D5661" s="1" t="s">
        <v>41</v>
      </c>
      <c r="E5661" s="3">
        <v>956687</v>
      </c>
      <c r="F5661" s="1">
        <v>1602.49013400335</v>
      </c>
      <c r="G5661" s="1">
        <v>2</v>
      </c>
      <c r="H5661" s="1" t="s">
        <v>99</v>
      </c>
      <c r="I5661" s="1">
        <v>1</v>
      </c>
      <c r="J5661" s="1">
        <v>1</v>
      </c>
      <c r="K5661" s="1">
        <v>1</v>
      </c>
      <c r="M5661" s="1">
        <v>597</v>
      </c>
      <c r="N5661" s="1">
        <v>395.32</v>
      </c>
      <c r="O5661" s="1">
        <v>1161.18</v>
      </c>
      <c r="P5661" s="1">
        <v>765.83333333333303</v>
      </c>
      <c r="Q5661" s="1" t="s">
        <v>42</v>
      </c>
      <c r="S5661" s="1" t="s">
        <v>42</v>
      </c>
      <c r="T5661" s="1" t="s">
        <v>273</v>
      </c>
      <c r="V5661" s="5">
        <v>44266</v>
      </c>
      <c r="W5661" s="5">
        <v>43383</v>
      </c>
      <c r="X5661" s="1">
        <v>935990</v>
      </c>
      <c r="Y5661" s="1">
        <v>935990</v>
      </c>
      <c r="Z5661" s="5">
        <v>44138</v>
      </c>
      <c r="AA5661" s="1">
        <v>956686.61</v>
      </c>
      <c r="AB5661" s="1" t="s">
        <v>4003</v>
      </c>
      <c r="AC5661" s="5">
        <v>44239</v>
      </c>
      <c r="AF5661" s="1">
        <v>10038</v>
      </c>
      <c r="AI5661" s="1" t="s">
        <v>111</v>
      </c>
      <c r="AJ5661" s="1">
        <v>2020</v>
      </c>
      <c r="AK5661" s="1" t="s">
        <v>46</v>
      </c>
      <c r="AL5661" s="1">
        <v>244</v>
      </c>
    </row>
    <row r="5662" spans="1:38" x14ac:dyDescent="0.2">
      <c r="A5662" s="2" t="str">
        <f>HYPERLINK("https://www.compass.com/listing/130-william-street-unit-10e-manhattan-ny-10038/96193172404730641/","130 William St, Unit 10E")</f>
        <v>130 William St, Unit 10E</v>
      </c>
      <c r="B5662" s="2" t="str">
        <f t="shared" si="948"/>
        <v>130 William St</v>
      </c>
      <c r="C5662" s="1" t="s">
        <v>96</v>
      </c>
      <c r="D5662" s="1" t="s">
        <v>41</v>
      </c>
      <c r="E5662" s="3">
        <v>814132</v>
      </c>
      <c r="F5662" s="1">
        <v>1867.2743348623801</v>
      </c>
      <c r="G5662" s="1">
        <v>2</v>
      </c>
      <c r="H5662" s="1" t="s">
        <v>99</v>
      </c>
      <c r="I5662" s="1">
        <v>1</v>
      </c>
      <c r="J5662" s="1">
        <v>1</v>
      </c>
      <c r="K5662" s="1">
        <v>1</v>
      </c>
      <c r="M5662" s="1">
        <v>436</v>
      </c>
      <c r="N5662" s="1">
        <v>293.42</v>
      </c>
      <c r="O5662" s="1">
        <v>861.88</v>
      </c>
      <c r="P5662" s="1">
        <v>568.5</v>
      </c>
      <c r="Q5662" s="1" t="s">
        <v>42</v>
      </c>
      <c r="S5662" s="1" t="s">
        <v>42</v>
      </c>
      <c r="T5662" s="1" t="s">
        <v>273</v>
      </c>
      <c r="V5662" s="5">
        <v>44412</v>
      </c>
      <c r="W5662" s="5">
        <v>43383</v>
      </c>
      <c r="X5662" s="1">
        <v>795990</v>
      </c>
      <c r="Y5662" s="1">
        <v>795990</v>
      </c>
      <c r="Z5662" s="5">
        <v>44180</v>
      </c>
      <c r="AA5662" s="1">
        <v>814131.61</v>
      </c>
      <c r="AB5662" s="1" t="s">
        <v>4004</v>
      </c>
      <c r="AC5662" s="5">
        <v>44399</v>
      </c>
      <c r="AF5662" s="1">
        <v>10038</v>
      </c>
      <c r="AI5662" s="1" t="s">
        <v>265</v>
      </c>
      <c r="AJ5662" s="1">
        <v>2020</v>
      </c>
      <c r="AK5662" s="1" t="s">
        <v>46</v>
      </c>
      <c r="AL5662" s="1">
        <v>244</v>
      </c>
    </row>
    <row r="5663" spans="1:38" x14ac:dyDescent="0.2">
      <c r="A5663" s="2" t="str">
        <f>HYPERLINK("https://www.compass.com/listing/5-beekman-street-unit-41aa-manhattan-ny-10038/23228985806775761/","5 Beekman St, Unit 41AA")</f>
        <v>5 Beekman St, Unit 41AA</v>
      </c>
      <c r="B5663" s="2" t="str">
        <f>HYPERLINK("https://www.compass.com/building/the-beekman-residences-manhattan-ny/282030567363458613/","The Beekman Residences")</f>
        <v>The Beekman Residences</v>
      </c>
      <c r="C5663" s="1" t="s">
        <v>96</v>
      </c>
      <c r="D5663" s="1" t="s">
        <v>41</v>
      </c>
      <c r="E5663" s="3">
        <v>3150000</v>
      </c>
      <c r="F5663" s="1">
        <v>1939.6551724137901</v>
      </c>
      <c r="G5663" s="1">
        <v>4</v>
      </c>
      <c r="H5663" s="1">
        <v>2</v>
      </c>
      <c r="I5663" s="1">
        <v>2</v>
      </c>
      <c r="J5663" s="1">
        <v>2.5</v>
      </c>
      <c r="K5663" s="1">
        <v>2</v>
      </c>
      <c r="L5663" s="1">
        <v>1</v>
      </c>
      <c r="M5663" s="4">
        <v>1624</v>
      </c>
      <c r="N5663" s="1">
        <v>2254</v>
      </c>
      <c r="O5663" s="1">
        <v>5066</v>
      </c>
      <c r="P5663" s="1">
        <v>2812</v>
      </c>
      <c r="Q5663" s="1" t="s">
        <v>42</v>
      </c>
      <c r="S5663" s="1" t="s">
        <v>42</v>
      </c>
      <c r="T5663" s="1" t="s">
        <v>273</v>
      </c>
      <c r="U5663" s="1">
        <v>83</v>
      </c>
      <c r="V5663" s="5">
        <v>43647</v>
      </c>
      <c r="W5663" s="5">
        <v>43201</v>
      </c>
      <c r="X5663" s="1">
        <v>3795000</v>
      </c>
      <c r="Y5663" s="1">
        <v>3395000</v>
      </c>
      <c r="Z5663" s="5">
        <v>43284</v>
      </c>
      <c r="AA5663" s="1">
        <v>3150000</v>
      </c>
      <c r="AB5663" s="1" t="s">
        <v>275</v>
      </c>
      <c r="AC5663" s="5">
        <v>43334</v>
      </c>
      <c r="AF5663" s="1">
        <v>10038</v>
      </c>
      <c r="AI5663" s="1" t="s">
        <v>101</v>
      </c>
      <c r="AJ5663" s="1">
        <v>2015</v>
      </c>
      <c r="AK5663" s="1" t="s">
        <v>46</v>
      </c>
      <c r="AL5663" s="1">
        <v>67</v>
      </c>
    </row>
    <row r="5664" spans="1:38" x14ac:dyDescent="0.2">
      <c r="A5664" s="2" t="str">
        <f>HYPERLINK("https://www.compass.com/listing/252-south-street-unit-41b-manhattan-ny-10002/814562335567902681/","252 South St, Unit 41B")</f>
        <v>252 South St, Unit 41B</v>
      </c>
      <c r="B5664" s="2" t="str">
        <f>HYPERLINK("https://www.compass.com/building/one-manhattan-square-manhattan-ny/294844950218926165/","One Manhattan Square")</f>
        <v>One Manhattan Square</v>
      </c>
      <c r="C5664" s="1" t="s">
        <v>47</v>
      </c>
      <c r="D5664" s="1" t="s">
        <v>41</v>
      </c>
      <c r="E5664" s="3">
        <v>1923401</v>
      </c>
      <c r="F5664" s="1">
        <v>1840.57535885167</v>
      </c>
      <c r="G5664" s="1">
        <v>4</v>
      </c>
      <c r="H5664" s="1">
        <v>2</v>
      </c>
      <c r="I5664" s="1">
        <v>2</v>
      </c>
      <c r="J5664" s="1">
        <v>2</v>
      </c>
      <c r="K5664" s="1">
        <v>2</v>
      </c>
      <c r="M5664" s="4">
        <v>1045</v>
      </c>
      <c r="N5664" s="1">
        <v>1299</v>
      </c>
      <c r="O5664" s="1">
        <v>1319</v>
      </c>
      <c r="P5664" s="1">
        <v>20</v>
      </c>
      <c r="Q5664" s="1" t="s">
        <v>42</v>
      </c>
      <c r="S5664" s="1" t="s">
        <v>42</v>
      </c>
      <c r="T5664" s="1" t="s">
        <v>273</v>
      </c>
      <c r="U5664" s="1">
        <v>4</v>
      </c>
      <c r="V5664" s="5">
        <v>44376</v>
      </c>
      <c r="W5664" s="5">
        <v>44372</v>
      </c>
      <c r="X5664" s="1">
        <v>2344000</v>
      </c>
      <c r="Y5664" s="1">
        <v>2344000</v>
      </c>
      <c r="Z5664" s="5">
        <v>44376</v>
      </c>
      <c r="AA5664" s="1">
        <v>1923401.25</v>
      </c>
      <c r="AB5664" s="1" t="s">
        <v>4005</v>
      </c>
      <c r="AC5664" s="5">
        <v>44400</v>
      </c>
      <c r="AF5664" s="1">
        <v>10002</v>
      </c>
      <c r="AI5664" s="1" t="s">
        <v>246</v>
      </c>
      <c r="AJ5664" s="1">
        <v>2019</v>
      </c>
      <c r="AK5664" s="1" t="s">
        <v>46</v>
      </c>
      <c r="AL5664" s="1">
        <v>787</v>
      </c>
    </row>
    <row r="5665" spans="1:38" x14ac:dyDescent="0.2">
      <c r="A5665" s="2" t="str">
        <f>HYPERLINK("https://www.compass.com/listing/5-beekman-street-unit-22a-manhattan-ny-10038/4829887517387925921/","5 Beekman St, Unit 22A")</f>
        <v>5 Beekman St, Unit 22A</v>
      </c>
      <c r="B5665" s="2" t="str">
        <f>HYPERLINK("https://www.compass.com/building/the-beekman-residences-manhattan-ny/282030567363458613/","The Beekman Residences")</f>
        <v>The Beekman Residences</v>
      </c>
      <c r="C5665" s="1" t="s">
        <v>96</v>
      </c>
      <c r="D5665" s="1" t="s">
        <v>41</v>
      </c>
      <c r="E5665" s="3">
        <v>2850000</v>
      </c>
      <c r="F5665" s="1">
        <v>1753.8461538461499</v>
      </c>
      <c r="G5665" s="1">
        <v>4</v>
      </c>
      <c r="H5665" s="1">
        <v>2</v>
      </c>
      <c r="I5665" s="1">
        <v>3</v>
      </c>
      <c r="J5665" s="1">
        <v>2.5</v>
      </c>
      <c r="K5665" s="1">
        <v>2</v>
      </c>
      <c r="L5665" s="1">
        <v>1</v>
      </c>
      <c r="M5665" s="4">
        <v>1625</v>
      </c>
      <c r="N5665" s="1">
        <v>2254</v>
      </c>
      <c r="O5665" s="1">
        <v>5107</v>
      </c>
      <c r="P5665" s="1">
        <v>2853</v>
      </c>
      <c r="Q5665" s="1" t="s">
        <v>42</v>
      </c>
      <c r="S5665" s="1" t="s">
        <v>42</v>
      </c>
      <c r="T5665" s="1" t="s">
        <v>273</v>
      </c>
      <c r="U5665" s="1">
        <v>284</v>
      </c>
      <c r="V5665" s="5">
        <v>44387</v>
      </c>
      <c r="W5665" s="5">
        <v>42825</v>
      </c>
      <c r="X5665" s="1">
        <v>2850000</v>
      </c>
      <c r="Y5665" s="1">
        <v>2850000</v>
      </c>
      <c r="Z5665" s="5">
        <v>43109</v>
      </c>
      <c r="AA5665" s="1">
        <v>2850000</v>
      </c>
      <c r="AB5665" s="1" t="s">
        <v>275</v>
      </c>
      <c r="AC5665" s="5">
        <v>43188</v>
      </c>
      <c r="AF5665" s="1">
        <v>10038</v>
      </c>
      <c r="AI5665" s="1" t="s">
        <v>61</v>
      </c>
      <c r="AJ5665" s="1">
        <v>2015</v>
      </c>
      <c r="AK5665" s="1" t="s">
        <v>49</v>
      </c>
      <c r="AL5665" s="1">
        <v>67</v>
      </c>
    </row>
    <row r="5666" spans="1:38" x14ac:dyDescent="0.2">
      <c r="A5666" s="2" t="str">
        <f>HYPERLINK("https://www.compass.com/listing/50-west-street-unit-8c-manhattan-ny-10006/50846300970687665/","50 West St, Unit 8C")</f>
        <v>50 West St, Unit 8C</v>
      </c>
      <c r="B5666" s="2" t="str">
        <f>HYPERLINK("https://www.compass.com/building/50-west-st-manhattan-ny-10006/281896342152815429/","50 West St")</f>
        <v>50 West St</v>
      </c>
      <c r="C5666" s="1" t="s">
        <v>96</v>
      </c>
      <c r="D5666" s="1" t="s">
        <v>41</v>
      </c>
      <c r="E5666" s="3">
        <v>1863398</v>
      </c>
      <c r="F5666" s="1">
        <v>1783.1559808612401</v>
      </c>
      <c r="G5666" s="1">
        <v>3</v>
      </c>
      <c r="H5666" s="1">
        <v>1</v>
      </c>
      <c r="I5666" s="1">
        <v>1</v>
      </c>
      <c r="J5666" s="1">
        <v>1</v>
      </c>
      <c r="K5666" s="1">
        <v>1</v>
      </c>
      <c r="M5666" s="4">
        <v>1045</v>
      </c>
      <c r="N5666" s="1">
        <v>1141.97</v>
      </c>
      <c r="O5666" s="1">
        <v>2415.4</v>
      </c>
      <c r="P5666" s="1">
        <v>1273.4166666666599</v>
      </c>
      <c r="Q5666" s="1" t="s">
        <v>42</v>
      </c>
      <c r="S5666" s="1" t="s">
        <v>42</v>
      </c>
      <c r="T5666" s="1" t="s">
        <v>273</v>
      </c>
      <c r="U5666" s="1">
        <v>100</v>
      </c>
      <c r="V5666" s="5">
        <v>43676</v>
      </c>
      <c r="W5666" s="5">
        <v>41928</v>
      </c>
      <c r="X5666" s="1">
        <v>1830000</v>
      </c>
      <c r="Y5666" s="1">
        <v>1830000</v>
      </c>
      <c r="Z5666" s="5">
        <v>42028</v>
      </c>
      <c r="AA5666" s="1">
        <v>1863398</v>
      </c>
      <c r="AB5666" s="1" t="s">
        <v>4006</v>
      </c>
      <c r="AC5666" s="5">
        <v>42935</v>
      </c>
      <c r="AF5666" s="1">
        <v>10006</v>
      </c>
      <c r="AI5666" s="1" t="s">
        <v>97</v>
      </c>
      <c r="AJ5666" s="1">
        <v>2016</v>
      </c>
      <c r="AK5666" s="1" t="s">
        <v>46</v>
      </c>
      <c r="AL5666" s="1">
        <v>186</v>
      </c>
    </row>
    <row r="5667" spans="1:38" x14ac:dyDescent="0.2">
      <c r="A5667" s="2" t="str">
        <f>HYPERLINK("https://www.compass.com/listing/130-william-street-unit-48b-manhattan-ny-10038/759168095512743521/","130 William St, Unit 48B")</f>
        <v>130 William St, Unit 48B</v>
      </c>
      <c r="B5667" s="2" t="str">
        <f>HYPERLINK("https://www.compass.com/building/130-william-st-manhattan-ny-10038/282029682239486757/","130 William St")</f>
        <v>130 William St</v>
      </c>
      <c r="C5667" s="1" t="s">
        <v>96</v>
      </c>
      <c r="D5667" s="1" t="s">
        <v>41</v>
      </c>
      <c r="E5667" s="3">
        <v>1822199</v>
      </c>
      <c r="F5667" s="1">
        <v>2244.0875738916202</v>
      </c>
      <c r="G5667" s="1">
        <v>3</v>
      </c>
      <c r="H5667" s="1">
        <v>1</v>
      </c>
      <c r="I5667" s="1">
        <v>1</v>
      </c>
      <c r="J5667" s="1">
        <v>1</v>
      </c>
      <c r="K5667" s="1">
        <v>1</v>
      </c>
      <c r="M5667" s="1">
        <v>812</v>
      </c>
      <c r="N5667" s="1">
        <v>593</v>
      </c>
      <c r="O5667" s="1">
        <v>1741</v>
      </c>
      <c r="P5667" s="1">
        <v>1148</v>
      </c>
      <c r="Q5667" s="1" t="s">
        <v>42</v>
      </c>
      <c r="S5667" s="1" t="s">
        <v>42</v>
      </c>
      <c r="T5667" s="1" t="s">
        <v>273</v>
      </c>
      <c r="U5667" s="1">
        <v>25</v>
      </c>
      <c r="V5667" s="5">
        <v>44416</v>
      </c>
      <c r="W5667" s="5">
        <v>44323</v>
      </c>
      <c r="X5667" s="1">
        <v>1785990</v>
      </c>
      <c r="Y5667" s="1">
        <v>1785990</v>
      </c>
      <c r="AA5667" s="1">
        <v>1822199.11</v>
      </c>
      <c r="AB5667" s="1" t="s">
        <v>4007</v>
      </c>
      <c r="AC5667" s="5">
        <v>44348</v>
      </c>
      <c r="AF5667" s="1">
        <v>10038</v>
      </c>
      <c r="AI5667" s="1" t="s">
        <v>111</v>
      </c>
      <c r="AJ5667" s="1">
        <v>2020</v>
      </c>
      <c r="AK5667" s="1" t="s">
        <v>46</v>
      </c>
      <c r="AL5667" s="1">
        <v>244</v>
      </c>
    </row>
    <row r="5668" spans="1:38" x14ac:dyDescent="0.2">
      <c r="A5668" s="2" t="str">
        <f>HYPERLINK("https://www.compass.com/listing/50-west-street-unit-16a-manhattan-ny-10006/50848007968562081/","50 West St, Unit 16A")</f>
        <v>50 West St, Unit 16A</v>
      </c>
      <c r="B5668" s="2" t="str">
        <f>HYPERLINK("https://www.compass.com/building/50-west-st-manhattan-ny-10006/281896342152815429/","50 West St")</f>
        <v>50 West St</v>
      </c>
      <c r="C5668" s="1" t="s">
        <v>96</v>
      </c>
      <c r="D5668" s="1" t="s">
        <v>41</v>
      </c>
      <c r="E5668" s="3">
        <v>1644474</v>
      </c>
      <c r="F5668" s="1">
        <v>1409.14652956298</v>
      </c>
      <c r="G5668" s="1">
        <v>3</v>
      </c>
      <c r="H5668" s="1">
        <v>1</v>
      </c>
      <c r="I5668" s="1">
        <v>2</v>
      </c>
      <c r="J5668" s="1">
        <v>1.5</v>
      </c>
      <c r="K5668" s="1">
        <v>1</v>
      </c>
      <c r="L5668" s="1">
        <v>1</v>
      </c>
      <c r="M5668" s="4">
        <v>1167</v>
      </c>
      <c r="N5668" s="1">
        <v>1317.97</v>
      </c>
      <c r="O5668" s="1">
        <v>2787.65</v>
      </c>
      <c r="P5668" s="1">
        <v>1469.6666666666599</v>
      </c>
      <c r="Q5668" s="1" t="s">
        <v>42</v>
      </c>
      <c r="S5668" s="1" t="s">
        <v>42</v>
      </c>
      <c r="T5668" s="1" t="s">
        <v>273</v>
      </c>
      <c r="U5668" s="1">
        <v>29</v>
      </c>
      <c r="V5668" s="5">
        <v>43666</v>
      </c>
      <c r="W5668" s="5">
        <v>41836</v>
      </c>
      <c r="X5668" s="1">
        <v>1615000</v>
      </c>
      <c r="Y5668" s="1">
        <v>1615000</v>
      </c>
      <c r="Z5668" s="5">
        <v>41865</v>
      </c>
      <c r="AA5668" s="1">
        <v>1644474</v>
      </c>
      <c r="AB5668" s="1" t="s">
        <v>4008</v>
      </c>
      <c r="AC5668" s="5">
        <v>42754</v>
      </c>
      <c r="AF5668" s="1">
        <v>10006</v>
      </c>
      <c r="AI5668" s="1" t="s">
        <v>97</v>
      </c>
      <c r="AJ5668" s="1">
        <v>2016</v>
      </c>
      <c r="AK5668" s="1" t="s">
        <v>46</v>
      </c>
      <c r="AL5668" s="1">
        <v>186</v>
      </c>
    </row>
    <row r="5669" spans="1:38" x14ac:dyDescent="0.2">
      <c r="A5669" s="2" t="str">
        <f>HYPERLINK("https://www.compass.com/listing/196-orchard-street-unit-7l-manhattan-ny-10002/750272246767662809/","196 Orchard St, Unit 7L")</f>
        <v>196 Orchard St, Unit 7L</v>
      </c>
      <c r="B5669" s="2" t="str">
        <f>HYPERLINK("https://www.compass.com/building/196-orchard-st-manhattan-ny-10002/281886194713760485/","196 Orchard St")</f>
        <v>196 Orchard St</v>
      </c>
      <c r="C5669" s="1" t="s">
        <v>47</v>
      </c>
      <c r="D5669" s="1" t="s">
        <v>41</v>
      </c>
      <c r="E5669" s="3">
        <v>2795000</v>
      </c>
      <c r="F5669" s="1">
        <v>2405.3356282271902</v>
      </c>
      <c r="G5669" s="1">
        <v>5</v>
      </c>
      <c r="H5669" s="1">
        <v>2</v>
      </c>
      <c r="I5669" s="1">
        <v>2</v>
      </c>
      <c r="J5669" s="1">
        <v>2</v>
      </c>
      <c r="K5669" s="1">
        <v>2</v>
      </c>
      <c r="M5669" s="4">
        <v>1162</v>
      </c>
      <c r="N5669" s="1">
        <v>1641.65</v>
      </c>
      <c r="O5669" s="1">
        <v>2992.82</v>
      </c>
      <c r="P5669" s="1">
        <v>1351.1666666666599</v>
      </c>
      <c r="Q5669" s="1" t="s">
        <v>42</v>
      </c>
      <c r="S5669" s="1" t="s">
        <v>42</v>
      </c>
      <c r="T5669" s="1" t="s">
        <v>273</v>
      </c>
      <c r="U5669" s="1">
        <v>18</v>
      </c>
      <c r="V5669" s="5">
        <v>44331</v>
      </c>
      <c r="W5669" s="5">
        <v>44286</v>
      </c>
      <c r="X5669" s="1">
        <v>2975000</v>
      </c>
      <c r="Y5669" s="1">
        <v>2975000</v>
      </c>
      <c r="Z5669" s="5">
        <v>44305</v>
      </c>
      <c r="AA5669" s="1">
        <v>2795000</v>
      </c>
      <c r="AB5669" s="1" t="s">
        <v>4009</v>
      </c>
      <c r="AC5669" s="5">
        <v>44328</v>
      </c>
      <c r="AF5669" s="1">
        <v>10002</v>
      </c>
      <c r="AI5669" s="1" t="s">
        <v>156</v>
      </c>
      <c r="AJ5669" s="1">
        <v>2018</v>
      </c>
      <c r="AK5669" s="1" t="s">
        <v>46</v>
      </c>
      <c r="AL5669" s="1">
        <v>89</v>
      </c>
    </row>
    <row r="5670" spans="1:38" x14ac:dyDescent="0.2">
      <c r="A5670" s="2" t="str">
        <f>HYPERLINK("https://www.compass.com/listing/130-william-street-unit-11b-manhattan-ny-10038/613926153029524753/","130 William St, Unit 11B")</f>
        <v>130 William St, Unit 11B</v>
      </c>
      <c r="B5670" s="2" t="str">
        <f t="shared" ref="B5670:B5676" si="949">HYPERLINK("https://www.compass.com/building/130-william-st-manhattan-ny-10038/282029682239486757/","130 William St")</f>
        <v>130 William St</v>
      </c>
      <c r="C5670" s="1" t="s">
        <v>96</v>
      </c>
      <c r="D5670" s="1" t="s">
        <v>41</v>
      </c>
      <c r="E5670" s="3">
        <v>1175610</v>
      </c>
      <c r="F5670" s="1">
        <v>1571.6716042780699</v>
      </c>
      <c r="G5670" s="1">
        <v>3</v>
      </c>
      <c r="H5670" s="1">
        <v>1</v>
      </c>
      <c r="I5670" s="1">
        <v>1</v>
      </c>
      <c r="J5670" s="1">
        <v>1</v>
      </c>
      <c r="K5670" s="1">
        <v>1</v>
      </c>
      <c r="M5670" s="1">
        <v>748</v>
      </c>
      <c r="N5670" s="1">
        <v>505.15</v>
      </c>
      <c r="O5670" s="1">
        <v>1483.79</v>
      </c>
      <c r="P5670" s="1">
        <v>978.66666666666595</v>
      </c>
      <c r="Q5670" s="1" t="s">
        <v>42</v>
      </c>
      <c r="S5670" s="1" t="s">
        <v>42</v>
      </c>
      <c r="T5670" s="1" t="s">
        <v>273</v>
      </c>
      <c r="V5670" s="5">
        <v>44224</v>
      </c>
      <c r="W5670" s="5">
        <v>44098</v>
      </c>
      <c r="X5670" s="1">
        <v>1150990</v>
      </c>
      <c r="Y5670" s="1">
        <v>1150990</v>
      </c>
      <c r="Z5670" s="5">
        <v>44098</v>
      </c>
      <c r="AA5670" s="1">
        <v>1175610.3600000001</v>
      </c>
      <c r="AB5670" s="1" t="s">
        <v>4010</v>
      </c>
      <c r="AC5670" s="5">
        <v>44174</v>
      </c>
      <c r="AF5670" s="1">
        <v>10038</v>
      </c>
      <c r="AI5670" s="1" t="s">
        <v>111</v>
      </c>
      <c r="AJ5670" s="1">
        <v>2020</v>
      </c>
      <c r="AK5670" s="1" t="s">
        <v>46</v>
      </c>
      <c r="AL5670" s="1">
        <v>244</v>
      </c>
    </row>
    <row r="5671" spans="1:38" x14ac:dyDescent="0.2">
      <c r="A5671" s="2" t="str">
        <f>HYPERLINK("https://www.compass.com/listing/130-william-street-unit-7b-manhattan-ny-10038/206388056113092113/","130 William St, Unit 7B")</f>
        <v>130 William St, Unit 7B</v>
      </c>
      <c r="B5671" s="2" t="str">
        <f t="shared" si="949"/>
        <v>130 William St</v>
      </c>
      <c r="C5671" s="1" t="s">
        <v>96</v>
      </c>
      <c r="D5671" s="1" t="s">
        <v>41</v>
      </c>
      <c r="E5671" s="3">
        <v>1272344</v>
      </c>
      <c r="F5671" s="1">
        <v>1700.99479946524</v>
      </c>
      <c r="G5671" s="1">
        <v>3</v>
      </c>
      <c r="H5671" s="1">
        <v>1</v>
      </c>
      <c r="I5671" s="1">
        <v>1</v>
      </c>
      <c r="J5671" s="1">
        <v>1</v>
      </c>
      <c r="K5671" s="1">
        <v>1</v>
      </c>
      <c r="M5671" s="1">
        <v>748</v>
      </c>
      <c r="N5671" s="1">
        <v>501.52</v>
      </c>
      <c r="O5671" s="1">
        <v>1473.13</v>
      </c>
      <c r="P5671" s="1">
        <v>971.58333333333303</v>
      </c>
      <c r="Q5671" s="1" t="s">
        <v>42</v>
      </c>
      <c r="S5671" s="1" t="s">
        <v>42</v>
      </c>
      <c r="T5671" s="1" t="s">
        <v>273</v>
      </c>
      <c r="U5671" s="1">
        <v>1</v>
      </c>
      <c r="V5671" s="5">
        <v>44223</v>
      </c>
      <c r="W5671" s="5">
        <v>43536</v>
      </c>
      <c r="X5671" s="1">
        <v>1245990</v>
      </c>
      <c r="Y5671" s="1">
        <v>1245990</v>
      </c>
      <c r="Z5671" s="5">
        <v>44124</v>
      </c>
      <c r="AA5671" s="1">
        <v>1272344.1100000001</v>
      </c>
      <c r="AB5671" s="1" t="s">
        <v>4011</v>
      </c>
      <c r="AC5671" s="5">
        <v>44188</v>
      </c>
      <c r="AF5671" s="1">
        <v>10038</v>
      </c>
      <c r="AI5671" s="1" t="s">
        <v>111</v>
      </c>
      <c r="AJ5671" s="1">
        <v>2020</v>
      </c>
      <c r="AK5671" s="1" t="s">
        <v>46</v>
      </c>
      <c r="AL5671" s="1">
        <v>244</v>
      </c>
    </row>
    <row r="5672" spans="1:38" x14ac:dyDescent="0.2">
      <c r="A5672" s="2" t="str">
        <f>HYPERLINK("https://www.compass.com/listing/130-william-street-unit-8b-manhattan-ny-10038/51121077241255553/","130 William St, Unit 8B")</f>
        <v>130 William St, Unit 8B</v>
      </c>
      <c r="B5672" s="2" t="str">
        <f t="shared" si="949"/>
        <v>130 William St</v>
      </c>
      <c r="C5672" s="1" t="s">
        <v>96</v>
      </c>
      <c r="D5672" s="1" t="s">
        <v>41</v>
      </c>
      <c r="E5672" s="3">
        <v>1282527</v>
      </c>
      <c r="F5672" s="1">
        <v>1714.6077673796699</v>
      </c>
      <c r="G5672" s="1">
        <v>3</v>
      </c>
      <c r="H5672" s="1">
        <v>1</v>
      </c>
      <c r="I5672" s="1">
        <v>1</v>
      </c>
      <c r="J5672" s="1">
        <v>1</v>
      </c>
      <c r="K5672" s="1">
        <v>1</v>
      </c>
      <c r="M5672" s="1">
        <v>748</v>
      </c>
      <c r="N5672" s="1">
        <v>502.43</v>
      </c>
      <c r="O5672" s="1">
        <v>1475.8</v>
      </c>
      <c r="P5672" s="1">
        <v>973.33333333333303</v>
      </c>
      <c r="Q5672" s="1" t="s">
        <v>42</v>
      </c>
      <c r="S5672" s="1" t="s">
        <v>42</v>
      </c>
      <c r="T5672" s="1" t="s">
        <v>273</v>
      </c>
      <c r="U5672" s="1">
        <v>41</v>
      </c>
      <c r="V5672" s="5">
        <v>44224</v>
      </c>
      <c r="W5672" s="5">
        <v>43321</v>
      </c>
      <c r="X5672" s="1">
        <v>1255990</v>
      </c>
      <c r="Y5672" s="1">
        <v>1255990</v>
      </c>
      <c r="Z5672" s="5">
        <v>44111</v>
      </c>
      <c r="AA5672" s="1">
        <v>1282526.6100000001</v>
      </c>
      <c r="AB5672" s="1" t="s">
        <v>4012</v>
      </c>
      <c r="AC5672" s="5">
        <v>44172</v>
      </c>
      <c r="AF5672" s="1">
        <v>10038</v>
      </c>
      <c r="AI5672" s="1" t="s">
        <v>111</v>
      </c>
      <c r="AJ5672" s="1">
        <v>2020</v>
      </c>
      <c r="AK5672" s="1" t="s">
        <v>46</v>
      </c>
      <c r="AL5672" s="1">
        <v>244</v>
      </c>
    </row>
    <row r="5673" spans="1:38" x14ac:dyDescent="0.2">
      <c r="A5673" s="2" t="str">
        <f>HYPERLINK("https://www.compass.com/listing/130-william-street-unit-9b-manhattan-ny-10038/613759404881511241/","130 William St, Unit 9B")</f>
        <v>130 William St, Unit 9B</v>
      </c>
      <c r="B5673" s="2" t="str">
        <f t="shared" si="949"/>
        <v>130 William St</v>
      </c>
      <c r="C5673" s="1" t="s">
        <v>96</v>
      </c>
      <c r="D5673" s="1" t="s">
        <v>41</v>
      </c>
      <c r="E5673" s="3">
        <v>1216340</v>
      </c>
      <c r="F5673" s="1">
        <v>1626.1234759358199</v>
      </c>
      <c r="G5673" s="1">
        <v>3</v>
      </c>
      <c r="H5673" s="1">
        <v>1</v>
      </c>
      <c r="I5673" s="1">
        <v>1</v>
      </c>
      <c r="J5673" s="1">
        <v>1</v>
      </c>
      <c r="K5673" s="1">
        <v>1</v>
      </c>
      <c r="M5673" s="1">
        <v>748</v>
      </c>
      <c r="N5673" s="1">
        <v>503.34</v>
      </c>
      <c r="O5673" s="1">
        <v>1478.47</v>
      </c>
      <c r="P5673" s="1">
        <v>975.16666666666595</v>
      </c>
      <c r="Q5673" s="1" t="s">
        <v>42</v>
      </c>
      <c r="S5673" s="1" t="s">
        <v>42</v>
      </c>
      <c r="T5673" s="1" t="s">
        <v>273</v>
      </c>
      <c r="U5673" s="1">
        <v>696</v>
      </c>
      <c r="V5673" s="5">
        <v>44243</v>
      </c>
      <c r="W5673" s="5">
        <v>43308</v>
      </c>
      <c r="X5673" s="1">
        <v>1190990</v>
      </c>
      <c r="Y5673" s="1">
        <v>1190990</v>
      </c>
      <c r="Z5673" s="5">
        <v>44099</v>
      </c>
      <c r="AA5673" s="1">
        <v>1216340.3600000001</v>
      </c>
      <c r="AB5673" s="1" t="s">
        <v>4013</v>
      </c>
      <c r="AC5673" s="5">
        <v>44207</v>
      </c>
      <c r="AF5673" s="1">
        <v>10038</v>
      </c>
      <c r="AI5673" s="1" t="s">
        <v>111</v>
      </c>
      <c r="AJ5673" s="1">
        <v>2020</v>
      </c>
      <c r="AK5673" s="1" t="s">
        <v>46</v>
      </c>
      <c r="AL5673" s="1">
        <v>244</v>
      </c>
    </row>
    <row r="5674" spans="1:38" x14ac:dyDescent="0.2">
      <c r="A5674" s="2" t="str">
        <f>HYPERLINK("https://www.compass.com/listing/130-william-street-unit-15b-manhattan-ny-10038/621828338040092833/","130 William St, Unit 15B")</f>
        <v>130 William St, Unit 15B</v>
      </c>
      <c r="B5674" s="2" t="str">
        <f t="shared" si="949"/>
        <v>130 William St</v>
      </c>
      <c r="C5674" s="1" t="s">
        <v>96</v>
      </c>
      <c r="D5674" s="1" t="s">
        <v>41</v>
      </c>
      <c r="E5674" s="3">
        <v>1206157</v>
      </c>
      <c r="F5674" s="1">
        <v>1612.50935828877</v>
      </c>
      <c r="G5674" s="1">
        <v>3</v>
      </c>
      <c r="H5674" s="1">
        <v>1</v>
      </c>
      <c r="I5674" s="1">
        <v>1</v>
      </c>
      <c r="J5674" s="1">
        <v>1</v>
      </c>
      <c r="K5674" s="1">
        <v>1</v>
      </c>
      <c r="M5674" s="1">
        <v>748</v>
      </c>
      <c r="N5674" s="1">
        <v>507.65</v>
      </c>
      <c r="O5674" s="1">
        <v>1491.13</v>
      </c>
      <c r="P5674" s="1">
        <v>983.5</v>
      </c>
      <c r="Q5674" s="1" t="s">
        <v>42</v>
      </c>
      <c r="S5674" s="1" t="s">
        <v>42</v>
      </c>
      <c r="T5674" s="1" t="s">
        <v>273</v>
      </c>
      <c r="U5674" s="1">
        <v>721</v>
      </c>
      <c r="V5674" s="5">
        <v>44257</v>
      </c>
      <c r="W5674" s="5">
        <v>43294</v>
      </c>
      <c r="X5674" s="1">
        <v>1180990</v>
      </c>
      <c r="Y5674" s="1">
        <v>1180990</v>
      </c>
      <c r="Z5674" s="5">
        <v>44110</v>
      </c>
      <c r="AA5674" s="1">
        <v>1206157</v>
      </c>
      <c r="AB5674" s="1" t="s">
        <v>275</v>
      </c>
      <c r="AC5674" s="5">
        <v>44246</v>
      </c>
      <c r="AF5674" s="1">
        <v>10038</v>
      </c>
      <c r="AI5674" s="1" t="s">
        <v>111</v>
      </c>
      <c r="AJ5674" s="1">
        <v>2020</v>
      </c>
      <c r="AK5674" s="1" t="s">
        <v>46</v>
      </c>
      <c r="AL5674" s="1">
        <v>244</v>
      </c>
    </row>
    <row r="5675" spans="1:38" x14ac:dyDescent="0.2">
      <c r="A5675" s="2" t="str">
        <f>HYPERLINK("https://www.compass.com/listing/130-william-street-unit-10b-manhattan-ny-10038/636913790486774865/","130 William St, Unit 10B")</f>
        <v>130 William St, Unit 10B</v>
      </c>
      <c r="B5675" s="2" t="str">
        <f t="shared" si="949"/>
        <v>130 William St</v>
      </c>
      <c r="C5675" s="1" t="s">
        <v>96</v>
      </c>
      <c r="D5675" s="1" t="s">
        <v>41</v>
      </c>
      <c r="E5675" s="3">
        <v>1226523</v>
      </c>
      <c r="F5675" s="1">
        <v>1639.73644385026</v>
      </c>
      <c r="G5675" s="1">
        <v>3</v>
      </c>
      <c r="H5675" s="1">
        <v>1</v>
      </c>
      <c r="I5675" s="1">
        <v>1</v>
      </c>
      <c r="J5675" s="1">
        <v>1</v>
      </c>
      <c r="K5675" s="1">
        <v>1</v>
      </c>
      <c r="M5675" s="1">
        <v>748</v>
      </c>
      <c r="N5675" s="1">
        <v>504.24</v>
      </c>
      <c r="O5675" s="1">
        <v>1481.13</v>
      </c>
      <c r="P5675" s="1">
        <v>976.91666666666595</v>
      </c>
      <c r="Q5675" s="1" t="s">
        <v>42</v>
      </c>
      <c r="S5675" s="1" t="s">
        <v>42</v>
      </c>
      <c r="T5675" s="1" t="s">
        <v>273</v>
      </c>
      <c r="U5675" s="1">
        <v>730</v>
      </c>
      <c r="V5675" s="5">
        <v>44223</v>
      </c>
      <c r="W5675" s="5">
        <v>43306</v>
      </c>
      <c r="X5675" s="1">
        <v>1200990</v>
      </c>
      <c r="Y5675" s="1">
        <v>1200990</v>
      </c>
      <c r="Z5675" s="5">
        <v>44131</v>
      </c>
      <c r="AA5675" s="1">
        <v>1226522.8600000001</v>
      </c>
      <c r="AB5675" s="1" t="s">
        <v>4014</v>
      </c>
      <c r="AC5675" s="5">
        <v>44204</v>
      </c>
      <c r="AF5675" s="1">
        <v>10038</v>
      </c>
      <c r="AI5675" s="1" t="s">
        <v>111</v>
      </c>
      <c r="AJ5675" s="1">
        <v>2020</v>
      </c>
      <c r="AK5675" s="1" t="s">
        <v>46</v>
      </c>
      <c r="AL5675" s="1">
        <v>244</v>
      </c>
    </row>
    <row r="5676" spans="1:38" x14ac:dyDescent="0.2">
      <c r="A5676" s="2" t="str">
        <f>HYPERLINK("https://www.compass.com/listing/130-william-street-unit-12b-manhattan-ny-10038/642152963492926049/","130 William St, Unit 12B")</f>
        <v>130 William St, Unit 12B</v>
      </c>
      <c r="B5676" s="2" t="str">
        <f t="shared" si="949"/>
        <v>130 William St</v>
      </c>
      <c r="C5676" s="1" t="s">
        <v>96</v>
      </c>
      <c r="D5676" s="1" t="s">
        <v>41</v>
      </c>
      <c r="E5676" s="3">
        <v>1185793</v>
      </c>
      <c r="F5676" s="1">
        <v>1585.28457219251</v>
      </c>
      <c r="G5676" s="1">
        <v>3</v>
      </c>
      <c r="H5676" s="1">
        <v>1</v>
      </c>
      <c r="I5676" s="1">
        <v>1</v>
      </c>
      <c r="J5676" s="1">
        <v>1</v>
      </c>
      <c r="K5676" s="1">
        <v>1</v>
      </c>
      <c r="M5676" s="1">
        <v>748</v>
      </c>
      <c r="N5676" s="1">
        <v>506.06</v>
      </c>
      <c r="O5676" s="1">
        <v>1486.46</v>
      </c>
      <c r="P5676" s="1">
        <v>980.41666666666595</v>
      </c>
      <c r="Q5676" s="1" t="s">
        <v>42</v>
      </c>
      <c r="S5676" s="1" t="s">
        <v>42</v>
      </c>
      <c r="T5676" s="1" t="s">
        <v>273</v>
      </c>
      <c r="U5676" s="1">
        <v>751</v>
      </c>
      <c r="V5676" s="5">
        <v>44223</v>
      </c>
      <c r="W5676" s="5">
        <v>43292</v>
      </c>
      <c r="X5676" s="1">
        <v>1160990</v>
      </c>
      <c r="Y5676" s="1">
        <v>1160990</v>
      </c>
      <c r="Z5676" s="5">
        <v>44138</v>
      </c>
      <c r="AA5676" s="1">
        <v>1185792.8600000001</v>
      </c>
      <c r="AB5676" s="1" t="s">
        <v>4015</v>
      </c>
      <c r="AC5676" s="5">
        <v>44204</v>
      </c>
      <c r="AF5676" s="1">
        <v>10038</v>
      </c>
      <c r="AI5676" s="1" t="s">
        <v>111</v>
      </c>
      <c r="AJ5676" s="1">
        <v>2020</v>
      </c>
      <c r="AK5676" s="1" t="s">
        <v>46</v>
      </c>
      <c r="AL5676" s="1">
        <v>244</v>
      </c>
    </row>
    <row r="5677" spans="1:38" x14ac:dyDescent="0.2">
      <c r="A5677" s="2" t="str">
        <f>HYPERLINK("https://www.compass.com/listing/5-beekman-street-unit-40a-manhattan-ny-10038/4852285011375699185/","5 Beekman St, Unit 40A")</f>
        <v>5 Beekman St, Unit 40A</v>
      </c>
      <c r="B5677" s="2" t="str">
        <f>HYPERLINK("https://www.compass.com/building/the-beekman-residences-manhattan-ny/282030567363458613/","The Beekman Residences")</f>
        <v>The Beekman Residences</v>
      </c>
      <c r="C5677" s="1" t="s">
        <v>96</v>
      </c>
      <c r="D5677" s="1" t="s">
        <v>41</v>
      </c>
      <c r="E5677" s="3">
        <v>3450000</v>
      </c>
      <c r="F5677" s="1">
        <v>2124.3842364532002</v>
      </c>
      <c r="G5677" s="1">
        <v>4</v>
      </c>
      <c r="H5677" s="1">
        <v>2</v>
      </c>
      <c r="I5677" s="1">
        <v>3</v>
      </c>
      <c r="J5677" s="1">
        <v>2.5</v>
      </c>
      <c r="M5677" s="4">
        <v>1624</v>
      </c>
      <c r="N5677" s="1">
        <v>2254</v>
      </c>
      <c r="O5677" s="1">
        <v>4553</v>
      </c>
      <c r="P5677" s="1">
        <v>2299</v>
      </c>
      <c r="Q5677" s="1" t="s">
        <v>42</v>
      </c>
      <c r="S5677" s="1" t="s">
        <v>42</v>
      </c>
      <c r="T5677" s="1" t="s">
        <v>273</v>
      </c>
      <c r="U5677" s="1">
        <v>707</v>
      </c>
      <c r="V5677" s="5">
        <v>43694</v>
      </c>
      <c r="W5677" s="5">
        <v>42095</v>
      </c>
      <c r="X5677" s="1">
        <v>3450000</v>
      </c>
      <c r="Y5677" s="1">
        <v>3450000</v>
      </c>
      <c r="Z5677" s="5">
        <v>42802</v>
      </c>
      <c r="AA5677" s="1">
        <v>3450000</v>
      </c>
      <c r="AB5677" s="1" t="s">
        <v>275</v>
      </c>
      <c r="AC5677" s="5">
        <v>43071</v>
      </c>
      <c r="AF5677" s="1">
        <v>10038</v>
      </c>
      <c r="AI5677" s="1" t="s">
        <v>101</v>
      </c>
      <c r="AJ5677" s="1">
        <v>2015</v>
      </c>
      <c r="AK5677" s="1" t="s">
        <v>49</v>
      </c>
      <c r="AL5677" s="1">
        <v>67</v>
      </c>
    </row>
    <row r="5678" spans="1:38" x14ac:dyDescent="0.2">
      <c r="A5678" s="2" t="str">
        <f>HYPERLINK("https://www.compass.com/listing/42-allen-street-unit-6a-manhattan-ny-10002/359127279581926161/","42 Allen St, Unit 6A")</f>
        <v>42 Allen St, Unit 6A</v>
      </c>
      <c r="B5678" s="2" t="str">
        <f>HYPERLINK("https://www.compass.com/building/42-allen-manhattan-ny/307432515178187973/","42 Allen")</f>
        <v>42 Allen</v>
      </c>
      <c r="C5678" s="1" t="s">
        <v>47</v>
      </c>
      <c r="D5678" s="1" t="s">
        <v>41</v>
      </c>
      <c r="E5678" s="3">
        <v>945000</v>
      </c>
      <c r="F5678" s="1">
        <v>1509.5846645367401</v>
      </c>
      <c r="G5678" s="1">
        <v>4</v>
      </c>
      <c r="H5678" s="1">
        <v>1</v>
      </c>
      <c r="J5678" s="1">
        <v>2</v>
      </c>
      <c r="M5678" s="1">
        <v>626</v>
      </c>
      <c r="N5678" s="1">
        <v>396</v>
      </c>
      <c r="O5678" s="1">
        <v>1342</v>
      </c>
      <c r="P5678" s="1">
        <v>946</v>
      </c>
      <c r="Q5678" s="1" t="s">
        <v>42</v>
      </c>
      <c r="S5678" s="1" t="s">
        <v>42</v>
      </c>
      <c r="T5678" s="1" t="s">
        <v>273</v>
      </c>
      <c r="U5678" s="1">
        <v>51</v>
      </c>
      <c r="V5678" s="5">
        <v>44248</v>
      </c>
      <c r="W5678" s="5">
        <v>43745</v>
      </c>
      <c r="X5678" s="1">
        <v>975000</v>
      </c>
      <c r="Y5678" s="1">
        <v>975000</v>
      </c>
      <c r="Z5678" s="5">
        <v>43796</v>
      </c>
      <c r="AA5678" s="1">
        <v>945000</v>
      </c>
      <c r="AB5678" s="1" t="s">
        <v>4016</v>
      </c>
      <c r="AC5678" s="5">
        <v>43914</v>
      </c>
      <c r="AF5678" s="1">
        <v>10002</v>
      </c>
      <c r="AI5678" s="1" t="s">
        <v>231</v>
      </c>
      <c r="AJ5678" s="1">
        <v>2019</v>
      </c>
      <c r="AK5678" s="1" t="s">
        <v>125</v>
      </c>
      <c r="AL5678" s="1">
        <v>8</v>
      </c>
    </row>
    <row r="5679" spans="1:38" x14ac:dyDescent="0.2">
      <c r="A5679" s="2" t="str">
        <f>HYPERLINK("https://www.compass.com/listing/130-william-street-unit-11d-manhattan-ny-10038/236759433324090049/","130 William St, Unit 11D")</f>
        <v>130 William St, Unit 11D</v>
      </c>
      <c r="B5679" s="2" t="str">
        <f>HYPERLINK("https://www.compass.com/building/130-william-st-manhattan-ny-10038/282029682239486757/","130 William St")</f>
        <v>130 William St</v>
      </c>
      <c r="C5679" s="1" t="s">
        <v>96</v>
      </c>
      <c r="D5679" s="1" t="s">
        <v>41</v>
      </c>
      <c r="E5679" s="3">
        <v>1313074</v>
      </c>
      <c r="F5679" s="1">
        <v>1550.2645926800401</v>
      </c>
      <c r="G5679" s="1">
        <v>3</v>
      </c>
      <c r="H5679" s="1">
        <v>1</v>
      </c>
      <c r="I5679" s="1">
        <v>1</v>
      </c>
      <c r="J5679" s="1">
        <v>1</v>
      </c>
      <c r="K5679" s="1">
        <v>1</v>
      </c>
      <c r="M5679" s="1">
        <v>847</v>
      </c>
      <c r="N5679" s="1">
        <v>566.41999999999996</v>
      </c>
      <c r="O5679" s="1">
        <v>1663.77</v>
      </c>
      <c r="P5679" s="1">
        <v>1097.3333333333301</v>
      </c>
      <c r="Q5679" s="1" t="s">
        <v>42</v>
      </c>
      <c r="S5679" s="1" t="s">
        <v>42</v>
      </c>
      <c r="T5679" s="1" t="s">
        <v>273</v>
      </c>
      <c r="U5679" s="1">
        <v>94</v>
      </c>
      <c r="V5679" s="5">
        <v>44223</v>
      </c>
      <c r="W5679" s="5">
        <v>43578</v>
      </c>
      <c r="X5679" s="1">
        <v>1285990</v>
      </c>
      <c r="Y5679" s="1">
        <v>1285990</v>
      </c>
      <c r="Z5679" s="5">
        <v>44175</v>
      </c>
      <c r="AA5679" s="1">
        <v>1313074.1100000001</v>
      </c>
      <c r="AB5679" s="1" t="s">
        <v>4017</v>
      </c>
      <c r="AC5679" s="5">
        <v>44216</v>
      </c>
      <c r="AF5679" s="1">
        <v>10038</v>
      </c>
      <c r="AI5679" s="1" t="s">
        <v>111</v>
      </c>
      <c r="AJ5679" s="1">
        <v>2020</v>
      </c>
      <c r="AK5679" s="1" t="s">
        <v>46</v>
      </c>
      <c r="AL5679" s="1">
        <v>244</v>
      </c>
    </row>
    <row r="5680" spans="1:38" x14ac:dyDescent="0.2">
      <c r="A5680" s="2" t="str">
        <f>HYPERLINK("https://www.compass.com/listing/252-south-street-unit-11g-manhattan-ny-10002/29513548082313361/","252 South St, Unit 11G")</f>
        <v>252 South St, Unit 11G</v>
      </c>
      <c r="B5680" s="2" t="str">
        <f t="shared" ref="B5680:B5683" si="950">HYPERLINK("https://www.compass.com/building/one-manhattan-square-manhattan-ny/294844950218926165/","One Manhattan Square")</f>
        <v>One Manhattan Square</v>
      </c>
      <c r="C5680" s="1" t="s">
        <v>47</v>
      </c>
      <c r="D5680" s="1" t="s">
        <v>41</v>
      </c>
      <c r="E5680" s="3">
        <v>1192513</v>
      </c>
      <c r="F5680" s="1">
        <v>1649.3952143844999</v>
      </c>
      <c r="G5680" s="1">
        <v>3</v>
      </c>
      <c r="H5680" s="1">
        <v>1</v>
      </c>
      <c r="I5680" s="1">
        <v>1</v>
      </c>
      <c r="J5680" s="1">
        <v>1</v>
      </c>
      <c r="M5680" s="1">
        <v>723</v>
      </c>
      <c r="N5680" s="1">
        <v>775</v>
      </c>
      <c r="O5680" s="1">
        <v>788</v>
      </c>
      <c r="P5680" s="1">
        <v>13</v>
      </c>
      <c r="Q5680" s="1" t="s">
        <v>42</v>
      </c>
      <c r="S5680" s="1" t="s">
        <v>42</v>
      </c>
      <c r="T5680" s="1" t="s">
        <v>273</v>
      </c>
      <c r="U5680" s="1">
        <v>32</v>
      </c>
      <c r="V5680" s="5">
        <v>43724</v>
      </c>
      <c r="W5680" s="5">
        <v>42693</v>
      </c>
      <c r="X5680" s="1">
        <v>1179000</v>
      </c>
      <c r="Y5680" s="1">
        <v>1179000</v>
      </c>
      <c r="Z5680" s="5">
        <v>42774</v>
      </c>
      <c r="AA5680" s="1">
        <v>1192512.74</v>
      </c>
      <c r="AB5680" s="1" t="s">
        <v>4018</v>
      </c>
      <c r="AC5680" s="5">
        <v>43714</v>
      </c>
      <c r="AF5680" s="1">
        <v>10002</v>
      </c>
      <c r="AI5680" s="1" t="s">
        <v>66</v>
      </c>
      <c r="AJ5680" s="1">
        <v>2019</v>
      </c>
      <c r="AK5680" s="1" t="s">
        <v>46</v>
      </c>
      <c r="AL5680" s="1">
        <v>787</v>
      </c>
    </row>
    <row r="5681" spans="1:38" x14ac:dyDescent="0.2">
      <c r="A5681" s="2" t="str">
        <f>HYPERLINK("https://www.compass.com/listing/252-south-street-unit-10f-manhattan-ny-10002/29513549969714705/","252 South St, Unit 10F")</f>
        <v>252 South St, Unit 10F</v>
      </c>
      <c r="B5681" s="2" t="str">
        <f t="shared" si="950"/>
        <v>One Manhattan Square</v>
      </c>
      <c r="C5681" s="1" t="s">
        <v>47</v>
      </c>
      <c r="D5681" s="1" t="s">
        <v>41</v>
      </c>
      <c r="E5681" s="3">
        <v>1165896</v>
      </c>
      <c r="F5681" s="1">
        <v>1677.5485611510701</v>
      </c>
      <c r="G5681" s="1">
        <v>3</v>
      </c>
      <c r="H5681" s="1">
        <v>1</v>
      </c>
      <c r="I5681" s="1">
        <v>1</v>
      </c>
      <c r="J5681" s="1">
        <v>1</v>
      </c>
      <c r="K5681" s="1">
        <v>1</v>
      </c>
      <c r="M5681" s="1">
        <v>695</v>
      </c>
      <c r="N5681" s="1">
        <v>741</v>
      </c>
      <c r="O5681" s="1">
        <v>753</v>
      </c>
      <c r="P5681" s="1">
        <v>12</v>
      </c>
      <c r="Q5681" s="1" t="s">
        <v>42</v>
      </c>
      <c r="S5681" s="1" t="s">
        <v>42</v>
      </c>
      <c r="T5681" s="1" t="s">
        <v>273</v>
      </c>
      <c r="U5681" s="1">
        <v>5</v>
      </c>
      <c r="V5681" s="5">
        <v>43683</v>
      </c>
      <c r="W5681" s="5">
        <v>43279</v>
      </c>
      <c r="X5681" s="1">
        <v>1209000</v>
      </c>
      <c r="Y5681" s="1">
        <v>1209000</v>
      </c>
      <c r="Z5681" s="5">
        <v>43284</v>
      </c>
      <c r="AA5681" s="1">
        <v>1165896.25</v>
      </c>
      <c r="AB5681" s="1" t="s">
        <v>4019</v>
      </c>
      <c r="AC5681" s="5">
        <v>43598</v>
      </c>
      <c r="AF5681" s="1">
        <v>10002</v>
      </c>
      <c r="AI5681" s="1" t="s">
        <v>66</v>
      </c>
      <c r="AJ5681" s="1">
        <v>2019</v>
      </c>
      <c r="AK5681" s="1" t="s">
        <v>46</v>
      </c>
      <c r="AL5681" s="1">
        <v>787</v>
      </c>
    </row>
    <row r="5682" spans="1:38" x14ac:dyDescent="0.2">
      <c r="A5682" s="2" t="str">
        <f>HYPERLINK("https://www.compass.com/listing/252-south-street-unit-17g-manhattan-ny-10002/29513555581729233/","252 South St, Unit 17G")</f>
        <v>252 South St, Unit 17G</v>
      </c>
      <c r="B5682" s="2" t="str">
        <f t="shared" si="950"/>
        <v>One Manhattan Square</v>
      </c>
      <c r="C5682" s="1" t="s">
        <v>47</v>
      </c>
      <c r="D5682" s="1" t="s">
        <v>41</v>
      </c>
      <c r="E5682" s="3">
        <v>1150295</v>
      </c>
      <c r="F5682" s="1">
        <v>1591.00276625172</v>
      </c>
      <c r="G5682" s="1">
        <v>3</v>
      </c>
      <c r="H5682" s="1">
        <v>1</v>
      </c>
      <c r="I5682" s="1">
        <v>1</v>
      </c>
      <c r="J5682" s="1">
        <v>1</v>
      </c>
      <c r="M5682" s="1">
        <v>723</v>
      </c>
      <c r="N5682" s="1">
        <v>790</v>
      </c>
      <c r="O5682" s="1">
        <v>803</v>
      </c>
      <c r="P5682" s="1">
        <v>13</v>
      </c>
      <c r="Q5682" s="1" t="s">
        <v>42</v>
      </c>
      <c r="S5682" s="1" t="s">
        <v>42</v>
      </c>
      <c r="T5682" s="1" t="s">
        <v>273</v>
      </c>
      <c r="U5682" s="1">
        <v>5</v>
      </c>
      <c r="V5682" s="5">
        <v>43696</v>
      </c>
      <c r="W5682" s="5">
        <v>42797</v>
      </c>
      <c r="X5682" s="1">
        <v>1202000</v>
      </c>
      <c r="Y5682" s="1">
        <v>1202000</v>
      </c>
      <c r="Z5682" s="5">
        <v>42802</v>
      </c>
      <c r="AA5682" s="1">
        <v>1150295</v>
      </c>
      <c r="AB5682" s="1" t="s">
        <v>4020</v>
      </c>
      <c r="AC5682" s="5">
        <v>43631</v>
      </c>
      <c r="AF5682" s="1">
        <v>10002</v>
      </c>
      <c r="AI5682" s="1" t="s">
        <v>66</v>
      </c>
      <c r="AJ5682" s="1">
        <v>2019</v>
      </c>
      <c r="AK5682" s="1" t="s">
        <v>46</v>
      </c>
      <c r="AL5682" s="1">
        <v>787</v>
      </c>
    </row>
    <row r="5683" spans="1:38" x14ac:dyDescent="0.2">
      <c r="A5683" s="2" t="str">
        <f>HYPERLINK("https://www.compass.com/listing/252-south-street-unit-26g-manhattan-ny-10002/822515466889919481/","252 South St, Unit 26G")</f>
        <v>252 South St, Unit 26G</v>
      </c>
      <c r="B5683" s="2" t="str">
        <f t="shared" si="950"/>
        <v>One Manhattan Square</v>
      </c>
      <c r="C5683" s="1" t="s">
        <v>47</v>
      </c>
      <c r="D5683" s="1" t="s">
        <v>41</v>
      </c>
      <c r="E5683" s="3">
        <v>1125000</v>
      </c>
      <c r="F5683" s="1">
        <v>1556.01659751037</v>
      </c>
      <c r="H5683" s="1">
        <v>1</v>
      </c>
      <c r="J5683" s="1">
        <v>1</v>
      </c>
      <c r="K5683" s="1">
        <v>1</v>
      </c>
      <c r="M5683" s="1">
        <v>723</v>
      </c>
      <c r="N5683" s="1">
        <v>1</v>
      </c>
      <c r="O5683" s="1">
        <v>13</v>
      </c>
      <c r="P5683" s="1">
        <v>12</v>
      </c>
      <c r="Q5683" s="1" t="s">
        <v>42</v>
      </c>
      <c r="S5683" s="1" t="s">
        <v>42</v>
      </c>
      <c r="T5683" s="1" t="s">
        <v>273</v>
      </c>
      <c r="AA5683" s="1">
        <v>1125000</v>
      </c>
      <c r="AB5683" s="1" t="s">
        <v>4021</v>
      </c>
      <c r="AC5683" s="5">
        <v>44265</v>
      </c>
      <c r="AF5683" s="1">
        <v>10002</v>
      </c>
      <c r="AI5683" s="1" t="s">
        <v>66</v>
      </c>
      <c r="AJ5683" s="1">
        <v>2019</v>
      </c>
      <c r="AK5683" s="1" t="s">
        <v>49</v>
      </c>
      <c r="AL5683" s="1">
        <v>787</v>
      </c>
    </row>
    <row r="5684" spans="1:38" x14ac:dyDescent="0.2">
      <c r="A5684" s="2" t="str">
        <f>HYPERLINK("https://www.compass.com/listing/5-beekman-street-unit-31b-manhattan-ny-10038/4852284084635835905/","5 Beekman St, Unit 31B")</f>
        <v>5 Beekman St, Unit 31B</v>
      </c>
      <c r="B5684" s="2" t="str">
        <f>HYPERLINK("https://www.compass.com/building/the-beekman-residences-manhattan-ny/282030567363458613/","The Beekman Residences")</f>
        <v>The Beekman Residences</v>
      </c>
      <c r="C5684" s="1" t="s">
        <v>96</v>
      </c>
      <c r="D5684" s="1" t="s">
        <v>41</v>
      </c>
      <c r="E5684" s="3">
        <v>4150000</v>
      </c>
      <c r="F5684" s="1">
        <v>2294.08512990602</v>
      </c>
      <c r="G5684" s="1">
        <v>5</v>
      </c>
      <c r="H5684" s="1">
        <v>3</v>
      </c>
      <c r="I5684" s="1">
        <v>3</v>
      </c>
      <c r="J5684" s="1">
        <v>2.5</v>
      </c>
      <c r="M5684" s="4">
        <v>1809</v>
      </c>
      <c r="N5684" s="1">
        <v>2510</v>
      </c>
      <c r="O5684" s="1">
        <v>5071</v>
      </c>
      <c r="P5684" s="1">
        <v>2561</v>
      </c>
      <c r="Q5684" s="1" t="s">
        <v>42</v>
      </c>
      <c r="S5684" s="1" t="s">
        <v>42</v>
      </c>
      <c r="T5684" s="1" t="s">
        <v>273</v>
      </c>
      <c r="U5684" s="1">
        <v>222</v>
      </c>
      <c r="V5684" s="5">
        <v>43650</v>
      </c>
      <c r="W5684" s="5">
        <v>42621</v>
      </c>
      <c r="X5684" s="1">
        <v>4150000</v>
      </c>
      <c r="Y5684" s="1">
        <v>4150000</v>
      </c>
      <c r="Z5684" s="5">
        <v>42843</v>
      </c>
      <c r="AA5684" s="1">
        <v>4150000</v>
      </c>
      <c r="AB5684" s="1" t="s">
        <v>275</v>
      </c>
      <c r="AC5684" s="5">
        <v>43055</v>
      </c>
      <c r="AF5684" s="1">
        <v>10038</v>
      </c>
      <c r="AI5684" s="1" t="s">
        <v>101</v>
      </c>
      <c r="AJ5684" s="1">
        <v>2015</v>
      </c>
      <c r="AK5684" s="1" t="s">
        <v>49</v>
      </c>
      <c r="AL5684" s="1">
        <v>67</v>
      </c>
    </row>
    <row r="5685" spans="1:38" x14ac:dyDescent="0.2">
      <c r="A5685" s="2" t="str">
        <f>HYPERLINK("https://www.compass.com/listing/196-orchard-street-unit-4g-manhattan-ny-10002/282036221201395697/","196 Orchard St, Unit 4G")</f>
        <v>196 Orchard St, Unit 4G</v>
      </c>
      <c r="B5685" s="2" t="str">
        <f>HYPERLINK("https://www.compass.com/building/196-orchard-st-manhattan-ny-10002/281886194713760485/","196 Orchard St")</f>
        <v>196 Orchard St</v>
      </c>
      <c r="C5685" s="1" t="s">
        <v>47</v>
      </c>
      <c r="D5685" s="1" t="s">
        <v>41</v>
      </c>
      <c r="E5685" s="3">
        <v>1995000</v>
      </c>
      <c r="F5685" s="1">
        <v>2056.7010309278298</v>
      </c>
      <c r="G5685" s="1">
        <v>4</v>
      </c>
      <c r="H5685" s="1">
        <v>2</v>
      </c>
      <c r="I5685" s="1">
        <v>2</v>
      </c>
      <c r="J5685" s="1">
        <v>2</v>
      </c>
      <c r="K5685" s="1">
        <v>2</v>
      </c>
      <c r="M5685" s="1">
        <v>970</v>
      </c>
      <c r="N5685" s="1">
        <v>1285</v>
      </c>
      <c r="O5685" s="1">
        <v>2562</v>
      </c>
      <c r="P5685" s="1">
        <v>1277</v>
      </c>
      <c r="Q5685" s="1" t="s">
        <v>42</v>
      </c>
      <c r="S5685" s="1" t="s">
        <v>42</v>
      </c>
      <c r="T5685" s="1" t="s">
        <v>273</v>
      </c>
      <c r="U5685" s="1">
        <v>391</v>
      </c>
      <c r="V5685" s="5">
        <v>44338</v>
      </c>
      <c r="W5685" s="5">
        <v>43188</v>
      </c>
      <c r="X5685" s="1">
        <v>2285000</v>
      </c>
      <c r="Y5685" s="1">
        <v>1995000</v>
      </c>
      <c r="Z5685" s="5">
        <v>43579</v>
      </c>
      <c r="AA5685" s="1">
        <v>1995000</v>
      </c>
      <c r="AB5685" s="1" t="s">
        <v>4022</v>
      </c>
      <c r="AC5685" s="5">
        <v>43630</v>
      </c>
      <c r="AF5685" s="1">
        <v>10002</v>
      </c>
      <c r="AI5685" s="1" t="s">
        <v>165</v>
      </c>
      <c r="AJ5685" s="1">
        <v>2018</v>
      </c>
      <c r="AK5685" s="1" t="s">
        <v>46</v>
      </c>
      <c r="AL5685" s="1">
        <v>89</v>
      </c>
    </row>
    <row r="5686" spans="1:38" x14ac:dyDescent="0.2">
      <c r="A5686" s="2" t="str">
        <f>HYPERLINK("https://www.compass.com/listing/50-west-street-unit-ph57b-manhattan-ny-10006/29355235025685137/","50 West St, Unit PH57B")</f>
        <v>50 West St, Unit PH57B</v>
      </c>
      <c r="B5686" s="2" t="str">
        <f t="shared" ref="B5686:B5687" si="951">HYPERLINK("https://www.compass.com/building/50-west-st-manhattan-ny-10006/281896342152815429/","50 West St")</f>
        <v>50 West St</v>
      </c>
      <c r="C5686" s="1" t="s">
        <v>96</v>
      </c>
      <c r="D5686" s="1" t="s">
        <v>41</v>
      </c>
      <c r="E5686" s="3">
        <v>10448222</v>
      </c>
      <c r="F5686" s="1">
        <v>2907.12910406232</v>
      </c>
      <c r="G5686" s="1">
        <v>7</v>
      </c>
      <c r="H5686" s="1">
        <v>3</v>
      </c>
      <c r="I5686" s="1">
        <v>4</v>
      </c>
      <c r="J5686" s="1">
        <v>4</v>
      </c>
      <c r="K5686" s="1">
        <v>4</v>
      </c>
      <c r="M5686" s="4">
        <v>3594</v>
      </c>
      <c r="N5686" s="1">
        <v>4851</v>
      </c>
      <c r="O5686" s="1">
        <v>10260</v>
      </c>
      <c r="P5686" s="1">
        <v>5409</v>
      </c>
      <c r="Q5686" s="1" t="s">
        <v>42</v>
      </c>
      <c r="S5686" s="1" t="s">
        <v>42</v>
      </c>
      <c r="T5686" s="1" t="s">
        <v>273</v>
      </c>
      <c r="V5686" s="5">
        <v>43650</v>
      </c>
      <c r="W5686" s="5">
        <v>41929</v>
      </c>
      <c r="X5686" s="1">
        <v>10350000</v>
      </c>
      <c r="Y5686" s="1">
        <v>10350000</v>
      </c>
      <c r="Z5686" s="5">
        <v>41929</v>
      </c>
      <c r="AA5686" s="1">
        <v>10448222</v>
      </c>
      <c r="AB5686" s="1" t="s">
        <v>4023</v>
      </c>
      <c r="AC5686" s="5">
        <v>42949</v>
      </c>
      <c r="AF5686" s="1">
        <v>10006</v>
      </c>
      <c r="AI5686" s="1" t="s">
        <v>97</v>
      </c>
      <c r="AJ5686" s="1">
        <v>2016</v>
      </c>
      <c r="AK5686" s="1" t="s">
        <v>46</v>
      </c>
      <c r="AL5686" s="1">
        <v>186</v>
      </c>
    </row>
    <row r="5687" spans="1:38" x14ac:dyDescent="0.2">
      <c r="A5687" s="2" t="str">
        <f>HYPERLINK("https://www.compass.com/listing/50-west-street-unit-ph57a-manhattan-ny-10006/29512668863841857/","50 West St, Unit PH57A")</f>
        <v>50 West St, Unit PH57A</v>
      </c>
      <c r="B5687" s="2" t="str">
        <f t="shared" si="951"/>
        <v>50 West St</v>
      </c>
      <c r="C5687" s="1" t="s">
        <v>96</v>
      </c>
      <c r="D5687" s="1" t="s">
        <v>41</v>
      </c>
      <c r="E5687" s="3">
        <v>9775200</v>
      </c>
      <c r="F5687" s="1">
        <v>2675.9375855461199</v>
      </c>
      <c r="G5687" s="1">
        <v>7</v>
      </c>
      <c r="H5687" s="1">
        <v>3</v>
      </c>
      <c r="I5687" s="1">
        <v>4</v>
      </c>
      <c r="J5687" s="1">
        <v>4</v>
      </c>
      <c r="K5687" s="1">
        <v>4</v>
      </c>
      <c r="M5687" s="4">
        <v>3653</v>
      </c>
      <c r="N5687" s="1">
        <v>4931</v>
      </c>
      <c r="O5687" s="1">
        <v>10429</v>
      </c>
      <c r="P5687" s="1">
        <v>5498</v>
      </c>
      <c r="Q5687" s="1" t="s">
        <v>42</v>
      </c>
      <c r="S5687" s="1" t="s">
        <v>42</v>
      </c>
      <c r="T5687" s="1" t="s">
        <v>273</v>
      </c>
      <c r="V5687" s="5">
        <v>43650</v>
      </c>
      <c r="W5687" s="5">
        <v>41964</v>
      </c>
      <c r="X5687" s="1">
        <v>9600000</v>
      </c>
      <c r="Y5687" s="1">
        <v>9600000</v>
      </c>
      <c r="Z5687" s="5">
        <v>41964</v>
      </c>
      <c r="AA5687" s="1">
        <v>9775200</v>
      </c>
      <c r="AB5687" s="1" t="s">
        <v>4024</v>
      </c>
      <c r="AC5687" s="5">
        <v>42947</v>
      </c>
      <c r="AF5687" s="1">
        <v>10006</v>
      </c>
      <c r="AI5687" s="1" t="s">
        <v>97</v>
      </c>
      <c r="AJ5687" s="1">
        <v>2016</v>
      </c>
      <c r="AK5687" s="1" t="s">
        <v>46</v>
      </c>
      <c r="AL5687" s="1">
        <v>186</v>
      </c>
    </row>
    <row r="5688" spans="1:38" x14ac:dyDescent="0.2">
      <c r="A5688" s="2" t="str">
        <f>HYPERLINK("https://www.compass.com/listing/5-beekman-street-unit-48a-manhattan-ny-10038/85997974718560657/","5 Beekman St, Unit 48A")</f>
        <v>5 Beekman St, Unit 48A</v>
      </c>
      <c r="B5688" s="2" t="str">
        <f t="shared" ref="B5688:B5690" si="952">HYPERLINK("https://www.compass.com/building/the-beekman-residences-manhattan-ny/282030567363458613/","The Beekman Residences")</f>
        <v>The Beekman Residences</v>
      </c>
      <c r="C5688" s="1" t="s">
        <v>96</v>
      </c>
      <c r="D5688" s="1" t="s">
        <v>41</v>
      </c>
      <c r="E5688" s="3">
        <v>3750000</v>
      </c>
      <c r="F5688" s="1">
        <v>2309.1133004926101</v>
      </c>
      <c r="G5688" s="1">
        <v>4</v>
      </c>
      <c r="H5688" s="1">
        <v>2</v>
      </c>
      <c r="I5688" s="1">
        <v>3</v>
      </c>
      <c r="J5688" s="1">
        <v>2.5</v>
      </c>
      <c r="M5688" s="4">
        <v>1624</v>
      </c>
      <c r="N5688" s="1">
        <v>2253</v>
      </c>
      <c r="O5688" s="1">
        <v>5104</v>
      </c>
      <c r="P5688" s="1">
        <v>2851</v>
      </c>
      <c r="Q5688" s="1" t="s">
        <v>42</v>
      </c>
      <c r="S5688" s="1" t="s">
        <v>42</v>
      </c>
      <c r="T5688" s="1" t="s">
        <v>273</v>
      </c>
      <c r="V5688" s="5">
        <v>43636</v>
      </c>
      <c r="W5688" s="5">
        <v>43371</v>
      </c>
      <c r="X5688" s="1">
        <v>3750000</v>
      </c>
      <c r="Y5688" s="1">
        <v>3750000</v>
      </c>
      <c r="Z5688" s="5">
        <v>43371</v>
      </c>
      <c r="AA5688" s="1">
        <v>3750000</v>
      </c>
      <c r="AB5688" s="1" t="s">
        <v>275</v>
      </c>
      <c r="AC5688" s="5">
        <v>43372</v>
      </c>
      <c r="AF5688" s="1">
        <v>10038</v>
      </c>
      <c r="AI5688" s="1" t="s">
        <v>140</v>
      </c>
      <c r="AJ5688" s="1">
        <v>2015</v>
      </c>
      <c r="AK5688" s="1" t="s">
        <v>49</v>
      </c>
      <c r="AL5688" s="1">
        <v>67</v>
      </c>
    </row>
    <row r="5689" spans="1:38" x14ac:dyDescent="0.2">
      <c r="A5689" s="2" t="str">
        <f>HYPERLINK("https://www.compass.com/listing/5-beekman-street-unit-46a-manhattan-ny-10038/156437136864784673/","5 Beekman St, Unit 46A")</f>
        <v>5 Beekman St, Unit 46A</v>
      </c>
      <c r="B5689" s="2" t="str">
        <f t="shared" si="952"/>
        <v>The Beekman Residences</v>
      </c>
      <c r="C5689" s="1" t="s">
        <v>96</v>
      </c>
      <c r="D5689" s="1" t="s">
        <v>41</v>
      </c>
      <c r="E5689" s="3">
        <v>3488892</v>
      </c>
      <c r="F5689" s="1">
        <v>2148.3325123152699</v>
      </c>
      <c r="G5689" s="1">
        <v>4</v>
      </c>
      <c r="H5689" s="1">
        <v>2</v>
      </c>
      <c r="I5689" s="1">
        <v>3</v>
      </c>
      <c r="J5689" s="1">
        <v>2.5</v>
      </c>
      <c r="K5689" s="1">
        <v>2</v>
      </c>
      <c r="L5689" s="1">
        <v>1</v>
      </c>
      <c r="M5689" s="4">
        <v>1624</v>
      </c>
      <c r="N5689" s="1">
        <v>2253</v>
      </c>
      <c r="O5689" s="1">
        <v>5328</v>
      </c>
      <c r="P5689" s="1">
        <v>3075</v>
      </c>
      <c r="Q5689" s="1" t="s">
        <v>42</v>
      </c>
      <c r="S5689" s="1" t="s">
        <v>42</v>
      </c>
      <c r="T5689" s="1" t="s">
        <v>273</v>
      </c>
      <c r="U5689" s="1">
        <v>30</v>
      </c>
      <c r="V5689" s="5">
        <v>43713</v>
      </c>
      <c r="W5689" s="5">
        <v>43468</v>
      </c>
      <c r="X5689" s="1">
        <v>3700000</v>
      </c>
      <c r="Y5689" s="1">
        <v>3700000</v>
      </c>
      <c r="Z5689" s="5">
        <v>43498</v>
      </c>
      <c r="AA5689" s="1">
        <v>3488892</v>
      </c>
      <c r="AB5689" s="1" t="s">
        <v>275</v>
      </c>
      <c r="AC5689" s="5">
        <v>43518</v>
      </c>
      <c r="AF5689" s="1">
        <v>10038</v>
      </c>
      <c r="AI5689" s="1" t="s">
        <v>140</v>
      </c>
      <c r="AJ5689" s="1">
        <v>2015</v>
      </c>
      <c r="AK5689" s="1" t="s">
        <v>49</v>
      </c>
      <c r="AL5689" s="1">
        <v>67</v>
      </c>
    </row>
    <row r="5690" spans="1:38" x14ac:dyDescent="0.2">
      <c r="A5690" s="2" t="str">
        <f>HYPERLINK("https://www.compass.com/listing/5-beekman-street-unit-45a-manhattan-ny-10038/4852287433745635585/","5 Beekman St, Unit 45A")</f>
        <v>5 Beekman St, Unit 45A</v>
      </c>
      <c r="B5690" s="2" t="str">
        <f t="shared" si="952"/>
        <v>The Beekman Residences</v>
      </c>
      <c r="C5690" s="1" t="s">
        <v>96</v>
      </c>
      <c r="D5690" s="1" t="s">
        <v>41</v>
      </c>
      <c r="E5690" s="3">
        <v>3750000</v>
      </c>
      <c r="F5690" s="1">
        <v>2309.1133004926101</v>
      </c>
      <c r="G5690" s="1">
        <v>4</v>
      </c>
      <c r="H5690" s="1">
        <v>2</v>
      </c>
      <c r="I5690" s="1">
        <v>3</v>
      </c>
      <c r="J5690" s="1">
        <v>2.5</v>
      </c>
      <c r="M5690" s="4">
        <v>1624</v>
      </c>
      <c r="N5690" s="1">
        <v>2253</v>
      </c>
      <c r="O5690" s="1">
        <v>4552</v>
      </c>
      <c r="P5690" s="1">
        <v>2299</v>
      </c>
      <c r="Q5690" s="1" t="s">
        <v>42</v>
      </c>
      <c r="S5690" s="1" t="s">
        <v>42</v>
      </c>
      <c r="T5690" s="1" t="s">
        <v>273</v>
      </c>
      <c r="V5690" s="5">
        <v>43662</v>
      </c>
      <c r="W5690" s="5">
        <v>42788</v>
      </c>
      <c r="X5690" s="1">
        <v>3750000</v>
      </c>
      <c r="Y5690" s="1">
        <v>3750000</v>
      </c>
      <c r="Z5690" s="5">
        <v>42788</v>
      </c>
      <c r="AA5690" s="1">
        <v>3750000</v>
      </c>
      <c r="AB5690" s="1" t="s">
        <v>275</v>
      </c>
      <c r="AC5690" s="5">
        <v>43084</v>
      </c>
      <c r="AF5690" s="1">
        <v>10038</v>
      </c>
      <c r="AI5690" s="1" t="s">
        <v>101</v>
      </c>
      <c r="AJ5690" s="1">
        <v>2015</v>
      </c>
      <c r="AK5690" s="1" t="s">
        <v>49</v>
      </c>
      <c r="AL5690" s="1">
        <v>67</v>
      </c>
    </row>
    <row r="5691" spans="1:38" x14ac:dyDescent="0.2">
      <c r="A5691" s="2" t="str">
        <f>HYPERLINK("https://www.compass.com/listing/50-west-street-unit-43d-manhattan-ny-10006/50847840842392881/","50 West St, Unit 43D")</f>
        <v>50 West St, Unit 43D</v>
      </c>
      <c r="B5691" s="2" t="str">
        <f>HYPERLINK("https://www.compass.com/building/50-west-st-manhattan-ny-10006/281896342152815429/","50 West St")</f>
        <v>50 West St</v>
      </c>
      <c r="C5691" s="1" t="s">
        <v>96</v>
      </c>
      <c r="D5691" s="1" t="s">
        <v>41</v>
      </c>
      <c r="E5691" s="3">
        <v>3182031</v>
      </c>
      <c r="F5691" s="1">
        <v>2529.4364069952298</v>
      </c>
      <c r="G5691" s="1">
        <v>3</v>
      </c>
      <c r="H5691" s="1">
        <v>1</v>
      </c>
      <c r="I5691" s="1">
        <v>2</v>
      </c>
      <c r="J5691" s="1">
        <v>2</v>
      </c>
      <c r="K5691" s="1">
        <v>2</v>
      </c>
      <c r="M5691" s="4">
        <v>1258</v>
      </c>
      <c r="N5691" s="1">
        <v>1603.42</v>
      </c>
      <c r="O5691" s="1">
        <v>3391.4</v>
      </c>
      <c r="P5691" s="1">
        <v>1788</v>
      </c>
      <c r="Q5691" s="1" t="s">
        <v>42</v>
      </c>
      <c r="S5691" s="1" t="s">
        <v>42</v>
      </c>
      <c r="T5691" s="1" t="s">
        <v>273</v>
      </c>
      <c r="U5691" s="1">
        <v>16</v>
      </c>
      <c r="V5691" s="5">
        <v>43676</v>
      </c>
      <c r="W5691" s="5">
        <v>41836</v>
      </c>
      <c r="X5691" s="1">
        <v>3125000</v>
      </c>
      <c r="Y5691" s="1">
        <v>3125000</v>
      </c>
      <c r="Z5691" s="5">
        <v>41852</v>
      </c>
      <c r="AA5691" s="1">
        <v>3182031</v>
      </c>
      <c r="AB5691" s="1" t="s">
        <v>4025</v>
      </c>
      <c r="AC5691" s="5">
        <v>42825</v>
      </c>
      <c r="AF5691" s="1">
        <v>10006</v>
      </c>
      <c r="AI5691" s="1" t="s">
        <v>97</v>
      </c>
      <c r="AJ5691" s="1">
        <v>2016</v>
      </c>
      <c r="AK5691" s="1" t="s">
        <v>46</v>
      </c>
      <c r="AL5691" s="1">
        <v>186</v>
      </c>
    </row>
    <row r="5692" spans="1:38" x14ac:dyDescent="0.2">
      <c r="A5692" s="2" t="str">
        <f>HYPERLINK("https://www.compass.com/listing/196-orchard-street-unit-4l-manhattan-ny-10002/76583186179599121/","196 Orchard St, Unit 4L")</f>
        <v>196 Orchard St, Unit 4L</v>
      </c>
      <c r="B5692" s="2" t="str">
        <f>HYPERLINK("https://www.compass.com/building/196-orchard-st-manhattan-ny-10002/281886194713760485/","196 Orchard St")</f>
        <v>196 Orchard St</v>
      </c>
      <c r="C5692" s="1" t="s">
        <v>47</v>
      </c>
      <c r="D5692" s="1" t="s">
        <v>41</v>
      </c>
      <c r="E5692" s="3">
        <v>1767500</v>
      </c>
      <c r="F5692" s="1">
        <v>1572.5088967971501</v>
      </c>
      <c r="G5692" s="1">
        <v>4</v>
      </c>
      <c r="H5692" s="1">
        <v>1</v>
      </c>
      <c r="I5692" s="1">
        <v>2</v>
      </c>
      <c r="J5692" s="1">
        <v>2</v>
      </c>
      <c r="K5692" s="1">
        <v>2</v>
      </c>
      <c r="M5692" s="4">
        <v>1124</v>
      </c>
      <c r="N5692" s="1">
        <v>1489</v>
      </c>
      <c r="O5692" s="1">
        <v>2968</v>
      </c>
      <c r="P5692" s="1">
        <v>1479</v>
      </c>
      <c r="Q5692" s="1" t="s">
        <v>42</v>
      </c>
      <c r="S5692" s="1" t="s">
        <v>42</v>
      </c>
      <c r="T5692" s="1" t="s">
        <v>273</v>
      </c>
      <c r="U5692" s="1">
        <v>344</v>
      </c>
      <c r="V5692" s="5">
        <v>44338</v>
      </c>
      <c r="W5692" s="5">
        <v>43357</v>
      </c>
      <c r="X5692" s="1">
        <v>2200000</v>
      </c>
      <c r="Y5692" s="1">
        <v>1875000</v>
      </c>
      <c r="Z5692" s="5">
        <v>43701</v>
      </c>
      <c r="AA5692" s="1">
        <v>1767500</v>
      </c>
      <c r="AB5692" s="1" t="s">
        <v>4026</v>
      </c>
      <c r="AC5692" s="5">
        <v>43705</v>
      </c>
      <c r="AF5692" s="1">
        <v>10002</v>
      </c>
      <c r="AI5692" s="1" t="s">
        <v>223</v>
      </c>
      <c r="AJ5692" s="1">
        <v>2018</v>
      </c>
      <c r="AK5692" s="1" t="s">
        <v>46</v>
      </c>
      <c r="AL5692" s="1">
        <v>89</v>
      </c>
    </row>
    <row r="5693" spans="1:38" x14ac:dyDescent="0.2">
      <c r="A5693" s="2" t="str">
        <f>HYPERLINK("https://www.compass.com/listing/5-beekman-street-unit-41a-manhattan-ny-10038/70928036119271649/","5 Beekman St, Unit 41A")</f>
        <v>5 Beekman St, Unit 41A</v>
      </c>
      <c r="B5693" s="2" t="str">
        <f>HYPERLINK("https://www.compass.com/building/the-beekman-residences-manhattan-ny/282030567363458613/","The Beekman Residences")</f>
        <v>The Beekman Residences</v>
      </c>
      <c r="C5693" s="1" t="s">
        <v>96</v>
      </c>
      <c r="D5693" s="1" t="s">
        <v>41</v>
      </c>
      <c r="E5693" s="3">
        <v>3550000</v>
      </c>
      <c r="F5693" s="1">
        <v>2185.960591133</v>
      </c>
      <c r="G5693" s="1">
        <v>4</v>
      </c>
      <c r="H5693" s="1">
        <v>2</v>
      </c>
      <c r="I5693" s="1">
        <v>3</v>
      </c>
      <c r="J5693" s="1">
        <v>3</v>
      </c>
      <c r="K5693" s="1">
        <v>3</v>
      </c>
      <c r="M5693" s="4">
        <v>1624</v>
      </c>
      <c r="N5693" s="1">
        <v>2253</v>
      </c>
      <c r="O5693" s="1">
        <v>4552</v>
      </c>
      <c r="P5693" s="1">
        <v>2299</v>
      </c>
      <c r="Q5693" s="1" t="s">
        <v>42</v>
      </c>
      <c r="S5693" s="1" t="s">
        <v>42</v>
      </c>
      <c r="T5693" s="1" t="s">
        <v>273</v>
      </c>
      <c r="U5693" s="1">
        <v>37</v>
      </c>
      <c r="V5693" s="5">
        <v>44342</v>
      </c>
      <c r="W5693" s="5">
        <v>42802</v>
      </c>
      <c r="X5693" s="1">
        <v>3550000</v>
      </c>
      <c r="Y5693" s="1">
        <v>3550000</v>
      </c>
      <c r="Z5693" s="5">
        <v>42839</v>
      </c>
      <c r="AA5693" s="1">
        <v>3550000</v>
      </c>
      <c r="AB5693" s="1" t="s">
        <v>275</v>
      </c>
      <c r="AC5693" s="5">
        <v>43084</v>
      </c>
      <c r="AF5693" s="1">
        <v>10038</v>
      </c>
      <c r="AI5693" s="1" t="s">
        <v>140</v>
      </c>
      <c r="AJ5693" s="1">
        <v>2015</v>
      </c>
      <c r="AK5693" s="1" t="s">
        <v>49</v>
      </c>
      <c r="AL5693" s="1">
        <v>67</v>
      </c>
    </row>
    <row r="5694" spans="1:38" x14ac:dyDescent="0.2">
      <c r="A5694" s="2" t="str">
        <f>HYPERLINK("https://www.compass.com/listing/252-south-street-unit-26g-manhattan-ny-10002/157033391689114849/","252 South St, Unit 26G")</f>
        <v>252 South St, Unit 26G</v>
      </c>
      <c r="B5694" s="2" t="str">
        <f t="shared" ref="B5694:B5698" si="953">HYPERLINK("https://www.compass.com/building/one-manhattan-square-manhattan-ny/294844950218926165/","One Manhattan Square")</f>
        <v>One Manhattan Square</v>
      </c>
      <c r="C5694" s="1" t="s">
        <v>47</v>
      </c>
      <c r="D5694" s="1" t="s">
        <v>41</v>
      </c>
      <c r="E5694" s="3">
        <v>1249356</v>
      </c>
      <c r="F5694" s="1">
        <v>1728.01659751037</v>
      </c>
      <c r="G5694" s="1">
        <v>3</v>
      </c>
      <c r="H5694" s="1">
        <v>1</v>
      </c>
      <c r="I5694" s="1">
        <v>1</v>
      </c>
      <c r="J5694" s="1">
        <v>1</v>
      </c>
      <c r="K5694" s="1">
        <v>1</v>
      </c>
      <c r="M5694" s="1">
        <v>723</v>
      </c>
      <c r="N5694" s="1">
        <v>828</v>
      </c>
      <c r="O5694" s="1">
        <v>841.94</v>
      </c>
      <c r="P5694" s="1">
        <v>13.9166666666666</v>
      </c>
      <c r="Q5694" s="1" t="s">
        <v>42</v>
      </c>
      <c r="S5694" s="1" t="s">
        <v>42</v>
      </c>
      <c r="T5694" s="1" t="s">
        <v>273</v>
      </c>
      <c r="U5694" s="1">
        <v>1</v>
      </c>
      <c r="V5694" s="5">
        <v>43696</v>
      </c>
      <c r="W5694" s="5">
        <v>43469</v>
      </c>
      <c r="X5694" s="1">
        <v>1336000</v>
      </c>
      <c r="Y5694" s="1">
        <v>1336000</v>
      </c>
      <c r="Z5694" s="5">
        <v>43470</v>
      </c>
      <c r="AA5694" s="1">
        <v>1249356</v>
      </c>
      <c r="AB5694" s="1" t="s">
        <v>4027</v>
      </c>
      <c r="AC5694" s="5">
        <v>43532</v>
      </c>
      <c r="AF5694" s="1">
        <v>10002</v>
      </c>
      <c r="AI5694" s="1" t="s">
        <v>66</v>
      </c>
      <c r="AJ5694" s="1">
        <v>2019</v>
      </c>
      <c r="AK5694" s="1" t="s">
        <v>46</v>
      </c>
      <c r="AL5694" s="1">
        <v>787</v>
      </c>
    </row>
    <row r="5695" spans="1:38" x14ac:dyDescent="0.2">
      <c r="A5695" s="2" t="str">
        <f>HYPERLINK("https://www.compass.com/listing/252-south-street-unit-25f-manhattan-ny-10002/29513526448005937/","252 South St, Unit 25F")</f>
        <v>252 South St, Unit 25F</v>
      </c>
      <c r="B5695" s="2" t="str">
        <f t="shared" si="953"/>
        <v>One Manhattan Square</v>
      </c>
      <c r="C5695" s="1" t="s">
        <v>47</v>
      </c>
      <c r="D5695" s="1" t="s">
        <v>41</v>
      </c>
      <c r="E5695" s="3">
        <v>1281903</v>
      </c>
      <c r="F5695" s="1">
        <v>1844.46474820143</v>
      </c>
      <c r="G5695" s="1">
        <v>3</v>
      </c>
      <c r="H5695" s="1">
        <v>1</v>
      </c>
      <c r="I5695" s="1">
        <v>1</v>
      </c>
      <c r="J5695" s="1">
        <v>1</v>
      </c>
      <c r="M5695" s="1">
        <v>695</v>
      </c>
      <c r="N5695" s="1">
        <v>792</v>
      </c>
      <c r="O5695" s="1">
        <v>805</v>
      </c>
      <c r="P5695" s="1">
        <v>13</v>
      </c>
      <c r="Q5695" s="1" t="s">
        <v>42</v>
      </c>
      <c r="S5695" s="1" t="s">
        <v>42</v>
      </c>
      <c r="T5695" s="1" t="s">
        <v>273</v>
      </c>
      <c r="U5695" s="1">
        <v>3</v>
      </c>
      <c r="V5695" s="5">
        <v>43696</v>
      </c>
      <c r="W5695" s="5">
        <v>42899</v>
      </c>
      <c r="X5695" s="1">
        <v>1329000</v>
      </c>
      <c r="Y5695" s="1">
        <v>1329000</v>
      </c>
      <c r="Z5695" s="5">
        <v>42902</v>
      </c>
      <c r="AA5695" s="1">
        <v>1281903</v>
      </c>
      <c r="AB5695" s="1" t="s">
        <v>4028</v>
      </c>
      <c r="AC5695" s="5">
        <v>43657</v>
      </c>
      <c r="AF5695" s="1">
        <v>10002</v>
      </c>
      <c r="AI5695" s="1" t="s">
        <v>66</v>
      </c>
      <c r="AJ5695" s="1">
        <v>2019</v>
      </c>
      <c r="AK5695" s="1" t="s">
        <v>46</v>
      </c>
      <c r="AL5695" s="1">
        <v>787</v>
      </c>
    </row>
    <row r="5696" spans="1:38" x14ac:dyDescent="0.2">
      <c r="A5696" s="2" t="str">
        <f>HYPERLINK("https://www.compass.com/listing/252-south-street-unit-12n-manhattan-ny-10002/29513552998037873/","252 South St, Unit 12N")</f>
        <v>252 South St, Unit 12N</v>
      </c>
      <c r="B5696" s="2" t="str">
        <f t="shared" si="953"/>
        <v>One Manhattan Square</v>
      </c>
      <c r="C5696" s="1" t="s">
        <v>47</v>
      </c>
      <c r="D5696" s="1" t="s">
        <v>41</v>
      </c>
      <c r="E5696" s="3">
        <v>1250338</v>
      </c>
      <c r="F5696" s="1">
        <v>1799.04748201438</v>
      </c>
      <c r="G5696" s="1">
        <v>3</v>
      </c>
      <c r="H5696" s="1">
        <v>1</v>
      </c>
      <c r="I5696" s="1">
        <v>1</v>
      </c>
      <c r="J5696" s="1">
        <v>1</v>
      </c>
      <c r="M5696" s="1">
        <v>695</v>
      </c>
      <c r="N5696" s="1">
        <v>749</v>
      </c>
      <c r="O5696" s="1">
        <v>762</v>
      </c>
      <c r="P5696" s="1">
        <v>13</v>
      </c>
      <c r="Q5696" s="1" t="s">
        <v>42</v>
      </c>
      <c r="S5696" s="1" t="s">
        <v>42</v>
      </c>
      <c r="T5696" s="1" t="s">
        <v>273</v>
      </c>
      <c r="U5696" s="1">
        <v>1</v>
      </c>
      <c r="V5696" s="5">
        <v>43680</v>
      </c>
      <c r="W5696" s="5">
        <v>42768</v>
      </c>
      <c r="X5696" s="1">
        <v>1335000</v>
      </c>
      <c r="Y5696" s="1">
        <v>1335000</v>
      </c>
      <c r="Z5696" s="5">
        <v>42770</v>
      </c>
      <c r="AA5696" s="1">
        <v>1250338</v>
      </c>
      <c r="AB5696" s="1" t="s">
        <v>4029</v>
      </c>
      <c r="AC5696" s="5">
        <v>43553</v>
      </c>
      <c r="AF5696" s="1">
        <v>10002</v>
      </c>
      <c r="AI5696" s="1" t="s">
        <v>66</v>
      </c>
      <c r="AJ5696" s="1">
        <v>2019</v>
      </c>
      <c r="AK5696" s="1" t="s">
        <v>46</v>
      </c>
      <c r="AL5696" s="1">
        <v>787</v>
      </c>
    </row>
    <row r="5697" spans="1:38" x14ac:dyDescent="0.2">
      <c r="A5697" s="2" t="str">
        <f>HYPERLINK("https://www.compass.com/listing/252-south-street-unit-28g-manhattan-ny-10002/650202248371155401/","252 South St, Unit 28G")</f>
        <v>252 South St, Unit 28G</v>
      </c>
      <c r="B5697" s="2" t="str">
        <f t="shared" si="953"/>
        <v>One Manhattan Square</v>
      </c>
      <c r="C5697" s="1" t="s">
        <v>47</v>
      </c>
      <c r="D5697" s="1" t="s">
        <v>41</v>
      </c>
      <c r="E5697" s="3">
        <v>1260237</v>
      </c>
      <c r="F5697" s="1">
        <v>1743.0657123098199</v>
      </c>
      <c r="H5697" s="1">
        <v>1</v>
      </c>
      <c r="J5697" s="1">
        <v>1</v>
      </c>
      <c r="K5697" s="1">
        <v>1</v>
      </c>
      <c r="M5697" s="1">
        <v>723</v>
      </c>
      <c r="N5697" s="1">
        <v>848</v>
      </c>
      <c r="O5697" s="1">
        <v>861</v>
      </c>
      <c r="P5697" s="1">
        <v>13</v>
      </c>
      <c r="Q5697" s="1" t="s">
        <v>42</v>
      </c>
      <c r="S5697" s="1" t="s">
        <v>42</v>
      </c>
      <c r="T5697" s="1" t="s">
        <v>273</v>
      </c>
      <c r="AA5697" s="1">
        <v>1260236.51</v>
      </c>
      <c r="AB5697" s="1" t="s">
        <v>4030</v>
      </c>
      <c r="AC5697" s="5">
        <v>44124</v>
      </c>
      <c r="AF5697" s="1">
        <v>10002</v>
      </c>
      <c r="AI5697" s="1" t="s">
        <v>66</v>
      </c>
      <c r="AJ5697" s="1">
        <v>2019</v>
      </c>
      <c r="AK5697" s="1" t="s">
        <v>49</v>
      </c>
      <c r="AL5697" s="1">
        <v>787</v>
      </c>
    </row>
    <row r="5698" spans="1:38" x14ac:dyDescent="0.2">
      <c r="A5698" s="2" t="str">
        <f>HYPERLINK("https://www.compass.com/listing/252-south-street-unit-26k-manhattan-ny-10002/29513553283164273/","252 South St, Unit 26K")</f>
        <v>252 South St, Unit 26K</v>
      </c>
      <c r="B5698" s="2" t="str">
        <f t="shared" si="953"/>
        <v>One Manhattan Square</v>
      </c>
      <c r="C5698" s="1" t="s">
        <v>47</v>
      </c>
      <c r="D5698" s="1" t="s">
        <v>41</v>
      </c>
      <c r="E5698" s="3">
        <v>1304102</v>
      </c>
      <c r="F5698" s="1">
        <v>1876.40575539568</v>
      </c>
      <c r="G5698" s="1">
        <v>3</v>
      </c>
      <c r="H5698" s="1">
        <v>1</v>
      </c>
      <c r="I5698" s="1">
        <v>1</v>
      </c>
      <c r="J5698" s="1">
        <v>1</v>
      </c>
      <c r="M5698" s="1">
        <v>695</v>
      </c>
      <c r="N5698" s="1">
        <v>796</v>
      </c>
      <c r="O5698" s="1">
        <v>810</v>
      </c>
      <c r="P5698" s="1">
        <v>14</v>
      </c>
      <c r="Q5698" s="1" t="s">
        <v>42</v>
      </c>
      <c r="S5698" s="1" t="s">
        <v>42</v>
      </c>
      <c r="T5698" s="1" t="s">
        <v>273</v>
      </c>
      <c r="U5698" s="1">
        <v>4</v>
      </c>
      <c r="V5698" s="5">
        <v>43892</v>
      </c>
      <c r="W5698" s="5">
        <v>42749</v>
      </c>
      <c r="X5698" s="1">
        <v>1357000</v>
      </c>
      <c r="Y5698" s="1">
        <v>1357000</v>
      </c>
      <c r="Z5698" s="5">
        <v>42753</v>
      </c>
      <c r="AA5698" s="1">
        <v>1304102</v>
      </c>
      <c r="AB5698" s="1" t="s">
        <v>4031</v>
      </c>
      <c r="AC5698" s="5">
        <v>43873</v>
      </c>
      <c r="AF5698" s="1">
        <v>10002</v>
      </c>
      <c r="AI5698" s="1" t="s">
        <v>4032</v>
      </c>
      <c r="AJ5698" s="1">
        <v>2019</v>
      </c>
      <c r="AK5698" s="1" t="s">
        <v>46</v>
      </c>
      <c r="AL5698" s="1">
        <v>787</v>
      </c>
    </row>
    <row r="5699" spans="1:38" x14ac:dyDescent="0.2">
      <c r="A5699" s="2" t="str">
        <f>HYPERLINK("https://www.compass.com/listing/130-william-street-unit-40d-manhattan-ny-10038/202116054686732625/","130 William St, Unit 40D")</f>
        <v>130 William St, Unit 40D</v>
      </c>
      <c r="B5699" s="2" t="str">
        <f t="shared" ref="B5699:B5702" si="954">HYPERLINK("https://www.compass.com/building/130-william-st-manhattan-ny-10038/282029682239486757/","130 William St")</f>
        <v>130 William St</v>
      </c>
      <c r="C5699" s="1" t="s">
        <v>96</v>
      </c>
      <c r="D5699" s="1" t="s">
        <v>41</v>
      </c>
      <c r="E5699" s="3">
        <v>1745830</v>
      </c>
      <c r="F5699" s="1">
        <v>2041.90685380116</v>
      </c>
      <c r="G5699" s="1">
        <v>3</v>
      </c>
      <c r="H5699" s="1">
        <v>1</v>
      </c>
      <c r="I5699" s="1">
        <v>1</v>
      </c>
      <c r="J5699" s="1">
        <v>1</v>
      </c>
      <c r="K5699" s="1">
        <v>1</v>
      </c>
      <c r="M5699" s="1">
        <v>855</v>
      </c>
      <c r="N5699" s="1">
        <v>609.54</v>
      </c>
      <c r="O5699" s="1">
        <v>1790.42</v>
      </c>
      <c r="P5699" s="1">
        <v>1180.9166666666599</v>
      </c>
      <c r="Q5699" s="1" t="s">
        <v>42</v>
      </c>
      <c r="S5699" s="1" t="s">
        <v>42</v>
      </c>
      <c r="T5699" s="1" t="s">
        <v>273</v>
      </c>
      <c r="U5699" s="1">
        <v>1</v>
      </c>
      <c r="V5699" s="5">
        <v>44267</v>
      </c>
      <c r="W5699" s="5">
        <v>43529</v>
      </c>
      <c r="X5699" s="1">
        <v>1710990</v>
      </c>
      <c r="Y5699" s="1">
        <v>1710990</v>
      </c>
      <c r="Z5699" s="5">
        <v>44231</v>
      </c>
      <c r="AA5699" s="1">
        <v>1745830.36</v>
      </c>
      <c r="AB5699" s="1" t="s">
        <v>4033</v>
      </c>
      <c r="AC5699" s="5">
        <v>44252</v>
      </c>
      <c r="AF5699" s="1">
        <v>10038</v>
      </c>
      <c r="AI5699" s="1" t="s">
        <v>111</v>
      </c>
      <c r="AJ5699" s="1">
        <v>2020</v>
      </c>
      <c r="AK5699" s="1" t="s">
        <v>46</v>
      </c>
      <c r="AL5699" s="1">
        <v>244</v>
      </c>
    </row>
    <row r="5700" spans="1:38" x14ac:dyDescent="0.2">
      <c r="A5700" s="2" t="str">
        <f>HYPERLINK("https://www.compass.com/listing/130-william-street-unit-35d-manhattan-ny-10038/211431828098195697/","130 William St, Unit 35D")</f>
        <v>130 William St, Unit 35D</v>
      </c>
      <c r="B5700" s="2" t="str">
        <f t="shared" si="954"/>
        <v>130 William St</v>
      </c>
      <c r="C5700" s="1" t="s">
        <v>96</v>
      </c>
      <c r="D5700" s="1" t="s">
        <v>41</v>
      </c>
      <c r="E5700" s="3">
        <v>1664370</v>
      </c>
      <c r="F5700" s="1">
        <v>1946.6320000000001</v>
      </c>
      <c r="G5700" s="1">
        <v>3</v>
      </c>
      <c r="H5700" s="1">
        <v>1</v>
      </c>
      <c r="I5700" s="1">
        <v>1</v>
      </c>
      <c r="J5700" s="1">
        <v>1</v>
      </c>
      <c r="K5700" s="1">
        <v>1</v>
      </c>
      <c r="M5700" s="1">
        <v>855</v>
      </c>
      <c r="N5700" s="1">
        <v>605.23</v>
      </c>
      <c r="O5700" s="1">
        <v>1777.76</v>
      </c>
      <c r="P5700" s="1">
        <v>1172.5</v>
      </c>
      <c r="Q5700" s="1" t="s">
        <v>42</v>
      </c>
      <c r="S5700" s="1" t="s">
        <v>42</v>
      </c>
      <c r="T5700" s="1" t="s">
        <v>273</v>
      </c>
      <c r="V5700" s="5">
        <v>44267</v>
      </c>
      <c r="W5700" s="5">
        <v>43543</v>
      </c>
      <c r="X5700" s="1">
        <v>1630990</v>
      </c>
      <c r="Y5700" s="1">
        <v>1630990</v>
      </c>
      <c r="Z5700" s="5">
        <v>44099</v>
      </c>
      <c r="AA5700" s="1">
        <v>1664370.36</v>
      </c>
      <c r="AB5700" s="1" t="s">
        <v>4034</v>
      </c>
      <c r="AC5700" s="5">
        <v>44253</v>
      </c>
      <c r="AF5700" s="1">
        <v>10038</v>
      </c>
      <c r="AI5700" s="1" t="s">
        <v>111</v>
      </c>
      <c r="AJ5700" s="1">
        <v>2020</v>
      </c>
      <c r="AK5700" s="1" t="s">
        <v>46</v>
      </c>
      <c r="AL5700" s="1">
        <v>244</v>
      </c>
    </row>
    <row r="5701" spans="1:38" x14ac:dyDescent="0.2">
      <c r="A5701" s="2" t="str">
        <f>HYPERLINK("https://www.compass.com/listing/130-william-street-unit-39d-manhattan-ny-10038/212994792198507537/","130 William St, Unit 39D")</f>
        <v>130 William St, Unit 39D</v>
      </c>
      <c r="B5701" s="2" t="str">
        <f t="shared" si="954"/>
        <v>130 William St</v>
      </c>
      <c r="C5701" s="1" t="s">
        <v>96</v>
      </c>
      <c r="D5701" s="1" t="s">
        <v>41</v>
      </c>
      <c r="E5701" s="3">
        <v>1725465</v>
      </c>
      <c r="F5701" s="1">
        <v>2018.0881403508699</v>
      </c>
      <c r="G5701" s="1">
        <v>3</v>
      </c>
      <c r="H5701" s="1">
        <v>1</v>
      </c>
      <c r="I5701" s="1">
        <v>1</v>
      </c>
      <c r="J5701" s="1">
        <v>1</v>
      </c>
      <c r="K5701" s="1">
        <v>1</v>
      </c>
      <c r="M5701" s="1">
        <v>855</v>
      </c>
      <c r="N5701" s="1">
        <v>608.63</v>
      </c>
      <c r="O5701" s="1">
        <v>1787.75</v>
      </c>
      <c r="P5701" s="1">
        <v>1179.0833333333301</v>
      </c>
      <c r="Q5701" s="1" t="s">
        <v>42</v>
      </c>
      <c r="S5701" s="1" t="s">
        <v>42</v>
      </c>
      <c r="T5701" s="1" t="s">
        <v>273</v>
      </c>
      <c r="V5701" s="5">
        <v>44414</v>
      </c>
      <c r="W5701" s="5">
        <v>43545</v>
      </c>
      <c r="X5701" s="1">
        <v>1690990</v>
      </c>
      <c r="Y5701" s="1">
        <v>1690990</v>
      </c>
      <c r="Z5701" s="5">
        <v>44103</v>
      </c>
      <c r="AA5701" s="1">
        <v>1725465.36</v>
      </c>
      <c r="AB5701" s="1" t="s">
        <v>4035</v>
      </c>
      <c r="AC5701" s="5">
        <v>44249</v>
      </c>
      <c r="AF5701" s="1">
        <v>10038</v>
      </c>
      <c r="AI5701" s="1" t="s">
        <v>111</v>
      </c>
      <c r="AJ5701" s="1">
        <v>2020</v>
      </c>
      <c r="AK5701" s="1" t="s">
        <v>46</v>
      </c>
      <c r="AL5701" s="1">
        <v>244</v>
      </c>
    </row>
    <row r="5702" spans="1:38" x14ac:dyDescent="0.2">
      <c r="A5702" s="2" t="str">
        <f>HYPERLINK("https://www.compass.com/listing/130-william-street-unit-36d-manhattan-ny-10038/46341256799849089/","130 William St, Unit 36D")</f>
        <v>130 William St, Unit 36D</v>
      </c>
      <c r="B5702" s="2" t="str">
        <f t="shared" si="954"/>
        <v>130 William St</v>
      </c>
      <c r="C5702" s="1" t="s">
        <v>96</v>
      </c>
      <c r="D5702" s="1" t="s">
        <v>41</v>
      </c>
      <c r="E5702" s="3">
        <v>1720374</v>
      </c>
      <c r="F5702" s="1">
        <v>2012.1334619883</v>
      </c>
      <c r="G5702" s="1">
        <v>3</v>
      </c>
      <c r="H5702" s="1">
        <v>1</v>
      </c>
      <c r="I5702" s="1">
        <v>1</v>
      </c>
      <c r="J5702" s="1">
        <v>1</v>
      </c>
      <c r="K5702" s="1">
        <v>1</v>
      </c>
      <c r="M5702" s="1">
        <v>855</v>
      </c>
      <c r="N5702" s="1">
        <v>606</v>
      </c>
      <c r="O5702" s="1">
        <v>1780</v>
      </c>
      <c r="P5702" s="1">
        <v>1174</v>
      </c>
      <c r="Q5702" s="1" t="s">
        <v>42</v>
      </c>
      <c r="S5702" s="1" t="s">
        <v>42</v>
      </c>
      <c r="T5702" s="1" t="s">
        <v>273</v>
      </c>
      <c r="U5702" s="1">
        <v>99</v>
      </c>
      <c r="V5702" s="5">
        <v>44253</v>
      </c>
      <c r="W5702" s="5">
        <v>44054</v>
      </c>
      <c r="X5702" s="1">
        <v>1685990</v>
      </c>
      <c r="Y5702" s="1">
        <v>1685990</v>
      </c>
      <c r="Z5702" s="5">
        <v>44159</v>
      </c>
      <c r="AA5702" s="1">
        <v>1720374.11</v>
      </c>
      <c r="AB5702" s="1" t="s">
        <v>4036</v>
      </c>
      <c r="AC5702" s="5">
        <v>44246</v>
      </c>
      <c r="AF5702" s="1">
        <v>10038</v>
      </c>
      <c r="AI5702" s="1" t="s">
        <v>265</v>
      </c>
      <c r="AJ5702" s="1">
        <v>2020</v>
      </c>
      <c r="AK5702" s="1" t="s">
        <v>46</v>
      </c>
      <c r="AL5702" s="1">
        <v>244</v>
      </c>
    </row>
    <row r="5703" spans="1:38" x14ac:dyDescent="0.2">
      <c r="A5703" s="2" t="str">
        <f>HYPERLINK("https://www.compass.com/listing/42-allen-street-unit-6b-manhattan-ny-10002/789570087378093625/","42 Allen St, Unit 6B")</f>
        <v>42 Allen St, Unit 6B</v>
      </c>
      <c r="B5703" s="2" t="str">
        <f>HYPERLINK("https://www.compass.com/building/42-allen-manhattan-ny/307432515178187973/","42 Allen")</f>
        <v>42 Allen</v>
      </c>
      <c r="C5703" s="1" t="s">
        <v>47</v>
      </c>
      <c r="D5703" s="1" t="s">
        <v>41</v>
      </c>
      <c r="E5703" s="3">
        <v>1876635</v>
      </c>
      <c r="F5703" s="1">
        <v>1394.23086924219</v>
      </c>
      <c r="H5703" s="1">
        <v>2</v>
      </c>
      <c r="J5703" s="1">
        <v>2.5</v>
      </c>
      <c r="M5703" s="4">
        <v>1346</v>
      </c>
      <c r="N5703" s="1">
        <v>845</v>
      </c>
      <c r="O5703" s="1">
        <v>2862</v>
      </c>
      <c r="P5703" s="1">
        <v>2017</v>
      </c>
      <c r="Q5703" s="1" t="s">
        <v>42</v>
      </c>
      <c r="S5703" s="1" t="s">
        <v>42</v>
      </c>
      <c r="T5703" s="1" t="s">
        <v>273</v>
      </c>
      <c r="AA5703" s="1">
        <v>1876634.75</v>
      </c>
      <c r="AB5703" s="1" t="s">
        <v>4037</v>
      </c>
      <c r="AC5703" s="5">
        <v>44307</v>
      </c>
      <c r="AF5703" s="1">
        <v>10002</v>
      </c>
      <c r="AJ5703" s="1">
        <v>2019</v>
      </c>
      <c r="AL5703" s="1">
        <v>8</v>
      </c>
    </row>
    <row r="5704" spans="1:38" x14ac:dyDescent="0.2">
      <c r="A5704" s="2" t="str">
        <f>HYPERLINK("https://www.compass.com/listing/130-william-street-unit-17b-manhattan-ny-10038/58639851494373313/","130 William St, Unit 17B")</f>
        <v>130 William St, Unit 17B</v>
      </c>
      <c r="B5704" s="2" t="str">
        <f>HYPERLINK("https://www.compass.com/building/130-william-st-manhattan-ny-10038/282029682239486757/","130 William St")</f>
        <v>130 William St</v>
      </c>
      <c r="C5704" s="1" t="s">
        <v>96</v>
      </c>
      <c r="D5704" s="1" t="s">
        <v>41</v>
      </c>
      <c r="E5704" s="3">
        <v>1335990</v>
      </c>
      <c r="F5704" s="1">
        <v>1786.0828877005299</v>
      </c>
      <c r="G5704" s="1">
        <v>3</v>
      </c>
      <c r="H5704" s="1">
        <v>1</v>
      </c>
      <c r="I5704" s="1">
        <v>1</v>
      </c>
      <c r="J5704" s="1">
        <v>1</v>
      </c>
      <c r="K5704" s="1">
        <v>1</v>
      </c>
      <c r="M5704" s="1">
        <v>748</v>
      </c>
      <c r="N5704" s="1">
        <v>509.46</v>
      </c>
      <c r="O5704" s="1">
        <v>1496.46</v>
      </c>
      <c r="P5704" s="1">
        <v>987</v>
      </c>
      <c r="Q5704" s="1" t="s">
        <v>42</v>
      </c>
      <c r="S5704" s="1" t="s">
        <v>42</v>
      </c>
      <c r="T5704" s="1" t="s">
        <v>273</v>
      </c>
      <c r="U5704" s="1">
        <v>52</v>
      </c>
      <c r="V5704" s="5">
        <v>44223</v>
      </c>
      <c r="W5704" s="5">
        <v>43332</v>
      </c>
      <c r="X5704" s="1">
        <v>1335990</v>
      </c>
      <c r="Y5704" s="1">
        <v>1335990</v>
      </c>
      <c r="Z5704" s="5">
        <v>44152</v>
      </c>
      <c r="AA5704" s="1">
        <v>1335990</v>
      </c>
      <c r="AB5704" s="1" t="s">
        <v>4038</v>
      </c>
      <c r="AC5704" s="5">
        <v>44195</v>
      </c>
      <c r="AF5704" s="1">
        <v>10038</v>
      </c>
      <c r="AI5704" s="1" t="s">
        <v>111</v>
      </c>
      <c r="AJ5704" s="1">
        <v>2020</v>
      </c>
      <c r="AK5704" s="1" t="s">
        <v>46</v>
      </c>
      <c r="AL5704" s="1">
        <v>244</v>
      </c>
    </row>
    <row r="5705" spans="1:38" x14ac:dyDescent="0.2">
      <c r="A5705" s="2" t="str">
        <f>HYPERLINK("https://www.compass.com/listing/50-west-street-unit-22d-manhattan-ny-10006/744447345034555473/","50 West St, Unit 22D")</f>
        <v>50 West St, Unit 22D</v>
      </c>
      <c r="B5705" s="2" t="str">
        <f>HYPERLINK("https://www.compass.com/building/50-west-st-manhattan-ny-10006/281896342152815429/","50 West St")</f>
        <v>50 West St</v>
      </c>
      <c r="C5705" s="1" t="s">
        <v>96</v>
      </c>
      <c r="D5705" s="1" t="s">
        <v>41</v>
      </c>
      <c r="E5705" s="3">
        <v>4546688</v>
      </c>
      <c r="F5705" s="1">
        <v>1892.0880149812699</v>
      </c>
      <c r="G5705" s="1">
        <v>5</v>
      </c>
      <c r="H5705" s="1">
        <v>3</v>
      </c>
      <c r="I5705" s="1">
        <v>3</v>
      </c>
      <c r="J5705" s="1">
        <v>3</v>
      </c>
      <c r="K5705" s="1">
        <v>3</v>
      </c>
      <c r="M5705" s="4">
        <v>2403</v>
      </c>
      <c r="N5705" s="1">
        <v>2842.46</v>
      </c>
      <c r="O5705" s="1">
        <v>7027.83</v>
      </c>
      <c r="P5705" s="1">
        <v>4185.3333333333303</v>
      </c>
      <c r="Q5705" s="1" t="s">
        <v>42</v>
      </c>
      <c r="S5705" s="1" t="s">
        <v>42</v>
      </c>
      <c r="T5705" s="1" t="s">
        <v>273</v>
      </c>
      <c r="V5705" s="5">
        <v>44357</v>
      </c>
      <c r="W5705" s="5">
        <v>44278</v>
      </c>
      <c r="X5705" s="1">
        <v>4900000</v>
      </c>
      <c r="Y5705" s="1">
        <v>4900000</v>
      </c>
      <c r="Z5705" s="5">
        <v>44278</v>
      </c>
      <c r="AA5705" s="1">
        <v>4546687.5</v>
      </c>
      <c r="AB5705" s="1" t="s">
        <v>4039</v>
      </c>
      <c r="AC5705" s="5">
        <v>44356</v>
      </c>
      <c r="AF5705" s="1">
        <v>10006</v>
      </c>
      <c r="AI5705" s="1" t="s">
        <v>165</v>
      </c>
      <c r="AJ5705" s="1">
        <v>2016</v>
      </c>
      <c r="AK5705" s="1" t="s">
        <v>46</v>
      </c>
      <c r="AL5705" s="1">
        <v>186</v>
      </c>
    </row>
    <row r="5706" spans="1:38" x14ac:dyDescent="0.2">
      <c r="A5706" s="2" t="str">
        <f>HYPERLINK("https://www.compass.com/listing/5-beekman-street-unit-49a-manhattan-ny-10038/226718243971226129/","5 Beekman St, Unit 49A")</f>
        <v>5 Beekman St, Unit 49A</v>
      </c>
      <c r="B5706" s="2" t="str">
        <f t="shared" ref="B5706:B5707" si="955">HYPERLINK("https://www.compass.com/building/the-beekman-residences-manhattan-ny/282030567363458613/","The Beekman Residences")</f>
        <v>The Beekman Residences</v>
      </c>
      <c r="C5706" s="1" t="s">
        <v>96</v>
      </c>
      <c r="D5706" s="1" t="s">
        <v>41</v>
      </c>
      <c r="E5706" s="3">
        <v>3350000</v>
      </c>
      <c r="F5706" s="1">
        <v>2062.8078817733899</v>
      </c>
      <c r="G5706" s="1">
        <v>4</v>
      </c>
      <c r="H5706" s="1">
        <v>2</v>
      </c>
      <c r="I5706" s="1">
        <v>3</v>
      </c>
      <c r="J5706" s="1">
        <v>2.5</v>
      </c>
      <c r="K5706" s="1">
        <v>2</v>
      </c>
      <c r="L5706" s="1">
        <v>1</v>
      </c>
      <c r="M5706" s="4">
        <v>1624</v>
      </c>
      <c r="N5706" s="1">
        <v>2636</v>
      </c>
      <c r="O5706" s="1">
        <v>6059</v>
      </c>
      <c r="P5706" s="1">
        <v>3423</v>
      </c>
      <c r="Q5706" s="1" t="s">
        <v>42</v>
      </c>
      <c r="S5706" s="1" t="s">
        <v>42</v>
      </c>
      <c r="T5706" s="1" t="s">
        <v>273</v>
      </c>
      <c r="U5706" s="1">
        <v>212</v>
      </c>
      <c r="V5706" s="5">
        <v>43816</v>
      </c>
      <c r="W5706" s="5">
        <v>43565</v>
      </c>
      <c r="X5706" s="1">
        <v>3850000</v>
      </c>
      <c r="Y5706" s="1">
        <v>3495000</v>
      </c>
      <c r="Z5706" s="5">
        <v>43777</v>
      </c>
      <c r="AA5706" s="1">
        <v>3350000</v>
      </c>
      <c r="AB5706" s="1" t="s">
        <v>275</v>
      </c>
      <c r="AC5706" s="5">
        <v>43806</v>
      </c>
      <c r="AF5706" s="1">
        <v>10038</v>
      </c>
      <c r="AI5706" s="1" t="s">
        <v>140</v>
      </c>
      <c r="AJ5706" s="1">
        <v>2015</v>
      </c>
      <c r="AK5706" s="1" t="s">
        <v>49</v>
      </c>
      <c r="AL5706" s="1">
        <v>67</v>
      </c>
    </row>
    <row r="5707" spans="1:38" x14ac:dyDescent="0.2">
      <c r="A5707" s="2" t="str">
        <f>HYPERLINK("https://www.compass.com/listing/5-beekman-street-unit-23a-manhattan-ny-10038/96152178544185089/","5 Beekman St, Unit 23A")</f>
        <v>5 Beekman St, Unit 23A</v>
      </c>
      <c r="B5707" s="2" t="str">
        <f t="shared" si="955"/>
        <v>The Beekman Residences</v>
      </c>
      <c r="C5707" s="1" t="s">
        <v>96</v>
      </c>
      <c r="D5707" s="1" t="s">
        <v>41</v>
      </c>
      <c r="E5707" s="3">
        <v>2500000</v>
      </c>
      <c r="F5707" s="1">
        <v>1538.4615384615299</v>
      </c>
      <c r="G5707" s="1">
        <v>4</v>
      </c>
      <c r="H5707" s="1">
        <v>2</v>
      </c>
      <c r="I5707" s="1">
        <v>3</v>
      </c>
      <c r="J5707" s="1">
        <v>2.5</v>
      </c>
      <c r="K5707" s="1">
        <v>2</v>
      </c>
      <c r="L5707" s="1">
        <v>1</v>
      </c>
      <c r="M5707" s="4">
        <v>1625</v>
      </c>
      <c r="N5707" s="1">
        <v>2729</v>
      </c>
      <c r="O5707" s="1">
        <v>5780</v>
      </c>
      <c r="P5707" s="1">
        <v>3051</v>
      </c>
      <c r="Q5707" s="1" t="s">
        <v>42</v>
      </c>
      <c r="S5707" s="1" t="s">
        <v>42</v>
      </c>
      <c r="T5707" s="1" t="s">
        <v>273</v>
      </c>
      <c r="U5707" s="1">
        <v>229</v>
      </c>
      <c r="V5707" s="5">
        <v>43669</v>
      </c>
      <c r="W5707" s="5">
        <v>43385</v>
      </c>
      <c r="X5707" s="1">
        <v>2750000</v>
      </c>
      <c r="Y5707" s="1">
        <v>2750000</v>
      </c>
      <c r="Z5707" s="5">
        <v>43614</v>
      </c>
      <c r="AA5707" s="1">
        <v>2500000</v>
      </c>
      <c r="AB5707" s="1" t="s">
        <v>275</v>
      </c>
      <c r="AC5707" s="5">
        <v>43659</v>
      </c>
      <c r="AF5707" s="1">
        <v>10038</v>
      </c>
      <c r="AI5707" s="1" t="s">
        <v>140</v>
      </c>
      <c r="AJ5707" s="1">
        <v>2015</v>
      </c>
      <c r="AK5707" s="1" t="s">
        <v>49</v>
      </c>
      <c r="AL5707" s="1">
        <v>67</v>
      </c>
    </row>
    <row r="5708" spans="1:38" x14ac:dyDescent="0.2">
      <c r="A5708" s="2" t="str">
        <f>HYPERLINK("https://www.compass.com/listing/252-south-street-unit-29j-manhattan-ny-10002/29513541077739105/","252 South St, Unit 29J")</f>
        <v>252 South St, Unit 29J</v>
      </c>
      <c r="B5708" s="2" t="str">
        <f t="shared" ref="B5708:B5711" si="956">HYPERLINK("https://www.compass.com/building/one-manhattan-square-manhattan-ny/294844950218926165/","One Manhattan Square")</f>
        <v>One Manhattan Square</v>
      </c>
      <c r="C5708" s="1" t="s">
        <v>47</v>
      </c>
      <c r="D5708" s="1" t="s">
        <v>41</v>
      </c>
      <c r="E5708" s="3">
        <v>1317542</v>
      </c>
      <c r="F5708" s="1">
        <v>1893.02011494252</v>
      </c>
      <c r="G5708" s="1">
        <v>3</v>
      </c>
      <c r="H5708" s="1">
        <v>1</v>
      </c>
      <c r="I5708" s="1">
        <v>1</v>
      </c>
      <c r="J5708" s="1">
        <v>1</v>
      </c>
      <c r="M5708" s="1">
        <v>696</v>
      </c>
      <c r="N5708" s="1">
        <v>808</v>
      </c>
      <c r="O5708" s="1">
        <v>822</v>
      </c>
      <c r="P5708" s="1">
        <v>14</v>
      </c>
      <c r="Q5708" s="1" t="s">
        <v>42</v>
      </c>
      <c r="S5708" s="1" t="s">
        <v>42</v>
      </c>
      <c r="T5708" s="1" t="s">
        <v>273</v>
      </c>
      <c r="U5708" s="1">
        <v>3</v>
      </c>
      <c r="V5708" s="5">
        <v>43696</v>
      </c>
      <c r="W5708" s="5">
        <v>42886</v>
      </c>
      <c r="X5708" s="1">
        <v>1365000</v>
      </c>
      <c r="Y5708" s="1">
        <v>1365000</v>
      </c>
      <c r="Z5708" s="5">
        <v>42889</v>
      </c>
      <c r="AA5708" s="1">
        <v>1317542</v>
      </c>
      <c r="AB5708" s="1" t="s">
        <v>4040</v>
      </c>
      <c r="AC5708" s="5">
        <v>43634</v>
      </c>
      <c r="AF5708" s="1">
        <v>10002</v>
      </c>
      <c r="AI5708" s="1" t="s">
        <v>66</v>
      </c>
      <c r="AJ5708" s="1">
        <v>2019</v>
      </c>
      <c r="AK5708" s="1" t="s">
        <v>46</v>
      </c>
      <c r="AL5708" s="1">
        <v>787</v>
      </c>
    </row>
    <row r="5709" spans="1:38" x14ac:dyDescent="0.2">
      <c r="A5709" s="2" t="str">
        <f>HYPERLINK("https://www.compass.com/listing/252-south-street-unit-25k-manhattan-ny-10002/29513541866268273/","252 South St, Unit 25K")</f>
        <v>252 South St, Unit 25K</v>
      </c>
      <c r="B5709" s="2" t="str">
        <f t="shared" si="956"/>
        <v>One Manhattan Square</v>
      </c>
      <c r="C5709" s="1" t="s">
        <v>47</v>
      </c>
      <c r="D5709" s="1" t="s">
        <v>41</v>
      </c>
      <c r="E5709" s="3">
        <v>1342998</v>
      </c>
      <c r="F5709" s="1">
        <v>1932.3712230215799</v>
      </c>
      <c r="G5709" s="1">
        <v>3</v>
      </c>
      <c r="H5709" s="1">
        <v>1</v>
      </c>
      <c r="I5709" s="1">
        <v>1</v>
      </c>
      <c r="J5709" s="1">
        <v>1</v>
      </c>
      <c r="M5709" s="1">
        <v>695</v>
      </c>
      <c r="N5709" s="1">
        <v>792</v>
      </c>
      <c r="O5709" s="1">
        <v>805</v>
      </c>
      <c r="P5709" s="1">
        <v>13</v>
      </c>
      <c r="Q5709" s="1" t="s">
        <v>42</v>
      </c>
      <c r="S5709" s="1" t="s">
        <v>42</v>
      </c>
      <c r="T5709" s="1" t="s">
        <v>273</v>
      </c>
      <c r="U5709" s="1">
        <v>3</v>
      </c>
      <c r="V5709" s="5">
        <v>43696</v>
      </c>
      <c r="W5709" s="5">
        <v>42854</v>
      </c>
      <c r="X5709" s="1">
        <v>1365000</v>
      </c>
      <c r="Y5709" s="1">
        <v>1365000</v>
      </c>
      <c r="Z5709" s="5">
        <v>42857</v>
      </c>
      <c r="AA5709" s="1">
        <v>1342998.75</v>
      </c>
      <c r="AB5709" s="1" t="s">
        <v>4041</v>
      </c>
      <c r="AC5709" s="5">
        <v>43608</v>
      </c>
      <c r="AF5709" s="1">
        <v>10002</v>
      </c>
      <c r="AI5709" s="1" t="s">
        <v>66</v>
      </c>
      <c r="AJ5709" s="1">
        <v>2019</v>
      </c>
      <c r="AK5709" s="1" t="s">
        <v>46</v>
      </c>
      <c r="AL5709" s="1">
        <v>787</v>
      </c>
    </row>
    <row r="5710" spans="1:38" x14ac:dyDescent="0.2">
      <c r="A5710" s="2" t="str">
        <f>HYPERLINK("https://www.compass.com/listing/252-south-street-unit-38f-manhattan-ny-10002/29513552721178257/","252 South St, Unit 38F")</f>
        <v>252 South St, Unit 38F</v>
      </c>
      <c r="B5710" s="2" t="str">
        <f t="shared" si="956"/>
        <v>One Manhattan Square</v>
      </c>
      <c r="C5710" s="1" t="s">
        <v>47</v>
      </c>
      <c r="D5710" s="1" t="s">
        <v>41</v>
      </c>
      <c r="E5710" s="3">
        <v>1318613</v>
      </c>
      <c r="F5710" s="1">
        <v>1826.33379501385</v>
      </c>
      <c r="G5710" s="1">
        <v>3</v>
      </c>
      <c r="H5710" s="1">
        <v>1</v>
      </c>
      <c r="I5710" s="1">
        <v>1</v>
      </c>
      <c r="J5710" s="1">
        <v>1</v>
      </c>
      <c r="M5710" s="1">
        <v>722</v>
      </c>
      <c r="N5710" s="1">
        <v>869</v>
      </c>
      <c r="O5710" s="1">
        <v>884</v>
      </c>
      <c r="P5710" s="1">
        <v>15</v>
      </c>
      <c r="Q5710" s="1" t="s">
        <v>42</v>
      </c>
      <c r="S5710" s="1" t="s">
        <v>42</v>
      </c>
      <c r="T5710" s="1" t="s">
        <v>273</v>
      </c>
      <c r="U5710" s="1">
        <v>3</v>
      </c>
      <c r="V5710" s="5">
        <v>43696</v>
      </c>
      <c r="W5710" s="5">
        <v>42693</v>
      </c>
      <c r="X5710" s="1">
        <v>1359000</v>
      </c>
      <c r="Y5710" s="1">
        <v>1359000</v>
      </c>
      <c r="Z5710" s="5">
        <v>42696</v>
      </c>
      <c r="AA5710" s="1">
        <v>1318613</v>
      </c>
      <c r="AB5710" s="1" t="s">
        <v>4042</v>
      </c>
      <c r="AC5710" s="5">
        <v>43641</v>
      </c>
      <c r="AF5710" s="1">
        <v>10002</v>
      </c>
      <c r="AI5710" s="1" t="s">
        <v>66</v>
      </c>
      <c r="AJ5710" s="1">
        <v>2019</v>
      </c>
      <c r="AK5710" s="1" t="s">
        <v>46</v>
      </c>
      <c r="AL5710" s="1">
        <v>787</v>
      </c>
    </row>
    <row r="5711" spans="1:38" x14ac:dyDescent="0.2">
      <c r="A5711" s="2" t="str">
        <f>HYPERLINK("https://www.compass.com/listing/252-south-street-unit-48f-manhattan-ny-10002/368009595449425585/","252 South St, Unit 48F")</f>
        <v>252 South St, Unit 48F</v>
      </c>
      <c r="B5711" s="2" t="str">
        <f t="shared" si="956"/>
        <v>One Manhattan Square</v>
      </c>
      <c r="C5711" s="1" t="s">
        <v>47</v>
      </c>
      <c r="D5711" s="1" t="s">
        <v>41</v>
      </c>
      <c r="E5711" s="3">
        <v>1343763</v>
      </c>
      <c r="F5711" s="1">
        <v>1861.16819944598</v>
      </c>
      <c r="H5711" s="1">
        <v>1</v>
      </c>
      <c r="J5711" s="1">
        <v>1</v>
      </c>
      <c r="K5711" s="1">
        <v>1</v>
      </c>
      <c r="M5711" s="1">
        <v>722</v>
      </c>
      <c r="N5711" s="1">
        <v>550</v>
      </c>
      <c r="O5711" s="1">
        <v>570</v>
      </c>
      <c r="P5711" s="1">
        <v>20</v>
      </c>
      <c r="Q5711" s="1" t="s">
        <v>42</v>
      </c>
      <c r="S5711" s="1" t="s">
        <v>42</v>
      </c>
      <c r="T5711" s="1" t="s">
        <v>273</v>
      </c>
      <c r="AA5711" s="1">
        <v>1343763.44</v>
      </c>
      <c r="AB5711" s="1" t="s">
        <v>4043</v>
      </c>
      <c r="AC5711" s="5">
        <v>43745</v>
      </c>
      <c r="AF5711" s="1">
        <v>10002</v>
      </c>
      <c r="AI5711" s="1" t="s">
        <v>66</v>
      </c>
      <c r="AJ5711" s="1">
        <v>2019</v>
      </c>
      <c r="AK5711" s="1" t="s">
        <v>49</v>
      </c>
      <c r="AL5711" s="1">
        <v>787</v>
      </c>
    </row>
    <row r="5712" spans="1:38" x14ac:dyDescent="0.2">
      <c r="A5712" s="2" t="str">
        <f>HYPERLINK("https://www.compass.com/listing/204-forsyth-street-unit-6-manhattan-ny-10002/284695206731726801/","204 Forsyth St, Unit 6")</f>
        <v>204 Forsyth St, Unit 6</v>
      </c>
      <c r="B5712" s="2" t="str">
        <f>HYPERLINK("https://www.compass.com/building/204-forsyth-st-manhattan-ny-10002/281886285847598005/","204 Forsyth St")</f>
        <v>204 Forsyth St</v>
      </c>
      <c r="C5712" s="1" t="s">
        <v>47</v>
      </c>
      <c r="D5712" s="1" t="s">
        <v>41</v>
      </c>
      <c r="E5712" s="3">
        <v>6000000</v>
      </c>
      <c r="F5712" s="1">
        <v>2110.4467112205398</v>
      </c>
      <c r="H5712" s="1">
        <v>3</v>
      </c>
      <c r="J5712" s="1">
        <v>3.5</v>
      </c>
      <c r="M5712" s="4">
        <v>2843</v>
      </c>
      <c r="N5712" s="1">
        <v>2100</v>
      </c>
      <c r="O5712" s="1">
        <v>4262</v>
      </c>
      <c r="P5712" s="1">
        <v>2162</v>
      </c>
      <c r="Q5712" s="1" t="s">
        <v>42</v>
      </c>
      <c r="S5712" s="1" t="s">
        <v>42</v>
      </c>
      <c r="T5712" s="1" t="s">
        <v>273</v>
      </c>
      <c r="AA5712" s="1">
        <v>6000000</v>
      </c>
      <c r="AB5712" s="1" t="s">
        <v>4044</v>
      </c>
      <c r="AC5712" s="5">
        <v>43536</v>
      </c>
      <c r="AF5712" s="1">
        <v>10002</v>
      </c>
      <c r="AI5712" s="1" t="s">
        <v>48</v>
      </c>
      <c r="AJ5712" s="1">
        <v>2016</v>
      </c>
      <c r="AK5712" s="1" t="s">
        <v>49</v>
      </c>
      <c r="AL5712" s="1">
        <v>11</v>
      </c>
    </row>
    <row r="5713" spans="1:38" x14ac:dyDescent="0.2">
      <c r="A5713" s="2" t="str">
        <f>HYPERLINK("https://www.compass.com/listing/50-west-street-unit-55d-manhattan-ny-10006/176171840937470337/","50 West St, Unit 55D")</f>
        <v>50 West St, Unit 55D</v>
      </c>
      <c r="B5713" s="2" t="str">
        <f t="shared" ref="B5713:B5732" si="957">HYPERLINK("https://www.compass.com/building/50-west-st-manhattan-ny-10006/281896342152815429/","50 West St")</f>
        <v>50 West St</v>
      </c>
      <c r="C5713" s="1" t="s">
        <v>96</v>
      </c>
      <c r="D5713" s="1" t="s">
        <v>41</v>
      </c>
      <c r="E5713" s="3">
        <v>2900000</v>
      </c>
      <c r="F5713" s="1">
        <v>2305.24642289348</v>
      </c>
      <c r="G5713" s="1">
        <v>4</v>
      </c>
      <c r="H5713" s="1">
        <v>1</v>
      </c>
      <c r="I5713" s="1">
        <v>2</v>
      </c>
      <c r="J5713" s="1">
        <v>2</v>
      </c>
      <c r="K5713" s="1">
        <v>2</v>
      </c>
      <c r="M5713" s="4">
        <v>1258</v>
      </c>
      <c r="N5713" s="1">
        <v>1679</v>
      </c>
      <c r="O5713" s="1">
        <v>4220</v>
      </c>
      <c r="P5713" s="1">
        <v>2541</v>
      </c>
      <c r="Q5713" s="1" t="s">
        <v>42</v>
      </c>
      <c r="S5713" s="1" t="s">
        <v>42</v>
      </c>
      <c r="T5713" s="1" t="s">
        <v>273</v>
      </c>
      <c r="U5713" s="1">
        <v>151</v>
      </c>
      <c r="V5713" s="5">
        <v>43727</v>
      </c>
      <c r="W5713" s="5">
        <v>43494</v>
      </c>
      <c r="X5713" s="1">
        <v>3399000</v>
      </c>
      <c r="Y5713" s="1">
        <v>2990000</v>
      </c>
      <c r="Z5713" s="5">
        <v>43650</v>
      </c>
      <c r="AA5713" s="1">
        <v>2900000</v>
      </c>
      <c r="AB5713" s="1" t="s">
        <v>4045</v>
      </c>
      <c r="AC5713" s="5">
        <v>43726</v>
      </c>
      <c r="AF5713" s="1">
        <v>10006</v>
      </c>
      <c r="AI5713" s="1" t="s">
        <v>97</v>
      </c>
      <c r="AJ5713" s="1">
        <v>2016</v>
      </c>
      <c r="AK5713" s="1" t="s">
        <v>46</v>
      </c>
      <c r="AL5713" s="1">
        <v>186</v>
      </c>
    </row>
    <row r="5714" spans="1:38" x14ac:dyDescent="0.2">
      <c r="A5714" s="2" t="str">
        <f>HYPERLINK("https://www.compass.com/listing/50-west-street-unit-23a-manhattan-ny-10006/181059318324463377/","50 West St, Unit 23A")</f>
        <v>50 West St, Unit 23A</v>
      </c>
      <c r="B5714" s="2" t="str">
        <f t="shared" si="957"/>
        <v>50 West St</v>
      </c>
      <c r="C5714" s="1" t="s">
        <v>96</v>
      </c>
      <c r="D5714" s="1" t="s">
        <v>41</v>
      </c>
      <c r="E5714" s="3">
        <v>2856191</v>
      </c>
      <c r="F5714" s="1">
        <v>1718.52647412755</v>
      </c>
      <c r="G5714" s="1">
        <v>4</v>
      </c>
      <c r="H5714" s="1">
        <v>2</v>
      </c>
      <c r="I5714" s="1">
        <v>3</v>
      </c>
      <c r="J5714" s="1">
        <v>2.5</v>
      </c>
      <c r="K5714" s="1">
        <v>2</v>
      </c>
      <c r="L5714" s="1">
        <v>1</v>
      </c>
      <c r="M5714" s="4">
        <v>1662</v>
      </c>
      <c r="N5714" s="1">
        <v>1939.58</v>
      </c>
      <c r="O5714" s="1">
        <v>4102.43</v>
      </c>
      <c r="P5714" s="1">
        <v>2162.8333333333298</v>
      </c>
      <c r="Q5714" s="1" t="s">
        <v>42</v>
      </c>
      <c r="S5714" s="1" t="s">
        <v>42</v>
      </c>
      <c r="T5714" s="1" t="s">
        <v>273</v>
      </c>
      <c r="U5714" s="1">
        <v>14</v>
      </c>
      <c r="V5714" s="5">
        <v>43676</v>
      </c>
      <c r="W5714" s="5">
        <v>41927</v>
      </c>
      <c r="X5714" s="1">
        <v>2805000</v>
      </c>
      <c r="Y5714" s="1">
        <v>2805000</v>
      </c>
      <c r="Z5714" s="5">
        <v>41941</v>
      </c>
      <c r="AA5714" s="1">
        <v>2856191</v>
      </c>
      <c r="AB5714" s="1" t="s">
        <v>4046</v>
      </c>
      <c r="AC5714" s="5">
        <v>42784</v>
      </c>
      <c r="AF5714" s="1">
        <v>10006</v>
      </c>
      <c r="AI5714" s="1" t="s">
        <v>97</v>
      </c>
      <c r="AJ5714" s="1">
        <v>2016</v>
      </c>
      <c r="AK5714" s="1" t="s">
        <v>46</v>
      </c>
      <c r="AL5714" s="1">
        <v>186</v>
      </c>
    </row>
    <row r="5715" spans="1:38" x14ac:dyDescent="0.2">
      <c r="A5715" s="2" t="str">
        <f>HYPERLINK("https://www.compass.com/listing/50-west-street-unit-8a-manhattan-ny-10006/29355193694978561/","50 West St, Unit 8A")</f>
        <v>50 West St, Unit 8A</v>
      </c>
      <c r="B5715" s="2" t="str">
        <f t="shared" si="957"/>
        <v>50 West St</v>
      </c>
      <c r="C5715" s="1" t="s">
        <v>96</v>
      </c>
      <c r="D5715" s="1" t="s">
        <v>41</v>
      </c>
      <c r="E5715" s="3">
        <v>2581264</v>
      </c>
      <c r="F5715" s="1">
        <v>1551.24038461538</v>
      </c>
      <c r="G5715" s="1">
        <v>4</v>
      </c>
      <c r="H5715" s="1">
        <v>2</v>
      </c>
      <c r="I5715" s="1">
        <v>3</v>
      </c>
      <c r="J5715" s="1">
        <v>2.5</v>
      </c>
      <c r="K5715" s="1">
        <v>2</v>
      </c>
      <c r="L5715" s="1">
        <v>1</v>
      </c>
      <c r="M5715" s="4">
        <v>1664</v>
      </c>
      <c r="N5715" s="1">
        <v>1816.63</v>
      </c>
      <c r="O5715" s="1">
        <v>3842.38</v>
      </c>
      <c r="P5715" s="1">
        <v>2025.75</v>
      </c>
      <c r="Q5715" s="1" t="s">
        <v>42</v>
      </c>
      <c r="S5715" s="1" t="s">
        <v>42</v>
      </c>
      <c r="T5715" s="1" t="s">
        <v>273</v>
      </c>
      <c r="U5715" s="1">
        <v>94</v>
      </c>
      <c r="V5715" s="5">
        <v>43676</v>
      </c>
      <c r="W5715" s="5">
        <v>42165</v>
      </c>
      <c r="X5715" s="1">
        <v>2535000</v>
      </c>
      <c r="Y5715" s="1">
        <v>2535000</v>
      </c>
      <c r="Z5715" s="5">
        <v>42259</v>
      </c>
      <c r="AA5715" s="1">
        <v>2581264</v>
      </c>
      <c r="AB5715" s="1" t="s">
        <v>4047</v>
      </c>
      <c r="AC5715" s="5">
        <v>42777</v>
      </c>
      <c r="AF5715" s="1">
        <v>10006</v>
      </c>
      <c r="AI5715" s="1" t="s">
        <v>97</v>
      </c>
      <c r="AJ5715" s="1">
        <v>2016</v>
      </c>
      <c r="AK5715" s="1" t="s">
        <v>46</v>
      </c>
      <c r="AL5715" s="1">
        <v>186</v>
      </c>
    </row>
    <row r="5716" spans="1:38" x14ac:dyDescent="0.2">
      <c r="A5716" s="2" t="str">
        <f>HYPERLINK("https://www.compass.com/listing/50-west-street-unit-12a-manhattan-ny-10006/29355196781986353/","50 West St, Unit 12A")</f>
        <v>50 West St, Unit 12A</v>
      </c>
      <c r="B5716" s="2" t="str">
        <f t="shared" si="957"/>
        <v>50 West St</v>
      </c>
      <c r="C5716" s="1" t="s">
        <v>96</v>
      </c>
      <c r="D5716" s="1" t="s">
        <v>41</v>
      </c>
      <c r="E5716" s="3">
        <v>2662724</v>
      </c>
      <c r="F5716" s="1">
        <v>1602.1201865222599</v>
      </c>
      <c r="G5716" s="1">
        <v>4</v>
      </c>
      <c r="H5716" s="1">
        <v>2</v>
      </c>
      <c r="I5716" s="1">
        <v>3</v>
      </c>
      <c r="J5716" s="1">
        <v>2.5</v>
      </c>
      <c r="K5716" s="1">
        <v>2</v>
      </c>
      <c r="L5716" s="1">
        <v>1</v>
      </c>
      <c r="M5716" s="4">
        <v>1662</v>
      </c>
      <c r="N5716" s="1">
        <v>1850.19</v>
      </c>
      <c r="O5716" s="1">
        <v>3913.36</v>
      </c>
      <c r="P5716" s="1">
        <v>2063.1666666666601</v>
      </c>
      <c r="Q5716" s="1" t="s">
        <v>42</v>
      </c>
      <c r="S5716" s="1" t="s">
        <v>42</v>
      </c>
      <c r="T5716" s="1" t="s">
        <v>273</v>
      </c>
      <c r="U5716" s="1">
        <v>59</v>
      </c>
      <c r="V5716" s="5">
        <v>43606</v>
      </c>
      <c r="W5716" s="5">
        <v>42011</v>
      </c>
      <c r="X5716" s="1">
        <v>2615000</v>
      </c>
      <c r="Y5716" s="1">
        <v>2615000</v>
      </c>
      <c r="Z5716" s="5">
        <v>42070</v>
      </c>
      <c r="AA5716" s="1">
        <v>2662723.75</v>
      </c>
      <c r="AB5716" s="1" t="s">
        <v>4048</v>
      </c>
      <c r="AC5716" s="5">
        <v>42755</v>
      </c>
      <c r="AF5716" s="1">
        <v>10006</v>
      </c>
      <c r="AI5716" s="1" t="s">
        <v>97</v>
      </c>
      <c r="AJ5716" s="1">
        <v>2016</v>
      </c>
      <c r="AK5716" s="1" t="s">
        <v>46</v>
      </c>
      <c r="AL5716" s="1">
        <v>186</v>
      </c>
    </row>
    <row r="5717" spans="1:38" x14ac:dyDescent="0.2">
      <c r="A5717" s="2" t="str">
        <f>HYPERLINK("https://www.compass.com/listing/50-west-street-unit-27a-manhattan-ny-10006/4852282158452050401/","50 West St, Unit 27A")</f>
        <v>50 West St, Unit 27A</v>
      </c>
      <c r="B5717" s="2" t="str">
        <f t="shared" si="957"/>
        <v>50 West St</v>
      </c>
      <c r="C5717" s="1" t="s">
        <v>96</v>
      </c>
      <c r="D5717" s="1" t="s">
        <v>41</v>
      </c>
      <c r="E5717" s="3">
        <v>3270000</v>
      </c>
      <c r="F5717" s="1">
        <v>1967.50902527075</v>
      </c>
      <c r="G5717" s="1">
        <v>4</v>
      </c>
      <c r="H5717" s="1">
        <v>2</v>
      </c>
      <c r="I5717" s="1">
        <v>3</v>
      </c>
      <c r="J5717" s="1">
        <v>2.5</v>
      </c>
      <c r="K5717" s="1">
        <v>2</v>
      </c>
      <c r="L5717" s="1">
        <v>1</v>
      </c>
      <c r="M5717" s="4">
        <v>1662</v>
      </c>
      <c r="N5717" s="1">
        <v>1968.54</v>
      </c>
      <c r="O5717" s="1">
        <v>4163.71</v>
      </c>
      <c r="P5717" s="1">
        <v>2195.1666666666601</v>
      </c>
      <c r="Q5717" s="1" t="s">
        <v>42</v>
      </c>
      <c r="S5717" s="1" t="s">
        <v>42</v>
      </c>
      <c r="T5717" s="1" t="s">
        <v>273</v>
      </c>
      <c r="U5717" s="1">
        <v>294</v>
      </c>
      <c r="V5717" s="5">
        <v>43649</v>
      </c>
      <c r="W5717" s="5">
        <v>42669</v>
      </c>
      <c r="X5717" s="1">
        <v>3270000</v>
      </c>
      <c r="Y5717" s="1">
        <v>3270000</v>
      </c>
      <c r="Z5717" s="5">
        <v>42963</v>
      </c>
      <c r="AA5717" s="1">
        <v>3270000</v>
      </c>
      <c r="AB5717" s="1" t="s">
        <v>275</v>
      </c>
      <c r="AC5717" s="5">
        <v>43019</v>
      </c>
      <c r="AF5717" s="1">
        <v>10006</v>
      </c>
      <c r="AI5717" s="1" t="s">
        <v>97</v>
      </c>
      <c r="AJ5717" s="1">
        <v>2016</v>
      </c>
      <c r="AK5717" s="1" t="s">
        <v>46</v>
      </c>
      <c r="AL5717" s="1">
        <v>186</v>
      </c>
    </row>
    <row r="5718" spans="1:38" x14ac:dyDescent="0.2">
      <c r="A5718" s="2" t="str">
        <f>HYPERLINK("https://www.compass.com/listing/50-west-street-unit-29a-manhattan-ny-10006/4852282677975327713/","50 West St, Unit 29A")</f>
        <v>50 West St, Unit 29A</v>
      </c>
      <c r="B5718" s="2" t="str">
        <f t="shared" si="957"/>
        <v>50 West St</v>
      </c>
      <c r="C5718" s="1" t="s">
        <v>96</v>
      </c>
      <c r="D5718" s="1" t="s">
        <v>41</v>
      </c>
      <c r="E5718" s="3">
        <v>3270000</v>
      </c>
      <c r="F5718" s="1">
        <v>1967.50902527075</v>
      </c>
      <c r="G5718" s="1">
        <v>4</v>
      </c>
      <c r="H5718" s="1">
        <v>2</v>
      </c>
      <c r="I5718" s="1">
        <v>3</v>
      </c>
      <c r="J5718" s="1">
        <v>2.5</v>
      </c>
      <c r="K5718" s="1">
        <v>2</v>
      </c>
      <c r="L5718" s="1">
        <v>1</v>
      </c>
      <c r="M5718" s="4">
        <v>1662</v>
      </c>
      <c r="N5718" s="1">
        <v>1986.36</v>
      </c>
      <c r="O5718" s="1">
        <v>4201.3900000000003</v>
      </c>
      <c r="P5718" s="1">
        <v>2215</v>
      </c>
      <c r="Q5718" s="1" t="s">
        <v>42</v>
      </c>
      <c r="S5718" s="1" t="s">
        <v>42</v>
      </c>
      <c r="T5718" s="1" t="s">
        <v>273</v>
      </c>
      <c r="U5718" s="1">
        <v>369</v>
      </c>
      <c r="V5718" s="5">
        <v>43649</v>
      </c>
      <c r="W5718" s="5">
        <v>42594</v>
      </c>
      <c r="X5718" s="1">
        <v>3270000</v>
      </c>
      <c r="Y5718" s="1">
        <v>3270000</v>
      </c>
      <c r="Z5718" s="5">
        <v>42963</v>
      </c>
      <c r="AA5718" s="1">
        <v>3270000</v>
      </c>
      <c r="AB5718" s="1" t="s">
        <v>275</v>
      </c>
      <c r="AC5718" s="5">
        <v>43029</v>
      </c>
      <c r="AF5718" s="1">
        <v>10006</v>
      </c>
      <c r="AI5718" s="1" t="s">
        <v>97</v>
      </c>
      <c r="AJ5718" s="1">
        <v>2016</v>
      </c>
      <c r="AK5718" s="1" t="s">
        <v>46</v>
      </c>
      <c r="AL5718" s="1">
        <v>186</v>
      </c>
    </row>
    <row r="5719" spans="1:38" x14ac:dyDescent="0.2">
      <c r="A5719" s="2" t="str">
        <f>HYPERLINK("https://www.compass.com/listing/50-west-street-unit-25a-manhattan-ny-10006/4852283335868693745/","50 West St, Unit 25A")</f>
        <v>50 West St, Unit 25A</v>
      </c>
      <c r="B5719" s="2" t="str">
        <f t="shared" si="957"/>
        <v>50 West St</v>
      </c>
      <c r="C5719" s="1" t="s">
        <v>96</v>
      </c>
      <c r="D5719" s="1" t="s">
        <v>41</v>
      </c>
      <c r="E5719" s="3">
        <v>3230000</v>
      </c>
      <c r="F5719" s="1">
        <v>1943.44163658243</v>
      </c>
      <c r="G5719" s="1">
        <v>4</v>
      </c>
      <c r="H5719" s="1">
        <v>2</v>
      </c>
      <c r="I5719" s="1">
        <v>3</v>
      </c>
      <c r="J5719" s="1">
        <v>2.5</v>
      </c>
      <c r="K5719" s="1">
        <v>2</v>
      </c>
      <c r="L5719" s="1">
        <v>1</v>
      </c>
      <c r="M5719" s="4">
        <v>1662</v>
      </c>
      <c r="N5719" s="1">
        <v>1950.73</v>
      </c>
      <c r="O5719" s="1">
        <v>4255.3599999999997</v>
      </c>
      <c r="P5719" s="1">
        <v>2304.6666666666601</v>
      </c>
      <c r="Q5719" s="1" t="s">
        <v>42</v>
      </c>
      <c r="S5719" s="1" t="s">
        <v>42</v>
      </c>
      <c r="T5719" s="1" t="s">
        <v>273</v>
      </c>
      <c r="U5719" s="1">
        <v>97</v>
      </c>
      <c r="V5719" s="5">
        <v>43040</v>
      </c>
      <c r="W5719" s="5">
        <v>42103</v>
      </c>
      <c r="X5719" s="1">
        <v>3135000</v>
      </c>
      <c r="Y5719" s="1">
        <v>3230000</v>
      </c>
      <c r="AB5719" s="1" t="s">
        <v>275</v>
      </c>
      <c r="AC5719" s="5">
        <v>43040</v>
      </c>
      <c r="AF5719" s="1">
        <v>10006</v>
      </c>
      <c r="AI5719" s="1" t="s">
        <v>97</v>
      </c>
      <c r="AJ5719" s="1">
        <v>2016</v>
      </c>
      <c r="AK5719" s="1" t="s">
        <v>46</v>
      </c>
      <c r="AL5719" s="1">
        <v>186</v>
      </c>
    </row>
    <row r="5720" spans="1:38" x14ac:dyDescent="0.2">
      <c r="A5720" s="2" t="str">
        <f>HYPERLINK("https://www.compass.com/listing/50-west-street-unit-47a-manhattan-ny-10006/29355226662242817/","50 West St, Unit 47A")</f>
        <v>50 West St, Unit 47A</v>
      </c>
      <c r="B5720" s="2" t="str">
        <f t="shared" si="957"/>
        <v>50 West St</v>
      </c>
      <c r="C5720" s="1" t="s">
        <v>96</v>
      </c>
      <c r="D5720" s="1" t="s">
        <v>41</v>
      </c>
      <c r="E5720" s="3">
        <v>4190099</v>
      </c>
      <c r="F5720" s="1">
        <v>2416.4352652825801</v>
      </c>
      <c r="G5720" s="1">
        <v>5</v>
      </c>
      <c r="H5720" s="1">
        <v>2</v>
      </c>
      <c r="I5720" s="1">
        <v>3</v>
      </c>
      <c r="J5720" s="1">
        <v>3</v>
      </c>
      <c r="K5720" s="1">
        <v>3</v>
      </c>
      <c r="M5720" s="4">
        <v>1734</v>
      </c>
      <c r="N5720" s="1">
        <v>2497.5300000000002</v>
      </c>
      <c r="O5720" s="1">
        <v>4737.22</v>
      </c>
      <c r="P5720" s="1">
        <v>2239.6666666666601</v>
      </c>
      <c r="Q5720" s="1" t="s">
        <v>42</v>
      </c>
      <c r="S5720" s="1" t="s">
        <v>42</v>
      </c>
      <c r="T5720" s="1" t="s">
        <v>273</v>
      </c>
      <c r="U5720" s="1">
        <v>51</v>
      </c>
      <c r="V5720" s="5">
        <v>43603</v>
      </c>
      <c r="W5720" s="5">
        <v>42725</v>
      </c>
      <c r="X5720" s="1">
        <v>4115000</v>
      </c>
      <c r="Y5720" s="1">
        <v>4115000</v>
      </c>
      <c r="Z5720" s="5">
        <v>42776</v>
      </c>
      <c r="AA5720" s="1">
        <v>4190098.75</v>
      </c>
      <c r="AB5720" s="1" t="s">
        <v>4049</v>
      </c>
      <c r="AC5720" s="5">
        <v>42926</v>
      </c>
      <c r="AF5720" s="1">
        <v>10006</v>
      </c>
      <c r="AI5720" s="1" t="s">
        <v>97</v>
      </c>
      <c r="AJ5720" s="1">
        <v>2016</v>
      </c>
      <c r="AK5720" s="1" t="s">
        <v>46</v>
      </c>
      <c r="AL5720" s="1">
        <v>186</v>
      </c>
    </row>
    <row r="5721" spans="1:38" x14ac:dyDescent="0.2">
      <c r="A5721" s="2" t="str">
        <f>HYPERLINK("https://www.compass.com/listing/50-west-street-unit-50a-manhattan-ny-10006/29355229690530353/","50 West St, Unit 50A")</f>
        <v>50 West St, Unit 50A</v>
      </c>
      <c r="B5721" s="2" t="str">
        <f t="shared" si="957"/>
        <v>50 West St</v>
      </c>
      <c r="C5721" s="1" t="s">
        <v>96</v>
      </c>
      <c r="D5721" s="1" t="s">
        <v>41</v>
      </c>
      <c r="E5721" s="3">
        <v>4337745</v>
      </c>
      <c r="F5721" s="1">
        <v>2501.5830449826899</v>
      </c>
      <c r="G5721" s="1">
        <v>5</v>
      </c>
      <c r="H5721" s="1">
        <v>2</v>
      </c>
      <c r="I5721" s="1">
        <v>3</v>
      </c>
      <c r="J5721" s="1">
        <v>3</v>
      </c>
      <c r="K5721" s="1">
        <v>3</v>
      </c>
      <c r="M5721" s="4">
        <v>1734</v>
      </c>
      <c r="N5721" s="1">
        <v>2278.02</v>
      </c>
      <c r="O5721" s="1">
        <v>4818.2700000000004</v>
      </c>
      <c r="P5721" s="1">
        <v>2540.25</v>
      </c>
      <c r="Q5721" s="1" t="s">
        <v>42</v>
      </c>
      <c r="S5721" s="1" t="s">
        <v>42</v>
      </c>
      <c r="T5721" s="1" t="s">
        <v>273</v>
      </c>
      <c r="V5721" s="5">
        <v>43605</v>
      </c>
      <c r="W5721" s="5">
        <v>42431</v>
      </c>
      <c r="X5721" s="1">
        <v>4260000</v>
      </c>
      <c r="Y5721" s="1">
        <v>4260000</v>
      </c>
      <c r="Z5721" s="5">
        <v>42431</v>
      </c>
      <c r="AA5721" s="1">
        <v>4337745</v>
      </c>
      <c r="AB5721" s="1" t="s">
        <v>4050</v>
      </c>
      <c r="AC5721" s="5">
        <v>42842</v>
      </c>
      <c r="AF5721" s="1">
        <v>10006</v>
      </c>
      <c r="AI5721" s="1" t="s">
        <v>97</v>
      </c>
      <c r="AJ5721" s="1">
        <v>2016</v>
      </c>
      <c r="AK5721" s="1" t="s">
        <v>46</v>
      </c>
      <c r="AL5721" s="1">
        <v>186</v>
      </c>
    </row>
    <row r="5722" spans="1:38" x14ac:dyDescent="0.2">
      <c r="A5722" s="2" t="str">
        <f>HYPERLINK("https://www.compass.com/listing/50-west-street-unit-36b-manhattan-ny-10006/29355215035629521/","50 West St, Unit 36B")</f>
        <v>50 West St, Unit 36B</v>
      </c>
      <c r="B5722" s="2" t="str">
        <f t="shared" si="957"/>
        <v>50 West St</v>
      </c>
      <c r="C5722" s="1" t="s">
        <v>96</v>
      </c>
      <c r="D5722" s="1" t="s">
        <v>41</v>
      </c>
      <c r="E5722" s="3">
        <v>3563875</v>
      </c>
      <c r="F5722" s="1">
        <v>2355.5023132848601</v>
      </c>
      <c r="G5722" s="1">
        <v>4</v>
      </c>
      <c r="H5722" s="1">
        <v>2</v>
      </c>
      <c r="I5722" s="1">
        <v>3</v>
      </c>
      <c r="J5722" s="1">
        <v>2.5</v>
      </c>
      <c r="K5722" s="1">
        <v>2</v>
      </c>
      <c r="L5722" s="1">
        <v>1</v>
      </c>
      <c r="M5722" s="4">
        <v>1513</v>
      </c>
      <c r="N5722" s="1">
        <v>1871.47</v>
      </c>
      <c r="O5722" s="1">
        <v>3958.37</v>
      </c>
      <c r="P5722" s="1">
        <v>2086.9166666666601</v>
      </c>
      <c r="Q5722" s="1" t="s">
        <v>42</v>
      </c>
      <c r="S5722" s="1" t="s">
        <v>42</v>
      </c>
      <c r="T5722" s="1" t="s">
        <v>273</v>
      </c>
      <c r="U5722" s="1">
        <v>208</v>
      </c>
      <c r="V5722" s="5">
        <v>43677</v>
      </c>
      <c r="W5722" s="5">
        <v>41854</v>
      </c>
      <c r="X5722" s="1">
        <v>3500000</v>
      </c>
      <c r="Y5722" s="1">
        <v>3500000</v>
      </c>
      <c r="Z5722" s="5">
        <v>42062</v>
      </c>
      <c r="AA5722" s="1">
        <v>3563875</v>
      </c>
      <c r="AB5722" s="1" t="s">
        <v>4051</v>
      </c>
      <c r="AC5722" s="5">
        <v>42795</v>
      </c>
      <c r="AF5722" s="1">
        <v>10006</v>
      </c>
      <c r="AI5722" s="1" t="s">
        <v>97</v>
      </c>
      <c r="AJ5722" s="1">
        <v>2016</v>
      </c>
      <c r="AK5722" s="1" t="s">
        <v>46</v>
      </c>
      <c r="AL5722" s="1">
        <v>186</v>
      </c>
    </row>
    <row r="5723" spans="1:38" x14ac:dyDescent="0.2">
      <c r="A5723" s="2" t="str">
        <f>HYPERLINK("https://www.compass.com/listing/50-west-street-unit-43a-manhattan-ny-10006/29355222652488129/","50 West St, Unit 43A")</f>
        <v>50 West St, Unit 43A</v>
      </c>
      <c r="B5723" s="2" t="str">
        <f t="shared" si="957"/>
        <v>50 West St</v>
      </c>
      <c r="C5723" s="1" t="s">
        <v>96</v>
      </c>
      <c r="D5723" s="1" t="s">
        <v>41</v>
      </c>
      <c r="E5723" s="3">
        <v>4001723</v>
      </c>
      <c r="F5723" s="1">
        <v>2307.7987312572</v>
      </c>
      <c r="G5723" s="1">
        <v>5</v>
      </c>
      <c r="H5723" s="1">
        <v>2</v>
      </c>
      <c r="I5723" s="1">
        <v>3</v>
      </c>
      <c r="J5723" s="1">
        <v>3</v>
      </c>
      <c r="K5723" s="1">
        <v>3</v>
      </c>
      <c r="M5723" s="4">
        <v>1734</v>
      </c>
      <c r="N5723" s="1">
        <v>2202.5100000000002</v>
      </c>
      <c r="O5723" s="1">
        <v>4658.59</v>
      </c>
      <c r="P5723" s="1">
        <v>2456.0833333333298</v>
      </c>
      <c r="Q5723" s="1" t="s">
        <v>42</v>
      </c>
      <c r="S5723" s="1" t="s">
        <v>42</v>
      </c>
      <c r="T5723" s="1" t="s">
        <v>273</v>
      </c>
      <c r="U5723" s="1">
        <v>79</v>
      </c>
      <c r="V5723" s="5">
        <v>43676</v>
      </c>
      <c r="W5723" s="5">
        <v>42579</v>
      </c>
      <c r="X5723" s="1">
        <v>3930000</v>
      </c>
      <c r="Y5723" s="1">
        <v>3930000</v>
      </c>
      <c r="Z5723" s="5">
        <v>42658</v>
      </c>
      <c r="AA5723" s="1">
        <v>4001723</v>
      </c>
      <c r="AB5723" s="1" t="s">
        <v>4052</v>
      </c>
      <c r="AC5723" s="5">
        <v>42840</v>
      </c>
      <c r="AF5723" s="1">
        <v>10006</v>
      </c>
      <c r="AI5723" s="1" t="s">
        <v>97</v>
      </c>
      <c r="AJ5723" s="1">
        <v>2016</v>
      </c>
      <c r="AK5723" s="1" t="s">
        <v>46</v>
      </c>
      <c r="AL5723" s="1">
        <v>186</v>
      </c>
    </row>
    <row r="5724" spans="1:38" x14ac:dyDescent="0.2">
      <c r="A5724" s="2" t="str">
        <f>HYPERLINK("https://www.compass.com/listing/50-west-street-unit-44d-manhattan-ny-10006/29355223994663025/","50 West St, Unit 44D")</f>
        <v>50 West St, Unit 44D</v>
      </c>
      <c r="B5724" s="2" t="str">
        <f t="shared" si="957"/>
        <v>50 West St</v>
      </c>
      <c r="C5724" s="1" t="s">
        <v>96</v>
      </c>
      <c r="D5724" s="1" t="s">
        <v>41</v>
      </c>
      <c r="E5724" s="3">
        <v>4031325</v>
      </c>
      <c r="F5724" s="1">
        <v>3204.5508744038102</v>
      </c>
      <c r="G5724" s="1">
        <v>4</v>
      </c>
      <c r="H5724" s="1">
        <v>1</v>
      </c>
      <c r="I5724" s="1">
        <v>2</v>
      </c>
      <c r="J5724" s="1">
        <v>2</v>
      </c>
      <c r="K5724" s="1">
        <v>2</v>
      </c>
      <c r="M5724" s="4">
        <v>1258</v>
      </c>
      <c r="N5724" s="1">
        <v>1610.18</v>
      </c>
      <c r="O5724" s="1">
        <v>3405.72</v>
      </c>
      <c r="P5724" s="1">
        <v>1795.5</v>
      </c>
      <c r="Q5724" s="1" t="s">
        <v>42</v>
      </c>
      <c r="S5724" s="1" t="s">
        <v>42</v>
      </c>
      <c r="T5724" s="1" t="s">
        <v>273</v>
      </c>
      <c r="U5724" s="1">
        <v>154</v>
      </c>
      <c r="V5724" s="5">
        <v>43676</v>
      </c>
      <c r="W5724" s="5">
        <v>42278</v>
      </c>
      <c r="X5724" s="1">
        <v>3970000</v>
      </c>
      <c r="Y5724" s="1">
        <v>3970000</v>
      </c>
      <c r="Z5724" s="5">
        <v>42546</v>
      </c>
      <c r="AA5724" s="1">
        <v>4031325</v>
      </c>
      <c r="AB5724" s="1" t="s">
        <v>4053</v>
      </c>
      <c r="AC5724" s="5">
        <v>42817</v>
      </c>
      <c r="AF5724" s="1">
        <v>10006</v>
      </c>
      <c r="AI5724" s="1" t="s">
        <v>97</v>
      </c>
      <c r="AJ5724" s="1">
        <v>2016</v>
      </c>
      <c r="AK5724" s="1" t="s">
        <v>46</v>
      </c>
      <c r="AL5724" s="1">
        <v>186</v>
      </c>
    </row>
    <row r="5725" spans="1:38" x14ac:dyDescent="0.2">
      <c r="A5725" s="2" t="str">
        <f>HYPERLINK("https://www.compass.com/listing/50-west-street-unit-45a-manhattan-ny-10006/29355224305009649/","50 West St, Unit 45A")</f>
        <v>50 West St, Unit 45A</v>
      </c>
      <c r="B5725" s="2" t="str">
        <f t="shared" si="957"/>
        <v>50 West St</v>
      </c>
      <c r="C5725" s="1" t="s">
        <v>96</v>
      </c>
      <c r="D5725" s="1" t="s">
        <v>41</v>
      </c>
      <c r="E5725" s="3">
        <v>4098456</v>
      </c>
      <c r="F5725" s="1">
        <v>2363.5847750865</v>
      </c>
      <c r="G5725" s="1">
        <v>5</v>
      </c>
      <c r="H5725" s="1">
        <v>2</v>
      </c>
      <c r="I5725" s="1">
        <v>3</v>
      </c>
      <c r="J5725" s="1">
        <v>3</v>
      </c>
      <c r="K5725" s="1">
        <v>3</v>
      </c>
      <c r="M5725" s="4">
        <v>1734</v>
      </c>
      <c r="N5725" s="1">
        <v>2221.1</v>
      </c>
      <c r="O5725" s="1">
        <v>4697.8999999999996</v>
      </c>
      <c r="P5725" s="1">
        <v>2476.8333333333298</v>
      </c>
      <c r="Q5725" s="1" t="s">
        <v>42</v>
      </c>
      <c r="S5725" s="1" t="s">
        <v>42</v>
      </c>
      <c r="T5725" s="1" t="s">
        <v>273</v>
      </c>
      <c r="U5725" s="1">
        <v>131</v>
      </c>
      <c r="V5725" s="5">
        <v>43677</v>
      </c>
      <c r="W5725" s="5">
        <v>42595</v>
      </c>
      <c r="X5725" s="1">
        <v>4025000</v>
      </c>
      <c r="Y5725" s="1">
        <v>4025000</v>
      </c>
      <c r="Z5725" s="5">
        <v>42726</v>
      </c>
      <c r="AA5725" s="1">
        <v>4098456</v>
      </c>
      <c r="AB5725" s="1" t="s">
        <v>4054</v>
      </c>
      <c r="AC5725" s="5">
        <v>42825</v>
      </c>
      <c r="AF5725" s="1">
        <v>10006</v>
      </c>
      <c r="AI5725" s="1" t="s">
        <v>97</v>
      </c>
      <c r="AJ5725" s="1">
        <v>2016</v>
      </c>
      <c r="AK5725" s="1" t="s">
        <v>46</v>
      </c>
      <c r="AL5725" s="1">
        <v>186</v>
      </c>
    </row>
    <row r="5726" spans="1:38" x14ac:dyDescent="0.2">
      <c r="A5726" s="2" t="str">
        <f>HYPERLINK("https://www.compass.com/listing/50-west-street-unit-46b-manhattan-ny-10006/29355225353585665/","50 West St, Unit 46B")</f>
        <v>50 West St, Unit 46B</v>
      </c>
      <c r="B5726" s="2" t="str">
        <f t="shared" si="957"/>
        <v>50 West St</v>
      </c>
      <c r="C5726" s="1" t="s">
        <v>96</v>
      </c>
      <c r="D5726" s="1" t="s">
        <v>41</v>
      </c>
      <c r="E5726" s="3">
        <v>4179916</v>
      </c>
      <c r="F5726" s="1">
        <v>2762.6675479180399</v>
      </c>
      <c r="G5726" s="1">
        <v>4</v>
      </c>
      <c r="H5726" s="1">
        <v>2</v>
      </c>
      <c r="I5726" s="1">
        <v>3</v>
      </c>
      <c r="J5726" s="1">
        <v>2.5</v>
      </c>
      <c r="K5726" s="1">
        <v>2</v>
      </c>
      <c r="L5726" s="1">
        <v>1</v>
      </c>
      <c r="M5726" s="4">
        <v>1513</v>
      </c>
      <c r="N5726" s="1">
        <v>1946.13</v>
      </c>
      <c r="O5726" s="1">
        <v>4116.3</v>
      </c>
      <c r="P5726" s="1">
        <v>2170.1666666666601</v>
      </c>
      <c r="Q5726" s="1" t="s">
        <v>42</v>
      </c>
      <c r="S5726" s="1" t="s">
        <v>42</v>
      </c>
      <c r="T5726" s="1" t="s">
        <v>273</v>
      </c>
      <c r="U5726" s="1">
        <v>377</v>
      </c>
      <c r="V5726" s="5">
        <v>43670</v>
      </c>
      <c r="W5726" s="5">
        <v>42595</v>
      </c>
      <c r="X5726" s="1">
        <v>4105000</v>
      </c>
      <c r="Y5726" s="1">
        <v>4105000</v>
      </c>
      <c r="Z5726" s="5">
        <v>42972</v>
      </c>
      <c r="AA5726" s="1">
        <v>4179916</v>
      </c>
      <c r="AB5726" s="1" t="s">
        <v>4055</v>
      </c>
      <c r="AC5726" s="5">
        <v>43005</v>
      </c>
      <c r="AF5726" s="1">
        <v>10006</v>
      </c>
      <c r="AI5726" s="1" t="s">
        <v>97</v>
      </c>
      <c r="AJ5726" s="1">
        <v>2016</v>
      </c>
      <c r="AK5726" s="1" t="s">
        <v>46</v>
      </c>
      <c r="AL5726" s="1">
        <v>186</v>
      </c>
    </row>
    <row r="5727" spans="1:38" x14ac:dyDescent="0.2">
      <c r="A5727" s="2" t="str">
        <f>HYPERLINK("https://www.compass.com/listing/50-west-street-unit-47b-manhattan-ny-10006/29355226997784753/","50 West St, Unit 47B")</f>
        <v>50 West St, Unit 47B</v>
      </c>
      <c r="B5727" s="2" t="str">
        <f t="shared" si="957"/>
        <v>50 West St</v>
      </c>
      <c r="C5727" s="1" t="s">
        <v>96</v>
      </c>
      <c r="D5727" s="1" t="s">
        <v>41</v>
      </c>
      <c r="E5727" s="3">
        <v>4220646</v>
      </c>
      <c r="F5727" s="1">
        <v>2789.5875743555798</v>
      </c>
      <c r="G5727" s="1">
        <v>4</v>
      </c>
      <c r="H5727" s="1">
        <v>2</v>
      </c>
      <c r="I5727" s="1">
        <v>3</v>
      </c>
      <c r="J5727" s="1">
        <v>2.5</v>
      </c>
      <c r="K5727" s="1">
        <v>2</v>
      </c>
      <c r="L5727" s="1">
        <v>1</v>
      </c>
      <c r="M5727" s="4">
        <v>1513</v>
      </c>
      <c r="N5727" s="1">
        <v>1960.97</v>
      </c>
      <c r="O5727" s="1">
        <v>4147.68</v>
      </c>
      <c r="P5727" s="1">
        <v>2186.75</v>
      </c>
      <c r="Q5727" s="1" t="s">
        <v>42</v>
      </c>
      <c r="S5727" s="1" t="s">
        <v>42</v>
      </c>
      <c r="T5727" s="1" t="s">
        <v>273</v>
      </c>
      <c r="U5727" s="1">
        <v>45</v>
      </c>
      <c r="V5727" s="5">
        <v>43676</v>
      </c>
      <c r="W5727" s="5">
        <v>42252</v>
      </c>
      <c r="X5727" s="1">
        <v>4145000</v>
      </c>
      <c r="Y5727" s="1">
        <v>4145000</v>
      </c>
      <c r="Z5727" s="5">
        <v>42297</v>
      </c>
      <c r="AA5727" s="1">
        <v>4220646</v>
      </c>
      <c r="AB5727" s="1" t="s">
        <v>4056</v>
      </c>
      <c r="AC5727" s="5">
        <v>42826</v>
      </c>
      <c r="AF5727" s="1">
        <v>10006</v>
      </c>
      <c r="AI5727" s="1" t="s">
        <v>97</v>
      </c>
      <c r="AJ5727" s="1">
        <v>2016</v>
      </c>
      <c r="AK5727" s="1" t="s">
        <v>46</v>
      </c>
      <c r="AL5727" s="1">
        <v>186</v>
      </c>
    </row>
    <row r="5728" spans="1:38" x14ac:dyDescent="0.2">
      <c r="A5728" s="2" t="str">
        <f>HYPERLINK("https://www.compass.com/listing/50-west-street-unit-48a-manhattan-ny-10006/29355228012806337/","50 West St, Unit 48A")</f>
        <v>50 West St, Unit 48A</v>
      </c>
      <c r="B5728" s="2" t="str">
        <f t="shared" si="957"/>
        <v>50 West St</v>
      </c>
      <c r="C5728" s="1" t="s">
        <v>96</v>
      </c>
      <c r="D5728" s="1" t="s">
        <v>41</v>
      </c>
      <c r="E5728" s="3">
        <v>4241011</v>
      </c>
      <c r="F5728" s="1">
        <v>2445.7964244521299</v>
      </c>
      <c r="G5728" s="1">
        <v>5</v>
      </c>
      <c r="H5728" s="1">
        <v>2</v>
      </c>
      <c r="I5728" s="1">
        <v>3</v>
      </c>
      <c r="J5728" s="1">
        <v>3</v>
      </c>
      <c r="K5728" s="1">
        <v>3</v>
      </c>
      <c r="M5728" s="4">
        <v>1734</v>
      </c>
      <c r="N5728" s="1">
        <v>2248.98</v>
      </c>
      <c r="O5728" s="1">
        <v>4756.87</v>
      </c>
      <c r="P5728" s="1">
        <v>2507.9166666666601</v>
      </c>
      <c r="Q5728" s="1" t="s">
        <v>42</v>
      </c>
      <c r="S5728" s="1" t="s">
        <v>42</v>
      </c>
      <c r="T5728" s="1" t="s">
        <v>273</v>
      </c>
      <c r="U5728" s="1">
        <v>43</v>
      </c>
      <c r="V5728" s="5">
        <v>43650</v>
      </c>
      <c r="W5728" s="5">
        <v>42914</v>
      </c>
      <c r="X5728" s="1">
        <v>4165000</v>
      </c>
      <c r="Y5728" s="1">
        <v>4165000</v>
      </c>
      <c r="Z5728" s="5">
        <v>42957</v>
      </c>
      <c r="AA5728" s="1">
        <v>4241011</v>
      </c>
      <c r="AB5728" s="1" t="s">
        <v>4057</v>
      </c>
      <c r="AC5728" s="5">
        <v>42973</v>
      </c>
      <c r="AF5728" s="1">
        <v>10006</v>
      </c>
      <c r="AI5728" s="1" t="s">
        <v>97</v>
      </c>
      <c r="AJ5728" s="1">
        <v>2016</v>
      </c>
      <c r="AK5728" s="1" t="s">
        <v>46</v>
      </c>
      <c r="AL5728" s="1">
        <v>186</v>
      </c>
    </row>
    <row r="5729" spans="1:38" x14ac:dyDescent="0.2">
      <c r="A5729" s="2" t="str">
        <f>HYPERLINK("https://www.compass.com/listing/50-west-street-unit-50b-manhattan-ny-10006/29355230017683681/","50 West St, Unit 50B")</f>
        <v>50 West St, Unit 50B</v>
      </c>
      <c r="B5729" s="2" t="str">
        <f t="shared" si="957"/>
        <v>50 West St</v>
      </c>
      <c r="C5729" s="1" t="s">
        <v>96</v>
      </c>
      <c r="D5729" s="1" t="s">
        <v>41</v>
      </c>
      <c r="E5729" s="3">
        <v>4220646</v>
      </c>
      <c r="F5729" s="1">
        <v>2789.5875743555798</v>
      </c>
      <c r="G5729" s="1">
        <v>4</v>
      </c>
      <c r="H5729" s="1">
        <v>2</v>
      </c>
      <c r="I5729" s="1">
        <v>3</v>
      </c>
      <c r="J5729" s="1">
        <v>2.5</v>
      </c>
      <c r="K5729" s="1">
        <v>2</v>
      </c>
      <c r="L5729" s="1">
        <v>1</v>
      </c>
      <c r="M5729" s="4">
        <v>1513</v>
      </c>
      <c r="N5729" s="1">
        <v>1985.39</v>
      </c>
      <c r="O5729" s="1">
        <v>4199.32</v>
      </c>
      <c r="P5729" s="1">
        <v>2213.9166666666601</v>
      </c>
      <c r="Q5729" s="1" t="s">
        <v>42</v>
      </c>
      <c r="S5729" s="1" t="s">
        <v>42</v>
      </c>
      <c r="T5729" s="1" t="s">
        <v>273</v>
      </c>
      <c r="U5729" s="1">
        <v>49</v>
      </c>
      <c r="V5729" s="5">
        <v>43664</v>
      </c>
      <c r="W5729" s="5">
        <v>42214</v>
      </c>
      <c r="X5729" s="1">
        <v>4065000</v>
      </c>
      <c r="Y5729" s="1">
        <v>4145000</v>
      </c>
      <c r="Z5729" s="5">
        <v>42263</v>
      </c>
      <c r="AA5729" s="1">
        <v>4220646</v>
      </c>
      <c r="AB5729" s="1" t="s">
        <v>4058</v>
      </c>
      <c r="AC5729" s="5">
        <v>42843</v>
      </c>
      <c r="AF5729" s="1">
        <v>10006</v>
      </c>
      <c r="AI5729" s="1" t="s">
        <v>97</v>
      </c>
      <c r="AJ5729" s="1">
        <v>2016</v>
      </c>
      <c r="AK5729" s="1" t="s">
        <v>46</v>
      </c>
      <c r="AL5729" s="1">
        <v>186</v>
      </c>
    </row>
    <row r="5730" spans="1:38" x14ac:dyDescent="0.2">
      <c r="A5730" s="2" t="str">
        <f>HYPERLINK("https://www.compass.com/listing/50-west-street-unit-50d-manhattan-ny-10006/29355230411916385/","50 West St, Unit 50D")</f>
        <v>50 West St, Unit 50D</v>
      </c>
      <c r="B5730" s="2" t="str">
        <f t="shared" si="957"/>
        <v>50 West St</v>
      </c>
      <c r="C5730" s="1" t="s">
        <v>96</v>
      </c>
      <c r="D5730" s="1" t="s">
        <v>41</v>
      </c>
      <c r="E5730" s="3">
        <v>3955901</v>
      </c>
      <c r="F5730" s="1">
        <v>3144.5953895071498</v>
      </c>
      <c r="G5730" s="1">
        <v>4</v>
      </c>
      <c r="H5730" s="1">
        <v>1</v>
      </c>
      <c r="I5730" s="1">
        <v>2</v>
      </c>
      <c r="J5730" s="1">
        <v>2</v>
      </c>
      <c r="K5730" s="1">
        <v>2</v>
      </c>
      <c r="M5730" s="4">
        <v>1258</v>
      </c>
      <c r="N5730" s="1">
        <v>1650.78</v>
      </c>
      <c r="O5730" s="1">
        <v>3491.58</v>
      </c>
      <c r="P5730" s="1">
        <v>1840.8333333333301</v>
      </c>
      <c r="Q5730" s="1" t="s">
        <v>42</v>
      </c>
      <c r="S5730" s="1" t="s">
        <v>42</v>
      </c>
      <c r="T5730" s="1" t="s">
        <v>273</v>
      </c>
      <c r="U5730" s="1">
        <v>69</v>
      </c>
      <c r="V5730" s="5">
        <v>43664</v>
      </c>
      <c r="W5730" s="5">
        <v>41959</v>
      </c>
      <c r="X5730" s="1">
        <v>3885000</v>
      </c>
      <c r="Y5730" s="1">
        <v>3885000</v>
      </c>
      <c r="Z5730" s="5">
        <v>42028</v>
      </c>
      <c r="AA5730" s="1">
        <v>3955901</v>
      </c>
      <c r="AB5730" s="1" t="s">
        <v>4059</v>
      </c>
      <c r="AC5730" s="5">
        <v>42867</v>
      </c>
      <c r="AF5730" s="1">
        <v>10006</v>
      </c>
      <c r="AI5730" s="1" t="s">
        <v>97</v>
      </c>
      <c r="AJ5730" s="1">
        <v>2016</v>
      </c>
      <c r="AK5730" s="1" t="s">
        <v>46</v>
      </c>
      <c r="AL5730" s="1">
        <v>186</v>
      </c>
    </row>
    <row r="5731" spans="1:38" x14ac:dyDescent="0.2">
      <c r="A5731" s="2" t="str">
        <f>HYPERLINK("https://www.compass.com/listing/50-west-street-unit-51b-manhattan-ny-10006/29355231099814129/","50 West St, Unit 51B")</f>
        <v>50 West St, Unit 51B</v>
      </c>
      <c r="B5731" s="2" t="str">
        <f t="shared" si="957"/>
        <v>50 West St</v>
      </c>
      <c r="C5731" s="1" t="s">
        <v>96</v>
      </c>
      <c r="D5731" s="1" t="s">
        <v>41</v>
      </c>
      <c r="E5731" s="3">
        <v>4388658</v>
      </c>
      <c r="F5731" s="1">
        <v>2900.6328486450702</v>
      </c>
      <c r="G5731" s="1">
        <v>4</v>
      </c>
      <c r="H5731" s="1">
        <v>2</v>
      </c>
      <c r="I5731" s="1">
        <v>3</v>
      </c>
      <c r="J5731" s="1">
        <v>2.5</v>
      </c>
      <c r="K5731" s="1">
        <v>2</v>
      </c>
      <c r="L5731" s="1">
        <v>1</v>
      </c>
      <c r="M5731" s="4">
        <v>1513</v>
      </c>
      <c r="N5731" s="1">
        <v>1993.53</v>
      </c>
      <c r="O5731" s="1">
        <v>4216.54</v>
      </c>
      <c r="P5731" s="1">
        <v>2223</v>
      </c>
      <c r="Q5731" s="1" t="s">
        <v>42</v>
      </c>
      <c r="S5731" s="1" t="s">
        <v>42</v>
      </c>
      <c r="T5731" s="1" t="s">
        <v>273</v>
      </c>
      <c r="U5731" s="1">
        <v>297</v>
      </c>
      <c r="V5731" s="5">
        <v>43603</v>
      </c>
      <c r="W5731" s="5">
        <v>42307</v>
      </c>
      <c r="X5731" s="1">
        <v>4310000</v>
      </c>
      <c r="Y5731" s="1">
        <v>4310000</v>
      </c>
      <c r="Z5731" s="5">
        <v>42604</v>
      </c>
      <c r="AA5731" s="1">
        <v>4388657.5</v>
      </c>
      <c r="AB5731" s="1" t="s">
        <v>4060</v>
      </c>
      <c r="AC5731" s="5">
        <v>42829</v>
      </c>
      <c r="AF5731" s="1">
        <v>10006</v>
      </c>
      <c r="AI5731" s="1" t="s">
        <v>97</v>
      </c>
      <c r="AJ5731" s="1">
        <v>2016</v>
      </c>
      <c r="AK5731" s="1" t="s">
        <v>46</v>
      </c>
      <c r="AL5731" s="1">
        <v>186</v>
      </c>
    </row>
    <row r="5732" spans="1:38" x14ac:dyDescent="0.2">
      <c r="A5732" s="2" t="str">
        <f>HYPERLINK("https://www.compass.com/listing/50-west-street-unit-51d-manhattan-ny-10006/4852277886645703121/","50 West St, Unit 51D")</f>
        <v>50 West St, Unit 51D</v>
      </c>
      <c r="B5732" s="2" t="str">
        <f t="shared" si="957"/>
        <v>50 West St</v>
      </c>
      <c r="C5732" s="1" t="s">
        <v>96</v>
      </c>
      <c r="D5732" s="1" t="s">
        <v>41</v>
      </c>
      <c r="E5732" s="3">
        <v>4260000</v>
      </c>
      <c r="F5732" s="1">
        <v>3386.3275039745599</v>
      </c>
      <c r="G5732" s="1">
        <v>4</v>
      </c>
      <c r="H5732" s="1">
        <v>1</v>
      </c>
      <c r="I5732" s="1">
        <v>2</v>
      </c>
      <c r="J5732" s="1">
        <v>2</v>
      </c>
      <c r="K5732" s="1">
        <v>2</v>
      </c>
      <c r="M5732" s="4">
        <v>1258</v>
      </c>
      <c r="N5732" s="1">
        <v>1651.84</v>
      </c>
      <c r="O5732" s="1">
        <v>3493.85</v>
      </c>
      <c r="P5732" s="1">
        <v>1842</v>
      </c>
      <c r="Q5732" s="1" t="s">
        <v>42</v>
      </c>
      <c r="S5732" s="1" t="s">
        <v>42</v>
      </c>
      <c r="T5732" s="1" t="s">
        <v>273</v>
      </c>
      <c r="U5732" s="1">
        <v>280</v>
      </c>
      <c r="V5732" s="5">
        <v>43650</v>
      </c>
      <c r="W5732" s="5">
        <v>42432</v>
      </c>
      <c r="X5732" s="1">
        <v>4260000</v>
      </c>
      <c r="Y5732" s="1">
        <v>4260000</v>
      </c>
      <c r="Z5732" s="5">
        <v>42712</v>
      </c>
      <c r="AA5732" s="1">
        <v>4260000</v>
      </c>
      <c r="AB5732" s="1" t="s">
        <v>275</v>
      </c>
      <c r="AC5732" s="5">
        <v>42963</v>
      </c>
      <c r="AF5732" s="1">
        <v>10006</v>
      </c>
      <c r="AI5732" s="1" t="s">
        <v>97</v>
      </c>
      <c r="AJ5732" s="1">
        <v>2016</v>
      </c>
      <c r="AK5732" s="1" t="s">
        <v>46</v>
      </c>
      <c r="AL5732" s="1">
        <v>186</v>
      </c>
    </row>
    <row r="5733" spans="1:38" x14ac:dyDescent="0.2">
      <c r="A5733" s="2" t="str">
        <f>HYPERLINK("https://www.compass.com/listing/130-william-street-unit-7c-manhattan-ny-10038/622424474610265337/","130 William St, Unit 7C")</f>
        <v>130 William St, Unit 7C</v>
      </c>
      <c r="B5733" s="2" t="str">
        <f t="shared" ref="B5733:B5744" si="958">HYPERLINK("https://www.compass.com/building/130-william-st-manhattan-ny-10038/282029682239486757/","130 William St")</f>
        <v>130 William St</v>
      </c>
      <c r="C5733" s="1" t="s">
        <v>96</v>
      </c>
      <c r="D5733" s="1" t="s">
        <v>41</v>
      </c>
      <c r="E5733" s="3">
        <v>1481085</v>
      </c>
      <c r="F5733" s="1">
        <v>1459.1973990147701</v>
      </c>
      <c r="G5733" s="1">
        <v>3</v>
      </c>
      <c r="H5733" s="1">
        <v>1</v>
      </c>
      <c r="I5733" s="1">
        <v>1</v>
      </c>
      <c r="J5733" s="1">
        <v>1</v>
      </c>
      <c r="K5733" s="1">
        <v>1</v>
      </c>
      <c r="M5733" s="4">
        <v>1015</v>
      </c>
      <c r="N5733" s="1">
        <v>670.36</v>
      </c>
      <c r="O5733" s="1">
        <v>1969.06</v>
      </c>
      <c r="P5733" s="1">
        <v>1298.6666666666599</v>
      </c>
      <c r="Q5733" s="1" t="s">
        <v>42</v>
      </c>
      <c r="S5733" s="1" t="s">
        <v>42</v>
      </c>
      <c r="T5733" s="1" t="s">
        <v>273</v>
      </c>
      <c r="V5733" s="5">
        <v>44185</v>
      </c>
      <c r="W5733" s="5">
        <v>44110</v>
      </c>
      <c r="X5733" s="1">
        <v>1450990</v>
      </c>
      <c r="Y5733" s="1">
        <v>1450990</v>
      </c>
      <c r="Z5733" s="5">
        <v>44111</v>
      </c>
      <c r="AA5733" s="1">
        <v>1481085.36</v>
      </c>
      <c r="AB5733" s="1" t="s">
        <v>4061</v>
      </c>
      <c r="AC5733" s="5">
        <v>44167</v>
      </c>
      <c r="AF5733" s="1">
        <v>10038</v>
      </c>
      <c r="AI5733" s="1" t="s">
        <v>111</v>
      </c>
      <c r="AJ5733" s="1">
        <v>2020</v>
      </c>
      <c r="AK5733" s="1" t="s">
        <v>46</v>
      </c>
      <c r="AL5733" s="1">
        <v>244</v>
      </c>
    </row>
    <row r="5734" spans="1:38" x14ac:dyDescent="0.2">
      <c r="A5734" s="2" t="str">
        <f>HYPERLINK("https://www.compass.com/listing/130-william-street-unit-18b-manhattan-ny-10038/160672790888927873/","130 William St, Unit 18B")</f>
        <v>130 William St, Unit 18B</v>
      </c>
      <c r="B5734" s="2" t="str">
        <f t="shared" si="958"/>
        <v>130 William St</v>
      </c>
      <c r="C5734" s="1" t="s">
        <v>96</v>
      </c>
      <c r="D5734" s="1" t="s">
        <v>41</v>
      </c>
      <c r="E5734" s="3">
        <v>1384352</v>
      </c>
      <c r="F5734" s="1">
        <v>1850.73744652406</v>
      </c>
      <c r="G5734" s="1">
        <v>3</v>
      </c>
      <c r="H5734" s="1">
        <v>1</v>
      </c>
      <c r="I5734" s="1">
        <v>1</v>
      </c>
      <c r="J5734" s="1">
        <v>1</v>
      </c>
      <c r="K5734" s="1">
        <v>1</v>
      </c>
      <c r="M5734" s="1">
        <v>748</v>
      </c>
      <c r="N5734" s="1">
        <v>510.37</v>
      </c>
      <c r="O5734" s="1">
        <v>1499.13</v>
      </c>
      <c r="P5734" s="1">
        <v>988.75</v>
      </c>
      <c r="Q5734" s="1" t="s">
        <v>42</v>
      </c>
      <c r="S5734" s="1" t="s">
        <v>42</v>
      </c>
      <c r="T5734" s="1" t="s">
        <v>273</v>
      </c>
      <c r="U5734" s="1">
        <v>205</v>
      </c>
      <c r="V5734" s="5">
        <v>44223</v>
      </c>
      <c r="W5734" s="5">
        <v>43784</v>
      </c>
      <c r="Y5734" s="1">
        <v>1355990</v>
      </c>
      <c r="AA5734" s="1">
        <v>1384351.61</v>
      </c>
      <c r="AB5734" s="1" t="s">
        <v>4062</v>
      </c>
      <c r="AC5734" s="5">
        <v>44201</v>
      </c>
      <c r="AF5734" s="1">
        <v>10038</v>
      </c>
      <c r="AI5734" s="1" t="s">
        <v>111</v>
      </c>
      <c r="AJ5734" s="1">
        <v>2020</v>
      </c>
      <c r="AK5734" s="1" t="s">
        <v>46</v>
      </c>
      <c r="AL5734" s="1">
        <v>244</v>
      </c>
    </row>
    <row r="5735" spans="1:38" x14ac:dyDescent="0.2">
      <c r="A5735" s="2" t="str">
        <f>HYPERLINK("https://www.compass.com/listing/130-william-street-unit-19a-manhattan-ny-10038/202792956783049793/","130 William St, Unit 19A")</f>
        <v>130 William St, Unit 19A</v>
      </c>
      <c r="B5735" s="2" t="str">
        <f t="shared" si="958"/>
        <v>130 William St</v>
      </c>
      <c r="C5735" s="1" t="s">
        <v>96</v>
      </c>
      <c r="D5735" s="1" t="s">
        <v>41</v>
      </c>
      <c r="E5735" s="3">
        <v>1430173</v>
      </c>
      <c r="F5735" s="1">
        <v>1643.87685057471</v>
      </c>
      <c r="G5735" s="1">
        <v>3</v>
      </c>
      <c r="H5735" s="1">
        <v>1</v>
      </c>
      <c r="I5735" s="1">
        <v>1</v>
      </c>
      <c r="J5735" s="1">
        <v>1</v>
      </c>
      <c r="K5735" s="1">
        <v>1</v>
      </c>
      <c r="M5735" s="1">
        <v>870</v>
      </c>
      <c r="N5735" s="1">
        <v>592.97</v>
      </c>
      <c r="O5735" s="1">
        <v>1741.76</v>
      </c>
      <c r="P5735" s="1">
        <v>1148.75</v>
      </c>
      <c r="Q5735" s="1" t="s">
        <v>42</v>
      </c>
      <c r="S5735" s="1" t="s">
        <v>42</v>
      </c>
      <c r="T5735" s="1" t="s">
        <v>273</v>
      </c>
      <c r="U5735" s="1">
        <v>1</v>
      </c>
      <c r="V5735" s="5">
        <v>44223</v>
      </c>
      <c r="W5735" s="5">
        <v>43531</v>
      </c>
      <c r="X5735" s="1">
        <v>1400990</v>
      </c>
      <c r="Y5735" s="1">
        <v>1400990</v>
      </c>
      <c r="Z5735" s="5">
        <v>44110</v>
      </c>
      <c r="AA5735" s="1">
        <v>1430172.86</v>
      </c>
      <c r="AB5735" s="1" t="s">
        <v>4063</v>
      </c>
      <c r="AC5735" s="5">
        <v>44202</v>
      </c>
      <c r="AF5735" s="1">
        <v>10038</v>
      </c>
      <c r="AI5735" s="1" t="s">
        <v>111</v>
      </c>
      <c r="AJ5735" s="1">
        <v>2020</v>
      </c>
      <c r="AK5735" s="1" t="s">
        <v>46</v>
      </c>
      <c r="AL5735" s="1">
        <v>244</v>
      </c>
    </row>
    <row r="5736" spans="1:38" x14ac:dyDescent="0.2">
      <c r="A5736" s="2" t="str">
        <f>HYPERLINK("https://www.compass.com/listing/130-william-street-unit-25a-manhattan-ny-10038/206388056373179649/","130 William St, Unit 25A")</f>
        <v>130 William St, Unit 25A</v>
      </c>
      <c r="B5736" s="2" t="str">
        <f t="shared" si="958"/>
        <v>130 William St</v>
      </c>
      <c r="C5736" s="1" t="s">
        <v>96</v>
      </c>
      <c r="D5736" s="1" t="s">
        <v>41</v>
      </c>
      <c r="E5736" s="3">
        <v>1496359</v>
      </c>
      <c r="F5736" s="1">
        <v>1716.00808486238</v>
      </c>
      <c r="G5736" s="1">
        <v>3</v>
      </c>
      <c r="H5736" s="1">
        <v>1</v>
      </c>
      <c r="I5736" s="1">
        <v>1</v>
      </c>
      <c r="J5736" s="1">
        <v>1</v>
      </c>
      <c r="K5736" s="1">
        <v>1</v>
      </c>
      <c r="M5736" s="1">
        <v>872</v>
      </c>
      <c r="N5736" s="1">
        <v>599.78</v>
      </c>
      <c r="O5736" s="1">
        <v>1761.76</v>
      </c>
      <c r="P5736" s="1">
        <v>1162</v>
      </c>
      <c r="Q5736" s="1" t="s">
        <v>42</v>
      </c>
      <c r="S5736" s="1" t="s">
        <v>42</v>
      </c>
      <c r="T5736" s="1" t="s">
        <v>273</v>
      </c>
      <c r="U5736" s="1">
        <v>1</v>
      </c>
      <c r="V5736" s="5">
        <v>44257</v>
      </c>
      <c r="W5736" s="5">
        <v>43536</v>
      </c>
      <c r="X5736" s="1">
        <v>1465990</v>
      </c>
      <c r="Y5736" s="1">
        <v>1465990</v>
      </c>
      <c r="Z5736" s="5">
        <v>44166</v>
      </c>
      <c r="AA5736" s="1">
        <v>1496359.05</v>
      </c>
      <c r="AB5736" s="1" t="s">
        <v>4064</v>
      </c>
      <c r="AC5736" s="5">
        <v>44249</v>
      </c>
      <c r="AF5736" s="1">
        <v>10038</v>
      </c>
      <c r="AI5736" s="1" t="s">
        <v>111</v>
      </c>
      <c r="AJ5736" s="1">
        <v>2020</v>
      </c>
      <c r="AK5736" s="1" t="s">
        <v>46</v>
      </c>
      <c r="AL5736" s="1">
        <v>244</v>
      </c>
    </row>
    <row r="5737" spans="1:38" x14ac:dyDescent="0.2">
      <c r="A5737" s="2" t="str">
        <f>HYPERLINK("https://www.compass.com/listing/130-william-street-unit-38a-manhattan-ny-10038/267040967998065649/","130 William St, Unit 38A")</f>
        <v>130 William St, Unit 38A</v>
      </c>
      <c r="B5737" s="2" t="str">
        <f t="shared" si="958"/>
        <v>130 William St</v>
      </c>
      <c r="C5737" s="1" t="s">
        <v>96</v>
      </c>
      <c r="D5737" s="1" t="s">
        <v>41</v>
      </c>
      <c r="E5737" s="3">
        <v>1847655</v>
      </c>
      <c r="F5737" s="1">
        <v>2092.47492638731</v>
      </c>
      <c r="G5737" s="1">
        <v>3</v>
      </c>
      <c r="H5737" s="1">
        <v>1</v>
      </c>
      <c r="I5737" s="1">
        <v>1</v>
      </c>
      <c r="J5737" s="1">
        <v>1</v>
      </c>
      <c r="K5737" s="1">
        <v>1</v>
      </c>
      <c r="M5737" s="1">
        <v>883</v>
      </c>
      <c r="N5737" s="1">
        <v>632.69000000000005</v>
      </c>
      <c r="O5737" s="1">
        <v>1858.41</v>
      </c>
      <c r="P5737" s="1">
        <v>1225.75</v>
      </c>
      <c r="Q5737" s="1" t="s">
        <v>42</v>
      </c>
      <c r="S5737" s="1" t="s">
        <v>42</v>
      </c>
      <c r="T5737" s="1" t="s">
        <v>273</v>
      </c>
      <c r="U5737" s="1">
        <v>106</v>
      </c>
      <c r="V5737" s="5">
        <v>44319</v>
      </c>
      <c r="W5737" s="5">
        <v>43605</v>
      </c>
      <c r="X5737" s="1">
        <v>1810990</v>
      </c>
      <c r="AB5737" s="1" t="s">
        <v>275</v>
      </c>
      <c r="AF5737" s="1">
        <v>10038</v>
      </c>
      <c r="AI5737" s="1" t="s">
        <v>111</v>
      </c>
      <c r="AJ5737" s="1">
        <v>2020</v>
      </c>
      <c r="AK5737" s="1" t="s">
        <v>46</v>
      </c>
      <c r="AL5737" s="1">
        <v>244</v>
      </c>
    </row>
    <row r="5738" spans="1:38" x14ac:dyDescent="0.2">
      <c r="A5738" s="2" t="str">
        <f>HYPERLINK("https://www.compass.com/listing/130-william-street-unit-22a-manhattan-ny-10038/304952501706803025/","130 William St, Unit 22A")</f>
        <v>130 William St, Unit 22A</v>
      </c>
      <c r="B5738" s="2" t="str">
        <f t="shared" si="958"/>
        <v>130 William St</v>
      </c>
      <c r="C5738" s="1" t="s">
        <v>96</v>
      </c>
      <c r="D5738" s="1" t="s">
        <v>41</v>
      </c>
      <c r="E5738" s="3">
        <v>1526907</v>
      </c>
      <c r="F5738" s="1">
        <v>1751.03969036697</v>
      </c>
      <c r="G5738" s="1">
        <v>3</v>
      </c>
      <c r="H5738" s="1">
        <v>1</v>
      </c>
      <c r="I5738" s="1">
        <v>1</v>
      </c>
      <c r="J5738" s="1">
        <v>1</v>
      </c>
      <c r="K5738" s="1">
        <v>1</v>
      </c>
      <c r="M5738" s="1">
        <v>872</v>
      </c>
      <c r="N5738" s="1">
        <v>596.61</v>
      </c>
      <c r="O5738" s="1">
        <v>1752.4299999999901</v>
      </c>
      <c r="P5738" s="1">
        <v>1155.8333333333301</v>
      </c>
      <c r="Q5738" s="1" t="s">
        <v>42</v>
      </c>
      <c r="S5738" s="1" t="s">
        <v>42</v>
      </c>
      <c r="T5738" s="1" t="s">
        <v>273</v>
      </c>
      <c r="V5738" s="5">
        <v>44288</v>
      </c>
      <c r="W5738" s="5">
        <v>43672</v>
      </c>
      <c r="X5738" s="1">
        <v>1460990</v>
      </c>
      <c r="Y5738" s="1">
        <v>1460990</v>
      </c>
      <c r="AA5738" s="1">
        <v>1526906.61</v>
      </c>
      <c r="AB5738" s="1" t="s">
        <v>4065</v>
      </c>
      <c r="AC5738" s="5">
        <v>44369</v>
      </c>
      <c r="AF5738" s="1">
        <v>10038</v>
      </c>
      <c r="AI5738" s="1" t="s">
        <v>111</v>
      </c>
      <c r="AJ5738" s="1">
        <v>2020</v>
      </c>
      <c r="AK5738" s="1" t="s">
        <v>46</v>
      </c>
      <c r="AL5738" s="1">
        <v>244</v>
      </c>
    </row>
    <row r="5739" spans="1:38" x14ac:dyDescent="0.2">
      <c r="A5739" s="2" t="str">
        <f>HYPERLINK("https://www.compass.com/listing/130-william-street-unit-37d-manhattan-ny-10038/385547990516457601/","130 William St, Unit 37D")</f>
        <v>130 William St, Unit 37D</v>
      </c>
      <c r="B5739" s="2" t="str">
        <f t="shared" si="958"/>
        <v>130 William St</v>
      </c>
      <c r="C5739" s="1" t="s">
        <v>96</v>
      </c>
      <c r="D5739" s="1" t="s">
        <v>41</v>
      </c>
      <c r="E5739" s="3">
        <v>1792670</v>
      </c>
      <c r="F5739" s="1">
        <v>2096.68989473684</v>
      </c>
      <c r="G5739" s="1">
        <v>3</v>
      </c>
      <c r="H5739" s="1">
        <v>1</v>
      </c>
      <c r="I5739" s="1">
        <v>1</v>
      </c>
      <c r="J5739" s="1">
        <v>1</v>
      </c>
      <c r="K5739" s="1">
        <v>1</v>
      </c>
      <c r="M5739" s="1">
        <v>855</v>
      </c>
      <c r="N5739" s="1">
        <v>606.82000000000005</v>
      </c>
      <c r="O5739" s="1">
        <v>1782.42</v>
      </c>
      <c r="P5739" s="1">
        <v>1175.5833333333301</v>
      </c>
      <c r="Q5739" s="1" t="s">
        <v>42</v>
      </c>
      <c r="S5739" s="1" t="s">
        <v>42</v>
      </c>
      <c r="T5739" s="1" t="s">
        <v>273</v>
      </c>
      <c r="U5739" s="1">
        <v>172</v>
      </c>
      <c r="V5739" s="5">
        <v>44251</v>
      </c>
      <c r="W5739" s="5">
        <v>43783</v>
      </c>
      <c r="X5739" s="1">
        <v>1695990</v>
      </c>
      <c r="Y5739" s="1">
        <v>1695990</v>
      </c>
      <c r="Z5739" s="5">
        <v>44231</v>
      </c>
      <c r="AA5739" s="1">
        <v>1792669.86</v>
      </c>
      <c r="AB5739" s="1" t="s">
        <v>4066</v>
      </c>
      <c r="AC5739" s="5">
        <v>44243</v>
      </c>
      <c r="AF5739" s="1">
        <v>10038</v>
      </c>
      <c r="AI5739" s="1" t="s">
        <v>111</v>
      </c>
      <c r="AJ5739" s="1">
        <v>2020</v>
      </c>
      <c r="AK5739" s="1" t="s">
        <v>46</v>
      </c>
      <c r="AL5739" s="1">
        <v>244</v>
      </c>
    </row>
    <row r="5740" spans="1:38" x14ac:dyDescent="0.2">
      <c r="A5740" s="2" t="str">
        <f>HYPERLINK("https://www.compass.com/listing/130-william-street-unit-29a-manhattan-ny-10038/444879725530802769/","130 William St, Unit 29A")</f>
        <v>130 William St, Unit 29A</v>
      </c>
      <c r="B5740" s="2" t="str">
        <f t="shared" si="958"/>
        <v>130 William St</v>
      </c>
      <c r="C5740" s="1" t="s">
        <v>96</v>
      </c>
      <c r="D5740" s="1" t="s">
        <v>41</v>
      </c>
      <c r="E5740" s="3">
        <v>1567637</v>
      </c>
      <c r="F5740" s="1">
        <v>1797.7484059633</v>
      </c>
      <c r="G5740" s="1">
        <v>3</v>
      </c>
      <c r="H5740" s="1">
        <v>1</v>
      </c>
      <c r="I5740" s="1">
        <v>1</v>
      </c>
      <c r="J5740" s="1">
        <v>1</v>
      </c>
      <c r="K5740" s="1">
        <v>1</v>
      </c>
      <c r="M5740" s="1">
        <v>872</v>
      </c>
      <c r="N5740" s="1">
        <v>605.91</v>
      </c>
      <c r="O5740" s="1">
        <v>1779.75999999999</v>
      </c>
      <c r="P5740" s="1">
        <v>1173.8333333333301</v>
      </c>
      <c r="Q5740" s="1" t="s">
        <v>42</v>
      </c>
      <c r="S5740" s="1" t="s">
        <v>42</v>
      </c>
      <c r="T5740" s="1" t="s">
        <v>273</v>
      </c>
      <c r="U5740" s="1">
        <v>2</v>
      </c>
      <c r="V5740" s="5">
        <v>44223</v>
      </c>
      <c r="W5740" s="5">
        <v>43865</v>
      </c>
      <c r="X5740" s="1">
        <v>1535990</v>
      </c>
      <c r="Y5740" s="1">
        <v>1535990</v>
      </c>
      <c r="Z5740" s="5">
        <v>44098</v>
      </c>
      <c r="AA5740" s="1">
        <v>1567636.61</v>
      </c>
      <c r="AB5740" s="1" t="s">
        <v>4067</v>
      </c>
      <c r="AC5740" s="5">
        <v>44216</v>
      </c>
      <c r="AF5740" s="1">
        <v>10038</v>
      </c>
      <c r="AI5740" s="1" t="s">
        <v>111</v>
      </c>
      <c r="AJ5740" s="1">
        <v>2020</v>
      </c>
      <c r="AK5740" s="1" t="s">
        <v>46</v>
      </c>
      <c r="AL5740" s="1">
        <v>244</v>
      </c>
    </row>
    <row r="5741" spans="1:38" x14ac:dyDescent="0.2">
      <c r="A5741" s="2" t="str">
        <f>HYPERLINK("https://www.compass.com/listing/130-william-street-unit-24a-manhattan-ny-10038/46334347355097505/","130 William St, Unit 24A")</f>
        <v>130 William St, Unit 24A</v>
      </c>
      <c r="B5741" s="2" t="str">
        <f t="shared" si="958"/>
        <v>130 William St</v>
      </c>
      <c r="C5741" s="1" t="s">
        <v>96</v>
      </c>
      <c r="D5741" s="1" t="s">
        <v>41</v>
      </c>
      <c r="E5741" s="3">
        <v>1481085</v>
      </c>
      <c r="F5741" s="1">
        <v>1698.49197247706</v>
      </c>
      <c r="G5741" s="1">
        <v>3</v>
      </c>
      <c r="H5741" s="1">
        <v>1</v>
      </c>
      <c r="I5741" s="1">
        <v>1</v>
      </c>
      <c r="J5741" s="1">
        <v>1</v>
      </c>
      <c r="K5741" s="1">
        <v>1</v>
      </c>
      <c r="M5741" s="1">
        <v>872</v>
      </c>
      <c r="N5741" s="1">
        <v>598</v>
      </c>
      <c r="O5741" s="1">
        <v>1757</v>
      </c>
      <c r="P5741" s="1">
        <v>1159</v>
      </c>
      <c r="Q5741" s="1" t="s">
        <v>42</v>
      </c>
      <c r="S5741" s="1" t="s">
        <v>42</v>
      </c>
      <c r="T5741" s="1" t="s">
        <v>273</v>
      </c>
      <c r="U5741" s="1">
        <v>56</v>
      </c>
      <c r="V5741" s="5">
        <v>44223</v>
      </c>
      <c r="W5741" s="5">
        <v>43314</v>
      </c>
      <c r="X5741" s="1">
        <v>1450990</v>
      </c>
      <c r="Y5741" s="1">
        <v>1450990</v>
      </c>
      <c r="Z5741" s="5">
        <v>44103</v>
      </c>
      <c r="AA5741" s="1">
        <v>1481085</v>
      </c>
      <c r="AB5741" s="1" t="s">
        <v>275</v>
      </c>
      <c r="AC5741" s="5">
        <v>44209</v>
      </c>
      <c r="AF5741" s="1">
        <v>10038</v>
      </c>
      <c r="AI5741" s="1" t="s">
        <v>265</v>
      </c>
      <c r="AJ5741" s="1">
        <v>2020</v>
      </c>
      <c r="AK5741" s="1" t="s">
        <v>46</v>
      </c>
      <c r="AL5741" s="1">
        <v>244</v>
      </c>
    </row>
    <row r="5742" spans="1:38" x14ac:dyDescent="0.2">
      <c r="A5742" s="2" t="str">
        <f>HYPERLINK("https://www.compass.com/listing/130-william-street-unit-8c-manhattan-ny-10038/626840183402306089/","130 William St, Unit 8C")</f>
        <v>130 William St, Unit 8C</v>
      </c>
      <c r="B5742" s="2" t="str">
        <f t="shared" si="958"/>
        <v>130 William St</v>
      </c>
      <c r="C5742" s="1" t="s">
        <v>96</v>
      </c>
      <c r="D5742" s="1" t="s">
        <v>41</v>
      </c>
      <c r="E5742" s="3">
        <v>1486177</v>
      </c>
      <c r="F5742" s="1">
        <v>1464.21340886699</v>
      </c>
      <c r="G5742" s="1">
        <v>3</v>
      </c>
      <c r="H5742" s="1">
        <v>1</v>
      </c>
      <c r="I5742" s="1">
        <v>1</v>
      </c>
      <c r="J5742" s="1">
        <v>1</v>
      </c>
      <c r="K5742" s="1">
        <v>1</v>
      </c>
      <c r="M5742" s="4">
        <v>1015</v>
      </c>
      <c r="N5742" s="1">
        <v>671.27</v>
      </c>
      <c r="O5742" s="1">
        <v>1971.73</v>
      </c>
      <c r="P5742" s="1">
        <v>1300.5</v>
      </c>
      <c r="Q5742" s="1" t="s">
        <v>42</v>
      </c>
      <c r="S5742" s="1" t="s">
        <v>42</v>
      </c>
      <c r="T5742" s="1" t="s">
        <v>273</v>
      </c>
      <c r="U5742" s="1">
        <v>261</v>
      </c>
      <c r="V5742" s="5">
        <v>44159</v>
      </c>
      <c r="W5742" s="5">
        <v>43761</v>
      </c>
      <c r="X5742" s="1">
        <v>1455990</v>
      </c>
      <c r="Y5742" s="1">
        <v>1455990</v>
      </c>
      <c r="Z5742" s="5">
        <v>44117</v>
      </c>
      <c r="AA5742" s="1">
        <v>1486176.61</v>
      </c>
      <c r="AB5742" s="1" t="s">
        <v>4068</v>
      </c>
      <c r="AC5742" s="5">
        <v>44173</v>
      </c>
      <c r="AF5742" s="1">
        <v>10038</v>
      </c>
      <c r="AI5742" s="1" t="s">
        <v>111</v>
      </c>
      <c r="AJ5742" s="1">
        <v>2020</v>
      </c>
      <c r="AK5742" s="1" t="s">
        <v>46</v>
      </c>
      <c r="AL5742" s="1">
        <v>244</v>
      </c>
    </row>
    <row r="5743" spans="1:38" x14ac:dyDescent="0.2">
      <c r="A5743" s="2" t="str">
        <f>HYPERLINK("https://www.compass.com/listing/130-william-street-unit-10c-manhattan-ny-10038/647165046785612385/","130 William St, Unit 10C")</f>
        <v>130 William St, Unit 10C</v>
      </c>
      <c r="B5743" s="2" t="str">
        <f t="shared" si="958"/>
        <v>130 William St</v>
      </c>
      <c r="C5743" s="1" t="s">
        <v>96</v>
      </c>
      <c r="D5743" s="1" t="s">
        <v>41</v>
      </c>
      <c r="E5743" s="3">
        <v>1425082</v>
      </c>
      <c r="F5743" s="1">
        <v>1404.0212906403899</v>
      </c>
      <c r="G5743" s="1">
        <v>3</v>
      </c>
      <c r="H5743" s="1">
        <v>1</v>
      </c>
      <c r="I5743" s="1">
        <v>1</v>
      </c>
      <c r="J5743" s="1">
        <v>1</v>
      </c>
      <c r="K5743" s="1">
        <v>1</v>
      </c>
      <c r="M5743" s="4">
        <v>1015</v>
      </c>
      <c r="N5743" s="1">
        <v>672.86</v>
      </c>
      <c r="O5743" s="1">
        <v>1976.4</v>
      </c>
      <c r="P5743" s="1">
        <v>1303.5</v>
      </c>
      <c r="Q5743" s="1" t="s">
        <v>42</v>
      </c>
      <c r="S5743" s="1" t="s">
        <v>42</v>
      </c>
      <c r="T5743" s="1" t="s">
        <v>273</v>
      </c>
      <c r="U5743" s="1">
        <v>745</v>
      </c>
      <c r="V5743" s="5">
        <v>44237</v>
      </c>
      <c r="W5743" s="5">
        <v>43305</v>
      </c>
      <c r="X5743" s="1">
        <v>1395990</v>
      </c>
      <c r="Y5743" s="1">
        <v>1395990</v>
      </c>
      <c r="Z5743" s="5">
        <v>44145</v>
      </c>
      <c r="AA5743" s="1">
        <v>1425081.61</v>
      </c>
      <c r="AB5743" s="1" t="s">
        <v>4069</v>
      </c>
      <c r="AC5743" s="5">
        <v>44218</v>
      </c>
      <c r="AF5743" s="1">
        <v>10038</v>
      </c>
      <c r="AI5743" s="1" t="s">
        <v>111</v>
      </c>
      <c r="AJ5743" s="1">
        <v>2020</v>
      </c>
      <c r="AK5743" s="1" t="s">
        <v>46</v>
      </c>
      <c r="AL5743" s="1">
        <v>244</v>
      </c>
    </row>
    <row r="5744" spans="1:38" x14ac:dyDescent="0.2">
      <c r="A5744" s="2" t="str">
        <f>HYPERLINK("https://www.compass.com/listing/130-william-street-unit-21a-manhattan-ny-10038/96075130328868993/","130 William St, Unit 21A")</f>
        <v>130 William St, Unit 21A</v>
      </c>
      <c r="B5744" s="2" t="str">
        <f t="shared" si="958"/>
        <v>130 William St</v>
      </c>
      <c r="C5744" s="1" t="s">
        <v>96</v>
      </c>
      <c r="D5744" s="1" t="s">
        <v>41</v>
      </c>
      <c r="E5744" s="3">
        <v>1477849</v>
      </c>
      <c r="F5744" s="1">
        <v>1698.6768735632099</v>
      </c>
      <c r="G5744" s="1">
        <v>3</v>
      </c>
      <c r="H5744" s="1">
        <v>1</v>
      </c>
      <c r="I5744" s="1">
        <v>1</v>
      </c>
      <c r="J5744" s="1">
        <v>1</v>
      </c>
      <c r="K5744" s="1">
        <v>1</v>
      </c>
      <c r="M5744" s="1">
        <v>870</v>
      </c>
      <c r="N5744" s="1">
        <v>594.79</v>
      </c>
      <c r="O5744" s="1">
        <v>1747.09</v>
      </c>
      <c r="P5744" s="1">
        <v>1152.3333333333301</v>
      </c>
      <c r="Q5744" s="1" t="s">
        <v>42</v>
      </c>
      <c r="S5744" s="1" t="s">
        <v>42</v>
      </c>
      <c r="T5744" s="1" t="s">
        <v>273</v>
      </c>
      <c r="U5744" s="1">
        <v>56</v>
      </c>
      <c r="V5744" s="5">
        <v>44223</v>
      </c>
      <c r="W5744" s="5">
        <v>43383</v>
      </c>
      <c r="X5744" s="1">
        <v>1420990</v>
      </c>
      <c r="Y5744" s="1">
        <v>1420990</v>
      </c>
      <c r="AA5744" s="1">
        <v>1477848.88</v>
      </c>
      <c r="AB5744" s="1" t="s">
        <v>4070</v>
      </c>
      <c r="AC5744" s="5">
        <v>44188</v>
      </c>
      <c r="AF5744" s="1">
        <v>10038</v>
      </c>
      <c r="AI5744" s="1" t="s">
        <v>111</v>
      </c>
      <c r="AJ5744" s="1">
        <v>2020</v>
      </c>
      <c r="AK5744" s="1" t="s">
        <v>46</v>
      </c>
      <c r="AL5744" s="1">
        <v>244</v>
      </c>
    </row>
    <row r="5745" spans="1:38" x14ac:dyDescent="0.2">
      <c r="A5745" s="2" t="str">
        <f>HYPERLINK("https://www.compass.com/listing/252-south-street-unit-51f-manhattan-ny-10002/29513546656163617/","252 South St, Unit 51F")</f>
        <v>252 South St, Unit 51F</v>
      </c>
      <c r="B5745" s="2" t="str">
        <f>HYPERLINK("https://www.compass.com/building/one-manhattan-square-manhattan-ny/294844950218926165/","One Manhattan Square")</f>
        <v>One Manhattan Square</v>
      </c>
      <c r="C5745" s="1" t="s">
        <v>47</v>
      </c>
      <c r="D5745" s="1" t="s">
        <v>41</v>
      </c>
      <c r="E5745" s="3">
        <v>1360208</v>
      </c>
      <c r="F5745" s="1">
        <v>1883.9440166204899</v>
      </c>
      <c r="G5745" s="1">
        <v>3</v>
      </c>
      <c r="H5745" s="1">
        <v>1</v>
      </c>
      <c r="I5745" s="1">
        <v>1</v>
      </c>
      <c r="J5745" s="1">
        <v>1</v>
      </c>
      <c r="M5745" s="1">
        <v>722</v>
      </c>
      <c r="N5745" s="1">
        <v>922</v>
      </c>
      <c r="O5745" s="1">
        <v>1108</v>
      </c>
      <c r="P5745" s="1">
        <v>186</v>
      </c>
      <c r="Q5745" s="1" t="s">
        <v>42</v>
      </c>
      <c r="S5745" s="1" t="s">
        <v>42</v>
      </c>
      <c r="T5745" s="1" t="s">
        <v>273</v>
      </c>
      <c r="U5745" s="1">
        <v>77</v>
      </c>
      <c r="V5745" s="5">
        <v>43686</v>
      </c>
      <c r="W5745" s="5">
        <v>42698</v>
      </c>
      <c r="X5745" s="1">
        <v>1402000</v>
      </c>
      <c r="Y5745" s="1">
        <v>1402000</v>
      </c>
      <c r="Z5745" s="5">
        <v>42776</v>
      </c>
      <c r="AA5745" s="1">
        <v>1360207.58</v>
      </c>
      <c r="AB5745" s="1" t="s">
        <v>4071</v>
      </c>
      <c r="AC5745" s="5">
        <v>43677</v>
      </c>
      <c r="AF5745" s="1">
        <v>10002</v>
      </c>
      <c r="AI5745" s="1" t="s">
        <v>4032</v>
      </c>
      <c r="AJ5745" s="1">
        <v>2019</v>
      </c>
      <c r="AK5745" s="1" t="s">
        <v>46</v>
      </c>
      <c r="AL5745" s="1">
        <v>787</v>
      </c>
    </row>
    <row r="5746" spans="1:38" x14ac:dyDescent="0.2">
      <c r="A5746" s="2" t="str">
        <f>HYPERLINK("https://www.compass.com/listing/50-west-street-unit-10a-manhattan-ny-10006/29355195414675025/","50 West St, Unit 10A")</f>
        <v>50 West St, Unit 10A</v>
      </c>
      <c r="B5746" s="2" t="str">
        <f t="shared" ref="B5746:B5753" si="959">HYPERLINK("https://www.compass.com/building/50-west-st-manhattan-ny-10006/281896342152815429/","50 West St")</f>
        <v>50 West St</v>
      </c>
      <c r="C5746" s="1" t="s">
        <v>96</v>
      </c>
      <c r="D5746" s="1" t="s">
        <v>41</v>
      </c>
      <c r="E5746" s="3">
        <v>2621994</v>
      </c>
      <c r="F5746" s="1">
        <v>1577.6137184115501</v>
      </c>
      <c r="G5746" s="1">
        <v>4</v>
      </c>
      <c r="H5746" s="1">
        <v>2</v>
      </c>
      <c r="I5746" s="1">
        <v>3</v>
      </c>
      <c r="J5746" s="1">
        <v>2.5</v>
      </c>
      <c r="K5746" s="1">
        <v>2</v>
      </c>
      <c r="L5746" s="1">
        <v>1</v>
      </c>
      <c r="M5746" s="4">
        <v>1662</v>
      </c>
      <c r="N5746" s="1">
        <v>1832.32</v>
      </c>
      <c r="O5746" s="1">
        <v>3875.5699999999902</v>
      </c>
      <c r="P5746" s="1">
        <v>2043.25</v>
      </c>
      <c r="Q5746" s="1" t="s">
        <v>42</v>
      </c>
      <c r="S5746" s="1" t="s">
        <v>42</v>
      </c>
      <c r="T5746" s="1" t="s">
        <v>273</v>
      </c>
      <c r="U5746" s="1">
        <v>61</v>
      </c>
      <c r="V5746" s="5">
        <v>43664</v>
      </c>
      <c r="W5746" s="5">
        <v>42125</v>
      </c>
      <c r="X5746" s="1">
        <v>2575000</v>
      </c>
      <c r="Y5746" s="1">
        <v>2575000</v>
      </c>
      <c r="Z5746" s="5">
        <v>42186</v>
      </c>
      <c r="AA5746" s="1">
        <v>2621994</v>
      </c>
      <c r="AB5746" s="1" t="s">
        <v>4072</v>
      </c>
      <c r="AC5746" s="5">
        <v>42783</v>
      </c>
      <c r="AF5746" s="1">
        <v>10006</v>
      </c>
      <c r="AI5746" s="1" t="s">
        <v>97</v>
      </c>
      <c r="AJ5746" s="1">
        <v>2016</v>
      </c>
      <c r="AK5746" s="1" t="s">
        <v>46</v>
      </c>
      <c r="AL5746" s="1">
        <v>186</v>
      </c>
    </row>
    <row r="5747" spans="1:38" x14ac:dyDescent="0.2">
      <c r="A5747" s="2" t="str">
        <f>HYPERLINK("https://www.compass.com/listing/50-west-street-unit-37b-manhattan-ny-10006/29355215664777521/","50 West St, Unit 37B")</f>
        <v>50 West St, Unit 37B</v>
      </c>
      <c r="B5747" s="2" t="str">
        <f t="shared" si="959"/>
        <v>50 West St</v>
      </c>
      <c r="C5747" s="1" t="s">
        <v>96</v>
      </c>
      <c r="D5747" s="1" t="s">
        <v>41</v>
      </c>
      <c r="E5747" s="3">
        <v>3604605</v>
      </c>
      <c r="F5747" s="1">
        <v>2382.4223397224</v>
      </c>
      <c r="G5747" s="1">
        <v>4</v>
      </c>
      <c r="H5747" s="1">
        <v>2</v>
      </c>
      <c r="I5747" s="1">
        <v>3</v>
      </c>
      <c r="J5747" s="1">
        <v>2.5</v>
      </c>
      <c r="K5747" s="1">
        <v>2</v>
      </c>
      <c r="L5747" s="1">
        <v>1</v>
      </c>
      <c r="M5747" s="4">
        <v>1513</v>
      </c>
      <c r="N5747" s="1">
        <v>2095.9699999999998</v>
      </c>
      <c r="O5747" s="1">
        <v>6071.57</v>
      </c>
      <c r="P5747" s="1">
        <v>3975.5833333333298</v>
      </c>
      <c r="Q5747" s="1" t="s">
        <v>42</v>
      </c>
      <c r="S5747" s="1" t="s">
        <v>42</v>
      </c>
      <c r="T5747" s="1" t="s">
        <v>273</v>
      </c>
      <c r="V5747" s="5">
        <v>43677</v>
      </c>
      <c r="W5747" s="5">
        <v>42041</v>
      </c>
      <c r="X5747" s="1">
        <v>3540000</v>
      </c>
      <c r="Y5747" s="1">
        <v>3540000</v>
      </c>
      <c r="Z5747" s="5">
        <v>42041</v>
      </c>
      <c r="AA5747" s="1">
        <v>3604605</v>
      </c>
      <c r="AB5747" s="1" t="s">
        <v>4073</v>
      </c>
      <c r="AC5747" s="5">
        <v>42821</v>
      </c>
      <c r="AF5747" s="1">
        <v>10006</v>
      </c>
      <c r="AI5747" s="1" t="s">
        <v>97</v>
      </c>
      <c r="AJ5747" s="1">
        <v>2016</v>
      </c>
      <c r="AK5747" s="1" t="s">
        <v>46</v>
      </c>
      <c r="AL5747" s="1">
        <v>186</v>
      </c>
    </row>
    <row r="5748" spans="1:38" x14ac:dyDescent="0.2">
      <c r="A5748" s="2" t="str">
        <f>HYPERLINK("https://www.compass.com/listing/50-west-street-unit-38b-manhattan-ny-10006/29355217048895473/","50 West St, Unit 38B")</f>
        <v>50 West St, Unit 38B</v>
      </c>
      <c r="B5748" s="2" t="str">
        <f t="shared" si="959"/>
        <v>50 West St</v>
      </c>
      <c r="C5748" s="1" t="s">
        <v>96</v>
      </c>
      <c r="D5748" s="1" t="s">
        <v>41</v>
      </c>
      <c r="E5748" s="3">
        <v>3828620</v>
      </c>
      <c r="F5748" s="1">
        <v>2530.4824851288799</v>
      </c>
      <c r="G5748" s="1">
        <v>4</v>
      </c>
      <c r="H5748" s="1">
        <v>2</v>
      </c>
      <c r="I5748" s="1">
        <v>3</v>
      </c>
      <c r="J5748" s="1">
        <v>2.5</v>
      </c>
      <c r="K5748" s="1">
        <v>2</v>
      </c>
      <c r="L5748" s="1">
        <v>1</v>
      </c>
      <c r="M5748" s="4">
        <v>1513</v>
      </c>
      <c r="N5748" s="1">
        <v>1887.75</v>
      </c>
      <c r="O5748" s="1">
        <v>3992.8</v>
      </c>
      <c r="P5748" s="1">
        <v>2105.0833333333298</v>
      </c>
      <c r="Q5748" s="1" t="s">
        <v>42</v>
      </c>
      <c r="S5748" s="1" t="s">
        <v>42</v>
      </c>
      <c r="T5748" s="1" t="s">
        <v>273</v>
      </c>
      <c r="U5748" s="1">
        <v>232</v>
      </c>
      <c r="V5748" s="5">
        <v>43677</v>
      </c>
      <c r="W5748" s="5">
        <v>42158</v>
      </c>
      <c r="X5748" s="1">
        <v>3580000</v>
      </c>
      <c r="Y5748" s="1">
        <v>3760000</v>
      </c>
      <c r="Z5748" s="5">
        <v>42390</v>
      </c>
      <c r="AA5748" s="1">
        <v>3828620</v>
      </c>
      <c r="AB5748" s="1" t="s">
        <v>4074</v>
      </c>
      <c r="AC5748" s="5">
        <v>42794</v>
      </c>
      <c r="AF5748" s="1">
        <v>10006</v>
      </c>
      <c r="AI5748" s="1" t="s">
        <v>97</v>
      </c>
      <c r="AJ5748" s="1">
        <v>2016</v>
      </c>
      <c r="AK5748" s="1" t="s">
        <v>46</v>
      </c>
      <c r="AL5748" s="1">
        <v>186</v>
      </c>
    </row>
    <row r="5749" spans="1:38" x14ac:dyDescent="0.2">
      <c r="A5749" s="2" t="str">
        <f>HYPERLINK("https://www.compass.com/listing/50-west-street-unit-39b-manhattan-ny-10006/29355218055528449/","50 West St, Unit 39B")</f>
        <v>50 West St, Unit 39B</v>
      </c>
      <c r="B5749" s="2" t="str">
        <f t="shared" si="959"/>
        <v>50 West St</v>
      </c>
      <c r="C5749" s="1" t="s">
        <v>96</v>
      </c>
      <c r="D5749" s="1" t="s">
        <v>41</v>
      </c>
      <c r="E5749" s="3">
        <v>3691156</v>
      </c>
      <c r="F5749" s="1">
        <v>2439.6272306675401</v>
      </c>
      <c r="G5749" s="1">
        <v>4</v>
      </c>
      <c r="H5749" s="1">
        <v>2</v>
      </c>
      <c r="I5749" s="1">
        <v>3</v>
      </c>
      <c r="J5749" s="1">
        <v>2.5</v>
      </c>
      <c r="K5749" s="1">
        <v>2</v>
      </c>
      <c r="L5749" s="1">
        <v>1</v>
      </c>
      <c r="M5749" s="4">
        <v>1513</v>
      </c>
      <c r="N5749" s="1">
        <v>1895.89</v>
      </c>
      <c r="O5749" s="1">
        <v>4010.01</v>
      </c>
      <c r="P5749" s="1">
        <v>2114.0833333333298</v>
      </c>
      <c r="Q5749" s="1" t="s">
        <v>42</v>
      </c>
      <c r="S5749" s="1" t="s">
        <v>42</v>
      </c>
      <c r="T5749" s="1" t="s">
        <v>273</v>
      </c>
      <c r="V5749" s="5">
        <v>43677</v>
      </c>
      <c r="W5749" s="5">
        <v>42257</v>
      </c>
      <c r="X5749" s="1">
        <v>3625000</v>
      </c>
      <c r="Y5749" s="1">
        <v>3625000</v>
      </c>
      <c r="Z5749" s="5">
        <v>42257</v>
      </c>
      <c r="AA5749" s="1">
        <v>3691156</v>
      </c>
      <c r="AB5749" s="1" t="s">
        <v>4075</v>
      </c>
      <c r="AC5749" s="5">
        <v>42783</v>
      </c>
      <c r="AF5749" s="1">
        <v>10006</v>
      </c>
      <c r="AI5749" s="1" t="s">
        <v>97</v>
      </c>
      <c r="AJ5749" s="1">
        <v>2016</v>
      </c>
      <c r="AK5749" s="1" t="s">
        <v>46</v>
      </c>
      <c r="AL5749" s="1">
        <v>186</v>
      </c>
    </row>
    <row r="5750" spans="1:38" x14ac:dyDescent="0.2">
      <c r="A5750" s="2" t="str">
        <f>HYPERLINK("https://www.compass.com/listing/50-west-street-unit-40b-manhattan-ny-10006/29355219305399201/","50 West St, Unit 40B")</f>
        <v>50 West St, Unit 40B</v>
      </c>
      <c r="B5750" s="2" t="str">
        <f t="shared" si="959"/>
        <v>50 West St</v>
      </c>
      <c r="C5750" s="1" t="s">
        <v>96</v>
      </c>
      <c r="D5750" s="1" t="s">
        <v>41</v>
      </c>
      <c r="E5750" s="3">
        <v>3915171</v>
      </c>
      <c r="F5750" s="1">
        <v>2587.68737607402</v>
      </c>
      <c r="G5750" s="1">
        <v>4</v>
      </c>
      <c r="H5750" s="1">
        <v>2</v>
      </c>
      <c r="I5750" s="1">
        <v>3</v>
      </c>
      <c r="J5750" s="1">
        <v>2.5</v>
      </c>
      <c r="K5750" s="1">
        <v>2</v>
      </c>
      <c r="L5750" s="1">
        <v>1</v>
      </c>
      <c r="M5750" s="4">
        <v>1513</v>
      </c>
      <c r="N5750" s="1">
        <v>1904.03</v>
      </c>
      <c r="O5750" s="1">
        <v>4027.22999999999</v>
      </c>
      <c r="P5750" s="1">
        <v>2123.1666666666601</v>
      </c>
      <c r="Q5750" s="1" t="s">
        <v>42</v>
      </c>
      <c r="S5750" s="1" t="s">
        <v>42</v>
      </c>
      <c r="T5750" s="1" t="s">
        <v>273</v>
      </c>
      <c r="U5750" s="1">
        <v>189</v>
      </c>
      <c r="V5750" s="5">
        <v>43664</v>
      </c>
      <c r="W5750" s="5">
        <v>42432</v>
      </c>
      <c r="X5750" s="1">
        <v>3845000</v>
      </c>
      <c r="Y5750" s="1">
        <v>3845000</v>
      </c>
      <c r="Z5750" s="5">
        <v>42621</v>
      </c>
      <c r="AA5750" s="1">
        <v>3915171</v>
      </c>
      <c r="AB5750" s="1" t="s">
        <v>4076</v>
      </c>
      <c r="AC5750" s="5">
        <v>42803</v>
      </c>
      <c r="AF5750" s="1">
        <v>10006</v>
      </c>
      <c r="AI5750" s="1" t="s">
        <v>97</v>
      </c>
      <c r="AJ5750" s="1">
        <v>2016</v>
      </c>
      <c r="AK5750" s="1" t="s">
        <v>46</v>
      </c>
      <c r="AL5750" s="1">
        <v>186</v>
      </c>
    </row>
    <row r="5751" spans="1:38" x14ac:dyDescent="0.2">
      <c r="A5751" s="2" t="str">
        <f>HYPERLINK("https://www.compass.com/listing/50-west-street-unit-45b-manhattan-ny-10006/29355224623811041/","50 West St, Unit 45B")</f>
        <v>50 West St, Unit 45B</v>
      </c>
      <c r="B5751" s="2" t="str">
        <f t="shared" si="959"/>
        <v>50 West St</v>
      </c>
      <c r="C5751" s="1" t="s">
        <v>96</v>
      </c>
      <c r="D5751" s="1" t="s">
        <v>41</v>
      </c>
      <c r="E5751" s="3">
        <v>4134095</v>
      </c>
      <c r="F5751" s="1">
        <v>2732.3826834104402</v>
      </c>
      <c r="G5751" s="1">
        <v>4</v>
      </c>
      <c r="H5751" s="1">
        <v>2</v>
      </c>
      <c r="I5751" s="1">
        <v>3</v>
      </c>
      <c r="J5751" s="1">
        <v>2.5</v>
      </c>
      <c r="K5751" s="1">
        <v>2</v>
      </c>
      <c r="L5751" s="1">
        <v>1</v>
      </c>
      <c r="M5751" s="4">
        <v>1513</v>
      </c>
      <c r="N5751" s="1">
        <v>1944.7</v>
      </c>
      <c r="O5751" s="1">
        <v>4113.2700000000004</v>
      </c>
      <c r="P5751" s="1">
        <v>2168.5833333333298</v>
      </c>
      <c r="Q5751" s="1" t="s">
        <v>42</v>
      </c>
      <c r="S5751" s="1" t="s">
        <v>42</v>
      </c>
      <c r="T5751" s="1" t="s">
        <v>273</v>
      </c>
      <c r="U5751" s="1">
        <v>83</v>
      </c>
      <c r="V5751" s="5">
        <v>43664</v>
      </c>
      <c r="W5751" s="5">
        <v>42293</v>
      </c>
      <c r="X5751" s="1">
        <v>4060000</v>
      </c>
      <c r="Y5751" s="1">
        <v>4060000</v>
      </c>
      <c r="Z5751" s="5">
        <v>42376</v>
      </c>
      <c r="AA5751" s="1">
        <v>4134095</v>
      </c>
      <c r="AB5751" s="1" t="s">
        <v>4077</v>
      </c>
      <c r="AC5751" s="5">
        <v>42815</v>
      </c>
      <c r="AF5751" s="1">
        <v>10006</v>
      </c>
      <c r="AI5751" s="1" t="s">
        <v>97</v>
      </c>
      <c r="AJ5751" s="1">
        <v>2016</v>
      </c>
      <c r="AK5751" s="1" t="s">
        <v>46</v>
      </c>
      <c r="AL5751" s="1">
        <v>186</v>
      </c>
    </row>
    <row r="5752" spans="1:38" x14ac:dyDescent="0.2">
      <c r="A5752" s="2" t="str">
        <f>HYPERLINK("https://www.compass.com/listing/50-west-street-unit-48b-manhattan-ny-10006/29355228348318785/","50 West St, Unit 48B")</f>
        <v>50 West St, Unit 48B</v>
      </c>
      <c r="B5752" s="2" t="str">
        <f t="shared" si="959"/>
        <v>50 West St</v>
      </c>
      <c r="C5752" s="1" t="s">
        <v>96</v>
      </c>
      <c r="D5752" s="1" t="s">
        <v>41</v>
      </c>
      <c r="E5752" s="3">
        <v>4057726</v>
      </c>
      <c r="F5752" s="1">
        <v>2681.90746860541</v>
      </c>
      <c r="G5752" s="1">
        <v>4</v>
      </c>
      <c r="H5752" s="1">
        <v>2</v>
      </c>
      <c r="I5752" s="1">
        <v>3</v>
      </c>
      <c r="J5752" s="1">
        <v>2</v>
      </c>
      <c r="K5752" s="1">
        <v>2</v>
      </c>
      <c r="M5752" s="4">
        <v>1513</v>
      </c>
      <c r="N5752" s="1">
        <v>1969.11</v>
      </c>
      <c r="O5752" s="1">
        <v>4164.8999999999996</v>
      </c>
      <c r="P5752" s="1">
        <v>2195.75</v>
      </c>
      <c r="Q5752" s="1" t="s">
        <v>42</v>
      </c>
      <c r="S5752" s="1" t="s">
        <v>42</v>
      </c>
      <c r="T5752" s="1" t="s">
        <v>273</v>
      </c>
      <c r="V5752" s="5">
        <v>43676</v>
      </c>
      <c r="W5752" s="5">
        <v>42014</v>
      </c>
      <c r="X5752" s="1">
        <v>3985000</v>
      </c>
      <c r="Y5752" s="1">
        <v>3985000</v>
      </c>
      <c r="Z5752" s="5">
        <v>42014</v>
      </c>
      <c r="AA5752" s="1">
        <v>4057726</v>
      </c>
      <c r="AB5752" s="1" t="s">
        <v>4078</v>
      </c>
      <c r="AC5752" s="5">
        <v>42826</v>
      </c>
      <c r="AF5752" s="1">
        <v>10006</v>
      </c>
      <c r="AI5752" s="1" t="s">
        <v>97</v>
      </c>
      <c r="AJ5752" s="1">
        <v>2016</v>
      </c>
      <c r="AK5752" s="1" t="s">
        <v>46</v>
      </c>
      <c r="AL5752" s="1">
        <v>186</v>
      </c>
    </row>
    <row r="5753" spans="1:38" x14ac:dyDescent="0.2">
      <c r="A5753" s="2" t="str">
        <f>HYPERLINK("https://www.compass.com/listing/50-west-street-unit-54b-manhattan-ny-10006/29355232777538145/","50 West St, Unit 54B")</f>
        <v>50 West St, Unit 54B</v>
      </c>
      <c r="B5753" s="2" t="str">
        <f t="shared" si="959"/>
        <v>50 West St</v>
      </c>
      <c r="C5753" s="1" t="s">
        <v>96</v>
      </c>
      <c r="D5753" s="1" t="s">
        <v>41</v>
      </c>
      <c r="E5753" s="3">
        <v>4302106</v>
      </c>
      <c r="F5753" s="1">
        <v>2843.4276272306602</v>
      </c>
      <c r="G5753" s="1">
        <v>4</v>
      </c>
      <c r="H5753" s="1">
        <v>2</v>
      </c>
      <c r="I5753" s="1">
        <v>3</v>
      </c>
      <c r="J5753" s="1">
        <v>2.5</v>
      </c>
      <c r="K5753" s="1">
        <v>2</v>
      </c>
      <c r="L5753" s="1">
        <v>1</v>
      </c>
      <c r="M5753" s="4">
        <v>1513</v>
      </c>
      <c r="N5753" s="1">
        <v>2017.93</v>
      </c>
      <c r="O5753" s="1">
        <v>4268.1499999999996</v>
      </c>
      <c r="P5753" s="1">
        <v>2250.25</v>
      </c>
      <c r="Q5753" s="1" t="s">
        <v>42</v>
      </c>
      <c r="S5753" s="1" t="s">
        <v>42</v>
      </c>
      <c r="T5753" s="1" t="s">
        <v>273</v>
      </c>
      <c r="U5753" s="1">
        <v>3</v>
      </c>
      <c r="V5753" s="5">
        <v>43664</v>
      </c>
      <c r="W5753" s="5">
        <v>42199</v>
      </c>
      <c r="X5753" s="1">
        <v>4225000</v>
      </c>
      <c r="Y5753" s="1">
        <v>4225000</v>
      </c>
      <c r="Z5753" s="5">
        <v>42202</v>
      </c>
      <c r="AA5753" s="1">
        <v>4302106</v>
      </c>
      <c r="AB5753" s="1" t="s">
        <v>4079</v>
      </c>
      <c r="AC5753" s="5">
        <v>42843</v>
      </c>
      <c r="AF5753" s="1">
        <v>10006</v>
      </c>
      <c r="AI5753" s="1" t="s">
        <v>97</v>
      </c>
      <c r="AJ5753" s="1">
        <v>2016</v>
      </c>
      <c r="AK5753" s="1" t="s">
        <v>46</v>
      </c>
      <c r="AL5753" s="1">
        <v>186</v>
      </c>
    </row>
    <row r="5754" spans="1:38" x14ac:dyDescent="0.2">
      <c r="A5754" s="2" t="str">
        <f>HYPERLINK("https://www.compass.com/listing/130-william-street-unit-39a-manhattan-ny-10038/746126937948624905/","130 William St, Unit 39A")</f>
        <v>130 William St, Unit 39A</v>
      </c>
      <c r="B5754" s="2" t="str">
        <f>HYPERLINK("https://www.compass.com/building/130-william-st-manhattan-ny-10038/282029682239486757/","130 William St")</f>
        <v>130 William St</v>
      </c>
      <c r="C5754" s="1" t="s">
        <v>96</v>
      </c>
      <c r="D5754" s="1" t="s">
        <v>41</v>
      </c>
      <c r="E5754" s="3">
        <v>1857838</v>
      </c>
      <c r="F5754" s="1">
        <v>2104.00663646659</v>
      </c>
      <c r="G5754" s="1">
        <v>3</v>
      </c>
      <c r="H5754" s="1">
        <v>1</v>
      </c>
      <c r="I5754" s="1">
        <v>1</v>
      </c>
      <c r="J5754" s="1">
        <v>1</v>
      </c>
      <c r="K5754" s="1">
        <v>1</v>
      </c>
      <c r="M5754" s="1">
        <v>883</v>
      </c>
      <c r="N5754" s="1">
        <v>633.6</v>
      </c>
      <c r="O5754" s="1">
        <v>1861.08</v>
      </c>
      <c r="P5754" s="1">
        <v>1227.5</v>
      </c>
      <c r="Q5754" s="1" t="s">
        <v>42</v>
      </c>
      <c r="S5754" s="1" t="s">
        <v>42</v>
      </c>
      <c r="T5754" s="1" t="s">
        <v>273</v>
      </c>
      <c r="U5754" s="1">
        <v>6</v>
      </c>
      <c r="V5754" s="5">
        <v>44378</v>
      </c>
      <c r="W5754" s="5">
        <v>44279</v>
      </c>
      <c r="X5754" s="1">
        <v>1820990</v>
      </c>
      <c r="Y5754" s="1">
        <v>1820990</v>
      </c>
      <c r="Z5754" s="5">
        <v>44286</v>
      </c>
      <c r="AA5754" s="1">
        <v>1857837.86</v>
      </c>
      <c r="AB5754" s="1" t="s">
        <v>4080</v>
      </c>
      <c r="AC5754" s="5">
        <v>44309</v>
      </c>
      <c r="AF5754" s="1">
        <v>10038</v>
      </c>
      <c r="AI5754" s="1" t="s">
        <v>111</v>
      </c>
      <c r="AJ5754" s="1">
        <v>2020</v>
      </c>
      <c r="AK5754" s="1" t="s">
        <v>46</v>
      </c>
      <c r="AL5754" s="1">
        <v>244</v>
      </c>
    </row>
    <row r="5755" spans="1:38" x14ac:dyDescent="0.2">
      <c r="A5755" s="2" t="str">
        <f>HYPERLINK("https://www.compass.com/listing/50-west-street-unit-18b-manhattan-ny-10006/29355201655799521/","50 West St, Unit 18B")</f>
        <v>50 West St, Unit 18B</v>
      </c>
      <c r="B5755" s="2" t="str">
        <f t="shared" ref="B5755:B5756" si="960">HYPERLINK("https://www.compass.com/building/50-west-st-manhattan-ny-10006/281896342152815429/","50 West St")</f>
        <v>50 West St</v>
      </c>
      <c r="C5755" s="1" t="s">
        <v>96</v>
      </c>
      <c r="D5755" s="1" t="s">
        <v>41</v>
      </c>
      <c r="E5755" s="3">
        <v>5315265</v>
      </c>
      <c r="F5755" s="1">
        <v>2301.9770463404002</v>
      </c>
      <c r="G5755" s="1">
        <v>6</v>
      </c>
      <c r="H5755" s="1">
        <v>3</v>
      </c>
      <c r="I5755" s="1">
        <v>4</v>
      </c>
      <c r="J5755" s="1">
        <v>3.5</v>
      </c>
      <c r="K5755" s="1">
        <v>3</v>
      </c>
      <c r="L5755" s="1">
        <v>1</v>
      </c>
      <c r="M5755" s="4">
        <v>2309</v>
      </c>
      <c r="N5755" s="1">
        <v>2625.97</v>
      </c>
      <c r="O5755" s="1">
        <v>5554.26</v>
      </c>
      <c r="P5755" s="1">
        <v>2928.25</v>
      </c>
      <c r="Q5755" s="1" t="s">
        <v>42</v>
      </c>
      <c r="S5755" s="1" t="s">
        <v>42</v>
      </c>
      <c r="T5755" s="1" t="s">
        <v>273</v>
      </c>
      <c r="U5755" s="1">
        <v>12</v>
      </c>
      <c r="V5755" s="5">
        <v>43662</v>
      </c>
      <c r="W5755" s="5">
        <v>42769</v>
      </c>
      <c r="X5755" s="1">
        <v>5220000</v>
      </c>
      <c r="Y5755" s="1">
        <v>5220000</v>
      </c>
      <c r="Z5755" s="5">
        <v>42781</v>
      </c>
      <c r="AA5755" s="1">
        <v>5315265</v>
      </c>
      <c r="AB5755" s="1" t="s">
        <v>4081</v>
      </c>
      <c r="AC5755" s="5">
        <v>42914</v>
      </c>
      <c r="AF5755" s="1">
        <v>10006</v>
      </c>
      <c r="AI5755" s="1" t="s">
        <v>97</v>
      </c>
      <c r="AJ5755" s="1">
        <v>2016</v>
      </c>
      <c r="AK5755" s="1" t="s">
        <v>46</v>
      </c>
      <c r="AL5755" s="1">
        <v>186</v>
      </c>
    </row>
    <row r="5756" spans="1:38" x14ac:dyDescent="0.2">
      <c r="A5756" s="2" t="str">
        <f>HYPERLINK("https://www.compass.com/listing/50-west-street-unit-32b-manhattan-ny-10006/29355211403330321/","50 West St, Unit 32B")</f>
        <v>50 West St, Unit 32B</v>
      </c>
      <c r="B5756" s="2" t="str">
        <f t="shared" si="960"/>
        <v>50 West St</v>
      </c>
      <c r="C5756" s="1" t="s">
        <v>96</v>
      </c>
      <c r="D5756" s="1" t="s">
        <v>41</v>
      </c>
      <c r="E5756" s="3">
        <v>5916033</v>
      </c>
      <c r="F5756" s="1">
        <v>2562.1624079688099</v>
      </c>
      <c r="G5756" s="1">
        <v>6</v>
      </c>
      <c r="H5756" s="1">
        <v>3</v>
      </c>
      <c r="I5756" s="1">
        <v>4</v>
      </c>
      <c r="J5756" s="1">
        <v>3.5</v>
      </c>
      <c r="K5756" s="1">
        <v>3</v>
      </c>
      <c r="L5756" s="1">
        <v>1</v>
      </c>
      <c r="M5756" s="4">
        <v>2309</v>
      </c>
      <c r="N5756" s="1">
        <v>2806.4</v>
      </c>
      <c r="O5756" s="1">
        <v>5935.85</v>
      </c>
      <c r="P5756" s="1">
        <v>3129.4166666666601</v>
      </c>
      <c r="Q5756" s="1" t="s">
        <v>42</v>
      </c>
      <c r="S5756" s="1" t="s">
        <v>42</v>
      </c>
      <c r="T5756" s="1" t="s">
        <v>273</v>
      </c>
      <c r="U5756" s="1">
        <v>14</v>
      </c>
      <c r="V5756" s="5">
        <v>43676</v>
      </c>
      <c r="W5756" s="5">
        <v>42069</v>
      </c>
      <c r="X5756" s="1">
        <v>5810000</v>
      </c>
      <c r="Y5756" s="1">
        <v>5810000</v>
      </c>
      <c r="Z5756" s="5">
        <v>42083</v>
      </c>
      <c r="AA5756" s="1">
        <v>5916033</v>
      </c>
      <c r="AB5756" s="1" t="s">
        <v>4082</v>
      </c>
      <c r="AC5756" s="5">
        <v>42822</v>
      </c>
      <c r="AF5756" s="1">
        <v>10006</v>
      </c>
      <c r="AI5756" s="1" t="s">
        <v>97</v>
      </c>
      <c r="AJ5756" s="1">
        <v>2016</v>
      </c>
      <c r="AK5756" s="1" t="s">
        <v>46</v>
      </c>
      <c r="AL5756" s="1">
        <v>186</v>
      </c>
    </row>
    <row r="5757" spans="1:38" x14ac:dyDescent="0.2">
      <c r="A5757" s="2" t="str">
        <f>HYPERLINK("https://www.compass.com/listing/130-william-street-unit-22a-manhattan-ny-10038/761075608887838593/","130 William St, Unit 22A")</f>
        <v>130 William St, Unit 22A</v>
      </c>
      <c r="B5757" s="2" t="str">
        <f t="shared" ref="B5757:B5760" si="961">HYPERLINK("https://www.compass.com/building/130-william-st-manhattan-ny-10038/282029682239486757/","130 William St")</f>
        <v>130 William St</v>
      </c>
      <c r="C5757" s="1" t="s">
        <v>96</v>
      </c>
      <c r="D5757" s="1" t="s">
        <v>41</v>
      </c>
      <c r="E5757" s="3">
        <v>1526907</v>
      </c>
      <c r="F5757" s="1">
        <v>1751.03969036697</v>
      </c>
      <c r="G5757" s="1">
        <v>3</v>
      </c>
      <c r="H5757" s="1">
        <v>1</v>
      </c>
      <c r="I5757" s="1">
        <v>1</v>
      </c>
      <c r="J5757" s="1">
        <v>1</v>
      </c>
      <c r="K5757" s="1">
        <v>1</v>
      </c>
      <c r="M5757" s="1">
        <v>872</v>
      </c>
      <c r="N5757" s="1">
        <v>597</v>
      </c>
      <c r="O5757" s="1">
        <v>1753</v>
      </c>
      <c r="P5757" s="1">
        <v>1156</v>
      </c>
      <c r="Q5757" s="1" t="s">
        <v>42</v>
      </c>
      <c r="S5757" s="1" t="s">
        <v>42</v>
      </c>
      <c r="T5757" s="1" t="s">
        <v>273</v>
      </c>
      <c r="U5757" s="1">
        <v>18</v>
      </c>
      <c r="V5757" s="5">
        <v>44383</v>
      </c>
      <c r="W5757" s="5">
        <v>44301</v>
      </c>
      <c r="X5757" s="1">
        <v>1495990</v>
      </c>
      <c r="Y5757" s="1">
        <v>1495990</v>
      </c>
      <c r="Z5757" s="5">
        <v>44320</v>
      </c>
      <c r="AA5757" s="1">
        <v>1526906.61</v>
      </c>
      <c r="AB5757" s="1" t="s">
        <v>4065</v>
      </c>
      <c r="AC5757" s="5">
        <v>44369</v>
      </c>
      <c r="AF5757" s="1">
        <v>10038</v>
      </c>
      <c r="AI5757" s="1" t="s">
        <v>111</v>
      </c>
      <c r="AJ5757" s="1">
        <v>2020</v>
      </c>
      <c r="AK5757" s="1" t="s">
        <v>46</v>
      </c>
      <c r="AL5757" s="1">
        <v>244</v>
      </c>
    </row>
    <row r="5758" spans="1:38" x14ac:dyDescent="0.2">
      <c r="A5758" s="2" t="str">
        <f>HYPERLINK("https://www.compass.com/listing/130-william-street-unit-36a-manhattan-ny-10038/770347386808203849/","130 William St, Unit 36A")</f>
        <v>130 William St, Unit 36A</v>
      </c>
      <c r="B5758" s="2" t="str">
        <f t="shared" si="961"/>
        <v>130 William St</v>
      </c>
      <c r="C5758" s="1" t="s">
        <v>96</v>
      </c>
      <c r="D5758" s="1" t="s">
        <v>41</v>
      </c>
      <c r="E5758" s="3">
        <v>1835990</v>
      </c>
      <c r="F5758" s="1">
        <v>2079.2638731596799</v>
      </c>
      <c r="G5758" s="1">
        <v>3</v>
      </c>
      <c r="H5758" s="1">
        <v>1</v>
      </c>
      <c r="I5758" s="1">
        <v>1</v>
      </c>
      <c r="J5758" s="1">
        <v>1</v>
      </c>
      <c r="K5758" s="1">
        <v>1</v>
      </c>
      <c r="M5758" s="1">
        <v>883</v>
      </c>
      <c r="N5758" s="1">
        <v>631</v>
      </c>
      <c r="O5758" s="1">
        <v>1853</v>
      </c>
      <c r="P5758" s="1">
        <v>1222</v>
      </c>
      <c r="Q5758" s="1" t="s">
        <v>42</v>
      </c>
      <c r="S5758" s="1" t="s">
        <v>42</v>
      </c>
      <c r="T5758" s="1" t="s">
        <v>273</v>
      </c>
      <c r="U5758" s="1">
        <v>13</v>
      </c>
      <c r="V5758" s="5">
        <v>44400</v>
      </c>
      <c r="W5758" s="5">
        <v>44301</v>
      </c>
      <c r="X5758" s="1">
        <v>1835990</v>
      </c>
      <c r="Y5758" s="1">
        <v>1835990</v>
      </c>
      <c r="Z5758" s="5">
        <v>44315</v>
      </c>
      <c r="AA5758" s="1">
        <v>1835990</v>
      </c>
      <c r="AB5758" s="1" t="s">
        <v>275</v>
      </c>
      <c r="AC5758" s="5">
        <v>44396</v>
      </c>
      <c r="AF5758" s="1">
        <v>10038</v>
      </c>
      <c r="AI5758" s="1" t="s">
        <v>111</v>
      </c>
      <c r="AJ5758" s="1">
        <v>2020</v>
      </c>
      <c r="AK5758" s="1" t="s">
        <v>46</v>
      </c>
      <c r="AL5758" s="1">
        <v>244</v>
      </c>
    </row>
    <row r="5759" spans="1:38" x14ac:dyDescent="0.2">
      <c r="A5759" s="2" t="str">
        <f>HYPERLINK("https://www.compass.com/listing/130-william-street-unit-41b-manhattan-ny-10038/777160788606233057/","130 William St, Unit 41B")</f>
        <v>130 William St, Unit 41B</v>
      </c>
      <c r="B5759" s="2" t="str">
        <f t="shared" si="961"/>
        <v>130 William St</v>
      </c>
      <c r="C5759" s="1" t="s">
        <v>96</v>
      </c>
      <c r="D5759" s="1" t="s">
        <v>41</v>
      </c>
      <c r="E5759" s="3">
        <v>3563618</v>
      </c>
      <c r="F5759" s="1">
        <v>2420.9361413043398</v>
      </c>
      <c r="G5759" s="1">
        <v>4</v>
      </c>
      <c r="H5759" s="1">
        <v>2</v>
      </c>
      <c r="I5759" s="1">
        <v>2</v>
      </c>
      <c r="J5759" s="1">
        <v>2</v>
      </c>
      <c r="K5759" s="1">
        <v>2</v>
      </c>
      <c r="M5759" s="4">
        <v>1472</v>
      </c>
      <c r="N5759" s="1">
        <v>1069.99</v>
      </c>
      <c r="O5759" s="1">
        <v>3142.8999999999901</v>
      </c>
      <c r="P5759" s="1">
        <v>2072.9166666666601</v>
      </c>
      <c r="Q5759" s="1" t="s">
        <v>42</v>
      </c>
      <c r="S5759" s="1" t="s">
        <v>42</v>
      </c>
      <c r="T5759" s="1" t="s">
        <v>273</v>
      </c>
      <c r="V5759" s="5">
        <v>44418</v>
      </c>
      <c r="W5759" s="5">
        <v>44326</v>
      </c>
      <c r="X5759" s="1">
        <v>3495990</v>
      </c>
      <c r="Y5759" s="1">
        <v>3495990</v>
      </c>
      <c r="Z5759" s="5">
        <v>44327</v>
      </c>
      <c r="AA5759" s="1">
        <v>3563618</v>
      </c>
      <c r="AB5759" s="1" t="s">
        <v>275</v>
      </c>
      <c r="AC5759" s="5">
        <v>44412</v>
      </c>
      <c r="AF5759" s="1">
        <v>10038</v>
      </c>
      <c r="AI5759" s="1" t="s">
        <v>111</v>
      </c>
      <c r="AJ5759" s="1">
        <v>2020</v>
      </c>
      <c r="AK5759" s="1" t="s">
        <v>46</v>
      </c>
      <c r="AL5759" s="1">
        <v>244</v>
      </c>
    </row>
    <row r="5760" spans="1:38" x14ac:dyDescent="0.2">
      <c r="A5760" s="2" t="str">
        <f>HYPERLINK("https://www.compass.com/listing/130-william-street-unit-28c-manhattan-ny-10038/771461645137264097/","130 William St, Unit 28C")</f>
        <v>130 William St, Unit 28C</v>
      </c>
      <c r="B5760" s="2" t="str">
        <f t="shared" si="961"/>
        <v>130 William St</v>
      </c>
      <c r="C5760" s="1" t="s">
        <v>96</v>
      </c>
      <c r="D5760" s="1" t="s">
        <v>41</v>
      </c>
      <c r="E5760" s="3">
        <v>2249864</v>
      </c>
      <c r="F5760" s="1">
        <v>2169.5893056894802</v>
      </c>
      <c r="G5760" s="1">
        <v>4</v>
      </c>
      <c r="H5760" s="1">
        <v>2</v>
      </c>
      <c r="I5760" s="1">
        <v>2</v>
      </c>
      <c r="J5760" s="1">
        <v>2</v>
      </c>
      <c r="K5760" s="1">
        <v>2</v>
      </c>
      <c r="M5760" s="4">
        <v>1037</v>
      </c>
      <c r="N5760" s="1">
        <v>743</v>
      </c>
      <c r="O5760" s="1">
        <v>2183</v>
      </c>
      <c r="P5760" s="1">
        <v>1440</v>
      </c>
      <c r="Q5760" s="1" t="s">
        <v>42</v>
      </c>
      <c r="S5760" s="1" t="s">
        <v>42</v>
      </c>
      <c r="T5760" s="1" t="s">
        <v>273</v>
      </c>
      <c r="U5760" s="1">
        <v>6</v>
      </c>
      <c r="V5760" s="5">
        <v>44380</v>
      </c>
      <c r="W5760" s="5">
        <v>44315</v>
      </c>
      <c r="X5760" s="1">
        <v>2205990</v>
      </c>
      <c r="Y5760" s="1">
        <v>2205990</v>
      </c>
      <c r="Z5760" s="5">
        <v>44321</v>
      </c>
      <c r="AA5760" s="1">
        <v>2249864.11</v>
      </c>
      <c r="AB5760" s="1" t="s">
        <v>4083</v>
      </c>
      <c r="AC5760" s="5">
        <v>44375</v>
      </c>
      <c r="AF5760" s="1">
        <v>10038</v>
      </c>
      <c r="AI5760" s="1" t="s">
        <v>111</v>
      </c>
      <c r="AJ5760" s="1">
        <v>2020</v>
      </c>
      <c r="AK5760" s="1" t="s">
        <v>46</v>
      </c>
      <c r="AL5760" s="1">
        <v>244</v>
      </c>
    </row>
    <row r="5761" spans="1:38" x14ac:dyDescent="0.2">
      <c r="A5761" s="2" t="str">
        <f>HYPERLINK("https://www.compass.com/listing/252-south-street-unit-9n-manhattan-ny-10002/29513514385187153/","252 South St, Unit 9N")</f>
        <v>252 South St, Unit 9N</v>
      </c>
      <c r="B5761" s="2" t="str">
        <f t="shared" ref="B5761:B5763" si="962">HYPERLINK("https://www.compass.com/building/one-manhattan-square-manhattan-ny/294844950218926165/","One Manhattan Square")</f>
        <v>One Manhattan Square</v>
      </c>
      <c r="C5761" s="1" t="s">
        <v>47</v>
      </c>
      <c r="D5761" s="1" t="s">
        <v>41</v>
      </c>
      <c r="E5761" s="3">
        <v>1419367</v>
      </c>
      <c r="F5761" s="1">
        <v>2042.25467625899</v>
      </c>
      <c r="G5761" s="1">
        <v>3</v>
      </c>
      <c r="H5761" s="1">
        <v>1</v>
      </c>
      <c r="I5761" s="1">
        <v>1</v>
      </c>
      <c r="J5761" s="1">
        <v>1</v>
      </c>
      <c r="K5761" s="1">
        <v>1</v>
      </c>
      <c r="M5761" s="1">
        <v>695</v>
      </c>
      <c r="N5761" s="1">
        <v>738</v>
      </c>
      <c r="O5761" s="1">
        <v>750</v>
      </c>
      <c r="P5761" s="1">
        <v>12</v>
      </c>
      <c r="Q5761" s="1" t="s">
        <v>42</v>
      </c>
      <c r="S5761" s="1" t="s">
        <v>42</v>
      </c>
      <c r="T5761" s="1" t="s">
        <v>273</v>
      </c>
      <c r="U5761" s="1">
        <v>2</v>
      </c>
      <c r="V5761" s="5">
        <v>43683</v>
      </c>
      <c r="W5761" s="5">
        <v>43194</v>
      </c>
      <c r="X5761" s="1">
        <v>1390000</v>
      </c>
      <c r="Y5761" s="1">
        <v>1390000</v>
      </c>
      <c r="Z5761" s="5">
        <v>43196</v>
      </c>
      <c r="AA5761" s="1">
        <v>1419367</v>
      </c>
      <c r="AB5761" s="1" t="s">
        <v>4084</v>
      </c>
      <c r="AC5761" s="5">
        <v>43554</v>
      </c>
      <c r="AF5761" s="1">
        <v>10002</v>
      </c>
      <c r="AI5761" s="1" t="s">
        <v>4032</v>
      </c>
      <c r="AJ5761" s="1">
        <v>2019</v>
      </c>
      <c r="AK5761" s="1" t="s">
        <v>46</v>
      </c>
      <c r="AL5761" s="1">
        <v>787</v>
      </c>
    </row>
    <row r="5762" spans="1:38" x14ac:dyDescent="0.2">
      <c r="A5762" s="2" t="str">
        <f>HYPERLINK("https://www.compass.com/listing/252-south-street-unit-8b-manhattan-ny-10002/29513515190544193/","252 South St, Unit 8B")</f>
        <v>252 South St, Unit 8B</v>
      </c>
      <c r="B5762" s="2" t="str">
        <f t="shared" si="962"/>
        <v>One Manhattan Square</v>
      </c>
      <c r="C5762" s="1" t="s">
        <v>47</v>
      </c>
      <c r="D5762" s="1" t="s">
        <v>41</v>
      </c>
      <c r="E5762" s="3">
        <v>1404093</v>
      </c>
      <c r="F5762" s="1">
        <v>2017.375</v>
      </c>
      <c r="G5762" s="1">
        <v>3</v>
      </c>
      <c r="H5762" s="1">
        <v>1</v>
      </c>
      <c r="I5762" s="1">
        <v>1</v>
      </c>
      <c r="J5762" s="1">
        <v>1</v>
      </c>
      <c r="K5762" s="1">
        <v>1</v>
      </c>
      <c r="M5762" s="1">
        <v>696</v>
      </c>
      <c r="N5762" s="1">
        <v>735</v>
      </c>
      <c r="O5762" s="1">
        <v>747</v>
      </c>
      <c r="P5762" s="1">
        <v>12</v>
      </c>
      <c r="Q5762" s="1" t="s">
        <v>42</v>
      </c>
      <c r="S5762" s="1" t="s">
        <v>42</v>
      </c>
      <c r="T5762" s="1" t="s">
        <v>273</v>
      </c>
      <c r="U5762" s="1">
        <v>2</v>
      </c>
      <c r="V5762" s="5">
        <v>43670</v>
      </c>
      <c r="W5762" s="5">
        <v>43194</v>
      </c>
      <c r="X5762" s="1">
        <v>1415000</v>
      </c>
      <c r="Y5762" s="1">
        <v>1415000</v>
      </c>
      <c r="Z5762" s="5">
        <v>43196</v>
      </c>
      <c r="AA5762" s="1">
        <v>1404093</v>
      </c>
      <c r="AB5762" s="1" t="s">
        <v>4085</v>
      </c>
      <c r="AC5762" s="5">
        <v>43529</v>
      </c>
      <c r="AF5762" s="1">
        <v>10002</v>
      </c>
      <c r="AI5762" s="1" t="s">
        <v>66</v>
      </c>
      <c r="AJ5762" s="1">
        <v>2019</v>
      </c>
      <c r="AK5762" s="1" t="s">
        <v>46</v>
      </c>
      <c r="AL5762" s="1">
        <v>787</v>
      </c>
    </row>
    <row r="5763" spans="1:38" x14ac:dyDescent="0.2">
      <c r="A5763" s="2" t="str">
        <f>HYPERLINK("https://www.compass.com/listing/252-south-street-unit-28p-manhattan-ny-10002/29513553576816305/","252 South St, Unit 28P")</f>
        <v>252 South St, Unit 28P</v>
      </c>
      <c r="B5763" s="2" t="str">
        <f t="shared" si="962"/>
        <v>One Manhattan Square</v>
      </c>
      <c r="C5763" s="1" t="s">
        <v>47</v>
      </c>
      <c r="D5763" s="1" t="s">
        <v>41</v>
      </c>
      <c r="E5763" s="3">
        <v>1409185</v>
      </c>
      <c r="F5763" s="1">
        <v>1949.08022130013</v>
      </c>
      <c r="G5763" s="1">
        <v>3</v>
      </c>
      <c r="H5763" s="1">
        <v>1</v>
      </c>
      <c r="I5763" s="1">
        <v>1</v>
      </c>
      <c r="J5763" s="1">
        <v>1</v>
      </c>
      <c r="M5763" s="1">
        <v>723</v>
      </c>
      <c r="N5763" s="1">
        <v>836</v>
      </c>
      <c r="O5763" s="1">
        <v>850</v>
      </c>
      <c r="P5763" s="1">
        <v>14</v>
      </c>
      <c r="Q5763" s="1" t="s">
        <v>42</v>
      </c>
      <c r="S5763" s="1" t="s">
        <v>42</v>
      </c>
      <c r="T5763" s="1" t="s">
        <v>273</v>
      </c>
      <c r="U5763" s="1">
        <v>3</v>
      </c>
      <c r="V5763" s="5">
        <v>43696</v>
      </c>
      <c r="W5763" s="5">
        <v>42693</v>
      </c>
      <c r="X5763" s="1">
        <v>1456000</v>
      </c>
      <c r="Y5763" s="1">
        <v>1456000</v>
      </c>
      <c r="Z5763" s="5">
        <v>42696</v>
      </c>
      <c r="AA5763" s="1">
        <v>1409185</v>
      </c>
      <c r="AB5763" s="1" t="s">
        <v>4086</v>
      </c>
      <c r="AC5763" s="5">
        <v>43633</v>
      </c>
      <c r="AF5763" s="1">
        <v>10002</v>
      </c>
      <c r="AI5763" s="1" t="s">
        <v>4032</v>
      </c>
      <c r="AJ5763" s="1">
        <v>2019</v>
      </c>
      <c r="AK5763" s="1" t="s">
        <v>46</v>
      </c>
      <c r="AL5763" s="1">
        <v>787</v>
      </c>
    </row>
    <row r="5764" spans="1:38" x14ac:dyDescent="0.2">
      <c r="A5764" s="2" t="str">
        <f>HYPERLINK("https://www.compass.com/listing/130-william-street-unit-38a-manhattan-ny-10038/841527761080833129/","130 William St, Unit 38A")</f>
        <v>130 William St, Unit 38A</v>
      </c>
      <c r="B5764" s="2" t="str">
        <f t="shared" ref="B5764:B5766" si="963">HYPERLINK("https://www.compass.com/building/130-william-st-manhattan-ny-10038/282029682239486757/","130 William St")</f>
        <v>130 William St</v>
      </c>
      <c r="C5764" s="1" t="s">
        <v>96</v>
      </c>
      <c r="D5764" s="1" t="s">
        <v>41</v>
      </c>
      <c r="E5764" s="3">
        <v>1847655</v>
      </c>
      <c r="F5764" s="1">
        <v>2092.47492638731</v>
      </c>
      <c r="G5764" s="1">
        <v>3</v>
      </c>
      <c r="H5764" s="1">
        <v>1</v>
      </c>
      <c r="J5764" s="1">
        <v>1</v>
      </c>
      <c r="M5764" s="1">
        <v>883</v>
      </c>
      <c r="N5764" s="1">
        <v>633</v>
      </c>
      <c r="O5764" s="1">
        <v>1859</v>
      </c>
      <c r="P5764" s="1">
        <v>1226</v>
      </c>
      <c r="Q5764" s="1" t="s">
        <v>42</v>
      </c>
      <c r="S5764" s="1" t="s">
        <v>42</v>
      </c>
      <c r="T5764" s="1" t="s">
        <v>273</v>
      </c>
      <c r="U5764" s="1">
        <v>99</v>
      </c>
      <c r="V5764" s="5">
        <v>44145</v>
      </c>
      <c r="W5764" s="5">
        <v>44145</v>
      </c>
      <c r="X5764" s="1">
        <v>1810990</v>
      </c>
      <c r="Y5764" s="1">
        <v>1810990</v>
      </c>
      <c r="AA5764" s="1">
        <v>1847655.36</v>
      </c>
      <c r="AB5764" s="1" t="s">
        <v>4087</v>
      </c>
      <c r="AC5764" s="5">
        <v>44245</v>
      </c>
      <c r="AF5764" s="1">
        <v>10038</v>
      </c>
      <c r="AI5764" s="1" t="s">
        <v>48</v>
      </c>
      <c r="AJ5764" s="1">
        <v>2020</v>
      </c>
      <c r="AK5764" s="1" t="s">
        <v>49</v>
      </c>
      <c r="AL5764" s="1">
        <v>244</v>
      </c>
    </row>
    <row r="5765" spans="1:38" x14ac:dyDescent="0.2">
      <c r="A5765" s="2" t="str">
        <f>HYPERLINK("https://www.compass.com/listing/130-william-street-unit-9c-manhattan-ny-10038/613925474441279209/","130 William St, Unit 9C")</f>
        <v>130 William St, Unit 9C</v>
      </c>
      <c r="B5765" s="2" t="str">
        <f t="shared" si="963"/>
        <v>130 William St</v>
      </c>
      <c r="C5765" s="1" t="s">
        <v>96</v>
      </c>
      <c r="D5765" s="1" t="s">
        <v>41</v>
      </c>
      <c r="E5765" s="3">
        <v>1445447</v>
      </c>
      <c r="F5765" s="1">
        <v>1424.0853300492599</v>
      </c>
      <c r="G5765" s="1">
        <v>3</v>
      </c>
      <c r="H5765" s="1">
        <v>1</v>
      </c>
      <c r="I5765" s="1">
        <v>1</v>
      </c>
      <c r="J5765" s="1">
        <v>1</v>
      </c>
      <c r="K5765" s="1">
        <v>1</v>
      </c>
      <c r="M5765" s="4">
        <v>1015</v>
      </c>
      <c r="N5765" s="1">
        <v>672.17</v>
      </c>
      <c r="O5765" s="1">
        <v>1974.3899999999901</v>
      </c>
      <c r="P5765" s="1">
        <v>1302.25</v>
      </c>
      <c r="Q5765" s="1" t="s">
        <v>42</v>
      </c>
      <c r="S5765" s="1" t="s">
        <v>42</v>
      </c>
      <c r="T5765" s="1" t="s">
        <v>273</v>
      </c>
      <c r="V5765" s="5">
        <v>44294</v>
      </c>
      <c r="W5765" s="5">
        <v>44098</v>
      </c>
      <c r="X5765" s="1">
        <v>1415990</v>
      </c>
      <c r="Y5765" s="1">
        <v>1415990</v>
      </c>
      <c r="Z5765" s="5">
        <v>44098</v>
      </c>
      <c r="AA5765" s="1">
        <v>1445446.61</v>
      </c>
      <c r="AB5765" s="1" t="s">
        <v>4088</v>
      </c>
      <c r="AC5765" s="5">
        <v>44288</v>
      </c>
      <c r="AF5765" s="1">
        <v>10038</v>
      </c>
      <c r="AI5765" s="1" t="s">
        <v>111</v>
      </c>
      <c r="AJ5765" s="1">
        <v>2020</v>
      </c>
      <c r="AK5765" s="1" t="s">
        <v>46</v>
      </c>
      <c r="AL5765" s="1">
        <v>244</v>
      </c>
    </row>
    <row r="5766" spans="1:38" x14ac:dyDescent="0.2">
      <c r="A5766" s="2" t="str">
        <f>HYPERLINK("https://www.compass.com/listing/130-william-street-unit-14d-manhattan-ny-10038/759145198193696353/","130 William St, Unit 14D")</f>
        <v>130 William St, Unit 14D</v>
      </c>
      <c r="B5766" s="2" t="str">
        <f t="shared" si="963"/>
        <v>130 William St</v>
      </c>
      <c r="C5766" s="1" t="s">
        <v>96</v>
      </c>
      <c r="D5766" s="1" t="s">
        <v>41</v>
      </c>
      <c r="E5766" s="3">
        <v>1929115</v>
      </c>
      <c r="F5766" s="1">
        <v>1497.7603726708001</v>
      </c>
      <c r="G5766" s="1">
        <v>4</v>
      </c>
      <c r="H5766" s="1">
        <v>2</v>
      </c>
      <c r="I5766" s="1">
        <v>2</v>
      </c>
      <c r="J5766" s="1">
        <v>2</v>
      </c>
      <c r="K5766" s="1">
        <v>2</v>
      </c>
      <c r="M5766" s="4">
        <v>1288</v>
      </c>
      <c r="N5766" s="1">
        <v>858</v>
      </c>
      <c r="O5766" s="1">
        <v>2521</v>
      </c>
      <c r="P5766" s="1">
        <v>1663</v>
      </c>
      <c r="Q5766" s="1" t="s">
        <v>42</v>
      </c>
      <c r="S5766" s="1" t="s">
        <v>42</v>
      </c>
      <c r="T5766" s="1" t="s">
        <v>273</v>
      </c>
      <c r="U5766" s="1">
        <v>38</v>
      </c>
      <c r="V5766" s="5">
        <v>44372</v>
      </c>
      <c r="W5766" s="5">
        <v>44299</v>
      </c>
      <c r="X5766" s="1">
        <v>1890990</v>
      </c>
      <c r="Y5766" s="1">
        <v>1890990</v>
      </c>
      <c r="Z5766" s="5">
        <v>44338</v>
      </c>
      <c r="AA5766" s="1">
        <v>1929115.36</v>
      </c>
      <c r="AB5766" s="1" t="s">
        <v>4089</v>
      </c>
      <c r="AC5766" s="5">
        <v>44371</v>
      </c>
      <c r="AF5766" s="1">
        <v>10038</v>
      </c>
      <c r="AI5766" s="1" t="s">
        <v>111</v>
      </c>
      <c r="AJ5766" s="1">
        <v>2020</v>
      </c>
      <c r="AK5766" s="1" t="s">
        <v>46</v>
      </c>
      <c r="AL5766" s="1">
        <v>244</v>
      </c>
    </row>
    <row r="5767" spans="1:38" x14ac:dyDescent="0.2">
      <c r="A5767" s="2" t="str">
        <f>HYPERLINK("https://www.compass.com/listing/50-west-street-unit-51a-manhattan-ny-10006/29355230755883585/","50 West St, Unit 51A")</f>
        <v>50 West St, Unit 51A</v>
      </c>
      <c r="B5767" s="2" t="str">
        <f t="shared" ref="B5767:B5768" si="964">HYPERLINK("https://www.compass.com/building/50-west-st-manhattan-ny-10006/281896342152815429/","50 West St")</f>
        <v>50 West St</v>
      </c>
      <c r="C5767" s="1" t="s">
        <v>96</v>
      </c>
      <c r="D5767" s="1" t="s">
        <v>41</v>
      </c>
      <c r="E5767" s="3">
        <v>4305000</v>
      </c>
      <c r="F5767" s="1">
        <v>2482.69896193771</v>
      </c>
      <c r="G5767" s="1">
        <v>5</v>
      </c>
      <c r="H5767" s="1">
        <v>2</v>
      </c>
      <c r="I5767" s="1">
        <v>3</v>
      </c>
      <c r="J5767" s="1">
        <v>3</v>
      </c>
      <c r="K5767" s="1">
        <v>3</v>
      </c>
      <c r="M5767" s="4">
        <v>1734</v>
      </c>
      <c r="N5767" s="1">
        <v>2276.86</v>
      </c>
      <c r="O5767" s="1">
        <v>4815.84</v>
      </c>
      <c r="P5767" s="1">
        <v>2539</v>
      </c>
      <c r="Q5767" s="1" t="s">
        <v>42</v>
      </c>
      <c r="S5767" s="1" t="s">
        <v>42</v>
      </c>
      <c r="T5767" s="1" t="s">
        <v>273</v>
      </c>
      <c r="U5767" s="1">
        <v>3</v>
      </c>
      <c r="V5767" s="5">
        <v>43664</v>
      </c>
      <c r="W5767" s="5">
        <v>42903</v>
      </c>
      <c r="X5767" s="1">
        <v>4305000</v>
      </c>
      <c r="Y5767" s="1">
        <v>4305000</v>
      </c>
      <c r="Z5767" s="5">
        <v>42906</v>
      </c>
      <c r="AA5767" s="1">
        <v>4305000</v>
      </c>
      <c r="AB5767" s="1" t="s">
        <v>3881</v>
      </c>
      <c r="AC5767" s="5">
        <v>42921</v>
      </c>
      <c r="AF5767" s="1">
        <v>10006</v>
      </c>
      <c r="AI5767" s="1" t="s">
        <v>97</v>
      </c>
      <c r="AJ5767" s="1">
        <v>2016</v>
      </c>
      <c r="AK5767" s="1" t="s">
        <v>46</v>
      </c>
      <c r="AL5767" s="1">
        <v>186</v>
      </c>
    </row>
    <row r="5768" spans="1:38" x14ac:dyDescent="0.2">
      <c r="A5768" s="2" t="str">
        <f>HYPERLINK("https://www.compass.com/listing/50-west-street-unit-52a-manhattan-ny-10006/29355231762516561/","50 West St, Unit 52A")</f>
        <v>50 West St, Unit 52A</v>
      </c>
      <c r="B5768" s="2" t="str">
        <f t="shared" si="964"/>
        <v>50 West St</v>
      </c>
      <c r="C5768" s="1" t="s">
        <v>96</v>
      </c>
      <c r="D5768" s="1" t="s">
        <v>41</v>
      </c>
      <c r="E5768" s="3">
        <v>4424296</v>
      </c>
      <c r="F5768" s="1">
        <v>2551.4971164936501</v>
      </c>
      <c r="G5768" s="1">
        <v>5</v>
      </c>
      <c r="H5768" s="1">
        <v>2</v>
      </c>
      <c r="I5768" s="1">
        <v>3</v>
      </c>
      <c r="J5768" s="1">
        <v>3</v>
      </c>
      <c r="K5768" s="1">
        <v>3</v>
      </c>
      <c r="M5768" s="4">
        <v>1734</v>
      </c>
      <c r="N5768" s="1">
        <v>2296.6799999999998</v>
      </c>
      <c r="O5768" s="1">
        <v>4857.75</v>
      </c>
      <c r="P5768" s="1">
        <v>2561.0833333333298</v>
      </c>
      <c r="Q5768" s="1" t="s">
        <v>42</v>
      </c>
      <c r="S5768" s="1" t="s">
        <v>42</v>
      </c>
      <c r="T5768" s="1" t="s">
        <v>273</v>
      </c>
      <c r="U5768" s="1">
        <v>693</v>
      </c>
      <c r="V5768" s="5">
        <v>43649</v>
      </c>
      <c r="W5768" s="5">
        <v>42214</v>
      </c>
      <c r="X5768" s="1">
        <v>4345000</v>
      </c>
      <c r="Y5768" s="1">
        <v>4345000</v>
      </c>
      <c r="Z5768" s="5">
        <v>42907</v>
      </c>
      <c r="AA5768" s="1">
        <v>4424296</v>
      </c>
      <c r="AB5768" s="1" t="s">
        <v>4090</v>
      </c>
      <c r="AC5768" s="5">
        <v>43035</v>
      </c>
      <c r="AF5768" s="1">
        <v>10006</v>
      </c>
      <c r="AI5768" s="1" t="s">
        <v>97</v>
      </c>
      <c r="AJ5768" s="1">
        <v>2016</v>
      </c>
      <c r="AK5768" s="1" t="s">
        <v>46</v>
      </c>
      <c r="AL5768" s="1">
        <v>186</v>
      </c>
    </row>
    <row r="5769" spans="1:38" x14ac:dyDescent="0.2">
      <c r="A5769" s="2" t="str">
        <f>HYPERLINK("https://www.compass.com/listing/130-william-street-unit-26b-manhattan-ny-10038/770440024917094257/","130 William St, Unit 26B")</f>
        <v>130 William St, Unit 26B</v>
      </c>
      <c r="B5769" s="2" t="str">
        <f>HYPERLINK("https://www.compass.com/building/130-william-st-manhattan-ny-10038/282029682239486757/","130 William St")</f>
        <v>130 William St</v>
      </c>
      <c r="C5769" s="1" t="s">
        <v>96</v>
      </c>
      <c r="D5769" s="1" t="s">
        <v>41</v>
      </c>
      <c r="E5769" s="3">
        <v>3108738</v>
      </c>
      <c r="F5769" s="1">
        <v>2051.9722442244201</v>
      </c>
      <c r="G5769" s="1">
        <v>5</v>
      </c>
      <c r="H5769" s="1">
        <v>3</v>
      </c>
      <c r="I5769" s="1">
        <v>2</v>
      </c>
      <c r="J5769" s="1">
        <v>2</v>
      </c>
      <c r="K5769" s="1">
        <v>2</v>
      </c>
      <c r="M5769" s="4">
        <v>1515</v>
      </c>
      <c r="N5769" s="1">
        <v>1065</v>
      </c>
      <c r="O5769" s="1">
        <v>3129</v>
      </c>
      <c r="P5769" s="1">
        <v>2064</v>
      </c>
      <c r="Q5769" s="1" t="s">
        <v>42</v>
      </c>
      <c r="S5769" s="1" t="s">
        <v>42</v>
      </c>
      <c r="T5769" s="1" t="s">
        <v>273</v>
      </c>
      <c r="U5769" s="1">
        <v>5</v>
      </c>
      <c r="V5769" s="5">
        <v>44381</v>
      </c>
      <c r="W5769" s="5">
        <v>44314</v>
      </c>
      <c r="X5769" s="1">
        <v>2995990</v>
      </c>
      <c r="Y5769" s="1">
        <v>2995990</v>
      </c>
      <c r="Z5769" s="5">
        <v>44320</v>
      </c>
      <c r="AA5769" s="1">
        <v>3108737.95</v>
      </c>
      <c r="AB5769" s="1" t="s">
        <v>4091</v>
      </c>
      <c r="AC5769" s="5">
        <v>44372</v>
      </c>
      <c r="AF5769" s="1">
        <v>10038</v>
      </c>
      <c r="AI5769" s="1" t="s">
        <v>111</v>
      </c>
      <c r="AJ5769" s="1">
        <v>2020</v>
      </c>
      <c r="AK5769" s="1" t="s">
        <v>46</v>
      </c>
      <c r="AL5769" s="1">
        <v>244</v>
      </c>
    </row>
    <row r="5770" spans="1:38" x14ac:dyDescent="0.2">
      <c r="A5770" s="2" t="str">
        <f>HYPERLINK("https://www.compass.com/listing/252-south-street-unit-35j-manhattan-ny-10002/29513555262926577/","252 South St, Unit 35J")</f>
        <v>252 South St, Unit 35J</v>
      </c>
      <c r="B5770" s="2" t="str">
        <f t="shared" ref="B5770:B5771" si="965">HYPERLINK("https://www.compass.com/building/one-manhattan-square-manhattan-ny/294844950218926165/","One Manhattan Square")</f>
        <v>One Manhattan Square</v>
      </c>
      <c r="C5770" s="1" t="s">
        <v>47</v>
      </c>
      <c r="D5770" s="1" t="s">
        <v>41</v>
      </c>
      <c r="E5770" s="3">
        <v>1407149</v>
      </c>
      <c r="F5770" s="1">
        <v>2024.67410071942</v>
      </c>
      <c r="G5770" s="1">
        <v>3</v>
      </c>
      <c r="H5770" s="1">
        <v>1</v>
      </c>
      <c r="I5770" s="1">
        <v>1</v>
      </c>
      <c r="J5770" s="1">
        <v>1</v>
      </c>
      <c r="M5770" s="1">
        <v>695</v>
      </c>
      <c r="N5770" s="1">
        <v>825</v>
      </c>
      <c r="O5770" s="1">
        <v>839</v>
      </c>
      <c r="P5770" s="1">
        <v>14</v>
      </c>
      <c r="Q5770" s="1" t="s">
        <v>42</v>
      </c>
      <c r="S5770" s="1" t="s">
        <v>42</v>
      </c>
      <c r="T5770" s="1" t="s">
        <v>273</v>
      </c>
      <c r="U5770" s="1">
        <v>3</v>
      </c>
      <c r="V5770" s="5">
        <v>43704</v>
      </c>
      <c r="W5770" s="5">
        <v>42791</v>
      </c>
      <c r="X5770" s="1">
        <v>1420000</v>
      </c>
      <c r="Y5770" s="1">
        <v>1420000</v>
      </c>
      <c r="Z5770" s="5">
        <v>42794</v>
      </c>
      <c r="AA5770" s="1">
        <v>1407148.5</v>
      </c>
      <c r="AB5770" s="1" t="s">
        <v>4092</v>
      </c>
      <c r="AC5770" s="5">
        <v>43686</v>
      </c>
      <c r="AF5770" s="1">
        <v>10002</v>
      </c>
      <c r="AI5770" s="1" t="s">
        <v>66</v>
      </c>
      <c r="AJ5770" s="1">
        <v>2019</v>
      </c>
      <c r="AK5770" s="1" t="s">
        <v>46</v>
      </c>
      <c r="AL5770" s="1">
        <v>787</v>
      </c>
    </row>
    <row r="5771" spans="1:38" x14ac:dyDescent="0.2">
      <c r="A5771" s="2" t="str">
        <f>HYPERLINK("https://www.compass.com/listing/252-south-street-unit-36j-manhattan-ny-10002/465140589026022273/","252 South St, Unit 36J")</f>
        <v>252 South St, Unit 36J</v>
      </c>
      <c r="B5771" s="2" t="str">
        <f t="shared" si="965"/>
        <v>One Manhattan Square</v>
      </c>
      <c r="C5771" s="1" t="s">
        <v>47</v>
      </c>
      <c r="D5771" s="1" t="s">
        <v>41</v>
      </c>
      <c r="E5771" s="3">
        <v>1432964</v>
      </c>
      <c r="F5771" s="1">
        <v>2061.8183741007101</v>
      </c>
      <c r="G5771" s="1">
        <v>3</v>
      </c>
      <c r="H5771" s="1">
        <v>1</v>
      </c>
      <c r="I5771" s="1">
        <v>1</v>
      </c>
      <c r="J5771" s="1">
        <v>1</v>
      </c>
      <c r="K5771" s="1">
        <v>1</v>
      </c>
      <c r="M5771" s="1">
        <v>695</v>
      </c>
      <c r="N5771" s="1">
        <v>841</v>
      </c>
      <c r="O5771" s="1">
        <v>854</v>
      </c>
      <c r="P5771" s="1">
        <v>13</v>
      </c>
      <c r="Q5771" s="1" t="s">
        <v>42</v>
      </c>
      <c r="S5771" s="1" t="s">
        <v>42</v>
      </c>
      <c r="T5771" s="1" t="s">
        <v>273</v>
      </c>
      <c r="U5771" s="1">
        <v>2</v>
      </c>
      <c r="V5771" s="5">
        <v>43938</v>
      </c>
      <c r="W5771" s="5">
        <v>43894</v>
      </c>
      <c r="X5771" s="1">
        <v>1440000</v>
      </c>
      <c r="Y5771" s="1">
        <v>1418400</v>
      </c>
      <c r="Z5771" s="5">
        <v>43897</v>
      </c>
      <c r="AA5771" s="1">
        <v>1432963.77</v>
      </c>
      <c r="AB5771" s="1" t="s">
        <v>4093</v>
      </c>
      <c r="AC5771" s="5">
        <v>43934</v>
      </c>
      <c r="AF5771" s="1">
        <v>10002</v>
      </c>
      <c r="AI5771" s="1" t="s">
        <v>66</v>
      </c>
      <c r="AJ5771" s="1">
        <v>2019</v>
      </c>
      <c r="AK5771" s="1" t="s">
        <v>46</v>
      </c>
      <c r="AL5771" s="1">
        <v>787</v>
      </c>
    </row>
    <row r="5772" spans="1:38" x14ac:dyDescent="0.2">
      <c r="A5772" s="2" t="str">
        <f>HYPERLINK("https://www.compass.com/listing/50-west-street-unit-16b-manhattan-ny-10006/29355199910937185/","50 West St, Unit 16B")</f>
        <v>50 West St, Unit 16B</v>
      </c>
      <c r="B5772" s="2" t="str">
        <f t="shared" ref="B5772:B5778" si="966">HYPERLINK("https://www.compass.com/building/50-west-st-manhattan-ny-10006/281896342152815429/","50 West St")</f>
        <v>50 West St</v>
      </c>
      <c r="C5772" s="1" t="s">
        <v>96</v>
      </c>
      <c r="D5772" s="1" t="s">
        <v>41</v>
      </c>
      <c r="E5772" s="3">
        <v>4500665</v>
      </c>
      <c r="F5772" s="1">
        <v>1949.18362927674</v>
      </c>
      <c r="G5772" s="1">
        <v>6</v>
      </c>
      <c r="H5772" s="1">
        <v>3</v>
      </c>
      <c r="I5772" s="1">
        <v>4</v>
      </c>
      <c r="J5772" s="1">
        <v>3</v>
      </c>
      <c r="K5772" s="1">
        <v>3</v>
      </c>
      <c r="M5772" s="4">
        <v>2309</v>
      </c>
      <c r="N5772" s="1">
        <v>2610.1999999999998</v>
      </c>
      <c r="O5772" s="1">
        <v>5520.4</v>
      </c>
      <c r="P5772" s="1">
        <v>2910.1666666666601</v>
      </c>
      <c r="Q5772" s="1" t="s">
        <v>42</v>
      </c>
      <c r="S5772" s="1" t="s">
        <v>42</v>
      </c>
      <c r="T5772" s="1" t="s">
        <v>273</v>
      </c>
      <c r="U5772" s="1">
        <v>64</v>
      </c>
      <c r="V5772" s="5">
        <v>43649</v>
      </c>
      <c r="W5772" s="5">
        <v>41958</v>
      </c>
      <c r="X5772" s="1">
        <v>4420000</v>
      </c>
      <c r="Y5772" s="1">
        <v>4420000</v>
      </c>
      <c r="Z5772" s="5">
        <v>42022</v>
      </c>
      <c r="AA5772" s="1">
        <v>4500665</v>
      </c>
      <c r="AB5772" s="1" t="s">
        <v>4094</v>
      </c>
      <c r="AC5772" s="5">
        <v>42997</v>
      </c>
      <c r="AF5772" s="1">
        <v>10006</v>
      </c>
      <c r="AI5772" s="1" t="s">
        <v>97</v>
      </c>
      <c r="AJ5772" s="1">
        <v>2016</v>
      </c>
      <c r="AK5772" s="1" t="s">
        <v>46</v>
      </c>
      <c r="AL5772" s="1">
        <v>186</v>
      </c>
    </row>
    <row r="5773" spans="1:38" x14ac:dyDescent="0.2">
      <c r="A5773" s="2" t="str">
        <f>HYPERLINK("https://www.compass.com/listing/50-west-street-unit-20b-manhattan-ny-10006/29355204063330065/","50 West St, Unit 20B")</f>
        <v>50 West St, Unit 20B</v>
      </c>
      <c r="B5773" s="2" t="str">
        <f t="shared" si="966"/>
        <v>50 West St</v>
      </c>
      <c r="C5773" s="1" t="s">
        <v>96</v>
      </c>
      <c r="D5773" s="1" t="s">
        <v>41</v>
      </c>
      <c r="E5773" s="3">
        <v>4673768</v>
      </c>
      <c r="F5773" s="1">
        <v>2024.1524469467299</v>
      </c>
      <c r="G5773" s="1">
        <v>6</v>
      </c>
      <c r="H5773" s="1">
        <v>3</v>
      </c>
      <c r="J5773" s="1">
        <v>3.5</v>
      </c>
      <c r="M5773" s="4">
        <v>2309</v>
      </c>
      <c r="N5773" s="1">
        <v>2659.87</v>
      </c>
      <c r="O5773" s="1">
        <v>5625.93</v>
      </c>
      <c r="P5773" s="1">
        <v>2966.0833333333298</v>
      </c>
      <c r="Q5773" s="1" t="s">
        <v>42</v>
      </c>
      <c r="S5773" s="1" t="s">
        <v>42</v>
      </c>
      <c r="T5773" s="1" t="s">
        <v>273</v>
      </c>
      <c r="U5773" s="1">
        <v>42</v>
      </c>
      <c r="V5773" s="5">
        <v>43664</v>
      </c>
      <c r="W5773" s="5">
        <v>41920</v>
      </c>
      <c r="X5773" s="1">
        <v>4590000</v>
      </c>
      <c r="Y5773" s="1">
        <v>4590000</v>
      </c>
      <c r="Z5773" s="5">
        <v>41962</v>
      </c>
      <c r="AA5773" s="1">
        <v>4673768</v>
      </c>
      <c r="AB5773" s="1" t="s">
        <v>4095</v>
      </c>
      <c r="AC5773" s="5">
        <v>42780</v>
      </c>
      <c r="AF5773" s="1">
        <v>10006</v>
      </c>
      <c r="AI5773" s="1" t="s">
        <v>97</v>
      </c>
      <c r="AJ5773" s="1">
        <v>2016</v>
      </c>
      <c r="AK5773" s="1" t="s">
        <v>46</v>
      </c>
      <c r="AL5773" s="1">
        <v>186</v>
      </c>
    </row>
    <row r="5774" spans="1:38" x14ac:dyDescent="0.2">
      <c r="A5774" s="2" t="str">
        <f>HYPERLINK("https://www.compass.com/listing/50-west-street-unit-30b-manhattan-ny-10006/29355210094739313/","50 West St, Unit 30B")</f>
        <v>50 West St, Unit 30B</v>
      </c>
      <c r="B5774" s="2" t="str">
        <f t="shared" si="966"/>
        <v>50 West St</v>
      </c>
      <c r="C5774" s="1" t="s">
        <v>96</v>
      </c>
      <c r="D5774" s="1" t="s">
        <v>41</v>
      </c>
      <c r="E5774" s="3">
        <v>5274535</v>
      </c>
      <c r="F5774" s="1">
        <v>2284.33737548722</v>
      </c>
      <c r="G5774" s="1">
        <v>6</v>
      </c>
      <c r="H5774" s="1">
        <v>3</v>
      </c>
      <c r="I5774" s="1">
        <v>4</v>
      </c>
      <c r="J5774" s="1">
        <v>3.5</v>
      </c>
      <c r="K5774" s="1">
        <v>3</v>
      </c>
      <c r="L5774" s="1">
        <v>1</v>
      </c>
      <c r="M5774" s="4">
        <v>2309</v>
      </c>
      <c r="N5774" s="1">
        <v>2784.05</v>
      </c>
      <c r="O5774" s="1">
        <v>5888.58</v>
      </c>
      <c r="P5774" s="1">
        <v>3104.5</v>
      </c>
      <c r="Q5774" s="1" t="s">
        <v>42</v>
      </c>
      <c r="S5774" s="1" t="s">
        <v>42</v>
      </c>
      <c r="T5774" s="1" t="s">
        <v>273</v>
      </c>
      <c r="U5774" s="1">
        <v>136</v>
      </c>
      <c r="V5774" s="5">
        <v>43677</v>
      </c>
      <c r="W5774" s="5">
        <v>41920</v>
      </c>
      <c r="X5774" s="1">
        <v>5180000</v>
      </c>
      <c r="Y5774" s="1">
        <v>5180000</v>
      </c>
      <c r="Z5774" s="5">
        <v>42056</v>
      </c>
      <c r="AA5774" s="1">
        <v>5274535</v>
      </c>
      <c r="AB5774" s="1" t="s">
        <v>4096</v>
      </c>
      <c r="AC5774" s="5">
        <v>42769</v>
      </c>
      <c r="AF5774" s="1">
        <v>10006</v>
      </c>
      <c r="AI5774" s="1" t="s">
        <v>97</v>
      </c>
      <c r="AJ5774" s="1">
        <v>2016</v>
      </c>
      <c r="AK5774" s="1" t="s">
        <v>46</v>
      </c>
      <c r="AL5774" s="1">
        <v>186</v>
      </c>
    </row>
    <row r="5775" spans="1:38" x14ac:dyDescent="0.2">
      <c r="A5775" s="2" t="str">
        <f>HYPERLINK("https://www.compass.com/listing/50-west-street-unit-32c-manhattan-ny-10006/29355211738908913/","50 West St, Unit 32C")</f>
        <v>50 West St, Unit 32C</v>
      </c>
      <c r="B5775" s="2" t="str">
        <f t="shared" si="966"/>
        <v>50 West St</v>
      </c>
      <c r="C5775" s="1" t="s">
        <v>96</v>
      </c>
      <c r="D5775" s="1" t="s">
        <v>41</v>
      </c>
      <c r="E5775" s="3">
        <v>12651756</v>
      </c>
      <c r="G5775" s="1">
        <v>6</v>
      </c>
      <c r="H5775" s="1">
        <v>3</v>
      </c>
      <c r="I5775" s="1">
        <v>4</v>
      </c>
      <c r="J5775" s="1">
        <v>3.5</v>
      </c>
      <c r="K5775" s="1">
        <v>3</v>
      </c>
      <c r="L5775" s="1">
        <v>1</v>
      </c>
      <c r="N5775" s="1">
        <v>2797.89</v>
      </c>
      <c r="O5775" s="1">
        <v>5917.85</v>
      </c>
      <c r="P5775" s="1">
        <v>3120</v>
      </c>
      <c r="Q5775" s="1" t="s">
        <v>42</v>
      </c>
      <c r="S5775" s="1" t="s">
        <v>42</v>
      </c>
      <c r="T5775" s="1" t="s">
        <v>273</v>
      </c>
      <c r="V5775" s="5">
        <v>43670</v>
      </c>
      <c r="W5775" s="5">
        <v>42242</v>
      </c>
      <c r="X5775" s="1">
        <v>6435000</v>
      </c>
      <c r="Y5775" s="1">
        <v>6435000</v>
      </c>
      <c r="Z5775" s="5">
        <v>42242</v>
      </c>
      <c r="AA5775" s="1">
        <v>12651756</v>
      </c>
      <c r="AB5775" s="1" t="s">
        <v>275</v>
      </c>
      <c r="AC5775" s="5">
        <v>42879</v>
      </c>
      <c r="AF5775" s="1">
        <v>10006</v>
      </c>
      <c r="AI5775" s="1" t="s">
        <v>97</v>
      </c>
      <c r="AJ5775" s="1">
        <v>2016</v>
      </c>
      <c r="AK5775" s="1" t="s">
        <v>46</v>
      </c>
      <c r="AL5775" s="1">
        <v>186</v>
      </c>
    </row>
    <row r="5776" spans="1:38" x14ac:dyDescent="0.2">
      <c r="A5776" s="2" t="str">
        <f>HYPERLINK("https://www.compass.com/listing/50-west-street-unit-37c-manhattan-ny-10006/29355216033873889/","50 West St, Unit 37C")</f>
        <v>50 West St, Unit 37C</v>
      </c>
      <c r="B5776" s="2" t="str">
        <f t="shared" si="966"/>
        <v>50 West St</v>
      </c>
      <c r="C5776" s="1" t="s">
        <v>96</v>
      </c>
      <c r="D5776" s="1" t="s">
        <v>41</v>
      </c>
      <c r="E5776" s="3">
        <v>6939374</v>
      </c>
      <c r="F5776" s="1">
        <v>2599.9901648557502</v>
      </c>
      <c r="G5776" s="1">
        <v>7</v>
      </c>
      <c r="H5776" s="1">
        <v>4</v>
      </c>
      <c r="I5776" s="1">
        <v>4</v>
      </c>
      <c r="J5776" s="1">
        <v>4</v>
      </c>
      <c r="K5776" s="1">
        <v>4</v>
      </c>
      <c r="M5776" s="4">
        <v>2669</v>
      </c>
      <c r="N5776" s="1">
        <v>3315.72</v>
      </c>
      <c r="O5776" s="1">
        <v>7013.12</v>
      </c>
      <c r="P5776" s="1">
        <v>3697.4166666666601</v>
      </c>
      <c r="Q5776" s="1" t="s">
        <v>42</v>
      </c>
      <c r="S5776" s="1" t="s">
        <v>42</v>
      </c>
      <c r="T5776" s="1" t="s">
        <v>273</v>
      </c>
      <c r="U5776" s="1">
        <v>126</v>
      </c>
      <c r="V5776" s="5">
        <v>43601</v>
      </c>
      <c r="W5776" s="5">
        <v>42431</v>
      </c>
      <c r="X5776" s="1">
        <v>6815000</v>
      </c>
      <c r="Y5776" s="1">
        <v>6815000</v>
      </c>
      <c r="Z5776" s="5">
        <v>42557</v>
      </c>
      <c r="AA5776" s="1">
        <v>6939373.75</v>
      </c>
      <c r="AB5776" s="1" t="s">
        <v>4097</v>
      </c>
      <c r="AC5776" s="5">
        <v>42905</v>
      </c>
      <c r="AF5776" s="1">
        <v>10006</v>
      </c>
      <c r="AI5776" s="1" t="s">
        <v>97</v>
      </c>
      <c r="AJ5776" s="1">
        <v>2016</v>
      </c>
      <c r="AK5776" s="1" t="s">
        <v>46</v>
      </c>
      <c r="AL5776" s="1">
        <v>186</v>
      </c>
    </row>
    <row r="5777" spans="1:38" x14ac:dyDescent="0.2">
      <c r="A5777" s="2" t="str">
        <f>HYPERLINK("https://www.compass.com/listing/50-west-street-unit-39c-manhattan-ny-10006/29355218374263697/","50 West St, Unit 39C")</f>
        <v>50 West St, Unit 39C</v>
      </c>
      <c r="B5777" s="2" t="str">
        <f t="shared" si="966"/>
        <v>50 West St</v>
      </c>
      <c r="C5777" s="1" t="s">
        <v>96</v>
      </c>
      <c r="D5777" s="1" t="s">
        <v>41</v>
      </c>
      <c r="E5777" s="3">
        <v>7056473</v>
      </c>
      <c r="F5777" s="1">
        <v>2643.8639940052399</v>
      </c>
      <c r="G5777" s="1">
        <v>7</v>
      </c>
      <c r="H5777" s="1">
        <v>4</v>
      </c>
      <c r="I5777" s="1">
        <v>4</v>
      </c>
      <c r="J5777" s="1">
        <v>4</v>
      </c>
      <c r="K5777" s="1">
        <v>4</v>
      </c>
      <c r="M5777" s="4">
        <v>2669</v>
      </c>
      <c r="N5777" s="1">
        <v>3344.42</v>
      </c>
      <c r="O5777" s="1">
        <v>7073.83</v>
      </c>
      <c r="P5777" s="1">
        <v>3729.4166666666601</v>
      </c>
      <c r="Q5777" s="1" t="s">
        <v>42</v>
      </c>
      <c r="S5777" s="1" t="s">
        <v>42</v>
      </c>
      <c r="T5777" s="1" t="s">
        <v>273</v>
      </c>
      <c r="U5777" s="1">
        <v>254</v>
      </c>
      <c r="V5777" s="5">
        <v>43676</v>
      </c>
      <c r="W5777" s="5">
        <v>42068</v>
      </c>
      <c r="X5777" s="1">
        <v>6930000</v>
      </c>
      <c r="Y5777" s="1">
        <v>6930000</v>
      </c>
      <c r="Z5777" s="5">
        <v>42322</v>
      </c>
      <c r="AA5777" s="1">
        <v>7056473</v>
      </c>
      <c r="AB5777" s="1" t="s">
        <v>4098</v>
      </c>
      <c r="AC5777" s="5">
        <v>42871</v>
      </c>
      <c r="AF5777" s="1">
        <v>10006</v>
      </c>
      <c r="AI5777" s="1" t="s">
        <v>97</v>
      </c>
      <c r="AJ5777" s="1">
        <v>2016</v>
      </c>
      <c r="AK5777" s="1" t="s">
        <v>46</v>
      </c>
      <c r="AL5777" s="1">
        <v>186</v>
      </c>
    </row>
    <row r="5778" spans="1:38" x14ac:dyDescent="0.2">
      <c r="A5778" s="2" t="str">
        <f>HYPERLINK("https://www.compass.com/listing/50-west-street-unit-48c-manhattan-ny-10006/29355228692285985/","50 West St, Unit 48C")</f>
        <v>50 West St, Unit 48C</v>
      </c>
      <c r="B5778" s="2" t="str">
        <f t="shared" si="966"/>
        <v>50 West St</v>
      </c>
      <c r="C5778" s="1" t="s">
        <v>96</v>
      </c>
      <c r="D5778" s="1" t="s">
        <v>41</v>
      </c>
      <c r="E5778" s="3">
        <v>11355000</v>
      </c>
      <c r="F5778" s="1">
        <v>4254.4023979018302</v>
      </c>
      <c r="G5778" s="1">
        <v>7</v>
      </c>
      <c r="H5778" s="1">
        <v>4</v>
      </c>
      <c r="I5778" s="1">
        <v>4</v>
      </c>
      <c r="J5778" s="1">
        <v>4</v>
      </c>
      <c r="K5778" s="1">
        <v>4</v>
      </c>
      <c r="M5778" s="4">
        <v>2669</v>
      </c>
      <c r="N5778" s="1">
        <v>3473.62</v>
      </c>
      <c r="O5778" s="1">
        <v>7347.08</v>
      </c>
      <c r="P5778" s="1">
        <v>3873.5</v>
      </c>
      <c r="Q5778" s="1" t="s">
        <v>42</v>
      </c>
      <c r="S5778" s="1" t="s">
        <v>42</v>
      </c>
      <c r="T5778" s="1" t="s">
        <v>273</v>
      </c>
      <c r="U5778" s="1">
        <v>35</v>
      </c>
      <c r="V5778" s="5">
        <v>43662</v>
      </c>
      <c r="W5778" s="5">
        <v>42167</v>
      </c>
      <c r="X5778" s="1">
        <v>7450000</v>
      </c>
      <c r="Y5778" s="1">
        <v>7450000</v>
      </c>
      <c r="Z5778" s="5">
        <v>42202</v>
      </c>
      <c r="AA5778" s="1">
        <v>11355000</v>
      </c>
      <c r="AB5778" s="1" t="s">
        <v>4099</v>
      </c>
      <c r="AC5778" s="5">
        <v>42886</v>
      </c>
      <c r="AF5778" s="1">
        <v>10006</v>
      </c>
      <c r="AI5778" s="1" t="s">
        <v>97</v>
      </c>
      <c r="AJ5778" s="1">
        <v>2016</v>
      </c>
      <c r="AK5778" s="1" t="s">
        <v>46</v>
      </c>
      <c r="AL5778" s="1">
        <v>186</v>
      </c>
    </row>
    <row r="5779" spans="1:38" x14ac:dyDescent="0.2">
      <c r="A5779" s="2" t="str">
        <f>HYPERLINK("https://www.compass.com/listing/130-william-street-unit-22b-manhattan-ny-10038/768988420852155153/","130 William St, Unit 22B")</f>
        <v>130 William St, Unit 22B</v>
      </c>
      <c r="B5779" s="2" t="str">
        <f>HYPERLINK("https://www.compass.com/building/130-william-st-manhattan-ny-10038/282029682239486757/","130 William St")</f>
        <v>130 William St</v>
      </c>
      <c r="C5779" s="1" t="s">
        <v>96</v>
      </c>
      <c r="D5779" s="1" t="s">
        <v>41</v>
      </c>
      <c r="E5779" s="3">
        <v>2855722</v>
      </c>
      <c r="F5779" s="1">
        <v>1884.9650165016501</v>
      </c>
      <c r="G5779" s="1">
        <v>5</v>
      </c>
      <c r="H5779" s="1">
        <v>3</v>
      </c>
      <c r="I5779" s="1">
        <v>2</v>
      </c>
      <c r="J5779" s="1">
        <v>2</v>
      </c>
      <c r="K5779" s="1">
        <v>2</v>
      </c>
      <c r="M5779" s="4">
        <v>1515</v>
      </c>
      <c r="N5779" s="1">
        <v>1053</v>
      </c>
      <c r="O5779" s="1">
        <v>3092</v>
      </c>
      <c r="P5779" s="1">
        <v>2039</v>
      </c>
      <c r="Q5779" s="1" t="s">
        <v>42</v>
      </c>
      <c r="S5779" s="1" t="s">
        <v>42</v>
      </c>
      <c r="T5779" s="1" t="s">
        <v>273</v>
      </c>
      <c r="U5779" s="1">
        <v>7</v>
      </c>
      <c r="V5779" s="5">
        <v>44406</v>
      </c>
      <c r="W5779" s="5">
        <v>44312</v>
      </c>
      <c r="X5779" s="1">
        <v>2800990</v>
      </c>
      <c r="Y5779" s="1">
        <v>2800990</v>
      </c>
      <c r="Z5779" s="5">
        <v>44320</v>
      </c>
      <c r="AA5779" s="1">
        <v>2855722</v>
      </c>
      <c r="AB5779" s="1" t="s">
        <v>275</v>
      </c>
      <c r="AC5779" s="5">
        <v>44375</v>
      </c>
      <c r="AF5779" s="1">
        <v>10038</v>
      </c>
      <c r="AI5779" s="1" t="s">
        <v>111</v>
      </c>
      <c r="AJ5779" s="1">
        <v>2020</v>
      </c>
      <c r="AK5779" s="1" t="s">
        <v>46</v>
      </c>
      <c r="AL5779" s="1">
        <v>244</v>
      </c>
    </row>
    <row r="5780" spans="1:38" x14ac:dyDescent="0.2">
      <c r="A5780" s="2" t="str">
        <f>HYPERLINK("https://www.compass.com/listing/252-south-street-unit-21f-manhattan-ny-10002/746815789381893137/","252 South St, Unit 21F")</f>
        <v>252 South St, Unit 21F</v>
      </c>
      <c r="B5780" s="2" t="str">
        <f t="shared" ref="B5780:B5794" si="967">HYPERLINK("https://www.compass.com/building/one-manhattan-square-manhattan-ny/294844950218926165/","One Manhattan Square")</f>
        <v>One Manhattan Square</v>
      </c>
      <c r="C5780" s="1" t="s">
        <v>47</v>
      </c>
      <c r="D5780" s="1" t="s">
        <v>41</v>
      </c>
      <c r="E5780" s="3">
        <v>1080000</v>
      </c>
      <c r="F5780" s="1">
        <v>1553.9568345323701</v>
      </c>
      <c r="H5780" s="1">
        <v>1</v>
      </c>
      <c r="J5780" s="1">
        <v>1</v>
      </c>
      <c r="M5780" s="1">
        <v>695</v>
      </c>
      <c r="N5780" s="1">
        <v>778</v>
      </c>
      <c r="O5780" s="1">
        <v>791</v>
      </c>
      <c r="P5780" s="1">
        <v>13</v>
      </c>
      <c r="Q5780" s="1" t="s">
        <v>42</v>
      </c>
      <c r="S5780" s="1" t="s">
        <v>42</v>
      </c>
      <c r="T5780" s="1" t="s">
        <v>273</v>
      </c>
      <c r="AA5780" s="1">
        <v>1080000</v>
      </c>
      <c r="AB5780" s="1" t="s">
        <v>4100</v>
      </c>
      <c r="AC5780" s="5">
        <v>44243</v>
      </c>
      <c r="AF5780" s="1">
        <v>10002</v>
      </c>
      <c r="AI5780" s="1" t="s">
        <v>66</v>
      </c>
      <c r="AJ5780" s="1">
        <v>2019</v>
      </c>
      <c r="AK5780" s="1" t="s">
        <v>49</v>
      </c>
      <c r="AL5780" s="1">
        <v>787</v>
      </c>
    </row>
    <row r="5781" spans="1:38" x14ac:dyDescent="0.2">
      <c r="A5781" s="2" t="str">
        <f>HYPERLINK("https://www.compass.com/listing/252-south-street-unit-18g-manhattan-ny-10002/4849516397073539329/","252 South St, Unit 18G")</f>
        <v>252 South St, Unit 18G</v>
      </c>
      <c r="B5781" s="2" t="str">
        <f t="shared" si="967"/>
        <v>One Manhattan Square</v>
      </c>
      <c r="C5781" s="1" t="s">
        <v>47</v>
      </c>
      <c r="D5781" s="1" t="s">
        <v>41</v>
      </c>
      <c r="E5781" s="3">
        <v>1150295</v>
      </c>
      <c r="F5781" s="1">
        <v>1591.00276625172</v>
      </c>
      <c r="G5781" s="1">
        <v>3</v>
      </c>
      <c r="H5781" s="1">
        <v>1</v>
      </c>
      <c r="I5781" s="1">
        <v>1</v>
      </c>
      <c r="J5781" s="1">
        <v>1</v>
      </c>
      <c r="M5781" s="1">
        <v>723</v>
      </c>
      <c r="N5781" s="1">
        <v>794</v>
      </c>
      <c r="O5781" s="1">
        <v>808</v>
      </c>
      <c r="P5781" s="1">
        <v>14</v>
      </c>
      <c r="Q5781" s="1" t="s">
        <v>42</v>
      </c>
      <c r="S5781" s="1" t="s">
        <v>42</v>
      </c>
      <c r="T5781" s="1" t="s">
        <v>273</v>
      </c>
      <c r="U5781" s="1">
        <v>4</v>
      </c>
      <c r="V5781" s="5">
        <v>43696</v>
      </c>
      <c r="W5781" s="5">
        <v>42749</v>
      </c>
      <c r="X5781" s="1">
        <v>1185000</v>
      </c>
      <c r="Y5781" s="1">
        <v>1185000</v>
      </c>
      <c r="Z5781" s="5">
        <v>42753</v>
      </c>
      <c r="AA5781" s="1">
        <v>1150295.94</v>
      </c>
      <c r="AB5781" s="1" t="s">
        <v>4101</v>
      </c>
      <c r="AC5781" s="5">
        <v>43579</v>
      </c>
      <c r="AF5781" s="1">
        <v>10002</v>
      </c>
      <c r="AI5781" s="1" t="s">
        <v>4032</v>
      </c>
      <c r="AJ5781" s="1">
        <v>2019</v>
      </c>
      <c r="AK5781" s="1" t="s">
        <v>46</v>
      </c>
      <c r="AL5781" s="1">
        <v>787</v>
      </c>
    </row>
    <row r="5782" spans="1:38" x14ac:dyDescent="0.2">
      <c r="A5782" s="2" t="str">
        <f>HYPERLINK("https://www.compass.com/listing/252-south-street-unit-41k-manhattan-ny-10002/224489174777036817/","252 South St, Unit 41K")</f>
        <v>252 South St, Unit 41K</v>
      </c>
      <c r="B5782" s="2" t="str">
        <f t="shared" si="967"/>
        <v>One Manhattan Square</v>
      </c>
      <c r="C5782" s="1" t="s">
        <v>47</v>
      </c>
      <c r="D5782" s="1" t="s">
        <v>41</v>
      </c>
      <c r="E5782" s="3">
        <v>2559020</v>
      </c>
      <c r="F5782" s="1">
        <v>2278.7355298308098</v>
      </c>
      <c r="G5782" s="1">
        <v>4</v>
      </c>
      <c r="H5782" s="1">
        <v>2</v>
      </c>
      <c r="I5782" s="1">
        <v>2</v>
      </c>
      <c r="J5782" s="1">
        <v>2</v>
      </c>
      <c r="K5782" s="1">
        <v>2</v>
      </c>
      <c r="M5782" s="4">
        <v>1123</v>
      </c>
      <c r="N5782" s="1">
        <v>1374</v>
      </c>
      <c r="O5782" s="1">
        <v>1397.14</v>
      </c>
      <c r="P5782" s="1">
        <v>23.1666666666666</v>
      </c>
      <c r="Q5782" s="1" t="s">
        <v>42</v>
      </c>
      <c r="S5782" s="1" t="s">
        <v>42</v>
      </c>
      <c r="T5782" s="1" t="s">
        <v>273</v>
      </c>
      <c r="V5782" s="5">
        <v>43696</v>
      </c>
      <c r="W5782" s="5">
        <v>43562</v>
      </c>
      <c r="X5782" s="1">
        <v>2566000</v>
      </c>
      <c r="Y5782" s="1">
        <v>2566000</v>
      </c>
      <c r="Z5782" s="5">
        <v>43562</v>
      </c>
      <c r="AA5782" s="1">
        <v>2559020</v>
      </c>
      <c r="AB5782" s="1" t="s">
        <v>4102</v>
      </c>
      <c r="AC5782" s="5">
        <v>43630</v>
      </c>
      <c r="AF5782" s="1">
        <v>10002</v>
      </c>
      <c r="AI5782" s="1" t="s">
        <v>66</v>
      </c>
      <c r="AJ5782" s="1">
        <v>2019</v>
      </c>
      <c r="AK5782" s="1" t="s">
        <v>46</v>
      </c>
      <c r="AL5782" s="1">
        <v>787</v>
      </c>
    </row>
    <row r="5783" spans="1:38" x14ac:dyDescent="0.2">
      <c r="A5783" s="2" t="str">
        <f>HYPERLINK("https://www.compass.com/listing/252-south-street-unit-47k-manhattan-ny-10002/292793945568576177/","252 South St, Unit 47K")</f>
        <v>252 South St, Unit 47K</v>
      </c>
      <c r="B5783" s="2" t="str">
        <f t="shared" si="967"/>
        <v>One Manhattan Square</v>
      </c>
      <c r="C5783" s="1" t="s">
        <v>47</v>
      </c>
      <c r="D5783" s="1" t="s">
        <v>41</v>
      </c>
      <c r="E5783" s="3">
        <v>2549625</v>
      </c>
      <c r="F5783" s="1">
        <v>2270.3695458593002</v>
      </c>
      <c r="G5783" s="1">
        <v>4</v>
      </c>
      <c r="H5783" s="1">
        <v>2</v>
      </c>
      <c r="I5783" s="1">
        <v>2</v>
      </c>
      <c r="J5783" s="1">
        <v>2</v>
      </c>
      <c r="K5783" s="1">
        <v>2</v>
      </c>
      <c r="M5783" s="4">
        <v>1123</v>
      </c>
      <c r="N5783" s="1">
        <v>1425</v>
      </c>
      <c r="O5783" s="1">
        <v>1448</v>
      </c>
      <c r="P5783" s="1">
        <v>23</v>
      </c>
      <c r="Q5783" s="1" t="s">
        <v>42</v>
      </c>
      <c r="S5783" s="1" t="s">
        <v>42</v>
      </c>
      <c r="T5783" s="1" t="s">
        <v>273</v>
      </c>
      <c r="U5783" s="1">
        <v>2</v>
      </c>
      <c r="V5783" s="5">
        <v>43715</v>
      </c>
      <c r="W5783" s="5">
        <v>43656</v>
      </c>
      <c r="X5783" s="1">
        <v>2587000</v>
      </c>
      <c r="Y5783" s="1">
        <v>2587000</v>
      </c>
      <c r="Z5783" s="5">
        <v>43659</v>
      </c>
      <c r="AA5783" s="1">
        <v>2549625</v>
      </c>
      <c r="AB5783" s="1" t="s">
        <v>4103</v>
      </c>
      <c r="AC5783" s="5">
        <v>43707</v>
      </c>
      <c r="AF5783" s="1">
        <v>10002</v>
      </c>
      <c r="AI5783" s="1" t="s">
        <v>66</v>
      </c>
      <c r="AJ5783" s="1">
        <v>2019</v>
      </c>
      <c r="AK5783" s="1" t="s">
        <v>46</v>
      </c>
      <c r="AL5783" s="1">
        <v>787</v>
      </c>
    </row>
    <row r="5784" spans="1:38" x14ac:dyDescent="0.2">
      <c r="A5784" s="2" t="str">
        <f>HYPERLINK("https://www.compass.com/listing/252-south-street-unit-63d-manhattan-ny-10002/29513551823597169/","252 South St, Unit 63D")</f>
        <v>252 South St, Unit 63D</v>
      </c>
      <c r="B5784" s="2" t="str">
        <f t="shared" si="967"/>
        <v>One Manhattan Square</v>
      </c>
      <c r="C5784" s="1" t="s">
        <v>47</v>
      </c>
      <c r="D5784" s="1" t="s">
        <v>41</v>
      </c>
      <c r="E5784" s="3">
        <v>2855100</v>
      </c>
      <c r="F5784" s="1">
        <v>2440.2564102564102</v>
      </c>
      <c r="G5784" s="1">
        <v>4</v>
      </c>
      <c r="H5784" s="1">
        <v>2</v>
      </c>
      <c r="I5784" s="1">
        <v>2</v>
      </c>
      <c r="J5784" s="1">
        <v>2</v>
      </c>
      <c r="M5784" s="4">
        <v>1170</v>
      </c>
      <c r="N5784" s="1">
        <v>1567.48</v>
      </c>
      <c r="O5784" s="1">
        <v>1593.87</v>
      </c>
      <c r="P5784" s="1">
        <v>26.4166666666666</v>
      </c>
      <c r="Q5784" s="1" t="s">
        <v>42</v>
      </c>
      <c r="S5784" s="1" t="s">
        <v>42</v>
      </c>
      <c r="T5784" s="1" t="s">
        <v>273</v>
      </c>
      <c r="U5784" s="1">
        <v>83</v>
      </c>
      <c r="V5784" s="5">
        <v>43938</v>
      </c>
      <c r="W5784" s="5">
        <v>42684</v>
      </c>
      <c r="Y5784" s="1">
        <v>3336000</v>
      </c>
      <c r="Z5784" s="5">
        <v>42768</v>
      </c>
      <c r="AA5784" s="1">
        <v>2855100</v>
      </c>
      <c r="AB5784" s="1" t="s">
        <v>4104</v>
      </c>
      <c r="AC5784" s="5">
        <v>43740</v>
      </c>
      <c r="AF5784" s="1">
        <v>10002</v>
      </c>
      <c r="AI5784" s="1" t="s">
        <v>66</v>
      </c>
      <c r="AJ5784" s="1">
        <v>2019</v>
      </c>
      <c r="AK5784" s="1" t="s">
        <v>46</v>
      </c>
      <c r="AL5784" s="1">
        <v>787</v>
      </c>
    </row>
    <row r="5785" spans="1:38" x14ac:dyDescent="0.2">
      <c r="A5785" s="2" t="str">
        <f>HYPERLINK("https://www.compass.com/listing/252-south-street-unit-25a-manhattan-ny-10002/29513554382122705/","252 South St, Unit 25A")</f>
        <v>252 South St, Unit 25A</v>
      </c>
      <c r="B5785" s="2" t="str">
        <f t="shared" si="967"/>
        <v>One Manhattan Square</v>
      </c>
      <c r="C5785" s="1" t="s">
        <v>47</v>
      </c>
      <c r="D5785" s="1" t="s">
        <v>41</v>
      </c>
      <c r="E5785" s="3">
        <v>2442708</v>
      </c>
      <c r="F5785" s="1">
        <v>2102.1583476764199</v>
      </c>
      <c r="G5785" s="1">
        <v>4</v>
      </c>
      <c r="H5785" s="1">
        <v>2</v>
      </c>
      <c r="I5785" s="1">
        <v>2</v>
      </c>
      <c r="J5785" s="1">
        <v>2</v>
      </c>
      <c r="M5785" s="4">
        <v>1162</v>
      </c>
      <c r="N5785" s="1">
        <v>1325</v>
      </c>
      <c r="O5785" s="1">
        <v>1347</v>
      </c>
      <c r="P5785" s="1">
        <v>22</v>
      </c>
      <c r="Q5785" s="1" t="s">
        <v>42</v>
      </c>
      <c r="S5785" s="1" t="s">
        <v>42</v>
      </c>
      <c r="T5785" s="1" t="s">
        <v>273</v>
      </c>
      <c r="U5785" s="1">
        <v>7</v>
      </c>
      <c r="V5785" s="5">
        <v>43696</v>
      </c>
      <c r="W5785" s="5">
        <v>42727</v>
      </c>
      <c r="X5785" s="1">
        <v>2521000</v>
      </c>
      <c r="Y5785" s="1">
        <v>2521000</v>
      </c>
      <c r="Z5785" s="5">
        <v>42734</v>
      </c>
      <c r="AA5785" s="1">
        <v>2442708.75</v>
      </c>
      <c r="AB5785" s="1" t="s">
        <v>4105</v>
      </c>
      <c r="AC5785" s="5">
        <v>43593</v>
      </c>
      <c r="AF5785" s="1">
        <v>10002</v>
      </c>
      <c r="AI5785" s="1" t="s">
        <v>4032</v>
      </c>
      <c r="AJ5785" s="1">
        <v>2019</v>
      </c>
      <c r="AK5785" s="1" t="s">
        <v>46</v>
      </c>
      <c r="AL5785" s="1">
        <v>787</v>
      </c>
    </row>
    <row r="5786" spans="1:38" x14ac:dyDescent="0.2">
      <c r="A5786" s="2" t="str">
        <f>HYPERLINK("https://www.compass.com/listing/252-south-street-unit-43k-manhattan-ny-10002/384075226156655921/","252 South St, Unit 43K")</f>
        <v>252 South St, Unit 43K</v>
      </c>
      <c r="B5786" s="2" t="str">
        <f t="shared" si="967"/>
        <v>One Manhattan Square</v>
      </c>
      <c r="C5786" s="1" t="s">
        <v>47</v>
      </c>
      <c r="D5786" s="1" t="s">
        <v>41</v>
      </c>
      <c r="E5786" s="3">
        <v>2468674</v>
      </c>
      <c r="F5786" s="1">
        <v>2198.28506678539</v>
      </c>
      <c r="G5786" s="1">
        <v>4</v>
      </c>
      <c r="H5786" s="1">
        <v>2</v>
      </c>
      <c r="I5786" s="1">
        <v>2</v>
      </c>
      <c r="J5786" s="1">
        <v>2</v>
      </c>
      <c r="K5786" s="1">
        <v>2</v>
      </c>
      <c r="M5786" s="4">
        <v>1123</v>
      </c>
      <c r="N5786" s="1">
        <v>1406.69</v>
      </c>
      <c r="O5786" s="1">
        <v>1428.9</v>
      </c>
      <c r="P5786" s="1">
        <v>22.25</v>
      </c>
      <c r="Q5786" s="1" t="s">
        <v>42</v>
      </c>
      <c r="S5786" s="1" t="s">
        <v>42</v>
      </c>
      <c r="T5786" s="1" t="s">
        <v>273</v>
      </c>
      <c r="U5786" s="1">
        <v>3</v>
      </c>
      <c r="V5786" s="5">
        <v>43830</v>
      </c>
      <c r="W5786" s="5">
        <v>43782</v>
      </c>
      <c r="X5786" s="1">
        <v>2575000</v>
      </c>
      <c r="Y5786" s="1">
        <v>2575000</v>
      </c>
      <c r="Z5786" s="5">
        <v>43785</v>
      </c>
      <c r="AA5786" s="1">
        <v>2468674.13</v>
      </c>
      <c r="AB5786" s="1" t="s">
        <v>4106</v>
      </c>
      <c r="AC5786" s="5">
        <v>43811</v>
      </c>
      <c r="AF5786" s="1">
        <v>10002</v>
      </c>
      <c r="AI5786" s="1" t="s">
        <v>66</v>
      </c>
      <c r="AJ5786" s="1">
        <v>2019</v>
      </c>
      <c r="AK5786" s="1" t="s">
        <v>46</v>
      </c>
      <c r="AL5786" s="1">
        <v>787</v>
      </c>
    </row>
    <row r="5787" spans="1:38" x14ac:dyDescent="0.2">
      <c r="A5787" s="2" t="str">
        <f>HYPERLINK("https://www.compass.com/listing/252-south-street-unit-42l-manhattan-ny-10002/4849516306568840881/","252 South St, Unit 42L")</f>
        <v>252 South St, Unit 42L</v>
      </c>
      <c r="B5787" s="2" t="str">
        <f t="shared" si="967"/>
        <v>One Manhattan Square</v>
      </c>
      <c r="C5787" s="1" t="s">
        <v>47</v>
      </c>
      <c r="D5787" s="1" t="s">
        <v>41</v>
      </c>
      <c r="E5787" s="3">
        <v>2580173</v>
      </c>
      <c r="F5787" s="1">
        <v>2297.5712377560099</v>
      </c>
      <c r="G5787" s="1">
        <v>5</v>
      </c>
      <c r="H5787" s="1">
        <v>2</v>
      </c>
      <c r="I5787" s="1">
        <v>2</v>
      </c>
      <c r="J5787" s="1">
        <v>2</v>
      </c>
      <c r="M5787" s="4">
        <v>1123</v>
      </c>
      <c r="N5787" s="1">
        <v>1381</v>
      </c>
      <c r="O5787" s="1">
        <v>1404</v>
      </c>
      <c r="P5787" s="1">
        <v>23</v>
      </c>
      <c r="Q5787" s="1" t="s">
        <v>42</v>
      </c>
      <c r="S5787" s="1" t="s">
        <v>42</v>
      </c>
      <c r="T5787" s="1" t="s">
        <v>273</v>
      </c>
      <c r="V5787" s="5">
        <v>43802</v>
      </c>
      <c r="W5787" s="5">
        <v>43169</v>
      </c>
      <c r="X5787" s="1">
        <v>2680000</v>
      </c>
      <c r="Y5787" s="1">
        <v>2680000</v>
      </c>
      <c r="Z5787" s="5">
        <v>43169</v>
      </c>
      <c r="AA5787" s="1">
        <v>2580172.5</v>
      </c>
      <c r="AB5787" s="1" t="s">
        <v>4107</v>
      </c>
      <c r="AC5787" s="5">
        <v>43789</v>
      </c>
      <c r="AF5787" s="1">
        <v>10002</v>
      </c>
      <c r="AI5787" s="1" t="s">
        <v>4032</v>
      </c>
      <c r="AJ5787" s="1">
        <v>2019</v>
      </c>
      <c r="AK5787" s="1" t="s">
        <v>46</v>
      </c>
      <c r="AL5787" s="1">
        <v>787</v>
      </c>
    </row>
    <row r="5788" spans="1:38" x14ac:dyDescent="0.2">
      <c r="A5788" s="2" t="str">
        <f>HYPERLINK("https://www.compass.com/listing/252-south-street-unit-39l-manhattan-ny-10002/674615094172059673/","252 South St, Unit 39L")</f>
        <v>252 South St, Unit 39L</v>
      </c>
      <c r="B5788" s="2" t="str">
        <f t="shared" si="967"/>
        <v>One Manhattan Square</v>
      </c>
      <c r="C5788" s="1" t="s">
        <v>47</v>
      </c>
      <c r="D5788" s="1" t="s">
        <v>41</v>
      </c>
      <c r="E5788" s="3">
        <v>2591373</v>
      </c>
      <c r="F5788" s="1">
        <v>2307.5451914514601</v>
      </c>
      <c r="H5788" s="1">
        <v>2</v>
      </c>
      <c r="J5788" s="1">
        <v>2</v>
      </c>
      <c r="K5788" s="1">
        <v>2</v>
      </c>
      <c r="M5788" s="4">
        <v>1123</v>
      </c>
      <c r="N5788" s="1">
        <v>1384</v>
      </c>
      <c r="O5788" s="1">
        <v>1406</v>
      </c>
      <c r="P5788" s="1">
        <v>22</v>
      </c>
      <c r="Q5788" s="1" t="s">
        <v>42</v>
      </c>
      <c r="S5788" s="1" t="s">
        <v>42</v>
      </c>
      <c r="T5788" s="1" t="s">
        <v>273</v>
      </c>
      <c r="AA5788" s="1">
        <v>2591373.25</v>
      </c>
      <c r="AB5788" s="1" t="s">
        <v>4108</v>
      </c>
      <c r="AC5788" s="5">
        <v>44138</v>
      </c>
      <c r="AF5788" s="1">
        <v>10002</v>
      </c>
      <c r="AI5788" s="1" t="s">
        <v>66</v>
      </c>
      <c r="AJ5788" s="1">
        <v>2019</v>
      </c>
      <c r="AK5788" s="1" t="s">
        <v>49</v>
      </c>
      <c r="AL5788" s="1">
        <v>787</v>
      </c>
    </row>
    <row r="5789" spans="1:38" x14ac:dyDescent="0.2">
      <c r="A5789" s="2" t="str">
        <f>HYPERLINK("https://www.compass.com/listing/252-south-street-unit-18l-manhattan-ny-10002/689610474874726569/","252 South St, Unit 18L")</f>
        <v>252 South St, Unit 18L</v>
      </c>
      <c r="B5789" s="2" t="str">
        <f t="shared" si="967"/>
        <v>One Manhattan Square</v>
      </c>
      <c r="C5789" s="1" t="s">
        <v>47</v>
      </c>
      <c r="D5789" s="1" t="s">
        <v>41</v>
      </c>
      <c r="E5789" s="3">
        <v>1948858</v>
      </c>
      <c r="F5789" s="1">
        <v>1735.4029385574299</v>
      </c>
      <c r="H5789" s="1">
        <v>2</v>
      </c>
      <c r="J5789" s="1">
        <v>2</v>
      </c>
      <c r="K5789" s="1">
        <v>2</v>
      </c>
      <c r="M5789" s="4">
        <v>1123</v>
      </c>
      <c r="N5789" s="1">
        <v>1251</v>
      </c>
      <c r="O5789" s="1">
        <v>1271</v>
      </c>
      <c r="P5789" s="1">
        <v>20</v>
      </c>
      <c r="Q5789" s="1" t="s">
        <v>42</v>
      </c>
      <c r="S5789" s="1" t="s">
        <v>42</v>
      </c>
      <c r="T5789" s="1" t="s">
        <v>273</v>
      </c>
      <c r="AA5789" s="1">
        <v>1948857.5</v>
      </c>
      <c r="AB5789" s="1" t="s">
        <v>4109</v>
      </c>
      <c r="AC5789" s="5">
        <v>44182</v>
      </c>
      <c r="AF5789" s="1">
        <v>10002</v>
      </c>
      <c r="AI5789" s="1" t="s">
        <v>66</v>
      </c>
      <c r="AJ5789" s="1">
        <v>2019</v>
      </c>
      <c r="AK5789" s="1" t="s">
        <v>49</v>
      </c>
      <c r="AL5789" s="1">
        <v>787</v>
      </c>
    </row>
    <row r="5790" spans="1:38" x14ac:dyDescent="0.2">
      <c r="A5790" s="2" t="str">
        <f>HYPERLINK("https://www.compass.com/listing/252-south-street-unit-8m-manhattan-ny-10002/714982172275483425/","252 South St, Unit 8M")</f>
        <v>252 South St, Unit 8M</v>
      </c>
      <c r="B5790" s="2" t="str">
        <f t="shared" si="967"/>
        <v>One Manhattan Square</v>
      </c>
      <c r="C5790" s="1" t="s">
        <v>47</v>
      </c>
      <c r="D5790" s="1" t="s">
        <v>41</v>
      </c>
      <c r="E5790" s="3">
        <v>1933584</v>
      </c>
      <c r="F5790" s="1">
        <v>1721.8020926090801</v>
      </c>
      <c r="H5790" s="1">
        <v>2</v>
      </c>
      <c r="J5790" s="1">
        <v>2</v>
      </c>
      <c r="K5790" s="1">
        <v>2</v>
      </c>
      <c r="M5790" s="4">
        <v>1123</v>
      </c>
      <c r="N5790" s="1">
        <v>1203</v>
      </c>
      <c r="O5790" s="1">
        <v>1222</v>
      </c>
      <c r="P5790" s="1">
        <v>19</v>
      </c>
      <c r="Q5790" s="1" t="s">
        <v>42</v>
      </c>
      <c r="S5790" s="1" t="s">
        <v>42</v>
      </c>
      <c r="T5790" s="1" t="s">
        <v>273</v>
      </c>
      <c r="AA5790" s="1">
        <v>1933583.75</v>
      </c>
      <c r="AB5790" s="1" t="s">
        <v>4110</v>
      </c>
      <c r="AC5790" s="5">
        <v>44224</v>
      </c>
      <c r="AF5790" s="1">
        <v>10002</v>
      </c>
      <c r="AI5790" s="1" t="s">
        <v>66</v>
      </c>
      <c r="AJ5790" s="1">
        <v>2019</v>
      </c>
      <c r="AK5790" s="1" t="s">
        <v>49</v>
      </c>
      <c r="AL5790" s="1">
        <v>787</v>
      </c>
    </row>
    <row r="5791" spans="1:38" x14ac:dyDescent="0.2">
      <c r="A5791" s="2" t="str">
        <f>HYPERLINK("https://www.compass.com/listing/252-south-street-unit-35l-manhattan-ny-10002/88202084708563345/","252 South St, Unit 35L")</f>
        <v>252 South St, Unit 35L</v>
      </c>
      <c r="B5791" s="2" t="str">
        <f t="shared" si="967"/>
        <v>One Manhattan Square</v>
      </c>
      <c r="C5791" s="1" t="s">
        <v>47</v>
      </c>
      <c r="D5791" s="1" t="s">
        <v>41</v>
      </c>
      <c r="E5791" s="3">
        <v>2641268</v>
      </c>
      <c r="F5791" s="1">
        <v>2351.9746215494201</v>
      </c>
      <c r="G5791" s="1">
        <v>4</v>
      </c>
      <c r="H5791" s="1">
        <v>2</v>
      </c>
      <c r="I5791" s="1">
        <v>2</v>
      </c>
      <c r="J5791" s="1">
        <v>2</v>
      </c>
      <c r="K5791" s="1">
        <v>2</v>
      </c>
      <c r="M5791" s="4">
        <v>1123</v>
      </c>
      <c r="N5791" s="1">
        <v>1333</v>
      </c>
      <c r="O5791" s="1">
        <v>1355</v>
      </c>
      <c r="P5791" s="1">
        <v>22</v>
      </c>
      <c r="Q5791" s="1" t="s">
        <v>42</v>
      </c>
      <c r="S5791" s="1" t="s">
        <v>42</v>
      </c>
      <c r="T5791" s="1" t="s">
        <v>273</v>
      </c>
      <c r="U5791" s="1">
        <v>3</v>
      </c>
      <c r="V5791" s="5">
        <v>43759</v>
      </c>
      <c r="W5791" s="5">
        <v>43373</v>
      </c>
      <c r="X5791" s="1">
        <v>2652000</v>
      </c>
      <c r="Y5791" s="1">
        <v>2652000</v>
      </c>
      <c r="Z5791" s="5">
        <v>43376</v>
      </c>
      <c r="AA5791" s="1">
        <v>2641267.5</v>
      </c>
      <c r="AB5791" s="1" t="s">
        <v>4111</v>
      </c>
      <c r="AC5791" s="5">
        <v>43741</v>
      </c>
      <c r="AF5791" s="1">
        <v>10002</v>
      </c>
      <c r="AI5791" s="1" t="s">
        <v>66</v>
      </c>
      <c r="AJ5791" s="1">
        <v>2019</v>
      </c>
      <c r="AK5791" s="1" t="s">
        <v>46</v>
      </c>
      <c r="AL5791" s="1">
        <v>787</v>
      </c>
    </row>
    <row r="5792" spans="1:38" x14ac:dyDescent="0.2">
      <c r="A5792" s="2" t="str">
        <f>HYPERLINK("https://www.compass.com/listing/252-south-street-unit-7d-manhattan-ny-10002/29513518478878705/","252 South St, Unit 7D")</f>
        <v>252 South St, Unit 7D</v>
      </c>
      <c r="B5792" s="2" t="str">
        <f t="shared" si="967"/>
        <v>One Manhattan Square</v>
      </c>
      <c r="C5792" s="1" t="s">
        <v>47</v>
      </c>
      <c r="D5792" s="1" t="s">
        <v>41</v>
      </c>
      <c r="E5792" s="3">
        <v>2804000</v>
      </c>
      <c r="F5792" s="1">
        <v>2496.8833481745301</v>
      </c>
      <c r="G5792" s="1">
        <v>4</v>
      </c>
      <c r="H5792" s="1">
        <v>2</v>
      </c>
      <c r="I5792" s="1">
        <v>2</v>
      </c>
      <c r="J5792" s="1">
        <v>2</v>
      </c>
      <c r="M5792" s="4">
        <v>1123</v>
      </c>
      <c r="N5792" s="1">
        <v>1348</v>
      </c>
      <c r="O5792" s="1">
        <v>1371</v>
      </c>
      <c r="P5792" s="1">
        <v>23</v>
      </c>
      <c r="Q5792" s="1" t="s">
        <v>42</v>
      </c>
      <c r="S5792" s="1" t="s">
        <v>42</v>
      </c>
      <c r="T5792" s="1" t="s">
        <v>273</v>
      </c>
      <c r="U5792" s="1">
        <v>4</v>
      </c>
      <c r="V5792" s="5">
        <v>43683</v>
      </c>
      <c r="W5792" s="5">
        <v>43112</v>
      </c>
      <c r="X5792" s="1">
        <v>2804000</v>
      </c>
      <c r="Y5792" s="1">
        <v>2804000</v>
      </c>
      <c r="Z5792" s="5">
        <v>43116</v>
      </c>
      <c r="AA5792" s="1">
        <v>2804000</v>
      </c>
      <c r="AB5792" s="1" t="s">
        <v>4112</v>
      </c>
      <c r="AC5792" s="5">
        <v>43636</v>
      </c>
      <c r="AF5792" s="1">
        <v>10002</v>
      </c>
      <c r="AI5792" s="1" t="s">
        <v>4113</v>
      </c>
      <c r="AJ5792" s="1">
        <v>2019</v>
      </c>
      <c r="AK5792" s="1" t="s">
        <v>46</v>
      </c>
      <c r="AL5792" s="1">
        <v>787</v>
      </c>
    </row>
    <row r="5793" spans="1:38" x14ac:dyDescent="0.2">
      <c r="A5793" s="2" t="str">
        <f>HYPERLINK("https://www.compass.com/listing/252-south-street-unit-45l-manhattan-ny-10002/29513549642508225/","252 South St, Unit 45L")</f>
        <v>252 South St, Unit 45L</v>
      </c>
      <c r="B5793" s="2" t="str">
        <f t="shared" si="967"/>
        <v>One Manhattan Square</v>
      </c>
      <c r="C5793" s="1" t="s">
        <v>47</v>
      </c>
      <c r="D5793" s="1" t="s">
        <v>41</v>
      </c>
      <c r="E5793" s="3">
        <v>2657235</v>
      </c>
      <c r="F5793" s="1">
        <v>2366.19317898486</v>
      </c>
      <c r="G5793" s="1">
        <v>4</v>
      </c>
      <c r="H5793" s="1">
        <v>2</v>
      </c>
      <c r="I5793" s="1">
        <v>2</v>
      </c>
      <c r="J5793" s="1">
        <v>2</v>
      </c>
      <c r="M5793" s="4">
        <v>1123</v>
      </c>
      <c r="N5793" s="1">
        <v>1392</v>
      </c>
      <c r="O5793" s="1">
        <v>1415</v>
      </c>
      <c r="P5793" s="1">
        <v>23</v>
      </c>
      <c r="Q5793" s="1" t="s">
        <v>42</v>
      </c>
      <c r="S5793" s="1" t="s">
        <v>42</v>
      </c>
      <c r="T5793" s="1" t="s">
        <v>273</v>
      </c>
      <c r="U5793" s="1">
        <v>79</v>
      </c>
      <c r="V5793" s="5">
        <v>43752</v>
      </c>
      <c r="W5793" s="5">
        <v>42762</v>
      </c>
      <c r="X5793" s="1">
        <v>2632000</v>
      </c>
      <c r="Y5793" s="1">
        <v>2690000</v>
      </c>
      <c r="Z5793" s="5">
        <v>42842</v>
      </c>
      <c r="AA5793" s="1">
        <v>2657234.94</v>
      </c>
      <c r="AB5793" s="1" t="s">
        <v>4114</v>
      </c>
      <c r="AC5793" s="5">
        <v>43742</v>
      </c>
      <c r="AF5793" s="1">
        <v>10002</v>
      </c>
      <c r="AI5793" s="1" t="s">
        <v>66</v>
      </c>
      <c r="AJ5793" s="1">
        <v>2019</v>
      </c>
      <c r="AK5793" s="1" t="s">
        <v>46</v>
      </c>
      <c r="AL5793" s="1">
        <v>787</v>
      </c>
    </row>
    <row r="5794" spans="1:38" x14ac:dyDescent="0.2">
      <c r="A5794" s="2" t="str">
        <f>HYPERLINK("https://www.compass.com/listing/252-south-street-unit-10e-manhattan-ny-10002/29513557435576113/","252 South St, Unit 10E")</f>
        <v>252 South St, Unit 10E</v>
      </c>
      <c r="B5794" s="2" t="str">
        <f t="shared" si="967"/>
        <v>One Manhattan Square</v>
      </c>
      <c r="C5794" s="1" t="s">
        <v>47</v>
      </c>
      <c r="D5794" s="1" t="s">
        <v>41</v>
      </c>
      <c r="E5794" s="3">
        <v>2061386</v>
      </c>
      <c r="F5794" s="1">
        <v>1835.6066518254599</v>
      </c>
      <c r="G5794" s="1">
        <v>4</v>
      </c>
      <c r="H5794" s="1">
        <v>2</v>
      </c>
      <c r="I5794" s="1">
        <v>2</v>
      </c>
      <c r="J5794" s="1">
        <v>2</v>
      </c>
      <c r="M5794" s="4">
        <v>1123</v>
      </c>
      <c r="N5794" s="1">
        <v>1198</v>
      </c>
      <c r="O5794" s="1">
        <v>1218</v>
      </c>
      <c r="P5794" s="1">
        <v>20</v>
      </c>
      <c r="Q5794" s="1" t="s">
        <v>42</v>
      </c>
      <c r="S5794" s="1" t="s">
        <v>42</v>
      </c>
      <c r="T5794" s="1" t="s">
        <v>273</v>
      </c>
      <c r="U5794" s="1">
        <v>15</v>
      </c>
      <c r="V5794" s="5">
        <v>43938</v>
      </c>
      <c r="W5794" s="5">
        <v>42803</v>
      </c>
      <c r="Y5794" s="1">
        <v>2125000</v>
      </c>
      <c r="Z5794" s="5">
        <v>42818</v>
      </c>
      <c r="AA5794" s="1">
        <v>2061386.27</v>
      </c>
      <c r="AB5794" s="1" t="s">
        <v>4115</v>
      </c>
      <c r="AC5794" s="5">
        <v>43705</v>
      </c>
      <c r="AF5794" s="1">
        <v>10002</v>
      </c>
      <c r="AI5794" s="1" t="s">
        <v>4116</v>
      </c>
      <c r="AJ5794" s="1">
        <v>2019</v>
      </c>
      <c r="AK5794" s="1" t="s">
        <v>46</v>
      </c>
      <c r="AL5794" s="1">
        <v>787</v>
      </c>
    </row>
    <row r="5795" spans="1:38" x14ac:dyDescent="0.2">
      <c r="A5795" s="2" t="str">
        <f>HYPERLINK("https://www.compass.com/listing/130-william-street-unit-35a-manhattan-ny-10038/755012853395454273/","130 William St, Unit 35A")</f>
        <v>130 William St, Unit 35A</v>
      </c>
      <c r="B5795" s="2" t="str">
        <f t="shared" ref="B5795:B5802" si="968">HYPERLINK("https://www.compass.com/building/130-william-st-manhattan-ny-10038/282029682239486757/","130 William St")</f>
        <v>130 William St</v>
      </c>
      <c r="C5795" s="1" t="s">
        <v>96</v>
      </c>
      <c r="D5795" s="1" t="s">
        <v>41</v>
      </c>
      <c r="E5795" s="3">
        <v>1817108</v>
      </c>
      <c r="F5795" s="1">
        <v>2057.8797961494902</v>
      </c>
      <c r="G5795" s="1">
        <v>3</v>
      </c>
      <c r="H5795" s="1">
        <v>1</v>
      </c>
      <c r="I5795" s="1">
        <v>1</v>
      </c>
      <c r="J5795" s="1">
        <v>1</v>
      </c>
      <c r="K5795" s="1">
        <v>1</v>
      </c>
      <c r="M5795" s="1">
        <v>883</v>
      </c>
      <c r="N5795" s="1">
        <v>629.96</v>
      </c>
      <c r="O5795" s="1">
        <v>1850.41</v>
      </c>
      <c r="P5795" s="1">
        <v>1220.4166666666599</v>
      </c>
      <c r="Q5795" s="1" t="s">
        <v>42</v>
      </c>
      <c r="S5795" s="1" t="s">
        <v>42</v>
      </c>
      <c r="T5795" s="1" t="s">
        <v>273</v>
      </c>
      <c r="V5795" s="5">
        <v>44350</v>
      </c>
      <c r="W5795" s="5">
        <v>44293</v>
      </c>
      <c r="X5795" s="1">
        <v>1780990</v>
      </c>
      <c r="Y5795" s="1">
        <v>1780990</v>
      </c>
      <c r="Z5795" s="5">
        <v>44294</v>
      </c>
      <c r="AA5795" s="1">
        <v>1817107.86</v>
      </c>
      <c r="AB5795" s="1" t="s">
        <v>4117</v>
      </c>
      <c r="AC5795" s="5">
        <v>44348</v>
      </c>
      <c r="AF5795" s="1">
        <v>10038</v>
      </c>
      <c r="AI5795" s="1" t="s">
        <v>111</v>
      </c>
      <c r="AJ5795" s="1">
        <v>2020</v>
      </c>
      <c r="AK5795" s="1" t="s">
        <v>46</v>
      </c>
      <c r="AL5795" s="1">
        <v>244</v>
      </c>
    </row>
    <row r="5796" spans="1:38" x14ac:dyDescent="0.2">
      <c r="A5796" s="2" t="str">
        <f>HYPERLINK("https://www.compass.com/listing/130-william-street-unit-42c-manhattan-ny-10038/131705395881288897/","130 William St, Unit 42C")</f>
        <v>130 William St, Unit 42C</v>
      </c>
      <c r="B5796" s="2" t="str">
        <f t="shared" si="968"/>
        <v>130 William St</v>
      </c>
      <c r="C5796" s="1" t="s">
        <v>96</v>
      </c>
      <c r="D5796" s="1" t="s">
        <v>41</v>
      </c>
      <c r="E5796" s="3">
        <v>1710192</v>
      </c>
      <c r="F5796" s="1">
        <v>2132.4084912718199</v>
      </c>
      <c r="G5796" s="1">
        <v>3</v>
      </c>
      <c r="H5796" s="1">
        <v>1</v>
      </c>
      <c r="I5796" s="1">
        <v>1</v>
      </c>
      <c r="J5796" s="1">
        <v>1</v>
      </c>
      <c r="K5796" s="1">
        <v>1</v>
      </c>
      <c r="M5796" s="1">
        <v>802</v>
      </c>
      <c r="N5796" s="1">
        <v>576.64</v>
      </c>
      <c r="O5796" s="1">
        <v>1693.77</v>
      </c>
      <c r="P5796" s="1">
        <v>1117.1666666666599</v>
      </c>
      <c r="Q5796" s="1" t="s">
        <v>42</v>
      </c>
      <c r="S5796" s="1" t="s">
        <v>42</v>
      </c>
      <c r="T5796" s="1" t="s">
        <v>273</v>
      </c>
      <c r="V5796" s="5">
        <v>44322</v>
      </c>
      <c r="W5796" s="5">
        <v>43433</v>
      </c>
      <c r="X5796" s="1">
        <v>1675990</v>
      </c>
      <c r="Y5796" s="1">
        <v>1675990</v>
      </c>
      <c r="Z5796" s="5">
        <v>44098</v>
      </c>
      <c r="AA5796" s="1">
        <v>1710191.61</v>
      </c>
      <c r="AB5796" s="1" t="s">
        <v>4118</v>
      </c>
      <c r="AC5796" s="5">
        <v>44321</v>
      </c>
      <c r="AF5796" s="1">
        <v>10038</v>
      </c>
      <c r="AI5796" s="1" t="s">
        <v>111</v>
      </c>
      <c r="AJ5796" s="1">
        <v>2020</v>
      </c>
      <c r="AK5796" s="1" t="s">
        <v>46</v>
      </c>
      <c r="AL5796" s="1">
        <v>244</v>
      </c>
    </row>
    <row r="5797" spans="1:38" x14ac:dyDescent="0.2">
      <c r="A5797" s="2" t="str">
        <f>HYPERLINK("https://www.compass.com/listing/130-william-street-unit-37a-manhattan-ny-10038/343867388327638497/","130 William St, Unit 37A")</f>
        <v>130 William St, Unit 37A</v>
      </c>
      <c r="B5797" s="2" t="str">
        <f t="shared" si="968"/>
        <v>130 William St</v>
      </c>
      <c r="C5797" s="1" t="s">
        <v>96</v>
      </c>
      <c r="D5797" s="1" t="s">
        <v>41</v>
      </c>
      <c r="E5797" s="3">
        <v>1837473</v>
      </c>
      <c r="F5797" s="1">
        <v>2080.9432163080401</v>
      </c>
      <c r="G5797" s="1">
        <v>3</v>
      </c>
      <c r="H5797" s="1">
        <v>1</v>
      </c>
      <c r="I5797" s="1">
        <v>1</v>
      </c>
      <c r="J5797" s="1">
        <v>1</v>
      </c>
      <c r="K5797" s="1">
        <v>1</v>
      </c>
      <c r="M5797" s="1">
        <v>883</v>
      </c>
      <c r="N5797" s="1">
        <v>631.78</v>
      </c>
      <c r="O5797" s="1">
        <v>1855.74</v>
      </c>
      <c r="P5797" s="1">
        <v>1224</v>
      </c>
      <c r="Q5797" s="1" t="s">
        <v>42</v>
      </c>
      <c r="S5797" s="1" t="s">
        <v>42</v>
      </c>
      <c r="T5797" s="1" t="s">
        <v>273</v>
      </c>
      <c r="U5797" s="1">
        <v>250</v>
      </c>
      <c r="V5797" s="5">
        <v>44251</v>
      </c>
      <c r="W5797" s="5">
        <v>43711</v>
      </c>
      <c r="X5797" s="1">
        <v>1800990</v>
      </c>
      <c r="Y5797" s="1">
        <v>1800990</v>
      </c>
      <c r="Z5797" s="5">
        <v>44098</v>
      </c>
      <c r="AA5797" s="1">
        <v>1837472.86</v>
      </c>
      <c r="AB5797" s="1" t="s">
        <v>4119</v>
      </c>
      <c r="AC5797" s="5">
        <v>44243</v>
      </c>
      <c r="AF5797" s="1">
        <v>10038</v>
      </c>
      <c r="AI5797" s="1" t="s">
        <v>267</v>
      </c>
      <c r="AJ5797" s="1">
        <v>2020</v>
      </c>
      <c r="AK5797" s="1" t="s">
        <v>46</v>
      </c>
      <c r="AL5797" s="1">
        <v>244</v>
      </c>
    </row>
    <row r="5798" spans="1:38" x14ac:dyDescent="0.2">
      <c r="A5798" s="2" t="str">
        <f>HYPERLINK("https://www.compass.com/listing/130-william-street-unit-46b-manhattan-ny-10038/444879726017042057/","130 William St, Unit 46B")</f>
        <v>130 William St, Unit 46B</v>
      </c>
      <c r="B5798" s="2" t="str">
        <f t="shared" si="968"/>
        <v>130 William St</v>
      </c>
      <c r="C5798" s="1" t="s">
        <v>96</v>
      </c>
      <c r="D5798" s="1" t="s">
        <v>41</v>
      </c>
      <c r="E5798" s="3">
        <v>1797761</v>
      </c>
      <c r="F5798" s="1">
        <v>2213.9915147783199</v>
      </c>
      <c r="G5798" s="1">
        <v>3</v>
      </c>
      <c r="H5798" s="1">
        <v>1</v>
      </c>
      <c r="I5798" s="1">
        <v>1</v>
      </c>
      <c r="J5798" s="1">
        <v>1</v>
      </c>
      <c r="K5798" s="1">
        <v>1</v>
      </c>
      <c r="M5798" s="1">
        <v>812</v>
      </c>
      <c r="N5798" s="1">
        <v>590.71</v>
      </c>
      <c r="O5798" s="1">
        <v>1735.1</v>
      </c>
      <c r="P5798" s="1">
        <v>1144.4166666666599</v>
      </c>
      <c r="Q5798" s="1" t="s">
        <v>42</v>
      </c>
      <c r="S5798" s="1" t="s">
        <v>42</v>
      </c>
      <c r="T5798" s="1" t="s">
        <v>273</v>
      </c>
      <c r="V5798" s="5">
        <v>44308</v>
      </c>
      <c r="W5798" s="5">
        <v>43865</v>
      </c>
      <c r="X5798" s="1">
        <v>1730990</v>
      </c>
      <c r="Y5798" s="1">
        <v>1730990</v>
      </c>
      <c r="Z5798" s="5">
        <v>44231</v>
      </c>
      <c r="AA5798" s="1">
        <v>1797761.11</v>
      </c>
      <c r="AB5798" s="1" t="s">
        <v>4120</v>
      </c>
      <c r="AC5798" s="5">
        <v>44293</v>
      </c>
      <c r="AF5798" s="1">
        <v>10038</v>
      </c>
      <c r="AI5798" s="1" t="s">
        <v>111</v>
      </c>
      <c r="AJ5798" s="1">
        <v>2020</v>
      </c>
      <c r="AK5798" s="1" t="s">
        <v>46</v>
      </c>
      <c r="AL5798" s="1">
        <v>244</v>
      </c>
    </row>
    <row r="5799" spans="1:38" x14ac:dyDescent="0.2">
      <c r="A5799" s="2" t="str">
        <f>HYPERLINK("https://www.compass.com/listing/130-william-street-unit-20a-manhattan-ny-10038/459428367071364401/","130 William St, Unit 20A")</f>
        <v>130 William St, Unit 20A</v>
      </c>
      <c r="B5799" s="2" t="str">
        <f t="shared" si="968"/>
        <v>130 William St</v>
      </c>
      <c r="C5799" s="1" t="s">
        <v>96</v>
      </c>
      <c r="D5799" s="1" t="s">
        <v>41</v>
      </c>
      <c r="E5799" s="3">
        <v>1470903</v>
      </c>
      <c r="F5799" s="1">
        <v>1690.6929425287301</v>
      </c>
      <c r="G5799" s="1">
        <v>3</v>
      </c>
      <c r="H5799" s="1">
        <v>1</v>
      </c>
      <c r="I5799" s="1">
        <v>1</v>
      </c>
      <c r="J5799" s="1">
        <v>1</v>
      </c>
      <c r="K5799" s="1">
        <v>1</v>
      </c>
      <c r="M5799" s="1">
        <v>870</v>
      </c>
      <c r="N5799" s="1">
        <v>593.88</v>
      </c>
      <c r="O5799" s="1">
        <v>1744.42</v>
      </c>
      <c r="P5799" s="1">
        <v>1150.5</v>
      </c>
      <c r="Q5799" s="1" t="s">
        <v>42</v>
      </c>
      <c r="S5799" s="1" t="s">
        <v>42</v>
      </c>
      <c r="T5799" s="1" t="s">
        <v>273</v>
      </c>
      <c r="U5799" s="1">
        <v>76</v>
      </c>
      <c r="V5799" s="5">
        <v>44223</v>
      </c>
      <c r="W5799" s="5">
        <v>43885</v>
      </c>
      <c r="X5799" s="1">
        <v>1440990</v>
      </c>
      <c r="Y5799" s="1">
        <v>1440990</v>
      </c>
      <c r="AA5799" s="1">
        <v>1470902.86</v>
      </c>
      <c r="AB5799" s="1" t="s">
        <v>4121</v>
      </c>
      <c r="AC5799" s="5">
        <v>44216</v>
      </c>
      <c r="AF5799" s="1">
        <v>10038</v>
      </c>
      <c r="AI5799" s="1" t="s">
        <v>111</v>
      </c>
      <c r="AJ5799" s="1">
        <v>2020</v>
      </c>
      <c r="AK5799" s="1" t="s">
        <v>46</v>
      </c>
      <c r="AL5799" s="1">
        <v>244</v>
      </c>
    </row>
    <row r="5800" spans="1:38" x14ac:dyDescent="0.2">
      <c r="A5800" s="2" t="str">
        <f>HYPERLINK("https://www.compass.com/listing/130-william-street-unit-15c-manhattan-ny-10038/626793134862781969/","130 William St, Unit 15C")</f>
        <v>130 William St, Unit 15C</v>
      </c>
      <c r="B5800" s="2" t="str">
        <f t="shared" si="968"/>
        <v>130 William St</v>
      </c>
      <c r="C5800" s="1" t="s">
        <v>96</v>
      </c>
      <c r="D5800" s="1" t="s">
        <v>41</v>
      </c>
      <c r="E5800" s="3">
        <v>1608367</v>
      </c>
      <c r="F5800" s="1">
        <v>1627.9014271255</v>
      </c>
      <c r="G5800" s="1">
        <v>4</v>
      </c>
      <c r="H5800" s="1">
        <v>1</v>
      </c>
      <c r="I5800" s="1">
        <v>1</v>
      </c>
      <c r="J5800" s="1">
        <v>1</v>
      </c>
      <c r="K5800" s="1">
        <v>1</v>
      </c>
      <c r="M5800" s="1">
        <v>988</v>
      </c>
      <c r="N5800" s="1">
        <v>667.18</v>
      </c>
      <c r="O5800" s="1">
        <v>1959.73</v>
      </c>
      <c r="P5800" s="1">
        <v>1292.5833333333301</v>
      </c>
      <c r="Q5800" s="1" t="s">
        <v>42</v>
      </c>
      <c r="S5800" s="1" t="s">
        <v>42</v>
      </c>
      <c r="T5800" s="1" t="s">
        <v>273</v>
      </c>
      <c r="U5800" s="1">
        <v>717</v>
      </c>
      <c r="V5800" s="5">
        <v>44243</v>
      </c>
      <c r="W5800" s="5">
        <v>43305</v>
      </c>
      <c r="X5800" s="1">
        <v>1550990</v>
      </c>
      <c r="Y5800" s="1">
        <v>1550990</v>
      </c>
      <c r="Z5800" s="5">
        <v>44117</v>
      </c>
      <c r="AA5800" s="1">
        <v>1608366.61</v>
      </c>
      <c r="AB5800" s="1" t="s">
        <v>4122</v>
      </c>
      <c r="AC5800" s="5">
        <v>44218</v>
      </c>
      <c r="AF5800" s="1">
        <v>10038</v>
      </c>
      <c r="AI5800" s="1" t="s">
        <v>111</v>
      </c>
      <c r="AJ5800" s="1">
        <v>2020</v>
      </c>
      <c r="AK5800" s="1" t="s">
        <v>46</v>
      </c>
      <c r="AL5800" s="1">
        <v>244</v>
      </c>
    </row>
    <row r="5801" spans="1:38" x14ac:dyDescent="0.2">
      <c r="A5801" s="2" t="str">
        <f>HYPERLINK("https://www.compass.com/listing/130-william-street-unit-12c-manhattan-ny-10038/631884772412919849/","130 William St, Unit 12C")</f>
        <v>130 William St, Unit 12C</v>
      </c>
      <c r="B5801" s="2" t="str">
        <f t="shared" si="968"/>
        <v>130 William St</v>
      </c>
      <c r="C5801" s="1" t="s">
        <v>96</v>
      </c>
      <c r="D5801" s="1" t="s">
        <v>41</v>
      </c>
      <c r="E5801" s="3">
        <v>1482562</v>
      </c>
      <c r="F5801" s="1">
        <v>1500.5686842105199</v>
      </c>
      <c r="G5801" s="1">
        <v>4</v>
      </c>
      <c r="H5801" s="1">
        <v>1</v>
      </c>
      <c r="I5801" s="1">
        <v>1</v>
      </c>
      <c r="J5801" s="1">
        <v>1</v>
      </c>
      <c r="K5801" s="1">
        <v>1</v>
      </c>
      <c r="M5801" s="1">
        <v>988</v>
      </c>
      <c r="N5801" s="1">
        <v>660.15</v>
      </c>
      <c r="O5801" s="1">
        <v>1939.07</v>
      </c>
      <c r="P5801" s="1">
        <v>1278.9166666666599</v>
      </c>
      <c r="Q5801" s="1" t="s">
        <v>42</v>
      </c>
      <c r="S5801" s="1" t="s">
        <v>42</v>
      </c>
      <c r="T5801" s="1" t="s">
        <v>273</v>
      </c>
      <c r="U5801" s="1">
        <v>717</v>
      </c>
      <c r="V5801" s="5">
        <v>44223</v>
      </c>
      <c r="W5801" s="5">
        <v>43312</v>
      </c>
      <c r="X5801" s="1">
        <v>1455990</v>
      </c>
      <c r="Y5801" s="1">
        <v>1455990</v>
      </c>
      <c r="Z5801" s="5">
        <v>44124</v>
      </c>
      <c r="AA5801" s="1">
        <v>1482561.86</v>
      </c>
      <c r="AB5801" s="1" t="s">
        <v>4123</v>
      </c>
      <c r="AC5801" s="5">
        <v>44195</v>
      </c>
      <c r="AF5801" s="1">
        <v>10038</v>
      </c>
      <c r="AI5801" s="1" t="s">
        <v>111</v>
      </c>
      <c r="AJ5801" s="1">
        <v>2020</v>
      </c>
      <c r="AK5801" s="1" t="s">
        <v>46</v>
      </c>
      <c r="AL5801" s="1">
        <v>244</v>
      </c>
    </row>
    <row r="5802" spans="1:38" x14ac:dyDescent="0.2">
      <c r="A5802" s="2" t="str">
        <f>HYPERLINK("https://www.compass.com/listing/130-william-street-unit-17c-manhattan-ny-10038/654431757304174545/","130 William St, Unit 17C")</f>
        <v>130 William St, Unit 17C</v>
      </c>
      <c r="B5802" s="2" t="str">
        <f t="shared" si="968"/>
        <v>130 William St</v>
      </c>
      <c r="C5802" s="1" t="s">
        <v>96</v>
      </c>
      <c r="D5802" s="1" t="s">
        <v>41</v>
      </c>
      <c r="E5802" s="3">
        <v>1649096</v>
      </c>
      <c r="F5802" s="1">
        <v>1667.43781597573</v>
      </c>
      <c r="G5802" s="1">
        <v>4</v>
      </c>
      <c r="H5802" s="1">
        <v>1</v>
      </c>
      <c r="I5802" s="1">
        <v>1</v>
      </c>
      <c r="J5802" s="1">
        <v>1</v>
      </c>
      <c r="K5802" s="1">
        <v>1</v>
      </c>
      <c r="M5802" s="1">
        <v>989</v>
      </c>
      <c r="N5802" s="1">
        <v>669.45</v>
      </c>
      <c r="O5802" s="1">
        <v>1966.4</v>
      </c>
      <c r="P5802" s="1">
        <v>1296.9166666666599</v>
      </c>
      <c r="Q5802" s="1" t="s">
        <v>42</v>
      </c>
      <c r="S5802" s="1" t="s">
        <v>42</v>
      </c>
      <c r="T5802" s="1" t="s">
        <v>273</v>
      </c>
      <c r="U5802" s="1">
        <v>754</v>
      </c>
      <c r="V5802" s="5">
        <v>44287</v>
      </c>
      <c r="W5802" s="5">
        <v>43306</v>
      </c>
      <c r="X5802" s="1">
        <v>1615990</v>
      </c>
      <c r="Y5802" s="1">
        <v>1615990</v>
      </c>
      <c r="Z5802" s="5">
        <v>44155</v>
      </c>
      <c r="AA5802" s="1">
        <v>1649096</v>
      </c>
      <c r="AB5802" s="1" t="s">
        <v>275</v>
      </c>
      <c r="AC5802" s="5">
        <v>44278</v>
      </c>
      <c r="AF5802" s="1">
        <v>10038</v>
      </c>
      <c r="AI5802" s="1" t="s">
        <v>111</v>
      </c>
      <c r="AJ5802" s="1">
        <v>2020</v>
      </c>
      <c r="AK5802" s="1" t="s">
        <v>46</v>
      </c>
      <c r="AL5802" s="1">
        <v>244</v>
      </c>
    </row>
    <row r="5803" spans="1:38" x14ac:dyDescent="0.2">
      <c r="A5803" s="2" t="str">
        <f>HYPERLINK("https://www.compass.com/listing/50-west-street-unit-14b-manhattan-ny-10006/29355198132586497/","50 West St, Unit 14B")</f>
        <v>50 West St, Unit 14B</v>
      </c>
      <c r="B5803" s="2" t="str">
        <f t="shared" ref="B5803:B5805" si="969">HYPERLINK("https://www.compass.com/building/50-west-st-manhattan-ny-10006/281896342152815429/","50 West St")</f>
        <v>50 West St</v>
      </c>
      <c r="C5803" s="1" t="s">
        <v>96</v>
      </c>
      <c r="D5803" s="1" t="s">
        <v>41</v>
      </c>
      <c r="E5803" s="3">
        <v>5051333</v>
      </c>
      <c r="F5803" s="1">
        <v>2187.6712862711101</v>
      </c>
      <c r="G5803" s="1">
        <v>6</v>
      </c>
      <c r="H5803" s="1">
        <v>3</v>
      </c>
      <c r="I5803" s="1">
        <v>4</v>
      </c>
      <c r="J5803" s="1">
        <v>3.5</v>
      </c>
      <c r="K5803" s="1">
        <v>3</v>
      </c>
      <c r="L5803" s="1">
        <v>1</v>
      </c>
      <c r="M5803" s="4">
        <v>2309</v>
      </c>
      <c r="N5803" s="1">
        <v>2585.37</v>
      </c>
      <c r="O5803" s="1">
        <v>5468.34</v>
      </c>
      <c r="P5803" s="1">
        <v>2883</v>
      </c>
      <c r="Q5803" s="1" t="s">
        <v>42</v>
      </c>
      <c r="S5803" s="1" t="s">
        <v>42</v>
      </c>
      <c r="T5803" s="1" t="s">
        <v>273</v>
      </c>
      <c r="U5803" s="1">
        <v>24</v>
      </c>
      <c r="V5803" s="5">
        <v>43664</v>
      </c>
      <c r="W5803" s="5">
        <v>42022</v>
      </c>
      <c r="X5803" s="1">
        <v>4545000</v>
      </c>
      <c r="Y5803" s="1">
        <v>5010000</v>
      </c>
      <c r="Z5803" s="5">
        <v>42178</v>
      </c>
      <c r="AA5803" s="1">
        <v>5051333</v>
      </c>
      <c r="AB5803" s="1" t="s">
        <v>4124</v>
      </c>
      <c r="AC5803" s="5">
        <v>42781</v>
      </c>
      <c r="AF5803" s="1">
        <v>10006</v>
      </c>
      <c r="AI5803" s="1" t="s">
        <v>97</v>
      </c>
      <c r="AJ5803" s="1">
        <v>2016</v>
      </c>
      <c r="AK5803" s="1" t="s">
        <v>46</v>
      </c>
      <c r="AL5803" s="1">
        <v>186</v>
      </c>
    </row>
    <row r="5804" spans="1:38" x14ac:dyDescent="0.2">
      <c r="A5804" s="2" t="str">
        <f>HYPERLINK("https://www.compass.com/listing/50-west-street-unit-34b-manhattan-ny-10006/29355213416596273/","50 West St, Unit 34B")</f>
        <v>50 West St, Unit 34B</v>
      </c>
      <c r="B5804" s="2" t="str">
        <f t="shared" si="969"/>
        <v>50 West St</v>
      </c>
      <c r="C5804" s="1" t="s">
        <v>96</v>
      </c>
      <c r="D5804" s="1" t="s">
        <v>41</v>
      </c>
      <c r="E5804" s="3">
        <v>6318241</v>
      </c>
      <c r="F5804" s="1">
        <v>2736.3538328280601</v>
      </c>
      <c r="G5804" s="1">
        <v>6</v>
      </c>
      <c r="H5804" s="1">
        <v>3</v>
      </c>
      <c r="I5804" s="1">
        <v>4</v>
      </c>
      <c r="J5804" s="1">
        <v>3.5</v>
      </c>
      <c r="K5804" s="1">
        <v>3</v>
      </c>
      <c r="L5804" s="1">
        <v>1</v>
      </c>
      <c r="M5804" s="4">
        <v>2309</v>
      </c>
      <c r="N5804" s="1">
        <v>2831.23</v>
      </c>
      <c r="O5804" s="1">
        <v>5988.37</v>
      </c>
      <c r="P5804" s="1">
        <v>3157.1666666666601</v>
      </c>
      <c r="Q5804" s="1" t="s">
        <v>42</v>
      </c>
      <c r="S5804" s="1" t="s">
        <v>42</v>
      </c>
      <c r="T5804" s="1" t="s">
        <v>273</v>
      </c>
      <c r="V5804" s="5">
        <v>43676</v>
      </c>
      <c r="W5804" s="5">
        <v>42242</v>
      </c>
      <c r="X5804" s="1">
        <v>6205000</v>
      </c>
      <c r="Y5804" s="1">
        <v>6205000</v>
      </c>
      <c r="Z5804" s="5">
        <v>42242</v>
      </c>
      <c r="AA5804" s="1">
        <v>6318241</v>
      </c>
      <c r="AB5804" s="1" t="s">
        <v>4125</v>
      </c>
      <c r="AC5804" s="5">
        <v>42840</v>
      </c>
      <c r="AF5804" s="1">
        <v>10006</v>
      </c>
      <c r="AI5804" s="1" t="s">
        <v>97</v>
      </c>
      <c r="AJ5804" s="1">
        <v>2016</v>
      </c>
      <c r="AK5804" s="1" t="s">
        <v>46</v>
      </c>
      <c r="AL5804" s="1">
        <v>186</v>
      </c>
    </row>
    <row r="5805" spans="1:38" x14ac:dyDescent="0.2">
      <c r="A5805" s="2" t="str">
        <f>HYPERLINK("https://www.compass.com/listing/50-west-street-unit-43c-manhattan-ny-10006/50853028072364945/","50 West St, Unit 43C")</f>
        <v>50 West St, Unit 43C</v>
      </c>
      <c r="B5805" s="2" t="str">
        <f t="shared" si="969"/>
        <v>50 West St</v>
      </c>
      <c r="C5805" s="1" t="s">
        <v>96</v>
      </c>
      <c r="D5805" s="1" t="s">
        <v>41</v>
      </c>
      <c r="E5805" s="3">
        <v>7290670</v>
      </c>
      <c r="F5805" s="1">
        <v>2731.6110902959899</v>
      </c>
      <c r="G5805" s="1">
        <v>7</v>
      </c>
      <c r="H5805" s="1">
        <v>4</v>
      </c>
      <c r="I5805" s="1">
        <v>4</v>
      </c>
      <c r="J5805" s="1">
        <v>4</v>
      </c>
      <c r="K5805" s="1">
        <v>4</v>
      </c>
      <c r="M5805" s="4">
        <v>2669</v>
      </c>
      <c r="N5805" s="1">
        <v>3401.85</v>
      </c>
      <c r="O5805" s="1">
        <v>7195.28</v>
      </c>
      <c r="P5805" s="1">
        <v>3793.4166666666601</v>
      </c>
      <c r="Q5805" s="1" t="s">
        <v>42</v>
      </c>
      <c r="S5805" s="1" t="s">
        <v>42</v>
      </c>
      <c r="T5805" s="1" t="s">
        <v>273</v>
      </c>
      <c r="U5805" s="1">
        <v>76</v>
      </c>
      <c r="V5805" s="5">
        <v>42946</v>
      </c>
      <c r="W5805" s="5">
        <v>41984</v>
      </c>
      <c r="X5805" s="1">
        <v>7160000</v>
      </c>
      <c r="Y5805" s="1">
        <v>7160000</v>
      </c>
      <c r="Z5805" s="5">
        <v>42061</v>
      </c>
      <c r="AA5805" s="1">
        <v>7290670</v>
      </c>
      <c r="AB5805" s="1" t="s">
        <v>4126</v>
      </c>
      <c r="AC5805" s="5">
        <v>42888</v>
      </c>
      <c r="AF5805" s="1">
        <v>10006</v>
      </c>
      <c r="AI5805" s="1" t="s">
        <v>97</v>
      </c>
      <c r="AJ5805" s="1">
        <v>2016</v>
      </c>
      <c r="AK5805" s="1" t="s">
        <v>46</v>
      </c>
      <c r="AL5805" s="1">
        <v>186</v>
      </c>
    </row>
    <row r="5806" spans="1:38" x14ac:dyDescent="0.2">
      <c r="A5806" s="2" t="str">
        <f>HYPERLINK("https://www.compass.com/listing/252-south-street-unit-62j-manhattan-ny-10002/157010714991534897/","252 South St, Unit 62J")</f>
        <v>252 South St, Unit 62J</v>
      </c>
      <c r="B5806" s="2" t="str">
        <f t="shared" ref="B5806:B5808" si="970">HYPERLINK("https://www.compass.com/building/one-manhattan-square-manhattan-ny/294844950218926165/","One Manhattan Square")</f>
        <v>One Manhattan Square</v>
      </c>
      <c r="C5806" s="1" t="s">
        <v>47</v>
      </c>
      <c r="D5806" s="1" t="s">
        <v>41</v>
      </c>
      <c r="E5806" s="3">
        <v>6254030</v>
      </c>
      <c r="F5806" s="1">
        <v>2664.69093736685</v>
      </c>
      <c r="G5806" s="1">
        <v>5.5</v>
      </c>
      <c r="H5806" s="1">
        <v>3</v>
      </c>
      <c r="I5806" s="1">
        <v>4</v>
      </c>
      <c r="J5806" s="1">
        <v>3.5</v>
      </c>
      <c r="K5806" s="1">
        <v>3</v>
      </c>
      <c r="L5806" s="1">
        <v>1</v>
      </c>
      <c r="M5806" s="4">
        <v>2347</v>
      </c>
      <c r="N5806" s="1">
        <v>3185.1</v>
      </c>
      <c r="O5806" s="1">
        <v>3235.39</v>
      </c>
      <c r="P5806" s="1">
        <v>50.25</v>
      </c>
      <c r="Q5806" s="1" t="s">
        <v>42</v>
      </c>
      <c r="S5806" s="1" t="s">
        <v>42</v>
      </c>
      <c r="T5806" s="1" t="s">
        <v>273</v>
      </c>
      <c r="U5806" s="1">
        <v>1</v>
      </c>
      <c r="V5806" s="5">
        <v>43774</v>
      </c>
      <c r="W5806" s="5">
        <v>43469</v>
      </c>
      <c r="X5806" s="1">
        <v>5949645</v>
      </c>
      <c r="Y5806" s="1">
        <v>6645000</v>
      </c>
      <c r="Z5806" s="5">
        <v>43470</v>
      </c>
      <c r="AA5806" s="1">
        <v>6254029.6299999999</v>
      </c>
      <c r="AB5806" s="1" t="s">
        <v>4127</v>
      </c>
      <c r="AC5806" s="5">
        <v>43762</v>
      </c>
      <c r="AF5806" s="1">
        <v>10002</v>
      </c>
      <c r="AI5806" s="1" t="s">
        <v>66</v>
      </c>
      <c r="AJ5806" s="1">
        <v>2019</v>
      </c>
      <c r="AK5806" s="1" t="s">
        <v>46</v>
      </c>
      <c r="AL5806" s="1">
        <v>787</v>
      </c>
    </row>
    <row r="5807" spans="1:38" x14ac:dyDescent="0.2">
      <c r="A5807" s="2" t="str">
        <f>HYPERLINK("https://www.compass.com/listing/252-south-street-unit-34c-manhattan-ny-10002/219459040059608865/","252 South St, Unit 34C")</f>
        <v>252 South St, Unit 34C</v>
      </c>
      <c r="B5807" s="2" t="str">
        <f t="shared" si="970"/>
        <v>One Manhattan Square</v>
      </c>
      <c r="C5807" s="1" t="s">
        <v>47</v>
      </c>
      <c r="D5807" s="1" t="s">
        <v>41</v>
      </c>
      <c r="E5807" s="3">
        <v>3754000</v>
      </c>
      <c r="F5807" s="1">
        <v>2524.5460659045002</v>
      </c>
      <c r="H5807" s="1">
        <v>3</v>
      </c>
      <c r="J5807" s="1">
        <v>3</v>
      </c>
      <c r="M5807" s="4">
        <v>1487</v>
      </c>
      <c r="N5807" s="1">
        <v>1758</v>
      </c>
      <c r="O5807" s="1">
        <v>1788</v>
      </c>
      <c r="P5807" s="1">
        <v>30</v>
      </c>
      <c r="Q5807" s="1" t="s">
        <v>42</v>
      </c>
      <c r="S5807" s="1" t="s">
        <v>42</v>
      </c>
      <c r="T5807" s="1" t="s">
        <v>273</v>
      </c>
      <c r="AA5807" s="1">
        <v>3754000</v>
      </c>
      <c r="AB5807" s="1" t="s">
        <v>4128</v>
      </c>
      <c r="AC5807" s="5">
        <v>43636</v>
      </c>
      <c r="AF5807" s="1">
        <v>10002</v>
      </c>
      <c r="AI5807" s="1" t="s">
        <v>66</v>
      </c>
      <c r="AJ5807" s="1">
        <v>2019</v>
      </c>
      <c r="AK5807" s="1" t="s">
        <v>49</v>
      </c>
      <c r="AL5807" s="1">
        <v>787</v>
      </c>
    </row>
    <row r="5808" spans="1:38" x14ac:dyDescent="0.2">
      <c r="A5808" s="2" t="str">
        <f>HYPERLINK("https://www.compass.com/listing/252-south-street-unit-21f-manhattan-ny-10002/29513530029941729/","252 South St, Unit 21F")</f>
        <v>252 South St, Unit 21F</v>
      </c>
      <c r="B5808" s="2" t="str">
        <f t="shared" si="970"/>
        <v>One Manhattan Square</v>
      </c>
      <c r="C5808" s="1" t="s">
        <v>47</v>
      </c>
      <c r="D5808" s="1" t="s">
        <v>41</v>
      </c>
      <c r="E5808" s="3">
        <v>1241173</v>
      </c>
      <c r="F5808" s="1">
        <v>1785.86043165467</v>
      </c>
      <c r="G5808" s="1">
        <v>3</v>
      </c>
      <c r="H5808" s="1">
        <v>1</v>
      </c>
      <c r="I5808" s="1">
        <v>1</v>
      </c>
      <c r="J5808" s="1">
        <v>1</v>
      </c>
      <c r="M5808" s="1">
        <v>695</v>
      </c>
      <c r="N5808" s="1">
        <v>778</v>
      </c>
      <c r="O5808" s="1">
        <v>791</v>
      </c>
      <c r="P5808" s="1">
        <v>13</v>
      </c>
      <c r="Q5808" s="1" t="s">
        <v>42</v>
      </c>
      <c r="S5808" s="1" t="s">
        <v>42</v>
      </c>
      <c r="T5808" s="1" t="s">
        <v>273</v>
      </c>
      <c r="U5808" s="1">
        <v>5</v>
      </c>
      <c r="V5808" s="5">
        <v>43696</v>
      </c>
      <c r="W5808" s="5">
        <v>42931</v>
      </c>
      <c r="X5808" s="1">
        <v>1269000</v>
      </c>
      <c r="Y5808" s="1">
        <v>1269000</v>
      </c>
      <c r="Z5808" s="5">
        <v>42936</v>
      </c>
      <c r="AA5808" s="1">
        <v>1241173.75</v>
      </c>
      <c r="AB5808" s="1" t="s">
        <v>4129</v>
      </c>
      <c r="AC5808" s="5">
        <v>43594</v>
      </c>
      <c r="AF5808" s="1">
        <v>10002</v>
      </c>
      <c r="AI5808" s="1" t="s">
        <v>66</v>
      </c>
      <c r="AJ5808" s="1">
        <v>2019</v>
      </c>
      <c r="AK5808" s="1" t="s">
        <v>46</v>
      </c>
      <c r="AL5808" s="1">
        <v>787</v>
      </c>
    </row>
    <row r="5809" spans="1:38" x14ac:dyDescent="0.2">
      <c r="A5809" s="2" t="str">
        <f>HYPERLINK("https://www.compass.com/listing/179-ludlow-street-unit-4-manhattan-ny-10002/29361399687926321/","179 Ludlow St, Unit 4")</f>
        <v>179 Ludlow St, Unit 4</v>
      </c>
      <c r="B5809" s="2" t="str">
        <f t="shared" ref="B5809:B5812" si="971">HYPERLINK("https://www.compass.com/building/179-ludlow-st-manhattan-ny-10002/281886015474372981/","179 Ludlow St")</f>
        <v>179 Ludlow St</v>
      </c>
      <c r="C5809" s="1" t="s">
        <v>47</v>
      </c>
      <c r="D5809" s="1" t="s">
        <v>41</v>
      </c>
      <c r="E5809" s="3">
        <v>1715751</v>
      </c>
      <c r="F5809" s="1">
        <v>1605.0056127221701</v>
      </c>
      <c r="G5809" s="1">
        <v>4</v>
      </c>
      <c r="H5809" s="1">
        <v>4</v>
      </c>
      <c r="I5809" s="1">
        <v>4</v>
      </c>
      <c r="J5809" s="1">
        <v>4</v>
      </c>
      <c r="M5809" s="4">
        <v>1069</v>
      </c>
      <c r="N5809" s="1">
        <v>814</v>
      </c>
      <c r="O5809" s="1">
        <v>1882</v>
      </c>
      <c r="P5809" s="1">
        <v>1068</v>
      </c>
      <c r="Q5809" s="1" t="s">
        <v>42</v>
      </c>
      <c r="S5809" s="1" t="s">
        <v>42</v>
      </c>
      <c r="T5809" s="1" t="s">
        <v>273</v>
      </c>
      <c r="V5809" s="5">
        <v>43689</v>
      </c>
      <c r="W5809" s="5">
        <v>41986</v>
      </c>
      <c r="X5809" s="1">
        <v>1685000</v>
      </c>
      <c r="Y5809" s="1">
        <v>1685000</v>
      </c>
      <c r="Z5809" s="5">
        <v>41986</v>
      </c>
      <c r="AA5809" s="1">
        <v>1715751</v>
      </c>
      <c r="AB5809" s="1" t="s">
        <v>4130</v>
      </c>
      <c r="AC5809" s="5">
        <v>42171</v>
      </c>
      <c r="AF5809" s="1">
        <v>10002</v>
      </c>
      <c r="AI5809" s="1" t="s">
        <v>4131</v>
      </c>
      <c r="AJ5809" s="1">
        <v>1920</v>
      </c>
      <c r="AL5809" s="1">
        <v>6</v>
      </c>
    </row>
    <row r="5810" spans="1:38" x14ac:dyDescent="0.2">
      <c r="A5810" s="2" t="str">
        <f>HYPERLINK("https://www.compass.com/listing/179-ludlow-street-unit-5-manhattan-ny-10002/29361399989881025/","179 Ludlow St, Unit 5")</f>
        <v>179 Ludlow St, Unit 5</v>
      </c>
      <c r="B5810" s="2" t="str">
        <f t="shared" si="971"/>
        <v>179 Ludlow St</v>
      </c>
      <c r="C5810" s="1" t="s">
        <v>47</v>
      </c>
      <c r="D5810" s="1" t="s">
        <v>41</v>
      </c>
      <c r="E5810" s="3">
        <v>1741208</v>
      </c>
      <c r="F5810" s="1">
        <v>1628.8194574368499</v>
      </c>
      <c r="G5810" s="1">
        <v>4</v>
      </c>
      <c r="H5810" s="1">
        <v>2</v>
      </c>
      <c r="I5810" s="1">
        <v>2</v>
      </c>
      <c r="J5810" s="1">
        <v>2</v>
      </c>
      <c r="M5810" s="4">
        <v>1069</v>
      </c>
      <c r="N5810" s="1">
        <v>814</v>
      </c>
      <c r="O5810" s="1">
        <v>1882</v>
      </c>
      <c r="P5810" s="1">
        <v>1068</v>
      </c>
      <c r="Q5810" s="1" t="s">
        <v>42</v>
      </c>
      <c r="S5810" s="1" t="s">
        <v>42</v>
      </c>
      <c r="T5810" s="1" t="s">
        <v>273</v>
      </c>
      <c r="V5810" s="5">
        <v>43633</v>
      </c>
      <c r="W5810" s="5">
        <v>41985</v>
      </c>
      <c r="X5810" s="1">
        <v>1710000</v>
      </c>
      <c r="Y5810" s="1">
        <v>1710000</v>
      </c>
      <c r="Z5810" s="5">
        <v>41985</v>
      </c>
      <c r="AA5810" s="1">
        <v>1741208</v>
      </c>
      <c r="AB5810" s="1" t="s">
        <v>4132</v>
      </c>
      <c r="AC5810" s="5">
        <v>42174</v>
      </c>
      <c r="AF5810" s="1">
        <v>10002</v>
      </c>
      <c r="AI5810" s="1" t="s">
        <v>4133</v>
      </c>
      <c r="AJ5810" s="1">
        <v>1920</v>
      </c>
      <c r="AL5810" s="1">
        <v>6</v>
      </c>
    </row>
    <row r="5811" spans="1:38" x14ac:dyDescent="0.2">
      <c r="A5811" s="2" t="str">
        <f>HYPERLINK("https://www.compass.com/listing/179-ludlow-street-unit-6-manhattan-ny-10002/29361400291911345/","179 Ludlow St, Unit 6")</f>
        <v>179 Ludlow St, Unit 6</v>
      </c>
      <c r="B5811" s="2" t="str">
        <f t="shared" si="971"/>
        <v>179 Ludlow St</v>
      </c>
      <c r="C5811" s="1" t="s">
        <v>47</v>
      </c>
      <c r="D5811" s="1" t="s">
        <v>41</v>
      </c>
      <c r="E5811" s="3">
        <v>1939766</v>
      </c>
      <c r="F5811" s="1">
        <v>1814.5612722170199</v>
      </c>
      <c r="G5811" s="1">
        <v>4</v>
      </c>
      <c r="H5811" s="1">
        <v>2</v>
      </c>
      <c r="I5811" s="1">
        <v>2</v>
      </c>
      <c r="J5811" s="1">
        <v>2</v>
      </c>
      <c r="M5811" s="4">
        <v>1069</v>
      </c>
      <c r="N5811" s="1">
        <v>814</v>
      </c>
      <c r="O5811" s="1">
        <v>1882</v>
      </c>
      <c r="P5811" s="1">
        <v>1068</v>
      </c>
      <c r="Q5811" s="1" t="s">
        <v>42</v>
      </c>
      <c r="S5811" s="1" t="s">
        <v>42</v>
      </c>
      <c r="T5811" s="1" t="s">
        <v>273</v>
      </c>
      <c r="U5811" s="1">
        <v>29</v>
      </c>
      <c r="V5811" s="5">
        <v>43642</v>
      </c>
      <c r="W5811" s="5">
        <v>42115</v>
      </c>
      <c r="X5811" s="1">
        <v>1950000</v>
      </c>
      <c r="Y5811" s="1">
        <v>1950000</v>
      </c>
      <c r="Z5811" s="5">
        <v>42144</v>
      </c>
      <c r="AA5811" s="1">
        <v>1939766</v>
      </c>
      <c r="AB5811" s="1" t="s">
        <v>4134</v>
      </c>
      <c r="AC5811" s="5">
        <v>42215</v>
      </c>
      <c r="AF5811" s="1">
        <v>10002</v>
      </c>
      <c r="AI5811" s="1" t="s">
        <v>540</v>
      </c>
      <c r="AJ5811" s="1">
        <v>1920</v>
      </c>
      <c r="AL5811" s="1">
        <v>6</v>
      </c>
    </row>
    <row r="5812" spans="1:38" x14ac:dyDescent="0.2">
      <c r="A5812" s="2" t="str">
        <f>HYPERLINK("https://www.compass.com/listing/179-ludlow-street-unit-3-manhattan-ny-10002/29512814792021057/","179 Ludlow St, Unit 3")</f>
        <v>179 Ludlow St, Unit 3</v>
      </c>
      <c r="B5812" s="2" t="str">
        <f t="shared" si="971"/>
        <v>179 Ludlow St</v>
      </c>
      <c r="C5812" s="1" t="s">
        <v>47</v>
      </c>
      <c r="D5812" s="1" t="s">
        <v>41</v>
      </c>
      <c r="E5812" s="3">
        <v>1665056</v>
      </c>
      <c r="F5812" s="1">
        <v>1557.58278765201</v>
      </c>
      <c r="G5812" s="1">
        <v>4</v>
      </c>
      <c r="H5812" s="1">
        <v>2</v>
      </c>
      <c r="I5812" s="1">
        <v>2</v>
      </c>
      <c r="J5812" s="1">
        <v>2</v>
      </c>
      <c r="M5812" s="4">
        <v>1069</v>
      </c>
      <c r="N5812" s="1">
        <v>814</v>
      </c>
      <c r="O5812" s="1">
        <v>1882</v>
      </c>
      <c r="P5812" s="1">
        <v>1068</v>
      </c>
      <c r="Q5812" s="1" t="s">
        <v>42</v>
      </c>
      <c r="S5812" s="1" t="s">
        <v>42</v>
      </c>
      <c r="T5812" s="1" t="s">
        <v>273</v>
      </c>
      <c r="U5812" s="1">
        <v>15</v>
      </c>
      <c r="V5812" s="5">
        <v>43664</v>
      </c>
      <c r="W5812" s="5">
        <v>41976</v>
      </c>
      <c r="X5812" s="1">
        <v>1650000</v>
      </c>
      <c r="Y5812" s="1">
        <v>1650000</v>
      </c>
      <c r="Z5812" s="5">
        <v>41991</v>
      </c>
      <c r="AA5812" s="1">
        <v>1665056</v>
      </c>
      <c r="AB5812" s="1" t="s">
        <v>4135</v>
      </c>
      <c r="AC5812" s="5">
        <v>42175</v>
      </c>
      <c r="AF5812" s="1">
        <v>10002</v>
      </c>
      <c r="AI5812" s="1" t="s">
        <v>4133</v>
      </c>
      <c r="AJ5812" s="1">
        <v>1920</v>
      </c>
      <c r="AL5812" s="1">
        <v>6</v>
      </c>
    </row>
    <row r="5813" spans="1:38" x14ac:dyDescent="0.2">
      <c r="A5813" s="2" t="str">
        <f>HYPERLINK("https://www.compass.com/listing/252-south-street-unit-23k-manhattan-ny-10002/265103026719646353/","252 South St, Unit 23K")</f>
        <v>252 South St, Unit 23K</v>
      </c>
      <c r="B5813" s="2" t="str">
        <f>HYPERLINK("https://www.compass.com/building/one-manhattan-square-manhattan-ny/294844950218926165/","One Manhattan Square")</f>
        <v>One Manhattan Square</v>
      </c>
      <c r="C5813" s="1" t="s">
        <v>47</v>
      </c>
      <c r="D5813" s="1" t="s">
        <v>41</v>
      </c>
      <c r="E5813" s="3">
        <v>1327240</v>
      </c>
      <c r="F5813" s="1">
        <v>1909.6981151079101</v>
      </c>
      <c r="G5813" s="1">
        <v>3</v>
      </c>
      <c r="H5813" s="1">
        <v>1</v>
      </c>
      <c r="I5813" s="1">
        <v>1</v>
      </c>
      <c r="J5813" s="1">
        <v>1</v>
      </c>
      <c r="K5813" s="1">
        <v>1</v>
      </c>
      <c r="M5813" s="1">
        <v>695</v>
      </c>
      <c r="N5813" s="1">
        <v>796.48</v>
      </c>
      <c r="O5813" s="1">
        <v>809.06</v>
      </c>
      <c r="P5813" s="1">
        <v>12.5833333333333</v>
      </c>
      <c r="Q5813" s="1" t="s">
        <v>42</v>
      </c>
      <c r="S5813" s="1" t="s">
        <v>42</v>
      </c>
      <c r="T5813" s="1" t="s">
        <v>273</v>
      </c>
      <c r="V5813" s="5">
        <v>43747</v>
      </c>
      <c r="W5813" s="5">
        <v>43618</v>
      </c>
      <c r="X5813" s="1">
        <v>1352000</v>
      </c>
      <c r="Y5813" s="1">
        <v>1352000</v>
      </c>
      <c r="Z5813" s="5">
        <v>43618</v>
      </c>
      <c r="AA5813" s="1">
        <v>1327240.19</v>
      </c>
      <c r="AB5813" s="1" t="s">
        <v>4136</v>
      </c>
      <c r="AC5813" s="5">
        <v>43733</v>
      </c>
      <c r="AF5813" s="1">
        <v>10002</v>
      </c>
      <c r="AI5813" s="1" t="s">
        <v>66</v>
      </c>
      <c r="AJ5813" s="1">
        <v>2019</v>
      </c>
      <c r="AK5813" s="1" t="s">
        <v>46</v>
      </c>
      <c r="AL5813" s="1">
        <v>787</v>
      </c>
    </row>
    <row r="5814" spans="1:38" x14ac:dyDescent="0.2">
      <c r="A5814" s="2" t="str">
        <f>HYPERLINK("https://www.compass.com/listing/130-william-street-unit-20c-manhattan-ny-10038/756546541234748257/","130 William St, Unit 20C")</f>
        <v>130 William St, Unit 20C</v>
      </c>
      <c r="B5814" s="2" t="str">
        <f t="shared" ref="B5814:B5818" si="972">HYPERLINK("https://www.compass.com/building/130-william-st-manhattan-ny-10038/282029682239486757/","130 William St")</f>
        <v>130 William St</v>
      </c>
      <c r="C5814" s="1" t="s">
        <v>96</v>
      </c>
      <c r="D5814" s="1" t="s">
        <v>41</v>
      </c>
      <c r="E5814" s="3">
        <v>2219317</v>
      </c>
      <c r="F5814" s="1">
        <v>1723.0719021739101</v>
      </c>
      <c r="G5814" s="1">
        <v>4</v>
      </c>
      <c r="H5814" s="1">
        <v>2</v>
      </c>
      <c r="I5814" s="1">
        <v>1</v>
      </c>
      <c r="J5814" s="1">
        <v>1</v>
      </c>
      <c r="K5814" s="1">
        <v>1</v>
      </c>
      <c r="M5814" s="4">
        <v>1288</v>
      </c>
      <c r="N5814" s="1">
        <v>883.9</v>
      </c>
      <c r="O5814" s="1">
        <v>2596.31</v>
      </c>
      <c r="P5814" s="1">
        <v>1712.4166666666599</v>
      </c>
      <c r="Q5814" s="1" t="s">
        <v>42</v>
      </c>
      <c r="S5814" s="1" t="s">
        <v>42</v>
      </c>
      <c r="T5814" s="1" t="s">
        <v>273</v>
      </c>
      <c r="V5814" s="5">
        <v>44368</v>
      </c>
      <c r="W5814" s="5">
        <v>44295</v>
      </c>
      <c r="X5814" s="1">
        <v>2175990</v>
      </c>
      <c r="Y5814" s="1">
        <v>2175990</v>
      </c>
      <c r="Z5814" s="5">
        <v>44296</v>
      </c>
      <c r="AA5814" s="1">
        <v>2219316.61</v>
      </c>
      <c r="AB5814" s="1" t="s">
        <v>4137</v>
      </c>
      <c r="AC5814" s="5">
        <v>44364</v>
      </c>
      <c r="AF5814" s="1">
        <v>10038</v>
      </c>
      <c r="AI5814" s="1" t="s">
        <v>111</v>
      </c>
      <c r="AJ5814" s="1">
        <v>2020</v>
      </c>
      <c r="AK5814" s="1" t="s">
        <v>46</v>
      </c>
      <c r="AL5814" s="1">
        <v>244</v>
      </c>
    </row>
    <row r="5815" spans="1:38" x14ac:dyDescent="0.2">
      <c r="A5815" s="2" t="str">
        <f>HYPERLINK("https://www.compass.com/listing/130-william-street-unit-22c-manhattan-ny-10038/761044567967925713/","130 William St, Unit 22C")</f>
        <v>130 William St, Unit 22C</v>
      </c>
      <c r="B5815" s="2" t="str">
        <f t="shared" si="972"/>
        <v>130 William St</v>
      </c>
      <c r="C5815" s="1" t="s">
        <v>96</v>
      </c>
      <c r="D5815" s="1" t="s">
        <v>41</v>
      </c>
      <c r="E5815" s="3">
        <v>2093512</v>
      </c>
      <c r="F5815" s="1">
        <v>2018.8156412728999</v>
      </c>
      <c r="G5815" s="1">
        <v>4</v>
      </c>
      <c r="H5815" s="1">
        <v>2</v>
      </c>
      <c r="I5815" s="1">
        <v>2</v>
      </c>
      <c r="J5815" s="1">
        <v>2</v>
      </c>
      <c r="K5815" s="1">
        <v>2</v>
      </c>
      <c r="M5815" s="4">
        <v>1037</v>
      </c>
      <c r="N5815" s="1">
        <v>730</v>
      </c>
      <c r="O5815" s="1">
        <v>2145</v>
      </c>
      <c r="P5815" s="1">
        <v>1415</v>
      </c>
      <c r="Q5815" s="1" t="s">
        <v>42</v>
      </c>
      <c r="S5815" s="1" t="s">
        <v>42</v>
      </c>
      <c r="T5815" s="1" t="s">
        <v>273</v>
      </c>
      <c r="U5815" s="1">
        <v>18</v>
      </c>
      <c r="V5815" s="5">
        <v>44334</v>
      </c>
      <c r="W5815" s="5">
        <v>44301</v>
      </c>
      <c r="X5815" s="1">
        <v>2055990</v>
      </c>
      <c r="Y5815" s="1">
        <v>2055990</v>
      </c>
      <c r="Z5815" s="5">
        <v>44320</v>
      </c>
      <c r="AA5815" s="1">
        <v>2093511.82</v>
      </c>
      <c r="AB5815" s="1" t="s">
        <v>4138</v>
      </c>
      <c r="AC5815" s="5">
        <v>44329</v>
      </c>
      <c r="AF5815" s="1">
        <v>10038</v>
      </c>
      <c r="AI5815" s="1" t="s">
        <v>111</v>
      </c>
      <c r="AJ5815" s="1">
        <v>2020</v>
      </c>
      <c r="AK5815" s="1" t="s">
        <v>46</v>
      </c>
      <c r="AL5815" s="1">
        <v>244</v>
      </c>
    </row>
    <row r="5816" spans="1:38" x14ac:dyDescent="0.2">
      <c r="A5816" s="2" t="str">
        <f>HYPERLINK("https://www.compass.com/listing/130-william-street-unit-35b-manhattan-ny-10038/761044664074848321/","130 William St, Unit 35B")</f>
        <v>130 William St, Unit 35B</v>
      </c>
      <c r="B5816" s="2" t="str">
        <f t="shared" si="972"/>
        <v>130 William St</v>
      </c>
      <c r="C5816" s="1" t="s">
        <v>96</v>
      </c>
      <c r="D5816" s="1" t="s">
        <v>41</v>
      </c>
      <c r="E5816" s="3">
        <v>3327178</v>
      </c>
      <c r="F5816" s="1">
        <v>2260.3114470108699</v>
      </c>
      <c r="G5816" s="1">
        <v>4</v>
      </c>
      <c r="H5816" s="1">
        <v>2</v>
      </c>
      <c r="I5816" s="1">
        <v>3</v>
      </c>
      <c r="J5816" s="1">
        <v>2.5</v>
      </c>
      <c r="K5816" s="1">
        <v>2</v>
      </c>
      <c r="L5816" s="1">
        <v>1</v>
      </c>
      <c r="M5816" s="4">
        <v>1472</v>
      </c>
      <c r="N5816" s="1">
        <v>1057</v>
      </c>
      <c r="O5816" s="1">
        <v>3104</v>
      </c>
      <c r="P5816" s="1">
        <v>2047</v>
      </c>
      <c r="Q5816" s="1" t="s">
        <v>42</v>
      </c>
      <c r="S5816" s="1" t="s">
        <v>42</v>
      </c>
      <c r="T5816" s="1" t="s">
        <v>273</v>
      </c>
      <c r="U5816" s="1">
        <v>18</v>
      </c>
      <c r="V5816" s="5">
        <v>44336</v>
      </c>
      <c r="W5816" s="5">
        <v>44301</v>
      </c>
      <c r="X5816" s="1">
        <v>3255990</v>
      </c>
      <c r="Y5816" s="1">
        <v>3255990</v>
      </c>
      <c r="Z5816" s="5">
        <v>44320</v>
      </c>
      <c r="AA5816" s="1">
        <v>3327178.45</v>
      </c>
      <c r="AB5816" s="1" t="s">
        <v>4139</v>
      </c>
      <c r="AC5816" s="5">
        <v>44334</v>
      </c>
      <c r="AF5816" s="1">
        <v>10038</v>
      </c>
      <c r="AI5816" s="1" t="s">
        <v>111</v>
      </c>
      <c r="AJ5816" s="1">
        <v>2020</v>
      </c>
      <c r="AK5816" s="1" t="s">
        <v>46</v>
      </c>
      <c r="AL5816" s="1">
        <v>244</v>
      </c>
    </row>
    <row r="5817" spans="1:38" x14ac:dyDescent="0.2">
      <c r="A5817" s="2" t="str">
        <f>HYPERLINK("https://www.compass.com/listing/130-william-street-unit-29c-manhattan-ny-10038/705973491831638233/","130 William St, Unit 29C")</f>
        <v>130 William St, Unit 29C</v>
      </c>
      <c r="B5817" s="2" t="str">
        <f t="shared" si="972"/>
        <v>130 William St</v>
      </c>
      <c r="C5817" s="1" t="s">
        <v>96</v>
      </c>
      <c r="D5817" s="1" t="s">
        <v>41</v>
      </c>
      <c r="E5817" s="3">
        <v>2275320</v>
      </c>
      <c r="F5817" s="1">
        <v>2171.1072137404499</v>
      </c>
      <c r="G5817" s="1">
        <v>4</v>
      </c>
      <c r="H5817" s="1">
        <v>2</v>
      </c>
      <c r="I5817" s="1">
        <v>2</v>
      </c>
      <c r="J5817" s="1">
        <v>2</v>
      </c>
      <c r="K5817" s="1">
        <v>2</v>
      </c>
      <c r="M5817" s="4">
        <v>1048</v>
      </c>
      <c r="N5817" s="1">
        <v>758.64</v>
      </c>
      <c r="O5817" s="1">
        <v>2228.36</v>
      </c>
      <c r="P5817" s="1">
        <v>1469.75</v>
      </c>
      <c r="Q5817" s="1" t="s">
        <v>42</v>
      </c>
      <c r="S5817" s="1" t="s">
        <v>42</v>
      </c>
      <c r="T5817" s="1" t="s">
        <v>273</v>
      </c>
      <c r="U5817" s="1">
        <v>106</v>
      </c>
      <c r="V5817" s="5">
        <v>44224</v>
      </c>
      <c r="W5817" s="5">
        <v>44110</v>
      </c>
      <c r="X5817" s="1">
        <v>2230990</v>
      </c>
      <c r="Y5817" s="1">
        <v>2230990</v>
      </c>
      <c r="AA5817" s="1">
        <v>2275320.36</v>
      </c>
      <c r="AB5817" s="1" t="s">
        <v>4140</v>
      </c>
      <c r="AC5817" s="5">
        <v>44216</v>
      </c>
      <c r="AF5817" s="1">
        <v>10038</v>
      </c>
      <c r="AI5817" s="1" t="s">
        <v>111</v>
      </c>
      <c r="AJ5817" s="1">
        <v>2020</v>
      </c>
      <c r="AK5817" s="1" t="s">
        <v>46</v>
      </c>
      <c r="AL5817" s="1">
        <v>244</v>
      </c>
    </row>
    <row r="5818" spans="1:38" x14ac:dyDescent="0.2">
      <c r="A5818" s="2" t="str">
        <f>HYPERLINK("https://www.compass.com/listing/130-william-street-unit-23c-manhattan-ny-10038/803351104376758633/","130 William St, Unit 23C")</f>
        <v>130 William St, Unit 23C</v>
      </c>
      <c r="B5818" s="2" t="str">
        <f t="shared" si="972"/>
        <v>130 William St</v>
      </c>
      <c r="C5818" s="1" t="s">
        <v>96</v>
      </c>
      <c r="D5818" s="1" t="s">
        <v>41</v>
      </c>
      <c r="E5818" s="3">
        <v>2073707</v>
      </c>
      <c r="F5818" s="1">
        <v>1999.7173095467599</v>
      </c>
      <c r="G5818" s="1">
        <v>4</v>
      </c>
      <c r="H5818" s="1">
        <v>2</v>
      </c>
      <c r="I5818" s="1">
        <v>2</v>
      </c>
      <c r="J5818" s="1">
        <v>2</v>
      </c>
      <c r="K5818" s="1">
        <v>2</v>
      </c>
      <c r="M5818" s="4">
        <v>1037</v>
      </c>
      <c r="N5818" s="1">
        <v>732.54</v>
      </c>
      <c r="O5818" s="1">
        <v>2151.71</v>
      </c>
      <c r="P5818" s="1">
        <v>1419.1666666666599</v>
      </c>
      <c r="Q5818" s="1" t="s">
        <v>42</v>
      </c>
      <c r="S5818" s="1" t="s">
        <v>42</v>
      </c>
      <c r="T5818" s="1" t="s">
        <v>273</v>
      </c>
      <c r="U5818" s="1">
        <v>353</v>
      </c>
      <c r="V5818" s="5">
        <v>44254</v>
      </c>
      <c r="W5818" s="5">
        <v>43777</v>
      </c>
      <c r="X5818" s="1">
        <v>1995990</v>
      </c>
      <c r="Y5818" s="1">
        <v>1995990</v>
      </c>
      <c r="AA5818" s="1">
        <v>2073706.85</v>
      </c>
      <c r="AB5818" s="1" t="s">
        <v>4141</v>
      </c>
      <c r="AC5818" s="5">
        <v>44224</v>
      </c>
      <c r="AF5818" s="1">
        <v>10038</v>
      </c>
      <c r="AI5818" s="1" t="s">
        <v>111</v>
      </c>
      <c r="AJ5818" s="1">
        <v>2020</v>
      </c>
      <c r="AK5818" s="1" t="s">
        <v>46</v>
      </c>
      <c r="AL5818" s="1">
        <v>244</v>
      </c>
    </row>
    <row r="5819" spans="1:38" x14ac:dyDescent="0.2">
      <c r="A5819" s="2" t="str">
        <f>HYPERLINK("https://www.compass.com/listing/252-south-street-unit-37l-manhattan-ny-10002/29513547268618337/","252 South St, Unit 37L")</f>
        <v>252 South St, Unit 37L</v>
      </c>
      <c r="B5819" s="2" t="str">
        <f t="shared" ref="B5819:B5821" si="973">HYPERLINK("https://www.compass.com/building/one-manhattan-square-manhattan-ny/294844950218926165/","One Manhattan Square")</f>
        <v>One Manhattan Square</v>
      </c>
      <c r="C5819" s="1" t="s">
        <v>47</v>
      </c>
      <c r="D5819" s="1" t="s">
        <v>41</v>
      </c>
      <c r="E5819" s="3">
        <v>2575081</v>
      </c>
      <c r="F5819" s="1">
        <v>2293.0376224398901</v>
      </c>
      <c r="G5819" s="1">
        <v>4</v>
      </c>
      <c r="H5819" s="1">
        <v>2</v>
      </c>
      <c r="I5819" s="1">
        <v>2</v>
      </c>
      <c r="J5819" s="1">
        <v>2</v>
      </c>
      <c r="M5819" s="4">
        <v>1123</v>
      </c>
      <c r="N5819" s="1">
        <v>1345</v>
      </c>
      <c r="O5819" s="1">
        <v>1368</v>
      </c>
      <c r="P5819" s="1">
        <v>23</v>
      </c>
      <c r="Q5819" s="1" t="s">
        <v>42</v>
      </c>
      <c r="S5819" s="1" t="s">
        <v>42</v>
      </c>
      <c r="T5819" s="1" t="s">
        <v>273</v>
      </c>
      <c r="U5819" s="1">
        <v>6</v>
      </c>
      <c r="V5819" s="5">
        <v>43808</v>
      </c>
      <c r="W5819" s="5">
        <v>42784</v>
      </c>
      <c r="X5819" s="1">
        <v>2600000</v>
      </c>
      <c r="Y5819" s="1">
        <v>2600000</v>
      </c>
      <c r="Z5819" s="5">
        <v>42790</v>
      </c>
      <c r="AA5819" s="1">
        <v>2575081.25</v>
      </c>
      <c r="AB5819" s="1" t="s">
        <v>4142</v>
      </c>
      <c r="AC5819" s="5">
        <v>43796</v>
      </c>
      <c r="AF5819" s="1">
        <v>10002</v>
      </c>
      <c r="AI5819" s="1" t="s">
        <v>66</v>
      </c>
      <c r="AJ5819" s="1">
        <v>2019</v>
      </c>
      <c r="AK5819" s="1" t="s">
        <v>46</v>
      </c>
      <c r="AL5819" s="1">
        <v>787</v>
      </c>
    </row>
    <row r="5820" spans="1:38" x14ac:dyDescent="0.2">
      <c r="A5820" s="2" t="str">
        <f>HYPERLINK("https://www.compass.com/listing/252-south-street-unit-27d-manhattan-ny-10002/29513550665918449/","252 South St, Unit 27D")</f>
        <v>252 South St, Unit 27D</v>
      </c>
      <c r="B5820" s="2" t="str">
        <f t="shared" si="973"/>
        <v>One Manhattan Square</v>
      </c>
      <c r="C5820" s="1" t="s">
        <v>47</v>
      </c>
      <c r="D5820" s="1" t="s">
        <v>41</v>
      </c>
      <c r="E5820" s="3">
        <v>2529260</v>
      </c>
      <c r="F5820" s="1">
        <v>2252.2350845948299</v>
      </c>
      <c r="G5820" s="1">
        <v>4</v>
      </c>
      <c r="H5820" s="1">
        <v>2</v>
      </c>
      <c r="I5820" s="1">
        <v>2</v>
      </c>
      <c r="J5820" s="1">
        <v>2</v>
      </c>
      <c r="M5820" s="4">
        <v>1123</v>
      </c>
      <c r="N5820" s="1">
        <v>1292</v>
      </c>
      <c r="O5820" s="1">
        <v>1314</v>
      </c>
      <c r="P5820" s="1">
        <v>22</v>
      </c>
      <c r="Q5820" s="1" t="s">
        <v>42</v>
      </c>
      <c r="S5820" s="1" t="s">
        <v>42</v>
      </c>
      <c r="T5820" s="1" t="s">
        <v>273</v>
      </c>
      <c r="U5820" s="1">
        <v>1</v>
      </c>
      <c r="V5820" s="5">
        <v>43696</v>
      </c>
      <c r="W5820" s="5">
        <v>42769</v>
      </c>
      <c r="X5820" s="1">
        <v>2629000</v>
      </c>
      <c r="Y5820" s="1">
        <v>2629000</v>
      </c>
      <c r="Z5820" s="5">
        <v>42770</v>
      </c>
      <c r="AA5820" s="1">
        <v>2529260</v>
      </c>
      <c r="AB5820" s="1" t="s">
        <v>4143</v>
      </c>
      <c r="AC5820" s="5">
        <v>43644</v>
      </c>
      <c r="AF5820" s="1">
        <v>10002</v>
      </c>
      <c r="AI5820" s="1" t="s">
        <v>66</v>
      </c>
      <c r="AJ5820" s="1">
        <v>2019</v>
      </c>
      <c r="AK5820" s="1" t="s">
        <v>46</v>
      </c>
      <c r="AL5820" s="1">
        <v>787</v>
      </c>
    </row>
    <row r="5821" spans="1:38" x14ac:dyDescent="0.2">
      <c r="A5821" s="2" t="str">
        <f>HYPERLINK("https://www.compass.com/listing/252-south-street-unit-29m-manhattan-ny-10002/29513556361869825/","252 South St, Unit 29M")</f>
        <v>252 South St, Unit 29M</v>
      </c>
      <c r="B5821" s="2" t="str">
        <f t="shared" si="973"/>
        <v>One Manhattan Square</v>
      </c>
      <c r="C5821" s="1" t="s">
        <v>47</v>
      </c>
      <c r="D5821" s="1" t="s">
        <v>41</v>
      </c>
      <c r="E5821" s="3">
        <v>2383285</v>
      </c>
      <c r="F5821" s="1">
        <v>2122.2485485307202</v>
      </c>
      <c r="G5821" s="1">
        <v>4</v>
      </c>
      <c r="H5821" s="1">
        <v>2</v>
      </c>
      <c r="I5821" s="1">
        <v>2</v>
      </c>
      <c r="J5821" s="1">
        <v>2</v>
      </c>
      <c r="M5821" s="4">
        <v>1123</v>
      </c>
      <c r="N5821" s="1">
        <v>1304</v>
      </c>
      <c r="O5821" s="1">
        <v>1326</v>
      </c>
      <c r="P5821" s="1">
        <v>22</v>
      </c>
      <c r="Q5821" s="1" t="s">
        <v>42</v>
      </c>
      <c r="S5821" s="1" t="s">
        <v>42</v>
      </c>
      <c r="T5821" s="1" t="s">
        <v>273</v>
      </c>
      <c r="U5821" s="1">
        <v>6</v>
      </c>
      <c r="V5821" s="5">
        <v>43759</v>
      </c>
      <c r="W5821" s="5">
        <v>42795</v>
      </c>
      <c r="X5821" s="1">
        <v>2499000</v>
      </c>
      <c r="Y5821" s="1">
        <v>2499000</v>
      </c>
      <c r="Z5821" s="5">
        <v>42801</v>
      </c>
      <c r="AA5821" s="1">
        <v>2383285.12</v>
      </c>
      <c r="AB5821" s="1" t="s">
        <v>4144</v>
      </c>
      <c r="AC5821" s="5">
        <v>43748</v>
      </c>
      <c r="AF5821" s="1">
        <v>10002</v>
      </c>
      <c r="AI5821" s="1" t="s">
        <v>4032</v>
      </c>
      <c r="AJ5821" s="1">
        <v>2019</v>
      </c>
      <c r="AK5821" s="1" t="s">
        <v>46</v>
      </c>
      <c r="AL5821" s="1">
        <v>787</v>
      </c>
    </row>
    <row r="5822" spans="1:38" x14ac:dyDescent="0.2">
      <c r="A5822" s="2" t="str">
        <f>HYPERLINK("https://www.compass.com/listing/130-william-street-unit-21b-manhattan-ny-10038/96076303148542129/","130 William St, Unit 21B")</f>
        <v>130 William St, Unit 21B</v>
      </c>
      <c r="B5822" s="2" t="str">
        <f>HYPERLINK("https://www.compass.com/building/130-william-st-manhattan-ny-10038/282029682239486757/","130 William St")</f>
        <v>130 William St</v>
      </c>
      <c r="C5822" s="1" t="s">
        <v>96</v>
      </c>
      <c r="D5822" s="1" t="s">
        <v>41</v>
      </c>
      <c r="E5822" s="3">
        <v>2830266</v>
      </c>
      <c r="F5822" s="1">
        <v>1852.26832460732</v>
      </c>
      <c r="G5822" s="1">
        <v>5</v>
      </c>
      <c r="H5822" s="1">
        <v>3</v>
      </c>
      <c r="I5822" s="1">
        <v>2</v>
      </c>
      <c r="J5822" s="1">
        <v>2</v>
      </c>
      <c r="K5822" s="1">
        <v>2</v>
      </c>
      <c r="M5822" s="4">
        <v>1528</v>
      </c>
      <c r="N5822" s="1">
        <v>1058.6400000000001</v>
      </c>
      <c r="O5822" s="1">
        <v>3109.5699999999902</v>
      </c>
      <c r="P5822" s="1">
        <v>2050.9166666666601</v>
      </c>
      <c r="Q5822" s="1" t="s">
        <v>42</v>
      </c>
      <c r="S5822" s="1" t="s">
        <v>42</v>
      </c>
      <c r="T5822" s="1" t="s">
        <v>273</v>
      </c>
      <c r="U5822" s="1">
        <v>55</v>
      </c>
      <c r="V5822" s="5">
        <v>44406</v>
      </c>
      <c r="W5822" s="5">
        <v>44275</v>
      </c>
      <c r="X5822" s="1">
        <v>2775990</v>
      </c>
      <c r="Y5822" s="1">
        <v>2775990</v>
      </c>
      <c r="Z5822" s="5">
        <v>44330</v>
      </c>
      <c r="AA5822" s="1">
        <v>2830266</v>
      </c>
      <c r="AB5822" s="1" t="s">
        <v>275</v>
      </c>
      <c r="AC5822" s="5">
        <v>44377</v>
      </c>
      <c r="AF5822" s="1">
        <v>10038</v>
      </c>
      <c r="AI5822" s="1" t="s">
        <v>111</v>
      </c>
      <c r="AJ5822" s="1">
        <v>2020</v>
      </c>
      <c r="AK5822" s="1" t="s">
        <v>46</v>
      </c>
      <c r="AL5822" s="1">
        <v>244</v>
      </c>
    </row>
    <row r="5823" spans="1:38" x14ac:dyDescent="0.2">
      <c r="A5823" s="2" t="str">
        <f>HYPERLINK("https://www.compass.com/listing/50-west-street-unit-28c-manhattan-ny-10006/29355208786118849/","50 West St, Unit 28C")</f>
        <v>50 West St, Unit 28C</v>
      </c>
      <c r="B5823" s="2" t="str">
        <f>HYPERLINK("https://www.compass.com/building/50-west-st-manhattan-ny-10006/281896342152815429/","50 West St")</f>
        <v>50 West St</v>
      </c>
      <c r="C5823" s="1" t="s">
        <v>96</v>
      </c>
      <c r="D5823" s="1" t="s">
        <v>41</v>
      </c>
      <c r="E5823" s="3">
        <v>6215000</v>
      </c>
      <c r="F5823" s="1">
        <v>2586.3503953391501</v>
      </c>
      <c r="G5823" s="1">
        <v>6</v>
      </c>
      <c r="H5823" s="1">
        <v>3</v>
      </c>
      <c r="I5823" s="1">
        <v>4</v>
      </c>
      <c r="J5823" s="1">
        <v>3.5</v>
      </c>
      <c r="K5823" s="1">
        <v>3</v>
      </c>
      <c r="L5823" s="1">
        <v>1</v>
      </c>
      <c r="M5823" s="4">
        <v>2403</v>
      </c>
      <c r="N5823" s="1">
        <v>2741.39</v>
      </c>
      <c r="O5823" s="1">
        <v>5798.3799999999901</v>
      </c>
      <c r="P5823" s="1">
        <v>3057</v>
      </c>
      <c r="Q5823" s="1" t="s">
        <v>42</v>
      </c>
      <c r="S5823" s="1" t="s">
        <v>42</v>
      </c>
      <c r="T5823" s="1" t="s">
        <v>273</v>
      </c>
      <c r="U5823" s="1">
        <v>308</v>
      </c>
      <c r="V5823" s="5">
        <v>43676</v>
      </c>
      <c r="W5823" s="5">
        <v>42432</v>
      </c>
      <c r="X5823" s="1">
        <v>6215000</v>
      </c>
      <c r="Y5823" s="1">
        <v>6215000</v>
      </c>
      <c r="Z5823" s="5">
        <v>42740</v>
      </c>
      <c r="AA5823" s="1">
        <v>6215000</v>
      </c>
      <c r="AB5823" s="1" t="s">
        <v>4145</v>
      </c>
      <c r="AC5823" s="5">
        <v>42863</v>
      </c>
      <c r="AF5823" s="1">
        <v>10006</v>
      </c>
      <c r="AI5823" s="1" t="s">
        <v>97</v>
      </c>
      <c r="AJ5823" s="1">
        <v>2016</v>
      </c>
      <c r="AK5823" s="1" t="s">
        <v>46</v>
      </c>
      <c r="AL5823" s="1">
        <v>186</v>
      </c>
    </row>
    <row r="5824" spans="1:38" x14ac:dyDescent="0.2">
      <c r="A5824" s="2" t="str">
        <f>HYPERLINK("https://www.compass.com/listing/130-william-street-unit-36b-manhattan-ny-10038/759135303320211993/","130 William St, Unit 36B")</f>
        <v>130 William St, Unit 36B</v>
      </c>
      <c r="B5824" s="2" t="str">
        <f>HYPERLINK("https://www.compass.com/building/130-william-st-manhattan-ny-10038/282029682239486757/","130 William St")</f>
        <v>130 William St</v>
      </c>
      <c r="C5824" s="1" t="s">
        <v>96</v>
      </c>
      <c r="D5824" s="1" t="s">
        <v>41</v>
      </c>
      <c r="E5824" s="3">
        <v>3368008</v>
      </c>
      <c r="F5824" s="1">
        <v>2288.0492187499999</v>
      </c>
      <c r="G5824" s="1">
        <v>4</v>
      </c>
      <c r="H5824" s="1">
        <v>2</v>
      </c>
      <c r="I5824" s="1">
        <v>3</v>
      </c>
      <c r="J5824" s="1">
        <v>2.5</v>
      </c>
      <c r="K5824" s="1">
        <v>2</v>
      </c>
      <c r="L5824" s="1">
        <v>1</v>
      </c>
      <c r="M5824" s="4">
        <v>1472</v>
      </c>
      <c r="N5824" s="1">
        <v>1059</v>
      </c>
      <c r="O5824" s="1">
        <v>3110</v>
      </c>
      <c r="P5824" s="1">
        <v>2051</v>
      </c>
      <c r="Q5824" s="1" t="s">
        <v>42</v>
      </c>
      <c r="S5824" s="1" t="s">
        <v>42</v>
      </c>
      <c r="T5824" s="1" t="s">
        <v>273</v>
      </c>
      <c r="U5824" s="1">
        <v>2</v>
      </c>
      <c r="V5824" s="5">
        <v>44364</v>
      </c>
      <c r="W5824" s="5">
        <v>44299</v>
      </c>
      <c r="X5824" s="1">
        <v>3295990</v>
      </c>
      <c r="Y5824" s="1">
        <v>3295990</v>
      </c>
      <c r="Z5824" s="5">
        <v>44302</v>
      </c>
      <c r="AA5824" s="1">
        <v>3368008.45</v>
      </c>
      <c r="AB5824" s="1" t="s">
        <v>4146</v>
      </c>
      <c r="AC5824" s="5">
        <v>44358</v>
      </c>
      <c r="AF5824" s="1">
        <v>10038</v>
      </c>
      <c r="AI5824" s="1" t="s">
        <v>111</v>
      </c>
      <c r="AJ5824" s="1">
        <v>2020</v>
      </c>
      <c r="AK5824" s="1" t="s">
        <v>46</v>
      </c>
      <c r="AL5824" s="1">
        <v>244</v>
      </c>
    </row>
    <row r="5825" spans="1:38" x14ac:dyDescent="0.2">
      <c r="A5825" s="2" t="str">
        <f>HYPERLINK("https://www.compass.com/listing/252-south-street-unit-53h-manhattan-ny-10002/29513525525259009/","252 South St, Unit 53H")</f>
        <v>252 South St, Unit 53H</v>
      </c>
      <c r="B5825" s="2" t="str">
        <f>HYPERLINK("https://www.compass.com/building/one-manhattan-square-manhattan-ny/294844950218926165/","One Manhattan Square")</f>
        <v>One Manhattan Square</v>
      </c>
      <c r="C5825" s="1" t="s">
        <v>47</v>
      </c>
      <c r="D5825" s="1" t="s">
        <v>41</v>
      </c>
      <c r="E5825" s="3">
        <v>1441465</v>
      </c>
      <c r="F5825" s="1">
        <v>2071.07001436781</v>
      </c>
      <c r="G5825" s="1">
        <v>3</v>
      </c>
      <c r="H5825" s="1">
        <v>1</v>
      </c>
      <c r="I5825" s="1">
        <v>1</v>
      </c>
      <c r="J5825" s="1">
        <v>1</v>
      </c>
      <c r="M5825" s="1">
        <v>696</v>
      </c>
      <c r="N5825" s="1">
        <v>896</v>
      </c>
      <c r="O5825" s="1">
        <v>911</v>
      </c>
      <c r="P5825" s="1">
        <v>15</v>
      </c>
      <c r="Q5825" s="1" t="s">
        <v>42</v>
      </c>
      <c r="S5825" s="1" t="s">
        <v>42</v>
      </c>
      <c r="T5825" s="1" t="s">
        <v>273</v>
      </c>
      <c r="U5825" s="1">
        <v>4</v>
      </c>
      <c r="V5825" s="5">
        <v>43938</v>
      </c>
      <c r="W5825" s="5">
        <v>42902</v>
      </c>
      <c r="X5825" s="1">
        <v>1486000</v>
      </c>
      <c r="Y5825" s="1">
        <v>1486000</v>
      </c>
      <c r="Z5825" s="5">
        <v>42906</v>
      </c>
      <c r="AA5825" s="1">
        <v>1441464.73</v>
      </c>
      <c r="AB5825" s="1" t="s">
        <v>4147</v>
      </c>
      <c r="AC5825" s="5">
        <v>43689</v>
      </c>
      <c r="AF5825" s="1">
        <v>10002</v>
      </c>
      <c r="AI5825" s="1" t="s">
        <v>4116</v>
      </c>
      <c r="AJ5825" s="1">
        <v>2019</v>
      </c>
      <c r="AK5825" s="1" t="s">
        <v>46</v>
      </c>
      <c r="AL5825" s="1">
        <v>787</v>
      </c>
    </row>
    <row r="5826" spans="1:38" x14ac:dyDescent="0.2">
      <c r="A5826" s="2" t="str">
        <f>HYPERLINK("https://www.compass.com/listing/130-william-street-unit-20a-manhattan-ny-10038/704138594300873257/","130 William St, Unit 20A")</f>
        <v>130 William St, Unit 20A</v>
      </c>
      <c r="B5826" s="2" t="str">
        <f t="shared" ref="B5826:B5827" si="974">HYPERLINK("https://www.compass.com/building/130-william-st-manhattan-ny-10038/282029682239486757/","130 William St")</f>
        <v>130 William St</v>
      </c>
      <c r="C5826" s="1" t="s">
        <v>96</v>
      </c>
      <c r="D5826" s="1" t="s">
        <v>41</v>
      </c>
      <c r="E5826" s="3">
        <v>1470902</v>
      </c>
      <c r="F5826" s="1">
        <v>1686.8142201834801</v>
      </c>
      <c r="G5826" s="1">
        <v>3</v>
      </c>
      <c r="H5826" s="1">
        <v>1</v>
      </c>
      <c r="J5826" s="1">
        <v>1</v>
      </c>
      <c r="M5826" s="1">
        <v>872</v>
      </c>
      <c r="N5826" s="1">
        <v>597</v>
      </c>
      <c r="O5826" s="1">
        <v>1755</v>
      </c>
      <c r="P5826" s="1">
        <v>1158</v>
      </c>
      <c r="S5826" s="1" t="s">
        <v>42</v>
      </c>
      <c r="T5826" s="1" t="s">
        <v>273</v>
      </c>
      <c r="V5826" s="5">
        <v>44225</v>
      </c>
      <c r="W5826" s="5">
        <v>44222</v>
      </c>
      <c r="X5826" s="1">
        <v>1470990</v>
      </c>
      <c r="Y5826" s="1">
        <v>1470990</v>
      </c>
      <c r="Z5826" s="5">
        <v>44222</v>
      </c>
      <c r="AA5826" s="1">
        <v>1470902</v>
      </c>
      <c r="AB5826" s="1" t="s">
        <v>275</v>
      </c>
      <c r="AC5826" s="5">
        <v>44223</v>
      </c>
      <c r="AF5826" s="1">
        <v>10038</v>
      </c>
      <c r="AI5826" s="1" t="s">
        <v>48</v>
      </c>
      <c r="AJ5826" s="1">
        <v>2020</v>
      </c>
      <c r="AK5826" s="1" t="s">
        <v>49</v>
      </c>
      <c r="AL5826" s="1">
        <v>244</v>
      </c>
    </row>
    <row r="5827" spans="1:38" x14ac:dyDescent="0.2">
      <c r="A5827" s="2" t="str">
        <f>HYPERLINK("https://www.compass.com/listing/130-william-street-unit-42a-manhattan-ny-10038/581613018956669233/","130 William St, Unit 42A")</f>
        <v>130 William St, Unit 42A</v>
      </c>
      <c r="B5827" s="2" t="str">
        <f t="shared" si="974"/>
        <v>130 William St</v>
      </c>
      <c r="C5827" s="1" t="s">
        <v>96</v>
      </c>
      <c r="D5827" s="1" t="s">
        <v>41</v>
      </c>
      <c r="E5827" s="3">
        <v>1888385</v>
      </c>
      <c r="F5827" s="1">
        <v>2138.6017667044098</v>
      </c>
      <c r="G5827" s="1">
        <v>3</v>
      </c>
      <c r="H5827" s="1">
        <v>1</v>
      </c>
      <c r="I5827" s="1">
        <v>1</v>
      </c>
      <c r="J5827" s="1">
        <v>1</v>
      </c>
      <c r="K5827" s="1">
        <v>1</v>
      </c>
      <c r="M5827" s="1">
        <v>883</v>
      </c>
      <c r="N5827" s="1">
        <v>636.09</v>
      </c>
      <c r="O5827" s="1">
        <v>1868.4099999999901</v>
      </c>
      <c r="P5827" s="1">
        <v>1232.3333333333301</v>
      </c>
      <c r="Q5827" s="1" t="s">
        <v>42</v>
      </c>
      <c r="S5827" s="1" t="s">
        <v>42</v>
      </c>
      <c r="T5827" s="1" t="s">
        <v>273</v>
      </c>
      <c r="U5827" s="1">
        <v>235</v>
      </c>
      <c r="V5827" s="5">
        <v>44364</v>
      </c>
      <c r="W5827" s="5">
        <v>44053</v>
      </c>
      <c r="X5827" s="1">
        <v>1850990</v>
      </c>
      <c r="Y5827" s="1">
        <v>1850990</v>
      </c>
      <c r="Z5827" s="5">
        <v>44336</v>
      </c>
      <c r="AA5827" s="1">
        <v>1888385.36</v>
      </c>
      <c r="AB5827" s="1" t="s">
        <v>4148</v>
      </c>
      <c r="AC5827" s="5">
        <v>44358</v>
      </c>
      <c r="AF5827" s="1">
        <v>10038</v>
      </c>
      <c r="AI5827" s="1" t="s">
        <v>111</v>
      </c>
      <c r="AJ5827" s="1">
        <v>2020</v>
      </c>
      <c r="AK5827" s="1" t="s">
        <v>46</v>
      </c>
      <c r="AL5827" s="1">
        <v>244</v>
      </c>
    </row>
    <row r="5828" spans="1:38" x14ac:dyDescent="0.2">
      <c r="A5828" s="2" t="str">
        <f>HYPERLINK("https://www.compass.com/listing/50-west-street-unit-32d-manhattan-ny-10006/4852274594335168401/","50 West St, Unit 32D")</f>
        <v>50 West St, Unit 32D</v>
      </c>
      <c r="B5828" s="2" t="str">
        <f>HYPERLINK("https://www.compass.com/building/50-west-st-manhattan-ny-10006/281896342152815429/","50 West St")</f>
        <v>50 West St</v>
      </c>
      <c r="C5828" s="1" t="s">
        <v>96</v>
      </c>
      <c r="D5828" s="1" t="s">
        <v>41</v>
      </c>
      <c r="E5828" s="3">
        <v>5990000</v>
      </c>
      <c r="F5828" s="1">
        <v>2517.8646490121901</v>
      </c>
      <c r="G5828" s="1">
        <v>5</v>
      </c>
      <c r="H5828" s="1">
        <v>3</v>
      </c>
      <c r="I5828" s="1">
        <v>3</v>
      </c>
      <c r="J5828" s="1">
        <v>3</v>
      </c>
      <c r="K5828" s="1">
        <v>3</v>
      </c>
      <c r="M5828" s="4">
        <v>2379</v>
      </c>
      <c r="N5828" s="1">
        <v>2899.15</v>
      </c>
      <c r="O5828" s="1">
        <v>6132.03</v>
      </c>
      <c r="P5828" s="1">
        <v>3232.9166666666601</v>
      </c>
      <c r="Q5828" s="1" t="s">
        <v>42</v>
      </c>
      <c r="S5828" s="1" t="s">
        <v>42</v>
      </c>
      <c r="T5828" s="1" t="s">
        <v>273</v>
      </c>
      <c r="U5828" s="1">
        <v>78</v>
      </c>
      <c r="V5828" s="5">
        <v>43676</v>
      </c>
      <c r="W5828" s="5">
        <v>41920</v>
      </c>
      <c r="X5828" s="1">
        <v>5760000</v>
      </c>
      <c r="Y5828" s="1">
        <v>5990000</v>
      </c>
      <c r="Z5828" s="5">
        <v>42238</v>
      </c>
      <c r="AA5828" s="1">
        <v>5990000</v>
      </c>
      <c r="AB5828" s="1" t="s">
        <v>275</v>
      </c>
      <c r="AC5828" s="5">
        <v>42903</v>
      </c>
      <c r="AF5828" s="1">
        <v>10006</v>
      </c>
      <c r="AI5828" s="1" t="s">
        <v>97</v>
      </c>
      <c r="AJ5828" s="1">
        <v>2016</v>
      </c>
      <c r="AK5828" s="1" t="s">
        <v>46</v>
      </c>
      <c r="AL5828" s="1">
        <v>186</v>
      </c>
    </row>
    <row r="5829" spans="1:38" x14ac:dyDescent="0.2">
      <c r="A5829" s="2" t="str">
        <f>HYPERLINK("https://www.compass.com/listing/130-william-street-unit-43b-manhattan-ny-10038/755012859737113129/","130 William St, Unit 43B")</f>
        <v>130 William St, Unit 43B</v>
      </c>
      <c r="B5829" s="2" t="str">
        <f>HYPERLINK("https://www.compass.com/building/130-william-st-manhattan-ny-10038/282029682239486757/","130 William St")</f>
        <v>130 William St</v>
      </c>
      <c r="C5829" s="1" t="s">
        <v>96</v>
      </c>
      <c r="D5829" s="1" t="s">
        <v>41</v>
      </c>
      <c r="E5829" s="3">
        <v>2938659</v>
      </c>
      <c r="F5829" s="1">
        <v>2326.7294695170199</v>
      </c>
      <c r="G5829" s="1">
        <v>4</v>
      </c>
      <c r="H5829" s="1">
        <v>2</v>
      </c>
      <c r="I5829" s="1">
        <v>3</v>
      </c>
      <c r="J5829" s="1">
        <v>2.5</v>
      </c>
      <c r="K5829" s="1">
        <v>2</v>
      </c>
      <c r="L5829" s="1">
        <v>1</v>
      </c>
      <c r="M5829" s="4">
        <v>1263</v>
      </c>
      <c r="N5829" s="1">
        <v>931.1</v>
      </c>
      <c r="O5829" s="1">
        <v>2734.95</v>
      </c>
      <c r="P5829" s="1">
        <v>1803.8333333333301</v>
      </c>
      <c r="Q5829" s="1" t="s">
        <v>42</v>
      </c>
      <c r="S5829" s="1" t="s">
        <v>42</v>
      </c>
      <c r="T5829" s="1" t="s">
        <v>273</v>
      </c>
      <c r="V5829" s="5">
        <v>44336</v>
      </c>
      <c r="W5829" s="5">
        <v>44293</v>
      </c>
      <c r="X5829" s="1">
        <v>2885990</v>
      </c>
      <c r="Y5829" s="1">
        <v>2885990</v>
      </c>
      <c r="Z5829" s="5">
        <v>44294</v>
      </c>
      <c r="AA5829" s="1">
        <v>2938659.32</v>
      </c>
      <c r="AB5829" s="1" t="s">
        <v>4149</v>
      </c>
      <c r="AC5829" s="5">
        <v>44334</v>
      </c>
      <c r="AF5829" s="1">
        <v>10038</v>
      </c>
      <c r="AI5829" s="1" t="s">
        <v>111</v>
      </c>
      <c r="AJ5829" s="1">
        <v>2020</v>
      </c>
      <c r="AK5829" s="1" t="s">
        <v>46</v>
      </c>
      <c r="AL5829" s="1">
        <v>244</v>
      </c>
    </row>
    <row r="5830" spans="1:38" x14ac:dyDescent="0.2">
      <c r="A5830" s="2" t="str">
        <f>HYPERLINK("https://www.compass.com/listing/252-south-street-unit-24k-manhattan-ny-10002/157041484204451393/","252 South St, Unit 24K")</f>
        <v>252 South St, Unit 24K</v>
      </c>
      <c r="B5830" s="2" t="str">
        <f>HYPERLINK("https://www.compass.com/building/one-manhattan-square-manhattan-ny/294844950218926165/","One Manhattan Square")</f>
        <v>One Manhattan Square</v>
      </c>
      <c r="C5830" s="1" t="s">
        <v>47</v>
      </c>
      <c r="D5830" s="1" t="s">
        <v>41</v>
      </c>
      <c r="E5830" s="3">
        <v>1354040</v>
      </c>
      <c r="F5830" s="1">
        <v>1948.25899280575</v>
      </c>
      <c r="G5830" s="1">
        <v>3</v>
      </c>
      <c r="H5830" s="1">
        <v>1</v>
      </c>
      <c r="I5830" s="1">
        <v>1</v>
      </c>
      <c r="J5830" s="1">
        <v>1</v>
      </c>
      <c r="K5830" s="1">
        <v>1</v>
      </c>
      <c r="M5830" s="1">
        <v>695</v>
      </c>
      <c r="N5830" s="1">
        <v>791.2</v>
      </c>
      <c r="O5830" s="1">
        <v>804.48</v>
      </c>
      <c r="P5830" s="1">
        <v>13.25</v>
      </c>
      <c r="Q5830" s="1" t="s">
        <v>42</v>
      </c>
      <c r="S5830" s="1" t="s">
        <v>42</v>
      </c>
      <c r="T5830" s="1" t="s">
        <v>273</v>
      </c>
      <c r="U5830" s="1">
        <v>1</v>
      </c>
      <c r="V5830" s="5">
        <v>43683</v>
      </c>
      <c r="W5830" s="5">
        <v>43469</v>
      </c>
      <c r="X5830" s="1">
        <v>1365000</v>
      </c>
      <c r="Y5830" s="1">
        <v>1365000</v>
      </c>
      <c r="Z5830" s="5">
        <v>43470</v>
      </c>
      <c r="AA5830" s="1">
        <v>1354040</v>
      </c>
      <c r="AB5830" s="1" t="s">
        <v>4150</v>
      </c>
      <c r="AC5830" s="5">
        <v>43607</v>
      </c>
      <c r="AF5830" s="1">
        <v>10002</v>
      </c>
      <c r="AI5830" s="1" t="s">
        <v>66</v>
      </c>
      <c r="AJ5830" s="1">
        <v>2019</v>
      </c>
      <c r="AK5830" s="1" t="s">
        <v>46</v>
      </c>
      <c r="AL5830" s="1">
        <v>787</v>
      </c>
    </row>
    <row r="5831" spans="1:38" x14ac:dyDescent="0.2">
      <c r="A5831" s="2" t="str">
        <f>HYPERLINK("https://www.compass.com/listing/130-william-street-unit-23c-manhattan-ny-10038/631986258617661337/","130 William St, Unit 23C")</f>
        <v>130 William St, Unit 23C</v>
      </c>
      <c r="B5831" s="2" t="str">
        <f t="shared" ref="B5831:B5836" si="975">HYPERLINK("https://www.compass.com/building/130-william-st-manhattan-ny-10038/282029682239486757/","130 William St")</f>
        <v>130 William St</v>
      </c>
      <c r="C5831" s="1" t="s">
        <v>96</v>
      </c>
      <c r="D5831" s="1" t="s">
        <v>41</v>
      </c>
      <c r="E5831" s="3">
        <v>2073707</v>
      </c>
      <c r="F5831" s="1">
        <v>1999.7173095467599</v>
      </c>
      <c r="G5831" s="1">
        <v>4</v>
      </c>
      <c r="H5831" s="1">
        <v>2</v>
      </c>
      <c r="I5831" s="1">
        <v>2</v>
      </c>
      <c r="J5831" s="1">
        <v>2</v>
      </c>
      <c r="K5831" s="1">
        <v>2</v>
      </c>
      <c r="M5831" s="4">
        <v>1037</v>
      </c>
      <c r="N5831" s="1">
        <v>732.54</v>
      </c>
      <c r="O5831" s="1">
        <v>2151.71</v>
      </c>
      <c r="P5831" s="1">
        <v>1419.1666666666599</v>
      </c>
      <c r="Q5831" s="1" t="s">
        <v>42</v>
      </c>
      <c r="S5831" s="1" t="s">
        <v>42</v>
      </c>
      <c r="T5831" s="1" t="s">
        <v>273</v>
      </c>
      <c r="V5831" s="5">
        <v>44237</v>
      </c>
      <c r="W5831" s="5">
        <v>44123</v>
      </c>
      <c r="X5831" s="1">
        <v>1995990</v>
      </c>
      <c r="Y5831" s="1">
        <v>1995990</v>
      </c>
      <c r="Z5831" s="5">
        <v>44124</v>
      </c>
      <c r="AA5831" s="1">
        <v>2073706.85</v>
      </c>
      <c r="AB5831" s="1" t="s">
        <v>4141</v>
      </c>
      <c r="AC5831" s="5">
        <v>44224</v>
      </c>
      <c r="AF5831" s="1">
        <v>10038</v>
      </c>
      <c r="AI5831" s="1" t="s">
        <v>111</v>
      </c>
      <c r="AJ5831" s="1">
        <v>2020</v>
      </c>
      <c r="AK5831" s="1" t="s">
        <v>46</v>
      </c>
      <c r="AL5831" s="1">
        <v>244</v>
      </c>
    </row>
    <row r="5832" spans="1:38" x14ac:dyDescent="0.2">
      <c r="A5832" s="2" t="str">
        <f>HYPERLINK("https://www.compass.com/listing/130-william-street-unit-24c-manhattan-ny-10038/208638286854398289/","130 William St, Unit 24C")</f>
        <v>130 William St, Unit 24C</v>
      </c>
      <c r="B5832" s="2" t="str">
        <f t="shared" si="975"/>
        <v>130 William St</v>
      </c>
      <c r="C5832" s="1" t="s">
        <v>96</v>
      </c>
      <c r="D5832" s="1" t="s">
        <v>41</v>
      </c>
      <c r="E5832" s="3">
        <v>2025849</v>
      </c>
      <c r="F5832" s="1">
        <v>1953.5671263259401</v>
      </c>
      <c r="G5832" s="1">
        <v>4</v>
      </c>
      <c r="H5832" s="1">
        <v>2</v>
      </c>
      <c r="I5832" s="1">
        <v>2</v>
      </c>
      <c r="J5832" s="1">
        <v>2</v>
      </c>
      <c r="K5832" s="1">
        <v>2</v>
      </c>
      <c r="M5832" s="4">
        <v>1037</v>
      </c>
      <c r="N5832" s="1">
        <v>734.58</v>
      </c>
      <c r="O5832" s="1">
        <v>2157.6999999999998</v>
      </c>
      <c r="P5832" s="1">
        <v>1423.0833333333301</v>
      </c>
      <c r="Q5832" s="1" t="s">
        <v>42</v>
      </c>
      <c r="S5832" s="1" t="s">
        <v>42</v>
      </c>
      <c r="T5832" s="1" t="s">
        <v>273</v>
      </c>
      <c r="V5832" s="5">
        <v>44224</v>
      </c>
      <c r="W5832" s="5">
        <v>43539</v>
      </c>
      <c r="X5832" s="1">
        <v>1985990</v>
      </c>
      <c r="Y5832" s="1">
        <v>1985990</v>
      </c>
      <c r="Z5832" s="5">
        <v>44098</v>
      </c>
      <c r="AA5832" s="1">
        <v>2025849.11</v>
      </c>
      <c r="AB5832" s="1" t="s">
        <v>4151</v>
      </c>
      <c r="AC5832" s="5">
        <v>44207</v>
      </c>
      <c r="AF5832" s="1">
        <v>10038</v>
      </c>
      <c r="AI5832" s="1" t="s">
        <v>111</v>
      </c>
      <c r="AJ5832" s="1">
        <v>2020</v>
      </c>
      <c r="AK5832" s="1" t="s">
        <v>46</v>
      </c>
      <c r="AL5832" s="1">
        <v>244</v>
      </c>
    </row>
    <row r="5833" spans="1:38" x14ac:dyDescent="0.2">
      <c r="A5833" s="2" t="str">
        <f>HYPERLINK("https://www.compass.com/listing/130-william-street-unit-17f-manhattan-ny-10038/305015784417880177/","130 William St, Unit 17F")</f>
        <v>130 William St, Unit 17F</v>
      </c>
      <c r="B5833" s="2" t="str">
        <f t="shared" si="975"/>
        <v>130 William St</v>
      </c>
      <c r="C5833" s="1" t="s">
        <v>96</v>
      </c>
      <c r="D5833" s="1" t="s">
        <v>41</v>
      </c>
      <c r="E5833" s="3">
        <v>2239682</v>
      </c>
      <c r="F5833" s="1">
        <v>1589.55401703335</v>
      </c>
      <c r="G5833" s="1">
        <v>4</v>
      </c>
      <c r="H5833" s="1">
        <v>2</v>
      </c>
      <c r="I5833" s="1">
        <v>3</v>
      </c>
      <c r="J5833" s="1">
        <v>2.5</v>
      </c>
      <c r="K5833" s="1">
        <v>2</v>
      </c>
      <c r="L5833" s="1">
        <v>1</v>
      </c>
      <c r="M5833" s="4">
        <v>1409</v>
      </c>
      <c r="N5833" s="1">
        <v>953.12</v>
      </c>
      <c r="O5833" s="1">
        <v>2799.62</v>
      </c>
      <c r="P5833" s="1">
        <v>1846.5</v>
      </c>
      <c r="Q5833" s="1" t="s">
        <v>42</v>
      </c>
      <c r="S5833" s="1" t="s">
        <v>42</v>
      </c>
      <c r="T5833" s="1" t="s">
        <v>273</v>
      </c>
      <c r="V5833" s="5">
        <v>44394</v>
      </c>
      <c r="W5833" s="5">
        <v>43672</v>
      </c>
      <c r="X5833" s="1">
        <v>2195990</v>
      </c>
      <c r="Y5833" s="1">
        <v>2195990</v>
      </c>
      <c r="Z5833" s="5">
        <v>44110</v>
      </c>
      <c r="AA5833" s="1">
        <v>2239681.61</v>
      </c>
      <c r="AB5833" s="1" t="s">
        <v>4152</v>
      </c>
      <c r="AC5833" s="5">
        <v>44391</v>
      </c>
      <c r="AF5833" s="1">
        <v>10038</v>
      </c>
      <c r="AI5833" s="1" t="s">
        <v>111</v>
      </c>
      <c r="AJ5833" s="1">
        <v>2020</v>
      </c>
      <c r="AK5833" s="1" t="s">
        <v>46</v>
      </c>
      <c r="AL5833" s="1">
        <v>244</v>
      </c>
    </row>
    <row r="5834" spans="1:38" x14ac:dyDescent="0.2">
      <c r="A5834" s="2" t="str">
        <f>HYPERLINK("https://www.compass.com/listing/130-william-street-unit-22c-manhattan-ny-10038/380408389029696113/","130 William St, Unit 22C")</f>
        <v>130 William St, Unit 22C</v>
      </c>
      <c r="B5834" s="2" t="str">
        <f t="shared" si="975"/>
        <v>130 William St</v>
      </c>
      <c r="C5834" s="1" t="s">
        <v>96</v>
      </c>
      <c r="D5834" s="1" t="s">
        <v>41</v>
      </c>
      <c r="E5834" s="3">
        <v>2093512</v>
      </c>
      <c r="F5834" s="1">
        <v>2018.8156412728999</v>
      </c>
      <c r="G5834" s="1">
        <v>4</v>
      </c>
      <c r="H5834" s="1">
        <v>2</v>
      </c>
      <c r="I5834" s="1">
        <v>2</v>
      </c>
      <c r="J5834" s="1">
        <v>2</v>
      </c>
      <c r="K5834" s="1">
        <v>2</v>
      </c>
      <c r="M5834" s="4">
        <v>1037</v>
      </c>
      <c r="N5834" s="1">
        <v>730.27</v>
      </c>
      <c r="O5834" s="1">
        <v>2145.04</v>
      </c>
      <c r="P5834" s="1">
        <v>1414.75</v>
      </c>
      <c r="Q5834" s="1" t="s">
        <v>42</v>
      </c>
      <c r="S5834" s="1" t="s">
        <v>42</v>
      </c>
      <c r="T5834" s="1" t="s">
        <v>273</v>
      </c>
      <c r="V5834" s="5">
        <v>44288</v>
      </c>
      <c r="W5834" s="5">
        <v>43776</v>
      </c>
      <c r="X5834" s="1">
        <v>1975990</v>
      </c>
      <c r="Y5834" s="1">
        <v>1975990</v>
      </c>
      <c r="AA5834" s="1">
        <v>2093511.82</v>
      </c>
      <c r="AB5834" s="1" t="s">
        <v>4138</v>
      </c>
      <c r="AC5834" s="5">
        <v>44329</v>
      </c>
      <c r="AF5834" s="1">
        <v>10038</v>
      </c>
      <c r="AI5834" s="1" t="s">
        <v>267</v>
      </c>
      <c r="AJ5834" s="1">
        <v>2020</v>
      </c>
      <c r="AK5834" s="1" t="s">
        <v>46</v>
      </c>
      <c r="AL5834" s="1">
        <v>244</v>
      </c>
    </row>
    <row r="5835" spans="1:38" x14ac:dyDescent="0.2">
      <c r="A5835" s="2" t="str">
        <f>HYPERLINK("https://www.compass.com/listing/130-william-street-unit-38c-manhattan-ny-10038/583251554206063289/","130 William St, Unit 38C")</f>
        <v>130 William St, Unit 38C</v>
      </c>
      <c r="B5835" s="2" t="str">
        <f t="shared" si="975"/>
        <v>130 William St</v>
      </c>
      <c r="C5835" s="1" t="s">
        <v>96</v>
      </c>
      <c r="D5835" s="1" t="s">
        <v>41</v>
      </c>
      <c r="E5835" s="3">
        <v>2478970</v>
      </c>
      <c r="F5835" s="1">
        <v>2338.6512830188599</v>
      </c>
      <c r="G5835" s="1">
        <v>4</v>
      </c>
      <c r="H5835" s="1">
        <v>2</v>
      </c>
      <c r="I5835" s="1">
        <v>2</v>
      </c>
      <c r="J5835" s="1">
        <v>2</v>
      </c>
      <c r="K5835" s="1">
        <v>2</v>
      </c>
      <c r="M5835" s="4">
        <v>1060</v>
      </c>
      <c r="N5835" s="1">
        <v>786.32</v>
      </c>
      <c r="O5835" s="1">
        <v>2309.6799999999998</v>
      </c>
      <c r="P5835" s="1">
        <v>1523.3333333333301</v>
      </c>
      <c r="Q5835" s="1" t="s">
        <v>42</v>
      </c>
      <c r="S5835" s="1" t="s">
        <v>42</v>
      </c>
      <c r="T5835" s="1" t="s">
        <v>273</v>
      </c>
      <c r="U5835" s="1">
        <v>236</v>
      </c>
      <c r="V5835" s="5">
        <v>44355</v>
      </c>
      <c r="W5835" s="5">
        <v>44056</v>
      </c>
      <c r="X5835" s="1">
        <v>2430990</v>
      </c>
      <c r="Y5835" s="1">
        <v>2430990</v>
      </c>
      <c r="Z5835" s="5">
        <v>44293</v>
      </c>
      <c r="AA5835" s="1">
        <v>2478970.36</v>
      </c>
      <c r="AB5835" s="1" t="s">
        <v>4153</v>
      </c>
      <c r="AC5835" s="5">
        <v>44351</v>
      </c>
      <c r="AF5835" s="1">
        <v>10038</v>
      </c>
      <c r="AI5835" s="1" t="s">
        <v>111</v>
      </c>
      <c r="AJ5835" s="1">
        <v>2020</v>
      </c>
      <c r="AK5835" s="1" t="s">
        <v>46</v>
      </c>
      <c r="AL5835" s="1">
        <v>244</v>
      </c>
    </row>
    <row r="5836" spans="1:38" x14ac:dyDescent="0.2">
      <c r="A5836" s="2" t="str">
        <f>HYPERLINK("https://www.compass.com/listing/130-william-street-unit-15f-manhattan-ny-10038/51122574817498801/","130 William St, Unit 15F")</f>
        <v>130 William St, Unit 15F</v>
      </c>
      <c r="B5836" s="2" t="str">
        <f t="shared" si="975"/>
        <v>130 William St</v>
      </c>
      <c r="C5836" s="1" t="s">
        <v>96</v>
      </c>
      <c r="D5836" s="1" t="s">
        <v>41</v>
      </c>
      <c r="E5836" s="3">
        <v>2204045</v>
      </c>
      <c r="F5836" s="1">
        <v>1564.26167494677</v>
      </c>
      <c r="G5836" s="1">
        <v>4.5</v>
      </c>
      <c r="H5836" s="1">
        <v>2</v>
      </c>
      <c r="I5836" s="1">
        <v>3</v>
      </c>
      <c r="J5836" s="1">
        <v>2.5</v>
      </c>
      <c r="K5836" s="1">
        <v>2</v>
      </c>
      <c r="L5836" s="1">
        <v>1</v>
      </c>
      <c r="M5836" s="4">
        <v>1409</v>
      </c>
      <c r="N5836" s="1">
        <v>949</v>
      </c>
      <c r="O5836" s="1">
        <v>2787</v>
      </c>
      <c r="P5836" s="1">
        <v>1838</v>
      </c>
      <c r="Q5836" s="1" t="s">
        <v>42</v>
      </c>
      <c r="S5836" s="1" t="s">
        <v>42</v>
      </c>
      <c r="T5836" s="1" t="s">
        <v>273</v>
      </c>
      <c r="V5836" s="5">
        <v>44407</v>
      </c>
      <c r="W5836" s="5">
        <v>43321</v>
      </c>
      <c r="X5836" s="1">
        <v>2135990</v>
      </c>
      <c r="Y5836" s="1">
        <v>2135990</v>
      </c>
      <c r="Z5836" s="5">
        <v>44103</v>
      </c>
      <c r="AA5836" s="1">
        <v>2204044.7000000002</v>
      </c>
      <c r="AB5836" s="1" t="s">
        <v>4154</v>
      </c>
      <c r="AC5836" s="5">
        <v>44405</v>
      </c>
      <c r="AF5836" s="1">
        <v>10038</v>
      </c>
      <c r="AI5836" s="1" t="s">
        <v>111</v>
      </c>
      <c r="AJ5836" s="1">
        <v>2020</v>
      </c>
      <c r="AK5836" s="1" t="s">
        <v>46</v>
      </c>
      <c r="AL5836" s="1">
        <v>244</v>
      </c>
    </row>
    <row r="5837" spans="1:38" x14ac:dyDescent="0.2">
      <c r="A5837" s="2" t="str">
        <f>HYPERLINK("https://www.compass.com/listing/252-south-street-unit-48l-manhattan-ny-10002/29513552117234001/","252 South St, Unit 48L")</f>
        <v>252 South St, Unit 48L</v>
      </c>
      <c r="B5837" s="2" t="str">
        <f>HYPERLINK("https://www.compass.com/building/one-manhattan-square-manhattan-ny/294844950218926165/","One Manhattan Square")</f>
        <v>One Manhattan Square</v>
      </c>
      <c r="C5837" s="1" t="s">
        <v>47</v>
      </c>
      <c r="D5837" s="1" t="s">
        <v>41</v>
      </c>
      <c r="E5837" s="3">
        <v>2565511</v>
      </c>
      <c r="F5837" s="1">
        <v>2284.51585040071</v>
      </c>
      <c r="G5837" s="1">
        <v>4</v>
      </c>
      <c r="H5837" s="1">
        <v>2</v>
      </c>
      <c r="I5837" s="1">
        <v>2</v>
      </c>
      <c r="J5837" s="1">
        <v>2</v>
      </c>
      <c r="M5837" s="4">
        <v>1123</v>
      </c>
      <c r="N5837" s="1">
        <v>1410</v>
      </c>
      <c r="O5837" s="1">
        <v>1434</v>
      </c>
      <c r="P5837" s="1">
        <v>24</v>
      </c>
      <c r="Q5837" s="1" t="s">
        <v>42</v>
      </c>
      <c r="S5837" s="1" t="s">
        <v>42</v>
      </c>
      <c r="T5837" s="1" t="s">
        <v>273</v>
      </c>
      <c r="U5837" s="1">
        <v>1</v>
      </c>
      <c r="V5837" s="5">
        <v>43760</v>
      </c>
      <c r="W5837" s="5">
        <v>42761</v>
      </c>
      <c r="X5837" s="1">
        <v>2648000</v>
      </c>
      <c r="Y5837" s="1">
        <v>2648000</v>
      </c>
      <c r="Z5837" s="5">
        <v>42762</v>
      </c>
      <c r="AA5837" s="1">
        <v>2565511.2999999998</v>
      </c>
      <c r="AB5837" s="1" t="s">
        <v>4155</v>
      </c>
      <c r="AC5837" s="5">
        <v>43745</v>
      </c>
      <c r="AF5837" s="1">
        <v>10002</v>
      </c>
      <c r="AI5837" s="1" t="s">
        <v>4032</v>
      </c>
      <c r="AJ5837" s="1">
        <v>2019</v>
      </c>
      <c r="AK5837" s="1" t="s">
        <v>46</v>
      </c>
      <c r="AL5837" s="1">
        <v>787</v>
      </c>
    </row>
    <row r="5838" spans="1:38" x14ac:dyDescent="0.2">
      <c r="A5838" s="2" t="str">
        <f>HYPERLINK("https://www.compass.com/listing/50-west-street-unit-51c-manhattan-ny-10006/29355231435326577/","50 West St, Unit 51C")</f>
        <v>50 West St, Unit 51C</v>
      </c>
      <c r="B5838" s="2" t="str">
        <f>HYPERLINK("https://www.compass.com/building/50-west-st-manhattan-ny-10006/281896342152815429/","50 West St")</f>
        <v>50 West St</v>
      </c>
      <c r="C5838" s="1" t="s">
        <v>96</v>
      </c>
      <c r="D5838" s="1" t="s">
        <v>41</v>
      </c>
      <c r="E5838" s="3">
        <v>11404400</v>
      </c>
      <c r="F5838" s="1">
        <v>4272.91120269764</v>
      </c>
      <c r="G5838" s="1">
        <v>6</v>
      </c>
      <c r="H5838" s="1">
        <v>4</v>
      </c>
      <c r="I5838" s="1">
        <v>4</v>
      </c>
      <c r="J5838" s="1">
        <v>4</v>
      </c>
      <c r="K5838" s="1">
        <v>4</v>
      </c>
      <c r="M5838" s="4">
        <v>2669</v>
      </c>
      <c r="N5838" s="1">
        <v>3504.58</v>
      </c>
      <c r="O5838" s="1">
        <v>7412.62</v>
      </c>
      <c r="P5838" s="1">
        <v>3908</v>
      </c>
      <c r="Q5838" s="1" t="s">
        <v>42</v>
      </c>
      <c r="S5838" s="1" t="s">
        <v>42</v>
      </c>
      <c r="T5838" s="1" t="s">
        <v>273</v>
      </c>
      <c r="U5838" s="1">
        <v>36</v>
      </c>
      <c r="V5838" s="5">
        <v>43650</v>
      </c>
      <c r="W5838" s="5">
        <v>42676</v>
      </c>
      <c r="X5838" s="1">
        <v>7625000</v>
      </c>
      <c r="Y5838" s="1">
        <v>7625000</v>
      </c>
      <c r="Z5838" s="5">
        <v>42712</v>
      </c>
      <c r="AA5838" s="1">
        <v>11404400</v>
      </c>
      <c r="AB5838" s="1" t="s">
        <v>275</v>
      </c>
      <c r="AC5838" s="5">
        <v>42959</v>
      </c>
      <c r="AF5838" s="1">
        <v>10006</v>
      </c>
      <c r="AI5838" s="1" t="s">
        <v>97</v>
      </c>
      <c r="AJ5838" s="1">
        <v>2016</v>
      </c>
      <c r="AK5838" s="1" t="s">
        <v>46</v>
      </c>
      <c r="AL5838" s="1">
        <v>186</v>
      </c>
    </row>
    <row r="5839" spans="1:38" x14ac:dyDescent="0.2">
      <c r="A5839" s="2" t="str">
        <f>HYPERLINK("https://www.compass.com/listing/252-south-street-unit-51a-manhattan-ny-10002/294123228517930433/","252 South St, Unit 51A")</f>
        <v>252 South St, Unit 51A</v>
      </c>
      <c r="B5839" s="2" t="str">
        <f t="shared" ref="B5839:B5843" si="976">HYPERLINK("https://www.compass.com/building/one-manhattan-square-manhattan-ny/294844950218926165/","One Manhattan Square")</f>
        <v>One Manhattan Square</v>
      </c>
      <c r="C5839" s="1" t="s">
        <v>47</v>
      </c>
      <c r="D5839" s="1" t="s">
        <v>41</v>
      </c>
      <c r="E5839" s="3">
        <v>2763931</v>
      </c>
      <c r="F5839" s="1">
        <v>2376.5528804815099</v>
      </c>
      <c r="G5839" s="1">
        <v>4</v>
      </c>
      <c r="H5839" s="1">
        <v>2</v>
      </c>
      <c r="I5839" s="1">
        <v>2</v>
      </c>
      <c r="J5839" s="1">
        <v>2</v>
      </c>
      <c r="K5839" s="1">
        <v>2</v>
      </c>
      <c r="M5839" s="4">
        <v>1163</v>
      </c>
      <c r="N5839" s="1">
        <v>1506.39</v>
      </c>
      <c r="O5839" s="1">
        <v>1530.18</v>
      </c>
      <c r="P5839" s="1">
        <v>23.75</v>
      </c>
      <c r="Q5839" s="1" t="s">
        <v>42</v>
      </c>
      <c r="S5839" s="1" t="s">
        <v>42</v>
      </c>
      <c r="T5839" s="1" t="s">
        <v>273</v>
      </c>
      <c r="U5839" s="1">
        <v>3</v>
      </c>
      <c r="V5839" s="5">
        <v>43752</v>
      </c>
      <c r="W5839" s="5">
        <v>43657</v>
      </c>
      <c r="X5839" s="1">
        <v>2839000</v>
      </c>
      <c r="Y5839" s="1">
        <v>2839000</v>
      </c>
      <c r="Z5839" s="5">
        <v>43660</v>
      </c>
      <c r="AA5839" s="1">
        <v>2763931</v>
      </c>
      <c r="AB5839" s="1" t="s">
        <v>4156</v>
      </c>
      <c r="AC5839" s="5">
        <v>43742</v>
      </c>
      <c r="AF5839" s="1">
        <v>10002</v>
      </c>
      <c r="AI5839" s="1" t="s">
        <v>66</v>
      </c>
      <c r="AJ5839" s="1">
        <v>2019</v>
      </c>
      <c r="AK5839" s="1" t="s">
        <v>46</v>
      </c>
      <c r="AL5839" s="1">
        <v>787</v>
      </c>
    </row>
    <row r="5840" spans="1:38" x14ac:dyDescent="0.2">
      <c r="A5840" s="2" t="str">
        <f>HYPERLINK("https://www.compass.com/listing/252-south-street-unit-52d-manhattan-ny-10002/29513545204985153/","252 South St, Unit 52D")</f>
        <v>252 South St, Unit 52D</v>
      </c>
      <c r="B5840" s="2" t="str">
        <f t="shared" si="976"/>
        <v>One Manhattan Square</v>
      </c>
      <c r="C5840" s="1" t="s">
        <v>47</v>
      </c>
      <c r="D5840" s="1" t="s">
        <v>41</v>
      </c>
      <c r="E5840" s="3">
        <v>2636126</v>
      </c>
      <c r="F5840" s="1">
        <v>2264.7126632302402</v>
      </c>
      <c r="G5840" s="1">
        <v>4</v>
      </c>
      <c r="H5840" s="1">
        <v>2</v>
      </c>
      <c r="I5840" s="1">
        <v>2</v>
      </c>
      <c r="J5840" s="1">
        <v>2</v>
      </c>
      <c r="M5840" s="4">
        <v>1164</v>
      </c>
      <c r="N5840" s="1">
        <v>1492</v>
      </c>
      <c r="O5840" s="1">
        <v>1517</v>
      </c>
      <c r="P5840" s="1">
        <v>25</v>
      </c>
      <c r="Q5840" s="1" t="s">
        <v>42</v>
      </c>
      <c r="S5840" s="1" t="s">
        <v>42</v>
      </c>
      <c r="T5840" s="1" t="s">
        <v>273</v>
      </c>
      <c r="U5840" s="1">
        <v>4</v>
      </c>
      <c r="V5840" s="5">
        <v>43747</v>
      </c>
      <c r="W5840" s="5">
        <v>42825</v>
      </c>
      <c r="X5840" s="1">
        <v>2721000</v>
      </c>
      <c r="Y5840" s="1">
        <v>2721000</v>
      </c>
      <c r="Z5840" s="5">
        <v>42829</v>
      </c>
      <c r="AA5840" s="1">
        <v>2636125.54</v>
      </c>
      <c r="AB5840" s="1" t="s">
        <v>4157</v>
      </c>
      <c r="AC5840" s="5">
        <v>43726</v>
      </c>
      <c r="AF5840" s="1">
        <v>10002</v>
      </c>
      <c r="AI5840" s="1" t="s">
        <v>66</v>
      </c>
      <c r="AJ5840" s="1">
        <v>2019</v>
      </c>
      <c r="AK5840" s="1" t="s">
        <v>46</v>
      </c>
      <c r="AL5840" s="1">
        <v>787</v>
      </c>
    </row>
    <row r="5841" spans="1:38" x14ac:dyDescent="0.2">
      <c r="A5841" s="2" t="str">
        <f>HYPERLINK("https://www.compass.com/listing/252-south-street-unit-8e-manhattan-ny-10002/29513551253207361/","252 South St, Unit 8E")</f>
        <v>252 South St, Unit 8E</v>
      </c>
      <c r="B5841" s="2" t="str">
        <f t="shared" si="976"/>
        <v>One Manhattan Square</v>
      </c>
      <c r="C5841" s="1" t="s">
        <v>47</v>
      </c>
      <c r="D5841" s="1" t="s">
        <v>41</v>
      </c>
      <c r="E5841" s="3">
        <v>2040500</v>
      </c>
      <c r="F5841" s="1">
        <v>1817.0080142475499</v>
      </c>
      <c r="G5841" s="1">
        <v>4</v>
      </c>
      <c r="H5841" s="1">
        <v>2</v>
      </c>
      <c r="I5841" s="1">
        <v>2</v>
      </c>
      <c r="J5841" s="1">
        <v>2</v>
      </c>
      <c r="M5841" s="4">
        <v>1123</v>
      </c>
      <c r="N5841" s="1">
        <v>1186</v>
      </c>
      <c r="O5841" s="1">
        <v>1206</v>
      </c>
      <c r="P5841" s="1">
        <v>20</v>
      </c>
      <c r="Q5841" s="1" t="s">
        <v>42</v>
      </c>
      <c r="S5841" s="1" t="s">
        <v>42</v>
      </c>
      <c r="T5841" s="1" t="s">
        <v>273</v>
      </c>
      <c r="U5841" s="1">
        <v>5</v>
      </c>
      <c r="V5841" s="5">
        <v>43683</v>
      </c>
      <c r="W5841" s="5">
        <v>42754</v>
      </c>
      <c r="X5841" s="1">
        <v>2083000</v>
      </c>
      <c r="Y5841" s="1">
        <v>2083000</v>
      </c>
      <c r="Z5841" s="5">
        <v>42759</v>
      </c>
      <c r="AA5841" s="1">
        <v>2040500</v>
      </c>
      <c r="AB5841" s="1" t="s">
        <v>4158</v>
      </c>
      <c r="AC5841" s="5">
        <v>43613</v>
      </c>
      <c r="AF5841" s="1">
        <v>10002</v>
      </c>
      <c r="AI5841" s="1" t="s">
        <v>4032</v>
      </c>
      <c r="AJ5841" s="1">
        <v>2019</v>
      </c>
      <c r="AK5841" s="1" t="s">
        <v>46</v>
      </c>
      <c r="AL5841" s="1">
        <v>787</v>
      </c>
    </row>
    <row r="5842" spans="1:38" x14ac:dyDescent="0.2">
      <c r="A5842" s="2" t="str">
        <f>HYPERLINK("https://www.compass.com/listing/252-south-street-unit-48j-manhattan-ny-10002/29513540851332929/","252 South St, Unit 48J")</f>
        <v>252 South St, Unit 48J</v>
      </c>
      <c r="B5842" s="2" t="str">
        <f t="shared" si="976"/>
        <v>One Manhattan Square</v>
      </c>
      <c r="C5842" s="1" t="s">
        <v>47</v>
      </c>
      <c r="D5842" s="1" t="s">
        <v>41</v>
      </c>
      <c r="E5842" s="3">
        <v>1449915</v>
      </c>
      <c r="F5842" s="1">
        <v>2086.2086330935199</v>
      </c>
      <c r="G5842" s="1">
        <v>3</v>
      </c>
      <c r="H5842" s="1">
        <v>1</v>
      </c>
      <c r="I5842" s="1">
        <v>1</v>
      </c>
      <c r="J5842" s="1">
        <v>1</v>
      </c>
      <c r="M5842" s="1">
        <v>695</v>
      </c>
      <c r="N5842" s="1">
        <v>865</v>
      </c>
      <c r="O5842" s="1">
        <v>880</v>
      </c>
      <c r="P5842" s="1">
        <v>15</v>
      </c>
      <c r="Q5842" s="1" t="s">
        <v>42</v>
      </c>
      <c r="S5842" s="1" t="s">
        <v>42</v>
      </c>
      <c r="T5842" s="1" t="s">
        <v>273</v>
      </c>
      <c r="U5842" s="1">
        <v>3</v>
      </c>
      <c r="V5842" s="5">
        <v>43696</v>
      </c>
      <c r="W5842" s="5">
        <v>42886</v>
      </c>
      <c r="X5842" s="1">
        <v>1482000</v>
      </c>
      <c r="Y5842" s="1">
        <v>1482000</v>
      </c>
      <c r="Z5842" s="5">
        <v>42889</v>
      </c>
      <c r="AA5842" s="1">
        <v>1449915</v>
      </c>
      <c r="AB5842" s="1" t="s">
        <v>4159</v>
      </c>
      <c r="AC5842" s="5">
        <v>43636</v>
      </c>
      <c r="AF5842" s="1">
        <v>10002</v>
      </c>
      <c r="AI5842" s="1" t="s">
        <v>66</v>
      </c>
      <c r="AJ5842" s="1">
        <v>2019</v>
      </c>
      <c r="AK5842" s="1" t="s">
        <v>46</v>
      </c>
      <c r="AL5842" s="1">
        <v>787</v>
      </c>
    </row>
    <row r="5843" spans="1:38" x14ac:dyDescent="0.2">
      <c r="A5843" s="2" t="str">
        <f>HYPERLINK("https://www.compass.com/listing/252-south-street-unit-40m-manhattan-ny-10002/650202256038250545/","252 South St, Unit 40M")</f>
        <v>252 South St, Unit 40M</v>
      </c>
      <c r="B5843" s="2" t="str">
        <f t="shared" si="976"/>
        <v>One Manhattan Square</v>
      </c>
      <c r="C5843" s="1" t="s">
        <v>47</v>
      </c>
      <c r="D5843" s="1" t="s">
        <v>41</v>
      </c>
      <c r="E5843" s="3">
        <v>1458530</v>
      </c>
      <c r="F5843" s="1">
        <v>2098.6036834532301</v>
      </c>
      <c r="H5843" s="1">
        <v>1</v>
      </c>
      <c r="J5843" s="1">
        <v>1</v>
      </c>
      <c r="K5843" s="1">
        <v>1</v>
      </c>
      <c r="M5843" s="1">
        <v>695</v>
      </c>
      <c r="N5843" s="1">
        <v>859</v>
      </c>
      <c r="O5843" s="1">
        <v>873</v>
      </c>
      <c r="P5843" s="1">
        <v>14</v>
      </c>
      <c r="Q5843" s="1" t="s">
        <v>42</v>
      </c>
      <c r="S5843" s="1" t="s">
        <v>42</v>
      </c>
      <c r="T5843" s="1" t="s">
        <v>273</v>
      </c>
      <c r="AA5843" s="1">
        <v>1458529.56</v>
      </c>
      <c r="AB5843" s="1" t="s">
        <v>4160</v>
      </c>
      <c r="AC5843" s="5">
        <v>44133</v>
      </c>
      <c r="AF5843" s="1">
        <v>10002</v>
      </c>
      <c r="AI5843" s="1" t="s">
        <v>66</v>
      </c>
      <c r="AJ5843" s="1">
        <v>2019</v>
      </c>
      <c r="AK5843" s="1" t="s">
        <v>49</v>
      </c>
      <c r="AL5843" s="1">
        <v>787</v>
      </c>
    </row>
    <row r="5844" spans="1:38" x14ac:dyDescent="0.2">
      <c r="A5844" s="2" t="str">
        <f>HYPERLINK("https://www.compass.com/listing/130-william-street-unit-45b-manhattan-ny-10038/760954350241752825/","130 William St, Unit 45B")</f>
        <v>130 William St, Unit 45B</v>
      </c>
      <c r="B5844" s="2" t="str">
        <f>HYPERLINK("https://www.compass.com/building/130-william-st-manhattan-ny-10038/282029682239486757/","130 William St")</f>
        <v>130 William St</v>
      </c>
      <c r="C5844" s="1" t="s">
        <v>96</v>
      </c>
      <c r="D5844" s="1" t="s">
        <v>41</v>
      </c>
      <c r="E5844" s="3">
        <v>3214896</v>
      </c>
      <c r="F5844" s="1">
        <v>2268.8044812985099</v>
      </c>
      <c r="G5844" s="1">
        <v>4.5</v>
      </c>
      <c r="H5844" s="1">
        <v>2</v>
      </c>
      <c r="I5844" s="1">
        <v>3</v>
      </c>
      <c r="J5844" s="1">
        <v>2.5</v>
      </c>
      <c r="K5844" s="1">
        <v>2</v>
      </c>
      <c r="L5844" s="1">
        <v>1</v>
      </c>
      <c r="M5844" s="4">
        <v>1417</v>
      </c>
      <c r="N5844" s="1">
        <v>1042</v>
      </c>
      <c r="O5844" s="1">
        <v>3061</v>
      </c>
      <c r="P5844" s="1">
        <v>2019</v>
      </c>
      <c r="Q5844" s="1" t="s">
        <v>42</v>
      </c>
      <c r="S5844" s="1" t="s">
        <v>42</v>
      </c>
      <c r="T5844" s="1" t="s">
        <v>273</v>
      </c>
      <c r="U5844" s="1">
        <v>25</v>
      </c>
      <c r="V5844" s="5">
        <v>44386</v>
      </c>
      <c r="W5844" s="5">
        <v>44301</v>
      </c>
      <c r="X5844" s="1">
        <v>3145990</v>
      </c>
      <c r="Y5844" s="1">
        <v>3145990</v>
      </c>
      <c r="Z5844" s="5">
        <v>44327</v>
      </c>
      <c r="AA5844" s="1">
        <v>3214895.95</v>
      </c>
      <c r="AB5844" s="1" t="s">
        <v>4161</v>
      </c>
      <c r="AC5844" s="5">
        <v>44383</v>
      </c>
      <c r="AF5844" s="1">
        <v>10038</v>
      </c>
      <c r="AI5844" s="1" t="s">
        <v>111</v>
      </c>
      <c r="AJ5844" s="1">
        <v>2020</v>
      </c>
      <c r="AK5844" s="1" t="s">
        <v>46</v>
      </c>
      <c r="AL5844" s="1">
        <v>244</v>
      </c>
    </row>
    <row r="5845" spans="1:38" x14ac:dyDescent="0.2">
      <c r="A5845" s="2" t="str">
        <f>HYPERLINK("https://www.compass.com/listing/252-south-street-unit-42j-manhattan-ny-10002/211575845666486033/","252 South St, Unit 42J")</f>
        <v>252 South St, Unit 42J</v>
      </c>
      <c r="B5845" s="2" t="str">
        <f t="shared" ref="B5845:B5848" si="977">HYPERLINK("https://www.compass.com/building/one-manhattan-square-manhattan-ny/294844950218926165/","One Manhattan Square")</f>
        <v>One Manhattan Square</v>
      </c>
      <c r="C5845" s="1" t="s">
        <v>47</v>
      </c>
      <c r="D5845" s="1" t="s">
        <v>41</v>
      </c>
      <c r="E5845" s="3">
        <v>1429550</v>
      </c>
      <c r="F5845" s="1">
        <v>2056.9064748201399</v>
      </c>
      <c r="G5845" s="1">
        <v>3</v>
      </c>
      <c r="H5845" s="1">
        <v>1</v>
      </c>
      <c r="I5845" s="1">
        <v>1</v>
      </c>
      <c r="J5845" s="1">
        <v>1</v>
      </c>
      <c r="K5845" s="1">
        <v>1</v>
      </c>
      <c r="M5845" s="1">
        <v>695</v>
      </c>
      <c r="N5845" s="1">
        <v>854.42</v>
      </c>
      <c r="O5845" s="1">
        <v>868.81</v>
      </c>
      <c r="P5845" s="1">
        <v>14.4166666666666</v>
      </c>
      <c r="Q5845" s="1" t="s">
        <v>42</v>
      </c>
      <c r="S5845" s="1" t="s">
        <v>42</v>
      </c>
      <c r="T5845" s="1" t="s">
        <v>273</v>
      </c>
      <c r="U5845" s="1">
        <v>4</v>
      </c>
      <c r="V5845" s="5">
        <v>43696</v>
      </c>
      <c r="W5845" s="5">
        <v>43544</v>
      </c>
      <c r="X5845" s="1">
        <v>1465000</v>
      </c>
      <c r="Y5845" s="1">
        <v>1465000</v>
      </c>
      <c r="Z5845" s="5">
        <v>43548</v>
      </c>
      <c r="AA5845" s="1">
        <v>1429550</v>
      </c>
      <c r="AB5845" s="1" t="s">
        <v>4162</v>
      </c>
      <c r="AC5845" s="5">
        <v>43668</v>
      </c>
      <c r="AF5845" s="1">
        <v>10002</v>
      </c>
      <c r="AI5845" s="1" t="s">
        <v>66</v>
      </c>
      <c r="AJ5845" s="1">
        <v>2019</v>
      </c>
      <c r="AK5845" s="1" t="s">
        <v>46</v>
      </c>
      <c r="AL5845" s="1">
        <v>787</v>
      </c>
    </row>
    <row r="5846" spans="1:38" x14ac:dyDescent="0.2">
      <c r="A5846" s="2" t="str">
        <f>HYPERLINK("https://www.compass.com/listing/252-south-street-unit-22n-manhattan-ny-10002/29513554675759537/","252 South St, Unit 22N")</f>
        <v>252 South St, Unit 22N</v>
      </c>
      <c r="B5846" s="2" t="str">
        <f t="shared" si="977"/>
        <v>One Manhattan Square</v>
      </c>
      <c r="C5846" s="1" t="s">
        <v>47</v>
      </c>
      <c r="D5846" s="1" t="s">
        <v>41</v>
      </c>
      <c r="E5846" s="3">
        <v>1396966</v>
      </c>
      <c r="F5846" s="1">
        <v>2010.0230215827301</v>
      </c>
      <c r="G5846" s="1">
        <v>3</v>
      </c>
      <c r="H5846" s="1">
        <v>1</v>
      </c>
      <c r="I5846" s="1">
        <v>1</v>
      </c>
      <c r="J5846" s="1">
        <v>1</v>
      </c>
      <c r="M5846" s="1">
        <v>695</v>
      </c>
      <c r="N5846" s="1">
        <v>781</v>
      </c>
      <c r="O5846" s="1">
        <v>794</v>
      </c>
      <c r="P5846" s="1">
        <v>13</v>
      </c>
      <c r="Q5846" s="1" t="s">
        <v>42</v>
      </c>
      <c r="S5846" s="1" t="s">
        <v>42</v>
      </c>
      <c r="T5846" s="1" t="s">
        <v>273</v>
      </c>
      <c r="U5846" s="1">
        <v>4</v>
      </c>
      <c r="V5846" s="5">
        <v>43696</v>
      </c>
      <c r="W5846" s="5">
        <v>42686</v>
      </c>
      <c r="X5846" s="1">
        <v>1538000</v>
      </c>
      <c r="Y5846" s="1">
        <v>1538000</v>
      </c>
      <c r="Z5846" s="5">
        <v>42690</v>
      </c>
      <c r="AA5846" s="1">
        <v>1396966</v>
      </c>
      <c r="AB5846" s="1" t="s">
        <v>4163</v>
      </c>
      <c r="AC5846" s="5">
        <v>43601</v>
      </c>
      <c r="AF5846" s="1">
        <v>10002</v>
      </c>
      <c r="AI5846" s="1" t="s">
        <v>66</v>
      </c>
      <c r="AJ5846" s="1">
        <v>2019</v>
      </c>
      <c r="AK5846" s="1" t="s">
        <v>46</v>
      </c>
      <c r="AL5846" s="1">
        <v>787</v>
      </c>
    </row>
    <row r="5847" spans="1:38" x14ac:dyDescent="0.2">
      <c r="A5847" s="2" t="str">
        <f>HYPERLINK("https://www.compass.com/listing/252-south-street-unit-46h-manhattan-ny-10002/384082273713136529/","252 South St, Unit 46H")</f>
        <v>252 South St, Unit 46H</v>
      </c>
      <c r="B5847" s="2" t="str">
        <f t="shared" si="977"/>
        <v>One Manhattan Square</v>
      </c>
      <c r="C5847" s="1" t="s">
        <v>47</v>
      </c>
      <c r="D5847" s="1" t="s">
        <v>41</v>
      </c>
      <c r="E5847" s="3">
        <v>1431829</v>
      </c>
      <c r="F5847" s="1">
        <v>2057.22540229885</v>
      </c>
      <c r="G5847" s="1">
        <v>3</v>
      </c>
      <c r="H5847" s="1">
        <v>1</v>
      </c>
      <c r="I5847" s="1">
        <v>1</v>
      </c>
      <c r="J5847" s="1">
        <v>1</v>
      </c>
      <c r="K5847" s="1">
        <v>1</v>
      </c>
      <c r="M5847" s="1">
        <v>696</v>
      </c>
      <c r="N5847" s="1">
        <v>879.24</v>
      </c>
      <c r="O5847" s="1">
        <v>893.12</v>
      </c>
      <c r="P5847" s="1">
        <v>13.9166666666666</v>
      </c>
      <c r="Q5847" s="1" t="s">
        <v>42</v>
      </c>
      <c r="S5847" s="1" t="s">
        <v>42</v>
      </c>
      <c r="T5847" s="1" t="s">
        <v>273</v>
      </c>
      <c r="U5847" s="1">
        <v>2</v>
      </c>
      <c r="V5847" s="5">
        <v>43868</v>
      </c>
      <c r="W5847" s="5">
        <v>43782</v>
      </c>
      <c r="X5847" s="1">
        <v>1482000</v>
      </c>
      <c r="Y5847" s="1">
        <v>1407900</v>
      </c>
      <c r="Z5847" s="5">
        <v>43784</v>
      </c>
      <c r="AA5847" s="1">
        <v>1431828.88</v>
      </c>
      <c r="AB5847" s="1" t="s">
        <v>4164</v>
      </c>
      <c r="AC5847" s="5">
        <v>43867</v>
      </c>
      <c r="AF5847" s="1">
        <v>10002</v>
      </c>
      <c r="AI5847" s="1" t="s">
        <v>66</v>
      </c>
      <c r="AJ5847" s="1">
        <v>2019</v>
      </c>
      <c r="AK5847" s="1" t="s">
        <v>46</v>
      </c>
      <c r="AL5847" s="1">
        <v>787</v>
      </c>
    </row>
    <row r="5848" spans="1:38" x14ac:dyDescent="0.2">
      <c r="A5848" s="2" t="str">
        <f>HYPERLINK("https://www.compass.com/listing/252-south-street-unit-37h-manhattan-ny-10002/88202084507221393/","252 South St, Unit 37H")</f>
        <v>252 South St, Unit 37H</v>
      </c>
      <c r="B5848" s="2" t="str">
        <f t="shared" si="977"/>
        <v>One Manhattan Square</v>
      </c>
      <c r="C5848" s="1" t="s">
        <v>47</v>
      </c>
      <c r="D5848" s="1" t="s">
        <v>41</v>
      </c>
      <c r="E5848" s="3">
        <v>1383729</v>
      </c>
      <c r="F5848" s="1">
        <v>1988.1160201149401</v>
      </c>
      <c r="G5848" s="1">
        <v>3</v>
      </c>
      <c r="H5848" s="1">
        <v>1</v>
      </c>
      <c r="I5848" s="1">
        <v>1</v>
      </c>
      <c r="J5848" s="1">
        <v>1</v>
      </c>
      <c r="K5848" s="1">
        <v>1</v>
      </c>
      <c r="M5848" s="1">
        <v>696</v>
      </c>
      <c r="N5848" s="1">
        <v>696</v>
      </c>
      <c r="O5848" s="1">
        <v>710</v>
      </c>
      <c r="P5848" s="1">
        <v>14</v>
      </c>
      <c r="Q5848" s="1" t="s">
        <v>42</v>
      </c>
      <c r="S5848" s="1" t="s">
        <v>42</v>
      </c>
      <c r="T5848" s="1" t="s">
        <v>273</v>
      </c>
      <c r="U5848" s="1">
        <v>2</v>
      </c>
      <c r="V5848" s="5">
        <v>43685</v>
      </c>
      <c r="W5848" s="5">
        <v>43374</v>
      </c>
      <c r="X5848" s="1">
        <v>1431000</v>
      </c>
      <c r="Y5848" s="1">
        <v>1355000</v>
      </c>
      <c r="Z5848" s="5">
        <v>43376</v>
      </c>
      <c r="AA5848" s="1">
        <v>1383728.75</v>
      </c>
      <c r="AB5848" s="1" t="s">
        <v>4165</v>
      </c>
      <c r="AC5848" s="5">
        <v>43598</v>
      </c>
      <c r="AF5848" s="1">
        <v>10002</v>
      </c>
      <c r="AI5848" s="1" t="s">
        <v>66</v>
      </c>
      <c r="AJ5848" s="1">
        <v>2019</v>
      </c>
      <c r="AK5848" s="1" t="s">
        <v>46</v>
      </c>
      <c r="AL5848" s="1">
        <v>787</v>
      </c>
    </row>
    <row r="5849" spans="1:38" x14ac:dyDescent="0.2">
      <c r="A5849" s="2" t="str">
        <f>HYPERLINK("https://www.compass.com/listing/50-west-street-unit-18d-manhattan-ny-10006/29355202075198081/","50 West St, Unit 18D")</f>
        <v>50 West St, Unit 18D</v>
      </c>
      <c r="B5849" s="2" t="str">
        <f>HYPERLINK("https://www.compass.com/building/50-west-st-manhattan-ny-10006/281896342152815429/","50 West St")</f>
        <v>50 West St</v>
      </c>
      <c r="C5849" s="1" t="s">
        <v>96</v>
      </c>
      <c r="D5849" s="1" t="s">
        <v>41</v>
      </c>
      <c r="E5849" s="3">
        <v>4979243</v>
      </c>
      <c r="F5849" s="1">
        <v>2072.0944652517601</v>
      </c>
      <c r="G5849" s="1">
        <v>5</v>
      </c>
      <c r="H5849" s="1">
        <v>3</v>
      </c>
      <c r="I5849" s="1">
        <v>3</v>
      </c>
      <c r="J5849" s="1">
        <v>3</v>
      </c>
      <c r="K5849" s="1">
        <v>3</v>
      </c>
      <c r="M5849" s="4">
        <v>2403</v>
      </c>
      <c r="N5849" s="1">
        <v>2747.47</v>
      </c>
      <c r="O5849" s="1">
        <v>5811.2199999999903</v>
      </c>
      <c r="P5849" s="1">
        <v>3063.75</v>
      </c>
      <c r="Q5849" s="1" t="s">
        <v>42</v>
      </c>
      <c r="S5849" s="1" t="s">
        <v>42</v>
      </c>
      <c r="T5849" s="1" t="s">
        <v>273</v>
      </c>
      <c r="V5849" s="5">
        <v>43677</v>
      </c>
      <c r="W5849" s="5">
        <v>41969</v>
      </c>
      <c r="X5849" s="1">
        <v>4890000</v>
      </c>
      <c r="Y5849" s="1">
        <v>4890000</v>
      </c>
      <c r="Z5849" s="5">
        <v>41969</v>
      </c>
      <c r="AA5849" s="1">
        <v>4979243</v>
      </c>
      <c r="AB5849" s="1" t="s">
        <v>4166</v>
      </c>
      <c r="AC5849" s="5">
        <v>42797</v>
      </c>
      <c r="AF5849" s="1">
        <v>10006</v>
      </c>
      <c r="AI5849" s="1" t="s">
        <v>97</v>
      </c>
      <c r="AJ5849" s="1">
        <v>2016</v>
      </c>
      <c r="AK5849" s="1" t="s">
        <v>46</v>
      </c>
      <c r="AL5849" s="1">
        <v>186</v>
      </c>
    </row>
    <row r="5850" spans="1:38" x14ac:dyDescent="0.2">
      <c r="A5850" s="2" t="str">
        <f>HYPERLINK("https://www.compass.com/listing/252-south-street-unit-21b-manhattan-ny-10002/219459040814613793/","252 South St, Unit 21B")</f>
        <v>252 South St, Unit 21B</v>
      </c>
      <c r="B5850" s="2" t="str">
        <f t="shared" ref="B5850:B5871" si="978">HYPERLINK("https://www.compass.com/building/one-manhattan-square-manhattan-ny/294844950218926165/","One Manhattan Square")</f>
        <v>One Manhattan Square</v>
      </c>
      <c r="C5850" s="1" t="s">
        <v>47</v>
      </c>
      <c r="D5850" s="1" t="s">
        <v>41</v>
      </c>
      <c r="E5850" s="3">
        <v>1519000</v>
      </c>
      <c r="F5850" s="1">
        <v>2182.4712643678099</v>
      </c>
      <c r="H5850" s="1">
        <v>1</v>
      </c>
      <c r="J5850" s="1">
        <v>1</v>
      </c>
      <c r="M5850" s="1">
        <v>696</v>
      </c>
      <c r="N5850" s="1">
        <v>779</v>
      </c>
      <c r="O5850" s="1">
        <v>792</v>
      </c>
      <c r="P5850" s="1">
        <v>13</v>
      </c>
      <c r="Q5850" s="1" t="s">
        <v>42</v>
      </c>
      <c r="S5850" s="1" t="s">
        <v>42</v>
      </c>
      <c r="T5850" s="1" t="s">
        <v>273</v>
      </c>
      <c r="AA5850" s="1">
        <v>1519000</v>
      </c>
      <c r="AB5850" s="1" t="s">
        <v>4167</v>
      </c>
      <c r="AC5850" s="5">
        <v>43636</v>
      </c>
      <c r="AF5850" s="1">
        <v>10002</v>
      </c>
      <c r="AI5850" s="1" t="s">
        <v>66</v>
      </c>
      <c r="AJ5850" s="1">
        <v>2019</v>
      </c>
      <c r="AK5850" s="1" t="s">
        <v>49</v>
      </c>
      <c r="AL5850" s="1">
        <v>787</v>
      </c>
    </row>
    <row r="5851" spans="1:38" x14ac:dyDescent="0.2">
      <c r="A5851" s="2" t="str">
        <f>HYPERLINK("https://www.compass.com/listing/252-south-street-unit-64k-manhattan-ny-10002/29513508043485473/","252 South St, Unit 64K")</f>
        <v>252 South St, Unit 64K</v>
      </c>
      <c r="B5851" s="2" t="str">
        <f t="shared" si="978"/>
        <v>One Manhattan Square</v>
      </c>
      <c r="C5851" s="1" t="s">
        <v>47</v>
      </c>
      <c r="D5851" s="1" t="s">
        <v>41</v>
      </c>
      <c r="E5851" s="3">
        <v>1738080</v>
      </c>
      <c r="F5851" s="1">
        <v>2526.2787063953401</v>
      </c>
      <c r="G5851" s="1">
        <v>3</v>
      </c>
      <c r="H5851" s="1">
        <v>1</v>
      </c>
      <c r="I5851" s="1">
        <v>1</v>
      </c>
      <c r="J5851" s="1">
        <v>1</v>
      </c>
      <c r="K5851" s="1">
        <v>1</v>
      </c>
      <c r="M5851" s="1">
        <v>688</v>
      </c>
      <c r="N5851" s="1">
        <v>925</v>
      </c>
      <c r="O5851" s="1">
        <v>941</v>
      </c>
      <c r="P5851" s="1">
        <v>16</v>
      </c>
      <c r="Q5851" s="1" t="s">
        <v>42</v>
      </c>
      <c r="S5851" s="1" t="s">
        <v>42</v>
      </c>
      <c r="T5851" s="1" t="s">
        <v>273</v>
      </c>
      <c r="U5851" s="1">
        <v>4</v>
      </c>
      <c r="V5851" s="5">
        <v>43704</v>
      </c>
      <c r="W5851" s="5">
        <v>43248</v>
      </c>
      <c r="X5851" s="1">
        <v>1755000</v>
      </c>
      <c r="Y5851" s="1">
        <v>1755000</v>
      </c>
      <c r="Z5851" s="5">
        <v>43252</v>
      </c>
      <c r="AA5851" s="1">
        <v>1738079.75</v>
      </c>
      <c r="AB5851" s="1" t="s">
        <v>4168</v>
      </c>
      <c r="AC5851" s="5">
        <v>43689</v>
      </c>
      <c r="AF5851" s="1">
        <v>10002</v>
      </c>
      <c r="AI5851" s="1" t="s">
        <v>66</v>
      </c>
      <c r="AJ5851" s="1">
        <v>2019</v>
      </c>
      <c r="AK5851" s="1" t="s">
        <v>46</v>
      </c>
      <c r="AL5851" s="1">
        <v>787</v>
      </c>
    </row>
    <row r="5852" spans="1:38" x14ac:dyDescent="0.2">
      <c r="A5852" s="2" t="str">
        <f>HYPERLINK("https://www.compass.com/listing/252-south-street-unit-63k-manhattan-ny-10002/29513515500958305/","252 South St, Unit 63K")</f>
        <v>252 South St, Unit 63K</v>
      </c>
      <c r="B5852" s="2" t="str">
        <f t="shared" si="978"/>
        <v>One Manhattan Square</v>
      </c>
      <c r="C5852" s="1" t="s">
        <v>47</v>
      </c>
      <c r="D5852" s="1" t="s">
        <v>41</v>
      </c>
      <c r="E5852" s="3">
        <v>1671893</v>
      </c>
      <c r="F5852" s="1">
        <v>2430.07703488372</v>
      </c>
      <c r="G5852" s="1">
        <v>3</v>
      </c>
      <c r="H5852" s="1">
        <v>1</v>
      </c>
      <c r="I5852" s="1">
        <v>1</v>
      </c>
      <c r="J5852" s="1">
        <v>1</v>
      </c>
      <c r="K5852" s="1">
        <v>1</v>
      </c>
      <c r="M5852" s="1">
        <v>688</v>
      </c>
      <c r="N5852" s="1">
        <v>922</v>
      </c>
      <c r="O5852" s="1">
        <v>938</v>
      </c>
      <c r="P5852" s="1">
        <v>16</v>
      </c>
      <c r="Q5852" s="1" t="s">
        <v>42</v>
      </c>
      <c r="S5852" s="1" t="s">
        <v>42</v>
      </c>
      <c r="T5852" s="1" t="s">
        <v>273</v>
      </c>
      <c r="U5852" s="1">
        <v>8</v>
      </c>
      <c r="V5852" s="5">
        <v>43704</v>
      </c>
      <c r="W5852" s="5">
        <v>43196</v>
      </c>
      <c r="X5852" s="1">
        <v>1746000</v>
      </c>
      <c r="Y5852" s="1">
        <v>1746000</v>
      </c>
      <c r="Z5852" s="5">
        <v>43204</v>
      </c>
      <c r="AA5852" s="1">
        <v>1671893</v>
      </c>
      <c r="AB5852" s="1" t="s">
        <v>4169</v>
      </c>
      <c r="AC5852" s="5">
        <v>43693</v>
      </c>
      <c r="AF5852" s="1">
        <v>10002</v>
      </c>
      <c r="AI5852" s="1" t="s">
        <v>66</v>
      </c>
      <c r="AJ5852" s="1">
        <v>2019</v>
      </c>
      <c r="AK5852" s="1" t="s">
        <v>46</v>
      </c>
      <c r="AL5852" s="1">
        <v>787</v>
      </c>
    </row>
    <row r="5853" spans="1:38" x14ac:dyDescent="0.2">
      <c r="A5853" s="2" t="str">
        <f>HYPERLINK("https://www.compass.com/listing/252-south-street-unit-21c-manhattan-ny-10002/29513519024087553/","252 South St, Unit 21C")</f>
        <v>252 South St, Unit 21C</v>
      </c>
      <c r="B5853" s="2" t="str">
        <f t="shared" si="978"/>
        <v>One Manhattan Square</v>
      </c>
      <c r="C5853" s="1" t="s">
        <v>47</v>
      </c>
      <c r="D5853" s="1" t="s">
        <v>41</v>
      </c>
      <c r="E5853" s="3">
        <v>1517000</v>
      </c>
      <c r="F5853" s="1">
        <v>2182.7338129496402</v>
      </c>
      <c r="G5853" s="1">
        <v>3</v>
      </c>
      <c r="H5853" s="1">
        <v>1</v>
      </c>
      <c r="I5853" s="1">
        <v>1</v>
      </c>
      <c r="J5853" s="1">
        <v>1</v>
      </c>
      <c r="M5853" s="1">
        <v>695</v>
      </c>
      <c r="N5853" s="1">
        <v>778</v>
      </c>
      <c r="O5853" s="1">
        <v>791</v>
      </c>
      <c r="P5853" s="1">
        <v>13</v>
      </c>
      <c r="Q5853" s="1" t="s">
        <v>42</v>
      </c>
      <c r="S5853" s="1" t="s">
        <v>42</v>
      </c>
      <c r="T5853" s="1" t="s">
        <v>273</v>
      </c>
      <c r="U5853" s="1">
        <v>4</v>
      </c>
      <c r="V5853" s="5">
        <v>43683</v>
      </c>
      <c r="W5853" s="5">
        <v>43112</v>
      </c>
      <c r="X5853" s="1">
        <v>1517000</v>
      </c>
      <c r="Y5853" s="1">
        <v>1517000</v>
      </c>
      <c r="Z5853" s="5">
        <v>43116</v>
      </c>
      <c r="AA5853" s="1">
        <v>1517000</v>
      </c>
      <c r="AB5853" s="1" t="s">
        <v>4170</v>
      </c>
      <c r="AC5853" s="5">
        <v>43636</v>
      </c>
      <c r="AF5853" s="1">
        <v>10002</v>
      </c>
      <c r="AI5853" s="1" t="s">
        <v>66</v>
      </c>
      <c r="AJ5853" s="1">
        <v>2019</v>
      </c>
      <c r="AK5853" s="1" t="s">
        <v>46</v>
      </c>
      <c r="AL5853" s="1">
        <v>787</v>
      </c>
    </row>
    <row r="5854" spans="1:38" x14ac:dyDescent="0.2">
      <c r="A5854" s="2" t="str">
        <f>HYPERLINK("https://www.compass.com/listing/252-south-street-unit-27b-manhattan-ny-10002/29513519661708065/","252 South St, Unit 27B")</f>
        <v>252 South St, Unit 27B</v>
      </c>
      <c r="B5854" s="2" t="str">
        <f t="shared" si="978"/>
        <v>One Manhattan Square</v>
      </c>
      <c r="C5854" s="1" t="s">
        <v>47</v>
      </c>
      <c r="D5854" s="1" t="s">
        <v>41</v>
      </c>
      <c r="E5854" s="3">
        <v>1592000</v>
      </c>
      <c r="F5854" s="1">
        <v>2287.35632183908</v>
      </c>
      <c r="G5854" s="1">
        <v>3</v>
      </c>
      <c r="H5854" s="1">
        <v>1</v>
      </c>
      <c r="I5854" s="1">
        <v>1</v>
      </c>
      <c r="J5854" s="1">
        <v>1</v>
      </c>
      <c r="M5854" s="1">
        <v>696</v>
      </c>
      <c r="N5854" s="1">
        <v>801</v>
      </c>
      <c r="O5854" s="1">
        <v>814</v>
      </c>
      <c r="P5854" s="1">
        <v>13</v>
      </c>
      <c r="Q5854" s="1" t="s">
        <v>42</v>
      </c>
      <c r="S5854" s="1" t="s">
        <v>42</v>
      </c>
      <c r="T5854" s="1" t="s">
        <v>273</v>
      </c>
      <c r="U5854" s="1">
        <v>4</v>
      </c>
      <c r="V5854" s="5">
        <v>43683</v>
      </c>
      <c r="W5854" s="5">
        <v>43112</v>
      </c>
      <c r="X5854" s="1">
        <v>1592000</v>
      </c>
      <c r="Y5854" s="1">
        <v>1592000</v>
      </c>
      <c r="Z5854" s="5">
        <v>43116</v>
      </c>
      <c r="AA5854" s="1">
        <v>1592000</v>
      </c>
      <c r="AB5854" s="1" t="s">
        <v>4171</v>
      </c>
      <c r="AC5854" s="5">
        <v>43636</v>
      </c>
      <c r="AF5854" s="1">
        <v>10002</v>
      </c>
      <c r="AI5854" s="1" t="s">
        <v>66</v>
      </c>
      <c r="AJ5854" s="1">
        <v>2019</v>
      </c>
      <c r="AK5854" s="1" t="s">
        <v>46</v>
      </c>
      <c r="AL5854" s="1">
        <v>787</v>
      </c>
    </row>
    <row r="5855" spans="1:38" x14ac:dyDescent="0.2">
      <c r="A5855" s="2" t="str">
        <f>HYPERLINK("https://www.compass.com/listing/252-south-street-unit-59l-manhattan-ny-10002/29513520248875057/","252 South St, Unit 59L")</f>
        <v>252 South St, Unit 59L</v>
      </c>
      <c r="B5855" s="2" t="str">
        <f t="shared" si="978"/>
        <v>One Manhattan Square</v>
      </c>
      <c r="C5855" s="1" t="s">
        <v>47</v>
      </c>
      <c r="D5855" s="1" t="s">
        <v>41</v>
      </c>
      <c r="E5855" s="3">
        <v>1681058</v>
      </c>
      <c r="F5855" s="1">
        <v>2371.02679830747</v>
      </c>
      <c r="G5855" s="1">
        <v>3</v>
      </c>
      <c r="H5855" s="1">
        <v>1</v>
      </c>
      <c r="I5855" s="1">
        <v>1</v>
      </c>
      <c r="J5855" s="1">
        <v>1</v>
      </c>
      <c r="M5855" s="1">
        <v>709</v>
      </c>
      <c r="N5855" s="1">
        <v>931</v>
      </c>
      <c r="O5855" s="1">
        <v>947</v>
      </c>
      <c r="P5855" s="1">
        <v>16</v>
      </c>
      <c r="Q5855" s="1" t="s">
        <v>42</v>
      </c>
      <c r="S5855" s="1" t="s">
        <v>42</v>
      </c>
      <c r="T5855" s="1" t="s">
        <v>273</v>
      </c>
      <c r="U5855" s="1">
        <v>4</v>
      </c>
      <c r="V5855" s="5">
        <v>43802</v>
      </c>
      <c r="W5855" s="5">
        <v>43112</v>
      </c>
      <c r="X5855" s="1">
        <v>1680000</v>
      </c>
      <c r="Y5855" s="1">
        <v>1680000</v>
      </c>
      <c r="Z5855" s="5">
        <v>43116</v>
      </c>
      <c r="AA5855" s="1">
        <v>1681058</v>
      </c>
      <c r="AB5855" s="1" t="s">
        <v>4172</v>
      </c>
      <c r="AC5855" s="5">
        <v>43788</v>
      </c>
      <c r="AF5855" s="1">
        <v>10002</v>
      </c>
      <c r="AI5855" s="1" t="s">
        <v>66</v>
      </c>
      <c r="AJ5855" s="1">
        <v>2019</v>
      </c>
      <c r="AK5855" s="1" t="s">
        <v>46</v>
      </c>
      <c r="AL5855" s="1">
        <v>787</v>
      </c>
    </row>
    <row r="5856" spans="1:38" x14ac:dyDescent="0.2">
      <c r="A5856" s="2" t="str">
        <f>HYPERLINK("https://www.compass.com/listing/252-south-street-unit-42m-manhattan-ny-10002/29513525835688193/","252 South St, Unit 42M")</f>
        <v>252 South St, Unit 42M</v>
      </c>
      <c r="B5856" s="2" t="str">
        <f t="shared" si="978"/>
        <v>One Manhattan Square</v>
      </c>
      <c r="C5856" s="1" t="s">
        <v>47</v>
      </c>
      <c r="D5856" s="1" t="s">
        <v>41</v>
      </c>
      <c r="E5856" s="3">
        <v>1606810</v>
      </c>
      <c r="F5856" s="1">
        <v>2311.9568345323701</v>
      </c>
      <c r="G5856" s="1">
        <v>3</v>
      </c>
      <c r="H5856" s="1">
        <v>1</v>
      </c>
      <c r="I5856" s="1">
        <v>1</v>
      </c>
      <c r="J5856" s="1">
        <v>1</v>
      </c>
      <c r="M5856" s="1">
        <v>695</v>
      </c>
      <c r="N5856" s="1">
        <v>854</v>
      </c>
      <c r="O5856" s="1">
        <v>868</v>
      </c>
      <c r="P5856" s="1">
        <v>14</v>
      </c>
      <c r="Q5856" s="1" t="s">
        <v>42</v>
      </c>
      <c r="S5856" s="1" t="s">
        <v>42</v>
      </c>
      <c r="T5856" s="1" t="s">
        <v>273</v>
      </c>
      <c r="U5856" s="1">
        <v>3</v>
      </c>
      <c r="V5856" s="5">
        <v>43710</v>
      </c>
      <c r="W5856" s="5">
        <v>42899</v>
      </c>
      <c r="X5856" s="1">
        <v>1671000</v>
      </c>
      <c r="Y5856" s="1">
        <v>1671000</v>
      </c>
      <c r="Z5856" s="5">
        <v>42902</v>
      </c>
      <c r="AA5856" s="1">
        <v>1606810.67</v>
      </c>
      <c r="AB5856" s="1" t="s">
        <v>4173</v>
      </c>
      <c r="AC5856" s="5">
        <v>43693</v>
      </c>
      <c r="AF5856" s="1">
        <v>10002</v>
      </c>
      <c r="AI5856" s="1" t="s">
        <v>66</v>
      </c>
      <c r="AJ5856" s="1">
        <v>2019</v>
      </c>
      <c r="AK5856" s="1" t="s">
        <v>46</v>
      </c>
      <c r="AL5856" s="1">
        <v>787</v>
      </c>
    </row>
    <row r="5857" spans="1:38" x14ac:dyDescent="0.2">
      <c r="A5857" s="2" t="str">
        <f>HYPERLINK("https://www.compass.com/listing/252-south-street-unit-45m-manhattan-ny-10002/29513540255655473/","252 South St, Unit 45M")</f>
        <v>252 South St, Unit 45M</v>
      </c>
      <c r="B5857" s="2" t="str">
        <f t="shared" si="978"/>
        <v>One Manhattan Square</v>
      </c>
      <c r="C5857" s="1" t="s">
        <v>47</v>
      </c>
      <c r="D5857" s="1" t="s">
        <v>41</v>
      </c>
      <c r="E5857" s="3">
        <v>1633200</v>
      </c>
      <c r="F5857" s="1">
        <v>2349.9280575539501</v>
      </c>
      <c r="G5857" s="1">
        <v>3</v>
      </c>
      <c r="H5857" s="1">
        <v>1</v>
      </c>
      <c r="I5857" s="1">
        <v>1</v>
      </c>
      <c r="J5857" s="1">
        <v>1</v>
      </c>
      <c r="M5857" s="1">
        <v>695</v>
      </c>
      <c r="N5857" s="1">
        <v>862</v>
      </c>
      <c r="O5857" s="1">
        <v>877</v>
      </c>
      <c r="P5857" s="1">
        <v>15</v>
      </c>
      <c r="Q5857" s="1" t="s">
        <v>42</v>
      </c>
      <c r="S5857" s="1" t="s">
        <v>42</v>
      </c>
      <c r="T5857" s="1" t="s">
        <v>273</v>
      </c>
      <c r="U5857" s="1">
        <v>2</v>
      </c>
      <c r="V5857" s="5">
        <v>43696</v>
      </c>
      <c r="W5857" s="5">
        <v>42879</v>
      </c>
      <c r="X5857" s="1">
        <v>1682000</v>
      </c>
      <c r="Y5857" s="1">
        <v>1682000</v>
      </c>
      <c r="Z5857" s="5">
        <v>42881</v>
      </c>
      <c r="AA5857" s="1">
        <v>1633200</v>
      </c>
      <c r="AB5857" s="1" t="s">
        <v>4174</v>
      </c>
      <c r="AC5857" s="5">
        <v>43665</v>
      </c>
      <c r="AF5857" s="1">
        <v>10002</v>
      </c>
      <c r="AI5857" s="1" t="s">
        <v>66</v>
      </c>
      <c r="AJ5857" s="1">
        <v>2019</v>
      </c>
      <c r="AK5857" s="1" t="s">
        <v>46</v>
      </c>
      <c r="AL5857" s="1">
        <v>787</v>
      </c>
    </row>
    <row r="5858" spans="1:38" x14ac:dyDescent="0.2">
      <c r="A5858" s="2" t="str">
        <f>HYPERLINK("https://www.compass.com/listing/252-south-street-unit-51j-manhattan-ny-10002/29513541363002513/","252 South St, Unit 51J")</f>
        <v>252 South St, Unit 51J</v>
      </c>
      <c r="B5858" s="2" t="str">
        <f t="shared" si="978"/>
        <v>One Manhattan Square</v>
      </c>
      <c r="C5858" s="1" t="s">
        <v>47</v>
      </c>
      <c r="D5858" s="1" t="s">
        <v>41</v>
      </c>
      <c r="E5858" s="3">
        <v>1497862</v>
      </c>
      <c r="F5858" s="1">
        <v>2155.1971223021501</v>
      </c>
      <c r="G5858" s="1">
        <v>3</v>
      </c>
      <c r="H5858" s="1">
        <v>1</v>
      </c>
      <c r="I5858" s="1">
        <v>1</v>
      </c>
      <c r="J5858" s="1">
        <v>1</v>
      </c>
      <c r="M5858" s="1">
        <v>695</v>
      </c>
      <c r="N5858" s="1">
        <v>887</v>
      </c>
      <c r="O5858" s="1">
        <v>902</v>
      </c>
      <c r="P5858" s="1">
        <v>15</v>
      </c>
      <c r="Q5858" s="1" t="s">
        <v>42</v>
      </c>
      <c r="S5858" s="1" t="s">
        <v>42</v>
      </c>
      <c r="T5858" s="1" t="s">
        <v>273</v>
      </c>
      <c r="U5858" s="1">
        <v>5</v>
      </c>
      <c r="V5858" s="5">
        <v>43696</v>
      </c>
      <c r="W5858" s="5">
        <v>42868</v>
      </c>
      <c r="X5858" s="1">
        <v>1502000</v>
      </c>
      <c r="Y5858" s="1">
        <v>1502000</v>
      </c>
      <c r="Z5858" s="5">
        <v>42873</v>
      </c>
      <c r="AA5858" s="1">
        <v>1497862</v>
      </c>
      <c r="AB5858" s="1" t="s">
        <v>4175</v>
      </c>
      <c r="AC5858" s="5">
        <v>43678</v>
      </c>
      <c r="AF5858" s="1">
        <v>10002</v>
      </c>
      <c r="AI5858" s="1" t="s">
        <v>66</v>
      </c>
      <c r="AJ5858" s="1">
        <v>2019</v>
      </c>
      <c r="AK5858" s="1" t="s">
        <v>46</v>
      </c>
      <c r="AL5858" s="1">
        <v>787</v>
      </c>
    </row>
    <row r="5859" spans="1:38" x14ac:dyDescent="0.2">
      <c r="A5859" s="2" t="str">
        <f>HYPERLINK("https://www.compass.com/listing/252-south-street-unit-19c-manhattan-ny-10002/29513545800525569/","252 South St, Unit 19C")</f>
        <v>252 South St, Unit 19C</v>
      </c>
      <c r="B5859" s="2" t="str">
        <f t="shared" si="978"/>
        <v>One Manhattan Square</v>
      </c>
      <c r="C5859" s="1" t="s">
        <v>47</v>
      </c>
      <c r="D5859" s="1" t="s">
        <v>41</v>
      </c>
      <c r="E5859" s="3">
        <v>1485554</v>
      </c>
      <c r="F5859" s="1">
        <v>2137.4874100719398</v>
      </c>
      <c r="G5859" s="1">
        <v>3</v>
      </c>
      <c r="H5859" s="1">
        <v>1</v>
      </c>
      <c r="I5859" s="1">
        <v>1</v>
      </c>
      <c r="J5859" s="1">
        <v>1</v>
      </c>
      <c r="M5859" s="1">
        <v>695</v>
      </c>
      <c r="N5859" s="1">
        <v>767</v>
      </c>
      <c r="O5859" s="1">
        <v>780</v>
      </c>
      <c r="P5859" s="1">
        <v>13</v>
      </c>
      <c r="Q5859" s="1" t="s">
        <v>42</v>
      </c>
      <c r="S5859" s="1" t="s">
        <v>42</v>
      </c>
      <c r="T5859" s="1" t="s">
        <v>273</v>
      </c>
      <c r="U5859" s="1">
        <v>4</v>
      </c>
      <c r="V5859" s="5">
        <v>43724</v>
      </c>
      <c r="W5859" s="5">
        <v>42818</v>
      </c>
      <c r="X5859" s="1">
        <v>1496000</v>
      </c>
      <c r="Y5859" s="1">
        <v>1496000</v>
      </c>
      <c r="Z5859" s="5">
        <v>42822</v>
      </c>
      <c r="AA5859" s="1">
        <v>1485553.75</v>
      </c>
      <c r="AB5859" s="1" t="s">
        <v>4176</v>
      </c>
      <c r="AC5859" s="5">
        <v>43711</v>
      </c>
      <c r="AF5859" s="1">
        <v>10002</v>
      </c>
      <c r="AI5859" s="1" t="s">
        <v>66</v>
      </c>
      <c r="AJ5859" s="1">
        <v>2019</v>
      </c>
      <c r="AK5859" s="1" t="s">
        <v>46</v>
      </c>
      <c r="AL5859" s="1">
        <v>787</v>
      </c>
    </row>
    <row r="5860" spans="1:38" x14ac:dyDescent="0.2">
      <c r="A5860" s="2" t="str">
        <f>HYPERLINK("https://www.compass.com/listing/252-south-street-unit-76h-manhattan-ny-10002/29513546102566241/","252 South St, Unit 76H")</f>
        <v>252 South St, Unit 76H</v>
      </c>
      <c r="B5860" s="2" t="str">
        <f t="shared" si="978"/>
        <v>One Manhattan Square</v>
      </c>
      <c r="C5860" s="1" t="s">
        <v>47</v>
      </c>
      <c r="D5860" s="1" t="s">
        <v>41</v>
      </c>
      <c r="E5860" s="3">
        <v>1597561</v>
      </c>
      <c r="F5860" s="1">
        <v>2352.8148011782</v>
      </c>
      <c r="G5860" s="1">
        <v>3</v>
      </c>
      <c r="H5860" s="1">
        <v>1</v>
      </c>
      <c r="I5860" s="1">
        <v>1</v>
      </c>
      <c r="J5860" s="1">
        <v>1</v>
      </c>
      <c r="M5860" s="1">
        <v>679</v>
      </c>
      <c r="N5860" s="1">
        <v>960</v>
      </c>
      <c r="O5860" s="1">
        <v>976</v>
      </c>
      <c r="P5860" s="1">
        <v>16</v>
      </c>
      <c r="Q5860" s="1" t="s">
        <v>42</v>
      </c>
      <c r="S5860" s="1" t="s">
        <v>42</v>
      </c>
      <c r="T5860" s="1" t="s">
        <v>273</v>
      </c>
      <c r="U5860" s="1">
        <v>4</v>
      </c>
      <c r="V5860" s="5">
        <v>44416</v>
      </c>
      <c r="W5860" s="5">
        <v>42817</v>
      </c>
      <c r="Y5860" s="1">
        <v>1653000</v>
      </c>
      <c r="Z5860" s="5">
        <v>42822</v>
      </c>
      <c r="AA5860" s="1">
        <v>1597561.25</v>
      </c>
      <c r="AB5860" s="1" t="s">
        <v>4177</v>
      </c>
      <c r="AC5860" s="5">
        <v>44371</v>
      </c>
      <c r="AF5860" s="1">
        <v>10002</v>
      </c>
      <c r="AI5860" s="1" t="s">
        <v>4116</v>
      </c>
      <c r="AJ5860" s="1">
        <v>2019</v>
      </c>
      <c r="AK5860" s="1" t="s">
        <v>46</v>
      </c>
      <c r="AL5860" s="1">
        <v>787</v>
      </c>
    </row>
    <row r="5861" spans="1:38" x14ac:dyDescent="0.2">
      <c r="A5861" s="2" t="str">
        <f>HYPERLINK("https://www.compass.com/listing/252-south-street-unit-30k-manhattan-ny-10002/29513556093398785/","252 South St, Unit 30K")</f>
        <v>252 South St, Unit 30K</v>
      </c>
      <c r="B5861" s="2" t="str">
        <f t="shared" si="978"/>
        <v>One Manhattan Square</v>
      </c>
      <c r="C5861" s="1" t="s">
        <v>47</v>
      </c>
      <c r="D5861" s="1" t="s">
        <v>41</v>
      </c>
      <c r="E5861" s="3">
        <v>1482499</v>
      </c>
      <c r="F5861" s="1">
        <v>2133.0920863309302</v>
      </c>
      <c r="G5861" s="1">
        <v>3</v>
      </c>
      <c r="H5861" s="1">
        <v>1</v>
      </c>
      <c r="I5861" s="1">
        <v>1</v>
      </c>
      <c r="J5861" s="1">
        <v>1</v>
      </c>
      <c r="M5861" s="1">
        <v>695</v>
      </c>
      <c r="N5861" s="1">
        <v>814</v>
      </c>
      <c r="O5861" s="1">
        <v>828</v>
      </c>
      <c r="P5861" s="1">
        <v>14</v>
      </c>
      <c r="Q5861" s="1" t="s">
        <v>42</v>
      </c>
      <c r="S5861" s="1" t="s">
        <v>42</v>
      </c>
      <c r="T5861" s="1" t="s">
        <v>273</v>
      </c>
      <c r="U5861" s="1">
        <v>6</v>
      </c>
      <c r="V5861" s="5">
        <v>43743</v>
      </c>
      <c r="W5861" s="5">
        <v>42795</v>
      </c>
      <c r="Y5861" s="1">
        <v>1598000</v>
      </c>
      <c r="Z5861" s="5">
        <v>42802</v>
      </c>
      <c r="AA5861" s="1">
        <v>1482499</v>
      </c>
      <c r="AB5861" s="1" t="s">
        <v>4178</v>
      </c>
      <c r="AC5861" s="5">
        <v>43735</v>
      </c>
      <c r="AF5861" s="1">
        <v>10002</v>
      </c>
      <c r="AI5861" s="1" t="s">
        <v>66</v>
      </c>
      <c r="AJ5861" s="1">
        <v>2019</v>
      </c>
      <c r="AK5861" s="1" t="s">
        <v>46</v>
      </c>
      <c r="AL5861" s="1">
        <v>787</v>
      </c>
    </row>
    <row r="5862" spans="1:38" x14ac:dyDescent="0.2">
      <c r="A5862" s="2" t="str">
        <f>HYPERLINK("https://www.compass.com/listing/252-south-street-unit-30b-manhattan-ny-10002/324787159718282529/","252 South St, Unit 30B")</f>
        <v>252 South St, Unit 30B</v>
      </c>
      <c r="B5862" s="2" t="str">
        <f t="shared" si="978"/>
        <v>One Manhattan Square</v>
      </c>
      <c r="C5862" s="1" t="s">
        <v>47</v>
      </c>
      <c r="D5862" s="1" t="s">
        <v>41</v>
      </c>
      <c r="E5862" s="3">
        <v>1503502</v>
      </c>
      <c r="F5862" s="1">
        <v>2160.2038936781601</v>
      </c>
      <c r="H5862" s="1">
        <v>1</v>
      </c>
      <c r="J5862" s="1">
        <v>1</v>
      </c>
      <c r="K5862" s="1">
        <v>1</v>
      </c>
      <c r="M5862" s="1">
        <v>696</v>
      </c>
      <c r="N5862" s="1">
        <v>827.31</v>
      </c>
      <c r="O5862" s="1">
        <v>840.36999999999898</v>
      </c>
      <c r="P5862" s="1">
        <v>13.0833333333333</v>
      </c>
      <c r="Q5862" s="1" t="s">
        <v>42</v>
      </c>
      <c r="S5862" s="1" t="s">
        <v>42</v>
      </c>
      <c r="T5862" s="1" t="s">
        <v>273</v>
      </c>
      <c r="AA5862" s="1">
        <v>1503501.91</v>
      </c>
      <c r="AB5862" s="1" t="s">
        <v>4179</v>
      </c>
      <c r="AC5862" s="5">
        <v>43635</v>
      </c>
      <c r="AF5862" s="1">
        <v>10002</v>
      </c>
      <c r="AI5862" s="1" t="s">
        <v>66</v>
      </c>
      <c r="AJ5862" s="1">
        <v>2019</v>
      </c>
      <c r="AK5862" s="1" t="s">
        <v>49</v>
      </c>
      <c r="AL5862" s="1">
        <v>787</v>
      </c>
    </row>
    <row r="5863" spans="1:38" x14ac:dyDescent="0.2">
      <c r="A5863" s="2" t="str">
        <f>HYPERLINK("https://www.compass.com/listing/252-south-street-unit-33n-manhattan-ny-10002/446086097999665865/","252 South St, Unit 33N")</f>
        <v>252 South St, Unit 33N</v>
      </c>
      <c r="B5863" s="2" t="str">
        <f t="shared" si="978"/>
        <v>One Manhattan Square</v>
      </c>
      <c r="C5863" s="1" t="s">
        <v>47</v>
      </c>
      <c r="D5863" s="1" t="s">
        <v>41</v>
      </c>
      <c r="E5863" s="3">
        <v>1554341</v>
      </c>
      <c r="F5863" s="1">
        <v>2149.8497648685998</v>
      </c>
      <c r="H5863" s="1">
        <v>1</v>
      </c>
      <c r="J5863" s="1">
        <v>1</v>
      </c>
      <c r="K5863" s="1">
        <v>1</v>
      </c>
      <c r="M5863" s="1">
        <v>723</v>
      </c>
      <c r="N5863" s="1">
        <v>850</v>
      </c>
      <c r="O5863" s="1">
        <v>864.33</v>
      </c>
      <c r="P5863" s="1">
        <v>14.3333333333333</v>
      </c>
      <c r="Q5863" s="1" t="s">
        <v>42</v>
      </c>
      <c r="S5863" s="1" t="s">
        <v>42</v>
      </c>
      <c r="T5863" s="1" t="s">
        <v>273</v>
      </c>
      <c r="AA5863" s="1">
        <v>1554341.38</v>
      </c>
      <c r="AB5863" s="1" t="s">
        <v>4180</v>
      </c>
      <c r="AC5863" s="5">
        <v>43861</v>
      </c>
      <c r="AF5863" s="1">
        <v>10002</v>
      </c>
      <c r="AI5863" s="1" t="s">
        <v>66</v>
      </c>
      <c r="AJ5863" s="1">
        <v>2019</v>
      </c>
      <c r="AK5863" s="1" t="s">
        <v>49</v>
      </c>
      <c r="AL5863" s="1">
        <v>787</v>
      </c>
    </row>
    <row r="5864" spans="1:38" x14ac:dyDescent="0.2">
      <c r="A5864" s="2" t="str">
        <f>HYPERLINK("https://www.compass.com/listing/252-south-street-unit-53j-manhattan-ny-10002/4849516395957853809/","252 South St, Unit 53J")</f>
        <v>252 South St, Unit 53J</v>
      </c>
      <c r="B5864" s="2" t="str">
        <f t="shared" si="978"/>
        <v>One Manhattan Square</v>
      </c>
      <c r="C5864" s="1" t="s">
        <v>47</v>
      </c>
      <c r="D5864" s="1" t="s">
        <v>41</v>
      </c>
      <c r="E5864" s="3">
        <v>1490645</v>
      </c>
      <c r="F5864" s="1">
        <v>2144.8129496402798</v>
      </c>
      <c r="G5864" s="1">
        <v>3</v>
      </c>
      <c r="H5864" s="1">
        <v>1</v>
      </c>
      <c r="I5864" s="1">
        <v>1</v>
      </c>
      <c r="J5864" s="1">
        <v>1</v>
      </c>
      <c r="M5864" s="1">
        <v>695</v>
      </c>
      <c r="N5864" s="1">
        <v>895</v>
      </c>
      <c r="O5864" s="1">
        <v>910</v>
      </c>
      <c r="P5864" s="1">
        <v>15</v>
      </c>
      <c r="Q5864" s="1" t="s">
        <v>42</v>
      </c>
      <c r="S5864" s="1" t="s">
        <v>42</v>
      </c>
      <c r="T5864" s="1" t="s">
        <v>273</v>
      </c>
      <c r="U5864" s="1">
        <v>2</v>
      </c>
      <c r="V5864" s="5">
        <v>43710</v>
      </c>
      <c r="W5864" s="5">
        <v>42887</v>
      </c>
      <c r="X5864" s="1">
        <v>1519000</v>
      </c>
      <c r="Y5864" s="1">
        <v>1519000</v>
      </c>
      <c r="Z5864" s="5">
        <v>42889</v>
      </c>
      <c r="AA5864" s="1">
        <v>1490645</v>
      </c>
      <c r="AB5864" s="1" t="s">
        <v>4181</v>
      </c>
      <c r="AC5864" s="5">
        <v>43693</v>
      </c>
      <c r="AF5864" s="1">
        <v>10002</v>
      </c>
      <c r="AI5864" s="1" t="s">
        <v>66</v>
      </c>
      <c r="AJ5864" s="1">
        <v>2019</v>
      </c>
      <c r="AK5864" s="1" t="s">
        <v>46</v>
      </c>
      <c r="AL5864" s="1">
        <v>787</v>
      </c>
    </row>
    <row r="5865" spans="1:38" x14ac:dyDescent="0.2">
      <c r="A5865" s="2" t="str">
        <f>HYPERLINK("https://www.compass.com/listing/252-south-street-unit-48c-manhattan-ny-10002/29513526146102321/","252 South St, Unit 48C")</f>
        <v>252 South St, Unit 48C</v>
      </c>
      <c r="B5865" s="2" t="str">
        <f t="shared" si="978"/>
        <v>One Manhattan Square</v>
      </c>
      <c r="C5865" s="1" t="s">
        <v>47</v>
      </c>
      <c r="D5865" s="1" t="s">
        <v>41</v>
      </c>
      <c r="E5865" s="3">
        <v>3822437</v>
      </c>
      <c r="F5865" s="1">
        <v>2570.5696032279702</v>
      </c>
      <c r="G5865" s="1">
        <v>5</v>
      </c>
      <c r="H5865" s="1">
        <v>3</v>
      </c>
      <c r="I5865" s="1">
        <v>3</v>
      </c>
      <c r="J5865" s="1">
        <v>3</v>
      </c>
      <c r="M5865" s="4">
        <v>1487</v>
      </c>
      <c r="N5865" s="1">
        <v>1867</v>
      </c>
      <c r="O5865" s="1">
        <v>1898</v>
      </c>
      <c r="P5865" s="1">
        <v>31</v>
      </c>
      <c r="Q5865" s="1" t="s">
        <v>42</v>
      </c>
      <c r="S5865" s="1" t="s">
        <v>42</v>
      </c>
      <c r="T5865" s="1" t="s">
        <v>273</v>
      </c>
      <c r="U5865" s="1">
        <v>4</v>
      </c>
      <c r="V5865" s="5">
        <v>43696</v>
      </c>
      <c r="W5865" s="5">
        <v>42899</v>
      </c>
      <c r="X5865" s="1">
        <v>3888000</v>
      </c>
      <c r="Y5865" s="1">
        <v>3888000</v>
      </c>
      <c r="Z5865" s="5">
        <v>42903</v>
      </c>
      <c r="AA5865" s="1">
        <v>3822437</v>
      </c>
      <c r="AB5865" s="1" t="s">
        <v>4182</v>
      </c>
      <c r="AC5865" s="5">
        <v>43643</v>
      </c>
      <c r="AF5865" s="1">
        <v>10002</v>
      </c>
      <c r="AI5865" s="1" t="s">
        <v>66</v>
      </c>
      <c r="AJ5865" s="1">
        <v>2019</v>
      </c>
      <c r="AK5865" s="1" t="s">
        <v>46</v>
      </c>
      <c r="AL5865" s="1">
        <v>787</v>
      </c>
    </row>
    <row r="5866" spans="1:38" x14ac:dyDescent="0.2">
      <c r="A5866" s="2" t="str">
        <f>HYPERLINK("https://www.compass.com/listing/252-south-street-unit-48c-manhattan-ny-10002/841451248838543489/","252 South St, Unit 48C")</f>
        <v>252 South St, Unit 48C</v>
      </c>
      <c r="B5866" s="2" t="str">
        <f t="shared" si="978"/>
        <v>One Manhattan Square</v>
      </c>
      <c r="C5866" s="1" t="s">
        <v>47</v>
      </c>
      <c r="D5866" s="1" t="s">
        <v>41</v>
      </c>
      <c r="E5866" s="3">
        <v>3888000</v>
      </c>
      <c r="F5866" s="1">
        <v>2614.66039004707</v>
      </c>
      <c r="G5866" s="1">
        <v>7</v>
      </c>
      <c r="H5866" s="1">
        <v>3</v>
      </c>
      <c r="I5866" s="1">
        <v>3</v>
      </c>
      <c r="J5866" s="1">
        <v>3</v>
      </c>
      <c r="K5866" s="1">
        <v>3</v>
      </c>
      <c r="M5866" s="4">
        <v>1487</v>
      </c>
      <c r="N5866" s="1">
        <v>1867</v>
      </c>
      <c r="O5866" s="1">
        <v>1898</v>
      </c>
      <c r="P5866" s="1">
        <v>31</v>
      </c>
      <c r="S5866" s="1" t="s">
        <v>42</v>
      </c>
      <c r="T5866" s="1" t="s">
        <v>273</v>
      </c>
      <c r="V5866" s="5">
        <v>44417</v>
      </c>
      <c r="W5866" s="5">
        <v>43675</v>
      </c>
      <c r="X5866" s="1">
        <v>3888000</v>
      </c>
      <c r="Y5866" s="1">
        <v>3888000</v>
      </c>
      <c r="Z5866" s="5">
        <v>43675</v>
      </c>
      <c r="AA5866" s="1">
        <v>3750000</v>
      </c>
      <c r="AB5866" s="1" t="s">
        <v>275</v>
      </c>
      <c r="AC5866" s="5">
        <v>43684</v>
      </c>
      <c r="AF5866" s="1">
        <v>10002</v>
      </c>
      <c r="AI5866" s="1" t="s">
        <v>66</v>
      </c>
      <c r="AJ5866" s="1">
        <v>2019</v>
      </c>
      <c r="AK5866" s="1" t="s">
        <v>46</v>
      </c>
      <c r="AL5866" s="1">
        <v>787</v>
      </c>
    </row>
    <row r="5867" spans="1:38" x14ac:dyDescent="0.2">
      <c r="A5867" s="2" t="str">
        <f>HYPERLINK("https://www.compass.com/listing/252-south-street-unit-74k-manhattan-ny-10002/272185470841077761/","252 South St, Unit 74K")</f>
        <v>252 South St, Unit 74K</v>
      </c>
      <c r="B5867" s="2" t="str">
        <f t="shared" si="978"/>
        <v>One Manhattan Square</v>
      </c>
      <c r="C5867" s="1" t="s">
        <v>47</v>
      </c>
      <c r="D5867" s="1" t="s">
        <v>41</v>
      </c>
      <c r="E5867" s="3">
        <v>1750298</v>
      </c>
      <c r="F5867" s="1">
        <v>2544.0377906976701</v>
      </c>
      <c r="G5867" s="1">
        <v>3</v>
      </c>
      <c r="H5867" s="1">
        <v>1</v>
      </c>
      <c r="I5867" s="1">
        <v>1</v>
      </c>
      <c r="J5867" s="1">
        <v>1</v>
      </c>
      <c r="K5867" s="1">
        <v>1</v>
      </c>
      <c r="M5867" s="1">
        <v>688</v>
      </c>
      <c r="N5867" s="1">
        <v>979.15</v>
      </c>
      <c r="O5867" s="1">
        <v>994.61</v>
      </c>
      <c r="P5867" s="1">
        <v>15.5</v>
      </c>
      <c r="Q5867" s="1" t="s">
        <v>42</v>
      </c>
      <c r="S5867" s="1" t="s">
        <v>42</v>
      </c>
      <c r="T5867" s="1" t="s">
        <v>273</v>
      </c>
      <c r="U5867" s="1">
        <v>3</v>
      </c>
      <c r="V5867" s="5">
        <v>43732</v>
      </c>
      <c r="W5867" s="5">
        <v>43204</v>
      </c>
      <c r="X5867" s="1">
        <v>1799000</v>
      </c>
      <c r="Y5867" s="1">
        <v>1799000</v>
      </c>
      <c r="Z5867" s="5">
        <v>43207</v>
      </c>
      <c r="AA5867" s="1">
        <v>1750298</v>
      </c>
      <c r="AB5867" s="1" t="s">
        <v>4183</v>
      </c>
      <c r="AC5867" s="5">
        <v>43719</v>
      </c>
      <c r="AF5867" s="1">
        <v>10002</v>
      </c>
      <c r="AI5867" s="1" t="s">
        <v>66</v>
      </c>
      <c r="AJ5867" s="1">
        <v>2019</v>
      </c>
      <c r="AK5867" s="1" t="s">
        <v>46</v>
      </c>
      <c r="AL5867" s="1">
        <v>787</v>
      </c>
    </row>
    <row r="5868" spans="1:38" x14ac:dyDescent="0.2">
      <c r="A5868" s="2" t="str">
        <f>HYPERLINK("https://www.compass.com/listing/252-south-street-unit-29b-manhattan-ny-10002/29513546379425841/","252 South St, Unit 29B")</f>
        <v>252 South St, Unit 29B</v>
      </c>
      <c r="B5868" s="2" t="str">
        <f t="shared" si="978"/>
        <v>One Manhattan Square</v>
      </c>
      <c r="C5868" s="1" t="s">
        <v>47</v>
      </c>
      <c r="D5868" s="1" t="s">
        <v>41</v>
      </c>
      <c r="E5868" s="3">
        <v>1535926</v>
      </c>
      <c r="F5868" s="1">
        <v>2206.7902298850499</v>
      </c>
      <c r="G5868" s="1">
        <v>3</v>
      </c>
      <c r="H5868" s="1">
        <v>1</v>
      </c>
      <c r="I5868" s="1">
        <v>1</v>
      </c>
      <c r="J5868" s="1">
        <v>1</v>
      </c>
      <c r="M5868" s="1">
        <v>696</v>
      </c>
      <c r="N5868" s="1">
        <v>808</v>
      </c>
      <c r="O5868" s="1">
        <v>822</v>
      </c>
      <c r="P5868" s="1">
        <v>14</v>
      </c>
      <c r="Q5868" s="1" t="s">
        <v>42</v>
      </c>
      <c r="S5868" s="1" t="s">
        <v>42</v>
      </c>
      <c r="T5868" s="1" t="s">
        <v>273</v>
      </c>
      <c r="U5868" s="1">
        <v>10</v>
      </c>
      <c r="V5868" s="5">
        <v>43696</v>
      </c>
      <c r="W5868" s="5">
        <v>42774</v>
      </c>
      <c r="X5868" s="1">
        <v>1551000</v>
      </c>
      <c r="Y5868" s="1">
        <v>1551000</v>
      </c>
      <c r="Z5868" s="5">
        <v>42784</v>
      </c>
      <c r="AA5868" s="1">
        <v>1535926</v>
      </c>
      <c r="AB5868" s="1" t="s">
        <v>4184</v>
      </c>
      <c r="AC5868" s="5">
        <v>43644</v>
      </c>
      <c r="AF5868" s="1">
        <v>10002</v>
      </c>
      <c r="AI5868" s="1" t="s">
        <v>4032</v>
      </c>
      <c r="AJ5868" s="1">
        <v>2019</v>
      </c>
      <c r="AK5868" s="1" t="s">
        <v>46</v>
      </c>
      <c r="AL5868" s="1">
        <v>787</v>
      </c>
    </row>
    <row r="5869" spans="1:38" x14ac:dyDescent="0.2">
      <c r="A5869" s="2" t="str">
        <f>HYPERLINK("https://www.compass.com/listing/252-south-street-unit-72k-manhattan-ny-10002/29513551538333729/","252 South St, Unit 72K")</f>
        <v>252 South St, Unit 72K</v>
      </c>
      <c r="B5869" s="2" t="str">
        <f t="shared" si="978"/>
        <v>One Manhattan Square</v>
      </c>
      <c r="C5869" s="1" t="s">
        <v>47</v>
      </c>
      <c r="D5869" s="1" t="s">
        <v>41</v>
      </c>
      <c r="E5869" s="3">
        <v>1633200</v>
      </c>
      <c r="F5869" s="1">
        <v>2373.8372093023199</v>
      </c>
      <c r="G5869" s="1">
        <v>3</v>
      </c>
      <c r="H5869" s="1">
        <v>1</v>
      </c>
      <c r="I5869" s="1">
        <v>1</v>
      </c>
      <c r="J5869" s="1">
        <v>1</v>
      </c>
      <c r="M5869" s="1">
        <v>688</v>
      </c>
      <c r="N5869" s="1">
        <v>958</v>
      </c>
      <c r="O5869" s="1">
        <v>974</v>
      </c>
      <c r="P5869" s="1">
        <v>16</v>
      </c>
      <c r="Q5869" s="1" t="s">
        <v>42</v>
      </c>
      <c r="S5869" s="1" t="s">
        <v>42</v>
      </c>
      <c r="T5869" s="1" t="s">
        <v>273</v>
      </c>
      <c r="U5869" s="1">
        <v>5</v>
      </c>
      <c r="V5869" s="5">
        <v>43745</v>
      </c>
      <c r="W5869" s="5">
        <v>42735</v>
      </c>
      <c r="X5869" s="1">
        <v>1717000</v>
      </c>
      <c r="Y5869" s="1">
        <v>1717000</v>
      </c>
      <c r="Z5869" s="5">
        <v>42740</v>
      </c>
      <c r="AA5869" s="1">
        <v>1633200</v>
      </c>
      <c r="AB5869" s="1" t="s">
        <v>4185</v>
      </c>
      <c r="AC5869" s="5">
        <v>43735</v>
      </c>
      <c r="AF5869" s="1">
        <v>10002</v>
      </c>
      <c r="AI5869" s="1" t="s">
        <v>4032</v>
      </c>
      <c r="AJ5869" s="1">
        <v>2019</v>
      </c>
      <c r="AK5869" s="1" t="s">
        <v>46</v>
      </c>
      <c r="AL5869" s="1">
        <v>787</v>
      </c>
    </row>
    <row r="5870" spans="1:38" x14ac:dyDescent="0.2">
      <c r="A5870" s="2" t="str">
        <f>HYPERLINK("https://www.compass.com/listing/252-south-street-unit-30n-manhattan-ny-10002/29513553845287313/","252 South St, Unit 30N")</f>
        <v>252 South St, Unit 30N</v>
      </c>
      <c r="B5870" s="2" t="str">
        <f t="shared" si="978"/>
        <v>One Manhattan Square</v>
      </c>
      <c r="C5870" s="1" t="s">
        <v>47</v>
      </c>
      <c r="D5870" s="1" t="s">
        <v>41</v>
      </c>
      <c r="E5870" s="3">
        <v>1512028</v>
      </c>
      <c r="F5870" s="1">
        <v>2175.58021582733</v>
      </c>
      <c r="G5870" s="1">
        <v>3</v>
      </c>
      <c r="H5870" s="1">
        <v>1</v>
      </c>
      <c r="I5870" s="1">
        <v>1</v>
      </c>
      <c r="J5870" s="1">
        <v>1</v>
      </c>
      <c r="M5870" s="1">
        <v>695</v>
      </c>
      <c r="N5870" s="1">
        <v>814</v>
      </c>
      <c r="O5870" s="1">
        <v>828</v>
      </c>
      <c r="P5870" s="1">
        <v>14</v>
      </c>
      <c r="Q5870" s="1" t="s">
        <v>42</v>
      </c>
      <c r="S5870" s="1" t="s">
        <v>42</v>
      </c>
      <c r="T5870" s="1" t="s">
        <v>273</v>
      </c>
      <c r="U5870" s="1">
        <v>34</v>
      </c>
      <c r="V5870" s="5">
        <v>43684</v>
      </c>
      <c r="W5870" s="5">
        <v>42734</v>
      </c>
      <c r="X5870" s="1">
        <v>1614000</v>
      </c>
      <c r="Y5870" s="1">
        <v>1614000</v>
      </c>
      <c r="Z5870" s="5">
        <v>42768</v>
      </c>
      <c r="AA5870" s="1">
        <v>1512028.25</v>
      </c>
      <c r="AB5870" s="1" t="s">
        <v>4186</v>
      </c>
      <c r="AC5870" s="5">
        <v>43607</v>
      </c>
      <c r="AF5870" s="1">
        <v>10002</v>
      </c>
      <c r="AI5870" s="1" t="s">
        <v>4032</v>
      </c>
      <c r="AJ5870" s="1">
        <v>2019</v>
      </c>
      <c r="AK5870" s="1" t="s">
        <v>46</v>
      </c>
      <c r="AL5870" s="1">
        <v>787</v>
      </c>
    </row>
    <row r="5871" spans="1:38" x14ac:dyDescent="0.2">
      <c r="A5871" s="2" t="str">
        <f>HYPERLINK("https://www.compass.com/listing/252-south-street-unit-58k-manhattan-ny-10002/29513557125146897/","252 South St, Unit 58K")</f>
        <v>252 South St, Unit 58K</v>
      </c>
      <c r="B5871" s="2" t="str">
        <f t="shared" si="978"/>
        <v>One Manhattan Square</v>
      </c>
      <c r="C5871" s="1" t="s">
        <v>47</v>
      </c>
      <c r="D5871" s="1" t="s">
        <v>41</v>
      </c>
      <c r="E5871" s="3">
        <v>1628161</v>
      </c>
      <c r="F5871" s="1">
        <v>2366.5137500000001</v>
      </c>
      <c r="G5871" s="1">
        <v>3</v>
      </c>
      <c r="H5871" s="1">
        <v>1</v>
      </c>
      <c r="I5871" s="1">
        <v>1</v>
      </c>
      <c r="J5871" s="1">
        <v>1</v>
      </c>
      <c r="M5871" s="1">
        <v>688</v>
      </c>
      <c r="N5871" s="1">
        <v>900</v>
      </c>
      <c r="O5871" s="1">
        <v>915</v>
      </c>
      <c r="P5871" s="1">
        <v>15</v>
      </c>
      <c r="Q5871" s="1" t="s">
        <v>42</v>
      </c>
      <c r="S5871" s="1" t="s">
        <v>42</v>
      </c>
      <c r="T5871" s="1" t="s">
        <v>273</v>
      </c>
      <c r="U5871" s="1">
        <v>6</v>
      </c>
      <c r="V5871" s="5">
        <v>43696</v>
      </c>
      <c r="W5871" s="5">
        <v>42804</v>
      </c>
      <c r="X5871" s="1">
        <v>1728000</v>
      </c>
      <c r="Y5871" s="1">
        <v>1728000</v>
      </c>
      <c r="Z5871" s="5">
        <v>42810</v>
      </c>
      <c r="AA5871" s="1">
        <v>1628161.46</v>
      </c>
      <c r="AB5871" s="1" t="s">
        <v>4187</v>
      </c>
      <c r="AC5871" s="5">
        <v>43683</v>
      </c>
      <c r="AF5871" s="1">
        <v>10002</v>
      </c>
      <c r="AI5871" s="1" t="s">
        <v>66</v>
      </c>
      <c r="AJ5871" s="1">
        <v>2019</v>
      </c>
      <c r="AK5871" s="1" t="s">
        <v>46</v>
      </c>
      <c r="AL5871" s="1">
        <v>787</v>
      </c>
    </row>
    <row r="5872" spans="1:38" x14ac:dyDescent="0.2">
      <c r="A5872" s="2" t="str">
        <f>HYPERLINK("https://www.compass.com/listing/179-ludlow-street-unit-2-manhattan-ny-10002/29361399067134129/","179 Ludlow St, Unit 2")</f>
        <v>179 Ludlow St, Unit 2</v>
      </c>
      <c r="B5872" s="2" t="str">
        <f>HYPERLINK("https://www.compass.com/building/179-ludlow-st-manhattan-ny-10002/281886015474372981/","179 Ludlow St")</f>
        <v>179 Ludlow St</v>
      </c>
      <c r="C5872" s="1" t="s">
        <v>47</v>
      </c>
      <c r="D5872" s="1" t="s">
        <v>41</v>
      </c>
      <c r="E5872" s="3">
        <v>1832850</v>
      </c>
      <c r="F5872" s="1">
        <v>1708.1547064305601</v>
      </c>
      <c r="G5872" s="1">
        <v>4</v>
      </c>
      <c r="H5872" s="1">
        <v>2</v>
      </c>
      <c r="I5872" s="1">
        <v>2</v>
      </c>
      <c r="J5872" s="1">
        <v>2</v>
      </c>
      <c r="M5872" s="4">
        <v>1073</v>
      </c>
      <c r="N5872" s="1">
        <v>814</v>
      </c>
      <c r="O5872" s="1">
        <v>1882</v>
      </c>
      <c r="P5872" s="1">
        <v>1068</v>
      </c>
      <c r="Q5872" s="1" t="s">
        <v>42</v>
      </c>
      <c r="S5872" s="1" t="s">
        <v>42</v>
      </c>
      <c r="T5872" s="1" t="s">
        <v>273</v>
      </c>
      <c r="U5872" s="1">
        <v>52</v>
      </c>
      <c r="V5872" s="5">
        <v>43642</v>
      </c>
      <c r="W5872" s="5">
        <v>41976</v>
      </c>
      <c r="X5872" s="1">
        <v>1800000</v>
      </c>
      <c r="Y5872" s="1">
        <v>1800000</v>
      </c>
      <c r="Z5872" s="5">
        <v>42028</v>
      </c>
      <c r="AA5872" s="1">
        <v>1832850</v>
      </c>
      <c r="AB5872" s="1" t="s">
        <v>4188</v>
      </c>
      <c r="AC5872" s="5">
        <v>42195</v>
      </c>
      <c r="AF5872" s="1">
        <v>10002</v>
      </c>
      <c r="AI5872" s="1" t="s">
        <v>4189</v>
      </c>
      <c r="AJ5872" s="1">
        <v>1920</v>
      </c>
      <c r="AL5872" s="1">
        <v>6</v>
      </c>
    </row>
    <row r="5873" spans="1:38" x14ac:dyDescent="0.2">
      <c r="A5873" s="2" t="str">
        <f>HYPERLINK("https://www.compass.com/listing/130-william-street-unit-40b-manhattan-ny-10038/715975773826443489/","130 William St, Unit 40B")</f>
        <v>130 William St, Unit 40B</v>
      </c>
      <c r="B5873" s="2" t="str">
        <f>HYPERLINK("https://www.compass.com/building/130-william-st-manhattan-ny-10038/282029682239486757/","130 William St")</f>
        <v>130 William St</v>
      </c>
      <c r="C5873" s="1" t="s">
        <v>96</v>
      </c>
      <c r="D5873" s="1" t="s">
        <v>41</v>
      </c>
      <c r="E5873" s="3">
        <v>3360990</v>
      </c>
      <c r="F5873" s="1">
        <v>2283.28125</v>
      </c>
      <c r="G5873" s="1">
        <v>5</v>
      </c>
      <c r="H5873" s="1">
        <v>2</v>
      </c>
      <c r="I5873" s="1">
        <v>3</v>
      </c>
      <c r="J5873" s="1">
        <v>2.5</v>
      </c>
      <c r="K5873" s="1">
        <v>2</v>
      </c>
      <c r="L5873" s="1">
        <v>1</v>
      </c>
      <c r="M5873" s="4">
        <v>1472</v>
      </c>
      <c r="N5873" s="1">
        <v>1067.72</v>
      </c>
      <c r="O5873" s="1">
        <v>3136.24</v>
      </c>
      <c r="P5873" s="1">
        <v>2068.5</v>
      </c>
      <c r="Q5873" s="1" t="s">
        <v>42</v>
      </c>
      <c r="S5873" s="1" t="s">
        <v>42</v>
      </c>
      <c r="T5873" s="1" t="s">
        <v>273</v>
      </c>
      <c r="V5873" s="5">
        <v>44302</v>
      </c>
      <c r="W5873" s="5">
        <v>44239</v>
      </c>
      <c r="X5873" s="1">
        <v>3360990</v>
      </c>
      <c r="Y5873" s="1">
        <v>3360990</v>
      </c>
      <c r="Z5873" s="5">
        <v>44240</v>
      </c>
      <c r="AA5873" s="1">
        <v>3360990</v>
      </c>
      <c r="AB5873" s="1" t="s">
        <v>275</v>
      </c>
      <c r="AC5873" s="5">
        <v>44300</v>
      </c>
      <c r="AF5873" s="1">
        <v>10038</v>
      </c>
      <c r="AI5873" s="1" t="s">
        <v>111</v>
      </c>
      <c r="AJ5873" s="1">
        <v>2020</v>
      </c>
      <c r="AK5873" s="1" t="s">
        <v>46</v>
      </c>
      <c r="AL5873" s="1">
        <v>244</v>
      </c>
    </row>
    <row r="5874" spans="1:38" x14ac:dyDescent="0.2">
      <c r="A5874" s="2" t="str">
        <f>HYPERLINK("https://www.compass.com/listing/252-south-street-unit-42k-manhattan-ny-10002/157041482140773681/","252 South St, Unit 42K")</f>
        <v>252 South St, Unit 42K</v>
      </c>
      <c r="B5874" s="2" t="str">
        <f t="shared" ref="B5874:B5878" si="979">HYPERLINK("https://www.compass.com/building/one-manhattan-square-manhattan-ny/294844950218926165/","One Manhattan Square")</f>
        <v>One Manhattan Square</v>
      </c>
      <c r="C5874" s="1" t="s">
        <v>47</v>
      </c>
      <c r="D5874" s="1" t="s">
        <v>41</v>
      </c>
      <c r="E5874" s="3">
        <v>2431183</v>
      </c>
      <c r="F5874" s="1">
        <v>2164.9002671415801</v>
      </c>
      <c r="G5874" s="1">
        <v>4</v>
      </c>
      <c r="H5874" s="1">
        <v>2</v>
      </c>
      <c r="I5874" s="1">
        <v>2</v>
      </c>
      <c r="J5874" s="1">
        <v>2</v>
      </c>
      <c r="K5874" s="1">
        <v>2</v>
      </c>
      <c r="M5874" s="4">
        <v>1123</v>
      </c>
      <c r="N5874" s="1">
        <v>1380.6</v>
      </c>
      <c r="O5874" s="1">
        <v>1403.84</v>
      </c>
      <c r="P5874" s="1">
        <v>23.25</v>
      </c>
      <c r="Q5874" s="1" t="s">
        <v>42</v>
      </c>
      <c r="S5874" s="1" t="s">
        <v>42</v>
      </c>
      <c r="T5874" s="1" t="s">
        <v>273</v>
      </c>
      <c r="U5874" s="1">
        <v>1</v>
      </c>
      <c r="V5874" s="5">
        <v>43696</v>
      </c>
      <c r="W5874" s="5">
        <v>43469</v>
      </c>
      <c r="X5874" s="1">
        <v>2566000</v>
      </c>
      <c r="Y5874" s="1">
        <v>2566000</v>
      </c>
      <c r="Z5874" s="5">
        <v>43470</v>
      </c>
      <c r="AA5874" s="1">
        <v>2431183</v>
      </c>
      <c r="AB5874" s="1" t="s">
        <v>4190</v>
      </c>
      <c r="AC5874" s="5">
        <v>43650</v>
      </c>
      <c r="AF5874" s="1">
        <v>10002</v>
      </c>
      <c r="AI5874" s="1" t="s">
        <v>66</v>
      </c>
      <c r="AJ5874" s="1">
        <v>2019</v>
      </c>
      <c r="AK5874" s="1" t="s">
        <v>46</v>
      </c>
      <c r="AL5874" s="1">
        <v>787</v>
      </c>
    </row>
    <row r="5875" spans="1:38" x14ac:dyDescent="0.2">
      <c r="A5875" s="2" t="str">
        <f>HYPERLINK("https://www.compass.com/listing/252-south-street-unit-28l-manhattan-ny-10002/161556130454083889/","252 South St, Unit 28L")</f>
        <v>252 South St, Unit 28L</v>
      </c>
      <c r="B5875" s="2" t="str">
        <f t="shared" si="979"/>
        <v>One Manhattan Square</v>
      </c>
      <c r="C5875" s="1" t="s">
        <v>47</v>
      </c>
      <c r="D5875" s="1" t="s">
        <v>41</v>
      </c>
      <c r="E5875" s="3">
        <v>2202586</v>
      </c>
      <c r="F5875" s="1">
        <v>1961.3413357079201</v>
      </c>
      <c r="G5875" s="1">
        <v>4</v>
      </c>
      <c r="H5875" s="1">
        <v>2</v>
      </c>
      <c r="I5875" s="1">
        <v>2</v>
      </c>
      <c r="J5875" s="1">
        <v>2</v>
      </c>
      <c r="K5875" s="1">
        <v>2</v>
      </c>
      <c r="M5875" s="4">
        <v>1123</v>
      </c>
      <c r="N5875" s="1">
        <v>1298</v>
      </c>
      <c r="O5875" s="1">
        <v>1319.85</v>
      </c>
      <c r="P5875" s="1">
        <v>21.8333333333333</v>
      </c>
      <c r="Q5875" s="1" t="s">
        <v>42</v>
      </c>
      <c r="S5875" s="1" t="s">
        <v>42</v>
      </c>
      <c r="T5875" s="1" t="s">
        <v>273</v>
      </c>
      <c r="U5875" s="1">
        <v>3</v>
      </c>
      <c r="V5875" s="5">
        <v>43747</v>
      </c>
      <c r="W5875" s="5">
        <v>43478</v>
      </c>
      <c r="X5875" s="1">
        <v>2343000</v>
      </c>
      <c r="Y5875" s="1">
        <v>2343000</v>
      </c>
      <c r="Z5875" s="5">
        <v>43481</v>
      </c>
      <c r="AA5875" s="1">
        <v>2202586.3199999998</v>
      </c>
      <c r="AB5875" s="1" t="s">
        <v>4191</v>
      </c>
      <c r="AC5875" s="5">
        <v>43733</v>
      </c>
      <c r="AF5875" s="1">
        <v>10002</v>
      </c>
      <c r="AI5875" s="1" t="s">
        <v>66</v>
      </c>
      <c r="AJ5875" s="1">
        <v>2019</v>
      </c>
      <c r="AK5875" s="1" t="s">
        <v>46</v>
      </c>
      <c r="AL5875" s="1">
        <v>787</v>
      </c>
    </row>
    <row r="5876" spans="1:38" x14ac:dyDescent="0.2">
      <c r="A5876" s="2" t="str">
        <f>HYPERLINK("https://www.compass.com/listing/252-south-street-unit-34d-manhattan-ny-10002/211453974518191265/","252 South St, Unit 34D")</f>
        <v>252 South St, Unit 34D</v>
      </c>
      <c r="B5876" s="2" t="str">
        <f t="shared" si="979"/>
        <v>One Manhattan Square</v>
      </c>
      <c r="C5876" s="1" t="s">
        <v>47</v>
      </c>
      <c r="D5876" s="1" t="s">
        <v>41</v>
      </c>
      <c r="E5876" s="3">
        <v>2551418</v>
      </c>
      <c r="F5876" s="1">
        <v>2191.9398625429499</v>
      </c>
      <c r="G5876" s="1">
        <v>4</v>
      </c>
      <c r="H5876" s="1">
        <v>2</v>
      </c>
      <c r="I5876" s="1">
        <v>2</v>
      </c>
      <c r="J5876" s="1">
        <v>2</v>
      </c>
      <c r="K5876" s="1">
        <v>2</v>
      </c>
      <c r="M5876" s="4">
        <v>1164</v>
      </c>
      <c r="N5876" s="1">
        <v>1381.47</v>
      </c>
      <c r="O5876" s="1">
        <v>1404.64</v>
      </c>
      <c r="P5876" s="1">
        <v>23.1666666666666</v>
      </c>
      <c r="Q5876" s="1" t="s">
        <v>42</v>
      </c>
      <c r="S5876" s="1" t="s">
        <v>42</v>
      </c>
      <c r="T5876" s="1" t="s">
        <v>273</v>
      </c>
      <c r="U5876" s="1">
        <v>4</v>
      </c>
      <c r="V5876" s="5">
        <v>43684</v>
      </c>
      <c r="W5876" s="5">
        <v>43544</v>
      </c>
      <c r="X5876" s="1">
        <v>2606000</v>
      </c>
      <c r="Y5876" s="1">
        <v>2606000</v>
      </c>
      <c r="Z5876" s="5">
        <v>43548</v>
      </c>
      <c r="AA5876" s="1">
        <v>2551418</v>
      </c>
      <c r="AB5876" s="1" t="s">
        <v>4192</v>
      </c>
      <c r="AC5876" s="5">
        <v>43671</v>
      </c>
      <c r="AF5876" s="1">
        <v>10002</v>
      </c>
      <c r="AI5876" s="1" t="s">
        <v>66</v>
      </c>
      <c r="AJ5876" s="1">
        <v>2019</v>
      </c>
      <c r="AK5876" s="1" t="s">
        <v>46</v>
      </c>
      <c r="AL5876" s="1">
        <v>787</v>
      </c>
    </row>
    <row r="5877" spans="1:38" x14ac:dyDescent="0.2">
      <c r="A5877" s="2" t="str">
        <f>HYPERLINK("https://www.compass.com/listing/252-south-street-unit-28d-manhattan-ny-10002/276887442659746833/","252 South St, Unit 28D")</f>
        <v>252 South St, Unit 28D</v>
      </c>
      <c r="B5877" s="2" t="str">
        <f t="shared" si="979"/>
        <v>One Manhattan Square</v>
      </c>
      <c r="C5877" s="1" t="s">
        <v>47</v>
      </c>
      <c r="D5877" s="1" t="s">
        <v>41</v>
      </c>
      <c r="E5877" s="3">
        <v>2557771</v>
      </c>
      <c r="F5877" s="1">
        <v>2277.6233303650902</v>
      </c>
      <c r="H5877" s="1">
        <v>2</v>
      </c>
      <c r="J5877" s="1">
        <v>2</v>
      </c>
      <c r="K5877" s="1">
        <v>2</v>
      </c>
      <c r="M5877" s="4">
        <v>1123</v>
      </c>
      <c r="N5877" s="1">
        <v>1317</v>
      </c>
      <c r="O5877" s="1">
        <v>1337.23</v>
      </c>
      <c r="P5877" s="1">
        <v>20.25</v>
      </c>
      <c r="Q5877" s="1" t="s">
        <v>42</v>
      </c>
      <c r="S5877" s="1" t="s">
        <v>42</v>
      </c>
      <c r="T5877" s="1" t="s">
        <v>273</v>
      </c>
      <c r="AA5877" s="1">
        <v>2557771</v>
      </c>
      <c r="AB5877" s="1" t="s">
        <v>4193</v>
      </c>
      <c r="AC5877" s="5">
        <v>43619</v>
      </c>
      <c r="AF5877" s="1">
        <v>10002</v>
      </c>
      <c r="AI5877" s="1" t="s">
        <v>66</v>
      </c>
      <c r="AJ5877" s="1">
        <v>2019</v>
      </c>
      <c r="AK5877" s="1" t="s">
        <v>49</v>
      </c>
      <c r="AL5877" s="1">
        <v>787</v>
      </c>
    </row>
    <row r="5878" spans="1:38" x14ac:dyDescent="0.2">
      <c r="A5878" s="2" t="str">
        <f>HYPERLINK("https://www.compass.com/listing/252-south-street-unit-9d-manhattan-ny-10002/29513541631473521/","252 South St, Unit 9D")</f>
        <v>252 South St, Unit 9D</v>
      </c>
      <c r="B5878" s="2" t="str">
        <f t="shared" si="979"/>
        <v>One Manhattan Square</v>
      </c>
      <c r="C5878" s="1" t="s">
        <v>47</v>
      </c>
      <c r="D5878" s="1" t="s">
        <v>41</v>
      </c>
      <c r="E5878" s="3">
        <v>2340906</v>
      </c>
      <c r="F5878" s="1">
        <v>2084.5111665182499</v>
      </c>
      <c r="G5878" s="1">
        <v>4</v>
      </c>
      <c r="H5878" s="1">
        <v>2</v>
      </c>
      <c r="I5878" s="1">
        <v>2</v>
      </c>
      <c r="J5878" s="1">
        <v>2</v>
      </c>
      <c r="M5878" s="4">
        <v>1123</v>
      </c>
      <c r="N5878" s="1">
        <v>1192</v>
      </c>
      <c r="O5878" s="1">
        <v>1212</v>
      </c>
      <c r="P5878" s="1">
        <v>20</v>
      </c>
      <c r="Q5878" s="1" t="s">
        <v>42</v>
      </c>
      <c r="S5878" s="1" t="s">
        <v>42</v>
      </c>
      <c r="T5878" s="1" t="s">
        <v>273</v>
      </c>
      <c r="U5878" s="1">
        <v>5</v>
      </c>
      <c r="V5878" s="5">
        <v>43683</v>
      </c>
      <c r="W5878" s="5">
        <v>42868</v>
      </c>
      <c r="X5878" s="1">
        <v>2366000</v>
      </c>
      <c r="Y5878" s="1">
        <v>2366000</v>
      </c>
      <c r="Z5878" s="5">
        <v>42873</v>
      </c>
      <c r="AA5878" s="1">
        <v>2340906.04</v>
      </c>
      <c r="AB5878" s="1" t="s">
        <v>4194</v>
      </c>
      <c r="AC5878" s="5">
        <v>43551</v>
      </c>
      <c r="AF5878" s="1">
        <v>10002</v>
      </c>
      <c r="AI5878" s="1" t="s">
        <v>66</v>
      </c>
      <c r="AJ5878" s="1">
        <v>2019</v>
      </c>
      <c r="AK5878" s="1" t="s">
        <v>46</v>
      </c>
      <c r="AL5878" s="1">
        <v>787</v>
      </c>
    </row>
    <row r="5879" spans="1:38" x14ac:dyDescent="0.2">
      <c r="A5879" s="2" t="str">
        <f>HYPERLINK("https://www.compass.com/listing/130-william-street-unit-21c-manhattan-ny-10038/718132976608395929/","130 William St, Unit 21C")</f>
        <v>130 William St, Unit 21C</v>
      </c>
      <c r="B5879" s="2" t="str">
        <f t="shared" ref="B5879:B5880" si="980">HYPERLINK("https://www.compass.com/building/130-william-st-manhattan-ny-10038/282029682239486757/","130 William St")</f>
        <v>130 William St</v>
      </c>
      <c r="C5879" s="1" t="s">
        <v>96</v>
      </c>
      <c r="D5879" s="1" t="s">
        <v>41</v>
      </c>
      <c r="E5879" s="3">
        <v>2239682</v>
      </c>
      <c r="F5879" s="1">
        <v>1738.8832375776301</v>
      </c>
      <c r="G5879" s="1">
        <v>4</v>
      </c>
      <c r="H5879" s="1">
        <v>2</v>
      </c>
      <c r="I5879" s="1">
        <v>2</v>
      </c>
      <c r="J5879" s="1">
        <v>2</v>
      </c>
      <c r="K5879" s="1">
        <v>2</v>
      </c>
      <c r="M5879" s="4">
        <v>1288</v>
      </c>
      <c r="N5879" s="1">
        <v>885.94</v>
      </c>
      <c r="O5879" s="1">
        <v>2602.3000000000002</v>
      </c>
      <c r="P5879" s="1">
        <v>1716.3333333333301</v>
      </c>
      <c r="Q5879" s="1" t="s">
        <v>42</v>
      </c>
      <c r="S5879" s="1" t="s">
        <v>42</v>
      </c>
      <c r="T5879" s="1" t="s">
        <v>273</v>
      </c>
      <c r="U5879" s="1">
        <v>19</v>
      </c>
      <c r="V5879" s="5">
        <v>44293</v>
      </c>
      <c r="W5879" s="5">
        <v>44223</v>
      </c>
      <c r="X5879" s="1">
        <v>2195990</v>
      </c>
      <c r="Y5879" s="1">
        <v>2195990</v>
      </c>
      <c r="Z5879" s="5">
        <v>44243</v>
      </c>
      <c r="AA5879" s="1">
        <v>2239681.61</v>
      </c>
      <c r="AB5879" s="1" t="s">
        <v>4195</v>
      </c>
      <c r="AC5879" s="5">
        <v>44286</v>
      </c>
      <c r="AF5879" s="1">
        <v>10038</v>
      </c>
      <c r="AI5879" s="1" t="s">
        <v>111</v>
      </c>
      <c r="AJ5879" s="1">
        <v>2020</v>
      </c>
      <c r="AK5879" s="1" t="s">
        <v>46</v>
      </c>
      <c r="AL5879" s="1">
        <v>244</v>
      </c>
    </row>
    <row r="5880" spans="1:38" x14ac:dyDescent="0.2">
      <c r="A5880" s="2" t="str">
        <f>HYPERLINK("https://www.compass.com/listing/130-william-street-unit-27c-manhattan-ny-10038/718132984309138745/","130 William St, Unit 27C")</f>
        <v>130 William St, Unit 27C</v>
      </c>
      <c r="B5880" s="2" t="str">
        <f t="shared" si="980"/>
        <v>130 William St</v>
      </c>
      <c r="C5880" s="1" t="s">
        <v>96</v>
      </c>
      <c r="D5880" s="1" t="s">
        <v>41</v>
      </c>
      <c r="E5880" s="3">
        <v>2224408</v>
      </c>
      <c r="F5880" s="1">
        <v>2145.0413307618101</v>
      </c>
      <c r="G5880" s="1">
        <v>4</v>
      </c>
      <c r="H5880" s="1">
        <v>2</v>
      </c>
      <c r="I5880" s="1">
        <v>2</v>
      </c>
      <c r="J5880" s="1">
        <v>2</v>
      </c>
      <c r="K5880" s="1">
        <v>2</v>
      </c>
      <c r="M5880" s="4">
        <v>1037</v>
      </c>
      <c r="N5880" s="1">
        <v>741.39</v>
      </c>
      <c r="O5880" s="1">
        <v>2177.6999999999998</v>
      </c>
      <c r="P5880" s="1">
        <v>1436.3333333333301</v>
      </c>
      <c r="Q5880" s="1" t="s">
        <v>42</v>
      </c>
      <c r="S5880" s="1" t="s">
        <v>42</v>
      </c>
      <c r="T5880" s="1" t="s">
        <v>273</v>
      </c>
      <c r="U5880" s="1">
        <v>33</v>
      </c>
      <c r="V5880" s="5">
        <v>44293</v>
      </c>
      <c r="W5880" s="5">
        <v>44209</v>
      </c>
      <c r="X5880" s="1">
        <v>2180990</v>
      </c>
      <c r="Y5880" s="1">
        <v>2180990</v>
      </c>
      <c r="Z5880" s="5">
        <v>44243</v>
      </c>
      <c r="AA5880" s="1">
        <v>2224407.86</v>
      </c>
      <c r="AB5880" s="1" t="s">
        <v>4196</v>
      </c>
      <c r="AC5880" s="5">
        <v>44287</v>
      </c>
      <c r="AF5880" s="1">
        <v>10038</v>
      </c>
      <c r="AI5880" s="1" t="s">
        <v>111</v>
      </c>
      <c r="AJ5880" s="1">
        <v>2020</v>
      </c>
      <c r="AK5880" s="1" t="s">
        <v>46</v>
      </c>
      <c r="AL5880" s="1">
        <v>244</v>
      </c>
    </row>
    <row r="5881" spans="1:38" x14ac:dyDescent="0.2">
      <c r="A5881" s="2" t="str">
        <f>HYPERLINK("https://www.compass.com/listing/252-south-street-unit-21l-manhattan-ny-10002/465143449182745113/","252 South St, Unit 21L")</f>
        <v>252 South St, Unit 21L</v>
      </c>
      <c r="B5881" s="2" t="str">
        <f>HYPERLINK("https://www.compass.com/building/one-manhattan-square-manhattan-ny/294844950218926165/","One Manhattan Square")</f>
        <v>One Manhattan Square</v>
      </c>
      <c r="C5881" s="1" t="s">
        <v>47</v>
      </c>
      <c r="D5881" s="1" t="s">
        <v>41</v>
      </c>
      <c r="E5881" s="3">
        <v>2190129</v>
      </c>
      <c r="F5881" s="1">
        <v>1950.2484327693601</v>
      </c>
      <c r="G5881" s="1">
        <v>4</v>
      </c>
      <c r="H5881" s="1">
        <v>2</v>
      </c>
      <c r="I5881" s="1">
        <v>2</v>
      </c>
      <c r="J5881" s="1">
        <v>2</v>
      </c>
      <c r="K5881" s="1">
        <v>2</v>
      </c>
      <c r="M5881" s="4">
        <v>1123</v>
      </c>
      <c r="N5881" s="1">
        <v>1275</v>
      </c>
      <c r="O5881" s="1">
        <v>1295</v>
      </c>
      <c r="P5881" s="1">
        <v>20</v>
      </c>
      <c r="Q5881" s="1" t="s">
        <v>42</v>
      </c>
      <c r="S5881" s="1" t="s">
        <v>42</v>
      </c>
      <c r="T5881" s="1" t="s">
        <v>273</v>
      </c>
      <c r="U5881" s="1">
        <v>2</v>
      </c>
      <c r="V5881" s="5">
        <v>44006</v>
      </c>
      <c r="W5881" s="5">
        <v>43894</v>
      </c>
      <c r="X5881" s="1">
        <v>2194000</v>
      </c>
      <c r="Y5881" s="1">
        <v>2095270</v>
      </c>
      <c r="Z5881" s="5">
        <v>43897</v>
      </c>
      <c r="AA5881" s="1">
        <v>2190128.9900000002</v>
      </c>
      <c r="AB5881" s="1" t="s">
        <v>4197</v>
      </c>
      <c r="AC5881" s="5">
        <v>44001</v>
      </c>
      <c r="AF5881" s="1">
        <v>10002</v>
      </c>
      <c r="AI5881" s="1" t="s">
        <v>66</v>
      </c>
      <c r="AJ5881" s="1">
        <v>2019</v>
      </c>
      <c r="AK5881" s="1" t="s">
        <v>46</v>
      </c>
      <c r="AL5881" s="1">
        <v>787</v>
      </c>
    </row>
    <row r="5882" spans="1:38" x14ac:dyDescent="0.2">
      <c r="A5882" s="2" t="str">
        <f>HYPERLINK("https://www.compass.com/listing/130-william-street-unit-37b-manhattan-ny-10038/643050555188865481/","130 William St, Unit 37B")</f>
        <v>130 William St, Unit 37B</v>
      </c>
      <c r="B5882" s="2" t="str">
        <f t="shared" ref="B5882:B5892" si="981">HYPERLINK("https://www.compass.com/building/130-william-st-manhattan-ny-10038/282029682239486757/","130 William St")</f>
        <v>130 William St</v>
      </c>
      <c r="C5882" s="1" t="s">
        <v>96</v>
      </c>
      <c r="D5882" s="1" t="s">
        <v>41</v>
      </c>
      <c r="E5882" s="3">
        <v>3291452</v>
      </c>
      <c r="F5882" s="1">
        <v>2236.0408967391299</v>
      </c>
      <c r="G5882" s="1">
        <v>4.5</v>
      </c>
      <c r="H5882" s="1">
        <v>2</v>
      </c>
      <c r="I5882" s="1">
        <v>3</v>
      </c>
      <c r="J5882" s="1">
        <v>2.5</v>
      </c>
      <c r="K5882" s="1">
        <v>2</v>
      </c>
      <c r="L5882" s="1">
        <v>1</v>
      </c>
      <c r="M5882" s="4">
        <v>1472</v>
      </c>
      <c r="N5882" s="1">
        <v>1061.1400000000001</v>
      </c>
      <c r="O5882" s="1">
        <v>3116.91</v>
      </c>
      <c r="P5882" s="1">
        <v>2055.75</v>
      </c>
      <c r="Q5882" s="1" t="s">
        <v>42</v>
      </c>
      <c r="S5882" s="1" t="s">
        <v>42</v>
      </c>
      <c r="T5882" s="1" t="s">
        <v>273</v>
      </c>
      <c r="V5882" s="5">
        <v>44308</v>
      </c>
      <c r="W5882" s="5">
        <v>44138</v>
      </c>
      <c r="X5882" s="1">
        <v>3220990</v>
      </c>
      <c r="Y5882" s="1">
        <v>3220990</v>
      </c>
      <c r="Z5882" s="5">
        <v>44138</v>
      </c>
      <c r="AA5882" s="1">
        <v>3291452.2</v>
      </c>
      <c r="AB5882" s="1" t="s">
        <v>4198</v>
      </c>
      <c r="AC5882" s="5">
        <v>44306</v>
      </c>
      <c r="AF5882" s="1">
        <v>10038</v>
      </c>
      <c r="AI5882" s="1" t="s">
        <v>111</v>
      </c>
      <c r="AJ5882" s="1">
        <v>2020</v>
      </c>
      <c r="AK5882" s="1" t="s">
        <v>46</v>
      </c>
      <c r="AL5882" s="1">
        <v>244</v>
      </c>
    </row>
    <row r="5883" spans="1:38" x14ac:dyDescent="0.2">
      <c r="A5883" s="2" t="str">
        <f>HYPERLINK("https://www.compass.com/listing/130-william-street-unit-10f-manhattan-ny-10038/607172938837623489/","130 William St, Unit 10F")</f>
        <v>130 William St, Unit 10F</v>
      </c>
      <c r="B5883" s="2" t="str">
        <f t="shared" si="981"/>
        <v>130 William St</v>
      </c>
      <c r="C5883" s="1" t="s">
        <v>96</v>
      </c>
      <c r="D5883" s="1" t="s">
        <v>41</v>
      </c>
      <c r="E5883" s="3">
        <v>2117493</v>
      </c>
      <c r="F5883" s="1">
        <v>1503.90159801136</v>
      </c>
      <c r="G5883" s="1">
        <v>4.5</v>
      </c>
      <c r="H5883" s="1">
        <v>2</v>
      </c>
      <c r="I5883" s="1">
        <v>3</v>
      </c>
      <c r="J5883" s="1">
        <v>2.5</v>
      </c>
      <c r="K5883" s="1">
        <v>2</v>
      </c>
      <c r="L5883" s="1">
        <v>1</v>
      </c>
      <c r="M5883" s="4">
        <v>1408</v>
      </c>
      <c r="N5883" s="1">
        <v>939.27</v>
      </c>
      <c r="O5883" s="1">
        <v>2758.95</v>
      </c>
      <c r="P5883" s="1">
        <v>1819.6666666666599</v>
      </c>
      <c r="Q5883" s="1" t="s">
        <v>42</v>
      </c>
      <c r="S5883" s="1" t="s">
        <v>42</v>
      </c>
      <c r="T5883" s="1" t="s">
        <v>273</v>
      </c>
      <c r="V5883" s="5">
        <v>44394</v>
      </c>
      <c r="W5883" s="5">
        <v>44089</v>
      </c>
      <c r="X5883" s="1">
        <v>2075990</v>
      </c>
      <c r="Y5883" s="1">
        <v>2075990</v>
      </c>
      <c r="Z5883" s="5">
        <v>44089</v>
      </c>
      <c r="AA5883" s="1">
        <v>2117493.4500000002</v>
      </c>
      <c r="AB5883" s="1" t="s">
        <v>4199</v>
      </c>
      <c r="AC5883" s="5">
        <v>44393</v>
      </c>
      <c r="AF5883" s="1">
        <v>10038</v>
      </c>
      <c r="AI5883" s="1" t="s">
        <v>111</v>
      </c>
      <c r="AJ5883" s="1">
        <v>2020</v>
      </c>
      <c r="AK5883" s="1" t="s">
        <v>46</v>
      </c>
      <c r="AL5883" s="1">
        <v>244</v>
      </c>
    </row>
    <row r="5884" spans="1:38" x14ac:dyDescent="0.2">
      <c r="A5884" s="2" t="str">
        <f>HYPERLINK("https://www.compass.com/listing/130-william-street-unit-23b-manhattan-ny-10038/202116050903463777/","130 William St, Unit 23B")</f>
        <v>130 William St, Unit 23B</v>
      </c>
      <c r="B5884" s="2" t="str">
        <f t="shared" si="981"/>
        <v>130 William St</v>
      </c>
      <c r="C5884" s="1" t="s">
        <v>96</v>
      </c>
      <c r="D5884" s="1" t="s">
        <v>41</v>
      </c>
      <c r="E5884" s="3">
        <v>2820084</v>
      </c>
      <c r="F5884" s="1">
        <v>1861.4416567656699</v>
      </c>
      <c r="G5884" s="1">
        <v>5</v>
      </c>
      <c r="H5884" s="1">
        <v>3</v>
      </c>
      <c r="I5884" s="1">
        <v>2</v>
      </c>
      <c r="J5884" s="1">
        <v>2</v>
      </c>
      <c r="K5884" s="1">
        <v>2</v>
      </c>
      <c r="M5884" s="4">
        <v>1515</v>
      </c>
      <c r="N5884" s="1">
        <v>1054.78</v>
      </c>
      <c r="O5884" s="1">
        <v>3098.24</v>
      </c>
      <c r="P5884" s="1">
        <v>2043.5</v>
      </c>
      <c r="Q5884" s="1" t="s">
        <v>42</v>
      </c>
      <c r="S5884" s="1" t="s">
        <v>42</v>
      </c>
      <c r="T5884" s="1" t="s">
        <v>273</v>
      </c>
      <c r="U5884" s="1">
        <v>1</v>
      </c>
      <c r="V5884" s="5">
        <v>44224</v>
      </c>
      <c r="W5884" s="5">
        <v>43529</v>
      </c>
      <c r="X5884" s="1">
        <v>2725990</v>
      </c>
      <c r="Y5884" s="1">
        <v>2725990</v>
      </c>
      <c r="Z5884" s="5">
        <v>44098</v>
      </c>
      <c r="AA5884" s="1">
        <v>2820084.11</v>
      </c>
      <c r="AB5884" s="1" t="s">
        <v>4200</v>
      </c>
      <c r="AC5884" s="5">
        <v>44211</v>
      </c>
      <c r="AF5884" s="1">
        <v>10038</v>
      </c>
      <c r="AI5884" s="1" t="s">
        <v>111</v>
      </c>
      <c r="AJ5884" s="1">
        <v>2020</v>
      </c>
      <c r="AK5884" s="1" t="s">
        <v>46</v>
      </c>
      <c r="AL5884" s="1">
        <v>244</v>
      </c>
    </row>
    <row r="5885" spans="1:38" x14ac:dyDescent="0.2">
      <c r="A5885" s="2" t="str">
        <f>HYPERLINK("https://www.compass.com/listing/130-william-street-unit-28b-manhattan-ny-10038/206342606089650737/","130 William St, Unit 28B")</f>
        <v>130 William St, Unit 28B</v>
      </c>
      <c r="B5885" s="2" t="str">
        <f t="shared" si="981"/>
        <v>130 William St</v>
      </c>
      <c r="C5885" s="1" t="s">
        <v>96</v>
      </c>
      <c r="D5885" s="1" t="s">
        <v>41</v>
      </c>
      <c r="E5885" s="3">
        <v>3116395</v>
      </c>
      <c r="F5885" s="1">
        <v>2057.02631023102</v>
      </c>
      <c r="G5885" s="1">
        <v>5</v>
      </c>
      <c r="H5885" s="1">
        <v>3</v>
      </c>
      <c r="I5885" s="1">
        <v>2</v>
      </c>
      <c r="J5885" s="1">
        <v>2</v>
      </c>
      <c r="K5885" s="1">
        <v>2</v>
      </c>
      <c r="M5885" s="4">
        <v>1515</v>
      </c>
      <c r="N5885" s="1">
        <v>1069.76</v>
      </c>
      <c r="O5885" s="1">
        <v>3142.22999999999</v>
      </c>
      <c r="P5885" s="1">
        <v>2072.5</v>
      </c>
      <c r="Q5885" s="1" t="s">
        <v>42</v>
      </c>
      <c r="S5885" s="1" t="s">
        <v>42</v>
      </c>
      <c r="T5885" s="1" t="s">
        <v>273</v>
      </c>
      <c r="U5885" s="1">
        <v>213</v>
      </c>
      <c r="V5885" s="5">
        <v>44237</v>
      </c>
      <c r="W5885" s="5">
        <v>43536</v>
      </c>
      <c r="X5885" s="1">
        <v>2995990</v>
      </c>
      <c r="Y5885" s="1">
        <v>2995990</v>
      </c>
      <c r="Z5885" s="5">
        <v>44098</v>
      </c>
      <c r="AA5885" s="1">
        <v>3116394.86</v>
      </c>
      <c r="AB5885" s="1" t="s">
        <v>4201</v>
      </c>
      <c r="AC5885" s="5">
        <v>44225</v>
      </c>
      <c r="AF5885" s="1">
        <v>10038</v>
      </c>
      <c r="AI5885" s="1" t="s">
        <v>111</v>
      </c>
      <c r="AJ5885" s="1">
        <v>2020</v>
      </c>
      <c r="AK5885" s="1" t="s">
        <v>46</v>
      </c>
      <c r="AL5885" s="1">
        <v>244</v>
      </c>
    </row>
    <row r="5886" spans="1:38" x14ac:dyDescent="0.2">
      <c r="A5886" s="2" t="str">
        <f>HYPERLINK("https://www.compass.com/listing/130-william-street-unit-27b-manhattan-ny-10038/386142347218862961/","130 William St, Unit 27B")</f>
        <v>130 William St, Unit 27B</v>
      </c>
      <c r="B5886" s="2" t="str">
        <f t="shared" si="981"/>
        <v>130 William St</v>
      </c>
      <c r="C5886" s="1" t="s">
        <v>96</v>
      </c>
      <c r="D5886" s="1" t="s">
        <v>41</v>
      </c>
      <c r="E5886" s="3">
        <v>3025211</v>
      </c>
      <c r="F5886" s="1">
        <v>1996.8386138613801</v>
      </c>
      <c r="G5886" s="1">
        <v>5</v>
      </c>
      <c r="H5886" s="1">
        <v>3</v>
      </c>
      <c r="I5886" s="1">
        <v>2</v>
      </c>
      <c r="J5886" s="1">
        <v>2</v>
      </c>
      <c r="K5886" s="1">
        <v>2</v>
      </c>
      <c r="M5886" s="4">
        <v>1515</v>
      </c>
      <c r="N5886" s="1">
        <v>1067.72</v>
      </c>
      <c r="O5886" s="1">
        <v>3136.24</v>
      </c>
      <c r="P5886" s="1">
        <v>2068.5</v>
      </c>
      <c r="Q5886" s="1" t="s">
        <v>42</v>
      </c>
      <c r="S5886" s="1" t="s">
        <v>42</v>
      </c>
      <c r="T5886" s="1" t="s">
        <v>273</v>
      </c>
      <c r="U5886" s="1">
        <v>53</v>
      </c>
      <c r="V5886" s="5">
        <v>44224</v>
      </c>
      <c r="W5886" s="5">
        <v>43784</v>
      </c>
      <c r="X5886" s="1">
        <v>2970990</v>
      </c>
      <c r="Y5886" s="1">
        <v>2970990</v>
      </c>
      <c r="AA5886" s="1">
        <v>3025210.5</v>
      </c>
      <c r="AB5886" s="1" t="s">
        <v>4202</v>
      </c>
      <c r="AC5886" s="5">
        <v>44211</v>
      </c>
      <c r="AF5886" s="1">
        <v>10038</v>
      </c>
      <c r="AI5886" s="1" t="s">
        <v>111</v>
      </c>
      <c r="AJ5886" s="1">
        <v>2020</v>
      </c>
      <c r="AK5886" s="1" t="s">
        <v>46</v>
      </c>
      <c r="AL5886" s="1">
        <v>244</v>
      </c>
    </row>
    <row r="5887" spans="1:38" x14ac:dyDescent="0.2">
      <c r="A5887" s="2" t="str">
        <f>HYPERLINK("https://www.compass.com/listing/130-william-street-unit-33b-manhattan-ny-10038/192716826596107761/","130 William St, Unit 33B")</f>
        <v>130 William St, Unit 33B</v>
      </c>
      <c r="B5887" s="2" t="str">
        <f t="shared" si="981"/>
        <v>130 William St</v>
      </c>
      <c r="C5887" s="1" t="s">
        <v>96</v>
      </c>
      <c r="D5887" s="1" t="s">
        <v>41</v>
      </c>
      <c r="E5887" s="3">
        <v>3100103</v>
      </c>
      <c r="F5887" s="1">
        <v>2106.0481385869498</v>
      </c>
      <c r="G5887" s="1">
        <v>4.5</v>
      </c>
      <c r="H5887" s="1">
        <v>2</v>
      </c>
      <c r="I5887" s="1">
        <v>3</v>
      </c>
      <c r="J5887" s="1">
        <v>2.5</v>
      </c>
      <c r="K5887" s="1">
        <v>2</v>
      </c>
      <c r="L5887" s="1">
        <v>1</v>
      </c>
      <c r="M5887" s="4">
        <v>1472</v>
      </c>
      <c r="N5887" s="1">
        <v>1052.29</v>
      </c>
      <c r="O5887" s="1">
        <v>3090.91</v>
      </c>
      <c r="P5887" s="1">
        <v>2038.5833333333301</v>
      </c>
      <c r="Q5887" s="1" t="s">
        <v>42</v>
      </c>
      <c r="S5887" s="1" t="s">
        <v>42</v>
      </c>
      <c r="T5887" s="1" t="s">
        <v>273</v>
      </c>
      <c r="V5887" s="5">
        <v>44267</v>
      </c>
      <c r="W5887" s="5">
        <v>43517</v>
      </c>
      <c r="X5887" s="1">
        <v>3040990</v>
      </c>
      <c r="Y5887" s="1">
        <v>3040990</v>
      </c>
      <c r="Z5887" s="5">
        <v>44175</v>
      </c>
      <c r="AA5887" s="1">
        <v>3100102.86</v>
      </c>
      <c r="AB5887" s="1" t="s">
        <v>4203</v>
      </c>
      <c r="AC5887" s="5">
        <v>44257</v>
      </c>
      <c r="AF5887" s="1">
        <v>10038</v>
      </c>
      <c r="AI5887" s="1" t="s">
        <v>111</v>
      </c>
      <c r="AJ5887" s="1">
        <v>2020</v>
      </c>
      <c r="AK5887" s="1" t="s">
        <v>46</v>
      </c>
      <c r="AL5887" s="1">
        <v>244</v>
      </c>
    </row>
    <row r="5888" spans="1:38" x14ac:dyDescent="0.2">
      <c r="A5888" s="2" t="str">
        <f>HYPERLINK("https://www.compass.com/listing/130-william-street-unit-34b-manhattan-ny-10038/46330481490266369/","130 William St, Unit 34B")</f>
        <v>130 William St, Unit 34B</v>
      </c>
      <c r="B5888" s="2" t="str">
        <f t="shared" si="981"/>
        <v>130 William St</v>
      </c>
      <c r="C5888" s="1" t="s">
        <v>96</v>
      </c>
      <c r="D5888" s="1" t="s">
        <v>41</v>
      </c>
      <c r="E5888" s="3">
        <v>3153648</v>
      </c>
      <c r="F5888" s="1">
        <v>2142.4238858695599</v>
      </c>
      <c r="G5888" s="1">
        <v>4</v>
      </c>
      <c r="H5888" s="1">
        <v>2</v>
      </c>
      <c r="I5888" s="1">
        <v>3</v>
      </c>
      <c r="J5888" s="1">
        <v>2.5</v>
      </c>
      <c r="K5888" s="1">
        <v>2</v>
      </c>
      <c r="L5888" s="1">
        <v>1</v>
      </c>
      <c r="M5888" s="4">
        <v>1472</v>
      </c>
      <c r="N5888" s="1">
        <v>1054.56</v>
      </c>
      <c r="O5888" s="1">
        <v>3097.58</v>
      </c>
      <c r="P5888" s="1">
        <v>2043</v>
      </c>
      <c r="Q5888" s="1" t="s">
        <v>42</v>
      </c>
      <c r="S5888" s="1" t="s">
        <v>42</v>
      </c>
      <c r="T5888" s="1" t="s">
        <v>273</v>
      </c>
      <c r="U5888" s="1">
        <v>287</v>
      </c>
      <c r="V5888" s="5">
        <v>44253</v>
      </c>
      <c r="W5888" s="5">
        <v>43690</v>
      </c>
      <c r="Y5888" s="1">
        <v>3085990</v>
      </c>
      <c r="Z5888" s="5">
        <v>44098</v>
      </c>
      <c r="AA5888" s="1">
        <v>3153647.96</v>
      </c>
      <c r="AB5888" s="1" t="s">
        <v>4204</v>
      </c>
      <c r="AC5888" s="5">
        <v>44245</v>
      </c>
      <c r="AF5888" s="1">
        <v>10038</v>
      </c>
      <c r="AI5888" s="1" t="s">
        <v>111</v>
      </c>
      <c r="AJ5888" s="1">
        <v>2020</v>
      </c>
      <c r="AK5888" s="1" t="s">
        <v>46</v>
      </c>
      <c r="AL5888" s="1">
        <v>244</v>
      </c>
    </row>
    <row r="5889" spans="1:38" x14ac:dyDescent="0.2">
      <c r="A5889" s="2" t="str">
        <f>HYPERLINK("https://www.compass.com/listing/130-william-street-unit-26c-manhattan-ny-10038/46350165283441697/","130 William St, Unit 26C")</f>
        <v>130 William St, Unit 26C</v>
      </c>
      <c r="B5889" s="2" t="str">
        <f t="shared" si="981"/>
        <v>130 William St</v>
      </c>
      <c r="C5889" s="1" t="s">
        <v>96</v>
      </c>
      <c r="D5889" s="1" t="s">
        <v>41</v>
      </c>
      <c r="E5889" s="3">
        <v>2198952</v>
      </c>
      <c r="F5889" s="1">
        <v>2120.4933558341299</v>
      </c>
      <c r="G5889" s="1">
        <v>4</v>
      </c>
      <c r="H5889" s="1">
        <v>2</v>
      </c>
      <c r="I5889" s="1">
        <v>2</v>
      </c>
      <c r="J5889" s="1">
        <v>2</v>
      </c>
      <c r="K5889" s="1">
        <v>2</v>
      </c>
      <c r="M5889" s="4">
        <v>1037</v>
      </c>
      <c r="N5889" s="1">
        <v>739</v>
      </c>
      <c r="O5889" s="1">
        <v>2171</v>
      </c>
      <c r="P5889" s="1">
        <v>1432</v>
      </c>
      <c r="Q5889" s="1" t="s">
        <v>42</v>
      </c>
      <c r="S5889" s="1" t="s">
        <v>42</v>
      </c>
      <c r="T5889" s="1" t="s">
        <v>273</v>
      </c>
      <c r="U5889" s="1">
        <v>286</v>
      </c>
      <c r="V5889" s="5">
        <v>44412</v>
      </c>
      <c r="W5889" s="5">
        <v>44056</v>
      </c>
      <c r="X5889" s="1">
        <v>2155990</v>
      </c>
      <c r="Y5889" s="1">
        <v>2155990</v>
      </c>
      <c r="Z5889" s="5">
        <v>44342</v>
      </c>
      <c r="AA5889" s="1">
        <v>2198951.61</v>
      </c>
      <c r="AB5889" s="1" t="s">
        <v>4205</v>
      </c>
      <c r="AC5889" s="5">
        <v>44397</v>
      </c>
      <c r="AF5889" s="1">
        <v>10038</v>
      </c>
      <c r="AI5889" s="1" t="s">
        <v>111</v>
      </c>
      <c r="AJ5889" s="1">
        <v>2020</v>
      </c>
      <c r="AK5889" s="1" t="s">
        <v>46</v>
      </c>
      <c r="AL5889" s="1">
        <v>244</v>
      </c>
    </row>
    <row r="5890" spans="1:38" x14ac:dyDescent="0.2">
      <c r="A5890" s="2" t="str">
        <f>HYPERLINK("https://www.compass.com/listing/130-william-street-unit-38b-manhattan-ny-10038/516151155972445529/","130 William St, Unit 38B")</f>
        <v>130 William St, Unit 38B</v>
      </c>
      <c r="B5890" s="2" t="str">
        <f t="shared" si="981"/>
        <v>130 William St</v>
      </c>
      <c r="C5890" s="1" t="s">
        <v>96</v>
      </c>
      <c r="D5890" s="1" t="s">
        <v>41</v>
      </c>
      <c r="E5890" s="3">
        <v>3329209</v>
      </c>
      <c r="F5890" s="1">
        <v>2261.6909714673902</v>
      </c>
      <c r="G5890" s="1">
        <v>5</v>
      </c>
      <c r="H5890" s="1">
        <v>2</v>
      </c>
      <c r="I5890" s="1">
        <v>3</v>
      </c>
      <c r="J5890" s="1">
        <v>2.5</v>
      </c>
      <c r="K5890" s="1">
        <v>2</v>
      </c>
      <c r="L5890" s="1">
        <v>1</v>
      </c>
      <c r="M5890" s="4">
        <v>1472</v>
      </c>
      <c r="N5890" s="1">
        <v>1063.4100000000001</v>
      </c>
      <c r="O5890" s="1">
        <v>3123.5699999999902</v>
      </c>
      <c r="P5890" s="1">
        <v>2060.1666666666601</v>
      </c>
      <c r="Q5890" s="1" t="s">
        <v>42</v>
      </c>
      <c r="S5890" s="1" t="s">
        <v>42</v>
      </c>
      <c r="T5890" s="1" t="s">
        <v>273</v>
      </c>
      <c r="V5890" s="5">
        <v>44349</v>
      </c>
      <c r="W5890" s="5">
        <v>43963</v>
      </c>
      <c r="X5890" s="1">
        <v>3265990</v>
      </c>
      <c r="Y5890" s="1">
        <v>3265990</v>
      </c>
      <c r="Z5890" s="5">
        <v>44103</v>
      </c>
      <c r="AA5890" s="1">
        <v>3329209.11</v>
      </c>
      <c r="AB5890" s="1" t="s">
        <v>4206</v>
      </c>
      <c r="AC5890" s="5">
        <v>44274</v>
      </c>
      <c r="AF5890" s="1">
        <v>10038</v>
      </c>
      <c r="AI5890" s="1" t="s">
        <v>111</v>
      </c>
      <c r="AJ5890" s="1">
        <v>2020</v>
      </c>
      <c r="AK5890" s="1" t="s">
        <v>46</v>
      </c>
      <c r="AL5890" s="1">
        <v>244</v>
      </c>
    </row>
    <row r="5891" spans="1:38" x14ac:dyDescent="0.2">
      <c r="A5891" s="2" t="str">
        <f>HYPERLINK("https://www.compass.com/listing/130-william-street-unit-32e-manhattan-ny-10038/583282468021694113/","130 William St, Unit 32E")</f>
        <v>130 William St, Unit 32E</v>
      </c>
      <c r="B5891" s="2" t="str">
        <f t="shared" si="981"/>
        <v>130 William St</v>
      </c>
      <c r="C5891" s="1" t="s">
        <v>96</v>
      </c>
      <c r="D5891" s="1" t="s">
        <v>41</v>
      </c>
      <c r="E5891" s="3">
        <v>3109801</v>
      </c>
      <c r="F5891" s="1">
        <v>1679.1582073434099</v>
      </c>
      <c r="G5891" s="1">
        <v>5</v>
      </c>
      <c r="H5891" s="1">
        <v>3</v>
      </c>
      <c r="I5891" s="1">
        <v>3</v>
      </c>
      <c r="J5891" s="1">
        <v>3</v>
      </c>
      <c r="K5891" s="1">
        <v>3</v>
      </c>
      <c r="M5891" s="4">
        <v>1852</v>
      </c>
      <c r="N5891" s="1">
        <v>1292.6099999999999</v>
      </c>
      <c r="O5891" s="1">
        <v>3796.8099999999899</v>
      </c>
      <c r="P5891" s="1">
        <v>2504.1666666666601</v>
      </c>
      <c r="Q5891" s="1" t="s">
        <v>42</v>
      </c>
      <c r="S5891" s="1" t="s">
        <v>42</v>
      </c>
      <c r="T5891" s="1" t="s">
        <v>273</v>
      </c>
      <c r="U5891" s="1">
        <v>258</v>
      </c>
      <c r="V5891" s="5">
        <v>44419</v>
      </c>
      <c r="W5891" s="5">
        <v>44056</v>
      </c>
      <c r="X5891" s="1">
        <v>3325990</v>
      </c>
      <c r="Y5891" s="1">
        <v>3325990</v>
      </c>
      <c r="Z5891" s="5">
        <v>44315</v>
      </c>
      <c r="AA5891" s="1">
        <v>3109801</v>
      </c>
      <c r="AB5891" s="1" t="s">
        <v>295</v>
      </c>
      <c r="AC5891" s="5">
        <v>44315</v>
      </c>
      <c r="AF5891" s="1">
        <v>10038</v>
      </c>
      <c r="AI5891" s="1" t="s">
        <v>111</v>
      </c>
      <c r="AJ5891" s="1">
        <v>2020</v>
      </c>
      <c r="AK5891" s="1" t="s">
        <v>46</v>
      </c>
      <c r="AL5891" s="1">
        <v>244</v>
      </c>
    </row>
    <row r="5892" spans="1:38" x14ac:dyDescent="0.2">
      <c r="A5892" s="2" t="str">
        <f>HYPERLINK("https://www.compass.com/listing/130-william-street-unit-35b-manhattan-ny-10038/70276773065011681/","130 William St, Unit 35B")</f>
        <v>130 William St, Unit 35B</v>
      </c>
      <c r="B5892" s="2" t="str">
        <f t="shared" si="981"/>
        <v>130 William St</v>
      </c>
      <c r="C5892" s="1" t="s">
        <v>96</v>
      </c>
      <c r="D5892" s="1" t="s">
        <v>41</v>
      </c>
      <c r="E5892" s="3">
        <v>3327178</v>
      </c>
      <c r="F5892" s="1">
        <v>2260.3114470108699</v>
      </c>
      <c r="G5892" s="1">
        <v>4</v>
      </c>
      <c r="H5892" s="1">
        <v>2</v>
      </c>
      <c r="I5892" s="1">
        <v>3</v>
      </c>
      <c r="J5892" s="1">
        <v>2.5</v>
      </c>
      <c r="K5892" s="1">
        <v>2</v>
      </c>
      <c r="L5892" s="1">
        <v>1</v>
      </c>
      <c r="M5892" s="4">
        <v>1472</v>
      </c>
      <c r="N5892" s="1">
        <v>1057</v>
      </c>
      <c r="O5892" s="1">
        <v>3104</v>
      </c>
      <c r="P5892" s="1">
        <v>2047</v>
      </c>
      <c r="Q5892" s="1" t="s">
        <v>42</v>
      </c>
      <c r="S5892" s="1" t="s">
        <v>42</v>
      </c>
      <c r="T5892" s="1" t="s">
        <v>273</v>
      </c>
      <c r="U5892" s="1">
        <v>85</v>
      </c>
      <c r="V5892" s="5">
        <v>44288</v>
      </c>
      <c r="W5892" s="5">
        <v>44054</v>
      </c>
      <c r="Y5892" s="1">
        <v>3130990</v>
      </c>
      <c r="AA5892" s="1">
        <v>3327178.45</v>
      </c>
      <c r="AB5892" s="1" t="s">
        <v>4139</v>
      </c>
      <c r="AC5892" s="5">
        <v>44334</v>
      </c>
      <c r="AF5892" s="1">
        <v>10038</v>
      </c>
      <c r="AI5892" s="1" t="s">
        <v>111</v>
      </c>
      <c r="AJ5892" s="1">
        <v>2020</v>
      </c>
      <c r="AK5892" s="1" t="s">
        <v>46</v>
      </c>
      <c r="AL5892" s="1">
        <v>244</v>
      </c>
    </row>
    <row r="5893" spans="1:38" x14ac:dyDescent="0.2">
      <c r="A5893" s="2" t="str">
        <f>HYPERLINK("https://www.compass.com/listing/50-west-street-unit-9d-manhattan-ny-10006/4852282580701021649/","50 West St, Unit 9D")</f>
        <v>50 West St, Unit 9D</v>
      </c>
      <c r="B5893" s="2" t="str">
        <f t="shared" ref="B5893:B5895" si="982">HYPERLINK("https://www.compass.com/building/50-west-st-manhattan-ny-10006/281896342152815429/","50 West St")</f>
        <v>50 West St</v>
      </c>
      <c r="C5893" s="1" t="s">
        <v>96</v>
      </c>
      <c r="D5893" s="1" t="s">
        <v>41</v>
      </c>
      <c r="E5893" s="3">
        <v>4690000</v>
      </c>
      <c r="F5893" s="1">
        <v>1951.72700790678</v>
      </c>
      <c r="G5893" s="1">
        <v>5</v>
      </c>
      <c r="H5893" s="1">
        <v>3</v>
      </c>
      <c r="I5893" s="1">
        <v>3</v>
      </c>
      <c r="J5893" s="1">
        <v>3</v>
      </c>
      <c r="K5893" s="1">
        <v>3</v>
      </c>
      <c r="M5893" s="4">
        <v>2403</v>
      </c>
      <c r="N5893" s="1">
        <v>2635</v>
      </c>
      <c r="O5893" s="1">
        <v>5573.35</v>
      </c>
      <c r="P5893" s="1">
        <v>2938.3333333333298</v>
      </c>
      <c r="Q5893" s="1" t="s">
        <v>42</v>
      </c>
      <c r="S5893" s="1" t="s">
        <v>42</v>
      </c>
      <c r="T5893" s="1" t="s">
        <v>273</v>
      </c>
      <c r="U5893" s="1">
        <v>10</v>
      </c>
      <c r="V5893" s="5">
        <v>43649</v>
      </c>
      <c r="W5893" s="5">
        <v>42935</v>
      </c>
      <c r="X5893" s="1">
        <v>4690000</v>
      </c>
      <c r="Y5893" s="1">
        <v>4690000</v>
      </c>
      <c r="Z5893" s="5">
        <v>42945</v>
      </c>
      <c r="AA5893" s="1">
        <v>4690000</v>
      </c>
      <c r="AB5893" s="1" t="s">
        <v>275</v>
      </c>
      <c r="AC5893" s="5">
        <v>43029</v>
      </c>
      <c r="AF5893" s="1">
        <v>10006</v>
      </c>
      <c r="AI5893" s="1" t="s">
        <v>97</v>
      </c>
      <c r="AJ5893" s="1">
        <v>2016</v>
      </c>
      <c r="AK5893" s="1" t="s">
        <v>46</v>
      </c>
      <c r="AL5893" s="1">
        <v>186</v>
      </c>
    </row>
    <row r="5894" spans="1:38" x14ac:dyDescent="0.2">
      <c r="A5894" s="2" t="str">
        <f>HYPERLINK("https://www.compass.com/listing/50-west-street-unit-11d-manhattan-ny-10006/4852282589139962641/","50 West St, Unit 11D")</f>
        <v>50 West St, Unit 11D</v>
      </c>
      <c r="B5894" s="2" t="str">
        <f t="shared" si="982"/>
        <v>50 West St</v>
      </c>
      <c r="C5894" s="1" t="s">
        <v>96</v>
      </c>
      <c r="D5894" s="1" t="s">
        <v>41</v>
      </c>
      <c r="E5894" s="3">
        <v>4795000</v>
      </c>
      <c r="F5894" s="1">
        <v>1995.4223886808099</v>
      </c>
      <c r="G5894" s="1">
        <v>5</v>
      </c>
      <c r="H5894" s="1">
        <v>3</v>
      </c>
      <c r="I5894" s="1">
        <v>3</v>
      </c>
      <c r="J5894" s="1">
        <v>3</v>
      </c>
      <c r="K5894" s="1">
        <v>3</v>
      </c>
      <c r="M5894" s="4">
        <v>2403</v>
      </c>
      <c r="N5894" s="1">
        <v>2660.76</v>
      </c>
      <c r="O5894" s="1">
        <v>5627.83</v>
      </c>
      <c r="P5894" s="1">
        <v>2967.0833333333298</v>
      </c>
      <c r="Q5894" s="1" t="s">
        <v>42</v>
      </c>
      <c r="S5894" s="1" t="s">
        <v>42</v>
      </c>
      <c r="T5894" s="1" t="s">
        <v>273</v>
      </c>
      <c r="U5894" s="1">
        <v>513</v>
      </c>
      <c r="V5894" s="5">
        <v>43605</v>
      </c>
      <c r="W5894" s="5">
        <v>42431</v>
      </c>
      <c r="X5894" s="1">
        <v>4795000</v>
      </c>
      <c r="Y5894" s="1">
        <v>4795000</v>
      </c>
      <c r="Z5894" s="5">
        <v>42945</v>
      </c>
      <c r="AA5894" s="1">
        <v>4795000</v>
      </c>
      <c r="AB5894" s="1" t="s">
        <v>275</v>
      </c>
      <c r="AC5894" s="5">
        <v>43029</v>
      </c>
      <c r="AF5894" s="1">
        <v>10006</v>
      </c>
      <c r="AI5894" s="1" t="s">
        <v>97</v>
      </c>
      <c r="AJ5894" s="1">
        <v>2016</v>
      </c>
      <c r="AK5894" s="1" t="s">
        <v>46</v>
      </c>
      <c r="AL5894" s="1">
        <v>186</v>
      </c>
    </row>
    <row r="5895" spans="1:38" x14ac:dyDescent="0.2">
      <c r="A5895" s="2" t="str">
        <f>HYPERLINK("https://www.compass.com/listing/50-west-street-unit-20b-manhattan-ny-10006/682566605624020833/","50 West St, Unit 20B")</f>
        <v>50 West St, Unit 20B</v>
      </c>
      <c r="B5895" s="2" t="str">
        <f t="shared" si="982"/>
        <v>50 West St</v>
      </c>
      <c r="C5895" s="1" t="s">
        <v>96</v>
      </c>
      <c r="D5895" s="1" t="s">
        <v>41</v>
      </c>
      <c r="E5895" s="3">
        <v>4150000</v>
      </c>
      <c r="F5895" s="1">
        <v>1797.3148549155401</v>
      </c>
      <c r="G5895" s="1">
        <v>5</v>
      </c>
      <c r="H5895" s="1">
        <v>3</v>
      </c>
      <c r="I5895" s="1">
        <v>4</v>
      </c>
      <c r="J5895" s="1">
        <v>3.5</v>
      </c>
      <c r="K5895" s="1">
        <v>3</v>
      </c>
      <c r="L5895" s="1">
        <v>1</v>
      </c>
      <c r="M5895" s="4">
        <v>2309</v>
      </c>
      <c r="N5895" s="1">
        <v>2650</v>
      </c>
      <c r="O5895" s="1">
        <v>6694</v>
      </c>
      <c r="P5895" s="1">
        <v>4044</v>
      </c>
      <c r="Q5895" s="1" t="s">
        <v>42</v>
      </c>
      <c r="S5895" s="1" t="s">
        <v>42</v>
      </c>
      <c r="T5895" s="1" t="s">
        <v>273</v>
      </c>
      <c r="V5895" s="5">
        <v>44394</v>
      </c>
      <c r="W5895" s="5">
        <v>44194</v>
      </c>
      <c r="X5895" s="1">
        <v>4300000</v>
      </c>
      <c r="Y5895" s="1">
        <v>4300000</v>
      </c>
      <c r="Z5895" s="5">
        <v>44194</v>
      </c>
      <c r="AA5895" s="1">
        <v>4150000</v>
      </c>
      <c r="AB5895" s="1" t="s">
        <v>4207</v>
      </c>
      <c r="AC5895" s="5">
        <v>44298</v>
      </c>
      <c r="AF5895" s="1">
        <v>10006</v>
      </c>
      <c r="AI5895" s="1" t="s">
        <v>165</v>
      </c>
      <c r="AJ5895" s="1">
        <v>2016</v>
      </c>
      <c r="AK5895" s="1" t="s">
        <v>46</v>
      </c>
      <c r="AL5895" s="1">
        <v>186</v>
      </c>
    </row>
    <row r="5896" spans="1:38" x14ac:dyDescent="0.2">
      <c r="A5896" s="2" t="str">
        <f>HYPERLINK("https://www.compass.com/listing/252-south-street-unit-46j-manhattan-ny-10002/409251305105896257/","252 South St, Unit 46J")</f>
        <v>252 South St, Unit 46J</v>
      </c>
      <c r="B5896" s="2" t="str">
        <f>HYPERLINK("https://www.compass.com/building/one-manhattan-square-manhattan-ny/294844950218926165/","One Manhattan Square")</f>
        <v>One Manhattan Square</v>
      </c>
      <c r="C5896" s="1" t="s">
        <v>47</v>
      </c>
      <c r="D5896" s="1" t="s">
        <v>41</v>
      </c>
      <c r="E5896" s="3">
        <v>1479487</v>
      </c>
      <c r="F5896" s="1">
        <v>2128.7580143884802</v>
      </c>
      <c r="G5896" s="1">
        <v>3</v>
      </c>
      <c r="H5896" s="1">
        <v>1</v>
      </c>
      <c r="I5896" s="1">
        <v>1</v>
      </c>
      <c r="J5896" s="1">
        <v>1</v>
      </c>
      <c r="K5896" s="1">
        <v>1</v>
      </c>
      <c r="M5896" s="1">
        <v>695</v>
      </c>
      <c r="N5896" s="1">
        <v>877.98</v>
      </c>
      <c r="O5896" s="1">
        <v>891.84</v>
      </c>
      <c r="P5896" s="1">
        <v>13.8333333333333</v>
      </c>
      <c r="Q5896" s="1" t="s">
        <v>42</v>
      </c>
      <c r="S5896" s="1" t="s">
        <v>42</v>
      </c>
      <c r="T5896" s="1" t="s">
        <v>273</v>
      </c>
      <c r="U5896" s="1">
        <v>2</v>
      </c>
      <c r="V5896" s="5">
        <v>44029</v>
      </c>
      <c r="W5896" s="5">
        <v>43816</v>
      </c>
      <c r="X5896" s="1">
        <v>1482000</v>
      </c>
      <c r="Y5896" s="1">
        <v>1450000</v>
      </c>
      <c r="Z5896" s="5">
        <v>43819</v>
      </c>
      <c r="AA5896" s="1">
        <v>1479486.82</v>
      </c>
      <c r="AB5896" s="1" t="s">
        <v>4208</v>
      </c>
      <c r="AC5896" s="5">
        <v>44027</v>
      </c>
      <c r="AF5896" s="1">
        <v>10002</v>
      </c>
      <c r="AI5896" s="1" t="s">
        <v>66</v>
      </c>
      <c r="AJ5896" s="1">
        <v>2019</v>
      </c>
      <c r="AK5896" s="1" t="s">
        <v>46</v>
      </c>
      <c r="AL5896" s="1">
        <v>787</v>
      </c>
    </row>
    <row r="5897" spans="1:38" x14ac:dyDescent="0.2">
      <c r="A5897" s="2" t="str">
        <f>HYPERLINK("https://www.compass.com/listing/130-william-street-unit-39b-manhattan-ny-10038/726105341604788537/","130 William St, Unit 39B")</f>
        <v>130 William St, Unit 39B</v>
      </c>
      <c r="B5897" s="2" t="str">
        <f>HYPERLINK("https://www.compass.com/building/130-william-st-manhattan-ny-10038/282029682239486757/","130 William St")</f>
        <v>130 William St</v>
      </c>
      <c r="C5897" s="1" t="s">
        <v>96</v>
      </c>
      <c r="D5897" s="1" t="s">
        <v>41</v>
      </c>
      <c r="E5897" s="3">
        <v>3441502</v>
      </c>
      <c r="F5897" s="1">
        <v>2337.9772078804299</v>
      </c>
      <c r="G5897" s="1">
        <v>4.5</v>
      </c>
      <c r="H5897" s="1">
        <v>2</v>
      </c>
      <c r="I5897" s="1">
        <v>3</v>
      </c>
      <c r="J5897" s="1">
        <v>2.5</v>
      </c>
      <c r="K5897" s="1">
        <v>2</v>
      </c>
      <c r="L5897" s="1">
        <v>1</v>
      </c>
      <c r="M5897" s="4">
        <v>1472</v>
      </c>
      <c r="N5897" s="1">
        <v>1065.68</v>
      </c>
      <c r="O5897" s="1">
        <v>3130.24</v>
      </c>
      <c r="P5897" s="1">
        <v>2064.5833333333298</v>
      </c>
      <c r="Q5897" s="1" t="s">
        <v>42</v>
      </c>
      <c r="S5897" s="1" t="s">
        <v>42</v>
      </c>
      <c r="T5897" s="1" t="s">
        <v>273</v>
      </c>
      <c r="U5897" s="1">
        <v>24</v>
      </c>
      <c r="V5897" s="5">
        <v>44287</v>
      </c>
      <c r="W5897" s="5">
        <v>44229</v>
      </c>
      <c r="X5897" s="1">
        <v>3310990</v>
      </c>
      <c r="Y5897" s="1">
        <v>3310990</v>
      </c>
      <c r="Z5897" s="5">
        <v>44254</v>
      </c>
      <c r="AA5897" s="1">
        <v>3441502.45</v>
      </c>
      <c r="AB5897" s="1" t="s">
        <v>4209</v>
      </c>
      <c r="AC5897" s="5">
        <v>44277</v>
      </c>
      <c r="AF5897" s="1">
        <v>10038</v>
      </c>
      <c r="AI5897" s="1" t="s">
        <v>111</v>
      </c>
      <c r="AJ5897" s="1">
        <v>2020</v>
      </c>
      <c r="AK5897" s="1" t="s">
        <v>46</v>
      </c>
      <c r="AL5897" s="1">
        <v>244</v>
      </c>
    </row>
    <row r="5898" spans="1:38" x14ac:dyDescent="0.2">
      <c r="A5898" s="2" t="str">
        <f>HYPERLINK("https://www.compass.com/listing/252-south-street-unit-47l-manhattan-ny-10002/29513542185086129/","252 South St, Unit 47L")</f>
        <v>252 South St, Unit 47L</v>
      </c>
      <c r="B5898" s="2" t="str">
        <f t="shared" ref="B5898:B5900" si="983">HYPERLINK("https://www.compass.com/building/one-manhattan-square-manhattan-ny/294844950218926165/","One Manhattan Square")</f>
        <v>One Manhattan Square</v>
      </c>
      <c r="C5898" s="1" t="s">
        <v>47</v>
      </c>
      <c r="D5898" s="1" t="s">
        <v>41</v>
      </c>
      <c r="E5898" s="3">
        <v>2615811</v>
      </c>
      <c r="F5898" s="1">
        <v>2329.3063223508402</v>
      </c>
      <c r="G5898" s="1">
        <v>4</v>
      </c>
      <c r="H5898" s="1">
        <v>2</v>
      </c>
      <c r="I5898" s="1">
        <v>2</v>
      </c>
      <c r="J5898" s="1">
        <v>2</v>
      </c>
      <c r="M5898" s="4">
        <v>1123</v>
      </c>
      <c r="N5898" s="1">
        <v>1404</v>
      </c>
      <c r="O5898" s="1">
        <v>1428</v>
      </c>
      <c r="P5898" s="1">
        <v>24</v>
      </c>
      <c r="Q5898" s="1" t="s">
        <v>42</v>
      </c>
      <c r="S5898" s="1" t="s">
        <v>42</v>
      </c>
      <c r="T5898" s="1" t="s">
        <v>273</v>
      </c>
      <c r="U5898" s="1">
        <v>4</v>
      </c>
      <c r="V5898" s="5">
        <v>43759</v>
      </c>
      <c r="W5898" s="5">
        <v>42845</v>
      </c>
      <c r="X5898" s="1">
        <v>2701000</v>
      </c>
      <c r="Y5898" s="1">
        <v>2701000</v>
      </c>
      <c r="Z5898" s="5">
        <v>42849</v>
      </c>
      <c r="AA5898" s="1">
        <v>2615811</v>
      </c>
      <c r="AB5898" s="1" t="s">
        <v>4210</v>
      </c>
      <c r="AC5898" s="5">
        <v>43745</v>
      </c>
      <c r="AF5898" s="1">
        <v>10002</v>
      </c>
      <c r="AI5898" s="1" t="s">
        <v>66</v>
      </c>
      <c r="AJ5898" s="1">
        <v>2019</v>
      </c>
      <c r="AK5898" s="1" t="s">
        <v>46</v>
      </c>
      <c r="AL5898" s="1">
        <v>787</v>
      </c>
    </row>
    <row r="5899" spans="1:38" x14ac:dyDescent="0.2">
      <c r="A5899" s="2" t="str">
        <f>HYPERLINK("https://www.compass.com/listing/252-south-street-unit-53a-manhattan-ny-10002/29513542453557137/","252 South St, Unit 53A")</f>
        <v>252 South St, Unit 53A</v>
      </c>
      <c r="B5899" s="2" t="str">
        <f t="shared" si="983"/>
        <v>One Manhattan Square</v>
      </c>
      <c r="C5899" s="1" t="s">
        <v>47</v>
      </c>
      <c r="D5899" s="1" t="s">
        <v>41</v>
      </c>
      <c r="E5899" s="3">
        <v>2766512</v>
      </c>
      <c r="F5899" s="1">
        <v>2378.77214101461</v>
      </c>
      <c r="G5899" s="1">
        <v>4</v>
      </c>
      <c r="H5899" s="1">
        <v>2</v>
      </c>
      <c r="I5899" s="1">
        <v>2</v>
      </c>
      <c r="J5899" s="1">
        <v>2</v>
      </c>
      <c r="M5899" s="4">
        <v>1163</v>
      </c>
      <c r="N5899" s="1">
        <v>1497</v>
      </c>
      <c r="O5899" s="1">
        <v>1522</v>
      </c>
      <c r="P5899" s="1">
        <v>25</v>
      </c>
      <c r="Q5899" s="1" t="s">
        <v>42</v>
      </c>
      <c r="S5899" s="1" t="s">
        <v>42</v>
      </c>
      <c r="T5899" s="1" t="s">
        <v>273</v>
      </c>
      <c r="U5899" s="1">
        <v>4</v>
      </c>
      <c r="V5899" s="5">
        <v>43696</v>
      </c>
      <c r="W5899" s="5">
        <v>42846</v>
      </c>
      <c r="X5899" s="1">
        <v>2856000</v>
      </c>
      <c r="Y5899" s="1">
        <v>2856000</v>
      </c>
      <c r="Z5899" s="5">
        <v>42850</v>
      </c>
      <c r="AA5899" s="1">
        <v>2766512</v>
      </c>
      <c r="AB5899" s="1" t="s">
        <v>4211</v>
      </c>
      <c r="AC5899" s="5">
        <v>43685</v>
      </c>
      <c r="AF5899" s="1">
        <v>10002</v>
      </c>
      <c r="AI5899" s="1" t="s">
        <v>66</v>
      </c>
      <c r="AJ5899" s="1">
        <v>2019</v>
      </c>
      <c r="AK5899" s="1" t="s">
        <v>46</v>
      </c>
      <c r="AL5899" s="1">
        <v>787</v>
      </c>
    </row>
    <row r="5900" spans="1:38" x14ac:dyDescent="0.2">
      <c r="A5900" s="2" t="str">
        <f>HYPERLINK("https://www.compass.com/listing/252-south-street-unit-8d-manhattan-ny-10002/29513544861001441/","252 South St, Unit 8D")</f>
        <v>252 South St, Unit 8D</v>
      </c>
      <c r="B5900" s="2" t="str">
        <f t="shared" si="983"/>
        <v>One Manhattan Square</v>
      </c>
      <c r="C5900" s="1" t="s">
        <v>47</v>
      </c>
      <c r="D5900" s="1" t="s">
        <v>41</v>
      </c>
      <c r="E5900" s="3">
        <v>2315428</v>
      </c>
      <c r="F5900" s="1">
        <v>2061.8232413178898</v>
      </c>
      <c r="G5900" s="1">
        <v>4</v>
      </c>
      <c r="H5900" s="1">
        <v>2</v>
      </c>
      <c r="I5900" s="1">
        <v>2</v>
      </c>
      <c r="J5900" s="1">
        <v>2</v>
      </c>
      <c r="M5900" s="4">
        <v>1123</v>
      </c>
      <c r="N5900" s="1">
        <v>1186</v>
      </c>
      <c r="O5900" s="1">
        <v>1206</v>
      </c>
      <c r="P5900" s="1">
        <v>20</v>
      </c>
      <c r="Q5900" s="1" t="s">
        <v>42</v>
      </c>
      <c r="S5900" s="1" t="s">
        <v>42</v>
      </c>
      <c r="T5900" s="1" t="s">
        <v>273</v>
      </c>
      <c r="U5900" s="1">
        <v>4</v>
      </c>
      <c r="V5900" s="5">
        <v>43683</v>
      </c>
      <c r="W5900" s="5">
        <v>42825</v>
      </c>
      <c r="X5900" s="1">
        <v>2366000</v>
      </c>
      <c r="Y5900" s="1">
        <v>2366000</v>
      </c>
      <c r="Z5900" s="5">
        <v>42829</v>
      </c>
      <c r="AA5900" s="1">
        <v>2315427.5</v>
      </c>
      <c r="AB5900" s="1" t="s">
        <v>4212</v>
      </c>
      <c r="AC5900" s="5">
        <v>43556</v>
      </c>
      <c r="AF5900" s="1">
        <v>10002</v>
      </c>
      <c r="AI5900" s="1" t="s">
        <v>66</v>
      </c>
      <c r="AJ5900" s="1">
        <v>2019</v>
      </c>
      <c r="AK5900" s="1" t="s">
        <v>46</v>
      </c>
      <c r="AL5900" s="1">
        <v>787</v>
      </c>
    </row>
    <row r="5901" spans="1:38" x14ac:dyDescent="0.2">
      <c r="A5901" s="2" t="str">
        <f>HYPERLINK("https://www.compass.com/listing/130-william-street-unit-33e-manhattan-ny-10038/358657172040299985/","130 William St, Unit 33E")</f>
        <v>130 William St, Unit 33E</v>
      </c>
      <c r="B5901" s="2" t="str">
        <f t="shared" ref="B5901:B5906" si="984">HYPERLINK("https://www.compass.com/building/130-william-st-manhattan-ny-10038/282029682239486757/","130 William St")</f>
        <v>130 William St</v>
      </c>
      <c r="C5901" s="1" t="s">
        <v>96</v>
      </c>
      <c r="D5901" s="1" t="s">
        <v>41</v>
      </c>
      <c r="E5901" s="3">
        <v>3429253</v>
      </c>
      <c r="F5901" s="1">
        <v>1851.6484881209501</v>
      </c>
      <c r="G5901" s="1">
        <v>5</v>
      </c>
      <c r="H5901" s="1">
        <v>3</v>
      </c>
      <c r="I5901" s="1">
        <v>3</v>
      </c>
      <c r="J5901" s="1">
        <v>3</v>
      </c>
      <c r="K5901" s="1">
        <v>3</v>
      </c>
      <c r="M5901" s="4">
        <v>1852</v>
      </c>
      <c r="N5901" s="1">
        <v>1295.33</v>
      </c>
      <c r="O5901" s="1">
        <v>3804.81</v>
      </c>
      <c r="P5901" s="1">
        <v>2509.5</v>
      </c>
      <c r="Q5901" s="1" t="s">
        <v>42</v>
      </c>
      <c r="S5901" s="1" t="s">
        <v>42</v>
      </c>
      <c r="T5901" s="1" t="s">
        <v>273</v>
      </c>
      <c r="V5901" s="5">
        <v>44405</v>
      </c>
      <c r="W5901" s="5">
        <v>43746</v>
      </c>
      <c r="X5901" s="1">
        <v>3355990</v>
      </c>
      <c r="Y5901" s="1">
        <v>3355990</v>
      </c>
      <c r="Z5901" s="5">
        <v>44170</v>
      </c>
      <c r="AA5901" s="1">
        <v>3429253</v>
      </c>
      <c r="AB5901" s="1" t="s">
        <v>275</v>
      </c>
      <c r="AC5901" s="5">
        <v>44396</v>
      </c>
      <c r="AF5901" s="1">
        <v>10038</v>
      </c>
      <c r="AI5901" s="1" t="s">
        <v>111</v>
      </c>
      <c r="AJ5901" s="1">
        <v>2020</v>
      </c>
      <c r="AK5901" s="1" t="s">
        <v>46</v>
      </c>
      <c r="AL5901" s="1">
        <v>244</v>
      </c>
    </row>
    <row r="5902" spans="1:38" x14ac:dyDescent="0.2">
      <c r="A5902" s="2" t="str">
        <f>HYPERLINK("https://www.compass.com/listing/130-william-street-unit-43a-manhattan-ny-10038/165119295737607745/","130 William St, Unit 43A")</f>
        <v>130 William St, Unit 43A</v>
      </c>
      <c r="B5902" s="2" t="str">
        <f t="shared" si="984"/>
        <v>130 William St</v>
      </c>
      <c r="C5902" s="1" t="s">
        <v>96</v>
      </c>
      <c r="D5902" s="1" t="s">
        <v>41</v>
      </c>
      <c r="E5902" s="3">
        <v>6251587</v>
      </c>
      <c r="F5902" s="1">
        <v>2510.6773534136501</v>
      </c>
      <c r="G5902" s="1">
        <v>7.5</v>
      </c>
      <c r="H5902" s="1">
        <v>4</v>
      </c>
      <c r="I5902" s="1">
        <v>5</v>
      </c>
      <c r="J5902" s="1">
        <v>4.5</v>
      </c>
      <c r="K5902" s="1">
        <v>4</v>
      </c>
      <c r="L5902" s="1">
        <v>1</v>
      </c>
      <c r="M5902" s="4">
        <v>2490</v>
      </c>
      <c r="N5902" s="1">
        <v>1884.9</v>
      </c>
      <c r="O5902" s="1">
        <v>5536.57</v>
      </c>
      <c r="P5902" s="1">
        <v>3651.6666666666601</v>
      </c>
      <c r="Q5902" s="1" t="s">
        <v>42</v>
      </c>
      <c r="S5902" s="1" t="s">
        <v>42</v>
      </c>
      <c r="T5902" s="1" t="s">
        <v>273</v>
      </c>
      <c r="U5902" s="1">
        <v>9</v>
      </c>
      <c r="V5902" s="5">
        <v>44294</v>
      </c>
      <c r="W5902" s="5">
        <v>43479</v>
      </c>
      <c r="X5902" s="1">
        <v>6135990</v>
      </c>
      <c r="Y5902" s="1">
        <v>6490990</v>
      </c>
      <c r="Z5902" s="5">
        <v>44110</v>
      </c>
      <c r="AA5902" s="1">
        <v>6251586.6100000003</v>
      </c>
      <c r="AB5902" s="1" t="s">
        <v>4213</v>
      </c>
      <c r="AC5902" s="5">
        <v>44286</v>
      </c>
      <c r="AF5902" s="1">
        <v>10038</v>
      </c>
      <c r="AI5902" s="1" t="s">
        <v>111</v>
      </c>
      <c r="AJ5902" s="1">
        <v>2020</v>
      </c>
      <c r="AK5902" s="1" t="s">
        <v>46</v>
      </c>
      <c r="AL5902" s="1">
        <v>244</v>
      </c>
    </row>
    <row r="5903" spans="1:38" x14ac:dyDescent="0.2">
      <c r="A5903" s="2" t="str">
        <f>HYPERLINK("https://www.compass.com/listing/130-william-street-unit-l58b-manhattan-ny-10038/186053962603022689/","130 William St, Unit L58B")</f>
        <v>130 William St, Unit L58B</v>
      </c>
      <c r="B5903" s="2" t="str">
        <f t="shared" si="984"/>
        <v>130 William St</v>
      </c>
      <c r="C5903" s="1" t="s">
        <v>96</v>
      </c>
      <c r="D5903" s="1" t="s">
        <v>41</v>
      </c>
      <c r="E5903" s="3">
        <v>4243808</v>
      </c>
      <c r="F5903" s="1">
        <v>2812.3313452617599</v>
      </c>
      <c r="G5903" s="1">
        <v>4.5</v>
      </c>
      <c r="H5903" s="1">
        <v>2</v>
      </c>
      <c r="I5903" s="1">
        <v>3</v>
      </c>
      <c r="J5903" s="1">
        <v>2.5</v>
      </c>
      <c r="K5903" s="1">
        <v>2</v>
      </c>
      <c r="L5903" s="1">
        <v>1</v>
      </c>
      <c r="M5903" s="4">
        <v>1509</v>
      </c>
      <c r="N5903" s="1">
        <v>1222.71</v>
      </c>
      <c r="O5903" s="1">
        <v>3591.5</v>
      </c>
      <c r="P5903" s="1">
        <v>2368.75</v>
      </c>
      <c r="Q5903" s="1" t="s">
        <v>42</v>
      </c>
      <c r="S5903" s="1" t="s">
        <v>42</v>
      </c>
      <c r="T5903" s="1" t="s">
        <v>273</v>
      </c>
      <c r="V5903" s="5">
        <v>44419</v>
      </c>
      <c r="W5903" s="5">
        <v>43508</v>
      </c>
      <c r="X5903" s="1">
        <v>4215990</v>
      </c>
      <c r="Y5903" s="1">
        <v>4215990</v>
      </c>
      <c r="Z5903" s="5">
        <v>44098</v>
      </c>
      <c r="AA5903" s="1">
        <v>4243808</v>
      </c>
      <c r="AB5903" s="1" t="s">
        <v>4214</v>
      </c>
      <c r="AC5903" s="5">
        <v>44407</v>
      </c>
      <c r="AF5903" s="1">
        <v>10038</v>
      </c>
      <c r="AI5903" s="1" t="s">
        <v>225</v>
      </c>
      <c r="AJ5903" s="1">
        <v>2020</v>
      </c>
      <c r="AK5903" s="1" t="s">
        <v>46</v>
      </c>
      <c r="AL5903" s="1">
        <v>244</v>
      </c>
    </row>
    <row r="5904" spans="1:38" x14ac:dyDescent="0.2">
      <c r="A5904" s="2" t="str">
        <f>HYPERLINK("https://www.compass.com/listing/130-william-street-unit-37e-manhattan-ny-10038/46345060270213889/","130 William St, Unit 37E")</f>
        <v>130 William St, Unit 37E</v>
      </c>
      <c r="B5904" s="2" t="str">
        <f t="shared" si="984"/>
        <v>130 William St</v>
      </c>
      <c r="C5904" s="1" t="s">
        <v>96</v>
      </c>
      <c r="D5904" s="1" t="s">
        <v>41</v>
      </c>
      <c r="E5904" s="3">
        <v>3563875</v>
      </c>
      <c r="F5904" s="1">
        <v>1924.3385529157599</v>
      </c>
      <c r="G5904" s="1">
        <v>5</v>
      </c>
      <c r="H5904" s="1">
        <v>3</v>
      </c>
      <c r="I5904" s="1">
        <v>3</v>
      </c>
      <c r="J5904" s="1">
        <v>3</v>
      </c>
      <c r="K5904" s="1">
        <v>3</v>
      </c>
      <c r="M5904" s="4">
        <v>1852</v>
      </c>
      <c r="N5904" s="1">
        <v>1306</v>
      </c>
      <c r="O5904" s="1">
        <v>3836</v>
      </c>
      <c r="P5904" s="1">
        <v>2530</v>
      </c>
      <c r="Q5904" s="1" t="s">
        <v>42</v>
      </c>
      <c r="S5904" s="1" t="s">
        <v>42</v>
      </c>
      <c r="T5904" s="1" t="s">
        <v>273</v>
      </c>
      <c r="V5904" s="5">
        <v>44391</v>
      </c>
      <c r="W5904" s="5">
        <v>43314</v>
      </c>
      <c r="X5904" s="1">
        <v>3475990</v>
      </c>
      <c r="Y5904" s="1">
        <v>3475990</v>
      </c>
      <c r="Z5904" s="5">
        <v>44098</v>
      </c>
      <c r="AA5904" s="1">
        <v>3563875</v>
      </c>
      <c r="AB5904" s="1" t="s">
        <v>4215</v>
      </c>
      <c r="AC5904" s="5">
        <v>44386</v>
      </c>
      <c r="AF5904" s="1">
        <v>10038</v>
      </c>
      <c r="AI5904" s="1" t="s">
        <v>111</v>
      </c>
      <c r="AJ5904" s="1">
        <v>2020</v>
      </c>
      <c r="AK5904" s="1" t="s">
        <v>46</v>
      </c>
      <c r="AL5904" s="1">
        <v>244</v>
      </c>
    </row>
    <row r="5905" spans="1:38" x14ac:dyDescent="0.2">
      <c r="A5905" s="2" t="str">
        <f>HYPERLINK("https://www.compass.com/listing/130-william-street-unit-42b-manhattan-ny-10038/709482213640272249/","130 William St, Unit 42B")</f>
        <v>130 William St, Unit 42B</v>
      </c>
      <c r="B5905" s="2" t="str">
        <f t="shared" si="984"/>
        <v>130 William St</v>
      </c>
      <c r="C5905" s="1" t="s">
        <v>96</v>
      </c>
      <c r="D5905" s="1" t="s">
        <v>41</v>
      </c>
      <c r="E5905" s="3">
        <v>3536432</v>
      </c>
      <c r="F5905" s="1">
        <v>2402.4675271739102</v>
      </c>
      <c r="G5905" s="1">
        <v>4</v>
      </c>
      <c r="H5905" s="1">
        <v>2</v>
      </c>
      <c r="I5905" s="1">
        <v>3</v>
      </c>
      <c r="J5905" s="1">
        <v>2.5</v>
      </c>
      <c r="K5905" s="1">
        <v>2</v>
      </c>
      <c r="L5905" s="1">
        <v>1</v>
      </c>
      <c r="M5905" s="4">
        <v>1472</v>
      </c>
      <c r="N5905" s="1">
        <v>1072.26</v>
      </c>
      <c r="O5905" s="1">
        <v>3149.5699999999902</v>
      </c>
      <c r="P5905" s="1">
        <v>2077.3333333333298</v>
      </c>
      <c r="Q5905" s="1" t="s">
        <v>42</v>
      </c>
      <c r="S5905" s="1" t="s">
        <v>42</v>
      </c>
      <c r="T5905" s="1" t="s">
        <v>273</v>
      </c>
      <c r="U5905" s="1">
        <v>363</v>
      </c>
      <c r="V5905" s="5">
        <v>44303</v>
      </c>
      <c r="W5905" s="5">
        <v>43773</v>
      </c>
      <c r="X5905" s="1">
        <v>3460990</v>
      </c>
      <c r="Y5905" s="1">
        <v>3460990</v>
      </c>
      <c r="Z5905" s="5">
        <v>44231</v>
      </c>
      <c r="AA5905" s="1">
        <v>3536432.2</v>
      </c>
      <c r="AB5905" s="1" t="s">
        <v>4216</v>
      </c>
      <c r="AC5905" s="5">
        <v>44302</v>
      </c>
      <c r="AF5905" s="1">
        <v>10038</v>
      </c>
      <c r="AI5905" s="1" t="s">
        <v>111</v>
      </c>
      <c r="AJ5905" s="1">
        <v>2020</v>
      </c>
      <c r="AK5905" s="1" t="s">
        <v>46</v>
      </c>
      <c r="AL5905" s="1">
        <v>244</v>
      </c>
    </row>
    <row r="5906" spans="1:38" x14ac:dyDescent="0.2">
      <c r="A5906" s="2" t="str">
        <f>HYPERLINK("https://www.compass.com/listing/130-william-street-unit-l57b-manhattan-ny-10038/92725542519850625/","130 William St, Unit L57B")</f>
        <v>130 William St, Unit L57B</v>
      </c>
      <c r="B5906" s="2" t="str">
        <f t="shared" si="984"/>
        <v>130 William St</v>
      </c>
      <c r="C5906" s="1" t="s">
        <v>96</v>
      </c>
      <c r="D5906" s="1" t="s">
        <v>41</v>
      </c>
      <c r="E5906" s="3">
        <v>4255783</v>
      </c>
      <c r="F5906" s="1">
        <v>2820.2669715042998</v>
      </c>
      <c r="G5906" s="1">
        <v>4.5</v>
      </c>
      <c r="H5906" s="1">
        <v>2</v>
      </c>
      <c r="I5906" s="1">
        <v>3</v>
      </c>
      <c r="J5906" s="1">
        <v>2.5</v>
      </c>
      <c r="K5906" s="1">
        <v>2</v>
      </c>
      <c r="L5906" s="1">
        <v>1</v>
      </c>
      <c r="M5906" s="4">
        <v>1509</v>
      </c>
      <c r="N5906" s="1">
        <v>1221.1199999999999</v>
      </c>
      <c r="O5906" s="1">
        <v>3586.8399999999901</v>
      </c>
      <c r="P5906" s="1">
        <v>2365.75</v>
      </c>
      <c r="Q5906" s="1" t="s">
        <v>42</v>
      </c>
      <c r="S5906" s="1" t="s">
        <v>42</v>
      </c>
      <c r="T5906" s="1" t="s">
        <v>273</v>
      </c>
      <c r="U5906" s="1">
        <v>69</v>
      </c>
      <c r="V5906" s="5">
        <v>44414</v>
      </c>
      <c r="W5906" s="5">
        <v>43768</v>
      </c>
      <c r="Y5906" s="1">
        <v>4195990</v>
      </c>
      <c r="Z5906" s="5">
        <v>44257</v>
      </c>
      <c r="AA5906" s="1">
        <v>4255782.8600000003</v>
      </c>
      <c r="AB5906" s="1" t="s">
        <v>4217</v>
      </c>
      <c r="AC5906" s="5">
        <v>44412</v>
      </c>
      <c r="AF5906" s="1">
        <v>10038</v>
      </c>
      <c r="AI5906" s="1" t="s">
        <v>192</v>
      </c>
      <c r="AJ5906" s="1">
        <v>2020</v>
      </c>
      <c r="AK5906" s="1" t="s">
        <v>46</v>
      </c>
      <c r="AL5906" s="1">
        <v>244</v>
      </c>
    </row>
    <row r="5907" spans="1:38" x14ac:dyDescent="0.2">
      <c r="A5907" s="2" t="str">
        <f>HYPERLINK("https://www.compass.com/listing/252-south-street-unit-39k-manhattan-ny-10002/592927505286288321/","252 South St, Unit 39K")</f>
        <v>252 South St, Unit 39K</v>
      </c>
      <c r="B5907" s="2" t="str">
        <f t="shared" ref="B5907:B5916" si="985">HYPERLINK("https://www.compass.com/building/one-manhattan-square-manhattan-ny/294844950218926165/","One Manhattan Square")</f>
        <v>One Manhattan Square</v>
      </c>
      <c r="C5907" s="1" t="s">
        <v>47</v>
      </c>
      <c r="D5907" s="1" t="s">
        <v>41</v>
      </c>
      <c r="E5907" s="3">
        <v>2391472</v>
      </c>
      <c r="F5907" s="1">
        <v>2129.53845948352</v>
      </c>
      <c r="G5907" s="1">
        <v>4</v>
      </c>
      <c r="H5907" s="1">
        <v>2</v>
      </c>
      <c r="I5907" s="1">
        <v>2</v>
      </c>
      <c r="J5907" s="1">
        <v>2</v>
      </c>
      <c r="K5907" s="1">
        <v>2</v>
      </c>
      <c r="M5907" s="4">
        <v>1123</v>
      </c>
      <c r="N5907" s="1">
        <v>1384</v>
      </c>
      <c r="O5907" s="1">
        <v>1406</v>
      </c>
      <c r="P5907" s="1">
        <v>22</v>
      </c>
      <c r="Q5907" s="1" t="s">
        <v>42</v>
      </c>
      <c r="S5907" s="1" t="s">
        <v>42</v>
      </c>
      <c r="T5907" s="1" t="s">
        <v>273</v>
      </c>
      <c r="U5907" s="1">
        <v>4</v>
      </c>
      <c r="V5907" s="5">
        <v>44111</v>
      </c>
      <c r="W5907" s="5">
        <v>44065</v>
      </c>
      <c r="X5907" s="1">
        <v>2808000</v>
      </c>
      <c r="Y5907" s="1">
        <v>2334680</v>
      </c>
      <c r="Z5907" s="5">
        <v>44069</v>
      </c>
      <c r="AA5907" s="1">
        <v>2391471.69</v>
      </c>
      <c r="AB5907" s="1" t="s">
        <v>4218</v>
      </c>
      <c r="AC5907" s="5">
        <v>44109</v>
      </c>
      <c r="AF5907" s="1">
        <v>10002</v>
      </c>
      <c r="AI5907" s="1" t="s">
        <v>66</v>
      </c>
      <c r="AJ5907" s="1">
        <v>2019</v>
      </c>
      <c r="AK5907" s="1" t="s">
        <v>46</v>
      </c>
      <c r="AL5907" s="1">
        <v>787</v>
      </c>
    </row>
    <row r="5908" spans="1:38" x14ac:dyDescent="0.2">
      <c r="A5908" s="2" t="str">
        <f>HYPERLINK("https://www.compass.com/listing/252-south-street-unit-23e-manhattan-ny-10002/527538322082829313/","252 South St, Unit 23E")</f>
        <v>252 South St, Unit 23E</v>
      </c>
      <c r="B5908" s="2" t="str">
        <f t="shared" si="985"/>
        <v>One Manhattan Square</v>
      </c>
      <c r="C5908" s="1" t="s">
        <v>47</v>
      </c>
      <c r="D5908" s="1" t="s">
        <v>41</v>
      </c>
      <c r="E5908" s="3">
        <v>2086404</v>
      </c>
      <c r="F5908" s="1">
        <v>1857.88458593054</v>
      </c>
      <c r="G5908" s="1">
        <v>4</v>
      </c>
      <c r="H5908" s="1">
        <v>2</v>
      </c>
      <c r="I5908" s="1">
        <v>2</v>
      </c>
      <c r="J5908" s="1">
        <v>2</v>
      </c>
      <c r="K5908" s="1">
        <v>2</v>
      </c>
      <c r="M5908" s="4">
        <v>1123</v>
      </c>
      <c r="N5908" s="1">
        <v>1287.78</v>
      </c>
      <c r="O5908" s="1">
        <v>1308.0999999999999</v>
      </c>
      <c r="P5908" s="1">
        <v>20.3333333333333</v>
      </c>
      <c r="Q5908" s="1" t="s">
        <v>42</v>
      </c>
      <c r="S5908" s="1" t="s">
        <v>42</v>
      </c>
      <c r="T5908" s="1" t="s">
        <v>273</v>
      </c>
      <c r="V5908" s="5">
        <v>44097</v>
      </c>
      <c r="W5908" s="5">
        <v>43980</v>
      </c>
      <c r="X5908" s="1">
        <v>2378000</v>
      </c>
      <c r="Y5908" s="1">
        <v>2045080</v>
      </c>
      <c r="Z5908" s="5">
        <v>43983</v>
      </c>
      <c r="AA5908" s="1">
        <v>2086404.39</v>
      </c>
      <c r="AB5908" s="1" t="s">
        <v>4219</v>
      </c>
      <c r="AC5908" s="5">
        <v>44091</v>
      </c>
      <c r="AF5908" s="1">
        <v>10002</v>
      </c>
      <c r="AI5908" s="1" t="s">
        <v>66</v>
      </c>
      <c r="AJ5908" s="1">
        <v>2019</v>
      </c>
      <c r="AK5908" s="1" t="s">
        <v>46</v>
      </c>
      <c r="AL5908" s="1">
        <v>787</v>
      </c>
    </row>
    <row r="5909" spans="1:38" x14ac:dyDescent="0.2">
      <c r="A5909" s="2" t="str">
        <f>HYPERLINK("https://www.compass.com/listing/252-south-street-unit-39c-manhattan-ny-10002/29513554927331505/","252 South St, Unit 39C")</f>
        <v>252 South St, Unit 39C</v>
      </c>
      <c r="B5909" s="2" t="str">
        <f t="shared" si="985"/>
        <v>One Manhattan Square</v>
      </c>
      <c r="C5909" s="1" t="s">
        <v>47</v>
      </c>
      <c r="D5909" s="1" t="s">
        <v>41</v>
      </c>
      <c r="E5909" s="3">
        <v>3932094</v>
      </c>
      <c r="F5909" s="1">
        <v>2644.3134364492198</v>
      </c>
      <c r="G5909" s="1">
        <v>5</v>
      </c>
      <c r="H5909" s="1">
        <v>3</v>
      </c>
      <c r="I5909" s="1">
        <v>3</v>
      </c>
      <c r="J5909" s="1">
        <v>3</v>
      </c>
      <c r="M5909" s="4">
        <v>1487</v>
      </c>
      <c r="N5909" s="1">
        <v>1805</v>
      </c>
      <c r="O5909" s="1">
        <v>1835</v>
      </c>
      <c r="P5909" s="1">
        <v>30</v>
      </c>
      <c r="Q5909" s="1" t="s">
        <v>42</v>
      </c>
      <c r="S5909" s="1" t="s">
        <v>42</v>
      </c>
      <c r="T5909" s="1" t="s">
        <v>273</v>
      </c>
      <c r="U5909" s="1">
        <v>7</v>
      </c>
      <c r="V5909" s="5">
        <v>43685</v>
      </c>
      <c r="W5909" s="5">
        <v>42794</v>
      </c>
      <c r="X5909" s="1">
        <v>3977000</v>
      </c>
      <c r="Y5909" s="1">
        <v>3977000</v>
      </c>
      <c r="Z5909" s="5">
        <v>42802</v>
      </c>
      <c r="AA5909" s="1">
        <v>3932094.08</v>
      </c>
      <c r="AB5909" s="1" t="s">
        <v>4220</v>
      </c>
      <c r="AC5909" s="5">
        <v>43595</v>
      </c>
      <c r="AF5909" s="1">
        <v>10002</v>
      </c>
      <c r="AI5909" s="1" t="s">
        <v>66</v>
      </c>
      <c r="AJ5909" s="1">
        <v>2019</v>
      </c>
      <c r="AK5909" s="1" t="s">
        <v>46</v>
      </c>
      <c r="AL5909" s="1">
        <v>787</v>
      </c>
    </row>
    <row r="5910" spans="1:38" x14ac:dyDescent="0.2">
      <c r="A5910" s="2" t="str">
        <f>HYPERLINK("https://www.compass.com/listing/252-south-street-unit-23p-manhattan-ny-10002/273047606387621041/","252 South St, Unit 23P")</f>
        <v>252 South St, Unit 23P</v>
      </c>
      <c r="B5910" s="2" t="str">
        <f t="shared" si="985"/>
        <v>One Manhattan Square</v>
      </c>
      <c r="C5910" s="1" t="s">
        <v>47</v>
      </c>
      <c r="D5910" s="1" t="s">
        <v>41</v>
      </c>
      <c r="E5910" s="3">
        <v>1561923</v>
      </c>
      <c r="F5910" s="1">
        <v>2160.3354080221302</v>
      </c>
      <c r="G5910" s="1">
        <v>3</v>
      </c>
      <c r="H5910" s="1">
        <v>1</v>
      </c>
      <c r="I5910" s="1">
        <v>1</v>
      </c>
      <c r="J5910" s="1">
        <v>1</v>
      </c>
      <c r="K5910" s="1">
        <v>1</v>
      </c>
      <c r="M5910" s="1">
        <v>723</v>
      </c>
      <c r="N5910" s="1">
        <v>828.57</v>
      </c>
      <c r="O5910" s="1">
        <v>841.65</v>
      </c>
      <c r="P5910" s="1">
        <v>13.0833333333333</v>
      </c>
      <c r="Q5910" s="1" t="s">
        <v>42</v>
      </c>
      <c r="S5910" s="1" t="s">
        <v>42</v>
      </c>
      <c r="T5910" s="1" t="s">
        <v>273</v>
      </c>
      <c r="U5910" s="1">
        <v>1</v>
      </c>
      <c r="V5910" s="5">
        <v>43724</v>
      </c>
      <c r="W5910" s="5">
        <v>43629</v>
      </c>
      <c r="X5910" s="1">
        <v>1530000</v>
      </c>
      <c r="Y5910" s="1">
        <v>1530000</v>
      </c>
      <c r="Z5910" s="5">
        <v>43630</v>
      </c>
      <c r="AA5910" s="1">
        <v>1561922.5</v>
      </c>
      <c r="AB5910" s="1" t="s">
        <v>4221</v>
      </c>
      <c r="AC5910" s="5">
        <v>43711</v>
      </c>
      <c r="AF5910" s="1">
        <v>10002</v>
      </c>
      <c r="AI5910" s="1" t="s">
        <v>66</v>
      </c>
      <c r="AJ5910" s="1">
        <v>2019</v>
      </c>
      <c r="AK5910" s="1" t="s">
        <v>46</v>
      </c>
      <c r="AL5910" s="1">
        <v>787</v>
      </c>
    </row>
    <row r="5911" spans="1:38" x14ac:dyDescent="0.2">
      <c r="A5911" s="2" t="str">
        <f>HYPERLINK("https://www.compass.com/listing/252-south-street-unit-27c-manhattan-ny-10002/29513519351293969/","252 South St, Unit 27C")</f>
        <v>252 South St, Unit 27C</v>
      </c>
      <c r="B5911" s="2" t="str">
        <f t="shared" si="985"/>
        <v>One Manhattan Square</v>
      </c>
      <c r="C5911" s="1" t="s">
        <v>47</v>
      </c>
      <c r="D5911" s="1" t="s">
        <v>41</v>
      </c>
      <c r="E5911" s="3">
        <v>1589000</v>
      </c>
      <c r="F5911" s="1">
        <v>2286.3309352517899</v>
      </c>
      <c r="G5911" s="1">
        <v>3</v>
      </c>
      <c r="H5911" s="1">
        <v>1</v>
      </c>
      <c r="I5911" s="1">
        <v>1</v>
      </c>
      <c r="J5911" s="1">
        <v>1</v>
      </c>
      <c r="M5911" s="1">
        <v>695</v>
      </c>
      <c r="N5911" s="1">
        <v>801</v>
      </c>
      <c r="O5911" s="1">
        <v>814</v>
      </c>
      <c r="P5911" s="1">
        <v>13</v>
      </c>
      <c r="Q5911" s="1" t="s">
        <v>42</v>
      </c>
      <c r="S5911" s="1" t="s">
        <v>42</v>
      </c>
      <c r="T5911" s="1" t="s">
        <v>273</v>
      </c>
      <c r="U5911" s="1">
        <v>4</v>
      </c>
      <c r="V5911" s="5">
        <v>43683</v>
      </c>
      <c r="W5911" s="5">
        <v>43112</v>
      </c>
      <c r="X5911" s="1">
        <v>1589000</v>
      </c>
      <c r="Y5911" s="1">
        <v>1589000</v>
      </c>
      <c r="Z5911" s="5">
        <v>43116</v>
      </c>
      <c r="AA5911" s="1">
        <v>1589000</v>
      </c>
      <c r="AB5911" s="1" t="s">
        <v>4222</v>
      </c>
      <c r="AC5911" s="5">
        <v>43636</v>
      </c>
      <c r="AF5911" s="1">
        <v>10002</v>
      </c>
      <c r="AI5911" s="1" t="s">
        <v>66</v>
      </c>
      <c r="AJ5911" s="1">
        <v>2019</v>
      </c>
      <c r="AK5911" s="1" t="s">
        <v>46</v>
      </c>
      <c r="AL5911" s="1">
        <v>787</v>
      </c>
    </row>
    <row r="5912" spans="1:38" x14ac:dyDescent="0.2">
      <c r="A5912" s="2" t="str">
        <f>HYPERLINK("https://www.compass.com/listing/252-south-street-unit-54m-manhattan-ny-10002/29513547805453729/","252 South St, Unit 54M")</f>
        <v>252 South St, Unit 54M</v>
      </c>
      <c r="B5912" s="2" t="str">
        <f t="shared" si="985"/>
        <v>One Manhattan Square</v>
      </c>
      <c r="C5912" s="1" t="s">
        <v>47</v>
      </c>
      <c r="D5912" s="1" t="s">
        <v>41</v>
      </c>
      <c r="E5912" s="3">
        <v>1729933</v>
      </c>
      <c r="F5912" s="1">
        <v>2489.1122302158201</v>
      </c>
      <c r="G5912" s="1">
        <v>3</v>
      </c>
      <c r="H5912" s="1">
        <v>1</v>
      </c>
      <c r="I5912" s="1">
        <v>1</v>
      </c>
      <c r="J5912" s="1">
        <v>1</v>
      </c>
      <c r="M5912" s="1">
        <v>695</v>
      </c>
      <c r="N5912" s="1">
        <v>902</v>
      </c>
      <c r="O5912" s="1">
        <v>917</v>
      </c>
      <c r="P5912" s="1">
        <v>15</v>
      </c>
      <c r="Q5912" s="1" t="s">
        <v>42</v>
      </c>
      <c r="S5912" s="1" t="s">
        <v>42</v>
      </c>
      <c r="T5912" s="1" t="s">
        <v>273</v>
      </c>
      <c r="U5912" s="1">
        <v>10</v>
      </c>
      <c r="V5912" s="5">
        <v>43696</v>
      </c>
      <c r="W5912" s="5">
        <v>42774</v>
      </c>
      <c r="X5912" s="1">
        <v>1749000</v>
      </c>
      <c r="Y5912" s="1">
        <v>1749000</v>
      </c>
      <c r="Z5912" s="5">
        <v>42784</v>
      </c>
      <c r="AA5912" s="1">
        <v>1729933</v>
      </c>
      <c r="AB5912" s="1" t="s">
        <v>4223</v>
      </c>
      <c r="AC5912" s="5">
        <v>43659</v>
      </c>
      <c r="AF5912" s="1">
        <v>10002</v>
      </c>
      <c r="AI5912" s="1" t="s">
        <v>66</v>
      </c>
      <c r="AJ5912" s="1">
        <v>2019</v>
      </c>
      <c r="AK5912" s="1" t="s">
        <v>46</v>
      </c>
      <c r="AL5912" s="1">
        <v>787</v>
      </c>
    </row>
    <row r="5913" spans="1:38" x14ac:dyDescent="0.2">
      <c r="A5913" s="2" t="str">
        <f>HYPERLINK("https://www.compass.com/listing/252-south-street-unit-50n-manhattan-ny-10002/29513552393971793/","252 South St, Unit 50N")</f>
        <v>252 South St, Unit 50N</v>
      </c>
      <c r="B5913" s="2" t="str">
        <f t="shared" si="985"/>
        <v>One Manhattan Square</v>
      </c>
      <c r="C5913" s="1" t="s">
        <v>47</v>
      </c>
      <c r="D5913" s="1" t="s">
        <v>41</v>
      </c>
      <c r="E5913" s="3">
        <v>1531375</v>
      </c>
      <c r="F5913" s="1">
        <v>2118.08437067773</v>
      </c>
      <c r="G5913" s="1">
        <v>3</v>
      </c>
      <c r="H5913" s="1">
        <v>1</v>
      </c>
      <c r="I5913" s="1">
        <v>1</v>
      </c>
      <c r="J5913" s="1">
        <v>1</v>
      </c>
      <c r="M5913" s="1">
        <v>723</v>
      </c>
      <c r="N5913" s="1">
        <v>919</v>
      </c>
      <c r="O5913" s="1">
        <v>934</v>
      </c>
      <c r="P5913" s="1">
        <v>15</v>
      </c>
      <c r="Q5913" s="1" t="s">
        <v>42</v>
      </c>
      <c r="S5913" s="1" t="s">
        <v>42</v>
      </c>
      <c r="T5913" s="1" t="s">
        <v>273</v>
      </c>
      <c r="U5913" s="1">
        <v>1</v>
      </c>
      <c r="V5913" s="5">
        <v>43696</v>
      </c>
      <c r="W5913" s="5">
        <v>42697</v>
      </c>
      <c r="X5913" s="1">
        <v>1573000</v>
      </c>
      <c r="Y5913" s="1">
        <v>1573000</v>
      </c>
      <c r="Z5913" s="5">
        <v>42698</v>
      </c>
      <c r="AA5913" s="1">
        <v>1531375</v>
      </c>
      <c r="AB5913" s="1" t="s">
        <v>4224</v>
      </c>
      <c r="AC5913" s="5">
        <v>43665</v>
      </c>
      <c r="AF5913" s="1">
        <v>10002</v>
      </c>
      <c r="AI5913" s="1" t="s">
        <v>66</v>
      </c>
      <c r="AJ5913" s="1">
        <v>2019</v>
      </c>
      <c r="AK5913" s="1" t="s">
        <v>46</v>
      </c>
      <c r="AL5913" s="1">
        <v>787</v>
      </c>
    </row>
    <row r="5914" spans="1:38" x14ac:dyDescent="0.2">
      <c r="A5914" s="2" t="str">
        <f>HYPERLINK("https://www.compass.com/listing/252-south-street-unit-26b-manhattan-ny-10002/29513554088470673/","252 South St, Unit 26B")</f>
        <v>252 South St, Unit 26B</v>
      </c>
      <c r="B5914" s="2" t="str">
        <f t="shared" si="985"/>
        <v>One Manhattan Square</v>
      </c>
      <c r="C5914" s="1" t="s">
        <v>47</v>
      </c>
      <c r="D5914" s="1" t="s">
        <v>41</v>
      </c>
      <c r="E5914" s="3">
        <v>1478462</v>
      </c>
      <c r="F5914" s="1">
        <v>2124.2270114942498</v>
      </c>
      <c r="G5914" s="1">
        <v>3</v>
      </c>
      <c r="H5914" s="1">
        <v>1</v>
      </c>
      <c r="I5914" s="1">
        <v>1</v>
      </c>
      <c r="J5914" s="1">
        <v>1</v>
      </c>
      <c r="M5914" s="1">
        <v>696</v>
      </c>
      <c r="N5914" s="1">
        <v>797</v>
      </c>
      <c r="O5914" s="1">
        <v>810</v>
      </c>
      <c r="P5914" s="1">
        <v>13</v>
      </c>
      <c r="Q5914" s="1" t="s">
        <v>42</v>
      </c>
      <c r="S5914" s="1" t="s">
        <v>42</v>
      </c>
      <c r="T5914" s="1" t="s">
        <v>273</v>
      </c>
      <c r="U5914" s="1">
        <v>34</v>
      </c>
      <c r="V5914" s="5">
        <v>43696</v>
      </c>
      <c r="W5914" s="5">
        <v>42720</v>
      </c>
      <c r="X5914" s="1">
        <v>1538000</v>
      </c>
      <c r="Y5914" s="1">
        <v>1538000</v>
      </c>
      <c r="Z5914" s="5">
        <v>42754</v>
      </c>
      <c r="AA5914" s="1">
        <v>1478462.5</v>
      </c>
      <c r="AB5914" s="1" t="s">
        <v>4225</v>
      </c>
      <c r="AC5914" s="5">
        <v>43600</v>
      </c>
      <c r="AF5914" s="1">
        <v>10002</v>
      </c>
      <c r="AI5914" s="1" t="s">
        <v>4226</v>
      </c>
      <c r="AJ5914" s="1">
        <v>2019</v>
      </c>
      <c r="AK5914" s="1" t="s">
        <v>46</v>
      </c>
      <c r="AL5914" s="1">
        <v>787</v>
      </c>
    </row>
    <row r="5915" spans="1:38" x14ac:dyDescent="0.2">
      <c r="A5915" s="2" t="str">
        <f>HYPERLINK("https://www.compass.com/listing/252-south-street-unit-19b-manhattan-ny-10002/29513555808135393/","252 South St, Unit 19B")</f>
        <v>252 South St, Unit 19B</v>
      </c>
      <c r="B5915" s="2" t="str">
        <f t="shared" si="985"/>
        <v>One Manhattan Square</v>
      </c>
      <c r="C5915" s="1" t="s">
        <v>47</v>
      </c>
      <c r="D5915" s="1" t="s">
        <v>41</v>
      </c>
      <c r="E5915" s="3">
        <v>1487590</v>
      </c>
      <c r="F5915" s="1">
        <v>2137.3419540229802</v>
      </c>
      <c r="G5915" s="1">
        <v>3</v>
      </c>
      <c r="H5915" s="1">
        <v>1</v>
      </c>
      <c r="I5915" s="1">
        <v>1</v>
      </c>
      <c r="J5915" s="1">
        <v>1</v>
      </c>
      <c r="M5915" s="1">
        <v>696</v>
      </c>
      <c r="N5915" s="1">
        <v>768</v>
      </c>
      <c r="O5915" s="1">
        <v>781</v>
      </c>
      <c r="P5915" s="1">
        <v>13</v>
      </c>
      <c r="Q5915" s="1" t="s">
        <v>42</v>
      </c>
      <c r="S5915" s="1" t="s">
        <v>42</v>
      </c>
      <c r="T5915" s="1" t="s">
        <v>273</v>
      </c>
      <c r="U5915" s="1">
        <v>5</v>
      </c>
      <c r="V5915" s="5">
        <v>43696</v>
      </c>
      <c r="W5915" s="5">
        <v>42797</v>
      </c>
      <c r="X5915" s="1">
        <v>1499000</v>
      </c>
      <c r="Y5915" s="1">
        <v>1499000</v>
      </c>
      <c r="Z5915" s="5">
        <v>42802</v>
      </c>
      <c r="AA5915" s="1">
        <v>1487590</v>
      </c>
      <c r="AB5915" s="1" t="s">
        <v>4227</v>
      </c>
      <c r="AC5915" s="5">
        <v>43617</v>
      </c>
      <c r="AF5915" s="1">
        <v>10002</v>
      </c>
      <c r="AI5915" s="1" t="s">
        <v>66</v>
      </c>
      <c r="AJ5915" s="1">
        <v>2019</v>
      </c>
      <c r="AK5915" s="1" t="s">
        <v>46</v>
      </c>
      <c r="AL5915" s="1">
        <v>787</v>
      </c>
    </row>
    <row r="5916" spans="1:38" x14ac:dyDescent="0.2">
      <c r="A5916" s="2" t="str">
        <f>HYPERLINK("https://www.compass.com/listing/252-south-street-unit-46m-manhattan-ny-10002/4849516422130307729/","252 South St, Unit 46M")</f>
        <v>252 South St, Unit 46M</v>
      </c>
      <c r="B5916" s="2" t="str">
        <f t="shared" si="985"/>
        <v>One Manhattan Square</v>
      </c>
      <c r="C5916" s="1" t="s">
        <v>47</v>
      </c>
      <c r="D5916" s="1" t="s">
        <v>41</v>
      </c>
      <c r="E5916" s="3">
        <v>1563348</v>
      </c>
      <c r="F5916" s="1">
        <v>2249.4215827338098</v>
      </c>
      <c r="G5916" s="1">
        <v>3</v>
      </c>
      <c r="H5916" s="1">
        <v>1</v>
      </c>
      <c r="I5916" s="1">
        <v>1</v>
      </c>
      <c r="J5916" s="1">
        <v>1</v>
      </c>
      <c r="M5916" s="1">
        <v>695</v>
      </c>
      <c r="N5916" s="1">
        <v>866</v>
      </c>
      <c r="O5916" s="1">
        <v>881</v>
      </c>
      <c r="P5916" s="1">
        <v>15</v>
      </c>
      <c r="Q5916" s="1" t="s">
        <v>42</v>
      </c>
      <c r="S5916" s="1" t="s">
        <v>42</v>
      </c>
      <c r="T5916" s="1" t="s">
        <v>273</v>
      </c>
      <c r="U5916" s="1">
        <v>4</v>
      </c>
      <c r="V5916" s="5">
        <v>43696</v>
      </c>
      <c r="W5916" s="5">
        <v>42832</v>
      </c>
      <c r="X5916" s="1">
        <v>1691000</v>
      </c>
      <c r="Y5916" s="1">
        <v>1691000</v>
      </c>
      <c r="Z5916" s="5">
        <v>42836</v>
      </c>
      <c r="AA5916" s="1">
        <v>1563348</v>
      </c>
      <c r="AB5916" s="1" t="s">
        <v>4228</v>
      </c>
      <c r="AC5916" s="5">
        <v>43635</v>
      </c>
      <c r="AF5916" s="1">
        <v>10002</v>
      </c>
      <c r="AI5916" s="1" t="s">
        <v>66</v>
      </c>
      <c r="AJ5916" s="1">
        <v>2019</v>
      </c>
      <c r="AK5916" s="1" t="s">
        <v>46</v>
      </c>
      <c r="AL5916" s="1">
        <v>787</v>
      </c>
    </row>
    <row r="5917" spans="1:38" x14ac:dyDescent="0.2">
      <c r="A5917" s="2" t="str">
        <f>HYPERLINK("https://www.compass.com/listing/196-orchard-street-unit-6h-manhattan-ny-10002/85454712232580097/","196 Orchard St, Unit 6H")</f>
        <v>196 Orchard St, Unit 6H</v>
      </c>
      <c r="B5917" s="2" t="str">
        <f t="shared" ref="B5917:B5918" si="986">HYPERLINK("https://www.compass.com/building/196-orchard-st-manhattan-ny-10002/281886194713760485/","196 Orchard St")</f>
        <v>196 Orchard St</v>
      </c>
      <c r="C5917" s="1" t="s">
        <v>47</v>
      </c>
      <c r="D5917" s="1" t="s">
        <v>41</v>
      </c>
      <c r="E5917" s="3">
        <v>3159575</v>
      </c>
      <c r="F5917" s="1">
        <v>2323.2169117646999</v>
      </c>
      <c r="G5917" s="1">
        <v>5</v>
      </c>
      <c r="H5917" s="1">
        <v>3</v>
      </c>
      <c r="I5917" s="1">
        <v>3</v>
      </c>
      <c r="J5917" s="1">
        <v>2.5</v>
      </c>
      <c r="K5917" s="1">
        <v>2</v>
      </c>
      <c r="L5917" s="1">
        <v>1</v>
      </c>
      <c r="M5917" s="4">
        <v>1360</v>
      </c>
      <c r="N5917" s="1">
        <v>1360</v>
      </c>
      <c r="O5917" s="1">
        <v>3166</v>
      </c>
      <c r="P5917" s="1">
        <v>1806</v>
      </c>
      <c r="Q5917" s="1" t="s">
        <v>42</v>
      </c>
      <c r="S5917" s="1" t="s">
        <v>42</v>
      </c>
      <c r="T5917" s="1" t="s">
        <v>273</v>
      </c>
      <c r="U5917" s="1">
        <v>986</v>
      </c>
      <c r="V5917" s="5">
        <v>44338</v>
      </c>
      <c r="W5917" s="5">
        <v>42383</v>
      </c>
      <c r="X5917" s="1">
        <v>3100000</v>
      </c>
      <c r="Y5917" s="1">
        <v>3100000</v>
      </c>
      <c r="Z5917" s="5">
        <v>43370</v>
      </c>
      <c r="AA5917" s="1">
        <v>3159575</v>
      </c>
      <c r="AB5917" s="1" t="s">
        <v>4229</v>
      </c>
      <c r="AC5917" s="5">
        <v>43420</v>
      </c>
      <c r="AF5917" s="1">
        <v>10002</v>
      </c>
      <c r="AI5917" s="1" t="s">
        <v>165</v>
      </c>
      <c r="AJ5917" s="1">
        <v>2018</v>
      </c>
      <c r="AK5917" s="1" t="s">
        <v>46</v>
      </c>
      <c r="AL5917" s="1">
        <v>89</v>
      </c>
    </row>
    <row r="5918" spans="1:38" x14ac:dyDescent="0.2">
      <c r="A5918" s="2" t="str">
        <f>HYPERLINK("https://www.compass.com/listing/196-orchard-street-unit-7h-manhattan-ny-10002/85454712911980897/","196 Orchard St, Unit 7H")</f>
        <v>196 Orchard St, Unit 7H</v>
      </c>
      <c r="B5918" s="2" t="str">
        <f t="shared" si="986"/>
        <v>196 Orchard St</v>
      </c>
      <c r="C5918" s="1" t="s">
        <v>47</v>
      </c>
      <c r="D5918" s="1" t="s">
        <v>41</v>
      </c>
      <c r="E5918" s="3">
        <v>3138956</v>
      </c>
      <c r="F5918" s="1">
        <v>2308.05588235294</v>
      </c>
      <c r="G5918" s="1">
        <v>4</v>
      </c>
      <c r="H5918" s="1">
        <v>2</v>
      </c>
      <c r="I5918" s="1">
        <v>3</v>
      </c>
      <c r="J5918" s="1">
        <v>2.5</v>
      </c>
      <c r="K5918" s="1">
        <v>2</v>
      </c>
      <c r="L5918" s="1">
        <v>1</v>
      </c>
      <c r="M5918" s="4">
        <v>1360</v>
      </c>
      <c r="N5918" s="1">
        <v>1806</v>
      </c>
      <c r="O5918" s="1">
        <v>3597</v>
      </c>
      <c r="P5918" s="1">
        <v>1791</v>
      </c>
      <c r="Q5918" s="1" t="s">
        <v>42</v>
      </c>
      <c r="S5918" s="1" t="s">
        <v>42</v>
      </c>
      <c r="T5918" s="1" t="s">
        <v>273</v>
      </c>
      <c r="V5918" s="5">
        <v>44338</v>
      </c>
      <c r="W5918" s="5">
        <v>43370</v>
      </c>
      <c r="X5918" s="1">
        <v>3175000</v>
      </c>
      <c r="Y5918" s="1">
        <v>3175000</v>
      </c>
      <c r="Z5918" s="5">
        <v>43370</v>
      </c>
      <c r="AA5918" s="1">
        <v>3138956</v>
      </c>
      <c r="AB5918" s="1" t="s">
        <v>4230</v>
      </c>
      <c r="AC5918" s="5">
        <v>43455</v>
      </c>
      <c r="AF5918" s="1">
        <v>10002</v>
      </c>
      <c r="AI5918" s="1" t="s">
        <v>165</v>
      </c>
      <c r="AJ5918" s="1">
        <v>2018</v>
      </c>
      <c r="AK5918" s="1" t="s">
        <v>46</v>
      </c>
      <c r="AL5918" s="1">
        <v>89</v>
      </c>
    </row>
    <row r="5919" spans="1:38" x14ac:dyDescent="0.2">
      <c r="A5919" s="2" t="str">
        <f>HYPERLINK("https://www.compass.com/listing/252-south-street-unit-52j-manhattan-ny-10002/607845804411349353/","252 South St, Unit 52J")</f>
        <v>252 South St, Unit 52J</v>
      </c>
      <c r="B5919" s="2" t="str">
        <f>HYPERLINK("https://www.compass.com/building/one-manhattan-square-manhattan-ny/294844950218926165/","One Manhattan Square")</f>
        <v>One Manhattan Square</v>
      </c>
      <c r="C5919" s="1" t="s">
        <v>47</v>
      </c>
      <c r="D5919" s="1" t="s">
        <v>41</v>
      </c>
      <c r="E5919" s="3">
        <v>1399999</v>
      </c>
      <c r="F5919" s="1">
        <v>2014.38705035971</v>
      </c>
      <c r="G5919" s="1">
        <v>3</v>
      </c>
      <c r="H5919" s="1">
        <v>1</v>
      </c>
      <c r="I5919" s="1">
        <v>1</v>
      </c>
      <c r="J5919" s="1">
        <v>1</v>
      </c>
      <c r="K5919" s="1">
        <v>1</v>
      </c>
      <c r="M5919" s="1">
        <v>695</v>
      </c>
      <c r="N5919" s="1">
        <v>903</v>
      </c>
      <c r="O5919" s="1">
        <v>917</v>
      </c>
      <c r="P5919" s="1">
        <v>14</v>
      </c>
      <c r="Q5919" s="1" t="s">
        <v>42</v>
      </c>
      <c r="S5919" s="1" t="s">
        <v>42</v>
      </c>
      <c r="T5919" s="1" t="s">
        <v>273</v>
      </c>
      <c r="U5919" s="1">
        <v>120</v>
      </c>
      <c r="V5919" s="5">
        <v>44211</v>
      </c>
      <c r="W5919" s="5">
        <v>44089</v>
      </c>
      <c r="X5919" s="1">
        <v>1490000</v>
      </c>
      <c r="Y5919" s="1">
        <v>1399999</v>
      </c>
      <c r="AA5919" s="1">
        <v>1230000</v>
      </c>
      <c r="AB5919" s="1" t="s">
        <v>4231</v>
      </c>
      <c r="AC5919" s="5">
        <v>44307</v>
      </c>
      <c r="AF5919" s="1">
        <v>10002</v>
      </c>
      <c r="AI5919" s="1" t="s">
        <v>246</v>
      </c>
      <c r="AJ5919" s="1">
        <v>2019</v>
      </c>
      <c r="AK5919" s="1" t="s">
        <v>49</v>
      </c>
      <c r="AL5919" s="1">
        <v>787</v>
      </c>
    </row>
    <row r="5920" spans="1:38" x14ac:dyDescent="0.2">
      <c r="A5920" s="2" t="str">
        <f>HYPERLINK("https://www.compass.com/listing/50-west-street-unit-55a-manhattan-ny-10006/29512672076714401/","50 West St, Unit 55A")</f>
        <v>50 West St, Unit 55A</v>
      </c>
      <c r="B5920" s="2" t="str">
        <f>HYPERLINK("https://www.compass.com/building/50-west-st-manhattan-ny-10006/281896342152815429/","50 West St")</f>
        <v>50 West St</v>
      </c>
      <c r="C5920" s="1" t="s">
        <v>96</v>
      </c>
      <c r="D5920" s="1" t="s">
        <v>41</v>
      </c>
      <c r="E5920" s="3">
        <v>4033333</v>
      </c>
      <c r="F5920" s="1">
        <v>2326.0282583621602</v>
      </c>
      <c r="G5920" s="1">
        <v>6</v>
      </c>
      <c r="H5920" s="1">
        <v>2</v>
      </c>
      <c r="I5920" s="1">
        <v>3</v>
      </c>
      <c r="J5920" s="1">
        <v>3</v>
      </c>
      <c r="M5920" s="4">
        <v>1734</v>
      </c>
      <c r="N5920" s="1">
        <v>2315</v>
      </c>
      <c r="O5920" s="1">
        <v>5228</v>
      </c>
      <c r="P5920" s="1">
        <v>2913</v>
      </c>
      <c r="Q5920" s="1" t="s">
        <v>42</v>
      </c>
      <c r="S5920" s="1" t="s">
        <v>42</v>
      </c>
      <c r="T5920" s="1" t="s">
        <v>273</v>
      </c>
      <c r="U5920" s="1">
        <v>35</v>
      </c>
      <c r="V5920" s="5">
        <v>43647</v>
      </c>
      <c r="W5920" s="5">
        <v>43287</v>
      </c>
      <c r="X5920" s="1">
        <v>4395000</v>
      </c>
      <c r="Y5920" s="1">
        <v>4375000</v>
      </c>
      <c r="Z5920" s="5">
        <v>43322</v>
      </c>
      <c r="AA5920" s="1">
        <v>4033333</v>
      </c>
      <c r="AB5920" s="1" t="s">
        <v>4232</v>
      </c>
      <c r="AC5920" s="5">
        <v>43340</v>
      </c>
      <c r="AF5920" s="1">
        <v>10006</v>
      </c>
      <c r="AI5920" s="1" t="s">
        <v>97</v>
      </c>
      <c r="AJ5920" s="1">
        <v>2016</v>
      </c>
      <c r="AK5920" s="1" t="s">
        <v>46</v>
      </c>
      <c r="AL5920" s="1">
        <v>186</v>
      </c>
    </row>
    <row r="5921" spans="1:38" x14ac:dyDescent="0.2">
      <c r="A5921" s="2" t="str">
        <f>HYPERLINK("https://www.compass.com/listing/196-orchard-street-unit-8h-manhattan-ny-10002/81135951321018065/","196 Orchard St, Unit 8H")</f>
        <v>196 Orchard St, Unit 8H</v>
      </c>
      <c r="B5921" s="2" t="str">
        <f>HYPERLINK("https://www.compass.com/building/196-orchard-st-manhattan-ny-10002/281886194713760485/","196 Orchard St")</f>
        <v>196 Orchard St</v>
      </c>
      <c r="C5921" s="1" t="s">
        <v>47</v>
      </c>
      <c r="D5921" s="1" t="s">
        <v>41</v>
      </c>
      <c r="E5921" s="3">
        <v>3084279</v>
      </c>
      <c r="F5921" s="1">
        <v>2301.7009328358199</v>
      </c>
      <c r="G5921" s="1">
        <v>4</v>
      </c>
      <c r="H5921" s="1">
        <v>2</v>
      </c>
      <c r="I5921" s="1">
        <v>3</v>
      </c>
      <c r="J5921" s="1">
        <v>2.5</v>
      </c>
      <c r="K5921" s="1">
        <v>2</v>
      </c>
      <c r="L5921" s="1">
        <v>1</v>
      </c>
      <c r="M5921" s="4">
        <v>1340</v>
      </c>
      <c r="N5921" s="1">
        <v>1779</v>
      </c>
      <c r="O5921" s="1">
        <v>3543</v>
      </c>
      <c r="P5921" s="1">
        <v>1764</v>
      </c>
      <c r="Q5921" s="1" t="s">
        <v>42</v>
      </c>
      <c r="S5921" s="1" t="s">
        <v>42</v>
      </c>
      <c r="T5921" s="1" t="s">
        <v>273</v>
      </c>
      <c r="V5921" s="5">
        <v>44338</v>
      </c>
      <c r="W5921" s="5">
        <v>43364</v>
      </c>
      <c r="X5921" s="1">
        <v>3235000</v>
      </c>
      <c r="Y5921" s="1">
        <v>3235000</v>
      </c>
      <c r="Z5921" s="5">
        <v>43364</v>
      </c>
      <c r="AA5921" s="1">
        <v>3084279.25</v>
      </c>
      <c r="AB5921" s="1" t="s">
        <v>4233</v>
      </c>
      <c r="AC5921" s="5">
        <v>43370</v>
      </c>
      <c r="AF5921" s="1">
        <v>10002</v>
      </c>
      <c r="AI5921" s="1" t="s">
        <v>165</v>
      </c>
      <c r="AJ5921" s="1">
        <v>2018</v>
      </c>
      <c r="AK5921" s="1" t="s">
        <v>46</v>
      </c>
      <c r="AL5921" s="1">
        <v>89</v>
      </c>
    </row>
    <row r="5922" spans="1:38" x14ac:dyDescent="0.2">
      <c r="A5922" s="2" t="str">
        <f>HYPERLINK("https://www.compass.com/listing/77-greenwich-street-unit-18b-manhattan-ny-10006/436836681598255945/","77 Greenwich St, Unit 18B")</f>
        <v>77 Greenwich St, Unit 18B</v>
      </c>
      <c r="B5922" s="2" t="str">
        <f>HYPERLINK("https://www.compass.com/building/jolie-manhattan-ny/282060129363328789/","Jolie")</f>
        <v>Jolie</v>
      </c>
      <c r="C5922" s="1" t="s">
        <v>96</v>
      </c>
      <c r="D5922" s="1" t="s">
        <v>41</v>
      </c>
      <c r="E5922" s="3">
        <v>1360000</v>
      </c>
      <c r="F5922" s="1">
        <v>1615.20190023752</v>
      </c>
      <c r="G5922" s="1">
        <v>3</v>
      </c>
      <c r="H5922" s="1">
        <v>1</v>
      </c>
      <c r="I5922" s="1">
        <v>2</v>
      </c>
      <c r="J5922" s="1">
        <v>1.5</v>
      </c>
      <c r="K5922" s="1">
        <v>1</v>
      </c>
      <c r="L5922" s="1">
        <v>1</v>
      </c>
      <c r="M5922" s="1">
        <v>842</v>
      </c>
      <c r="N5922" s="1">
        <v>903</v>
      </c>
      <c r="O5922" s="1">
        <v>2362</v>
      </c>
      <c r="P5922" s="1">
        <v>1459</v>
      </c>
      <c r="Q5922" s="1" t="s">
        <v>42</v>
      </c>
      <c r="S5922" s="1" t="s">
        <v>42</v>
      </c>
      <c r="T5922" s="1" t="s">
        <v>273</v>
      </c>
      <c r="U5922" s="1">
        <v>177</v>
      </c>
      <c r="V5922" s="5">
        <v>44404</v>
      </c>
      <c r="W5922" s="5">
        <v>43854</v>
      </c>
      <c r="X5922" s="1">
        <v>1600000</v>
      </c>
      <c r="Y5922" s="1">
        <v>1600000</v>
      </c>
      <c r="AA5922" s="1">
        <v>1360000</v>
      </c>
      <c r="AB5922" s="1" t="s">
        <v>295</v>
      </c>
      <c r="AC5922" s="5">
        <v>44249</v>
      </c>
      <c r="AF5922" s="1">
        <v>10006</v>
      </c>
      <c r="AI5922" s="1" t="s">
        <v>65</v>
      </c>
      <c r="AJ5922" s="1">
        <v>2019</v>
      </c>
      <c r="AK5922" s="1" t="s">
        <v>46</v>
      </c>
      <c r="AL5922" s="1">
        <v>90</v>
      </c>
    </row>
    <row r="5923" spans="1:38" x14ac:dyDescent="0.2">
      <c r="A5923" s="2" t="str">
        <f>HYPERLINK("https://www.compass.com/listing/196-orchard-street-unit-phe-manhattan-ny-10002/83853927732320497/","196 Orchard St, Unit PHE")</f>
        <v>196 Orchard St, Unit PHE</v>
      </c>
      <c r="B5923" s="2" t="str">
        <f t="shared" ref="B5923:B5924" si="987">HYPERLINK("https://www.compass.com/building/196-orchard-st-manhattan-ny-10002/281886194713760485/","196 Orchard St")</f>
        <v>196 Orchard St</v>
      </c>
      <c r="C5923" s="1" t="s">
        <v>47</v>
      </c>
      <c r="D5923" s="1" t="s">
        <v>41</v>
      </c>
      <c r="E5923" s="3">
        <v>3617788</v>
      </c>
      <c r="F5923" s="1">
        <v>2567.6277501774298</v>
      </c>
      <c r="G5923" s="1">
        <v>4</v>
      </c>
      <c r="H5923" s="1">
        <v>2</v>
      </c>
      <c r="I5923" s="1">
        <v>3</v>
      </c>
      <c r="J5923" s="1">
        <v>3</v>
      </c>
      <c r="K5923" s="1">
        <v>3</v>
      </c>
      <c r="M5923" s="4">
        <v>1409</v>
      </c>
      <c r="N5923" s="1">
        <v>1871</v>
      </c>
      <c r="O5923" s="1">
        <v>3726</v>
      </c>
      <c r="P5923" s="1">
        <v>1855</v>
      </c>
      <c r="Q5923" s="1" t="s">
        <v>42</v>
      </c>
      <c r="S5923" s="1" t="s">
        <v>42</v>
      </c>
      <c r="T5923" s="1" t="s">
        <v>273</v>
      </c>
      <c r="V5923" s="5">
        <v>44338</v>
      </c>
      <c r="W5923" s="5">
        <v>43368</v>
      </c>
      <c r="X5923" s="1">
        <v>3550000</v>
      </c>
      <c r="Y5923" s="1">
        <v>3550000</v>
      </c>
      <c r="Z5923" s="5">
        <v>43368</v>
      </c>
      <c r="AA5923" s="1">
        <v>3617787.5</v>
      </c>
      <c r="AB5923" s="1" t="s">
        <v>4234</v>
      </c>
      <c r="AC5923" s="5">
        <v>43508</v>
      </c>
      <c r="AF5923" s="1">
        <v>10002</v>
      </c>
      <c r="AI5923" s="1" t="s">
        <v>165</v>
      </c>
      <c r="AJ5923" s="1">
        <v>2018</v>
      </c>
      <c r="AK5923" s="1" t="s">
        <v>46</v>
      </c>
      <c r="AL5923" s="1">
        <v>89</v>
      </c>
    </row>
    <row r="5924" spans="1:38" x14ac:dyDescent="0.2">
      <c r="A5924" s="2" t="str">
        <f>HYPERLINK("https://www.compass.com/listing/196-orchard-street-unit-phf-manhattan-ny-10002/83823560182813553/","196 Orchard St, Unit PHF")</f>
        <v>196 Orchard St, Unit PHF</v>
      </c>
      <c r="B5924" s="2" t="str">
        <f t="shared" si="987"/>
        <v>196 Orchard St</v>
      </c>
      <c r="C5924" s="1" t="s">
        <v>47</v>
      </c>
      <c r="D5924" s="1" t="s">
        <v>41</v>
      </c>
      <c r="E5924" s="3">
        <v>4070909</v>
      </c>
      <c r="F5924" s="1">
        <v>2552.2938871473302</v>
      </c>
      <c r="G5924" s="1">
        <v>5</v>
      </c>
      <c r="H5924" s="1">
        <v>2</v>
      </c>
      <c r="I5924" s="1">
        <v>3</v>
      </c>
      <c r="J5924" s="1">
        <v>2.5</v>
      </c>
      <c r="K5924" s="1">
        <v>2</v>
      </c>
      <c r="L5924" s="1">
        <v>1</v>
      </c>
      <c r="M5924" s="4">
        <v>1595</v>
      </c>
      <c r="N5924" s="1">
        <v>2183</v>
      </c>
      <c r="O5924" s="1">
        <v>4348</v>
      </c>
      <c r="P5924" s="1">
        <v>2165</v>
      </c>
      <c r="Q5924" s="1" t="s">
        <v>42</v>
      </c>
      <c r="S5924" s="1" t="s">
        <v>42</v>
      </c>
      <c r="T5924" s="1" t="s">
        <v>273</v>
      </c>
      <c r="V5924" s="5">
        <v>44338</v>
      </c>
      <c r="W5924" s="5">
        <v>43368</v>
      </c>
      <c r="X5924" s="1">
        <v>3995000</v>
      </c>
      <c r="Y5924" s="1">
        <v>3995000</v>
      </c>
      <c r="Z5924" s="5">
        <v>43368</v>
      </c>
      <c r="AA5924" s="1">
        <v>4070908.75</v>
      </c>
      <c r="AB5924" s="1" t="s">
        <v>4235</v>
      </c>
      <c r="AC5924" s="5">
        <v>43524</v>
      </c>
      <c r="AF5924" s="1">
        <v>10002</v>
      </c>
      <c r="AI5924" s="1" t="s">
        <v>156</v>
      </c>
      <c r="AJ5924" s="1">
        <v>2018</v>
      </c>
      <c r="AK5924" s="1" t="s">
        <v>46</v>
      </c>
      <c r="AL5924" s="1">
        <v>89</v>
      </c>
    </row>
    <row r="5925" spans="1:38" x14ac:dyDescent="0.2">
      <c r="A5925" s="2" t="str">
        <f>HYPERLINK("https://www.compass.com/listing/77-greenwich-street-unit-17c-manhattan-ny-10006/725837082493746865/","77 Greenwich St, Unit 17C")</f>
        <v>77 Greenwich St, Unit 17C</v>
      </c>
      <c r="B5925" s="2" t="str">
        <f>HYPERLINK("https://www.compass.com/building/jolie-manhattan-ny/282060129363328789/","Jolie")</f>
        <v>Jolie</v>
      </c>
      <c r="C5925" s="1" t="s">
        <v>96</v>
      </c>
      <c r="D5925" s="1" t="s">
        <v>41</v>
      </c>
      <c r="E5925" s="3">
        <v>2125000</v>
      </c>
      <c r="F5925" s="1">
        <v>1600.15060240963</v>
      </c>
      <c r="G5925" s="1">
        <v>2</v>
      </c>
      <c r="H5925" s="1">
        <v>2</v>
      </c>
      <c r="J5925" s="1">
        <v>2.5</v>
      </c>
      <c r="M5925" s="4">
        <v>1328</v>
      </c>
      <c r="N5925" s="1">
        <v>1374</v>
      </c>
      <c r="O5925" s="1">
        <v>3675</v>
      </c>
      <c r="P5925" s="1">
        <v>2301</v>
      </c>
      <c r="S5925" s="1" t="s">
        <v>42</v>
      </c>
      <c r="T5925" s="1" t="s">
        <v>273</v>
      </c>
      <c r="U5925" s="1">
        <v>13</v>
      </c>
      <c r="V5925" s="5">
        <v>44406</v>
      </c>
      <c r="W5925" s="5">
        <v>44252</v>
      </c>
      <c r="X5925" s="1">
        <v>2125000</v>
      </c>
      <c r="Y5925" s="1">
        <v>2125000</v>
      </c>
      <c r="Z5925" s="5">
        <v>44265</v>
      </c>
      <c r="AA5925" s="1">
        <v>2125000</v>
      </c>
      <c r="AB5925" s="1" t="s">
        <v>295</v>
      </c>
      <c r="AC5925" s="5">
        <v>44389</v>
      </c>
      <c r="AF5925" s="1">
        <v>10006</v>
      </c>
      <c r="AI5925" s="1" t="s">
        <v>65</v>
      </c>
      <c r="AJ5925" s="1">
        <v>2019</v>
      </c>
      <c r="AK5925" s="1" t="s">
        <v>49</v>
      </c>
      <c r="AL5925" s="1">
        <v>90</v>
      </c>
    </row>
    <row r="5926" spans="1:38" x14ac:dyDescent="0.2">
      <c r="A5926" s="2" t="str">
        <f>HYPERLINK("https://www.compass.com/listing/179-ludlow-street-unit-ph-manhattan-ny-10002/29361400568730177/","179 Ludlow St, Unit PH")</f>
        <v>179 Ludlow St, Unit PH</v>
      </c>
      <c r="B5926" s="2" t="str">
        <f>HYPERLINK("https://www.compass.com/building/179-ludlow-st-manhattan-ny-10002/281886015474372981/","179 Ludlow St")</f>
        <v>179 Ludlow St</v>
      </c>
      <c r="C5926" s="1" t="s">
        <v>47</v>
      </c>
      <c r="D5926" s="1" t="s">
        <v>41</v>
      </c>
      <c r="E5926" s="3">
        <v>2443800</v>
      </c>
      <c r="F5926" s="1">
        <v>1925.768321513</v>
      </c>
      <c r="G5926" s="1">
        <v>5</v>
      </c>
      <c r="H5926" s="1">
        <v>2</v>
      </c>
      <c r="I5926" s="1">
        <v>2</v>
      </c>
      <c r="J5926" s="1">
        <v>2</v>
      </c>
      <c r="K5926" s="1">
        <v>2</v>
      </c>
      <c r="M5926" s="4">
        <v>1269</v>
      </c>
      <c r="N5926" s="1">
        <v>942</v>
      </c>
      <c r="O5926" s="1">
        <v>2188</v>
      </c>
      <c r="P5926" s="1">
        <v>1246</v>
      </c>
      <c r="Q5926" s="1" t="s">
        <v>42</v>
      </c>
      <c r="S5926" s="1" t="s">
        <v>42</v>
      </c>
      <c r="T5926" s="1" t="s">
        <v>273</v>
      </c>
      <c r="U5926" s="1">
        <v>29</v>
      </c>
      <c r="V5926" s="5">
        <v>44380</v>
      </c>
      <c r="W5926" s="5">
        <v>41961</v>
      </c>
      <c r="X5926" s="1">
        <v>2400000</v>
      </c>
      <c r="Y5926" s="1">
        <v>2400000</v>
      </c>
      <c r="Z5926" s="5">
        <v>41990</v>
      </c>
      <c r="AA5926" s="1">
        <v>2443800</v>
      </c>
      <c r="AB5926" s="1" t="s">
        <v>4236</v>
      </c>
      <c r="AC5926" s="5">
        <v>42172</v>
      </c>
      <c r="AF5926" s="1">
        <v>10002</v>
      </c>
      <c r="AI5926" s="1" t="s">
        <v>780</v>
      </c>
      <c r="AJ5926" s="1">
        <v>1920</v>
      </c>
      <c r="AL5926" s="1">
        <v>6</v>
      </c>
    </row>
    <row r="5927" spans="1:38" x14ac:dyDescent="0.2">
      <c r="A5927" s="2" t="str">
        <f>HYPERLINK("https://www.compass.com/listing/196-orchard-street-unit-10e-manhattan-ny-10002/239043814893878561/","196 Orchard St, Unit 10E")</f>
        <v>196 Orchard St, Unit 10E</v>
      </c>
      <c r="B5927" s="2" t="str">
        <f>HYPERLINK("https://www.compass.com/building/196-orchard-st-manhattan-ny-10002/281886194713760485/","196 Orchard St")</f>
        <v>196 Orchard St</v>
      </c>
      <c r="C5927" s="1" t="s">
        <v>47</v>
      </c>
      <c r="D5927" s="1" t="s">
        <v>41</v>
      </c>
      <c r="E5927" s="3">
        <v>5250000</v>
      </c>
      <c r="F5927" s="1">
        <v>2537.4577090381799</v>
      </c>
      <c r="G5927" s="1">
        <v>5</v>
      </c>
      <c r="H5927" s="1">
        <v>3</v>
      </c>
      <c r="I5927" s="1">
        <v>4</v>
      </c>
      <c r="J5927" s="1">
        <v>3.5</v>
      </c>
      <c r="K5927" s="1">
        <v>3</v>
      </c>
      <c r="L5927" s="1">
        <v>1</v>
      </c>
      <c r="M5927" s="4">
        <v>2069</v>
      </c>
      <c r="N5927" s="1">
        <v>2803</v>
      </c>
      <c r="O5927" s="1">
        <v>5583</v>
      </c>
      <c r="P5927" s="1">
        <v>2780</v>
      </c>
      <c r="Q5927" s="1" t="s">
        <v>42</v>
      </c>
      <c r="S5927" s="1" t="s">
        <v>42</v>
      </c>
      <c r="T5927" s="1" t="s">
        <v>273</v>
      </c>
      <c r="V5927" s="5">
        <v>44338</v>
      </c>
      <c r="W5927" s="5">
        <v>43525</v>
      </c>
      <c r="X5927" s="1">
        <v>5590000</v>
      </c>
      <c r="Y5927" s="1">
        <v>5590000</v>
      </c>
      <c r="AA5927" s="1">
        <v>5250000</v>
      </c>
      <c r="AB5927" s="1" t="s">
        <v>275</v>
      </c>
      <c r="AC5927" s="5">
        <v>43525</v>
      </c>
      <c r="AF5927" s="1">
        <v>10002</v>
      </c>
      <c r="AI5927" s="1" t="s">
        <v>223</v>
      </c>
      <c r="AJ5927" s="1">
        <v>2018</v>
      </c>
      <c r="AK5927" s="1" t="s">
        <v>46</v>
      </c>
      <c r="AL5927" s="1">
        <v>89</v>
      </c>
    </row>
    <row r="5928" spans="1:38" x14ac:dyDescent="0.2">
      <c r="A5928" s="2" t="str">
        <f>HYPERLINK("https://www.compass.com/listing/204-forsyth-street-unit-5s-manhattan-ny-10002/70922526959668049/","204 Forsyth St, Unit 5S")</f>
        <v>204 Forsyth St, Unit 5S</v>
      </c>
      <c r="B5928" s="2" t="str">
        <f t="shared" ref="B5928:B5933" si="988">HYPERLINK("https://www.compass.com/building/204-forsyth-st-manhattan-ny-10002/281886285847598005/","204 Forsyth St")</f>
        <v>204 Forsyth St</v>
      </c>
      <c r="C5928" s="1" t="s">
        <v>47</v>
      </c>
      <c r="D5928" s="1" t="s">
        <v>41</v>
      </c>
      <c r="E5928" s="3">
        <v>3300000</v>
      </c>
      <c r="G5928" s="1">
        <v>4</v>
      </c>
      <c r="H5928" s="1">
        <v>2</v>
      </c>
      <c r="I5928" s="1">
        <v>2</v>
      </c>
      <c r="J5928" s="1">
        <v>2</v>
      </c>
      <c r="K5928" s="1">
        <v>2</v>
      </c>
      <c r="N5928" s="1">
        <v>1402.91</v>
      </c>
      <c r="O5928" s="1">
        <v>2561.41</v>
      </c>
      <c r="P5928" s="1">
        <v>1158.5</v>
      </c>
      <c r="Q5928" s="1" t="s">
        <v>42</v>
      </c>
      <c r="S5928" s="1" t="s">
        <v>42</v>
      </c>
      <c r="T5928" s="1" t="s">
        <v>273</v>
      </c>
      <c r="U5928" s="1">
        <v>84</v>
      </c>
      <c r="V5928" s="5">
        <v>43637</v>
      </c>
      <c r="W5928" s="5">
        <v>42951</v>
      </c>
      <c r="X5928" s="1">
        <v>3395000</v>
      </c>
      <c r="Y5928" s="1">
        <v>3395000</v>
      </c>
      <c r="Z5928" s="5">
        <v>43035</v>
      </c>
      <c r="AA5928" s="1">
        <v>3300000</v>
      </c>
      <c r="AB5928" s="1" t="s">
        <v>4237</v>
      </c>
      <c r="AC5928" s="5">
        <v>43116</v>
      </c>
      <c r="AF5928" s="1">
        <v>10002</v>
      </c>
      <c r="AI5928" s="1" t="s">
        <v>211</v>
      </c>
      <c r="AJ5928" s="1">
        <v>2016</v>
      </c>
      <c r="AK5928" s="1" t="s">
        <v>49</v>
      </c>
      <c r="AL5928" s="1">
        <v>11</v>
      </c>
    </row>
    <row r="5929" spans="1:38" x14ac:dyDescent="0.2">
      <c r="A5929" s="2" t="str">
        <f>HYPERLINK("https://www.compass.com/listing/204-forsyth-street-unit-3s-manhattan-ny-10002/29361490368786337/","204 Forsyth St, Unit 3S")</f>
        <v>204 Forsyth St, Unit 3S</v>
      </c>
      <c r="B5929" s="2" t="str">
        <f t="shared" si="988"/>
        <v>204 Forsyth St</v>
      </c>
      <c r="C5929" s="1" t="s">
        <v>47</v>
      </c>
      <c r="D5929" s="1" t="s">
        <v>41</v>
      </c>
      <c r="E5929" s="3">
        <v>2850000</v>
      </c>
      <c r="F5929" s="1">
        <v>1848.24902723735</v>
      </c>
      <c r="G5929" s="1">
        <v>4</v>
      </c>
      <c r="H5929" s="1">
        <v>2</v>
      </c>
      <c r="I5929" s="1">
        <v>2</v>
      </c>
      <c r="J5929" s="1">
        <v>2</v>
      </c>
      <c r="K5929" s="1">
        <v>2</v>
      </c>
      <c r="M5929" s="4">
        <v>1542</v>
      </c>
      <c r="N5929" s="1">
        <v>1402.91</v>
      </c>
      <c r="O5929" s="1">
        <v>2561.41</v>
      </c>
      <c r="P5929" s="1">
        <v>1158.5</v>
      </c>
      <c r="Q5929" s="1" t="s">
        <v>42</v>
      </c>
      <c r="S5929" s="1" t="s">
        <v>42</v>
      </c>
      <c r="T5929" s="1" t="s">
        <v>273</v>
      </c>
      <c r="U5929" s="1">
        <v>56</v>
      </c>
      <c r="V5929" s="5">
        <v>43637</v>
      </c>
      <c r="W5929" s="5">
        <v>42649</v>
      </c>
      <c r="X5929" s="1">
        <v>2995000</v>
      </c>
      <c r="Y5929" s="1">
        <v>2995000</v>
      </c>
      <c r="Z5929" s="5">
        <v>42705</v>
      </c>
      <c r="AA5929" s="1">
        <v>2850000</v>
      </c>
      <c r="AB5929" s="1" t="s">
        <v>4238</v>
      </c>
      <c r="AC5929" s="5">
        <v>43131</v>
      </c>
      <c r="AF5929" s="1">
        <v>10002</v>
      </c>
      <c r="AI5929" s="1" t="s">
        <v>211</v>
      </c>
      <c r="AJ5929" s="1">
        <v>2016</v>
      </c>
      <c r="AK5929" s="1" t="s">
        <v>49</v>
      </c>
      <c r="AL5929" s="1">
        <v>11</v>
      </c>
    </row>
    <row r="5930" spans="1:38" x14ac:dyDescent="0.2">
      <c r="A5930" s="2" t="str">
        <f>HYPERLINK("https://www.compass.com/listing/204-forsyth-street-unit-4s-manhattan-ny-10002/29361490779822801/","204 Forsyth St, Unit 4S")</f>
        <v>204 Forsyth St, Unit 4S</v>
      </c>
      <c r="B5930" s="2" t="str">
        <f t="shared" si="988"/>
        <v>204 Forsyth St</v>
      </c>
      <c r="C5930" s="1" t="s">
        <v>47</v>
      </c>
      <c r="D5930" s="1" t="s">
        <v>41</v>
      </c>
      <c r="E5930" s="3">
        <v>2950000</v>
      </c>
      <c r="G5930" s="1">
        <v>4</v>
      </c>
      <c r="H5930" s="1">
        <v>2</v>
      </c>
      <c r="I5930" s="1">
        <v>2</v>
      </c>
      <c r="J5930" s="1">
        <v>2</v>
      </c>
      <c r="K5930" s="1">
        <v>2</v>
      </c>
      <c r="N5930" s="1">
        <v>1402</v>
      </c>
      <c r="O5930" s="1">
        <v>2560</v>
      </c>
      <c r="P5930" s="1">
        <v>1158</v>
      </c>
      <c r="Q5930" s="1" t="s">
        <v>42</v>
      </c>
      <c r="S5930" s="1" t="s">
        <v>42</v>
      </c>
      <c r="T5930" s="1" t="s">
        <v>273</v>
      </c>
      <c r="U5930" s="1">
        <v>53</v>
      </c>
      <c r="V5930" s="5">
        <v>43694</v>
      </c>
      <c r="W5930" s="5">
        <v>42881</v>
      </c>
      <c r="X5930" s="1">
        <v>3240000</v>
      </c>
      <c r="Y5930" s="1">
        <v>3240000</v>
      </c>
      <c r="Z5930" s="5">
        <v>42934</v>
      </c>
      <c r="AA5930" s="1">
        <v>2950000</v>
      </c>
      <c r="AB5930" s="1" t="s">
        <v>4239</v>
      </c>
      <c r="AC5930" s="5">
        <v>43118</v>
      </c>
      <c r="AF5930" s="1">
        <v>10002</v>
      </c>
      <c r="AI5930" s="1" t="s">
        <v>211</v>
      </c>
      <c r="AJ5930" s="1">
        <v>2016</v>
      </c>
      <c r="AK5930" s="1" t="s">
        <v>49</v>
      </c>
      <c r="AL5930" s="1">
        <v>11</v>
      </c>
    </row>
    <row r="5931" spans="1:38" x14ac:dyDescent="0.2">
      <c r="A5931" s="2" t="str">
        <f>HYPERLINK("https://www.compass.com/listing/204-forsyth-street-unit-4n-manhattan-ny-10002/4853862702499495937/","204 Forsyth St, Unit 4N")</f>
        <v>204 Forsyth St, Unit 4N</v>
      </c>
      <c r="B5931" s="2" t="str">
        <f t="shared" si="988"/>
        <v>204 Forsyth St</v>
      </c>
      <c r="C5931" s="1" t="s">
        <v>47</v>
      </c>
      <c r="D5931" s="1" t="s">
        <v>41</v>
      </c>
      <c r="E5931" s="3">
        <v>3360225</v>
      </c>
      <c r="F5931" s="1">
        <v>2369.6932299012601</v>
      </c>
      <c r="G5931" s="1">
        <v>4</v>
      </c>
      <c r="H5931" s="1">
        <v>2</v>
      </c>
      <c r="I5931" s="1">
        <v>2</v>
      </c>
      <c r="J5931" s="1">
        <v>2</v>
      </c>
      <c r="K5931" s="1">
        <v>2</v>
      </c>
      <c r="M5931" s="4">
        <v>1418</v>
      </c>
      <c r="N5931" s="1">
        <v>1402</v>
      </c>
      <c r="O5931" s="1">
        <v>2560</v>
      </c>
      <c r="P5931" s="1">
        <v>1158</v>
      </c>
      <c r="Q5931" s="1" t="s">
        <v>42</v>
      </c>
      <c r="S5931" s="1" t="s">
        <v>42</v>
      </c>
      <c r="T5931" s="1" t="s">
        <v>273</v>
      </c>
      <c r="U5931" s="1">
        <v>14</v>
      </c>
      <c r="V5931" s="5">
        <v>43222</v>
      </c>
      <c r="W5931" s="5">
        <v>43085</v>
      </c>
      <c r="Y5931" s="1">
        <v>3075000</v>
      </c>
      <c r="Z5931" s="5">
        <v>42908</v>
      </c>
      <c r="AA5931" s="1">
        <v>3360225</v>
      </c>
      <c r="AB5931" s="1" t="s">
        <v>4240</v>
      </c>
      <c r="AC5931" s="5">
        <v>43328</v>
      </c>
      <c r="AF5931" s="1">
        <v>10002</v>
      </c>
      <c r="AI5931" s="1" t="s">
        <v>211</v>
      </c>
      <c r="AJ5931" s="1">
        <v>2016</v>
      </c>
      <c r="AK5931" s="1" t="s">
        <v>49</v>
      </c>
      <c r="AL5931" s="1">
        <v>11</v>
      </c>
    </row>
    <row r="5932" spans="1:38" x14ac:dyDescent="0.2">
      <c r="A5932" s="2" t="str">
        <f>HYPERLINK("https://www.compass.com/listing/204-forsyth-street-unit-3n-manhattan-ny-10002/70912281340381921/","204 Forsyth St, Unit 3N")</f>
        <v>204 Forsyth St, Unit 3N</v>
      </c>
      <c r="B5932" s="2" t="str">
        <f t="shared" si="988"/>
        <v>204 Forsyth St</v>
      </c>
      <c r="C5932" s="1" t="s">
        <v>47</v>
      </c>
      <c r="D5932" s="1" t="s">
        <v>41</v>
      </c>
      <c r="E5932" s="3">
        <v>2850000</v>
      </c>
      <c r="F5932" s="1">
        <v>1839.8967075532601</v>
      </c>
      <c r="G5932" s="1">
        <v>4</v>
      </c>
      <c r="H5932" s="1">
        <v>2</v>
      </c>
      <c r="I5932" s="1">
        <v>2</v>
      </c>
      <c r="J5932" s="1">
        <v>2</v>
      </c>
      <c r="K5932" s="1">
        <v>2</v>
      </c>
      <c r="M5932" s="4">
        <v>1549</v>
      </c>
      <c r="N5932" s="1">
        <v>1405.91</v>
      </c>
      <c r="O5932" s="1">
        <v>2564.41</v>
      </c>
      <c r="P5932" s="1">
        <v>1158.5</v>
      </c>
      <c r="Q5932" s="1" t="s">
        <v>42</v>
      </c>
      <c r="S5932" s="1" t="s">
        <v>42</v>
      </c>
      <c r="T5932" s="1" t="s">
        <v>273</v>
      </c>
      <c r="U5932" s="1">
        <v>280</v>
      </c>
      <c r="V5932" s="5">
        <v>43694</v>
      </c>
      <c r="W5932" s="5">
        <v>42649</v>
      </c>
      <c r="X5932" s="1">
        <v>3095000</v>
      </c>
      <c r="Y5932" s="1">
        <v>3095000</v>
      </c>
      <c r="Z5932" s="5">
        <v>42929</v>
      </c>
      <c r="AA5932" s="1">
        <v>2850000</v>
      </c>
      <c r="AB5932" s="1" t="s">
        <v>4241</v>
      </c>
      <c r="AC5932" s="5">
        <v>43116</v>
      </c>
      <c r="AF5932" s="1">
        <v>10002</v>
      </c>
      <c r="AI5932" s="1" t="s">
        <v>211</v>
      </c>
      <c r="AJ5932" s="1">
        <v>2016</v>
      </c>
      <c r="AK5932" s="1" t="s">
        <v>49</v>
      </c>
      <c r="AL5932" s="1">
        <v>11</v>
      </c>
    </row>
    <row r="5933" spans="1:38" x14ac:dyDescent="0.2">
      <c r="A5933" s="2" t="str">
        <f>HYPERLINK("https://www.compass.com/listing/204-forsyth-street-unit-5n-manhattan-ny-10002/29361491081777585/","204 Forsyth St, Unit 5N")</f>
        <v>204 Forsyth St, Unit 5N</v>
      </c>
      <c r="B5933" s="2" t="str">
        <f t="shared" si="988"/>
        <v>204 Forsyth St</v>
      </c>
      <c r="C5933" s="1" t="s">
        <v>47</v>
      </c>
      <c r="D5933" s="1" t="s">
        <v>41</v>
      </c>
      <c r="E5933" s="3">
        <v>3563875</v>
      </c>
      <c r="G5933" s="1">
        <v>4</v>
      </c>
      <c r="H5933" s="1">
        <v>2</v>
      </c>
      <c r="I5933" s="1">
        <v>2</v>
      </c>
      <c r="J5933" s="1">
        <v>2</v>
      </c>
      <c r="K5933" s="1">
        <v>2</v>
      </c>
      <c r="N5933" s="1">
        <v>1405</v>
      </c>
      <c r="O5933" s="1">
        <v>2564</v>
      </c>
      <c r="P5933" s="1">
        <v>1159</v>
      </c>
      <c r="Q5933" s="1" t="s">
        <v>42</v>
      </c>
      <c r="S5933" s="1" t="s">
        <v>42</v>
      </c>
      <c r="T5933" s="1" t="s">
        <v>273</v>
      </c>
      <c r="U5933" s="1">
        <v>1</v>
      </c>
      <c r="V5933" s="5">
        <v>43649</v>
      </c>
      <c r="W5933" s="5">
        <v>42881</v>
      </c>
      <c r="X5933" s="1">
        <v>3600000</v>
      </c>
      <c r="Y5933" s="1">
        <v>3600000</v>
      </c>
      <c r="Z5933" s="5">
        <v>42906</v>
      </c>
      <c r="AA5933" s="1">
        <v>3563875</v>
      </c>
      <c r="AB5933" s="1" t="s">
        <v>4242</v>
      </c>
      <c r="AC5933" s="5">
        <v>43111</v>
      </c>
      <c r="AF5933" s="1">
        <v>10002</v>
      </c>
      <c r="AI5933" s="1" t="s">
        <v>211</v>
      </c>
      <c r="AJ5933" s="1">
        <v>2016</v>
      </c>
      <c r="AK5933" s="1" t="s">
        <v>49</v>
      </c>
      <c r="AL5933" s="1">
        <v>11</v>
      </c>
    </row>
    <row r="5934" spans="1:38" x14ac:dyDescent="0.2">
      <c r="A5934" s="2" t="str">
        <f>HYPERLINK("https://www.compass.com/listing/252-south-street-unit-39b-manhattan-ny-10002/739098598770856217/","252 South St, Unit 39B")</f>
        <v>252 South St, Unit 39B</v>
      </c>
      <c r="B5934" s="2" t="str">
        <f>HYPERLINK("https://www.compass.com/building/one-manhattan-square-manhattan-ny/294844950218926165/","One Manhattan Square")</f>
        <v>One Manhattan Square</v>
      </c>
      <c r="C5934" s="1" t="s">
        <v>47</v>
      </c>
      <c r="D5934" s="1" t="s">
        <v>41</v>
      </c>
      <c r="E5934" s="3">
        <v>1910164</v>
      </c>
      <c r="F5934" s="1">
        <v>1827.90813397129</v>
      </c>
      <c r="G5934" s="1">
        <v>4</v>
      </c>
      <c r="H5934" s="1">
        <v>2</v>
      </c>
      <c r="I5934" s="1">
        <v>2</v>
      </c>
      <c r="J5934" s="1">
        <v>2</v>
      </c>
      <c r="K5934" s="1">
        <v>2</v>
      </c>
      <c r="M5934" s="4">
        <v>1045</v>
      </c>
      <c r="N5934" s="1">
        <v>1288</v>
      </c>
      <c r="O5934" s="1">
        <v>1308</v>
      </c>
      <c r="P5934" s="1">
        <v>20</v>
      </c>
      <c r="Q5934" s="1" t="s">
        <v>42</v>
      </c>
      <c r="S5934" s="1" t="s">
        <v>42</v>
      </c>
      <c r="T5934" s="1" t="s">
        <v>273</v>
      </c>
      <c r="V5934" s="5">
        <v>44292</v>
      </c>
      <c r="W5934" s="5">
        <v>44245</v>
      </c>
      <c r="X5934" s="1">
        <v>2547000</v>
      </c>
      <c r="Y5934" s="1">
        <v>1872000</v>
      </c>
      <c r="Z5934" s="5">
        <v>44245</v>
      </c>
      <c r="AA5934" s="1">
        <v>1910164</v>
      </c>
      <c r="AB5934" s="1" t="s">
        <v>4243</v>
      </c>
      <c r="AC5934" s="5">
        <v>44279</v>
      </c>
      <c r="AF5934" s="1">
        <v>10002</v>
      </c>
      <c r="AI5934" s="1" t="s">
        <v>246</v>
      </c>
      <c r="AJ5934" s="1">
        <v>2019</v>
      </c>
      <c r="AK5934" s="1" t="s">
        <v>46</v>
      </c>
      <c r="AL5934" s="1">
        <v>787</v>
      </c>
    </row>
    <row r="5935" spans="1:38" x14ac:dyDescent="0.2">
      <c r="A5935" s="2" t="str">
        <f>HYPERLINK("https://www.compass.com/listing/204-forsyth-street-unit-2s-manhattan-ny-10002/70921438445507281/","204 Forsyth St, Unit 2S")</f>
        <v>204 Forsyth St, Unit 2S</v>
      </c>
      <c r="B5935" s="2" t="str">
        <f t="shared" ref="B5935:B5936" si="989">HYPERLINK("https://www.compass.com/building/204-forsyth-st-manhattan-ny-10002/281886285847598005/","204 Forsyth St")</f>
        <v>204 Forsyth St</v>
      </c>
      <c r="C5935" s="1" t="s">
        <v>47</v>
      </c>
      <c r="D5935" s="1" t="s">
        <v>41</v>
      </c>
      <c r="E5935" s="3">
        <v>2600000</v>
      </c>
      <c r="F5935" s="1">
        <v>1686.1219195849501</v>
      </c>
      <c r="G5935" s="1">
        <v>4</v>
      </c>
      <c r="H5935" s="1">
        <v>2</v>
      </c>
      <c r="I5935" s="1">
        <v>2</v>
      </c>
      <c r="J5935" s="1">
        <v>2</v>
      </c>
      <c r="K5935" s="1">
        <v>2</v>
      </c>
      <c r="M5935" s="4">
        <v>1542</v>
      </c>
      <c r="N5935" s="1">
        <v>1402.91</v>
      </c>
      <c r="O5935" s="1">
        <v>2561.41</v>
      </c>
      <c r="P5935" s="1">
        <v>1158.5</v>
      </c>
      <c r="Q5935" s="1" t="s">
        <v>42</v>
      </c>
      <c r="S5935" s="1" t="s">
        <v>42</v>
      </c>
      <c r="T5935" s="1" t="s">
        <v>273</v>
      </c>
      <c r="U5935" s="1">
        <v>230</v>
      </c>
      <c r="V5935" s="5">
        <v>43641</v>
      </c>
      <c r="W5935" s="5">
        <v>42650</v>
      </c>
      <c r="X5935" s="1">
        <v>2800000</v>
      </c>
      <c r="Y5935" s="1">
        <v>2800000</v>
      </c>
      <c r="Z5935" s="5">
        <v>42880</v>
      </c>
      <c r="AA5935" s="1">
        <v>2600000</v>
      </c>
      <c r="AB5935" s="1" t="s">
        <v>4244</v>
      </c>
      <c r="AC5935" s="5">
        <v>43111</v>
      </c>
      <c r="AF5935" s="1">
        <v>10002</v>
      </c>
      <c r="AI5935" s="1" t="s">
        <v>4245</v>
      </c>
      <c r="AJ5935" s="1">
        <v>2016</v>
      </c>
      <c r="AK5935" s="1" t="s">
        <v>49</v>
      </c>
      <c r="AL5935" s="1">
        <v>11</v>
      </c>
    </row>
    <row r="5936" spans="1:38" x14ac:dyDescent="0.2">
      <c r="A5936" s="2" t="str">
        <f>HYPERLINK("https://www.compass.com/listing/204-forsyth-street-unit-ph-manhattan-ny-10002/278791185143819297/","204 Forsyth St, Unit PH")</f>
        <v>204 Forsyth St, Unit PH</v>
      </c>
      <c r="B5936" s="2" t="str">
        <f t="shared" si="989"/>
        <v>204 Forsyth St</v>
      </c>
      <c r="C5936" s="1" t="s">
        <v>47</v>
      </c>
      <c r="D5936" s="1" t="s">
        <v>41</v>
      </c>
      <c r="E5936" s="3">
        <v>7475000</v>
      </c>
      <c r="F5936" s="1">
        <v>2695.6364947709999</v>
      </c>
      <c r="G5936" s="1">
        <v>4</v>
      </c>
      <c r="H5936" s="1">
        <v>2</v>
      </c>
      <c r="I5936" s="1">
        <v>3</v>
      </c>
      <c r="J5936" s="1">
        <v>2.5</v>
      </c>
      <c r="K5936" s="1">
        <v>2</v>
      </c>
      <c r="L5936" s="1">
        <v>1</v>
      </c>
      <c r="M5936" s="4">
        <v>2773</v>
      </c>
      <c r="N5936" s="1">
        <v>2250</v>
      </c>
      <c r="O5936" s="1">
        <v>4567</v>
      </c>
      <c r="P5936" s="1">
        <v>2317</v>
      </c>
      <c r="Q5936" s="1" t="s">
        <v>42</v>
      </c>
      <c r="S5936" s="1" t="s">
        <v>42</v>
      </c>
      <c r="T5936" s="1" t="s">
        <v>273</v>
      </c>
      <c r="U5936" s="1">
        <v>85</v>
      </c>
      <c r="V5936" s="5">
        <v>43110</v>
      </c>
      <c r="W5936" s="5">
        <v>42465</v>
      </c>
      <c r="X5936" s="1">
        <v>8500000</v>
      </c>
      <c r="Y5936" s="1">
        <v>8500000</v>
      </c>
      <c r="Z5936" s="5">
        <v>42550</v>
      </c>
      <c r="AA5936" s="1">
        <v>7475000</v>
      </c>
      <c r="AB5936" s="1" t="s">
        <v>4246</v>
      </c>
      <c r="AC5936" s="5">
        <v>43098</v>
      </c>
      <c r="AF5936" s="1">
        <v>10002</v>
      </c>
      <c r="AI5936" s="1" t="s">
        <v>1124</v>
      </c>
      <c r="AJ5936" s="1">
        <v>2016</v>
      </c>
      <c r="AK5936" s="1" t="s">
        <v>49</v>
      </c>
      <c r="AL5936" s="1">
        <v>11</v>
      </c>
    </row>
    <row r="5937" spans="1:38" x14ac:dyDescent="0.2">
      <c r="A5937" s="2" t="str">
        <f>HYPERLINK("https://www.compass.com/listing/252-south-street-unit-19l-manhattan-ny-10002/297818515008350017/","252 South St, Unit 19L")</f>
        <v>252 South St, Unit 19L</v>
      </c>
      <c r="B5937" s="2" t="str">
        <f t="shared" ref="B5937:B5940" si="990">HYPERLINK("https://www.compass.com/building/one-manhattan-square-manhattan-ny/294844950218926165/","One Manhattan Square")</f>
        <v>One Manhattan Square</v>
      </c>
      <c r="C5937" s="1" t="s">
        <v>47</v>
      </c>
      <c r="D5937" s="1" t="s">
        <v>41</v>
      </c>
      <c r="E5937" s="3">
        <v>1996573</v>
      </c>
      <c r="F5937" s="1">
        <v>1777.89248441674</v>
      </c>
      <c r="G5937" s="1">
        <v>4</v>
      </c>
      <c r="H5937" s="1">
        <v>2</v>
      </c>
      <c r="I5937" s="1">
        <v>2</v>
      </c>
      <c r="J5937" s="1">
        <v>2</v>
      </c>
      <c r="K5937" s="1">
        <v>2</v>
      </c>
      <c r="M5937" s="4">
        <v>1123</v>
      </c>
      <c r="N5937" s="1">
        <v>1239</v>
      </c>
      <c r="O5937" s="1">
        <v>1260</v>
      </c>
      <c r="P5937" s="1">
        <v>21</v>
      </c>
      <c r="Q5937" s="1" t="s">
        <v>42</v>
      </c>
      <c r="S5937" s="1" t="s">
        <v>42</v>
      </c>
      <c r="T5937" s="1" t="s">
        <v>273</v>
      </c>
      <c r="U5937" s="1">
        <v>2</v>
      </c>
      <c r="V5937" s="5">
        <v>44182</v>
      </c>
      <c r="W5937" s="5">
        <v>43663</v>
      </c>
      <c r="X5937" s="1">
        <v>2069000</v>
      </c>
      <c r="Y5937" s="1">
        <v>2069000</v>
      </c>
      <c r="Z5937" s="5">
        <v>43665</v>
      </c>
      <c r="AA5937" s="1">
        <v>1996573.26</v>
      </c>
      <c r="AB5937" s="1" t="s">
        <v>4247</v>
      </c>
      <c r="AC5937" s="5">
        <v>44103</v>
      </c>
      <c r="AF5937" s="1">
        <v>10002</v>
      </c>
      <c r="AI5937" s="1" t="s">
        <v>246</v>
      </c>
      <c r="AJ5937" s="1">
        <v>2019</v>
      </c>
      <c r="AK5937" s="1" t="s">
        <v>46</v>
      </c>
      <c r="AL5937" s="1">
        <v>787</v>
      </c>
    </row>
    <row r="5938" spans="1:38" x14ac:dyDescent="0.2">
      <c r="A5938" s="2" t="str">
        <f>HYPERLINK("https://www.compass.com/listing/252-south-street-unit-41d-manhattan-ny-10002/465140584512950425/","252 South St, Unit 41D")</f>
        <v>252 South St, Unit 41D</v>
      </c>
      <c r="B5938" s="2" t="str">
        <f t="shared" si="990"/>
        <v>One Manhattan Square</v>
      </c>
      <c r="C5938" s="1" t="s">
        <v>47</v>
      </c>
      <c r="D5938" s="1" t="s">
        <v>41</v>
      </c>
      <c r="E5938" s="3">
        <v>2529027</v>
      </c>
      <c r="F5938" s="1">
        <v>2172.7033676975898</v>
      </c>
      <c r="G5938" s="1">
        <v>4</v>
      </c>
      <c r="H5938" s="1">
        <v>2</v>
      </c>
      <c r="I5938" s="1">
        <v>2</v>
      </c>
      <c r="J5938" s="1">
        <v>2</v>
      </c>
      <c r="K5938" s="1">
        <v>2</v>
      </c>
      <c r="M5938" s="4">
        <v>1164</v>
      </c>
      <c r="N5938" s="1">
        <v>1445.64</v>
      </c>
      <c r="O5938" s="1">
        <v>1468.64</v>
      </c>
      <c r="P5938" s="1">
        <v>23</v>
      </c>
      <c r="Q5938" s="1" t="s">
        <v>42</v>
      </c>
      <c r="S5938" s="1" t="s">
        <v>42</v>
      </c>
      <c r="T5938" s="1" t="s">
        <v>273</v>
      </c>
      <c r="U5938" s="1">
        <v>2</v>
      </c>
      <c r="V5938" s="5">
        <v>44139</v>
      </c>
      <c r="W5938" s="5">
        <v>43894</v>
      </c>
      <c r="X5938" s="1">
        <v>2655000</v>
      </c>
      <c r="Y5938" s="1">
        <v>2479770</v>
      </c>
      <c r="Z5938" s="5">
        <v>43897</v>
      </c>
      <c r="AA5938" s="1">
        <v>2529026.7200000002</v>
      </c>
      <c r="AB5938" s="1" t="s">
        <v>4248</v>
      </c>
      <c r="AC5938" s="5">
        <v>44133</v>
      </c>
      <c r="AF5938" s="1">
        <v>10002</v>
      </c>
      <c r="AI5938" s="1" t="s">
        <v>246</v>
      </c>
      <c r="AJ5938" s="1">
        <v>2019</v>
      </c>
      <c r="AK5938" s="1" t="s">
        <v>46</v>
      </c>
      <c r="AL5938" s="1">
        <v>787</v>
      </c>
    </row>
    <row r="5939" spans="1:38" x14ac:dyDescent="0.2">
      <c r="A5939" s="2" t="str">
        <f>HYPERLINK("https://www.compass.com/listing/252-south-street-unit-19m-manhattan-ny-10002/520229343157927441/","252 South St, Unit 19M")</f>
        <v>252 South St, Unit 19M</v>
      </c>
      <c r="B5939" s="2" t="str">
        <f t="shared" si="990"/>
        <v>One Manhattan Square</v>
      </c>
      <c r="C5939" s="1" t="s">
        <v>47</v>
      </c>
      <c r="D5939" s="1" t="s">
        <v>41</v>
      </c>
      <c r="E5939" s="3">
        <v>2145523</v>
      </c>
      <c r="F5939" s="1">
        <v>1910.5278094390001</v>
      </c>
      <c r="G5939" s="1">
        <v>4</v>
      </c>
      <c r="H5939" s="1">
        <v>2</v>
      </c>
      <c r="I5939" s="1">
        <v>2</v>
      </c>
      <c r="J5939" s="1">
        <v>2</v>
      </c>
      <c r="K5939" s="1">
        <v>2</v>
      </c>
      <c r="M5939" s="4">
        <v>1123</v>
      </c>
      <c r="N5939" s="1">
        <v>1257.83</v>
      </c>
      <c r="O5939" s="1">
        <v>1277.6799999999901</v>
      </c>
      <c r="P5939" s="1">
        <v>19.8333333333333</v>
      </c>
      <c r="Q5939" s="1" t="s">
        <v>42</v>
      </c>
      <c r="S5939" s="1" t="s">
        <v>42</v>
      </c>
      <c r="T5939" s="1" t="s">
        <v>273</v>
      </c>
      <c r="V5939" s="5">
        <v>44152</v>
      </c>
      <c r="W5939" s="5">
        <v>43969</v>
      </c>
      <c r="X5939" s="1">
        <v>2200000</v>
      </c>
      <c r="Y5939" s="1">
        <v>2200000</v>
      </c>
      <c r="Z5939" s="5">
        <v>43969</v>
      </c>
      <c r="AA5939" s="1">
        <v>2145522.73</v>
      </c>
      <c r="AB5939" s="1" t="s">
        <v>4249</v>
      </c>
      <c r="AC5939" s="5">
        <v>44322</v>
      </c>
      <c r="AF5939" s="1">
        <v>10002</v>
      </c>
      <c r="AI5939" s="1" t="s">
        <v>246</v>
      </c>
      <c r="AJ5939" s="1">
        <v>2019</v>
      </c>
      <c r="AK5939" s="1" t="s">
        <v>46</v>
      </c>
      <c r="AL5939" s="1">
        <v>787</v>
      </c>
    </row>
    <row r="5940" spans="1:38" x14ac:dyDescent="0.2">
      <c r="A5940" s="2" t="str">
        <f>HYPERLINK("https://www.compass.com/listing/252-south-street-unit-8k-manhattan-ny-10002/497687224859777257/","252 South St, Unit 8K")</f>
        <v>252 South St, Unit 8K</v>
      </c>
      <c r="B5940" s="2" t="str">
        <f t="shared" si="990"/>
        <v>One Manhattan Square</v>
      </c>
      <c r="C5940" s="1" t="s">
        <v>47</v>
      </c>
      <c r="D5940" s="1" t="s">
        <v>41</v>
      </c>
      <c r="E5940" s="3">
        <v>1181928</v>
      </c>
      <c r="F5940" s="1">
        <v>1700.6152661870501</v>
      </c>
      <c r="G5940" s="1">
        <v>3</v>
      </c>
      <c r="H5940" s="1">
        <v>1</v>
      </c>
      <c r="I5940" s="1">
        <v>1</v>
      </c>
      <c r="J5940" s="1">
        <v>1</v>
      </c>
      <c r="K5940" s="1">
        <v>1</v>
      </c>
      <c r="M5940" s="1">
        <v>695</v>
      </c>
      <c r="N5940" s="1">
        <v>745</v>
      </c>
      <c r="O5940" s="1">
        <v>757</v>
      </c>
      <c r="P5940" s="1">
        <v>12</v>
      </c>
      <c r="Q5940" s="1" t="s">
        <v>42</v>
      </c>
      <c r="S5940" s="1" t="s">
        <v>42</v>
      </c>
      <c r="T5940" s="1" t="s">
        <v>273</v>
      </c>
      <c r="V5940" s="5">
        <v>44226</v>
      </c>
      <c r="W5940" s="5">
        <v>43939</v>
      </c>
      <c r="X5940" s="1">
        <v>1230000</v>
      </c>
      <c r="Y5940" s="1">
        <v>1193100</v>
      </c>
      <c r="Z5940" s="5">
        <v>43946</v>
      </c>
      <c r="AA5940" s="1">
        <v>1181927.6100000001</v>
      </c>
      <c r="AB5940" s="1" t="s">
        <v>4250</v>
      </c>
      <c r="AC5940" s="5">
        <v>44224</v>
      </c>
      <c r="AF5940" s="1">
        <v>10002</v>
      </c>
      <c r="AI5940" s="1" t="s">
        <v>246</v>
      </c>
      <c r="AJ5940" s="1">
        <v>2019</v>
      </c>
      <c r="AK5940" s="1" t="s">
        <v>46</v>
      </c>
      <c r="AL5940" s="1">
        <v>787</v>
      </c>
    </row>
    <row r="5941" spans="1:38" x14ac:dyDescent="0.2">
      <c r="A5941" s="2" t="str">
        <f>HYPERLINK("https://www.compass.com/listing/5-beekman-street-unit-31a-manhattan-ny-10038/29513614796784689/","5 Beekman St, Unit 31A")</f>
        <v>5 Beekman St, Unit 31A</v>
      </c>
      <c r="B5941" s="2" t="str">
        <f>HYPERLINK("https://www.compass.com/building/5-beekman-st-manhattan-ny-10038/282030567363458613/","5 Beekman St")</f>
        <v>5 Beekman St</v>
      </c>
      <c r="C5941" s="1" t="s">
        <v>96</v>
      </c>
      <c r="D5941" s="1" t="s">
        <v>41</v>
      </c>
      <c r="E5941" s="3">
        <v>2600000</v>
      </c>
      <c r="F5941" s="1">
        <v>1863.7992831541201</v>
      </c>
      <c r="G5941" s="1">
        <v>4</v>
      </c>
      <c r="H5941" s="1">
        <v>2</v>
      </c>
      <c r="I5941" s="1">
        <v>3</v>
      </c>
      <c r="J5941" s="1">
        <v>2.5</v>
      </c>
      <c r="M5941" s="4">
        <v>1395</v>
      </c>
      <c r="N5941" s="1">
        <v>1935</v>
      </c>
      <c r="O5941" s="1">
        <v>4577</v>
      </c>
      <c r="P5941" s="1">
        <v>2642</v>
      </c>
      <c r="Q5941" s="1" t="s">
        <v>42</v>
      </c>
      <c r="S5941" s="1" t="s">
        <v>42</v>
      </c>
      <c r="T5941" s="1" t="s">
        <v>273</v>
      </c>
      <c r="U5941" s="1">
        <v>100</v>
      </c>
      <c r="V5941" s="5">
        <v>43644</v>
      </c>
      <c r="W5941" s="5">
        <v>43214</v>
      </c>
      <c r="X5941" s="1">
        <v>2600000</v>
      </c>
      <c r="Y5941" s="1">
        <v>2600000</v>
      </c>
      <c r="Z5941" s="5">
        <v>43314</v>
      </c>
      <c r="AA5941" s="1">
        <v>2600000</v>
      </c>
      <c r="AB5941" s="1" t="s">
        <v>275</v>
      </c>
      <c r="AC5941" s="5">
        <v>43393</v>
      </c>
      <c r="AF5941" s="1">
        <v>10038</v>
      </c>
      <c r="AI5941" s="1" t="s">
        <v>140</v>
      </c>
      <c r="AJ5941" s="1">
        <v>2014</v>
      </c>
      <c r="AK5941" s="1" t="s">
        <v>49</v>
      </c>
      <c r="AL5941" s="1">
        <v>67</v>
      </c>
    </row>
    <row r="5942" spans="1:38" x14ac:dyDescent="0.2">
      <c r="A5942" s="2" t="str">
        <f>HYPERLINK("https://www.compass.com/listing/252-south-street-unit-41a-manhattan-ny-10002/781080257639902761/","252 South St, Unit 41A")</f>
        <v>252 South St, Unit 41A</v>
      </c>
      <c r="B5942" s="2" t="str">
        <f t="shared" ref="B5942:B5956" si="991">HYPERLINK("https://www.compass.com/building/one-manhattan-square-manhattan-ny/294844950218926165/","One Manhattan Square")</f>
        <v>One Manhattan Square</v>
      </c>
      <c r="C5942" s="1" t="s">
        <v>47</v>
      </c>
      <c r="D5942" s="1" t="s">
        <v>41</v>
      </c>
      <c r="E5942" s="3">
        <v>2549625</v>
      </c>
      <c r="F5942" s="1">
        <v>2192.2828890799601</v>
      </c>
      <c r="G5942" s="1">
        <v>4</v>
      </c>
      <c r="H5942" s="1">
        <v>2</v>
      </c>
      <c r="I5942" s="1">
        <v>2</v>
      </c>
      <c r="J5942" s="1">
        <v>2</v>
      </c>
      <c r="K5942" s="1">
        <v>2</v>
      </c>
      <c r="M5942" s="4">
        <v>1163</v>
      </c>
      <c r="N5942" s="1">
        <v>1444</v>
      </c>
      <c r="O5942" s="1">
        <v>1467</v>
      </c>
      <c r="P5942" s="1">
        <v>23</v>
      </c>
      <c r="Q5942" s="1" t="s">
        <v>42</v>
      </c>
      <c r="S5942" s="1" t="s">
        <v>42</v>
      </c>
      <c r="T5942" s="1" t="s">
        <v>273</v>
      </c>
      <c r="U5942" s="1">
        <v>3</v>
      </c>
      <c r="V5942" s="5">
        <v>44385</v>
      </c>
      <c r="W5942" s="5">
        <v>44330</v>
      </c>
      <c r="X5942" s="1">
        <v>2785000</v>
      </c>
      <c r="Y5942" s="1">
        <v>2785000</v>
      </c>
      <c r="Z5942" s="5">
        <v>44333</v>
      </c>
      <c r="AA5942" s="1">
        <v>2549625</v>
      </c>
      <c r="AB5942" s="1" t="s">
        <v>4251</v>
      </c>
      <c r="AC5942" s="5">
        <v>44370</v>
      </c>
      <c r="AF5942" s="1">
        <v>10002</v>
      </c>
      <c r="AI5942" s="1" t="s">
        <v>246</v>
      </c>
      <c r="AJ5942" s="1">
        <v>2019</v>
      </c>
      <c r="AK5942" s="1" t="s">
        <v>46</v>
      </c>
      <c r="AL5942" s="1">
        <v>787</v>
      </c>
    </row>
    <row r="5943" spans="1:38" x14ac:dyDescent="0.2">
      <c r="A5943" s="2" t="str">
        <f>HYPERLINK("https://www.compass.com/listing/252-south-street-unit-18k-manhattan-ny-10002/773764539626486969/","252 South St, Unit 18K")</f>
        <v>252 South St, Unit 18K</v>
      </c>
      <c r="B5943" s="2" t="str">
        <f t="shared" si="991"/>
        <v>One Manhattan Square</v>
      </c>
      <c r="C5943" s="1" t="s">
        <v>47</v>
      </c>
      <c r="D5943" s="1" t="s">
        <v>41</v>
      </c>
      <c r="E5943" s="3">
        <v>1184038</v>
      </c>
      <c r="F5943" s="1">
        <v>1703.65201438848</v>
      </c>
      <c r="G5943" s="1">
        <v>3</v>
      </c>
      <c r="H5943" s="1">
        <v>1</v>
      </c>
      <c r="I5943" s="1">
        <v>1</v>
      </c>
      <c r="J5943" s="1">
        <v>1</v>
      </c>
      <c r="K5943" s="1">
        <v>1</v>
      </c>
      <c r="M5943" s="1">
        <v>695</v>
      </c>
      <c r="N5943" s="1">
        <v>775</v>
      </c>
      <c r="O5943" s="1">
        <v>787</v>
      </c>
      <c r="P5943" s="1">
        <v>12</v>
      </c>
      <c r="Q5943" s="1" t="s">
        <v>42</v>
      </c>
      <c r="S5943" s="1" t="s">
        <v>42</v>
      </c>
      <c r="T5943" s="1" t="s">
        <v>273</v>
      </c>
      <c r="V5943" s="5">
        <v>44319</v>
      </c>
      <c r="W5943" s="5">
        <v>44319</v>
      </c>
      <c r="X5943" s="1">
        <v>1291000</v>
      </c>
      <c r="Y5943" s="1">
        <v>1291000</v>
      </c>
      <c r="Z5943" s="5">
        <v>44319</v>
      </c>
      <c r="AA5943" s="1">
        <v>1184038.1499999999</v>
      </c>
      <c r="AB5943" s="1" t="s">
        <v>4252</v>
      </c>
      <c r="AC5943" s="5">
        <v>44391</v>
      </c>
      <c r="AF5943" s="1">
        <v>10002</v>
      </c>
      <c r="AI5943" s="1" t="s">
        <v>246</v>
      </c>
      <c r="AJ5943" s="1">
        <v>2019</v>
      </c>
      <c r="AK5943" s="1" t="s">
        <v>46</v>
      </c>
      <c r="AL5943" s="1">
        <v>787</v>
      </c>
    </row>
    <row r="5944" spans="1:38" x14ac:dyDescent="0.2">
      <c r="A5944" s="2" t="str">
        <f>HYPERLINK("https://www.compass.com/listing/252-south-street-unit-20g-manhattan-ny-10002/761976262059240873/","252 South St, Unit 20G")</f>
        <v>252 South St, Unit 20G</v>
      </c>
      <c r="B5944" s="2" t="str">
        <f t="shared" si="991"/>
        <v>One Manhattan Square</v>
      </c>
      <c r="C5944" s="1" t="s">
        <v>47</v>
      </c>
      <c r="D5944" s="1" t="s">
        <v>41</v>
      </c>
      <c r="E5944" s="3">
        <v>1109820</v>
      </c>
      <c r="F5944" s="1">
        <v>1535.0200553250299</v>
      </c>
      <c r="G5944" s="1">
        <v>3</v>
      </c>
      <c r="H5944" s="1">
        <v>1</v>
      </c>
      <c r="J5944" s="1">
        <v>1</v>
      </c>
      <c r="M5944" s="1">
        <v>723</v>
      </c>
      <c r="N5944" s="1">
        <v>818</v>
      </c>
      <c r="O5944" s="1">
        <v>831</v>
      </c>
      <c r="P5944" s="1">
        <v>13</v>
      </c>
      <c r="Q5944" s="1" t="s">
        <v>42</v>
      </c>
      <c r="S5944" s="1" t="s">
        <v>42</v>
      </c>
      <c r="T5944" s="1" t="s">
        <v>273</v>
      </c>
      <c r="U5944" s="1">
        <v>47</v>
      </c>
      <c r="V5944" s="5">
        <v>44356</v>
      </c>
      <c r="W5944" s="5">
        <v>44302</v>
      </c>
      <c r="X5944" s="1">
        <v>1392000</v>
      </c>
      <c r="Y5944" s="1">
        <v>1392000</v>
      </c>
      <c r="Z5944" s="5">
        <v>44302</v>
      </c>
      <c r="AA5944" s="1">
        <v>1109819.5</v>
      </c>
      <c r="AB5944" s="1" t="s">
        <v>4253</v>
      </c>
      <c r="AC5944" s="5">
        <v>44351</v>
      </c>
      <c r="AF5944" s="1">
        <v>10002</v>
      </c>
      <c r="AI5944" s="1" t="s">
        <v>246</v>
      </c>
      <c r="AJ5944" s="1">
        <v>2019</v>
      </c>
      <c r="AK5944" s="1" t="s">
        <v>49</v>
      </c>
      <c r="AL5944" s="1">
        <v>787</v>
      </c>
    </row>
    <row r="5945" spans="1:38" x14ac:dyDescent="0.2">
      <c r="A5945" s="2" t="str">
        <f>HYPERLINK("https://www.compass.com/listing/252-south-street-unit-9f-manhattan-ny-10002/29513532705907809/","252 South St, Unit 9F")</f>
        <v>252 South St, Unit 9F</v>
      </c>
      <c r="B5945" s="2" t="str">
        <f t="shared" si="991"/>
        <v>One Manhattan Square</v>
      </c>
      <c r="C5945" s="1" t="s">
        <v>47</v>
      </c>
      <c r="D5945" s="1" t="s">
        <v>41</v>
      </c>
      <c r="E5945" s="3">
        <v>1186282</v>
      </c>
      <c r="F5945" s="1">
        <v>1706.87989928057</v>
      </c>
      <c r="G5945" s="1">
        <v>3</v>
      </c>
      <c r="H5945" s="1">
        <v>1</v>
      </c>
      <c r="I5945" s="1">
        <v>1</v>
      </c>
      <c r="J5945" s="1">
        <v>1</v>
      </c>
      <c r="M5945" s="1">
        <v>695</v>
      </c>
      <c r="N5945" s="1">
        <v>738</v>
      </c>
      <c r="O5945" s="1">
        <v>750</v>
      </c>
      <c r="P5945" s="1">
        <v>12</v>
      </c>
      <c r="Q5945" s="1" t="s">
        <v>42</v>
      </c>
      <c r="S5945" s="1" t="s">
        <v>42</v>
      </c>
      <c r="T5945" s="1" t="s">
        <v>273</v>
      </c>
      <c r="U5945" s="1">
        <v>2</v>
      </c>
      <c r="V5945" s="5">
        <v>43683</v>
      </c>
      <c r="W5945" s="5">
        <v>43054</v>
      </c>
      <c r="X5945" s="1">
        <v>1197000</v>
      </c>
      <c r="Y5945" s="1">
        <v>1197000</v>
      </c>
      <c r="Z5945" s="5">
        <v>43056</v>
      </c>
      <c r="AA5945" s="1">
        <v>1186281.53</v>
      </c>
      <c r="AB5945" s="1" t="s">
        <v>4254</v>
      </c>
      <c r="AC5945" s="5">
        <v>43622</v>
      </c>
      <c r="AF5945" s="1">
        <v>10002</v>
      </c>
      <c r="AI5945" s="1" t="s">
        <v>246</v>
      </c>
      <c r="AJ5945" s="1">
        <v>2019</v>
      </c>
      <c r="AK5945" s="1" t="s">
        <v>46</v>
      </c>
      <c r="AL5945" s="1">
        <v>787</v>
      </c>
    </row>
    <row r="5946" spans="1:38" x14ac:dyDescent="0.2">
      <c r="A5946" s="2" t="str">
        <f>HYPERLINK("https://www.compass.com/listing/252-south-street-unit-33h-manhattan-ny-10002/29513517245753265/","252 South St, Unit 33H")</f>
        <v>252 South St, Unit 33H</v>
      </c>
      <c r="B5946" s="2" t="str">
        <f t="shared" si="991"/>
        <v>One Manhattan Square</v>
      </c>
      <c r="C5946" s="1" t="s">
        <v>47</v>
      </c>
      <c r="D5946" s="1" t="s">
        <v>41</v>
      </c>
      <c r="E5946" s="3">
        <v>1361256</v>
      </c>
      <c r="F5946" s="1">
        <v>1955.8275862068899</v>
      </c>
      <c r="G5946" s="1">
        <v>3</v>
      </c>
      <c r="H5946" s="1">
        <v>1</v>
      </c>
      <c r="I5946" s="1">
        <v>1</v>
      </c>
      <c r="J5946" s="1">
        <v>1</v>
      </c>
      <c r="K5946" s="1">
        <v>1</v>
      </c>
      <c r="M5946" s="1">
        <v>696</v>
      </c>
      <c r="N5946" s="1">
        <v>819</v>
      </c>
      <c r="O5946" s="1">
        <v>832</v>
      </c>
      <c r="P5946" s="1">
        <v>13</v>
      </c>
      <c r="Q5946" s="1" t="s">
        <v>42</v>
      </c>
      <c r="S5946" s="1" t="s">
        <v>42</v>
      </c>
      <c r="T5946" s="1" t="s">
        <v>273</v>
      </c>
      <c r="U5946" s="1">
        <v>10</v>
      </c>
      <c r="V5946" s="5">
        <v>43696</v>
      </c>
      <c r="W5946" s="5">
        <v>43238</v>
      </c>
      <c r="X5946" s="1">
        <v>1415000</v>
      </c>
      <c r="Y5946" s="1">
        <v>1415000</v>
      </c>
      <c r="Z5946" s="5">
        <v>43248</v>
      </c>
      <c r="AA5946" s="1">
        <v>1361256</v>
      </c>
      <c r="AB5946" s="1" t="s">
        <v>4255</v>
      </c>
      <c r="AC5946" s="5">
        <v>43637</v>
      </c>
      <c r="AF5946" s="1">
        <v>10002</v>
      </c>
      <c r="AI5946" s="1" t="s">
        <v>246</v>
      </c>
      <c r="AJ5946" s="1">
        <v>2019</v>
      </c>
      <c r="AK5946" s="1" t="s">
        <v>46</v>
      </c>
      <c r="AL5946" s="1">
        <v>787</v>
      </c>
    </row>
    <row r="5947" spans="1:38" x14ac:dyDescent="0.2">
      <c r="A5947" s="2" t="str">
        <f>HYPERLINK("https://www.compass.com/listing/252-south-street-unit-15k-manhattan-ny-10002/297816587717411921/","252 South St, Unit 15K")</f>
        <v>252 South St, Unit 15K</v>
      </c>
      <c r="B5947" s="2" t="str">
        <f t="shared" si="991"/>
        <v>One Manhattan Square</v>
      </c>
      <c r="C5947" s="1" t="s">
        <v>47</v>
      </c>
      <c r="D5947" s="1" t="s">
        <v>41</v>
      </c>
      <c r="E5947" s="3">
        <v>1225686</v>
      </c>
      <c r="F5947" s="1">
        <v>1763.5769640287699</v>
      </c>
      <c r="G5947" s="1">
        <v>3</v>
      </c>
      <c r="H5947" s="1">
        <v>1</v>
      </c>
      <c r="I5947" s="1">
        <v>1</v>
      </c>
      <c r="J5947" s="1">
        <v>1</v>
      </c>
      <c r="K5947" s="1">
        <v>1</v>
      </c>
      <c r="M5947" s="1">
        <v>695</v>
      </c>
      <c r="N5947" s="1">
        <v>763.14</v>
      </c>
      <c r="O5947" s="1">
        <v>775.18999999999903</v>
      </c>
      <c r="P5947" s="1">
        <v>12.0833333333333</v>
      </c>
      <c r="Q5947" s="1" t="s">
        <v>42</v>
      </c>
      <c r="S5947" s="1" t="s">
        <v>42</v>
      </c>
      <c r="T5947" s="1" t="s">
        <v>273</v>
      </c>
      <c r="U5947" s="1">
        <v>3</v>
      </c>
      <c r="V5947" s="5">
        <v>43830</v>
      </c>
      <c r="W5947" s="5">
        <v>43663</v>
      </c>
      <c r="X5947" s="1">
        <v>1248000</v>
      </c>
      <c r="Y5947" s="1">
        <v>1248000</v>
      </c>
      <c r="Z5947" s="5">
        <v>43666</v>
      </c>
      <c r="AA5947" s="1">
        <v>1225685.99</v>
      </c>
      <c r="AB5947" s="1" t="s">
        <v>4256</v>
      </c>
      <c r="AC5947" s="5">
        <v>43809</v>
      </c>
      <c r="AF5947" s="1">
        <v>10002</v>
      </c>
      <c r="AI5947" s="1" t="s">
        <v>246</v>
      </c>
      <c r="AJ5947" s="1">
        <v>2019</v>
      </c>
      <c r="AK5947" s="1" t="s">
        <v>46</v>
      </c>
      <c r="AL5947" s="1">
        <v>787</v>
      </c>
    </row>
    <row r="5948" spans="1:38" x14ac:dyDescent="0.2">
      <c r="A5948" s="2" t="str">
        <f>HYPERLINK("https://www.compass.com/listing/252-south-street-unit-25g-manhattan-ny-10002/42106050727402273/","252 South St, Unit 25G")</f>
        <v>252 South St, Unit 25G</v>
      </c>
      <c r="B5948" s="2" t="str">
        <f t="shared" si="991"/>
        <v>One Manhattan Square</v>
      </c>
      <c r="C5948" s="1" t="s">
        <v>47</v>
      </c>
      <c r="D5948" s="1" t="s">
        <v>41</v>
      </c>
      <c r="E5948" s="3">
        <v>1277709</v>
      </c>
      <c r="F5948" s="1">
        <v>1767.23236514522</v>
      </c>
      <c r="G5948" s="1">
        <v>3</v>
      </c>
      <c r="H5948" s="1">
        <v>1</v>
      </c>
      <c r="I5948" s="1">
        <v>1</v>
      </c>
      <c r="J5948" s="1">
        <v>1</v>
      </c>
      <c r="K5948" s="1">
        <v>1</v>
      </c>
      <c r="M5948" s="1">
        <v>723</v>
      </c>
      <c r="N5948" s="1">
        <v>824</v>
      </c>
      <c r="O5948" s="1">
        <v>838</v>
      </c>
      <c r="P5948" s="1">
        <v>14</v>
      </c>
      <c r="Q5948" s="1" t="s">
        <v>42</v>
      </c>
      <c r="S5948" s="1" t="s">
        <v>42</v>
      </c>
      <c r="T5948" s="1" t="s">
        <v>273</v>
      </c>
      <c r="U5948" s="1">
        <v>191</v>
      </c>
      <c r="V5948" s="5">
        <v>43696</v>
      </c>
      <c r="W5948" s="5">
        <v>43313</v>
      </c>
      <c r="X5948" s="1">
        <v>1303000</v>
      </c>
      <c r="Y5948" s="1">
        <v>1303000</v>
      </c>
      <c r="Z5948" s="5">
        <v>43504</v>
      </c>
      <c r="AA5948" s="1">
        <v>1277709</v>
      </c>
      <c r="AB5948" s="1" t="s">
        <v>4257</v>
      </c>
      <c r="AC5948" s="5">
        <v>43656</v>
      </c>
      <c r="AF5948" s="1">
        <v>10002</v>
      </c>
      <c r="AI5948" s="1" t="s">
        <v>246</v>
      </c>
      <c r="AJ5948" s="1">
        <v>2019</v>
      </c>
      <c r="AK5948" s="1" t="s">
        <v>46</v>
      </c>
      <c r="AL5948" s="1">
        <v>787</v>
      </c>
    </row>
    <row r="5949" spans="1:38" x14ac:dyDescent="0.2">
      <c r="A5949" s="2" t="str">
        <f>HYPERLINK("https://www.compass.com/listing/252-south-street-unit-10k-manhattan-ny-10002/95435176032673729/","252 South St, Unit 10K")</f>
        <v>252 South St, Unit 10K</v>
      </c>
      <c r="B5949" s="2" t="str">
        <f t="shared" si="991"/>
        <v>One Manhattan Square</v>
      </c>
      <c r="C5949" s="1" t="s">
        <v>47</v>
      </c>
      <c r="D5949" s="1" t="s">
        <v>41</v>
      </c>
      <c r="E5949" s="3">
        <v>1267648</v>
      </c>
      <c r="F5949" s="1">
        <v>1823.9539568345299</v>
      </c>
      <c r="G5949" s="1">
        <v>3</v>
      </c>
      <c r="H5949" s="1">
        <v>1</v>
      </c>
      <c r="I5949" s="1">
        <v>1</v>
      </c>
      <c r="J5949" s="1">
        <v>1</v>
      </c>
      <c r="K5949" s="1">
        <v>1</v>
      </c>
      <c r="M5949" s="1">
        <v>695</v>
      </c>
      <c r="N5949" s="1">
        <v>741</v>
      </c>
      <c r="O5949" s="1">
        <v>753</v>
      </c>
      <c r="P5949" s="1">
        <v>12</v>
      </c>
      <c r="Q5949" s="1" t="s">
        <v>42</v>
      </c>
      <c r="S5949" s="1" t="s">
        <v>42</v>
      </c>
      <c r="T5949" s="1" t="s">
        <v>273</v>
      </c>
      <c r="U5949" s="1">
        <v>6</v>
      </c>
      <c r="V5949" s="5">
        <v>43683</v>
      </c>
      <c r="W5949" s="5">
        <v>43384</v>
      </c>
      <c r="X5949" s="1">
        <v>1241000</v>
      </c>
      <c r="Y5949" s="1">
        <v>1241000</v>
      </c>
      <c r="Z5949" s="5">
        <v>43390</v>
      </c>
      <c r="AA5949" s="1">
        <v>1267648</v>
      </c>
      <c r="AB5949" s="1" t="s">
        <v>4258</v>
      </c>
      <c r="AC5949" s="5">
        <v>43545</v>
      </c>
      <c r="AF5949" s="1">
        <v>10002</v>
      </c>
      <c r="AI5949" s="1" t="s">
        <v>246</v>
      </c>
      <c r="AJ5949" s="1">
        <v>2019</v>
      </c>
      <c r="AK5949" s="1" t="s">
        <v>46</v>
      </c>
      <c r="AL5949" s="1">
        <v>787</v>
      </c>
    </row>
    <row r="5950" spans="1:38" x14ac:dyDescent="0.2">
      <c r="A5950" s="2" t="str">
        <f>HYPERLINK("https://www.compass.com/listing/252-south-street-unit-28k-manhattan-ny-10002/29513531531588945/","252 South St, Unit 28K")</f>
        <v>252 South St, Unit 28K</v>
      </c>
      <c r="B5950" s="2" t="str">
        <f t="shared" si="991"/>
        <v>One Manhattan Square</v>
      </c>
      <c r="C5950" s="1" t="s">
        <v>47</v>
      </c>
      <c r="D5950" s="1" t="s">
        <v>41</v>
      </c>
      <c r="E5950" s="3">
        <v>1335871</v>
      </c>
      <c r="F5950" s="1">
        <v>1922.1165467625899</v>
      </c>
      <c r="G5950" s="1">
        <v>3</v>
      </c>
      <c r="H5950" s="1">
        <v>1</v>
      </c>
      <c r="I5950" s="1">
        <v>1</v>
      </c>
      <c r="J5950" s="1">
        <v>1</v>
      </c>
      <c r="M5950" s="1">
        <v>695</v>
      </c>
      <c r="N5950" s="1">
        <v>803</v>
      </c>
      <c r="O5950" s="1">
        <v>817</v>
      </c>
      <c r="P5950" s="1">
        <v>14</v>
      </c>
      <c r="Q5950" s="1" t="s">
        <v>42</v>
      </c>
      <c r="S5950" s="1" t="s">
        <v>42</v>
      </c>
      <c r="T5950" s="1" t="s">
        <v>273</v>
      </c>
      <c r="U5950" s="1">
        <v>8</v>
      </c>
      <c r="V5950" s="5">
        <v>43696</v>
      </c>
      <c r="W5950" s="5">
        <v>42943</v>
      </c>
      <c r="X5950" s="1">
        <v>1384000</v>
      </c>
      <c r="Y5950" s="1">
        <v>1384000</v>
      </c>
      <c r="Z5950" s="5">
        <v>42951</v>
      </c>
      <c r="AA5950" s="1">
        <v>1335871</v>
      </c>
      <c r="AB5950" s="1" t="s">
        <v>4259</v>
      </c>
      <c r="AC5950" s="5">
        <v>43628</v>
      </c>
      <c r="AF5950" s="1">
        <v>10002</v>
      </c>
      <c r="AI5950" s="1" t="s">
        <v>246</v>
      </c>
      <c r="AJ5950" s="1">
        <v>2019</v>
      </c>
      <c r="AK5950" s="1" t="s">
        <v>46</v>
      </c>
      <c r="AL5950" s="1">
        <v>787</v>
      </c>
    </row>
    <row r="5951" spans="1:38" x14ac:dyDescent="0.2">
      <c r="A5951" s="2" t="str">
        <f>HYPERLINK("https://www.compass.com/listing/252-south-street-unit-29f-manhattan-ny-10002/4849516437506635665/","252 South St, Unit 29F")</f>
        <v>252 South St, Unit 29F</v>
      </c>
      <c r="B5951" s="2" t="str">
        <f t="shared" si="991"/>
        <v>One Manhattan Square</v>
      </c>
      <c r="C5951" s="1" t="s">
        <v>47</v>
      </c>
      <c r="D5951" s="1" t="s">
        <v>41</v>
      </c>
      <c r="E5951" s="3">
        <v>1317542</v>
      </c>
      <c r="F5951" s="1">
        <v>1895.7438848920799</v>
      </c>
      <c r="G5951" s="1">
        <v>3</v>
      </c>
      <c r="H5951" s="1">
        <v>1</v>
      </c>
      <c r="I5951" s="1">
        <v>1</v>
      </c>
      <c r="J5951" s="1">
        <v>1</v>
      </c>
      <c r="M5951" s="1">
        <v>695</v>
      </c>
      <c r="N5951" s="1">
        <v>807</v>
      </c>
      <c r="O5951" s="1">
        <v>821</v>
      </c>
      <c r="P5951" s="1">
        <v>14</v>
      </c>
      <c r="Q5951" s="1" t="s">
        <v>42</v>
      </c>
      <c r="S5951" s="1" t="s">
        <v>42</v>
      </c>
      <c r="T5951" s="1" t="s">
        <v>273</v>
      </c>
      <c r="U5951" s="1">
        <v>4</v>
      </c>
      <c r="V5951" s="5">
        <v>43696</v>
      </c>
      <c r="W5951" s="5">
        <v>42969</v>
      </c>
      <c r="X5951" s="1">
        <v>1341000</v>
      </c>
      <c r="Y5951" s="1">
        <v>1341000</v>
      </c>
      <c r="Z5951" s="5">
        <v>42973</v>
      </c>
      <c r="AA5951" s="1">
        <v>1317542.5</v>
      </c>
      <c r="AB5951" s="1" t="s">
        <v>4260</v>
      </c>
      <c r="AC5951" s="5">
        <v>43600</v>
      </c>
      <c r="AF5951" s="1">
        <v>10002</v>
      </c>
      <c r="AI5951" s="1" t="s">
        <v>246</v>
      </c>
      <c r="AJ5951" s="1">
        <v>2019</v>
      </c>
      <c r="AK5951" s="1" t="s">
        <v>46</v>
      </c>
      <c r="AL5951" s="1">
        <v>787</v>
      </c>
    </row>
    <row r="5952" spans="1:38" x14ac:dyDescent="0.2">
      <c r="A5952" s="2" t="str">
        <f>HYPERLINK("https://www.compass.com/listing/252-south-street-unit-49l-manhattan-ny-10002/786131459785925241/","252 South St, Unit 49L")</f>
        <v>252 South St, Unit 49L</v>
      </c>
      <c r="B5952" s="2" t="str">
        <f t="shared" si="991"/>
        <v>One Manhattan Square</v>
      </c>
      <c r="C5952" s="1" t="s">
        <v>47</v>
      </c>
      <c r="D5952" s="1" t="s">
        <v>41</v>
      </c>
      <c r="E5952" s="3">
        <v>2904994</v>
      </c>
      <c r="F5952" s="1">
        <v>2586.8158949243002</v>
      </c>
      <c r="G5952" s="1">
        <v>4</v>
      </c>
      <c r="H5952" s="1">
        <v>2</v>
      </c>
      <c r="I5952" s="1">
        <v>2</v>
      </c>
      <c r="J5952" s="1">
        <v>2</v>
      </c>
      <c r="K5952" s="1">
        <v>2</v>
      </c>
      <c r="M5952" s="4">
        <v>1123</v>
      </c>
      <c r="N5952" s="1">
        <v>1422</v>
      </c>
      <c r="O5952" s="1">
        <v>1446</v>
      </c>
      <c r="P5952" s="1">
        <v>24</v>
      </c>
      <c r="Q5952" s="1" t="s">
        <v>42</v>
      </c>
      <c r="S5952" s="1" t="s">
        <v>42</v>
      </c>
      <c r="T5952" s="1" t="s">
        <v>273</v>
      </c>
      <c r="U5952" s="1">
        <v>15</v>
      </c>
      <c r="V5952" s="5">
        <v>44354</v>
      </c>
      <c r="W5952" s="5">
        <v>44333</v>
      </c>
      <c r="X5952" s="1">
        <v>2919000</v>
      </c>
      <c r="Y5952" s="1">
        <v>2849000</v>
      </c>
      <c r="AA5952" s="1">
        <v>2904994.25</v>
      </c>
      <c r="AB5952" s="1" t="s">
        <v>4261</v>
      </c>
      <c r="AC5952" s="5">
        <v>44349</v>
      </c>
      <c r="AF5952" s="1">
        <v>10002</v>
      </c>
      <c r="AI5952" s="1" t="s">
        <v>246</v>
      </c>
      <c r="AJ5952" s="1">
        <v>2019</v>
      </c>
      <c r="AK5952" s="1" t="s">
        <v>46</v>
      </c>
      <c r="AL5952" s="1">
        <v>787</v>
      </c>
    </row>
    <row r="5953" spans="1:38" x14ac:dyDescent="0.2">
      <c r="A5953" s="2" t="str">
        <f>HYPERLINK("https://www.compass.com/listing/252-south-street-unit-35h-manhattan-ny-10002/29513513781258017/","252 South St, Unit 35H")</f>
        <v>252 South St, Unit 35H</v>
      </c>
      <c r="B5953" s="2" t="str">
        <f t="shared" si="991"/>
        <v>One Manhattan Square</v>
      </c>
      <c r="C5953" s="1" t="s">
        <v>47</v>
      </c>
      <c r="D5953" s="1" t="s">
        <v>41</v>
      </c>
      <c r="E5953" s="3">
        <v>1395980</v>
      </c>
      <c r="F5953" s="1">
        <v>2005.7183908045899</v>
      </c>
      <c r="G5953" s="1">
        <v>3</v>
      </c>
      <c r="H5953" s="1">
        <v>1</v>
      </c>
      <c r="I5953" s="1">
        <v>1</v>
      </c>
      <c r="J5953" s="1">
        <v>1</v>
      </c>
      <c r="K5953" s="1">
        <v>1</v>
      </c>
      <c r="M5953" s="1">
        <v>696</v>
      </c>
      <c r="N5953" s="1">
        <v>826</v>
      </c>
      <c r="O5953" s="1">
        <v>840</v>
      </c>
      <c r="P5953" s="1">
        <v>14</v>
      </c>
      <c r="Q5953" s="1" t="s">
        <v>42</v>
      </c>
      <c r="S5953" s="1" t="s">
        <v>42</v>
      </c>
      <c r="T5953" s="1" t="s">
        <v>273</v>
      </c>
      <c r="U5953" s="1">
        <v>6</v>
      </c>
      <c r="V5953" s="5">
        <v>43704</v>
      </c>
      <c r="W5953" s="5">
        <v>43278</v>
      </c>
      <c r="X5953" s="1">
        <v>1424000</v>
      </c>
      <c r="Y5953" s="1">
        <v>1424000</v>
      </c>
      <c r="Z5953" s="5">
        <v>43284</v>
      </c>
      <c r="AA5953" s="1">
        <v>1395980</v>
      </c>
      <c r="AB5953" s="1" t="s">
        <v>4262</v>
      </c>
      <c r="AC5953" s="5">
        <v>43690</v>
      </c>
      <c r="AF5953" s="1">
        <v>10002</v>
      </c>
      <c r="AI5953" s="1" t="s">
        <v>246</v>
      </c>
      <c r="AJ5953" s="1">
        <v>2019</v>
      </c>
      <c r="AK5953" s="1" t="s">
        <v>46</v>
      </c>
      <c r="AL5953" s="1">
        <v>787</v>
      </c>
    </row>
    <row r="5954" spans="1:38" x14ac:dyDescent="0.2">
      <c r="A5954" s="2" t="str">
        <f>HYPERLINK("https://www.compass.com/listing/252-south-street-unit-11f-manhattan-ny-10002/308703290548068993/","252 South St, Unit 11F")</f>
        <v>252 South St, Unit 11F</v>
      </c>
      <c r="B5954" s="2" t="str">
        <f t="shared" si="991"/>
        <v>One Manhattan Square</v>
      </c>
      <c r="C5954" s="1" t="s">
        <v>47</v>
      </c>
      <c r="D5954" s="1" t="s">
        <v>41</v>
      </c>
      <c r="E5954" s="3">
        <v>1162769</v>
      </c>
      <c r="F5954" s="1">
        <v>1673.0482014388399</v>
      </c>
      <c r="G5954" s="1">
        <v>3</v>
      </c>
      <c r="H5954" s="1">
        <v>1</v>
      </c>
      <c r="I5954" s="1">
        <v>1</v>
      </c>
      <c r="J5954" s="1">
        <v>1</v>
      </c>
      <c r="K5954" s="1">
        <v>1</v>
      </c>
      <c r="M5954" s="1">
        <v>695</v>
      </c>
      <c r="N5954" s="1">
        <v>755.73</v>
      </c>
      <c r="O5954" s="1">
        <v>767.66</v>
      </c>
      <c r="P5954" s="1">
        <v>11.9166666666666</v>
      </c>
      <c r="Q5954" s="1" t="s">
        <v>42</v>
      </c>
      <c r="S5954" s="1" t="s">
        <v>42</v>
      </c>
      <c r="T5954" s="1" t="s">
        <v>273</v>
      </c>
      <c r="U5954" s="1">
        <v>2</v>
      </c>
      <c r="V5954" s="5">
        <v>43781</v>
      </c>
      <c r="W5954" s="5">
        <v>43678</v>
      </c>
      <c r="X5954" s="1">
        <v>1209000</v>
      </c>
      <c r="Y5954" s="1">
        <v>1209000</v>
      </c>
      <c r="Z5954" s="5">
        <v>43680</v>
      </c>
      <c r="AA5954" s="1">
        <v>1162768.5</v>
      </c>
      <c r="AB5954" s="1" t="s">
        <v>4263</v>
      </c>
      <c r="AC5954" s="5">
        <v>43761</v>
      </c>
      <c r="AF5954" s="1">
        <v>10002</v>
      </c>
      <c r="AI5954" s="1" t="s">
        <v>246</v>
      </c>
      <c r="AJ5954" s="1">
        <v>2019</v>
      </c>
      <c r="AK5954" s="1" t="s">
        <v>46</v>
      </c>
      <c r="AL5954" s="1">
        <v>787</v>
      </c>
    </row>
    <row r="5955" spans="1:38" x14ac:dyDescent="0.2">
      <c r="A5955" s="2" t="str">
        <f>HYPERLINK("https://www.compass.com/listing/252-south-street-unit-51h-manhattan-ny-10002/29513524233499617/","252 South St, Unit 51H")</f>
        <v>252 South St, Unit 51H</v>
      </c>
      <c r="B5955" s="2" t="str">
        <f t="shared" si="991"/>
        <v>One Manhattan Square</v>
      </c>
      <c r="C5955" s="1" t="s">
        <v>47</v>
      </c>
      <c r="D5955" s="1" t="s">
        <v>41</v>
      </c>
      <c r="E5955" s="3">
        <v>1419368</v>
      </c>
      <c r="F5955" s="1">
        <v>2039.3211206896499</v>
      </c>
      <c r="G5955" s="1">
        <v>3</v>
      </c>
      <c r="H5955" s="1">
        <v>1</v>
      </c>
      <c r="I5955" s="1">
        <v>1</v>
      </c>
      <c r="J5955" s="1">
        <v>1</v>
      </c>
      <c r="M5955" s="1">
        <v>696</v>
      </c>
      <c r="N5955" s="1">
        <v>889</v>
      </c>
      <c r="O5955" s="1">
        <v>904</v>
      </c>
      <c r="P5955" s="1">
        <v>15</v>
      </c>
      <c r="Q5955" s="1" t="s">
        <v>42</v>
      </c>
      <c r="S5955" s="1" t="s">
        <v>42</v>
      </c>
      <c r="T5955" s="1" t="s">
        <v>273</v>
      </c>
      <c r="U5955" s="1">
        <v>12</v>
      </c>
      <c r="V5955" s="5">
        <v>43837</v>
      </c>
      <c r="W5955" s="5">
        <v>42951</v>
      </c>
      <c r="X5955" s="1">
        <v>1479000</v>
      </c>
      <c r="Y5955" s="1">
        <v>1479000</v>
      </c>
      <c r="Z5955" s="5">
        <v>42963</v>
      </c>
      <c r="AA5955" s="1">
        <v>1419367.5</v>
      </c>
      <c r="AB5955" s="1" t="s">
        <v>4264</v>
      </c>
      <c r="AC5955" s="5">
        <v>43781</v>
      </c>
      <c r="AF5955" s="1">
        <v>10002</v>
      </c>
      <c r="AI5955" s="1" t="s">
        <v>246</v>
      </c>
      <c r="AJ5955" s="1">
        <v>2019</v>
      </c>
      <c r="AK5955" s="1" t="s">
        <v>46</v>
      </c>
      <c r="AL5955" s="1">
        <v>787</v>
      </c>
    </row>
    <row r="5956" spans="1:38" x14ac:dyDescent="0.2">
      <c r="A5956" s="2" t="str">
        <f>HYPERLINK("https://www.compass.com/listing/252-south-street-unit-18j-manhattan-ny-10002/29513515811250561/","252 South St, Unit 18J")</f>
        <v>252 South St, Unit 18J</v>
      </c>
      <c r="B5956" s="2" t="str">
        <f t="shared" si="991"/>
        <v>One Manhattan Square</v>
      </c>
      <c r="C5956" s="1" t="s">
        <v>47</v>
      </c>
      <c r="D5956" s="1" t="s">
        <v>41</v>
      </c>
      <c r="E5956" s="3">
        <v>1266630</v>
      </c>
      <c r="F5956" s="1">
        <v>1819.8706896551701</v>
      </c>
      <c r="G5956" s="1">
        <v>3</v>
      </c>
      <c r="H5956" s="1">
        <v>1</v>
      </c>
      <c r="I5956" s="1">
        <v>1</v>
      </c>
      <c r="J5956" s="1">
        <v>1</v>
      </c>
      <c r="K5956" s="1">
        <v>1</v>
      </c>
      <c r="M5956" s="1">
        <v>696</v>
      </c>
      <c r="N5956" s="1">
        <v>764</v>
      </c>
      <c r="O5956" s="1">
        <v>777</v>
      </c>
      <c r="P5956" s="1">
        <v>13</v>
      </c>
      <c r="Q5956" s="1" t="s">
        <v>42</v>
      </c>
      <c r="S5956" s="1" t="s">
        <v>42</v>
      </c>
      <c r="T5956" s="1" t="s">
        <v>273</v>
      </c>
      <c r="U5956" s="1">
        <v>28</v>
      </c>
      <c r="V5956" s="5">
        <v>43681</v>
      </c>
      <c r="W5956" s="5">
        <v>43162</v>
      </c>
      <c r="X5956" s="1">
        <v>1240000</v>
      </c>
      <c r="Y5956" s="1">
        <v>1240000</v>
      </c>
      <c r="Z5956" s="5">
        <v>43217</v>
      </c>
      <c r="AA5956" s="1">
        <v>1266630</v>
      </c>
      <c r="AB5956" s="1" t="s">
        <v>4265</v>
      </c>
      <c r="AC5956" s="5">
        <v>43559</v>
      </c>
      <c r="AF5956" s="1">
        <v>10002</v>
      </c>
      <c r="AI5956" s="1" t="s">
        <v>246</v>
      </c>
      <c r="AJ5956" s="1">
        <v>2019</v>
      </c>
      <c r="AK5956" s="1" t="s">
        <v>46</v>
      </c>
      <c r="AL5956" s="1">
        <v>787</v>
      </c>
    </row>
    <row r="5957" spans="1:38" x14ac:dyDescent="0.2">
      <c r="A5957" s="2" t="str">
        <f>HYPERLINK("https://www.compass.com/listing/204-forsyth-street-unit-5a-manhattan-ny-10002/29514179970922865/","204 Forsyth St, Unit 5A")</f>
        <v>204 Forsyth St, Unit 5A</v>
      </c>
      <c r="B5957" s="2" t="str">
        <f>HYPERLINK("https://www.compass.com/building/204-forsyth-st-manhattan-ny-10002/281886285847598005/","204 Forsyth St")</f>
        <v>204 Forsyth St</v>
      </c>
      <c r="C5957" s="1" t="s">
        <v>47</v>
      </c>
      <c r="D5957" s="1" t="s">
        <v>41</v>
      </c>
      <c r="E5957" s="3">
        <v>3600000</v>
      </c>
      <c r="F5957" s="1">
        <v>2325.58139534883</v>
      </c>
      <c r="G5957" s="1">
        <v>4</v>
      </c>
      <c r="H5957" s="1">
        <v>2</v>
      </c>
      <c r="I5957" s="1">
        <v>2</v>
      </c>
      <c r="J5957" s="1">
        <v>2</v>
      </c>
      <c r="K5957" s="1">
        <v>2</v>
      </c>
      <c r="M5957" s="4">
        <v>1548</v>
      </c>
      <c r="N5957" s="1">
        <v>577</v>
      </c>
      <c r="O5957" s="1">
        <v>1736</v>
      </c>
      <c r="P5957" s="1">
        <v>1159</v>
      </c>
      <c r="Q5957" s="1" t="s">
        <v>42</v>
      </c>
      <c r="S5957" s="1" t="s">
        <v>42</v>
      </c>
      <c r="T5957" s="1" t="s">
        <v>273</v>
      </c>
      <c r="V5957" s="5">
        <v>43670</v>
      </c>
      <c r="W5957" s="5">
        <v>42314</v>
      </c>
      <c r="X5957" s="1">
        <v>3600000</v>
      </c>
      <c r="Y5957" s="1">
        <v>3600000</v>
      </c>
      <c r="Z5957" s="5">
        <v>42314</v>
      </c>
      <c r="AA5957" s="1">
        <v>3600000</v>
      </c>
      <c r="AB5957" s="1" t="s">
        <v>275</v>
      </c>
      <c r="AC5957" s="5">
        <v>43112</v>
      </c>
      <c r="AF5957" s="1">
        <v>10002</v>
      </c>
      <c r="AI5957" s="1" t="s">
        <v>48</v>
      </c>
      <c r="AJ5957" s="1">
        <v>2016</v>
      </c>
      <c r="AK5957" s="1" t="s">
        <v>46</v>
      </c>
      <c r="AL5957" s="1">
        <v>11</v>
      </c>
    </row>
    <row r="5958" spans="1:38" x14ac:dyDescent="0.2">
      <c r="A5958" s="2" t="str">
        <f>HYPERLINK("https://www.compass.com/listing/252-south-street-unit-10g-manhattan-ny-10002/29513536497558833/","252 South St, Unit 10G")</f>
        <v>252 South St, Unit 10G</v>
      </c>
      <c r="B5958" s="2" t="str">
        <f t="shared" ref="B5958:B6081" si="992">HYPERLINK("https://www.compass.com/building/one-manhattan-square-manhattan-ny/294844950218926165/","One Manhattan Square")</f>
        <v>One Manhattan Square</v>
      </c>
      <c r="C5958" s="1" t="s">
        <v>47</v>
      </c>
      <c r="D5958" s="1" t="s">
        <v>41</v>
      </c>
      <c r="E5958" s="3">
        <v>1206535</v>
      </c>
      <c r="F5958" s="1">
        <v>1668.7892946058</v>
      </c>
      <c r="G5958" s="1">
        <v>3</v>
      </c>
      <c r="H5958" s="1">
        <v>1</v>
      </c>
      <c r="I5958" s="1">
        <v>1</v>
      </c>
      <c r="J5958" s="1">
        <v>1</v>
      </c>
      <c r="M5958" s="1">
        <v>723</v>
      </c>
      <c r="N5958" s="1">
        <v>771</v>
      </c>
      <c r="O5958" s="1">
        <v>784</v>
      </c>
      <c r="P5958" s="1">
        <v>13</v>
      </c>
      <c r="Q5958" s="1" t="s">
        <v>42</v>
      </c>
      <c r="S5958" s="1" t="s">
        <v>42</v>
      </c>
      <c r="T5958" s="1" t="s">
        <v>273</v>
      </c>
      <c r="U5958" s="1">
        <v>4</v>
      </c>
      <c r="V5958" s="5">
        <v>43683</v>
      </c>
      <c r="W5958" s="5">
        <v>42993</v>
      </c>
      <c r="X5958" s="1">
        <v>1185000</v>
      </c>
      <c r="Y5958" s="1">
        <v>1185000</v>
      </c>
      <c r="Z5958" s="5">
        <v>42997</v>
      </c>
      <c r="AA5958" s="1">
        <v>1206534.6599999999</v>
      </c>
      <c r="AB5958" s="1" t="s">
        <v>4266</v>
      </c>
      <c r="AC5958" s="5">
        <v>43550</v>
      </c>
      <c r="AF5958" s="1">
        <v>10002</v>
      </c>
      <c r="AI5958" s="1" t="s">
        <v>246</v>
      </c>
      <c r="AJ5958" s="1">
        <v>2019</v>
      </c>
      <c r="AK5958" s="1" t="s">
        <v>46</v>
      </c>
      <c r="AL5958" s="1">
        <v>787</v>
      </c>
    </row>
    <row r="5959" spans="1:38" x14ac:dyDescent="0.2">
      <c r="A5959" s="2" t="str">
        <f>HYPERLINK("https://www.compass.com/listing/252-south-street-unit-9j-manhattan-ny-10002/29513543627962321/","252 South St, Unit 9J")</f>
        <v>252 South St, Unit 9J</v>
      </c>
      <c r="B5959" s="2" t="str">
        <f t="shared" si="992"/>
        <v>One Manhattan Square</v>
      </c>
      <c r="C5959" s="1" t="s">
        <v>47</v>
      </c>
      <c r="D5959" s="1" t="s">
        <v>41</v>
      </c>
      <c r="E5959" s="3">
        <v>1189732</v>
      </c>
      <c r="F5959" s="1">
        <v>1709.3848275861999</v>
      </c>
      <c r="G5959" s="1">
        <v>3</v>
      </c>
      <c r="H5959" s="1">
        <v>1</v>
      </c>
      <c r="I5959" s="1">
        <v>1</v>
      </c>
      <c r="J5959" s="1">
        <v>1</v>
      </c>
      <c r="K5959" s="1">
        <v>1</v>
      </c>
      <c r="M5959" s="1">
        <v>696</v>
      </c>
      <c r="N5959" s="1">
        <v>739</v>
      </c>
      <c r="O5959" s="1">
        <v>751</v>
      </c>
      <c r="P5959" s="1">
        <v>12</v>
      </c>
      <c r="Q5959" s="1" t="s">
        <v>42</v>
      </c>
      <c r="S5959" s="1" t="s">
        <v>42</v>
      </c>
      <c r="T5959" s="1" t="s">
        <v>273</v>
      </c>
      <c r="V5959" s="5">
        <v>43679</v>
      </c>
      <c r="W5959" s="5">
        <v>43189</v>
      </c>
      <c r="X5959" s="1">
        <v>1213000</v>
      </c>
      <c r="Y5959" s="1">
        <v>1164480</v>
      </c>
      <c r="Z5959" s="5">
        <v>43217</v>
      </c>
      <c r="AA5959" s="1">
        <v>1189731.8400000001</v>
      </c>
      <c r="AB5959" s="1" t="s">
        <v>4267</v>
      </c>
      <c r="AC5959" s="5">
        <v>43608</v>
      </c>
      <c r="AF5959" s="1">
        <v>10002</v>
      </c>
      <c r="AI5959" s="1" t="s">
        <v>246</v>
      </c>
      <c r="AJ5959" s="1">
        <v>2019</v>
      </c>
      <c r="AK5959" s="1" t="s">
        <v>46</v>
      </c>
      <c r="AL5959" s="1">
        <v>787</v>
      </c>
    </row>
    <row r="5960" spans="1:38" x14ac:dyDescent="0.2">
      <c r="A5960" s="2" t="str">
        <f>HYPERLINK("https://www.compass.com/listing/252-south-street-unit-9p-manhattan-ny-10002/29513520584454993/","252 South St, Unit 9P")</f>
        <v>252 South St, Unit 9P</v>
      </c>
      <c r="B5960" s="2" t="str">
        <f t="shared" si="992"/>
        <v>One Manhattan Square</v>
      </c>
      <c r="C5960" s="1" t="s">
        <v>47</v>
      </c>
      <c r="D5960" s="1" t="s">
        <v>41</v>
      </c>
      <c r="E5960" s="3">
        <v>1342999</v>
      </c>
      <c r="F5960" s="1">
        <v>1857.5363070539399</v>
      </c>
      <c r="G5960" s="1">
        <v>3</v>
      </c>
      <c r="H5960" s="1">
        <v>1</v>
      </c>
      <c r="I5960" s="1">
        <v>1</v>
      </c>
      <c r="J5960" s="1">
        <v>1</v>
      </c>
      <c r="K5960" s="1">
        <v>1</v>
      </c>
      <c r="M5960" s="1">
        <v>723</v>
      </c>
      <c r="N5960" s="1">
        <v>767</v>
      </c>
      <c r="O5960" s="1">
        <v>780</v>
      </c>
      <c r="P5960" s="1">
        <v>13</v>
      </c>
      <c r="Q5960" s="1" t="s">
        <v>42</v>
      </c>
      <c r="S5960" s="1" t="s">
        <v>42</v>
      </c>
      <c r="T5960" s="1" t="s">
        <v>273</v>
      </c>
      <c r="U5960" s="1">
        <v>29</v>
      </c>
      <c r="V5960" s="5">
        <v>43683</v>
      </c>
      <c r="W5960" s="5">
        <v>43280</v>
      </c>
      <c r="X5960" s="1">
        <v>1370000</v>
      </c>
      <c r="Y5960" s="1">
        <v>1370000</v>
      </c>
      <c r="Z5960" s="5">
        <v>43313</v>
      </c>
      <c r="AA5960" s="1">
        <v>1342998.75</v>
      </c>
      <c r="AB5960" s="1" t="s">
        <v>4268</v>
      </c>
      <c r="AC5960" s="5">
        <v>43542</v>
      </c>
      <c r="AF5960" s="1">
        <v>10002</v>
      </c>
      <c r="AI5960" s="1" t="s">
        <v>246</v>
      </c>
      <c r="AJ5960" s="1">
        <v>2019</v>
      </c>
      <c r="AK5960" s="1" t="s">
        <v>46</v>
      </c>
      <c r="AL5960" s="1">
        <v>787</v>
      </c>
    </row>
    <row r="5961" spans="1:38" x14ac:dyDescent="0.2">
      <c r="A5961" s="2" t="str">
        <f>HYPERLINK("https://www.compass.com/listing/252-south-street-unit-52j-manhattan-ny-10002/845505947546649817/","252 South St, Unit 52J")</f>
        <v>252 South St, Unit 52J</v>
      </c>
      <c r="B5961" s="2" t="str">
        <f t="shared" si="992"/>
        <v>One Manhattan Square</v>
      </c>
      <c r="C5961" s="1" t="s">
        <v>47</v>
      </c>
      <c r="D5961" s="1" t="s">
        <v>41</v>
      </c>
      <c r="E5961" s="3">
        <v>1398000</v>
      </c>
      <c r="F5961" s="1">
        <v>2011.5107913669001</v>
      </c>
      <c r="G5961" s="1">
        <v>3</v>
      </c>
      <c r="H5961" s="1">
        <v>1</v>
      </c>
      <c r="J5961" s="1">
        <v>1</v>
      </c>
      <c r="M5961" s="1">
        <v>695</v>
      </c>
      <c r="N5961" s="1">
        <v>904</v>
      </c>
      <c r="O5961" s="1">
        <v>918</v>
      </c>
      <c r="P5961" s="1">
        <v>14</v>
      </c>
      <c r="S5961" s="1" t="s">
        <v>42</v>
      </c>
      <c r="T5961" s="1" t="s">
        <v>273</v>
      </c>
      <c r="U5961" s="1">
        <v>184</v>
      </c>
      <c r="V5961" s="5">
        <v>44422</v>
      </c>
      <c r="W5961" s="5">
        <v>44236</v>
      </c>
      <c r="X5961" s="1">
        <v>1398000</v>
      </c>
      <c r="Y5961" s="1">
        <v>1398000</v>
      </c>
      <c r="AA5961" s="1">
        <v>1398000</v>
      </c>
      <c r="AB5961" s="1" t="s">
        <v>275</v>
      </c>
      <c r="AC5961" s="5">
        <v>44420</v>
      </c>
      <c r="AF5961" s="1">
        <v>10002</v>
      </c>
      <c r="AI5961" s="1" t="s">
        <v>66</v>
      </c>
      <c r="AJ5961" s="1">
        <v>2019</v>
      </c>
      <c r="AK5961" s="1" t="s">
        <v>49</v>
      </c>
      <c r="AL5961" s="1">
        <v>787</v>
      </c>
    </row>
    <row r="5962" spans="1:38" x14ac:dyDescent="0.2">
      <c r="A5962" s="2" t="str">
        <f>HYPERLINK("https://www.compass.com/listing/252-south-street-unit-52h-manhattan-ny-10002/29513533922306737/","252 South St, Unit 52H")</f>
        <v>252 South St, Unit 52H</v>
      </c>
      <c r="B5962" s="2" t="str">
        <f t="shared" si="992"/>
        <v>One Manhattan Square</v>
      </c>
      <c r="C5962" s="1" t="s">
        <v>47</v>
      </c>
      <c r="D5962" s="1" t="s">
        <v>41</v>
      </c>
      <c r="E5962" s="3">
        <v>1433623</v>
      </c>
      <c r="F5962" s="1">
        <v>2059.80316091954</v>
      </c>
      <c r="G5962" s="1">
        <v>3</v>
      </c>
      <c r="H5962" s="1">
        <v>1</v>
      </c>
      <c r="I5962" s="1">
        <v>1</v>
      </c>
      <c r="J5962" s="1">
        <v>1</v>
      </c>
      <c r="M5962" s="1">
        <v>696</v>
      </c>
      <c r="N5962" s="1">
        <v>892</v>
      </c>
      <c r="O5962" s="1">
        <v>907</v>
      </c>
      <c r="P5962" s="1">
        <v>15</v>
      </c>
      <c r="Q5962" s="1" t="s">
        <v>42</v>
      </c>
      <c r="S5962" s="1" t="s">
        <v>42</v>
      </c>
      <c r="T5962" s="1" t="s">
        <v>273</v>
      </c>
      <c r="U5962" s="1">
        <v>4</v>
      </c>
      <c r="V5962" s="5">
        <v>43802</v>
      </c>
      <c r="W5962" s="5">
        <v>43035</v>
      </c>
      <c r="X5962" s="1">
        <v>1486000</v>
      </c>
      <c r="Y5962" s="1">
        <v>1486000</v>
      </c>
      <c r="Z5962" s="5">
        <v>43039</v>
      </c>
      <c r="AA5962" s="1">
        <v>1433623</v>
      </c>
      <c r="AB5962" s="1" t="s">
        <v>4269</v>
      </c>
      <c r="AC5962" s="5">
        <v>43788</v>
      </c>
      <c r="AF5962" s="1">
        <v>10002</v>
      </c>
      <c r="AI5962" s="1" t="s">
        <v>246</v>
      </c>
      <c r="AJ5962" s="1">
        <v>2019</v>
      </c>
      <c r="AK5962" s="1" t="s">
        <v>46</v>
      </c>
      <c r="AL5962" s="1">
        <v>787</v>
      </c>
    </row>
    <row r="5963" spans="1:38" x14ac:dyDescent="0.2">
      <c r="A5963" s="2" t="str">
        <f>HYPERLINK("https://www.compass.com/listing/252-south-street-unit-38j-manhattan-ny-10002/29513523117728433/","252 South St, Unit 38J")</f>
        <v>252 South St, Unit 38J</v>
      </c>
      <c r="B5963" s="2" t="str">
        <f t="shared" si="992"/>
        <v>One Manhattan Square</v>
      </c>
      <c r="C5963" s="1" t="s">
        <v>47</v>
      </c>
      <c r="D5963" s="1" t="s">
        <v>41</v>
      </c>
      <c r="E5963" s="3">
        <v>1429550</v>
      </c>
      <c r="F5963" s="1">
        <v>2056.9064748201399</v>
      </c>
      <c r="G5963" s="1">
        <v>3</v>
      </c>
      <c r="H5963" s="1">
        <v>1</v>
      </c>
      <c r="I5963" s="1">
        <v>1</v>
      </c>
      <c r="J5963" s="1">
        <v>1</v>
      </c>
      <c r="M5963" s="1">
        <v>695</v>
      </c>
      <c r="N5963" s="1">
        <v>836</v>
      </c>
      <c r="O5963" s="1">
        <v>850</v>
      </c>
      <c r="P5963" s="1">
        <v>14</v>
      </c>
      <c r="Q5963" s="1" t="s">
        <v>42</v>
      </c>
      <c r="S5963" s="1" t="s">
        <v>42</v>
      </c>
      <c r="T5963" s="1" t="s">
        <v>273</v>
      </c>
      <c r="U5963" s="1">
        <v>25</v>
      </c>
      <c r="V5963" s="5">
        <v>43696</v>
      </c>
      <c r="W5963" s="5">
        <v>42686</v>
      </c>
      <c r="X5963" s="1">
        <v>1633000</v>
      </c>
      <c r="Y5963" s="1">
        <v>1445000</v>
      </c>
      <c r="Z5963" s="5">
        <v>43075</v>
      </c>
      <c r="AA5963" s="1">
        <v>1429550</v>
      </c>
      <c r="AB5963" s="1" t="s">
        <v>4270</v>
      </c>
      <c r="AC5963" s="5">
        <v>43635</v>
      </c>
      <c r="AF5963" s="1">
        <v>10002</v>
      </c>
      <c r="AI5963" s="1" t="s">
        <v>246</v>
      </c>
      <c r="AJ5963" s="1">
        <v>2019</v>
      </c>
      <c r="AK5963" s="1" t="s">
        <v>46</v>
      </c>
      <c r="AL5963" s="1">
        <v>787</v>
      </c>
    </row>
    <row r="5964" spans="1:38" x14ac:dyDescent="0.2">
      <c r="A5964" s="2" t="str">
        <f>HYPERLINK("https://www.compass.com/listing/252-south-street-unit-36h-manhattan-ny-10002/85371285118400481/","252 South St, Unit 36H")</f>
        <v>252 South St, Unit 36H</v>
      </c>
      <c r="B5964" s="2" t="str">
        <f t="shared" si="992"/>
        <v>One Manhattan Square</v>
      </c>
      <c r="C5964" s="1" t="s">
        <v>47</v>
      </c>
      <c r="D5964" s="1" t="s">
        <v>41</v>
      </c>
      <c r="E5964" s="3">
        <v>1378638</v>
      </c>
      <c r="F5964" s="1">
        <v>1980.8010057471199</v>
      </c>
      <c r="G5964" s="1">
        <v>3</v>
      </c>
      <c r="H5964" s="1">
        <v>1</v>
      </c>
      <c r="I5964" s="1">
        <v>1</v>
      </c>
      <c r="J5964" s="1">
        <v>1</v>
      </c>
      <c r="K5964" s="1">
        <v>1</v>
      </c>
      <c r="M5964" s="1">
        <v>696</v>
      </c>
      <c r="N5964" s="1">
        <v>830</v>
      </c>
      <c r="O5964" s="1">
        <v>844</v>
      </c>
      <c r="P5964" s="1">
        <v>14</v>
      </c>
      <c r="Q5964" s="1" t="s">
        <v>42</v>
      </c>
      <c r="S5964" s="1" t="s">
        <v>42</v>
      </c>
      <c r="T5964" s="1" t="s">
        <v>273</v>
      </c>
      <c r="U5964" s="1">
        <v>3</v>
      </c>
      <c r="V5964" s="5">
        <v>43684</v>
      </c>
      <c r="W5964" s="5">
        <v>43370</v>
      </c>
      <c r="X5964" s="1">
        <v>1424000</v>
      </c>
      <c r="Y5964" s="1">
        <v>1424000</v>
      </c>
      <c r="Z5964" s="5">
        <v>43374</v>
      </c>
      <c r="AA5964" s="1">
        <v>1378637.5</v>
      </c>
      <c r="AB5964" s="1" t="s">
        <v>4271</v>
      </c>
      <c r="AC5964" s="5">
        <v>43615</v>
      </c>
      <c r="AF5964" s="1">
        <v>10002</v>
      </c>
      <c r="AI5964" s="1" t="s">
        <v>246</v>
      </c>
      <c r="AJ5964" s="1">
        <v>2019</v>
      </c>
      <c r="AK5964" s="1" t="s">
        <v>46</v>
      </c>
      <c r="AL5964" s="1">
        <v>787</v>
      </c>
    </row>
    <row r="5965" spans="1:38" x14ac:dyDescent="0.2">
      <c r="A5965" s="2" t="str">
        <f>HYPERLINK("https://www.compass.com/listing/252-south-street-unit-40f-manhattan-ny-10002/85393876956756033/","252 South St, Unit 40F")</f>
        <v>252 South St, Unit 40F</v>
      </c>
      <c r="B5965" s="2" t="str">
        <f t="shared" si="992"/>
        <v>One Manhattan Square</v>
      </c>
      <c r="C5965" s="1" t="s">
        <v>47</v>
      </c>
      <c r="D5965" s="1" t="s">
        <v>41</v>
      </c>
      <c r="E5965" s="3">
        <v>1369830</v>
      </c>
      <c r="F5965" s="1">
        <v>1897.27146814404</v>
      </c>
      <c r="G5965" s="1">
        <v>3</v>
      </c>
      <c r="H5965" s="1">
        <v>1</v>
      </c>
      <c r="I5965" s="1">
        <v>1</v>
      </c>
      <c r="J5965" s="1">
        <v>1</v>
      </c>
      <c r="K5965" s="1">
        <v>1</v>
      </c>
      <c r="M5965" s="1">
        <v>722</v>
      </c>
      <c r="N5965" s="1">
        <v>881</v>
      </c>
      <c r="O5965" s="1">
        <v>896</v>
      </c>
      <c r="P5965" s="1">
        <v>15</v>
      </c>
      <c r="Q5965" s="1" t="s">
        <v>42</v>
      </c>
      <c r="S5965" s="1" t="s">
        <v>42</v>
      </c>
      <c r="T5965" s="1" t="s">
        <v>273</v>
      </c>
      <c r="U5965" s="1">
        <v>4</v>
      </c>
      <c r="V5965" s="5">
        <v>43717</v>
      </c>
      <c r="W5965" s="5">
        <v>43370</v>
      </c>
      <c r="X5965" s="1">
        <v>1390000</v>
      </c>
      <c r="Y5965" s="1">
        <v>1390000</v>
      </c>
      <c r="Z5965" s="5">
        <v>43374</v>
      </c>
      <c r="AA5965" s="1">
        <v>1369830</v>
      </c>
      <c r="AB5965" s="1" t="s">
        <v>4272</v>
      </c>
      <c r="AC5965" s="5">
        <v>43706</v>
      </c>
      <c r="AF5965" s="1">
        <v>10002</v>
      </c>
      <c r="AI5965" s="1" t="s">
        <v>246</v>
      </c>
      <c r="AJ5965" s="1">
        <v>2019</v>
      </c>
      <c r="AK5965" s="1" t="s">
        <v>46</v>
      </c>
      <c r="AL5965" s="1">
        <v>787</v>
      </c>
    </row>
    <row r="5966" spans="1:38" x14ac:dyDescent="0.2">
      <c r="A5966" s="2" t="str">
        <f>HYPERLINK("https://www.compass.com/listing/252-south-street-unit-42d-manhattan-ny-10002/664299759123652841/","252 South St, Unit 42D")</f>
        <v>252 South St, Unit 42D</v>
      </c>
      <c r="B5966" s="2" t="str">
        <f t="shared" si="992"/>
        <v>One Manhattan Square</v>
      </c>
      <c r="C5966" s="1" t="s">
        <v>47</v>
      </c>
      <c r="D5966" s="1" t="s">
        <v>41</v>
      </c>
      <c r="E5966" s="3">
        <v>2413792</v>
      </c>
      <c r="F5966" s="1">
        <v>2073.7045103092701</v>
      </c>
      <c r="G5966" s="1">
        <v>5</v>
      </c>
      <c r="H5966" s="1">
        <v>2</v>
      </c>
      <c r="J5966" s="1">
        <v>2</v>
      </c>
      <c r="M5966" s="4">
        <v>1164</v>
      </c>
      <c r="N5966" s="1">
        <v>1453</v>
      </c>
      <c r="O5966" s="1">
        <v>1476</v>
      </c>
      <c r="P5966" s="1">
        <v>23</v>
      </c>
      <c r="Q5966" s="1" t="s">
        <v>42</v>
      </c>
      <c r="S5966" s="1" t="s">
        <v>42</v>
      </c>
      <c r="T5966" s="1" t="s">
        <v>273</v>
      </c>
      <c r="U5966" s="1">
        <v>1</v>
      </c>
      <c r="V5966" s="5">
        <v>44253</v>
      </c>
      <c r="W5966" s="5">
        <v>44166</v>
      </c>
      <c r="X5966" s="1">
        <v>2655000</v>
      </c>
      <c r="Y5966" s="1">
        <v>2655000</v>
      </c>
      <c r="Z5966" s="5">
        <v>44170</v>
      </c>
      <c r="AA5966" s="1">
        <v>2413792.0499999998</v>
      </c>
      <c r="AB5966" s="1" t="s">
        <v>4273</v>
      </c>
      <c r="AC5966" s="5">
        <v>44250</v>
      </c>
      <c r="AF5966" s="1">
        <v>10002</v>
      </c>
      <c r="AI5966" s="1" t="s">
        <v>246</v>
      </c>
      <c r="AJ5966" s="1">
        <v>2019</v>
      </c>
      <c r="AK5966" s="1" t="s">
        <v>49</v>
      </c>
      <c r="AL5966" s="1">
        <v>787</v>
      </c>
    </row>
    <row r="5967" spans="1:38" x14ac:dyDescent="0.2">
      <c r="A5967" s="2" t="str">
        <f>HYPERLINK("https://www.compass.com/listing/252-south-street-unit-29e-manhattan-ny-10002/278845381096273889/","252 South St, Unit 29E")</f>
        <v>252 South St, Unit 29E</v>
      </c>
      <c r="B5967" s="2" t="str">
        <f t="shared" si="992"/>
        <v>One Manhattan Square</v>
      </c>
      <c r="C5967" s="1" t="s">
        <v>47</v>
      </c>
      <c r="D5967" s="1" t="s">
        <v>41</v>
      </c>
      <c r="E5967" s="3">
        <v>2353817</v>
      </c>
      <c r="F5967" s="1">
        <v>2096.0080142475499</v>
      </c>
      <c r="G5967" s="1">
        <v>5</v>
      </c>
      <c r="H5967" s="1">
        <v>2</v>
      </c>
      <c r="I5967" s="1">
        <v>2</v>
      </c>
      <c r="J5967" s="1">
        <v>2</v>
      </c>
      <c r="K5967" s="1">
        <v>2</v>
      </c>
      <c r="M5967" s="4">
        <v>1123</v>
      </c>
      <c r="N5967" s="1">
        <v>1322.89</v>
      </c>
      <c r="O5967" s="1">
        <v>1343.78</v>
      </c>
      <c r="P5967" s="1">
        <v>20.9166666666666</v>
      </c>
      <c r="Q5967" s="1" t="s">
        <v>42</v>
      </c>
      <c r="S5967" s="1" t="s">
        <v>42</v>
      </c>
      <c r="T5967" s="1" t="s">
        <v>273</v>
      </c>
      <c r="U5967" s="1">
        <v>1</v>
      </c>
      <c r="V5967" s="5">
        <v>43901</v>
      </c>
      <c r="W5967" s="5">
        <v>43637</v>
      </c>
      <c r="X5967" s="1">
        <v>2455000</v>
      </c>
      <c r="Y5967" s="1">
        <v>2455000</v>
      </c>
      <c r="Z5967" s="5">
        <v>43638</v>
      </c>
      <c r="AA5967" s="1">
        <v>2353817</v>
      </c>
      <c r="AB5967" s="1" t="s">
        <v>4274</v>
      </c>
      <c r="AC5967" s="5">
        <v>43888</v>
      </c>
      <c r="AF5967" s="1">
        <v>10002</v>
      </c>
      <c r="AI5967" s="1" t="s">
        <v>246</v>
      </c>
      <c r="AJ5967" s="1">
        <v>2019</v>
      </c>
      <c r="AK5967" s="1" t="s">
        <v>46</v>
      </c>
      <c r="AL5967" s="1">
        <v>787</v>
      </c>
    </row>
    <row r="5968" spans="1:38" x14ac:dyDescent="0.2">
      <c r="A5968" s="2" t="str">
        <f>HYPERLINK("https://www.compass.com/listing/252-south-street-unit-26a-manhattan-ny-10002/29513513445663025/","252 South St, Unit 26A")</f>
        <v>252 South St, Unit 26A</v>
      </c>
      <c r="B5968" s="2" t="str">
        <f t="shared" si="992"/>
        <v>One Manhattan Square</v>
      </c>
      <c r="C5968" s="1" t="s">
        <v>47</v>
      </c>
      <c r="D5968" s="1" t="s">
        <v>41</v>
      </c>
      <c r="E5968" s="3">
        <v>2589694</v>
      </c>
      <c r="F5968" s="1">
        <v>2228.6520998278802</v>
      </c>
      <c r="G5968" s="1">
        <v>5</v>
      </c>
      <c r="H5968" s="1">
        <v>2</v>
      </c>
      <c r="I5968" s="1">
        <v>2</v>
      </c>
      <c r="J5968" s="1">
        <v>2</v>
      </c>
      <c r="K5968" s="1">
        <v>2</v>
      </c>
      <c r="M5968" s="4">
        <v>1162</v>
      </c>
      <c r="N5968" s="1">
        <v>1331</v>
      </c>
      <c r="O5968" s="1">
        <v>1353</v>
      </c>
      <c r="P5968" s="1">
        <v>22</v>
      </c>
      <c r="Q5968" s="1" t="s">
        <v>42</v>
      </c>
      <c r="S5968" s="1" t="s">
        <v>42</v>
      </c>
      <c r="T5968" s="1" t="s">
        <v>273</v>
      </c>
      <c r="U5968" s="1">
        <v>5</v>
      </c>
      <c r="V5968" s="5">
        <v>43681</v>
      </c>
      <c r="W5968" s="5">
        <v>43278</v>
      </c>
      <c r="X5968" s="1">
        <v>2565000</v>
      </c>
      <c r="Y5968" s="1">
        <v>2565000</v>
      </c>
      <c r="Z5968" s="5">
        <v>43283</v>
      </c>
      <c r="AA5968" s="1">
        <v>2589693.7400000002</v>
      </c>
      <c r="AB5968" s="1" t="s">
        <v>4275</v>
      </c>
      <c r="AC5968" s="5">
        <v>43606</v>
      </c>
      <c r="AF5968" s="1">
        <v>10002</v>
      </c>
      <c r="AI5968" s="1" t="s">
        <v>246</v>
      </c>
      <c r="AJ5968" s="1">
        <v>2019</v>
      </c>
      <c r="AK5968" s="1" t="s">
        <v>46</v>
      </c>
      <c r="AL5968" s="1">
        <v>787</v>
      </c>
    </row>
    <row r="5969" spans="1:38" x14ac:dyDescent="0.2">
      <c r="A5969" s="2" t="str">
        <f>HYPERLINK("https://www.compass.com/listing/252-south-street-unit-52a-manhattan-ny-10002/29513532118755921/","252 South St, Unit 52A")</f>
        <v>252 South St, Unit 52A</v>
      </c>
      <c r="B5969" s="2" t="str">
        <f t="shared" si="992"/>
        <v>One Manhattan Square</v>
      </c>
      <c r="C5969" s="1" t="s">
        <v>47</v>
      </c>
      <c r="D5969" s="1" t="s">
        <v>41</v>
      </c>
      <c r="E5969" s="3">
        <v>2804187</v>
      </c>
      <c r="F5969" s="1">
        <v>2411.1668099742001</v>
      </c>
      <c r="G5969" s="1">
        <v>4</v>
      </c>
      <c r="H5969" s="1">
        <v>2</v>
      </c>
      <c r="I5969" s="1">
        <v>2</v>
      </c>
      <c r="J5969" s="1">
        <v>2</v>
      </c>
      <c r="M5969" s="4">
        <v>1163</v>
      </c>
      <c r="N5969" s="1">
        <v>1491</v>
      </c>
      <c r="O5969" s="1">
        <v>1516</v>
      </c>
      <c r="P5969" s="1">
        <v>25</v>
      </c>
      <c r="Q5969" s="1" t="s">
        <v>42</v>
      </c>
      <c r="S5969" s="1" t="s">
        <v>42</v>
      </c>
      <c r="T5969" s="1" t="s">
        <v>273</v>
      </c>
      <c r="U5969" s="1">
        <v>7</v>
      </c>
      <c r="V5969" s="5">
        <v>43696</v>
      </c>
      <c r="W5969" s="5">
        <v>42937</v>
      </c>
      <c r="X5969" s="1">
        <v>2856000</v>
      </c>
      <c r="Y5969" s="1">
        <v>2856000</v>
      </c>
      <c r="Z5969" s="5">
        <v>42944</v>
      </c>
      <c r="AA5969" s="1">
        <v>2804187</v>
      </c>
      <c r="AB5969" s="1" t="s">
        <v>4276</v>
      </c>
      <c r="AC5969" s="5">
        <v>43644</v>
      </c>
      <c r="AF5969" s="1">
        <v>10002</v>
      </c>
      <c r="AI5969" s="1" t="s">
        <v>246</v>
      </c>
      <c r="AJ5969" s="1">
        <v>2019</v>
      </c>
      <c r="AK5969" s="1" t="s">
        <v>46</v>
      </c>
      <c r="AL5969" s="1">
        <v>787</v>
      </c>
    </row>
    <row r="5970" spans="1:38" x14ac:dyDescent="0.2">
      <c r="A5970" s="2" t="str">
        <f>HYPERLINK("https://www.compass.com/listing/252-south-street-unit-50k-manhattan-ny-10002/299917818233374449/","252 South St, Unit 50K")</f>
        <v>252 South St, Unit 50K</v>
      </c>
      <c r="B5970" s="2" t="str">
        <f t="shared" si="992"/>
        <v>One Manhattan Square</v>
      </c>
      <c r="C5970" s="1" t="s">
        <v>47</v>
      </c>
      <c r="D5970" s="1" t="s">
        <v>41</v>
      </c>
      <c r="E5970" s="3">
        <v>2490356</v>
      </c>
      <c r="F5970" s="1">
        <v>2217.5917542297402</v>
      </c>
      <c r="G5970" s="1">
        <v>4</v>
      </c>
      <c r="H5970" s="1">
        <v>2</v>
      </c>
      <c r="I5970" s="1">
        <v>2</v>
      </c>
      <c r="J5970" s="1">
        <v>2</v>
      </c>
      <c r="K5970" s="1">
        <v>2</v>
      </c>
      <c r="M5970" s="4">
        <v>1123</v>
      </c>
      <c r="N5970" s="1">
        <v>1449</v>
      </c>
      <c r="O5970" s="1">
        <v>1472</v>
      </c>
      <c r="P5970" s="1">
        <v>23</v>
      </c>
      <c r="Q5970" s="1" t="s">
        <v>42</v>
      </c>
      <c r="S5970" s="1" t="s">
        <v>42</v>
      </c>
      <c r="T5970" s="1" t="s">
        <v>273</v>
      </c>
      <c r="U5970" s="1">
        <v>1</v>
      </c>
      <c r="V5970" s="5">
        <v>43830</v>
      </c>
      <c r="W5970" s="5">
        <v>43666</v>
      </c>
      <c r="X5970" s="1">
        <v>2617000</v>
      </c>
      <c r="Y5970" s="1">
        <v>2617000</v>
      </c>
      <c r="Z5970" s="5">
        <v>43667</v>
      </c>
      <c r="AA5970" s="1">
        <v>2490355.54</v>
      </c>
      <c r="AB5970" s="1" t="s">
        <v>4277</v>
      </c>
      <c r="AC5970" s="5">
        <v>43809</v>
      </c>
      <c r="AF5970" s="1">
        <v>10002</v>
      </c>
      <c r="AI5970" s="1" t="s">
        <v>246</v>
      </c>
      <c r="AJ5970" s="1">
        <v>2019</v>
      </c>
      <c r="AK5970" s="1" t="s">
        <v>46</v>
      </c>
      <c r="AL5970" s="1">
        <v>787</v>
      </c>
    </row>
    <row r="5971" spans="1:38" x14ac:dyDescent="0.2">
      <c r="A5971" s="2" t="str">
        <f>HYPERLINK("https://www.compass.com/listing/252-south-street-unit-34l-manhattan-ny-10002/523170039359806777/","252 South St, Unit 34L")</f>
        <v>252 South St, Unit 34L</v>
      </c>
      <c r="B5971" s="2" t="str">
        <f t="shared" si="992"/>
        <v>One Manhattan Square</v>
      </c>
      <c r="C5971" s="1" t="s">
        <v>47</v>
      </c>
      <c r="D5971" s="1" t="s">
        <v>41</v>
      </c>
      <c r="E5971" s="3">
        <v>2393833</v>
      </c>
      <c r="F5971" s="1">
        <v>2131.6409171861001</v>
      </c>
      <c r="G5971" s="1">
        <v>5</v>
      </c>
      <c r="H5971" s="1">
        <v>2</v>
      </c>
      <c r="I5971" s="1">
        <v>2</v>
      </c>
      <c r="J5971" s="1">
        <v>2</v>
      </c>
      <c r="K5971" s="1">
        <v>2</v>
      </c>
      <c r="M5971" s="4">
        <v>1123</v>
      </c>
      <c r="N5971" s="1">
        <v>1347</v>
      </c>
      <c r="O5971" s="1">
        <v>1368</v>
      </c>
      <c r="P5971" s="1">
        <v>21</v>
      </c>
      <c r="Q5971" s="1" t="s">
        <v>42</v>
      </c>
      <c r="S5971" s="1" t="s">
        <v>42</v>
      </c>
      <c r="T5971" s="1" t="s">
        <v>273</v>
      </c>
      <c r="V5971" s="5">
        <v>44248</v>
      </c>
      <c r="W5971" s="5">
        <v>43972</v>
      </c>
      <c r="X5971" s="1">
        <v>2793000</v>
      </c>
      <c r="Y5971" s="1">
        <v>2793000</v>
      </c>
      <c r="Z5971" s="5">
        <v>43980</v>
      </c>
      <c r="AA5971" s="1">
        <v>2393832.75</v>
      </c>
      <c r="AB5971" s="1" t="s">
        <v>4278</v>
      </c>
      <c r="AC5971" s="5">
        <v>44022</v>
      </c>
      <c r="AF5971" s="1">
        <v>10002</v>
      </c>
      <c r="AI5971" s="1" t="s">
        <v>246</v>
      </c>
      <c r="AJ5971" s="1">
        <v>2019</v>
      </c>
      <c r="AK5971" s="1" t="s">
        <v>49</v>
      </c>
      <c r="AL5971" s="1">
        <v>787</v>
      </c>
    </row>
    <row r="5972" spans="1:38" x14ac:dyDescent="0.2">
      <c r="A5972" s="2" t="str">
        <f>HYPERLINK("https://www.compass.com/listing/252-south-street-unit-28m-manhattan-ny-10002/85363901759320417/","252 South St, Unit 28M")</f>
        <v>252 South St, Unit 28M</v>
      </c>
      <c r="B5972" s="2" t="str">
        <f t="shared" si="992"/>
        <v>One Manhattan Square</v>
      </c>
      <c r="C5972" s="1" t="s">
        <v>47</v>
      </c>
      <c r="D5972" s="1" t="s">
        <v>41</v>
      </c>
      <c r="E5972" s="3">
        <v>2497717</v>
      </c>
      <c r="F5972" s="1">
        <v>2224.14692787177</v>
      </c>
      <c r="G5972" s="1">
        <v>4</v>
      </c>
      <c r="H5972" s="1">
        <v>2</v>
      </c>
      <c r="I5972" s="1">
        <v>2</v>
      </c>
      <c r="J5972" s="1">
        <v>2</v>
      </c>
      <c r="K5972" s="1">
        <v>2</v>
      </c>
      <c r="M5972" s="4">
        <v>1123</v>
      </c>
      <c r="N5972" s="1">
        <v>1316.9</v>
      </c>
      <c r="O5972" s="1">
        <v>1337.69</v>
      </c>
      <c r="P5972" s="1">
        <v>20.75</v>
      </c>
      <c r="Q5972" s="1" t="s">
        <v>42</v>
      </c>
      <c r="S5972" s="1" t="s">
        <v>42</v>
      </c>
      <c r="T5972" s="1" t="s">
        <v>273</v>
      </c>
      <c r="U5972" s="1">
        <v>4</v>
      </c>
      <c r="V5972" s="5">
        <v>43753</v>
      </c>
      <c r="W5972" s="5">
        <v>43370</v>
      </c>
      <c r="X5972" s="1">
        <v>2499000</v>
      </c>
      <c r="Y5972" s="1">
        <v>2499000</v>
      </c>
      <c r="Z5972" s="5">
        <v>43374</v>
      </c>
      <c r="AA5972" s="1">
        <v>2497717</v>
      </c>
      <c r="AB5972" s="1" t="s">
        <v>4279</v>
      </c>
      <c r="AC5972" s="5">
        <v>43726</v>
      </c>
      <c r="AF5972" s="1">
        <v>10002</v>
      </c>
      <c r="AI5972" s="1" t="s">
        <v>246</v>
      </c>
      <c r="AJ5972" s="1">
        <v>2019</v>
      </c>
      <c r="AK5972" s="1" t="s">
        <v>46</v>
      </c>
      <c r="AL5972" s="1">
        <v>787</v>
      </c>
    </row>
    <row r="5973" spans="1:38" x14ac:dyDescent="0.2">
      <c r="A5973" s="2" t="str">
        <f>HYPERLINK("https://www.compass.com/listing/252-south-street-unit-11j-manhattan-ny-10002/29513516507591297/","252 South St, Unit 11J")</f>
        <v>252 South St, Unit 11J</v>
      </c>
      <c r="B5973" s="2" t="str">
        <f t="shared" si="992"/>
        <v>One Manhattan Square</v>
      </c>
      <c r="C5973" s="1" t="s">
        <v>47</v>
      </c>
      <c r="D5973" s="1" t="s">
        <v>41</v>
      </c>
      <c r="E5973" s="3">
        <v>1196576</v>
      </c>
      <c r="F5973" s="1">
        <v>1719.21781609195</v>
      </c>
      <c r="G5973" s="1">
        <v>3</v>
      </c>
      <c r="H5973" s="1">
        <v>1</v>
      </c>
      <c r="I5973" s="1">
        <v>1</v>
      </c>
      <c r="J5973" s="1">
        <v>1</v>
      </c>
      <c r="K5973" s="1">
        <v>1</v>
      </c>
      <c r="M5973" s="1">
        <v>696</v>
      </c>
      <c r="N5973" s="1">
        <v>745</v>
      </c>
      <c r="O5973" s="1">
        <v>757</v>
      </c>
      <c r="P5973" s="1">
        <v>12</v>
      </c>
      <c r="Q5973" s="1" t="s">
        <v>42</v>
      </c>
      <c r="S5973" s="1" t="s">
        <v>42</v>
      </c>
      <c r="T5973" s="1" t="s">
        <v>273</v>
      </c>
      <c r="U5973" s="1">
        <v>3</v>
      </c>
      <c r="V5973" s="5">
        <v>43683</v>
      </c>
      <c r="W5973" s="5">
        <v>43204</v>
      </c>
      <c r="X5973" s="1">
        <v>1220000</v>
      </c>
      <c r="Y5973" s="1">
        <v>1220000</v>
      </c>
      <c r="Z5973" s="5">
        <v>43207</v>
      </c>
      <c r="AA5973" s="1">
        <v>1196575.6000000001</v>
      </c>
      <c r="AB5973" s="1" t="s">
        <v>4280</v>
      </c>
      <c r="AC5973" s="5">
        <v>43558</v>
      </c>
      <c r="AF5973" s="1">
        <v>10002</v>
      </c>
      <c r="AI5973" s="1" t="s">
        <v>4116</v>
      </c>
      <c r="AJ5973" s="1">
        <v>2019</v>
      </c>
      <c r="AK5973" s="1" t="s">
        <v>46</v>
      </c>
      <c r="AL5973" s="1">
        <v>787</v>
      </c>
    </row>
    <row r="5974" spans="1:38" x14ac:dyDescent="0.2">
      <c r="A5974" s="2" t="str">
        <f>HYPERLINK("https://www.compass.com/listing/252-south-street-unit-21j-manhattan-ny-10002/29513537781066705/","252 South St, Unit 21J")</f>
        <v>252 South St, Unit 21J</v>
      </c>
      <c r="B5974" s="2" t="str">
        <f t="shared" si="992"/>
        <v>One Manhattan Square</v>
      </c>
      <c r="C5974" s="1" t="s">
        <v>47</v>
      </c>
      <c r="D5974" s="1" t="s">
        <v>41</v>
      </c>
      <c r="E5974" s="3">
        <v>1271721</v>
      </c>
      <c r="F5974" s="1">
        <v>1827.1853448275799</v>
      </c>
      <c r="G5974" s="1">
        <v>3</v>
      </c>
      <c r="H5974" s="1">
        <v>1</v>
      </c>
      <c r="I5974" s="1">
        <v>1</v>
      </c>
      <c r="J5974" s="1">
        <v>1</v>
      </c>
      <c r="M5974" s="1">
        <v>696</v>
      </c>
      <c r="N5974" s="1">
        <v>779</v>
      </c>
      <c r="O5974" s="1">
        <v>792</v>
      </c>
      <c r="P5974" s="1">
        <v>13</v>
      </c>
      <c r="Q5974" s="1" t="s">
        <v>42</v>
      </c>
      <c r="S5974" s="1" t="s">
        <v>42</v>
      </c>
      <c r="T5974" s="1" t="s">
        <v>273</v>
      </c>
      <c r="U5974" s="1">
        <v>2</v>
      </c>
      <c r="V5974" s="5">
        <v>43696</v>
      </c>
      <c r="W5974" s="5">
        <v>42992</v>
      </c>
      <c r="X5974" s="1">
        <v>1285000</v>
      </c>
      <c r="Y5974" s="1">
        <v>1285000</v>
      </c>
      <c r="Z5974" s="5">
        <v>42994</v>
      </c>
      <c r="AA5974" s="1">
        <v>1271721</v>
      </c>
      <c r="AB5974" s="1" t="s">
        <v>4281</v>
      </c>
      <c r="AC5974" s="5">
        <v>43579</v>
      </c>
      <c r="AF5974" s="1">
        <v>10002</v>
      </c>
      <c r="AI5974" s="1" t="s">
        <v>246</v>
      </c>
      <c r="AJ5974" s="1">
        <v>2019</v>
      </c>
      <c r="AK5974" s="1" t="s">
        <v>46</v>
      </c>
      <c r="AL5974" s="1">
        <v>787</v>
      </c>
    </row>
    <row r="5975" spans="1:38" x14ac:dyDescent="0.2">
      <c r="A5975" s="2" t="str">
        <f>HYPERLINK("https://www.compass.com/listing/252-south-street-unit-15g-manhattan-ny-10002/29513516155234161/","252 South St, Unit 15G")</f>
        <v>252 South St, Unit 15G</v>
      </c>
      <c r="B5975" s="2" t="str">
        <f t="shared" si="992"/>
        <v>One Manhattan Square</v>
      </c>
      <c r="C5975" s="1" t="s">
        <v>47</v>
      </c>
      <c r="D5975" s="1" t="s">
        <v>41</v>
      </c>
      <c r="E5975" s="3">
        <v>1154622</v>
      </c>
      <c r="F5975" s="1">
        <v>1596.98755186722</v>
      </c>
      <c r="G5975" s="1">
        <v>3</v>
      </c>
      <c r="H5975" s="1">
        <v>1</v>
      </c>
      <c r="I5975" s="1">
        <v>1</v>
      </c>
      <c r="J5975" s="1">
        <v>1</v>
      </c>
      <c r="K5975" s="1">
        <v>1</v>
      </c>
      <c r="M5975" s="1">
        <v>723</v>
      </c>
      <c r="N5975" s="1">
        <v>782</v>
      </c>
      <c r="O5975" s="1">
        <v>795</v>
      </c>
      <c r="P5975" s="1">
        <v>13</v>
      </c>
      <c r="Q5975" s="1" t="s">
        <v>42</v>
      </c>
      <c r="S5975" s="1" t="s">
        <v>42</v>
      </c>
      <c r="T5975" s="1" t="s">
        <v>273</v>
      </c>
      <c r="U5975" s="1">
        <v>29</v>
      </c>
      <c r="V5975" s="5">
        <v>43696</v>
      </c>
      <c r="W5975" s="5">
        <v>43165</v>
      </c>
      <c r="X5975" s="1">
        <v>1192000</v>
      </c>
      <c r="Y5975" s="1">
        <v>1192000</v>
      </c>
      <c r="Z5975" s="5">
        <v>43194</v>
      </c>
      <c r="AA5975" s="1">
        <v>1154622.5</v>
      </c>
      <c r="AB5975" s="1" t="s">
        <v>4282</v>
      </c>
      <c r="AC5975" s="5">
        <v>43551</v>
      </c>
      <c r="AF5975" s="1">
        <v>10002</v>
      </c>
      <c r="AI5975" s="1" t="s">
        <v>246</v>
      </c>
      <c r="AJ5975" s="1">
        <v>2019</v>
      </c>
      <c r="AK5975" s="1" t="s">
        <v>46</v>
      </c>
      <c r="AL5975" s="1">
        <v>787</v>
      </c>
    </row>
    <row r="5976" spans="1:38" x14ac:dyDescent="0.2">
      <c r="A5976" s="2" t="str">
        <f>HYPERLINK("https://www.compass.com/listing/252-south-street-unit-46c-manhattan-ny-10002/770907276522886113/","252 South St, Unit 46C")</f>
        <v>252 South St, Unit 46C</v>
      </c>
      <c r="B5976" s="2" t="str">
        <f t="shared" si="992"/>
        <v>One Manhattan Square</v>
      </c>
      <c r="C5976" s="1" t="s">
        <v>47</v>
      </c>
      <c r="D5976" s="1" t="s">
        <v>41</v>
      </c>
      <c r="E5976" s="3">
        <v>3301023</v>
      </c>
      <c r="F5976" s="1">
        <v>2219.9209818426302</v>
      </c>
      <c r="G5976" s="1">
        <v>5</v>
      </c>
      <c r="H5976" s="1">
        <v>3</v>
      </c>
      <c r="I5976" s="1">
        <v>3</v>
      </c>
      <c r="J5976" s="1">
        <v>3</v>
      </c>
      <c r="K5976" s="1">
        <v>3</v>
      </c>
      <c r="M5976" s="4">
        <v>1487</v>
      </c>
      <c r="N5976" s="1">
        <v>1880</v>
      </c>
      <c r="O5976" s="1">
        <v>1910</v>
      </c>
      <c r="P5976" s="1">
        <v>30</v>
      </c>
      <c r="Q5976" s="1" t="s">
        <v>42</v>
      </c>
      <c r="S5976" s="1" t="s">
        <v>42</v>
      </c>
      <c r="T5976" s="1" t="s">
        <v>273</v>
      </c>
      <c r="U5976" s="1">
        <v>5</v>
      </c>
      <c r="V5976" s="5">
        <v>44372</v>
      </c>
      <c r="W5976" s="5">
        <v>44310</v>
      </c>
      <c r="X5976" s="1">
        <v>3864000</v>
      </c>
      <c r="Y5976" s="1">
        <v>3864000</v>
      </c>
      <c r="Z5976" s="5">
        <v>44315</v>
      </c>
      <c r="AA5976" s="1">
        <v>3301022.5</v>
      </c>
      <c r="AB5976" s="1" t="s">
        <v>4283</v>
      </c>
      <c r="AC5976" s="5">
        <v>44368</v>
      </c>
      <c r="AF5976" s="1">
        <v>10002</v>
      </c>
      <c r="AI5976" s="1" t="s">
        <v>246</v>
      </c>
      <c r="AJ5976" s="1">
        <v>2019</v>
      </c>
      <c r="AK5976" s="1" t="s">
        <v>46</v>
      </c>
      <c r="AL5976" s="1">
        <v>787</v>
      </c>
    </row>
    <row r="5977" spans="1:38" x14ac:dyDescent="0.2">
      <c r="A5977" s="2" t="str">
        <f>HYPERLINK("https://www.compass.com/listing/252-south-street-unit-9b-manhattan-ny-10002/739098594475645833/","252 South St, Unit 9B")</f>
        <v>252 South St, Unit 9B</v>
      </c>
      <c r="B5977" s="2" t="str">
        <f t="shared" si="992"/>
        <v>One Manhattan Square</v>
      </c>
      <c r="C5977" s="1" t="s">
        <v>47</v>
      </c>
      <c r="D5977" s="1" t="s">
        <v>41</v>
      </c>
      <c r="E5977" s="3">
        <v>1204000</v>
      </c>
      <c r="F5977" s="1">
        <v>1729.8850574712601</v>
      </c>
      <c r="G5977" s="1">
        <v>3</v>
      </c>
      <c r="H5977" s="1">
        <v>1</v>
      </c>
      <c r="I5977" s="1">
        <v>1</v>
      </c>
      <c r="J5977" s="1">
        <v>1</v>
      </c>
      <c r="K5977" s="1">
        <v>1</v>
      </c>
      <c r="M5977" s="1">
        <v>696</v>
      </c>
      <c r="N5977" s="1">
        <v>750</v>
      </c>
      <c r="O5977" s="1">
        <v>762</v>
      </c>
      <c r="P5977" s="1">
        <v>12</v>
      </c>
      <c r="Q5977" s="1" t="s">
        <v>42</v>
      </c>
      <c r="S5977" s="1" t="s">
        <v>42</v>
      </c>
      <c r="T5977" s="1" t="s">
        <v>273</v>
      </c>
      <c r="U5977" s="1">
        <v>53</v>
      </c>
      <c r="V5977" s="5">
        <v>44379</v>
      </c>
      <c r="W5977" s="5">
        <v>44219</v>
      </c>
      <c r="X5977" s="1">
        <v>1415000</v>
      </c>
      <c r="Y5977" s="1">
        <v>1200000</v>
      </c>
      <c r="Z5977" s="5">
        <v>44272</v>
      </c>
      <c r="AA5977" s="1">
        <v>1204000</v>
      </c>
      <c r="AB5977" s="1" t="s">
        <v>4284</v>
      </c>
      <c r="AC5977" s="5">
        <v>44350</v>
      </c>
      <c r="AF5977" s="1">
        <v>10002</v>
      </c>
      <c r="AI5977" s="1" t="s">
        <v>246</v>
      </c>
      <c r="AJ5977" s="1">
        <v>2019</v>
      </c>
      <c r="AK5977" s="1" t="s">
        <v>46</v>
      </c>
      <c r="AL5977" s="1">
        <v>787</v>
      </c>
    </row>
    <row r="5978" spans="1:38" x14ac:dyDescent="0.2">
      <c r="A5978" s="2" t="str">
        <f>HYPERLINK("https://www.compass.com/listing/252-south-street-unit-34e-manhattan-ny-10002/29513508345389073/","252 South St, Unit 34E")</f>
        <v>252 South St, Unit 34E</v>
      </c>
      <c r="B5978" s="2" t="str">
        <f t="shared" si="992"/>
        <v>One Manhattan Square</v>
      </c>
      <c r="C5978" s="1" t="s">
        <v>47</v>
      </c>
      <c r="D5978" s="1" t="s">
        <v>41</v>
      </c>
      <c r="E5978" s="3">
        <v>1360565</v>
      </c>
      <c r="F5978" s="1">
        <v>1960.46766570605</v>
      </c>
      <c r="G5978" s="1">
        <v>3</v>
      </c>
      <c r="H5978" s="1">
        <v>1</v>
      </c>
      <c r="I5978" s="1">
        <v>1</v>
      </c>
      <c r="J5978" s="1">
        <v>1</v>
      </c>
      <c r="K5978" s="1">
        <v>1</v>
      </c>
      <c r="M5978" s="1">
        <v>694</v>
      </c>
      <c r="N5978" s="1">
        <v>820</v>
      </c>
      <c r="O5978" s="1">
        <v>834</v>
      </c>
      <c r="P5978" s="1">
        <v>14</v>
      </c>
      <c r="Q5978" s="1" t="s">
        <v>42</v>
      </c>
      <c r="S5978" s="1" t="s">
        <v>42</v>
      </c>
      <c r="T5978" s="1" t="s">
        <v>273</v>
      </c>
      <c r="U5978" s="1">
        <v>9</v>
      </c>
      <c r="V5978" s="5">
        <v>43684</v>
      </c>
      <c r="W5978" s="5">
        <v>43238</v>
      </c>
      <c r="X5978" s="1">
        <v>1392000</v>
      </c>
      <c r="Y5978" s="1">
        <v>1332250</v>
      </c>
      <c r="Z5978" s="5">
        <v>43248</v>
      </c>
      <c r="AA5978" s="1">
        <v>1360564.56</v>
      </c>
      <c r="AB5978" s="1" t="s">
        <v>4285</v>
      </c>
      <c r="AC5978" s="5">
        <v>43577</v>
      </c>
      <c r="AF5978" s="1">
        <v>10002</v>
      </c>
      <c r="AI5978" s="1" t="s">
        <v>246</v>
      </c>
      <c r="AJ5978" s="1">
        <v>2019</v>
      </c>
      <c r="AK5978" s="1" t="s">
        <v>46</v>
      </c>
      <c r="AL5978" s="1">
        <v>787</v>
      </c>
    </row>
    <row r="5979" spans="1:38" x14ac:dyDescent="0.2">
      <c r="A5979" s="2" t="str">
        <f>HYPERLINK("https://www.compass.com/listing/252-south-street-unit-pha-manhattan-ny-10002/221713579030643697/","252 South St, Unit PHA")</f>
        <v>252 South St, Unit PHA</v>
      </c>
      <c r="B5979" s="2" t="str">
        <f t="shared" si="992"/>
        <v>One Manhattan Square</v>
      </c>
      <c r="C5979" s="1" t="s">
        <v>47</v>
      </c>
      <c r="D5979" s="1" t="s">
        <v>41</v>
      </c>
      <c r="E5979" s="3">
        <v>4818000</v>
      </c>
      <c r="F5979" s="1">
        <v>2869.5652173912999</v>
      </c>
      <c r="G5979" s="1">
        <v>5</v>
      </c>
      <c r="H5979" s="1">
        <v>3</v>
      </c>
      <c r="I5979" s="1">
        <v>3</v>
      </c>
      <c r="J5979" s="1">
        <v>3</v>
      </c>
      <c r="K5979" s="1">
        <v>3</v>
      </c>
      <c r="M5979" s="4">
        <v>1679</v>
      </c>
      <c r="N5979" s="1">
        <v>2399.35</v>
      </c>
      <c r="O5979" s="1">
        <v>2439.75</v>
      </c>
      <c r="P5979" s="1">
        <v>40.4166666666666</v>
      </c>
      <c r="Q5979" s="1" t="s">
        <v>42</v>
      </c>
      <c r="S5979" s="1" t="s">
        <v>42</v>
      </c>
      <c r="T5979" s="1" t="s">
        <v>273</v>
      </c>
      <c r="U5979" s="1">
        <v>2</v>
      </c>
      <c r="V5979" s="5">
        <v>43808</v>
      </c>
      <c r="W5979" s="5">
        <v>43558</v>
      </c>
      <c r="X5979" s="1">
        <v>5383000</v>
      </c>
      <c r="Y5979" s="1">
        <v>5383000</v>
      </c>
      <c r="Z5979" s="5">
        <v>43560</v>
      </c>
      <c r="AA5979" s="1">
        <v>4818000</v>
      </c>
      <c r="AB5979" s="1" t="s">
        <v>275</v>
      </c>
      <c r="AC5979" s="5">
        <v>43796</v>
      </c>
      <c r="AF5979" s="1">
        <v>10002</v>
      </c>
      <c r="AI5979" s="1" t="s">
        <v>246</v>
      </c>
      <c r="AJ5979" s="1">
        <v>2019</v>
      </c>
      <c r="AK5979" s="1" t="s">
        <v>46</v>
      </c>
      <c r="AL5979" s="1">
        <v>787</v>
      </c>
    </row>
    <row r="5980" spans="1:38" x14ac:dyDescent="0.2">
      <c r="A5980" s="2" t="str">
        <f>HYPERLINK("https://www.compass.com/listing/252-south-street-unit-33c-manhattan-ny-10002/292702524446650689/","252 South St, Unit 33C")</f>
        <v>252 South St, Unit 33C</v>
      </c>
      <c r="B5980" s="2" t="str">
        <f t="shared" si="992"/>
        <v>One Manhattan Square</v>
      </c>
      <c r="C5980" s="1" t="s">
        <v>47</v>
      </c>
      <c r="D5980" s="1" t="s">
        <v>41</v>
      </c>
      <c r="E5980" s="3">
        <v>3480681</v>
      </c>
      <c r="F5980" s="1">
        <v>2340.74041694687</v>
      </c>
      <c r="G5980" s="1">
        <v>5</v>
      </c>
      <c r="H5980" s="1">
        <v>3</v>
      </c>
      <c r="I5980" s="1">
        <v>3</v>
      </c>
      <c r="J5980" s="1">
        <v>3</v>
      </c>
      <c r="K5980" s="1">
        <v>3</v>
      </c>
      <c r="M5980" s="4">
        <v>1487</v>
      </c>
      <c r="N5980" s="1">
        <v>1750</v>
      </c>
      <c r="O5980" s="1">
        <v>1779</v>
      </c>
      <c r="P5980" s="1">
        <v>29</v>
      </c>
      <c r="Q5980" s="1" t="s">
        <v>42</v>
      </c>
      <c r="S5980" s="1" t="s">
        <v>42</v>
      </c>
      <c r="T5980" s="1" t="s">
        <v>273</v>
      </c>
      <c r="U5980" s="1">
        <v>2</v>
      </c>
      <c r="V5980" s="5">
        <v>43704</v>
      </c>
      <c r="W5980" s="5">
        <v>43656</v>
      </c>
      <c r="X5980" s="1">
        <v>3754000</v>
      </c>
      <c r="Y5980" s="1">
        <v>3754000</v>
      </c>
      <c r="Z5980" s="5">
        <v>43658</v>
      </c>
      <c r="AA5980" s="1">
        <v>3480681</v>
      </c>
      <c r="AB5980" s="1" t="s">
        <v>4286</v>
      </c>
      <c r="AC5980" s="5">
        <v>43690</v>
      </c>
      <c r="AF5980" s="1">
        <v>10002</v>
      </c>
      <c r="AI5980" s="1" t="s">
        <v>246</v>
      </c>
      <c r="AJ5980" s="1">
        <v>2019</v>
      </c>
      <c r="AK5980" s="1" t="s">
        <v>46</v>
      </c>
      <c r="AL5980" s="1">
        <v>787</v>
      </c>
    </row>
    <row r="5981" spans="1:38" x14ac:dyDescent="0.2">
      <c r="A5981" s="2" t="str">
        <f>HYPERLINK("https://www.compass.com/listing/252-south-street-unit-8p-manhattan-ny-10002/29513550967959105/","252 South St, Unit 8P")</f>
        <v>252 South St, Unit 8P</v>
      </c>
      <c r="B5981" s="2" t="str">
        <f t="shared" si="992"/>
        <v>One Manhattan Square</v>
      </c>
      <c r="C5981" s="1" t="s">
        <v>47</v>
      </c>
      <c r="D5981" s="1" t="s">
        <v>41</v>
      </c>
      <c r="E5981" s="3">
        <v>1246062</v>
      </c>
      <c r="F5981" s="1">
        <v>1723.46078838174</v>
      </c>
      <c r="G5981" s="1">
        <v>3</v>
      </c>
      <c r="H5981" s="1">
        <v>1</v>
      </c>
      <c r="I5981" s="1">
        <v>1</v>
      </c>
      <c r="J5981" s="1">
        <v>1</v>
      </c>
      <c r="M5981" s="1">
        <v>723</v>
      </c>
      <c r="N5981" s="1">
        <v>764</v>
      </c>
      <c r="O5981" s="1">
        <v>777</v>
      </c>
      <c r="P5981" s="1">
        <v>13</v>
      </c>
      <c r="Q5981" s="1" t="s">
        <v>42</v>
      </c>
      <c r="S5981" s="1" t="s">
        <v>42</v>
      </c>
      <c r="T5981" s="1" t="s">
        <v>273</v>
      </c>
      <c r="U5981" s="1">
        <v>71</v>
      </c>
      <c r="V5981" s="5">
        <v>43938</v>
      </c>
      <c r="W5981" s="5">
        <v>42697</v>
      </c>
      <c r="Y5981" s="1">
        <v>1284000</v>
      </c>
      <c r="Z5981" s="5">
        <v>42768</v>
      </c>
      <c r="AA5981" s="1">
        <v>1246062.1499999999</v>
      </c>
      <c r="AB5981" s="1" t="s">
        <v>4287</v>
      </c>
      <c r="AC5981" s="5">
        <v>43584</v>
      </c>
      <c r="AF5981" s="1">
        <v>10002</v>
      </c>
      <c r="AI5981" s="1" t="s">
        <v>4116</v>
      </c>
      <c r="AJ5981" s="1">
        <v>2019</v>
      </c>
      <c r="AK5981" s="1" t="s">
        <v>46</v>
      </c>
      <c r="AL5981" s="1">
        <v>787</v>
      </c>
    </row>
    <row r="5982" spans="1:38" x14ac:dyDescent="0.2">
      <c r="A5982" s="2" t="str">
        <f>HYPERLINK("https://www.compass.com/listing/252-south-street-unit-19f-manhattan-ny-10002/85363901398527361/","252 South St, Unit 19F")</f>
        <v>252 South St, Unit 19F</v>
      </c>
      <c r="B5982" s="2" t="str">
        <f t="shared" si="992"/>
        <v>One Manhattan Square</v>
      </c>
      <c r="C5982" s="1" t="s">
        <v>47</v>
      </c>
      <c r="D5982" s="1" t="s">
        <v>41</v>
      </c>
      <c r="E5982" s="3">
        <v>1215717</v>
      </c>
      <c r="F5982" s="1">
        <v>1749.23309352517</v>
      </c>
      <c r="G5982" s="1">
        <v>3</v>
      </c>
      <c r="H5982" s="1">
        <v>1</v>
      </c>
      <c r="I5982" s="1">
        <v>1</v>
      </c>
      <c r="J5982" s="1">
        <v>1</v>
      </c>
      <c r="K5982" s="1">
        <v>1</v>
      </c>
      <c r="M5982" s="1">
        <v>695</v>
      </c>
      <c r="N5982" s="1">
        <v>766.79</v>
      </c>
      <c r="O5982" s="1">
        <v>779.79</v>
      </c>
      <c r="P5982" s="1">
        <v>13</v>
      </c>
      <c r="Q5982" s="1" t="s">
        <v>42</v>
      </c>
      <c r="S5982" s="1" t="s">
        <v>42</v>
      </c>
      <c r="T5982" s="1" t="s">
        <v>273</v>
      </c>
      <c r="U5982" s="1">
        <v>4</v>
      </c>
      <c r="V5982" s="5">
        <v>43696</v>
      </c>
      <c r="W5982" s="5">
        <v>43370</v>
      </c>
      <c r="X5982" s="1">
        <v>1257000</v>
      </c>
      <c r="Y5982" s="1">
        <v>1257000</v>
      </c>
      <c r="Z5982" s="5">
        <v>43374</v>
      </c>
      <c r="AA5982" s="1">
        <v>1215717.5</v>
      </c>
      <c r="AB5982" s="1" t="s">
        <v>4288</v>
      </c>
      <c r="AC5982" s="5">
        <v>43563</v>
      </c>
      <c r="AF5982" s="1">
        <v>10002</v>
      </c>
      <c r="AI5982" s="1" t="s">
        <v>246</v>
      </c>
      <c r="AJ5982" s="1">
        <v>2019</v>
      </c>
      <c r="AK5982" s="1" t="s">
        <v>46</v>
      </c>
      <c r="AL5982" s="1">
        <v>787</v>
      </c>
    </row>
    <row r="5983" spans="1:38" x14ac:dyDescent="0.2">
      <c r="A5983" s="2" t="str">
        <f>HYPERLINK("https://www.compass.com/listing/252-south-street-unit-9h-manhattan-ny-10002/801629555571737297/","252 South St, Unit 9H")</f>
        <v>252 South St, Unit 9H</v>
      </c>
      <c r="B5983" s="2" t="str">
        <f t="shared" si="992"/>
        <v>One Manhattan Square</v>
      </c>
      <c r="C5983" s="1" t="s">
        <v>47</v>
      </c>
      <c r="D5983" s="1" t="s">
        <v>41</v>
      </c>
      <c r="E5983" s="3">
        <v>1785938</v>
      </c>
      <c r="F5983" s="1">
        <v>1544.92863321799</v>
      </c>
      <c r="G5983" s="1">
        <v>5</v>
      </c>
      <c r="H5983" s="1">
        <v>2</v>
      </c>
      <c r="I5983" s="1">
        <v>2</v>
      </c>
      <c r="J5983" s="1">
        <v>2</v>
      </c>
      <c r="K5983" s="1">
        <v>2</v>
      </c>
      <c r="M5983" s="4">
        <v>1156</v>
      </c>
      <c r="N5983" s="1">
        <v>1245</v>
      </c>
      <c r="O5983" s="1">
        <v>1265</v>
      </c>
      <c r="P5983" s="1">
        <v>20</v>
      </c>
      <c r="Q5983" s="1" t="s">
        <v>42</v>
      </c>
      <c r="S5983" s="1" t="s">
        <v>42</v>
      </c>
      <c r="T5983" s="1" t="s">
        <v>273</v>
      </c>
      <c r="U5983" s="1">
        <v>143</v>
      </c>
      <c r="V5983" s="5">
        <v>44423</v>
      </c>
      <c r="W5983" s="5">
        <v>44183</v>
      </c>
      <c r="X5983" s="1">
        <v>1835000</v>
      </c>
      <c r="Y5983" s="1">
        <v>1835000</v>
      </c>
      <c r="AA5983" s="1">
        <v>1785937.5</v>
      </c>
      <c r="AB5983" s="1" t="s">
        <v>4289</v>
      </c>
      <c r="AC5983" s="5">
        <v>44327</v>
      </c>
      <c r="AF5983" s="1">
        <v>10002</v>
      </c>
      <c r="AI5983" s="1" t="s">
        <v>191</v>
      </c>
      <c r="AJ5983" s="1">
        <v>2019</v>
      </c>
      <c r="AK5983" s="1" t="s">
        <v>46</v>
      </c>
      <c r="AL5983" s="1">
        <v>787</v>
      </c>
    </row>
    <row r="5984" spans="1:38" x14ac:dyDescent="0.2">
      <c r="A5984" s="2" t="str">
        <f>HYPERLINK("https://www.compass.com/listing/252-south-street-unit-35e-manhattan-ny-10002/329630900672883361/","252 South St, Unit 35E")</f>
        <v>252 South St, Unit 35E</v>
      </c>
      <c r="B5984" s="2" t="str">
        <f t="shared" si="992"/>
        <v>One Manhattan Square</v>
      </c>
      <c r="C5984" s="1" t="s">
        <v>47</v>
      </c>
      <c r="D5984" s="1" t="s">
        <v>41</v>
      </c>
      <c r="E5984" s="3">
        <v>1364430</v>
      </c>
      <c r="F5984" s="1">
        <v>1966.0369452449499</v>
      </c>
      <c r="G5984" s="1">
        <v>3</v>
      </c>
      <c r="H5984" s="1">
        <v>1</v>
      </c>
      <c r="I5984" s="1">
        <v>1</v>
      </c>
      <c r="J5984" s="1">
        <v>1</v>
      </c>
      <c r="K5984" s="1">
        <v>1</v>
      </c>
      <c r="M5984" s="1">
        <v>694</v>
      </c>
      <c r="N5984" s="1">
        <v>836.03</v>
      </c>
      <c r="O5984" s="1">
        <v>849.23</v>
      </c>
      <c r="P5984" s="1">
        <v>13.1666666666666</v>
      </c>
      <c r="Q5984" s="1" t="s">
        <v>42</v>
      </c>
      <c r="S5984" s="1" t="s">
        <v>42</v>
      </c>
      <c r="T5984" s="1" t="s">
        <v>273</v>
      </c>
      <c r="U5984" s="1">
        <v>1</v>
      </c>
      <c r="V5984" s="5">
        <v>43938</v>
      </c>
      <c r="W5984" s="5">
        <v>43707</v>
      </c>
      <c r="X5984" s="1">
        <v>1399000</v>
      </c>
      <c r="Y5984" s="1">
        <v>1336045</v>
      </c>
      <c r="Z5984" s="5">
        <v>43709</v>
      </c>
      <c r="AA5984" s="1">
        <v>1364429.64</v>
      </c>
      <c r="AB5984" s="1" t="s">
        <v>4290</v>
      </c>
      <c r="AC5984" s="5">
        <v>43795</v>
      </c>
      <c r="AF5984" s="1">
        <v>10002</v>
      </c>
      <c r="AI5984" s="1" t="s">
        <v>246</v>
      </c>
      <c r="AJ5984" s="1">
        <v>2019</v>
      </c>
      <c r="AK5984" s="1" t="s">
        <v>46</v>
      </c>
      <c r="AL5984" s="1">
        <v>787</v>
      </c>
    </row>
    <row r="5985" spans="1:38" x14ac:dyDescent="0.2">
      <c r="A5985" s="2" t="str">
        <f>HYPERLINK("https://www.compass.com/listing/252-south-street-unit-28f-manhattan-ny-10002/527534101606512649/","252 South St, Unit 28F")</f>
        <v>252 South St, Unit 28F</v>
      </c>
      <c r="B5985" s="2" t="str">
        <f t="shared" si="992"/>
        <v>One Manhattan Square</v>
      </c>
      <c r="C5985" s="1" t="s">
        <v>47</v>
      </c>
      <c r="D5985" s="1" t="s">
        <v>41</v>
      </c>
      <c r="E5985" s="3">
        <v>1263719</v>
      </c>
      <c r="F5985" s="1">
        <v>1818.3010791366901</v>
      </c>
      <c r="G5985" s="1">
        <v>3</v>
      </c>
      <c r="H5985" s="1">
        <v>1</v>
      </c>
      <c r="I5985" s="1">
        <v>1</v>
      </c>
      <c r="J5985" s="1">
        <v>1</v>
      </c>
      <c r="K5985" s="1">
        <v>1</v>
      </c>
      <c r="M5985" s="1">
        <v>695</v>
      </c>
      <c r="N5985" s="1">
        <v>815</v>
      </c>
      <c r="O5985" s="1">
        <v>828</v>
      </c>
      <c r="P5985" s="1">
        <v>13</v>
      </c>
      <c r="Q5985" s="1" t="s">
        <v>42</v>
      </c>
      <c r="S5985" s="1" t="s">
        <v>42</v>
      </c>
      <c r="T5985" s="1" t="s">
        <v>273</v>
      </c>
      <c r="V5985" s="5">
        <v>44097</v>
      </c>
      <c r="W5985" s="5">
        <v>43980</v>
      </c>
      <c r="X5985" s="1">
        <v>1341000</v>
      </c>
      <c r="Y5985" s="1">
        <v>1237140</v>
      </c>
      <c r="Z5985" s="5">
        <v>43983</v>
      </c>
      <c r="AA5985" s="1">
        <v>1263719.25</v>
      </c>
      <c r="AB5985" s="1" t="s">
        <v>4291</v>
      </c>
      <c r="AC5985" s="5">
        <v>44092</v>
      </c>
      <c r="AF5985" s="1">
        <v>10002</v>
      </c>
      <c r="AI5985" s="1" t="s">
        <v>246</v>
      </c>
      <c r="AJ5985" s="1">
        <v>2019</v>
      </c>
      <c r="AK5985" s="1" t="s">
        <v>46</v>
      </c>
      <c r="AL5985" s="1">
        <v>787</v>
      </c>
    </row>
    <row r="5986" spans="1:38" x14ac:dyDescent="0.2">
      <c r="A5986" s="2" t="str">
        <f>HYPERLINK("https://www.compass.com/listing/252-south-street-unit-52e-manhattan-ny-10002/29513517723939521/","252 South St, Unit 52E")</f>
        <v>252 South St, Unit 52E</v>
      </c>
      <c r="B5986" s="2" t="str">
        <f t="shared" si="992"/>
        <v>One Manhattan Square</v>
      </c>
      <c r="C5986" s="1" t="s">
        <v>47</v>
      </c>
      <c r="D5986" s="1" t="s">
        <v>41</v>
      </c>
      <c r="E5986" s="3">
        <v>1448173</v>
      </c>
      <c r="F5986" s="1">
        <v>2086.7040345821301</v>
      </c>
      <c r="G5986" s="1">
        <v>3</v>
      </c>
      <c r="H5986" s="1">
        <v>1</v>
      </c>
      <c r="I5986" s="1">
        <v>1</v>
      </c>
      <c r="J5986" s="1">
        <v>1</v>
      </c>
      <c r="K5986" s="1">
        <v>1</v>
      </c>
      <c r="M5986" s="1">
        <v>694</v>
      </c>
      <c r="N5986" s="1">
        <v>889</v>
      </c>
      <c r="O5986" s="1">
        <v>904</v>
      </c>
      <c r="P5986" s="1">
        <v>15</v>
      </c>
      <c r="Q5986" s="1" t="s">
        <v>42</v>
      </c>
      <c r="S5986" s="1" t="s">
        <v>42</v>
      </c>
      <c r="T5986" s="1" t="s">
        <v>273</v>
      </c>
      <c r="U5986" s="1">
        <v>10</v>
      </c>
      <c r="V5986" s="5">
        <v>43759</v>
      </c>
      <c r="W5986" s="5">
        <v>43237</v>
      </c>
      <c r="X5986" s="1">
        <v>1480000</v>
      </c>
      <c r="Y5986" s="1">
        <v>1480000</v>
      </c>
      <c r="Z5986" s="5">
        <v>43247</v>
      </c>
      <c r="AA5986" s="1">
        <v>1448172.6</v>
      </c>
      <c r="AB5986" s="1" t="s">
        <v>4292</v>
      </c>
      <c r="AC5986" s="5">
        <v>43741</v>
      </c>
      <c r="AF5986" s="1">
        <v>10002</v>
      </c>
      <c r="AI5986" s="1" t="s">
        <v>246</v>
      </c>
      <c r="AJ5986" s="1">
        <v>2019</v>
      </c>
      <c r="AK5986" s="1" t="s">
        <v>46</v>
      </c>
      <c r="AL5986" s="1">
        <v>787</v>
      </c>
    </row>
    <row r="5987" spans="1:38" x14ac:dyDescent="0.2">
      <c r="A5987" s="2" t="str">
        <f>HYPERLINK("https://www.compass.com/listing/252-south-street-unit-33j-manhattan-ny-10002/803356584352844505/","252 South St, Unit 33J")</f>
        <v>252 South St, Unit 33J</v>
      </c>
      <c r="B5987" s="2" t="str">
        <f t="shared" si="992"/>
        <v>One Manhattan Square</v>
      </c>
      <c r="C5987" s="1" t="s">
        <v>47</v>
      </c>
      <c r="D5987" s="1" t="s">
        <v>41</v>
      </c>
      <c r="E5987" s="3">
        <v>1321235</v>
      </c>
      <c r="F5987" s="1">
        <v>1901.0577841726599</v>
      </c>
      <c r="G5987" s="1">
        <v>3</v>
      </c>
      <c r="H5987" s="1">
        <v>1</v>
      </c>
      <c r="I5987" s="1">
        <v>1</v>
      </c>
      <c r="J5987" s="1">
        <v>1</v>
      </c>
      <c r="K5987" s="1">
        <v>1</v>
      </c>
      <c r="M5987" s="1">
        <v>695</v>
      </c>
      <c r="N5987" s="1">
        <v>830</v>
      </c>
      <c r="O5987" s="1">
        <v>843</v>
      </c>
      <c r="P5987" s="1">
        <v>13</v>
      </c>
      <c r="Q5987" s="1" t="s">
        <v>42</v>
      </c>
      <c r="S5987" s="1" t="s">
        <v>42</v>
      </c>
      <c r="T5987" s="1" t="s">
        <v>273</v>
      </c>
      <c r="V5987" s="5">
        <v>44420</v>
      </c>
      <c r="W5987" s="5">
        <v>44183</v>
      </c>
      <c r="X5987" s="1">
        <v>1310000</v>
      </c>
      <c r="Y5987" s="1">
        <v>1310000</v>
      </c>
      <c r="Z5987" s="5">
        <v>44183</v>
      </c>
      <c r="AA5987" s="1">
        <v>1321235.1599999999</v>
      </c>
      <c r="AB5987" s="1" t="s">
        <v>4293</v>
      </c>
      <c r="AC5987" s="5">
        <v>44294</v>
      </c>
      <c r="AF5987" s="1">
        <v>10002</v>
      </c>
      <c r="AI5987" s="1" t="s">
        <v>191</v>
      </c>
      <c r="AJ5987" s="1">
        <v>2019</v>
      </c>
      <c r="AK5987" s="1" t="s">
        <v>46</v>
      </c>
      <c r="AL5987" s="1">
        <v>787</v>
      </c>
    </row>
    <row r="5988" spans="1:38" x14ac:dyDescent="0.2">
      <c r="A5988" s="2" t="str">
        <f>HYPERLINK("https://www.compass.com/listing/252-south-street-unit-29k-manhattan-ny-10002/4849516314252808481/","252 South St, Unit 29K")</f>
        <v>252 South St, Unit 29K</v>
      </c>
      <c r="B5988" s="2" t="str">
        <f t="shared" si="992"/>
        <v>One Manhattan Square</v>
      </c>
      <c r="C5988" s="1" t="s">
        <v>47</v>
      </c>
      <c r="D5988" s="1" t="s">
        <v>41</v>
      </c>
      <c r="E5988" s="3">
        <v>1335871</v>
      </c>
      <c r="F5988" s="1">
        <v>1922.1165467625899</v>
      </c>
      <c r="G5988" s="1">
        <v>3</v>
      </c>
      <c r="H5988" s="1">
        <v>1</v>
      </c>
      <c r="I5988" s="1">
        <v>1</v>
      </c>
      <c r="J5988" s="1">
        <v>1</v>
      </c>
      <c r="M5988" s="1">
        <v>695</v>
      </c>
      <c r="N5988" s="1">
        <v>80714</v>
      </c>
      <c r="O5988" s="1">
        <v>80728</v>
      </c>
      <c r="P5988" s="1">
        <v>14</v>
      </c>
      <c r="Q5988" s="1" t="s">
        <v>42</v>
      </c>
      <c r="S5988" s="1" t="s">
        <v>42</v>
      </c>
      <c r="T5988" s="1" t="s">
        <v>273</v>
      </c>
      <c r="V5988" s="5">
        <v>43696</v>
      </c>
      <c r="W5988" s="5">
        <v>42959</v>
      </c>
      <c r="X5988" s="1">
        <v>1384000</v>
      </c>
      <c r="Y5988" s="1">
        <v>1384000</v>
      </c>
      <c r="Z5988" s="5">
        <v>42959</v>
      </c>
      <c r="AA5988" s="1">
        <v>1335871</v>
      </c>
      <c r="AB5988" s="1" t="s">
        <v>4294</v>
      </c>
      <c r="AC5988" s="5">
        <v>43628</v>
      </c>
      <c r="AF5988" s="1">
        <v>10002</v>
      </c>
      <c r="AI5988" s="1" t="s">
        <v>246</v>
      </c>
      <c r="AJ5988" s="1">
        <v>2019</v>
      </c>
      <c r="AK5988" s="1" t="s">
        <v>46</v>
      </c>
      <c r="AL5988" s="1">
        <v>787</v>
      </c>
    </row>
    <row r="5989" spans="1:38" x14ac:dyDescent="0.2">
      <c r="A5989" s="2" t="str">
        <f>HYPERLINK("https://www.compass.com/listing/252-south-street-unit-38k-manhattan-ny-10002/221704280158104449/","252 South St, Unit 38K")</f>
        <v>252 South St, Unit 38K</v>
      </c>
      <c r="B5989" s="2" t="str">
        <f t="shared" si="992"/>
        <v>One Manhattan Square</v>
      </c>
      <c r="C5989" s="1" t="s">
        <v>47</v>
      </c>
      <c r="D5989" s="1" t="s">
        <v>41</v>
      </c>
      <c r="E5989" s="3">
        <v>2545625</v>
      </c>
      <c r="F5989" s="1">
        <v>2266.8076580587699</v>
      </c>
      <c r="G5989" s="1">
        <v>4</v>
      </c>
      <c r="H5989" s="1">
        <v>2</v>
      </c>
      <c r="I5989" s="1">
        <v>2</v>
      </c>
      <c r="J5989" s="1">
        <v>2</v>
      </c>
      <c r="K5989" s="1">
        <v>2</v>
      </c>
      <c r="M5989" s="4">
        <v>1123</v>
      </c>
      <c r="N5989" s="1">
        <v>1351</v>
      </c>
      <c r="O5989" s="1">
        <v>1374</v>
      </c>
      <c r="P5989" s="1">
        <v>23</v>
      </c>
      <c r="Q5989" s="1" t="s">
        <v>42</v>
      </c>
      <c r="S5989" s="1" t="s">
        <v>42</v>
      </c>
      <c r="T5989" s="1" t="s">
        <v>273</v>
      </c>
      <c r="U5989" s="1">
        <v>1</v>
      </c>
      <c r="V5989" s="5">
        <v>43685</v>
      </c>
      <c r="W5989" s="5">
        <v>43558</v>
      </c>
      <c r="X5989" s="1">
        <v>2549000</v>
      </c>
      <c r="Y5989" s="1">
        <v>2500000</v>
      </c>
      <c r="Z5989" s="5">
        <v>43560</v>
      </c>
      <c r="AA5989" s="1">
        <v>2545625</v>
      </c>
      <c r="AB5989" s="1" t="s">
        <v>4295</v>
      </c>
      <c r="AC5989" s="5">
        <v>43580</v>
      </c>
      <c r="AF5989" s="1">
        <v>10002</v>
      </c>
      <c r="AI5989" s="1" t="s">
        <v>246</v>
      </c>
      <c r="AJ5989" s="1">
        <v>2019</v>
      </c>
      <c r="AK5989" s="1" t="s">
        <v>46</v>
      </c>
      <c r="AL5989" s="1">
        <v>787</v>
      </c>
    </row>
    <row r="5990" spans="1:38" x14ac:dyDescent="0.2">
      <c r="A5990" s="2" t="str">
        <f>HYPERLINK("https://www.compass.com/listing/252-south-street-unit-46k-manhattan-ny-10002/287502510720050209/","252 South St, Unit 46K")</f>
        <v>252 South St, Unit 46K</v>
      </c>
      <c r="B5990" s="2" t="str">
        <f t="shared" si="992"/>
        <v>One Manhattan Square</v>
      </c>
      <c r="C5990" s="1" t="s">
        <v>47</v>
      </c>
      <c r="D5990" s="1" t="s">
        <v>41</v>
      </c>
      <c r="E5990" s="3">
        <v>2488530</v>
      </c>
      <c r="F5990" s="1">
        <v>2215.9661620658899</v>
      </c>
      <c r="G5990" s="1">
        <v>4</v>
      </c>
      <c r="H5990" s="1">
        <v>2</v>
      </c>
      <c r="I5990" s="1">
        <v>2</v>
      </c>
      <c r="J5990" s="1">
        <v>2</v>
      </c>
      <c r="K5990" s="1">
        <v>2</v>
      </c>
      <c r="M5990" s="4">
        <v>1123</v>
      </c>
      <c r="N5990" s="1">
        <v>1419</v>
      </c>
      <c r="O5990" s="1">
        <v>1441</v>
      </c>
      <c r="P5990" s="1">
        <v>22</v>
      </c>
      <c r="Q5990" s="1" t="s">
        <v>42</v>
      </c>
      <c r="S5990" s="1" t="s">
        <v>42</v>
      </c>
      <c r="T5990" s="1" t="s">
        <v>273</v>
      </c>
      <c r="U5990" s="1">
        <v>4</v>
      </c>
      <c r="V5990" s="5">
        <v>43653</v>
      </c>
      <c r="W5990" s="5">
        <v>43649</v>
      </c>
      <c r="X5990" s="1">
        <v>2587000</v>
      </c>
      <c r="Y5990" s="1">
        <v>2587000</v>
      </c>
      <c r="AA5990" s="1">
        <v>2488530</v>
      </c>
      <c r="AB5990" s="1" t="s">
        <v>4296</v>
      </c>
      <c r="AC5990" s="5">
        <v>43724</v>
      </c>
      <c r="AF5990" s="1">
        <v>10002</v>
      </c>
      <c r="AI5990" s="1" t="s">
        <v>246</v>
      </c>
      <c r="AJ5990" s="1">
        <v>2019</v>
      </c>
      <c r="AK5990" s="1" t="s">
        <v>46</v>
      </c>
      <c r="AL5990" s="1">
        <v>787</v>
      </c>
    </row>
    <row r="5991" spans="1:38" x14ac:dyDescent="0.2">
      <c r="A5991" s="2" t="str">
        <f>HYPERLINK("https://www.compass.com/listing/252-south-street-unit-10l-manhattan-ny-10002/95435175478986417/","252 South St, Unit 10L")</f>
        <v>252 South St, Unit 10L</v>
      </c>
      <c r="B5991" s="2" t="str">
        <f t="shared" si="992"/>
        <v>One Manhattan Square</v>
      </c>
      <c r="C5991" s="1" t="s">
        <v>47</v>
      </c>
      <c r="D5991" s="1" t="s">
        <v>41</v>
      </c>
      <c r="E5991" s="3">
        <v>2079193</v>
      </c>
      <c r="F5991" s="1">
        <v>1851.4630454140599</v>
      </c>
      <c r="G5991" s="1">
        <v>4</v>
      </c>
      <c r="H5991" s="1">
        <v>2</v>
      </c>
      <c r="I5991" s="1">
        <v>2</v>
      </c>
      <c r="J5991" s="1">
        <v>2</v>
      </c>
      <c r="K5991" s="1">
        <v>2</v>
      </c>
      <c r="M5991" s="4">
        <v>1123</v>
      </c>
      <c r="N5991" s="1">
        <v>1198</v>
      </c>
      <c r="O5991" s="1">
        <v>1218</v>
      </c>
      <c r="P5991" s="1">
        <v>20</v>
      </c>
      <c r="Q5991" s="1" t="s">
        <v>42</v>
      </c>
      <c r="S5991" s="1" t="s">
        <v>42</v>
      </c>
      <c r="T5991" s="1" t="s">
        <v>273</v>
      </c>
      <c r="U5991" s="1">
        <v>6</v>
      </c>
      <c r="V5991" s="5">
        <v>43683</v>
      </c>
      <c r="W5991" s="5">
        <v>43384</v>
      </c>
      <c r="X5991" s="1">
        <v>2038000</v>
      </c>
      <c r="Y5991" s="1">
        <v>2038000</v>
      </c>
      <c r="Z5991" s="5">
        <v>43390</v>
      </c>
      <c r="AA5991" s="1">
        <v>2079193</v>
      </c>
      <c r="AB5991" s="1" t="s">
        <v>4297</v>
      </c>
      <c r="AC5991" s="5">
        <v>43545</v>
      </c>
      <c r="AF5991" s="1">
        <v>10002</v>
      </c>
      <c r="AI5991" s="1" t="s">
        <v>246</v>
      </c>
      <c r="AJ5991" s="1">
        <v>2019</v>
      </c>
      <c r="AK5991" s="1" t="s">
        <v>46</v>
      </c>
      <c r="AL5991" s="1">
        <v>787</v>
      </c>
    </row>
    <row r="5992" spans="1:38" x14ac:dyDescent="0.2">
      <c r="A5992" s="2" t="str">
        <f>HYPERLINK("https://www.compass.com/listing/252-south-street-unit-34h-manhattan-ny-10002/29513508672595505/","252 South St, Unit 34H")</f>
        <v>252 South St, Unit 34H</v>
      </c>
      <c r="B5992" s="2" t="str">
        <f t="shared" si="992"/>
        <v>One Manhattan Square</v>
      </c>
      <c r="C5992" s="1" t="s">
        <v>47</v>
      </c>
      <c r="D5992" s="1" t="s">
        <v>41</v>
      </c>
      <c r="E5992" s="3">
        <v>1368455</v>
      </c>
      <c r="F5992" s="1">
        <v>1966.1709770114901</v>
      </c>
      <c r="G5992" s="1">
        <v>3</v>
      </c>
      <c r="H5992" s="1">
        <v>1</v>
      </c>
      <c r="I5992" s="1">
        <v>1</v>
      </c>
      <c r="J5992" s="1">
        <v>1</v>
      </c>
      <c r="K5992" s="1">
        <v>1</v>
      </c>
      <c r="M5992" s="1">
        <v>696</v>
      </c>
      <c r="N5992" s="1">
        <v>823</v>
      </c>
      <c r="O5992" s="1">
        <v>837</v>
      </c>
      <c r="P5992" s="1">
        <v>14</v>
      </c>
      <c r="Q5992" s="1" t="s">
        <v>42</v>
      </c>
      <c r="S5992" s="1" t="s">
        <v>42</v>
      </c>
      <c r="T5992" s="1" t="s">
        <v>273</v>
      </c>
      <c r="U5992" s="1">
        <v>10</v>
      </c>
      <c r="V5992" s="5">
        <v>43696</v>
      </c>
      <c r="W5992" s="5">
        <v>43238</v>
      </c>
      <c r="X5992" s="1">
        <v>1415000</v>
      </c>
      <c r="Y5992" s="1">
        <v>1415000</v>
      </c>
      <c r="Z5992" s="5">
        <v>43248</v>
      </c>
      <c r="AA5992" s="1">
        <v>1368455</v>
      </c>
      <c r="AB5992" s="1" t="s">
        <v>4298</v>
      </c>
      <c r="AC5992" s="5">
        <v>43644</v>
      </c>
      <c r="AF5992" s="1">
        <v>10002</v>
      </c>
      <c r="AI5992" s="1" t="s">
        <v>246</v>
      </c>
      <c r="AJ5992" s="1">
        <v>2019</v>
      </c>
      <c r="AK5992" s="1" t="s">
        <v>46</v>
      </c>
      <c r="AL5992" s="1">
        <v>787</v>
      </c>
    </row>
    <row r="5993" spans="1:38" x14ac:dyDescent="0.2">
      <c r="A5993" s="2" t="str">
        <f>HYPERLINK("https://www.compass.com/listing/252-south-street-unit-50h-manhattan-ny-10002/29513531237952049/","252 South St, Unit 50H")</f>
        <v>252 South St, Unit 50H</v>
      </c>
      <c r="B5993" s="2" t="str">
        <f t="shared" si="992"/>
        <v>One Manhattan Square</v>
      </c>
      <c r="C5993" s="1" t="s">
        <v>47</v>
      </c>
      <c r="D5993" s="1" t="s">
        <v>41</v>
      </c>
      <c r="E5993" s="3">
        <v>1419368</v>
      </c>
      <c r="F5993" s="1">
        <v>2039.3211206896499</v>
      </c>
      <c r="G5993" s="1">
        <v>3</v>
      </c>
      <c r="H5993" s="1">
        <v>1</v>
      </c>
      <c r="I5993" s="1">
        <v>1</v>
      </c>
      <c r="J5993" s="1">
        <v>1</v>
      </c>
      <c r="M5993" s="1">
        <v>696</v>
      </c>
      <c r="N5993" s="1">
        <v>885</v>
      </c>
      <c r="O5993" s="1">
        <v>900</v>
      </c>
      <c r="P5993" s="1">
        <v>15</v>
      </c>
      <c r="Q5993" s="1" t="s">
        <v>42</v>
      </c>
      <c r="S5993" s="1" t="s">
        <v>42</v>
      </c>
      <c r="T5993" s="1" t="s">
        <v>273</v>
      </c>
      <c r="U5993" s="1">
        <v>8</v>
      </c>
      <c r="V5993" s="5">
        <v>43780</v>
      </c>
      <c r="W5993" s="5">
        <v>42942</v>
      </c>
      <c r="X5993" s="1">
        <v>1479000</v>
      </c>
      <c r="Y5993" s="1">
        <v>1479000</v>
      </c>
      <c r="Z5993" s="5">
        <v>42950</v>
      </c>
      <c r="AA5993" s="1">
        <v>1419367.5</v>
      </c>
      <c r="AB5993" s="1" t="s">
        <v>4299</v>
      </c>
      <c r="AC5993" s="5">
        <v>43767</v>
      </c>
      <c r="AF5993" s="1">
        <v>10002</v>
      </c>
      <c r="AI5993" s="1" t="s">
        <v>246</v>
      </c>
      <c r="AJ5993" s="1">
        <v>2019</v>
      </c>
      <c r="AK5993" s="1" t="s">
        <v>46</v>
      </c>
      <c r="AL5993" s="1">
        <v>787</v>
      </c>
    </row>
    <row r="5994" spans="1:38" x14ac:dyDescent="0.2">
      <c r="A5994" s="2" t="str">
        <f>HYPERLINK("https://www.compass.com/listing/252-south-street-unit-8f-manhattan-ny-10002/66587047065825153/","252 South St, Unit 8F")</f>
        <v>252 South St, Unit 8F</v>
      </c>
      <c r="B5994" s="2" t="str">
        <f t="shared" si="992"/>
        <v>One Manhattan Square</v>
      </c>
      <c r="C5994" s="1" t="s">
        <v>47</v>
      </c>
      <c r="D5994" s="1" t="s">
        <v>41</v>
      </c>
      <c r="E5994" s="3">
        <v>1186282</v>
      </c>
      <c r="F5994" s="1">
        <v>1706.87989928057</v>
      </c>
      <c r="G5994" s="1">
        <v>3</v>
      </c>
      <c r="H5994" s="1">
        <v>1</v>
      </c>
      <c r="I5994" s="1">
        <v>1</v>
      </c>
      <c r="J5994" s="1">
        <v>1</v>
      </c>
      <c r="K5994" s="1">
        <v>1</v>
      </c>
      <c r="M5994" s="1">
        <v>695</v>
      </c>
      <c r="N5994" s="1">
        <v>734</v>
      </c>
      <c r="O5994" s="1">
        <v>746</v>
      </c>
      <c r="P5994" s="1">
        <v>12</v>
      </c>
      <c r="Q5994" s="1" t="s">
        <v>42</v>
      </c>
      <c r="S5994" s="1" t="s">
        <v>42</v>
      </c>
      <c r="T5994" s="1" t="s">
        <v>273</v>
      </c>
      <c r="U5994" s="1">
        <v>9</v>
      </c>
      <c r="V5994" s="5">
        <v>43857</v>
      </c>
      <c r="W5994" s="5">
        <v>43344</v>
      </c>
      <c r="X5994" s="1">
        <v>1197000</v>
      </c>
      <c r="Y5994" s="1">
        <v>1197000</v>
      </c>
      <c r="Z5994" s="5">
        <v>43353</v>
      </c>
      <c r="AA5994" s="1">
        <v>1186281.53</v>
      </c>
      <c r="AB5994" s="1" t="s">
        <v>4300</v>
      </c>
      <c r="AC5994" s="5">
        <v>43818</v>
      </c>
      <c r="AF5994" s="1">
        <v>10002</v>
      </c>
      <c r="AI5994" s="1" t="s">
        <v>246</v>
      </c>
      <c r="AJ5994" s="1">
        <v>2019</v>
      </c>
      <c r="AK5994" s="1" t="s">
        <v>46</v>
      </c>
      <c r="AL5994" s="1">
        <v>787</v>
      </c>
    </row>
    <row r="5995" spans="1:38" x14ac:dyDescent="0.2">
      <c r="A5995" s="2" t="str">
        <f>HYPERLINK("https://www.compass.com/listing/252-south-street-unit-37f-manhattan-ny-10002/29513531808326721/","252 South St, Unit 37F")</f>
        <v>252 South St, Unit 37F</v>
      </c>
      <c r="B5995" s="2" t="str">
        <f t="shared" si="992"/>
        <v>One Manhattan Square</v>
      </c>
      <c r="C5995" s="1" t="s">
        <v>47</v>
      </c>
      <c r="D5995" s="1" t="s">
        <v>41</v>
      </c>
      <c r="E5995" s="3">
        <v>1345952</v>
      </c>
      <c r="F5995" s="1">
        <v>1864.1995567867</v>
      </c>
      <c r="G5995" s="1">
        <v>3</v>
      </c>
      <c r="H5995" s="1">
        <v>1</v>
      </c>
      <c r="I5995" s="1">
        <v>1</v>
      </c>
      <c r="J5995" s="1">
        <v>1</v>
      </c>
      <c r="M5995" s="1">
        <v>722</v>
      </c>
      <c r="N5995" s="1">
        <v>865</v>
      </c>
      <c r="O5995" s="1">
        <v>880</v>
      </c>
      <c r="P5995" s="1">
        <v>15</v>
      </c>
      <c r="Q5995" s="1" t="s">
        <v>42</v>
      </c>
      <c r="S5995" s="1" t="s">
        <v>42</v>
      </c>
      <c r="T5995" s="1" t="s">
        <v>273</v>
      </c>
      <c r="U5995" s="1">
        <v>7</v>
      </c>
      <c r="V5995" s="5">
        <v>43938</v>
      </c>
      <c r="W5995" s="5">
        <v>42937</v>
      </c>
      <c r="X5995" s="1">
        <v>1380000</v>
      </c>
      <c r="Y5995" s="1">
        <v>1380000</v>
      </c>
      <c r="Z5995" s="5">
        <v>42944</v>
      </c>
      <c r="AA5995" s="1">
        <v>1345952.08</v>
      </c>
      <c r="AB5995" s="1" t="s">
        <v>4301</v>
      </c>
      <c r="AC5995" s="5">
        <v>43692</v>
      </c>
      <c r="AF5995" s="1">
        <v>10002</v>
      </c>
      <c r="AI5995" s="1" t="s">
        <v>246</v>
      </c>
      <c r="AJ5995" s="1">
        <v>2019</v>
      </c>
      <c r="AK5995" s="1" t="s">
        <v>46</v>
      </c>
      <c r="AL5995" s="1">
        <v>787</v>
      </c>
    </row>
    <row r="5996" spans="1:38" x14ac:dyDescent="0.2">
      <c r="A5996" s="2" t="str">
        <f>HYPERLINK("https://www.compass.com/listing/252-south-street-unit-26j-manhattan-ny-10002/29513536833153921/","252 South St, Unit 26J")</f>
        <v>252 South St, Unit 26J</v>
      </c>
      <c r="B5996" s="2" t="str">
        <f t="shared" si="992"/>
        <v>One Manhattan Square</v>
      </c>
      <c r="C5996" s="1" t="s">
        <v>47</v>
      </c>
      <c r="D5996" s="1" t="s">
        <v>41</v>
      </c>
      <c r="E5996" s="3">
        <v>1340361</v>
      </c>
      <c r="F5996" s="1">
        <v>1925.80603448275</v>
      </c>
      <c r="G5996" s="1">
        <v>3</v>
      </c>
      <c r="H5996" s="1">
        <v>1</v>
      </c>
      <c r="I5996" s="1">
        <v>1</v>
      </c>
      <c r="J5996" s="1">
        <v>1</v>
      </c>
      <c r="M5996" s="1">
        <v>696</v>
      </c>
      <c r="N5996" s="1">
        <v>797</v>
      </c>
      <c r="O5996" s="1">
        <v>810</v>
      </c>
      <c r="P5996" s="1">
        <v>13</v>
      </c>
      <c r="Q5996" s="1" t="s">
        <v>42</v>
      </c>
      <c r="S5996" s="1" t="s">
        <v>42</v>
      </c>
      <c r="T5996" s="1" t="s">
        <v>273</v>
      </c>
      <c r="U5996" s="1">
        <v>5</v>
      </c>
      <c r="V5996" s="5">
        <v>43696</v>
      </c>
      <c r="W5996" s="5">
        <v>42987</v>
      </c>
      <c r="X5996" s="1">
        <v>1353000</v>
      </c>
      <c r="Y5996" s="1">
        <v>1353000</v>
      </c>
      <c r="Z5996" s="5">
        <v>42992</v>
      </c>
      <c r="AA5996" s="1">
        <v>1340361.8400000001</v>
      </c>
      <c r="AB5996" s="1" t="s">
        <v>4302</v>
      </c>
      <c r="AC5996" s="5">
        <v>43616</v>
      </c>
      <c r="AF5996" s="1">
        <v>10002</v>
      </c>
      <c r="AI5996" s="1" t="s">
        <v>246</v>
      </c>
      <c r="AJ5996" s="1">
        <v>2019</v>
      </c>
      <c r="AK5996" s="1" t="s">
        <v>46</v>
      </c>
      <c r="AL5996" s="1">
        <v>787</v>
      </c>
    </row>
    <row r="5997" spans="1:38" x14ac:dyDescent="0.2">
      <c r="A5997" s="2" t="str">
        <f>HYPERLINK("https://www.compass.com/listing/252-south-street-unit-52j-manhattan-ny-10002/713909305156546457/","252 South St, Unit 52J")</f>
        <v>252 South St, Unit 52J</v>
      </c>
      <c r="B5997" s="2" t="str">
        <f t="shared" si="992"/>
        <v>One Manhattan Square</v>
      </c>
      <c r="C5997" s="1" t="s">
        <v>47</v>
      </c>
      <c r="D5997" s="1" t="s">
        <v>41</v>
      </c>
      <c r="E5997" s="3">
        <v>1230000</v>
      </c>
      <c r="F5997" s="1">
        <v>1769.7841726618699</v>
      </c>
      <c r="G5997" s="1">
        <v>3</v>
      </c>
      <c r="H5997" s="1">
        <v>1</v>
      </c>
      <c r="I5997" s="1">
        <v>1</v>
      </c>
      <c r="J5997" s="1">
        <v>1</v>
      </c>
      <c r="K5997" s="1">
        <v>1</v>
      </c>
      <c r="M5997" s="1">
        <v>695</v>
      </c>
      <c r="N5997" s="1">
        <v>904.48</v>
      </c>
      <c r="O5997" s="1">
        <v>918.48</v>
      </c>
      <c r="P5997" s="1">
        <v>14</v>
      </c>
      <c r="Q5997" s="1" t="s">
        <v>129</v>
      </c>
      <c r="S5997" s="1" t="s">
        <v>42</v>
      </c>
      <c r="T5997" s="1" t="s">
        <v>273</v>
      </c>
      <c r="U5997" s="1">
        <v>70</v>
      </c>
      <c r="V5997" s="5">
        <v>44334</v>
      </c>
      <c r="W5997" s="5">
        <v>44236</v>
      </c>
      <c r="X5997" s="1">
        <v>1398000</v>
      </c>
      <c r="Y5997" s="1">
        <v>1398000</v>
      </c>
      <c r="AA5997" s="1">
        <v>1230000</v>
      </c>
      <c r="AB5997" s="1" t="s">
        <v>4231</v>
      </c>
      <c r="AC5997" s="5">
        <v>44307</v>
      </c>
      <c r="AF5997" s="1">
        <v>10002</v>
      </c>
      <c r="AI5997" s="1" t="s">
        <v>191</v>
      </c>
      <c r="AJ5997" s="1">
        <v>2019</v>
      </c>
      <c r="AK5997" s="1" t="s">
        <v>46</v>
      </c>
      <c r="AL5997" s="1">
        <v>787</v>
      </c>
    </row>
    <row r="5998" spans="1:38" x14ac:dyDescent="0.2">
      <c r="A5998" s="2" t="str">
        <f>HYPERLINK("https://www.compass.com/listing/252-south-street-unit-41l-manhattan-ny-10002/29513508991398193/","252 South St, Unit 41L")</f>
        <v>252 South St, Unit 41L</v>
      </c>
      <c r="B5998" s="2" t="str">
        <f t="shared" si="992"/>
        <v>One Manhattan Square</v>
      </c>
      <c r="C5998" s="1" t="s">
        <v>47</v>
      </c>
      <c r="D5998" s="1" t="s">
        <v>41</v>
      </c>
      <c r="E5998" s="3">
        <v>2631085</v>
      </c>
      <c r="F5998" s="1">
        <v>2342.9073909171798</v>
      </c>
      <c r="G5998" s="1">
        <v>4</v>
      </c>
      <c r="H5998" s="1">
        <v>2</v>
      </c>
      <c r="I5998" s="1">
        <v>2</v>
      </c>
      <c r="J5998" s="1">
        <v>2</v>
      </c>
      <c r="K5998" s="1">
        <v>2</v>
      </c>
      <c r="M5998" s="4">
        <v>1123</v>
      </c>
      <c r="N5998" s="1">
        <v>1394.72</v>
      </c>
      <c r="O5998" s="1">
        <v>1416.74</v>
      </c>
      <c r="P5998" s="1">
        <v>22</v>
      </c>
      <c r="Q5998" s="1" t="s">
        <v>42</v>
      </c>
      <c r="S5998" s="1" t="s">
        <v>42</v>
      </c>
      <c r="T5998" s="1" t="s">
        <v>273</v>
      </c>
      <c r="U5998" s="1">
        <v>20</v>
      </c>
      <c r="V5998" s="5">
        <v>43759</v>
      </c>
      <c r="W5998" s="5">
        <v>43258</v>
      </c>
      <c r="X5998" s="1">
        <v>2680000</v>
      </c>
      <c r="Y5998" s="1">
        <v>2680000</v>
      </c>
      <c r="Z5998" s="5">
        <v>43278</v>
      </c>
      <c r="AA5998" s="1">
        <v>2631085</v>
      </c>
      <c r="AB5998" s="1" t="s">
        <v>4303</v>
      </c>
      <c r="AC5998" s="5">
        <v>43746</v>
      </c>
      <c r="AF5998" s="1">
        <v>10002</v>
      </c>
      <c r="AI5998" s="1" t="s">
        <v>246</v>
      </c>
      <c r="AJ5998" s="1">
        <v>2019</v>
      </c>
      <c r="AK5998" s="1" t="s">
        <v>46</v>
      </c>
      <c r="AL5998" s="1">
        <v>787</v>
      </c>
    </row>
    <row r="5999" spans="1:38" x14ac:dyDescent="0.2">
      <c r="A5999" s="2" t="str">
        <f>HYPERLINK("https://www.compass.com/listing/252-south-street-unit-10j-manhattan-ny-10002/29513533620266113/","252 South St, Unit 10J")</f>
        <v>252 South St, Unit 10J</v>
      </c>
      <c r="B5999" s="2" t="str">
        <f t="shared" si="992"/>
        <v>One Manhattan Square</v>
      </c>
      <c r="C5999" s="1" t="s">
        <v>47</v>
      </c>
      <c r="D5999" s="1" t="s">
        <v>41</v>
      </c>
      <c r="E5999" s="3">
        <v>1221421</v>
      </c>
      <c r="F5999" s="1">
        <v>1754.91566091954</v>
      </c>
      <c r="G5999" s="1">
        <v>3</v>
      </c>
      <c r="H5999" s="1">
        <v>1</v>
      </c>
      <c r="I5999" s="1">
        <v>1</v>
      </c>
      <c r="J5999" s="1">
        <v>1</v>
      </c>
      <c r="M5999" s="1">
        <v>696</v>
      </c>
      <c r="N5999" s="1">
        <v>742</v>
      </c>
      <c r="O5999" s="1">
        <v>755</v>
      </c>
      <c r="P5999" s="1">
        <v>13</v>
      </c>
      <c r="Q5999" s="1" t="s">
        <v>42</v>
      </c>
      <c r="S5999" s="1" t="s">
        <v>42</v>
      </c>
      <c r="T5999" s="1" t="s">
        <v>273</v>
      </c>
      <c r="U5999" s="1">
        <v>2</v>
      </c>
      <c r="V5999" s="5">
        <v>43683</v>
      </c>
      <c r="W5999" s="5">
        <v>43039</v>
      </c>
      <c r="X5999" s="1">
        <v>1220000</v>
      </c>
      <c r="Y5999" s="1">
        <v>1220000</v>
      </c>
      <c r="Z5999" s="5">
        <v>43041</v>
      </c>
      <c r="AA5999" s="1">
        <v>1221421.3</v>
      </c>
      <c r="AB5999" s="1" t="s">
        <v>4304</v>
      </c>
      <c r="AC5999" s="5">
        <v>43579</v>
      </c>
      <c r="AF5999" s="1">
        <v>10002</v>
      </c>
      <c r="AI5999" s="1" t="s">
        <v>246</v>
      </c>
      <c r="AJ5999" s="1">
        <v>2019</v>
      </c>
      <c r="AK5999" s="1" t="s">
        <v>46</v>
      </c>
      <c r="AL5999" s="1">
        <v>787</v>
      </c>
    </row>
    <row r="6000" spans="1:38" x14ac:dyDescent="0.2">
      <c r="A6000" s="2" t="str">
        <f>HYPERLINK("https://www.compass.com/listing/252-south-street-unit-12g-manhattan-ny-10002/29513536187266625/","252 South St, Unit 12G")</f>
        <v>252 South St, Unit 12G</v>
      </c>
      <c r="B6000" s="2" t="str">
        <f t="shared" si="992"/>
        <v>One Manhattan Square</v>
      </c>
      <c r="C6000" s="1" t="s">
        <v>47</v>
      </c>
      <c r="D6000" s="1" t="s">
        <v>41</v>
      </c>
      <c r="E6000" s="3">
        <v>1213638</v>
      </c>
      <c r="F6000" s="1">
        <v>1678.61410788381</v>
      </c>
      <c r="G6000" s="1">
        <v>3</v>
      </c>
      <c r="H6000" s="1">
        <v>1</v>
      </c>
      <c r="I6000" s="1">
        <v>1</v>
      </c>
      <c r="J6000" s="1">
        <v>1</v>
      </c>
      <c r="M6000" s="1">
        <v>723</v>
      </c>
      <c r="N6000" s="1">
        <v>779</v>
      </c>
      <c r="O6000" s="1">
        <v>792</v>
      </c>
      <c r="P6000" s="1">
        <v>13</v>
      </c>
      <c r="Q6000" s="1" t="s">
        <v>42</v>
      </c>
      <c r="S6000" s="1" t="s">
        <v>42</v>
      </c>
      <c r="T6000" s="1" t="s">
        <v>273</v>
      </c>
      <c r="U6000" s="1">
        <v>2</v>
      </c>
      <c r="V6000" s="5">
        <v>43696</v>
      </c>
      <c r="W6000" s="5">
        <v>43005</v>
      </c>
      <c r="X6000" s="1">
        <v>1192000</v>
      </c>
      <c r="Y6000" s="1">
        <v>1192000</v>
      </c>
      <c r="Z6000" s="5">
        <v>43007</v>
      </c>
      <c r="AA6000" s="1">
        <v>1213638.6499999999</v>
      </c>
      <c r="AB6000" s="1" t="s">
        <v>4305</v>
      </c>
      <c r="AC6000" s="5">
        <v>43550</v>
      </c>
      <c r="AF6000" s="1">
        <v>10002</v>
      </c>
      <c r="AI6000" s="1" t="s">
        <v>246</v>
      </c>
      <c r="AJ6000" s="1">
        <v>2019</v>
      </c>
      <c r="AK6000" s="1" t="s">
        <v>46</v>
      </c>
      <c r="AL6000" s="1">
        <v>787</v>
      </c>
    </row>
    <row r="6001" spans="1:38" x14ac:dyDescent="0.2">
      <c r="A6001" s="2" t="str">
        <f>HYPERLINK("https://www.compass.com/listing/252-south-street-unit-34f-manhattan-ny-10002/243233196098033153/","252 South St, Unit 34F")</f>
        <v>252 South St, Unit 34F</v>
      </c>
      <c r="B6001" s="2" t="str">
        <f t="shared" si="992"/>
        <v>One Manhattan Square</v>
      </c>
      <c r="C6001" s="1" t="s">
        <v>47</v>
      </c>
      <c r="D6001" s="1" t="s">
        <v>41</v>
      </c>
      <c r="E6001" s="3">
        <v>1365782</v>
      </c>
      <c r="F6001" s="1">
        <v>1891.66423822714</v>
      </c>
      <c r="G6001" s="1">
        <v>3</v>
      </c>
      <c r="H6001" s="1">
        <v>1</v>
      </c>
      <c r="I6001" s="1">
        <v>1</v>
      </c>
      <c r="J6001" s="1">
        <v>1</v>
      </c>
      <c r="K6001" s="1">
        <v>1</v>
      </c>
      <c r="M6001" s="1">
        <v>722</v>
      </c>
      <c r="N6001" s="1">
        <v>866</v>
      </c>
      <c r="O6001" s="1">
        <v>880</v>
      </c>
      <c r="P6001" s="1">
        <v>14</v>
      </c>
      <c r="Q6001" s="1" t="s">
        <v>42</v>
      </c>
      <c r="S6001" s="1" t="s">
        <v>42</v>
      </c>
      <c r="T6001" s="1" t="s">
        <v>273</v>
      </c>
      <c r="U6001" s="1">
        <v>29</v>
      </c>
      <c r="V6001" s="5">
        <v>43616</v>
      </c>
      <c r="W6001" s="5">
        <v>43587</v>
      </c>
      <c r="X6001" s="1">
        <v>1392000</v>
      </c>
      <c r="Y6001" s="1">
        <v>1392000</v>
      </c>
      <c r="AA6001" s="1">
        <v>1365781.58</v>
      </c>
      <c r="AB6001" s="1" t="s">
        <v>4306</v>
      </c>
      <c r="AC6001" s="5">
        <v>43691</v>
      </c>
      <c r="AF6001" s="1">
        <v>10002</v>
      </c>
      <c r="AI6001" s="1" t="s">
        <v>246</v>
      </c>
      <c r="AJ6001" s="1">
        <v>2019</v>
      </c>
      <c r="AK6001" s="1" t="s">
        <v>46</v>
      </c>
      <c r="AL6001" s="1">
        <v>787</v>
      </c>
    </row>
    <row r="6002" spans="1:38" x14ac:dyDescent="0.2">
      <c r="A6002" s="2" t="str">
        <f>HYPERLINK("https://www.compass.com/listing/252-south-street-unit-41h-manhattan-ny-10002/404240455077208321/","252 South St, Unit 41H")</f>
        <v>252 South St, Unit 41H</v>
      </c>
      <c r="B6002" s="2" t="str">
        <f t="shared" si="992"/>
        <v>One Manhattan Square</v>
      </c>
      <c r="C6002" s="1" t="s">
        <v>47</v>
      </c>
      <c r="D6002" s="1" t="s">
        <v>41</v>
      </c>
      <c r="E6002" s="3">
        <v>1413691</v>
      </c>
      <c r="F6002" s="1">
        <v>2031.1652298850499</v>
      </c>
      <c r="G6002" s="1">
        <v>3</v>
      </c>
      <c r="H6002" s="1">
        <v>1</v>
      </c>
      <c r="I6002" s="1">
        <v>1</v>
      </c>
      <c r="J6002" s="1">
        <v>1</v>
      </c>
      <c r="K6002" s="1">
        <v>1</v>
      </c>
      <c r="M6002" s="1">
        <v>696</v>
      </c>
      <c r="N6002" s="1">
        <v>864.4</v>
      </c>
      <c r="O6002" s="1">
        <v>878.05</v>
      </c>
      <c r="P6002" s="1">
        <v>13.6666666666666</v>
      </c>
      <c r="Q6002" s="1" t="s">
        <v>42</v>
      </c>
      <c r="S6002" s="1" t="s">
        <v>42</v>
      </c>
      <c r="T6002" s="1" t="s">
        <v>273</v>
      </c>
      <c r="U6002" s="1">
        <v>1</v>
      </c>
      <c r="V6002" s="5">
        <v>43879</v>
      </c>
      <c r="W6002" s="5">
        <v>43810</v>
      </c>
      <c r="X6002" s="1">
        <v>1465000</v>
      </c>
      <c r="Y6002" s="1">
        <v>1465000</v>
      </c>
      <c r="Z6002" s="5">
        <v>43811</v>
      </c>
      <c r="AA6002" s="1">
        <v>1413691</v>
      </c>
      <c r="AB6002" s="1" t="s">
        <v>4307</v>
      </c>
      <c r="AC6002" s="5">
        <v>43868</v>
      </c>
      <c r="AF6002" s="1">
        <v>10002</v>
      </c>
      <c r="AI6002" s="1" t="s">
        <v>246</v>
      </c>
      <c r="AJ6002" s="1">
        <v>2019</v>
      </c>
      <c r="AK6002" s="1" t="s">
        <v>46</v>
      </c>
      <c r="AL6002" s="1">
        <v>787</v>
      </c>
    </row>
    <row r="6003" spans="1:38" x14ac:dyDescent="0.2">
      <c r="A6003" s="2" t="str">
        <f>HYPERLINK("https://www.compass.com/listing/252-south-street-unit-36f-manhattan-ny-10002/29513522186592913/","252 South St, Unit 36F")</f>
        <v>252 South St, Unit 36F</v>
      </c>
      <c r="B6003" s="2" t="str">
        <f t="shared" si="992"/>
        <v>One Manhattan Square</v>
      </c>
      <c r="C6003" s="1" t="s">
        <v>47</v>
      </c>
      <c r="D6003" s="1" t="s">
        <v>41</v>
      </c>
      <c r="E6003" s="3">
        <v>1356342</v>
      </c>
      <c r="F6003" s="1">
        <v>1878.59002770083</v>
      </c>
      <c r="G6003" s="1">
        <v>3</v>
      </c>
      <c r="H6003" s="1">
        <v>1</v>
      </c>
      <c r="I6003" s="1">
        <v>1</v>
      </c>
      <c r="J6003" s="1">
        <v>1</v>
      </c>
      <c r="M6003" s="1">
        <v>722</v>
      </c>
      <c r="N6003" s="1">
        <v>861</v>
      </c>
      <c r="O6003" s="1">
        <v>876</v>
      </c>
      <c r="P6003" s="1">
        <v>15</v>
      </c>
      <c r="Q6003" s="1" t="s">
        <v>42</v>
      </c>
      <c r="S6003" s="1" t="s">
        <v>42</v>
      </c>
      <c r="T6003" s="1" t="s">
        <v>273</v>
      </c>
      <c r="U6003" s="1">
        <v>6</v>
      </c>
      <c r="V6003" s="5">
        <v>43696</v>
      </c>
      <c r="W6003" s="5">
        <v>43082</v>
      </c>
      <c r="X6003" s="1">
        <v>1373000</v>
      </c>
      <c r="Y6003" s="1">
        <v>1373000</v>
      </c>
      <c r="Z6003" s="5">
        <v>43088</v>
      </c>
      <c r="AA6003" s="1">
        <v>1356342</v>
      </c>
      <c r="AB6003" s="1" t="s">
        <v>4308</v>
      </c>
      <c r="AC6003" s="5">
        <v>43643</v>
      </c>
      <c r="AF6003" s="1">
        <v>10002</v>
      </c>
      <c r="AI6003" s="1" t="s">
        <v>246</v>
      </c>
      <c r="AJ6003" s="1">
        <v>2019</v>
      </c>
      <c r="AK6003" s="1" t="s">
        <v>46</v>
      </c>
      <c r="AL6003" s="1">
        <v>787</v>
      </c>
    </row>
    <row r="6004" spans="1:38" x14ac:dyDescent="0.2">
      <c r="A6004" s="2" t="str">
        <f>HYPERLINK("https://www.compass.com/listing/252-south-street-unit-50e-manhattan-ny-10002/157025215287785697/","252 South St, Unit 50E")</f>
        <v>252 South St, Unit 50E</v>
      </c>
      <c r="B6004" s="2" t="str">
        <f t="shared" si="992"/>
        <v>One Manhattan Square</v>
      </c>
      <c r="C6004" s="1" t="s">
        <v>47</v>
      </c>
      <c r="D6004" s="1" t="s">
        <v>41</v>
      </c>
      <c r="E6004" s="3">
        <v>1455923</v>
      </c>
      <c r="F6004" s="1">
        <v>2097.8717579250701</v>
      </c>
      <c r="G6004" s="1">
        <v>3</v>
      </c>
      <c r="H6004" s="1">
        <v>1</v>
      </c>
      <c r="I6004" s="1">
        <v>1</v>
      </c>
      <c r="J6004" s="1">
        <v>1</v>
      </c>
      <c r="K6004" s="1">
        <v>1</v>
      </c>
      <c r="M6004" s="1">
        <v>694</v>
      </c>
      <c r="N6004" s="1">
        <v>882</v>
      </c>
      <c r="O6004" s="1">
        <v>897</v>
      </c>
      <c r="P6004" s="1">
        <v>15</v>
      </c>
      <c r="Q6004" s="1" t="s">
        <v>42</v>
      </c>
      <c r="S6004" s="1" t="s">
        <v>42</v>
      </c>
      <c r="T6004" s="1" t="s">
        <v>273</v>
      </c>
      <c r="U6004" s="1">
        <v>1</v>
      </c>
      <c r="V6004" s="5">
        <v>43663</v>
      </c>
      <c r="W6004" s="5">
        <v>43469</v>
      </c>
      <c r="X6004" s="1">
        <v>1470000</v>
      </c>
      <c r="Y6004" s="1">
        <v>1470000</v>
      </c>
      <c r="Z6004" s="5">
        <v>43470</v>
      </c>
      <c r="AA6004" s="1">
        <v>1455923</v>
      </c>
      <c r="AB6004" s="1" t="s">
        <v>4309</v>
      </c>
      <c r="AC6004" s="5">
        <v>43516</v>
      </c>
      <c r="AF6004" s="1">
        <v>10002</v>
      </c>
      <c r="AI6004" s="1" t="s">
        <v>246</v>
      </c>
      <c r="AJ6004" s="1">
        <v>2019</v>
      </c>
      <c r="AK6004" s="1" t="s">
        <v>46</v>
      </c>
      <c r="AL6004" s="1">
        <v>787</v>
      </c>
    </row>
    <row r="6005" spans="1:38" x14ac:dyDescent="0.2">
      <c r="A6005" s="2" t="str">
        <f>HYPERLINK("https://www.compass.com/listing/252-south-street-unit-48h-manhattan-ny-10002/223080776894365857/","252 South St, Unit 48H")</f>
        <v>252 South St, Unit 48H</v>
      </c>
      <c r="B6005" s="2" t="str">
        <f t="shared" si="992"/>
        <v>One Manhattan Square</v>
      </c>
      <c r="C6005" s="1" t="s">
        <v>47</v>
      </c>
      <c r="D6005" s="1" t="s">
        <v>41</v>
      </c>
      <c r="E6005" s="3">
        <v>1455049</v>
      </c>
      <c r="F6005" s="1">
        <v>2090.5873850574699</v>
      </c>
      <c r="G6005" s="1">
        <v>3</v>
      </c>
      <c r="H6005" s="1">
        <v>1</v>
      </c>
      <c r="I6005" s="1">
        <v>1</v>
      </c>
      <c r="J6005" s="1">
        <v>1</v>
      </c>
      <c r="K6005" s="1">
        <v>1</v>
      </c>
      <c r="M6005" s="1">
        <v>696</v>
      </c>
      <c r="N6005" s="1">
        <v>874</v>
      </c>
      <c r="O6005" s="1">
        <v>889</v>
      </c>
      <c r="P6005" s="1">
        <v>15</v>
      </c>
      <c r="Q6005" s="1" t="s">
        <v>42</v>
      </c>
      <c r="S6005" s="1" t="s">
        <v>42</v>
      </c>
      <c r="T6005" s="1" t="s">
        <v>273</v>
      </c>
      <c r="U6005" s="1">
        <v>28</v>
      </c>
      <c r="V6005" s="5">
        <v>43588</v>
      </c>
      <c r="W6005" s="5">
        <v>43560</v>
      </c>
      <c r="X6005" s="1">
        <v>14900000</v>
      </c>
      <c r="Y6005" s="1">
        <v>1490000</v>
      </c>
      <c r="AA6005" s="1">
        <v>1455048.82</v>
      </c>
      <c r="AB6005" s="1" t="s">
        <v>4310</v>
      </c>
      <c r="AC6005" s="5">
        <v>43712</v>
      </c>
      <c r="AF6005" s="1">
        <v>10002</v>
      </c>
      <c r="AI6005" s="1" t="s">
        <v>246</v>
      </c>
      <c r="AJ6005" s="1">
        <v>2019</v>
      </c>
      <c r="AK6005" s="1" t="s">
        <v>46</v>
      </c>
      <c r="AL6005" s="1">
        <v>787</v>
      </c>
    </row>
    <row r="6006" spans="1:38" x14ac:dyDescent="0.2">
      <c r="A6006" s="2" t="str">
        <f>HYPERLINK("https://www.compass.com/listing/252-south-street-unit-36e-manhattan-ny-10002/100493077235415601/","252 South St, Unit 36E")</f>
        <v>252 South St, Unit 36E</v>
      </c>
      <c r="B6006" s="2" t="str">
        <f t="shared" si="992"/>
        <v>One Manhattan Square</v>
      </c>
      <c r="C6006" s="1" t="s">
        <v>47</v>
      </c>
      <c r="D6006" s="1" t="s">
        <v>41</v>
      </c>
      <c r="E6006" s="3">
        <v>1397871</v>
      </c>
      <c r="F6006" s="1">
        <v>2014.2228386167101</v>
      </c>
      <c r="G6006" s="1">
        <v>3</v>
      </c>
      <c r="H6006" s="1">
        <v>1</v>
      </c>
      <c r="I6006" s="1">
        <v>1</v>
      </c>
      <c r="J6006" s="1">
        <v>1</v>
      </c>
      <c r="K6006" s="1">
        <v>1</v>
      </c>
      <c r="M6006" s="1">
        <v>694</v>
      </c>
      <c r="N6006" s="1">
        <v>828</v>
      </c>
      <c r="O6006" s="1">
        <v>842</v>
      </c>
      <c r="P6006" s="1">
        <v>14</v>
      </c>
      <c r="Q6006" s="1" t="s">
        <v>42</v>
      </c>
      <c r="S6006" s="1" t="s">
        <v>42</v>
      </c>
      <c r="T6006" s="1" t="s">
        <v>273</v>
      </c>
      <c r="U6006" s="1">
        <v>3</v>
      </c>
      <c r="V6006" s="5">
        <v>43724</v>
      </c>
      <c r="W6006" s="5">
        <v>43396</v>
      </c>
      <c r="X6006" s="1">
        <v>1399000</v>
      </c>
      <c r="Y6006" s="1">
        <v>1399000</v>
      </c>
      <c r="Z6006" s="5">
        <v>43399</v>
      </c>
      <c r="AA6006" s="1">
        <v>1397870.65</v>
      </c>
      <c r="AB6006" s="1" t="s">
        <v>4311</v>
      </c>
      <c r="AC6006" s="5">
        <v>43712</v>
      </c>
      <c r="AF6006" s="1">
        <v>10002</v>
      </c>
      <c r="AI6006" s="1" t="s">
        <v>246</v>
      </c>
      <c r="AJ6006" s="1">
        <v>2019</v>
      </c>
      <c r="AK6006" s="1" t="s">
        <v>46</v>
      </c>
      <c r="AL6006" s="1">
        <v>787</v>
      </c>
    </row>
    <row r="6007" spans="1:38" x14ac:dyDescent="0.2">
      <c r="A6007" s="2" t="str">
        <f>HYPERLINK("https://www.compass.com/listing/252-south-street-unit-34j-manhattan-ny-10002/157033392024692849/","252 South St, Unit 34J")</f>
        <v>252 South St, Unit 34J</v>
      </c>
      <c r="B6007" s="2" t="str">
        <f t="shared" si="992"/>
        <v>One Manhattan Square</v>
      </c>
      <c r="C6007" s="1" t="s">
        <v>47</v>
      </c>
      <c r="D6007" s="1" t="s">
        <v>41</v>
      </c>
      <c r="E6007" s="3">
        <v>1418328</v>
      </c>
      <c r="F6007" s="1">
        <v>2040.75971223021</v>
      </c>
      <c r="G6007" s="1">
        <v>3</v>
      </c>
      <c r="H6007" s="1">
        <v>1</v>
      </c>
      <c r="I6007" s="1">
        <v>1</v>
      </c>
      <c r="J6007" s="1">
        <v>1</v>
      </c>
      <c r="K6007" s="1">
        <v>1</v>
      </c>
      <c r="M6007" s="1">
        <v>695</v>
      </c>
      <c r="N6007" s="1">
        <v>822</v>
      </c>
      <c r="O6007" s="1">
        <v>836</v>
      </c>
      <c r="P6007" s="1">
        <v>14</v>
      </c>
      <c r="Q6007" s="1" t="s">
        <v>42</v>
      </c>
      <c r="S6007" s="1" t="s">
        <v>42</v>
      </c>
      <c r="T6007" s="1" t="s">
        <v>273</v>
      </c>
      <c r="V6007" s="5">
        <v>43684</v>
      </c>
      <c r="W6007" s="5">
        <v>43468</v>
      </c>
      <c r="X6007" s="1">
        <v>1430000</v>
      </c>
      <c r="Y6007" s="1">
        <v>1430000</v>
      </c>
      <c r="Z6007" s="5">
        <v>43469</v>
      </c>
      <c r="AA6007" s="1">
        <v>1418328</v>
      </c>
      <c r="AB6007" s="1" t="s">
        <v>4312</v>
      </c>
      <c r="AC6007" s="5">
        <v>43607</v>
      </c>
      <c r="AF6007" s="1">
        <v>10002</v>
      </c>
      <c r="AI6007" s="1" t="s">
        <v>246</v>
      </c>
      <c r="AJ6007" s="1">
        <v>2019</v>
      </c>
      <c r="AK6007" s="1" t="s">
        <v>46</v>
      </c>
      <c r="AL6007" s="1">
        <v>787</v>
      </c>
    </row>
    <row r="6008" spans="1:38" x14ac:dyDescent="0.2">
      <c r="A6008" s="2" t="str">
        <f>HYPERLINK("https://www.compass.com/listing/252-south-street-unit-10p-manhattan-ny-10002/29513533326751153/","252 South St, Unit 10P")</f>
        <v>252 South St, Unit 10P</v>
      </c>
      <c r="B6008" s="2" t="str">
        <f t="shared" si="992"/>
        <v>One Manhattan Square</v>
      </c>
      <c r="C6008" s="1" t="s">
        <v>47</v>
      </c>
      <c r="D6008" s="1" t="s">
        <v>41</v>
      </c>
      <c r="E6008" s="3">
        <v>1395134</v>
      </c>
      <c r="F6008" s="1">
        <v>1929.6459197786901</v>
      </c>
      <c r="G6008" s="1">
        <v>3</v>
      </c>
      <c r="H6008" s="1">
        <v>1</v>
      </c>
      <c r="I6008" s="1">
        <v>1</v>
      </c>
      <c r="J6008" s="1">
        <v>1</v>
      </c>
      <c r="M6008" s="1">
        <v>723</v>
      </c>
      <c r="N6008" s="1">
        <v>771</v>
      </c>
      <c r="O6008" s="1">
        <v>784</v>
      </c>
      <c r="P6008" s="1">
        <v>13</v>
      </c>
      <c r="Q6008" s="1" t="s">
        <v>42</v>
      </c>
      <c r="S6008" s="1" t="s">
        <v>42</v>
      </c>
      <c r="T6008" s="1" t="s">
        <v>273</v>
      </c>
      <c r="U6008" s="1">
        <v>2</v>
      </c>
      <c r="V6008" s="5">
        <v>43683</v>
      </c>
      <c r="W6008" s="5">
        <v>43054</v>
      </c>
      <c r="X6008" s="1">
        <v>1380000</v>
      </c>
      <c r="Y6008" s="1">
        <v>1380000</v>
      </c>
      <c r="Z6008" s="5">
        <v>43056</v>
      </c>
      <c r="AA6008" s="1">
        <v>1395134</v>
      </c>
      <c r="AB6008" s="1" t="s">
        <v>4313</v>
      </c>
      <c r="AC6008" s="5">
        <v>43564</v>
      </c>
      <c r="AF6008" s="1">
        <v>10002</v>
      </c>
      <c r="AI6008" s="1" t="s">
        <v>246</v>
      </c>
      <c r="AJ6008" s="1">
        <v>2019</v>
      </c>
      <c r="AK6008" s="1" t="s">
        <v>46</v>
      </c>
      <c r="AL6008" s="1">
        <v>787</v>
      </c>
    </row>
    <row r="6009" spans="1:38" x14ac:dyDescent="0.2">
      <c r="A6009" s="2" t="str">
        <f>HYPERLINK("https://www.compass.com/listing/252-south-street-unit-38e-manhattan-ny-10002/4849516455055596897/","252 South St, Unit 38E")</f>
        <v>252 South St, Unit 38E</v>
      </c>
      <c r="B6009" s="2" t="str">
        <f t="shared" si="992"/>
        <v>One Manhattan Square</v>
      </c>
      <c r="C6009" s="1" t="s">
        <v>47</v>
      </c>
      <c r="D6009" s="1" t="s">
        <v>41</v>
      </c>
      <c r="E6009" s="3">
        <v>1364929</v>
      </c>
      <c r="F6009" s="1">
        <v>1966.7564841498499</v>
      </c>
      <c r="G6009" s="1">
        <v>3</v>
      </c>
      <c r="H6009" s="1">
        <v>1</v>
      </c>
      <c r="I6009" s="1">
        <v>1</v>
      </c>
      <c r="J6009" s="1">
        <v>1</v>
      </c>
      <c r="M6009" s="1">
        <v>694</v>
      </c>
      <c r="N6009" s="1">
        <v>835</v>
      </c>
      <c r="O6009" s="1">
        <v>849</v>
      </c>
      <c r="P6009" s="1">
        <v>14</v>
      </c>
      <c r="Q6009" s="1" t="s">
        <v>42</v>
      </c>
      <c r="S6009" s="1" t="s">
        <v>42</v>
      </c>
      <c r="T6009" s="1" t="s">
        <v>273</v>
      </c>
      <c r="U6009" s="1">
        <v>16</v>
      </c>
      <c r="V6009" s="5">
        <v>43696</v>
      </c>
      <c r="W6009" s="5">
        <v>43054</v>
      </c>
      <c r="X6009" s="1">
        <v>1409000</v>
      </c>
      <c r="Y6009" s="1">
        <v>1409000</v>
      </c>
      <c r="Z6009" s="5">
        <v>43070</v>
      </c>
      <c r="AA6009" s="1">
        <v>1394929.5</v>
      </c>
      <c r="AB6009" s="1" t="s">
        <v>4314</v>
      </c>
      <c r="AC6009" s="5">
        <v>43647</v>
      </c>
      <c r="AF6009" s="1">
        <v>10002</v>
      </c>
      <c r="AI6009" s="1" t="s">
        <v>246</v>
      </c>
      <c r="AJ6009" s="1">
        <v>2019</v>
      </c>
      <c r="AK6009" s="1" t="s">
        <v>46</v>
      </c>
      <c r="AL6009" s="1">
        <v>787</v>
      </c>
    </row>
    <row r="6010" spans="1:38" x14ac:dyDescent="0.2">
      <c r="A6010" s="2" t="str">
        <f>HYPERLINK("https://www.compass.com/listing/252-south-street-unit-18c-manhattan-ny-10002/29513530323593729/","252 South St, Unit 18C")</f>
        <v>252 South St, Unit 18C</v>
      </c>
      <c r="B6010" s="2" t="str">
        <f t="shared" si="992"/>
        <v>One Manhattan Square</v>
      </c>
      <c r="C6010" s="1" t="s">
        <v>47</v>
      </c>
      <c r="D6010" s="1" t="s">
        <v>41</v>
      </c>
      <c r="E6010" s="3">
        <v>1527302</v>
      </c>
      <c r="F6010" s="1">
        <v>2197.55683453237</v>
      </c>
      <c r="G6010" s="1">
        <v>3</v>
      </c>
      <c r="H6010" s="1">
        <v>1</v>
      </c>
      <c r="I6010" s="1">
        <v>1</v>
      </c>
      <c r="J6010" s="1">
        <v>1</v>
      </c>
      <c r="M6010" s="1">
        <v>695</v>
      </c>
      <c r="N6010" s="1">
        <v>759</v>
      </c>
      <c r="O6010" s="1">
        <v>772</v>
      </c>
      <c r="P6010" s="1">
        <v>13</v>
      </c>
      <c r="Q6010" s="1" t="s">
        <v>42</v>
      </c>
      <c r="S6010" s="1" t="s">
        <v>42</v>
      </c>
      <c r="T6010" s="1" t="s">
        <v>273</v>
      </c>
      <c r="U6010" s="1">
        <v>5</v>
      </c>
      <c r="V6010" s="5">
        <v>43683</v>
      </c>
      <c r="W6010" s="5">
        <v>42931</v>
      </c>
      <c r="X6010" s="1">
        <v>1482000</v>
      </c>
      <c r="Y6010" s="1">
        <v>1496000</v>
      </c>
      <c r="Z6010" s="5">
        <v>42936</v>
      </c>
      <c r="AA6010" s="1">
        <v>1527302</v>
      </c>
      <c r="AB6010" s="1" t="s">
        <v>4315</v>
      </c>
      <c r="AC6010" s="5">
        <v>43654</v>
      </c>
      <c r="AF6010" s="1">
        <v>10002</v>
      </c>
      <c r="AI6010" s="1" t="s">
        <v>246</v>
      </c>
      <c r="AJ6010" s="1">
        <v>2019</v>
      </c>
      <c r="AK6010" s="1" t="s">
        <v>46</v>
      </c>
      <c r="AL6010" s="1">
        <v>787</v>
      </c>
    </row>
    <row r="6011" spans="1:38" x14ac:dyDescent="0.2">
      <c r="A6011" s="2" t="str">
        <f>HYPERLINK("https://www.compass.com/listing/252-south-street-unit-41m-manhattan-ny-10002/29513530927522849/","252 South St, Unit 41M")</f>
        <v>252 South St, Unit 41M</v>
      </c>
      <c r="B6011" s="2" t="str">
        <f t="shared" si="992"/>
        <v>One Manhattan Square</v>
      </c>
      <c r="C6011" s="1" t="s">
        <v>47</v>
      </c>
      <c r="D6011" s="1" t="s">
        <v>41</v>
      </c>
      <c r="E6011" s="3">
        <v>1629013</v>
      </c>
      <c r="F6011" s="1">
        <v>2343.9035971223002</v>
      </c>
      <c r="G6011" s="1">
        <v>3</v>
      </c>
      <c r="H6011" s="1">
        <v>1</v>
      </c>
      <c r="I6011" s="1">
        <v>1</v>
      </c>
      <c r="J6011" s="1">
        <v>1</v>
      </c>
      <c r="M6011" s="1">
        <v>695</v>
      </c>
      <c r="N6011" s="1">
        <v>851</v>
      </c>
      <c r="O6011" s="1">
        <v>865</v>
      </c>
      <c r="P6011" s="1">
        <v>14</v>
      </c>
      <c r="Q6011" s="1" t="s">
        <v>42</v>
      </c>
      <c r="S6011" s="1" t="s">
        <v>42</v>
      </c>
      <c r="T6011" s="1" t="s">
        <v>273</v>
      </c>
      <c r="U6011" s="1">
        <v>8</v>
      </c>
      <c r="V6011" s="5">
        <v>43696</v>
      </c>
      <c r="W6011" s="5">
        <v>42943</v>
      </c>
      <c r="X6011" s="1">
        <v>1671000</v>
      </c>
      <c r="Y6011" s="1">
        <v>1671000</v>
      </c>
      <c r="Z6011" s="5">
        <v>42951</v>
      </c>
      <c r="AA6011" s="1">
        <v>1629013</v>
      </c>
      <c r="AB6011" s="1" t="s">
        <v>4316</v>
      </c>
      <c r="AC6011" s="5">
        <v>43642</v>
      </c>
      <c r="AF6011" s="1">
        <v>10002</v>
      </c>
      <c r="AI6011" s="1" t="s">
        <v>246</v>
      </c>
      <c r="AJ6011" s="1">
        <v>2019</v>
      </c>
      <c r="AK6011" s="1" t="s">
        <v>46</v>
      </c>
      <c r="AL6011" s="1">
        <v>787</v>
      </c>
    </row>
    <row r="6012" spans="1:38" x14ac:dyDescent="0.2">
      <c r="A6012" s="2" t="str">
        <f>HYPERLINK("https://www.compass.com/listing/252-south-street-unit-62k-manhattan-ny-10002/29513538997450465/","252 South St, Unit 62K")</f>
        <v>252 South St, Unit 62K</v>
      </c>
      <c r="B6012" s="2" t="str">
        <f t="shared" si="992"/>
        <v>One Manhattan Square</v>
      </c>
      <c r="C6012" s="1" t="s">
        <v>47</v>
      </c>
      <c r="D6012" s="1" t="s">
        <v>41</v>
      </c>
      <c r="E6012" s="3">
        <v>1701860</v>
      </c>
      <c r="F6012" s="1">
        <v>2473.6337209302301</v>
      </c>
      <c r="G6012" s="1">
        <v>3</v>
      </c>
      <c r="H6012" s="1">
        <v>1</v>
      </c>
      <c r="I6012" s="1">
        <v>1</v>
      </c>
      <c r="J6012" s="1">
        <v>1</v>
      </c>
      <c r="M6012" s="1">
        <v>688</v>
      </c>
      <c r="N6012" s="1">
        <v>918</v>
      </c>
      <c r="O6012" s="1">
        <v>933</v>
      </c>
      <c r="P6012" s="1">
        <v>15</v>
      </c>
      <c r="Q6012" s="1" t="s">
        <v>42</v>
      </c>
      <c r="S6012" s="1" t="s">
        <v>42</v>
      </c>
      <c r="T6012" s="1" t="s">
        <v>273</v>
      </c>
      <c r="U6012" s="1">
        <v>5</v>
      </c>
      <c r="V6012" s="5">
        <v>43704</v>
      </c>
      <c r="W6012" s="5">
        <v>42987</v>
      </c>
      <c r="X6012" s="1">
        <v>1746000</v>
      </c>
      <c r="Y6012" s="1">
        <v>1746000</v>
      </c>
      <c r="Z6012" s="5">
        <v>42992</v>
      </c>
      <c r="AA6012" s="1">
        <v>1701860</v>
      </c>
      <c r="AB6012" s="1" t="s">
        <v>4317</v>
      </c>
      <c r="AC6012" s="5">
        <v>43693</v>
      </c>
      <c r="AF6012" s="1">
        <v>10002</v>
      </c>
      <c r="AI6012" s="1" t="s">
        <v>246</v>
      </c>
      <c r="AJ6012" s="1">
        <v>2019</v>
      </c>
      <c r="AK6012" s="1" t="s">
        <v>46</v>
      </c>
      <c r="AL6012" s="1">
        <v>787</v>
      </c>
    </row>
    <row r="6013" spans="1:38" x14ac:dyDescent="0.2">
      <c r="A6013" s="2" t="str">
        <f>HYPERLINK("https://www.compass.com/listing/252-south-street-unit-75g-manhattan-ny-10002/29513539290965521/","252 South St, Unit 75G")</f>
        <v>252 South St, Unit 75G</v>
      </c>
      <c r="B6013" s="2" t="str">
        <f t="shared" si="992"/>
        <v>One Manhattan Square</v>
      </c>
      <c r="C6013" s="1" t="s">
        <v>47</v>
      </c>
      <c r="D6013" s="1" t="s">
        <v>41</v>
      </c>
      <c r="E6013" s="3">
        <v>1615484</v>
      </c>
      <c r="F6013" s="1">
        <v>2348.0872819767401</v>
      </c>
      <c r="G6013" s="1">
        <v>3</v>
      </c>
      <c r="H6013" s="1">
        <v>1</v>
      </c>
      <c r="I6013" s="1">
        <v>1</v>
      </c>
      <c r="J6013" s="1">
        <v>1</v>
      </c>
      <c r="M6013" s="1">
        <v>688</v>
      </c>
      <c r="N6013" s="1">
        <v>969</v>
      </c>
      <c r="O6013" s="1">
        <v>985</v>
      </c>
      <c r="P6013" s="1">
        <v>16</v>
      </c>
      <c r="Q6013" s="1" t="s">
        <v>42</v>
      </c>
      <c r="S6013" s="1" t="s">
        <v>42</v>
      </c>
      <c r="T6013" s="1" t="s">
        <v>273</v>
      </c>
      <c r="U6013" s="1">
        <v>5</v>
      </c>
      <c r="V6013" s="5">
        <v>43823</v>
      </c>
      <c r="W6013" s="5">
        <v>42987</v>
      </c>
      <c r="X6013" s="1">
        <v>1640000</v>
      </c>
      <c r="Y6013" s="1">
        <v>1640000</v>
      </c>
      <c r="Z6013" s="5">
        <v>42992</v>
      </c>
      <c r="AA6013" s="1">
        <v>1615484.05</v>
      </c>
      <c r="AB6013" s="1" t="s">
        <v>4318</v>
      </c>
      <c r="AC6013" s="5">
        <v>43804</v>
      </c>
      <c r="AF6013" s="1">
        <v>10002</v>
      </c>
      <c r="AI6013" s="1" t="s">
        <v>246</v>
      </c>
      <c r="AJ6013" s="1">
        <v>2019</v>
      </c>
      <c r="AK6013" s="1" t="s">
        <v>46</v>
      </c>
      <c r="AL6013" s="1">
        <v>787</v>
      </c>
    </row>
    <row r="6014" spans="1:38" x14ac:dyDescent="0.2">
      <c r="A6014" s="2" t="str">
        <f>HYPERLINK("https://www.compass.com/listing/252-south-street-unit-76k-manhattan-ny-10002/29513539626560561/","252 South St, Unit 76K")</f>
        <v>252 South St, Unit 76K</v>
      </c>
      <c r="B6014" s="2" t="str">
        <f t="shared" si="992"/>
        <v>One Manhattan Square</v>
      </c>
      <c r="C6014" s="1" t="s">
        <v>47</v>
      </c>
      <c r="D6014" s="1" t="s">
        <v>41</v>
      </c>
      <c r="E6014" s="3">
        <v>1763125</v>
      </c>
      <c r="F6014" s="1">
        <v>2562.6820203488301</v>
      </c>
      <c r="G6014" s="1">
        <v>3</v>
      </c>
      <c r="H6014" s="1">
        <v>1</v>
      </c>
      <c r="I6014" s="1">
        <v>1</v>
      </c>
      <c r="J6014" s="1">
        <v>1</v>
      </c>
      <c r="M6014" s="1">
        <v>688</v>
      </c>
      <c r="N6014" s="1">
        <v>972</v>
      </c>
      <c r="O6014" s="1">
        <v>988</v>
      </c>
      <c r="P6014" s="1">
        <v>16</v>
      </c>
      <c r="Q6014" s="1" t="s">
        <v>42</v>
      </c>
      <c r="S6014" s="1" t="s">
        <v>42</v>
      </c>
      <c r="T6014" s="1" t="s">
        <v>273</v>
      </c>
      <c r="U6014" s="1">
        <v>5</v>
      </c>
      <c r="V6014" s="5">
        <v>43816</v>
      </c>
      <c r="W6014" s="5">
        <v>42987</v>
      </c>
      <c r="X6014" s="1">
        <v>1809000</v>
      </c>
      <c r="Y6014" s="1">
        <v>1809000</v>
      </c>
      <c r="Z6014" s="5">
        <v>42992</v>
      </c>
      <c r="AA6014" s="1">
        <v>1763125.23</v>
      </c>
      <c r="AB6014" s="1" t="s">
        <v>4319</v>
      </c>
      <c r="AC6014" s="5">
        <v>43802</v>
      </c>
      <c r="AF6014" s="1">
        <v>10002</v>
      </c>
      <c r="AI6014" s="1" t="s">
        <v>246</v>
      </c>
      <c r="AJ6014" s="1">
        <v>2019</v>
      </c>
      <c r="AK6014" s="1" t="s">
        <v>46</v>
      </c>
      <c r="AL6014" s="1">
        <v>787</v>
      </c>
    </row>
    <row r="6015" spans="1:38" x14ac:dyDescent="0.2">
      <c r="A6015" s="2" t="str">
        <f>HYPERLINK("https://www.compass.com/listing/252-south-street-unit-47m-manhattan-ny-10002/29513550338849025/","252 South St, Unit 47M")</f>
        <v>252 South St, Unit 47M</v>
      </c>
      <c r="B6015" s="2" t="str">
        <f t="shared" si="992"/>
        <v>One Manhattan Square</v>
      </c>
      <c r="C6015" s="1" t="s">
        <v>47</v>
      </c>
      <c r="D6015" s="1" t="s">
        <v>41</v>
      </c>
      <c r="E6015" s="3">
        <v>1674205</v>
      </c>
      <c r="F6015" s="1">
        <v>2408.9280575539501</v>
      </c>
      <c r="G6015" s="1">
        <v>3</v>
      </c>
      <c r="H6015" s="1">
        <v>1</v>
      </c>
      <c r="I6015" s="1">
        <v>1</v>
      </c>
      <c r="J6015" s="1">
        <v>1</v>
      </c>
      <c r="M6015" s="1">
        <v>695</v>
      </c>
      <c r="N6015" s="1">
        <v>869</v>
      </c>
      <c r="O6015" s="1">
        <v>884</v>
      </c>
      <c r="P6015" s="1">
        <v>15</v>
      </c>
      <c r="Q6015" s="1" t="s">
        <v>42</v>
      </c>
      <c r="S6015" s="1" t="s">
        <v>42</v>
      </c>
      <c r="T6015" s="1" t="s">
        <v>273</v>
      </c>
      <c r="U6015" s="1">
        <v>1</v>
      </c>
      <c r="V6015" s="5">
        <v>43696</v>
      </c>
      <c r="W6015" s="5">
        <v>43041</v>
      </c>
      <c r="X6015" s="1">
        <v>1691000</v>
      </c>
      <c r="Y6015" s="1">
        <v>1691000</v>
      </c>
      <c r="Z6015" s="5">
        <v>43042</v>
      </c>
      <c r="AA6015" s="1">
        <v>1674205</v>
      </c>
      <c r="AB6015" s="1" t="s">
        <v>4320</v>
      </c>
      <c r="AC6015" s="5">
        <v>43665</v>
      </c>
      <c r="AF6015" s="1">
        <v>10002</v>
      </c>
      <c r="AI6015" s="1" t="s">
        <v>246</v>
      </c>
      <c r="AJ6015" s="1">
        <v>2019</v>
      </c>
      <c r="AK6015" s="1" t="s">
        <v>46</v>
      </c>
      <c r="AL6015" s="1">
        <v>787</v>
      </c>
    </row>
    <row r="6016" spans="1:38" x14ac:dyDescent="0.2">
      <c r="A6016" s="2" t="str">
        <f>HYPERLINK("https://www.compass.com/listing/252-south-street-unit-34m-manhattan-ny-10002/4849516424227461089/","252 South St, Unit 34M")</f>
        <v>252 South St, Unit 34M</v>
      </c>
      <c r="B6016" s="2" t="str">
        <f t="shared" si="992"/>
        <v>One Manhattan Square</v>
      </c>
      <c r="C6016" s="1" t="s">
        <v>47</v>
      </c>
      <c r="D6016" s="1" t="s">
        <v>41</v>
      </c>
      <c r="E6016" s="3">
        <v>1597561</v>
      </c>
      <c r="F6016" s="1">
        <v>2298.6489208633002</v>
      </c>
      <c r="G6016" s="1">
        <v>3</v>
      </c>
      <c r="H6016" s="1">
        <v>1</v>
      </c>
      <c r="I6016" s="1">
        <v>1</v>
      </c>
      <c r="J6016" s="1">
        <v>1</v>
      </c>
      <c r="M6016" s="1">
        <v>695</v>
      </c>
      <c r="N6016" s="1">
        <v>822</v>
      </c>
      <c r="O6016" s="1">
        <v>836</v>
      </c>
      <c r="P6016" s="1">
        <v>14</v>
      </c>
      <c r="Q6016" s="1" t="s">
        <v>42</v>
      </c>
      <c r="S6016" s="1" t="s">
        <v>42</v>
      </c>
      <c r="T6016" s="1" t="s">
        <v>273</v>
      </c>
      <c r="U6016" s="1">
        <v>14</v>
      </c>
      <c r="V6016" s="5">
        <v>43696</v>
      </c>
      <c r="W6016" s="5">
        <v>43056</v>
      </c>
      <c r="X6016" s="1">
        <v>1630000</v>
      </c>
      <c r="Y6016" s="1">
        <v>1630000</v>
      </c>
      <c r="Z6016" s="5">
        <v>43070</v>
      </c>
      <c r="AA6016" s="1">
        <v>1597561</v>
      </c>
      <c r="AB6016" s="1" t="s">
        <v>4321</v>
      </c>
      <c r="AC6016" s="5">
        <v>43648</v>
      </c>
      <c r="AF6016" s="1">
        <v>10002</v>
      </c>
      <c r="AI6016" s="1" t="s">
        <v>246</v>
      </c>
      <c r="AJ6016" s="1">
        <v>2019</v>
      </c>
      <c r="AK6016" s="1" t="s">
        <v>46</v>
      </c>
      <c r="AL6016" s="1">
        <v>787</v>
      </c>
    </row>
    <row r="6017" spans="1:38" x14ac:dyDescent="0.2">
      <c r="A6017" s="2" t="str">
        <f>HYPERLINK("https://www.compass.com/listing/252-south-street-unit-18b-manhattan-ny-10002/54884995411490977/","252 South St, Unit 18B")</f>
        <v>252 South St, Unit 18B</v>
      </c>
      <c r="B6017" s="2" t="str">
        <f t="shared" si="992"/>
        <v>One Manhattan Square</v>
      </c>
      <c r="C6017" s="1" t="s">
        <v>47</v>
      </c>
      <c r="D6017" s="1" t="s">
        <v>41</v>
      </c>
      <c r="E6017" s="3">
        <v>1530356</v>
      </c>
      <c r="F6017" s="1">
        <v>2198.78735632183</v>
      </c>
      <c r="G6017" s="1">
        <v>3</v>
      </c>
      <c r="H6017" s="1">
        <v>1</v>
      </c>
      <c r="I6017" s="1">
        <v>1</v>
      </c>
      <c r="J6017" s="1">
        <v>1</v>
      </c>
      <c r="K6017" s="1">
        <v>1</v>
      </c>
      <c r="M6017" s="1">
        <v>696</v>
      </c>
      <c r="N6017" s="1">
        <v>764</v>
      </c>
      <c r="O6017" s="1">
        <v>777</v>
      </c>
      <c r="P6017" s="1">
        <v>13</v>
      </c>
      <c r="Q6017" s="1" t="s">
        <v>42</v>
      </c>
      <c r="S6017" s="1" t="s">
        <v>42</v>
      </c>
      <c r="T6017" s="1" t="s">
        <v>273</v>
      </c>
      <c r="U6017" s="1">
        <v>4</v>
      </c>
      <c r="V6017" s="5">
        <v>43683</v>
      </c>
      <c r="W6017" s="5">
        <v>43328</v>
      </c>
      <c r="X6017" s="1">
        <v>1499000</v>
      </c>
      <c r="Y6017" s="1">
        <v>1499000</v>
      </c>
      <c r="Z6017" s="5">
        <v>43332</v>
      </c>
      <c r="AA6017" s="1">
        <v>1530356</v>
      </c>
      <c r="AB6017" s="1" t="s">
        <v>4322</v>
      </c>
      <c r="AC6017" s="5">
        <v>43530</v>
      </c>
      <c r="AF6017" s="1">
        <v>10002</v>
      </c>
      <c r="AI6017" s="1" t="s">
        <v>246</v>
      </c>
      <c r="AJ6017" s="1">
        <v>2019</v>
      </c>
      <c r="AK6017" s="1" t="s">
        <v>46</v>
      </c>
      <c r="AL6017" s="1">
        <v>787</v>
      </c>
    </row>
    <row r="6018" spans="1:38" x14ac:dyDescent="0.2">
      <c r="A6018" s="2" t="str">
        <f>HYPERLINK("https://www.compass.com/listing/252-south-street-unit-7g-manhattan-ny-10002/756553463631080089/","252 South St, Unit 7G")</f>
        <v>252 South St, Unit 7G</v>
      </c>
      <c r="B6018" s="2" t="str">
        <f t="shared" si="992"/>
        <v>One Manhattan Square</v>
      </c>
      <c r="C6018" s="1" t="s">
        <v>47</v>
      </c>
      <c r="D6018" s="1" t="s">
        <v>41</v>
      </c>
      <c r="E6018" s="3">
        <v>1047706</v>
      </c>
      <c r="F6018" s="1">
        <v>1449.1096127247499</v>
      </c>
      <c r="G6018" s="1">
        <v>3</v>
      </c>
      <c r="H6018" s="1">
        <v>1</v>
      </c>
      <c r="I6018" s="1">
        <v>1</v>
      </c>
      <c r="J6018" s="1">
        <v>1</v>
      </c>
      <c r="K6018" s="1">
        <v>1</v>
      </c>
      <c r="M6018" s="1">
        <v>723</v>
      </c>
      <c r="N6018" s="1">
        <v>771</v>
      </c>
      <c r="O6018" s="1">
        <v>783</v>
      </c>
      <c r="P6018" s="1">
        <v>12</v>
      </c>
      <c r="Q6018" s="1" t="s">
        <v>42</v>
      </c>
      <c r="S6018" s="1" t="s">
        <v>42</v>
      </c>
      <c r="T6018" s="1" t="s">
        <v>273</v>
      </c>
      <c r="U6018" s="1">
        <v>77</v>
      </c>
      <c r="V6018" s="5">
        <v>44296</v>
      </c>
      <c r="W6018" s="5">
        <v>44219</v>
      </c>
      <c r="X6018" s="1">
        <v>1251000</v>
      </c>
      <c r="Y6018" s="1">
        <v>1251000</v>
      </c>
      <c r="Z6018" s="5">
        <v>44296</v>
      </c>
      <c r="AA6018" s="1">
        <v>1047706.25</v>
      </c>
      <c r="AB6018" s="1" t="s">
        <v>4323</v>
      </c>
      <c r="AC6018" s="5">
        <v>44355</v>
      </c>
      <c r="AF6018" s="1">
        <v>10002</v>
      </c>
      <c r="AI6018" s="1" t="s">
        <v>246</v>
      </c>
      <c r="AJ6018" s="1">
        <v>2019</v>
      </c>
      <c r="AK6018" s="1" t="s">
        <v>46</v>
      </c>
      <c r="AL6018" s="1">
        <v>787</v>
      </c>
    </row>
    <row r="6019" spans="1:38" x14ac:dyDescent="0.2">
      <c r="A6019" s="2" t="str">
        <f>HYPERLINK("https://www.compass.com/listing/252-south-street-unit-35f-manhattan-ny-10002/308592528592816737/","252 South St, Unit 35F")</f>
        <v>252 South St, Unit 35F</v>
      </c>
      <c r="B6019" s="2" t="str">
        <f t="shared" si="992"/>
        <v>One Manhattan Square</v>
      </c>
      <c r="C6019" s="1" t="s">
        <v>47</v>
      </c>
      <c r="D6019" s="1" t="s">
        <v>41</v>
      </c>
      <c r="E6019" s="3">
        <v>1364430</v>
      </c>
      <c r="F6019" s="1">
        <v>1889.7917451523499</v>
      </c>
      <c r="G6019" s="1">
        <v>3</v>
      </c>
      <c r="H6019" s="1">
        <v>1</v>
      </c>
      <c r="I6019" s="1">
        <v>1</v>
      </c>
      <c r="J6019" s="1">
        <v>1</v>
      </c>
      <c r="K6019" s="1">
        <v>1</v>
      </c>
      <c r="M6019" s="1">
        <v>722</v>
      </c>
      <c r="N6019" s="1">
        <v>870</v>
      </c>
      <c r="O6019" s="1">
        <v>884</v>
      </c>
      <c r="P6019" s="1">
        <v>14</v>
      </c>
      <c r="Q6019" s="1" t="s">
        <v>42</v>
      </c>
      <c r="S6019" s="1" t="s">
        <v>42</v>
      </c>
      <c r="T6019" s="1" t="s">
        <v>273</v>
      </c>
      <c r="U6019" s="1">
        <v>29</v>
      </c>
      <c r="V6019" s="5">
        <v>43938</v>
      </c>
      <c r="W6019" s="5">
        <v>43677</v>
      </c>
      <c r="Y6019" s="1">
        <v>1336045</v>
      </c>
      <c r="Z6019" s="5">
        <v>43707</v>
      </c>
      <c r="AA6019" s="1">
        <v>1364429.64</v>
      </c>
      <c r="AB6019" s="1" t="s">
        <v>4324</v>
      </c>
      <c r="AC6019" s="5">
        <v>43795</v>
      </c>
      <c r="AF6019" s="1">
        <v>10002</v>
      </c>
      <c r="AI6019" s="1" t="s">
        <v>246</v>
      </c>
      <c r="AJ6019" s="1">
        <v>2019</v>
      </c>
      <c r="AK6019" s="1" t="s">
        <v>46</v>
      </c>
      <c r="AL6019" s="1">
        <v>787</v>
      </c>
    </row>
    <row r="6020" spans="1:38" x14ac:dyDescent="0.2">
      <c r="A6020" s="2" t="str">
        <f>HYPERLINK("https://www.compass.com/listing/252-south-street-unit-38b-manhattan-ny-10002/56364690237842145/","252 South St, Unit 38B")</f>
        <v>252 South St, Unit 38B</v>
      </c>
      <c r="B6020" s="2" t="str">
        <f t="shared" si="992"/>
        <v>One Manhattan Square</v>
      </c>
      <c r="C6020" s="1" t="s">
        <v>47</v>
      </c>
      <c r="D6020" s="1" t="s">
        <v>41</v>
      </c>
      <c r="E6020" s="3">
        <v>2321741</v>
      </c>
      <c r="F6020" s="1">
        <v>2221.76172248803</v>
      </c>
      <c r="G6020" s="1">
        <v>3</v>
      </c>
      <c r="H6020" s="1">
        <v>2</v>
      </c>
      <c r="I6020" s="1">
        <v>2</v>
      </c>
      <c r="J6020" s="1">
        <v>2</v>
      </c>
      <c r="K6020" s="1">
        <v>2</v>
      </c>
      <c r="M6020" s="4">
        <v>1045</v>
      </c>
      <c r="N6020" s="1">
        <v>1257</v>
      </c>
      <c r="O6020" s="1">
        <v>1278</v>
      </c>
      <c r="P6020" s="1">
        <v>21</v>
      </c>
      <c r="Q6020" s="1" t="s">
        <v>42</v>
      </c>
      <c r="S6020" s="1" t="s">
        <v>42</v>
      </c>
      <c r="T6020" s="1" t="s">
        <v>273</v>
      </c>
      <c r="U6020" s="1">
        <v>3</v>
      </c>
      <c r="V6020" s="5">
        <v>43696</v>
      </c>
      <c r="W6020" s="5">
        <v>43332</v>
      </c>
      <c r="X6020" s="1">
        <v>2396000</v>
      </c>
      <c r="Y6020" s="1">
        <v>2396000</v>
      </c>
      <c r="Z6020" s="5">
        <v>43335</v>
      </c>
      <c r="AA6020" s="1">
        <v>2321741</v>
      </c>
      <c r="AB6020" s="1" t="s">
        <v>4325</v>
      </c>
      <c r="AC6020" s="5">
        <v>43645</v>
      </c>
      <c r="AF6020" s="1">
        <v>10002</v>
      </c>
      <c r="AI6020" s="1" t="s">
        <v>246</v>
      </c>
      <c r="AJ6020" s="1">
        <v>2019</v>
      </c>
      <c r="AK6020" s="1" t="s">
        <v>46</v>
      </c>
      <c r="AL6020" s="1">
        <v>787</v>
      </c>
    </row>
    <row r="6021" spans="1:38" x14ac:dyDescent="0.2">
      <c r="A6021" s="2" t="str">
        <f>HYPERLINK("https://www.compass.com/listing/252-south-street-unit-8a-manhattan-ny-10002/95450018005126833/","252 South St, Unit 8A")</f>
        <v>252 South St, Unit 8A</v>
      </c>
      <c r="B6021" s="2" t="str">
        <f t="shared" si="992"/>
        <v>One Manhattan Square</v>
      </c>
      <c r="C6021" s="1" t="s">
        <v>47</v>
      </c>
      <c r="D6021" s="1" t="s">
        <v>41</v>
      </c>
      <c r="E6021" s="3">
        <v>2223369</v>
      </c>
      <c r="F6021" s="1">
        <v>1913.39858864027</v>
      </c>
      <c r="G6021" s="1">
        <v>4</v>
      </c>
      <c r="H6021" s="1">
        <v>2</v>
      </c>
      <c r="I6021" s="1">
        <v>2</v>
      </c>
      <c r="J6021" s="1">
        <v>2</v>
      </c>
      <c r="K6021" s="1">
        <v>2</v>
      </c>
      <c r="M6021" s="4">
        <v>1162</v>
      </c>
      <c r="N6021" s="1">
        <v>1227</v>
      </c>
      <c r="O6021" s="1">
        <v>1248</v>
      </c>
      <c r="P6021" s="1">
        <v>21</v>
      </c>
      <c r="Q6021" s="1" t="s">
        <v>42</v>
      </c>
      <c r="S6021" s="1" t="s">
        <v>42</v>
      </c>
      <c r="T6021" s="1" t="s">
        <v>273</v>
      </c>
      <c r="U6021" s="1">
        <v>11</v>
      </c>
      <c r="V6021" s="5">
        <v>43949</v>
      </c>
      <c r="W6021" s="5">
        <v>43384</v>
      </c>
      <c r="X6021" s="1">
        <v>2247000</v>
      </c>
      <c r="Y6021" s="1">
        <v>2179590</v>
      </c>
      <c r="Z6021" s="5">
        <v>43396</v>
      </c>
      <c r="AA6021" s="1">
        <v>2223369.16</v>
      </c>
      <c r="AB6021" s="1" t="s">
        <v>4326</v>
      </c>
      <c r="AC6021" s="5">
        <v>43945</v>
      </c>
      <c r="AF6021" s="1">
        <v>10002</v>
      </c>
      <c r="AI6021" s="1" t="s">
        <v>246</v>
      </c>
      <c r="AJ6021" s="1">
        <v>2019</v>
      </c>
      <c r="AK6021" s="1" t="s">
        <v>46</v>
      </c>
      <c r="AL6021" s="1">
        <v>787</v>
      </c>
    </row>
    <row r="6022" spans="1:38" x14ac:dyDescent="0.2">
      <c r="A6022" s="2" t="str">
        <f>HYPERLINK("https://www.compass.com/listing/252-south-street-unit-39d-manhattan-ny-10002/739098575450402225/","252 South St, Unit 39D")</f>
        <v>252 South St, Unit 39D</v>
      </c>
      <c r="B6022" s="2" t="str">
        <f t="shared" si="992"/>
        <v>One Manhattan Square</v>
      </c>
      <c r="C6022" s="1" t="s">
        <v>47</v>
      </c>
      <c r="D6022" s="1" t="s">
        <v>41</v>
      </c>
      <c r="E6022" s="3">
        <v>2336811</v>
      </c>
      <c r="F6022" s="1">
        <v>2007.5693728522299</v>
      </c>
      <c r="G6022" s="1">
        <v>4</v>
      </c>
      <c r="H6022" s="1">
        <v>2</v>
      </c>
      <c r="I6022" s="1">
        <v>2</v>
      </c>
      <c r="J6022" s="1">
        <v>2</v>
      </c>
      <c r="K6022" s="1">
        <v>2</v>
      </c>
      <c r="M6022" s="4">
        <v>1164</v>
      </c>
      <c r="N6022" s="1">
        <v>1434</v>
      </c>
      <c r="O6022" s="1">
        <v>1457</v>
      </c>
      <c r="P6022" s="1">
        <v>23</v>
      </c>
      <c r="Q6022" s="1" t="s">
        <v>42</v>
      </c>
      <c r="S6022" s="1" t="s">
        <v>42</v>
      </c>
      <c r="T6022" s="1" t="s">
        <v>273</v>
      </c>
      <c r="V6022" s="5">
        <v>44354</v>
      </c>
      <c r="W6022" s="5">
        <v>44261</v>
      </c>
      <c r="X6022" s="1">
        <v>2838000</v>
      </c>
      <c r="Y6022" s="1">
        <v>2838000</v>
      </c>
      <c r="Z6022" s="5">
        <v>44261</v>
      </c>
      <c r="AA6022" s="1">
        <v>2336810.75</v>
      </c>
      <c r="AB6022" s="1" t="s">
        <v>4327</v>
      </c>
      <c r="AC6022" s="5">
        <v>44344</v>
      </c>
      <c r="AF6022" s="1">
        <v>10002</v>
      </c>
      <c r="AI6022" s="1" t="s">
        <v>246</v>
      </c>
      <c r="AJ6022" s="1">
        <v>2019</v>
      </c>
      <c r="AK6022" s="1" t="s">
        <v>46</v>
      </c>
      <c r="AL6022" s="1">
        <v>787</v>
      </c>
    </row>
    <row r="6023" spans="1:38" x14ac:dyDescent="0.2">
      <c r="A6023" s="2" t="str">
        <f>HYPERLINK("https://www.compass.com/listing/252-south-street-unit-18l-manhattan-ny-10002/739097526211668625/","252 South St, Unit 18L")</f>
        <v>252 South St, Unit 18L</v>
      </c>
      <c r="B6023" s="2" t="str">
        <f t="shared" si="992"/>
        <v>One Manhattan Square</v>
      </c>
      <c r="C6023" s="1" t="s">
        <v>47</v>
      </c>
      <c r="D6023" s="1" t="s">
        <v>41</v>
      </c>
      <c r="E6023" s="3">
        <v>1910000</v>
      </c>
      <c r="F6023" s="1">
        <v>1700.80142475512</v>
      </c>
      <c r="G6023" s="1">
        <v>4</v>
      </c>
      <c r="H6023" s="1">
        <v>2</v>
      </c>
      <c r="I6023" s="1">
        <v>2</v>
      </c>
      <c r="J6023" s="1">
        <v>2</v>
      </c>
      <c r="K6023" s="1">
        <v>2</v>
      </c>
      <c r="M6023" s="4">
        <v>1123</v>
      </c>
      <c r="N6023" s="1">
        <v>1251</v>
      </c>
      <c r="O6023" s="1">
        <v>1271</v>
      </c>
      <c r="P6023" s="1">
        <v>20</v>
      </c>
      <c r="Q6023" s="1" t="s">
        <v>42</v>
      </c>
      <c r="S6023" s="1" t="s">
        <v>42</v>
      </c>
      <c r="T6023" s="1" t="s">
        <v>273</v>
      </c>
      <c r="U6023" s="1">
        <v>88</v>
      </c>
      <c r="V6023" s="5">
        <v>44272</v>
      </c>
      <c r="W6023" s="5">
        <v>44183</v>
      </c>
      <c r="X6023" s="1">
        <v>1910000</v>
      </c>
      <c r="Y6023" s="1">
        <v>1910000</v>
      </c>
      <c r="AA6023" s="1">
        <v>1910000</v>
      </c>
      <c r="AB6023" s="1" t="s">
        <v>275</v>
      </c>
      <c r="AC6023" s="5">
        <v>44272</v>
      </c>
      <c r="AF6023" s="1">
        <v>10002</v>
      </c>
      <c r="AI6023" s="1" t="s">
        <v>246</v>
      </c>
      <c r="AJ6023" s="1">
        <v>2019</v>
      </c>
      <c r="AK6023" s="1" t="s">
        <v>46</v>
      </c>
      <c r="AL6023" s="1">
        <v>787</v>
      </c>
    </row>
    <row r="6024" spans="1:38" x14ac:dyDescent="0.2">
      <c r="A6024" s="2" t="str">
        <f>HYPERLINK("https://www.compass.com/listing/252-south-street-unit-58b-manhattan-ny-10002/675435458158790953/","252 South St, Unit 58B")</f>
        <v>252 South St, Unit 58B</v>
      </c>
      <c r="B6024" s="2" t="str">
        <f t="shared" si="992"/>
        <v>One Manhattan Square</v>
      </c>
      <c r="C6024" s="1" t="s">
        <v>47</v>
      </c>
      <c r="D6024" s="1" t="s">
        <v>41</v>
      </c>
      <c r="E6024" s="3">
        <v>1978592</v>
      </c>
      <c r="F6024" s="1">
        <v>1913.5315280464199</v>
      </c>
      <c r="G6024" s="1">
        <v>4</v>
      </c>
      <c r="H6024" s="1">
        <v>2</v>
      </c>
      <c r="I6024" s="1">
        <v>2</v>
      </c>
      <c r="J6024" s="1">
        <v>2</v>
      </c>
      <c r="K6024" s="1">
        <v>2</v>
      </c>
      <c r="M6024" s="4">
        <v>1034</v>
      </c>
      <c r="N6024" s="1">
        <v>1373</v>
      </c>
      <c r="O6024" s="1">
        <v>1395</v>
      </c>
      <c r="P6024" s="1">
        <v>22</v>
      </c>
      <c r="Q6024" s="1" t="s">
        <v>42</v>
      </c>
      <c r="S6024" s="1" t="s">
        <v>42</v>
      </c>
      <c r="T6024" s="1" t="s">
        <v>273</v>
      </c>
      <c r="U6024" s="1">
        <v>110</v>
      </c>
      <c r="V6024" s="5">
        <v>44417</v>
      </c>
      <c r="W6024" s="5">
        <v>44183</v>
      </c>
      <c r="X6024" s="1">
        <v>2040000</v>
      </c>
      <c r="Y6024" s="1">
        <v>2040000</v>
      </c>
      <c r="Z6024" s="5">
        <v>44293</v>
      </c>
      <c r="AA6024" s="1">
        <v>1978591.6</v>
      </c>
      <c r="AB6024" s="1" t="s">
        <v>4328</v>
      </c>
      <c r="AC6024" s="5">
        <v>44393</v>
      </c>
      <c r="AF6024" s="1">
        <v>10002</v>
      </c>
      <c r="AI6024" s="1" t="s">
        <v>191</v>
      </c>
      <c r="AJ6024" s="1">
        <v>2019</v>
      </c>
      <c r="AK6024" s="1" t="s">
        <v>46</v>
      </c>
      <c r="AL6024" s="1">
        <v>787</v>
      </c>
    </row>
    <row r="6025" spans="1:38" x14ac:dyDescent="0.2">
      <c r="A6025" s="2" t="str">
        <f>HYPERLINK("https://www.compass.com/listing/252-south-street-unit-18h-manhattan-ny-10002/586919114742967449/","252 South St, Unit 18H")</f>
        <v>252 South St, Unit 18H</v>
      </c>
      <c r="B6025" s="2" t="str">
        <f t="shared" si="992"/>
        <v>One Manhattan Square</v>
      </c>
      <c r="C6025" s="1" t="s">
        <v>47</v>
      </c>
      <c r="D6025" s="1" t="s">
        <v>41</v>
      </c>
      <c r="E6025" s="3">
        <v>1919110</v>
      </c>
      <c r="F6025" s="1">
        <v>1660.1299221453201</v>
      </c>
      <c r="G6025" s="1">
        <v>4</v>
      </c>
      <c r="H6025" s="1">
        <v>2</v>
      </c>
      <c r="I6025" s="1">
        <v>2</v>
      </c>
      <c r="J6025" s="1">
        <v>2</v>
      </c>
      <c r="K6025" s="1">
        <v>2</v>
      </c>
      <c r="M6025" s="4">
        <v>1156</v>
      </c>
      <c r="N6025" s="1">
        <v>1289</v>
      </c>
      <c r="O6025" s="1">
        <v>1309</v>
      </c>
      <c r="P6025" s="1">
        <v>20</v>
      </c>
      <c r="Q6025" s="1" t="s">
        <v>42</v>
      </c>
      <c r="S6025" s="1" t="s">
        <v>42</v>
      </c>
      <c r="T6025" s="1" t="s">
        <v>273</v>
      </c>
      <c r="V6025" s="5">
        <v>44292</v>
      </c>
      <c r="W6025" s="5">
        <v>44062</v>
      </c>
      <c r="X6025" s="1">
        <v>2087000</v>
      </c>
      <c r="Y6025" s="1">
        <v>1880785</v>
      </c>
      <c r="Z6025" s="5">
        <v>44062</v>
      </c>
      <c r="AA6025" s="1">
        <v>1919110.19</v>
      </c>
      <c r="AB6025" s="1" t="s">
        <v>4329</v>
      </c>
      <c r="AC6025" s="5">
        <v>44273</v>
      </c>
      <c r="AF6025" s="1">
        <v>10002</v>
      </c>
      <c r="AI6025" s="1" t="s">
        <v>246</v>
      </c>
      <c r="AJ6025" s="1">
        <v>2019</v>
      </c>
      <c r="AK6025" s="1" t="s">
        <v>46</v>
      </c>
      <c r="AL6025" s="1">
        <v>787</v>
      </c>
    </row>
    <row r="6026" spans="1:38" x14ac:dyDescent="0.2">
      <c r="A6026" s="2" t="str">
        <f>HYPERLINK("https://www.compass.com/listing/252-south-street-unit-9h-manhattan-ny-10002/801629555571737305/","252 South St, Unit 9H")</f>
        <v>252 South St, Unit 9H</v>
      </c>
      <c r="B6026" s="2" t="str">
        <f t="shared" si="992"/>
        <v>One Manhattan Square</v>
      </c>
      <c r="C6026" s="1" t="s">
        <v>47</v>
      </c>
      <c r="D6026" s="1" t="s">
        <v>41</v>
      </c>
      <c r="E6026" s="3">
        <v>1785938</v>
      </c>
      <c r="F6026" s="1">
        <v>1544.92863321799</v>
      </c>
      <c r="G6026" s="1">
        <v>4</v>
      </c>
      <c r="H6026" s="1">
        <v>2</v>
      </c>
      <c r="I6026" s="1">
        <v>2</v>
      </c>
      <c r="J6026" s="1">
        <v>2</v>
      </c>
      <c r="K6026" s="1">
        <v>2</v>
      </c>
      <c r="M6026" s="4">
        <v>1156</v>
      </c>
      <c r="N6026" s="1">
        <v>1245</v>
      </c>
      <c r="O6026" s="1">
        <v>1265</v>
      </c>
      <c r="P6026" s="1">
        <v>20</v>
      </c>
      <c r="Q6026" s="1" t="s">
        <v>42</v>
      </c>
      <c r="S6026" s="1" t="s">
        <v>42</v>
      </c>
      <c r="T6026" s="1" t="s">
        <v>273</v>
      </c>
      <c r="U6026" s="1">
        <v>279</v>
      </c>
      <c r="V6026" s="5">
        <v>44048</v>
      </c>
      <c r="W6026" s="5">
        <v>44048</v>
      </c>
      <c r="X6026" s="1">
        <v>1895000</v>
      </c>
      <c r="Y6026" s="1">
        <v>1895000</v>
      </c>
      <c r="AA6026" s="1">
        <v>1785937.5</v>
      </c>
      <c r="AB6026" s="1" t="s">
        <v>4289</v>
      </c>
      <c r="AC6026" s="5">
        <v>44327</v>
      </c>
      <c r="AF6026" s="1">
        <v>10002</v>
      </c>
      <c r="AI6026" s="1" t="s">
        <v>246</v>
      </c>
      <c r="AJ6026" s="1">
        <v>2019</v>
      </c>
      <c r="AK6026" s="1" t="s">
        <v>46</v>
      </c>
      <c r="AL6026" s="1">
        <v>787</v>
      </c>
    </row>
    <row r="6027" spans="1:38" x14ac:dyDescent="0.2">
      <c r="A6027" s="2" t="str">
        <f>HYPERLINK("https://www.compass.com/listing/252-south-street-unit-phc-manhattan-ny-10002/86013027345850849/","252 South St, Unit PHC")</f>
        <v>252 South St, Unit PHC</v>
      </c>
      <c r="B6027" s="2" t="str">
        <f t="shared" si="992"/>
        <v>One Manhattan Square</v>
      </c>
      <c r="C6027" s="1" t="s">
        <v>47</v>
      </c>
      <c r="D6027" s="1" t="s">
        <v>41</v>
      </c>
      <c r="E6027" s="3">
        <v>12519100</v>
      </c>
      <c r="F6027" s="1">
        <v>3384.4552581778798</v>
      </c>
      <c r="G6027" s="1">
        <v>8</v>
      </c>
      <c r="H6027" s="1">
        <v>5</v>
      </c>
      <c r="I6027" s="1">
        <v>5</v>
      </c>
      <c r="J6027" s="1">
        <v>4.5</v>
      </c>
      <c r="K6027" s="1">
        <v>4</v>
      </c>
      <c r="L6027" s="1">
        <v>1</v>
      </c>
      <c r="M6027" s="4">
        <v>3699</v>
      </c>
      <c r="N6027" s="1">
        <v>5400</v>
      </c>
      <c r="O6027" s="1">
        <v>5491</v>
      </c>
      <c r="P6027" s="1">
        <v>91</v>
      </c>
      <c r="Q6027" s="1" t="s">
        <v>42</v>
      </c>
      <c r="S6027" s="1" t="s">
        <v>42</v>
      </c>
      <c r="T6027" s="1" t="s">
        <v>273</v>
      </c>
      <c r="U6027" s="1">
        <v>3</v>
      </c>
      <c r="V6027" s="5">
        <v>43844</v>
      </c>
      <c r="W6027" s="5">
        <v>43371</v>
      </c>
      <c r="X6027" s="1">
        <v>13178000</v>
      </c>
      <c r="Y6027" s="1">
        <v>13178000</v>
      </c>
      <c r="Z6027" s="5">
        <v>43374</v>
      </c>
      <c r="AA6027" s="1">
        <v>12519100</v>
      </c>
      <c r="AB6027" s="1" t="s">
        <v>275</v>
      </c>
      <c r="AC6027" s="5">
        <v>43833</v>
      </c>
      <c r="AF6027" s="1">
        <v>10002</v>
      </c>
      <c r="AI6027" s="1" t="s">
        <v>246</v>
      </c>
      <c r="AJ6027" s="1">
        <v>2019</v>
      </c>
      <c r="AK6027" s="1" t="s">
        <v>46</v>
      </c>
      <c r="AL6027" s="1">
        <v>787</v>
      </c>
    </row>
    <row r="6028" spans="1:38" x14ac:dyDescent="0.2">
      <c r="A6028" s="2" t="str">
        <f>HYPERLINK("https://www.compass.com/listing/252-south-street-unit-26f-manhattan-ny-10002/263520546623374545/","252 South St, Unit 26F")</f>
        <v>252 South St, Unit 26F</v>
      </c>
      <c r="B6028" s="2" t="str">
        <f t="shared" si="992"/>
        <v>One Manhattan Square</v>
      </c>
      <c r="C6028" s="1" t="s">
        <v>47</v>
      </c>
      <c r="D6028" s="1" t="s">
        <v>41</v>
      </c>
      <c r="E6028" s="3">
        <v>1285854</v>
      </c>
      <c r="F6028" s="1">
        <v>1850.14968345323</v>
      </c>
      <c r="G6028" s="1">
        <v>3</v>
      </c>
      <c r="H6028" s="1">
        <v>1</v>
      </c>
      <c r="I6028" s="1">
        <v>1</v>
      </c>
      <c r="J6028" s="1">
        <v>1</v>
      </c>
      <c r="K6028" s="1">
        <v>1</v>
      </c>
      <c r="M6028" s="1">
        <v>695</v>
      </c>
      <c r="N6028" s="1">
        <v>807.59</v>
      </c>
      <c r="O6028" s="1">
        <v>820.34</v>
      </c>
      <c r="P6028" s="1">
        <v>12.75</v>
      </c>
      <c r="Q6028" s="1" t="s">
        <v>42</v>
      </c>
      <c r="S6028" s="1" t="s">
        <v>42</v>
      </c>
      <c r="T6028" s="1" t="s">
        <v>273</v>
      </c>
      <c r="U6028" s="1">
        <v>26</v>
      </c>
      <c r="V6028" s="5">
        <v>43759</v>
      </c>
      <c r="W6028" s="5">
        <v>43616</v>
      </c>
      <c r="X6028" s="1">
        <v>1336000</v>
      </c>
      <c r="Y6028" s="1">
        <v>1336000</v>
      </c>
      <c r="Z6028" s="5">
        <v>43642</v>
      </c>
      <c r="AA6028" s="1">
        <v>1285854.03</v>
      </c>
      <c r="AB6028" s="1" t="s">
        <v>4330</v>
      </c>
      <c r="AC6028" s="5">
        <v>43748</v>
      </c>
      <c r="AF6028" s="1">
        <v>10002</v>
      </c>
      <c r="AI6028" s="1" t="s">
        <v>246</v>
      </c>
      <c r="AJ6028" s="1">
        <v>2019</v>
      </c>
      <c r="AK6028" s="1" t="s">
        <v>46</v>
      </c>
      <c r="AL6028" s="1">
        <v>787</v>
      </c>
    </row>
    <row r="6029" spans="1:38" x14ac:dyDescent="0.2">
      <c r="A6029" s="2" t="str">
        <f>HYPERLINK("https://www.compass.com/listing/252-south-street-unit-53d-manhattan-ny-10002/694111941321626673/","252 South St, Unit 53D")</f>
        <v>252 South St, Unit 53D</v>
      </c>
      <c r="B6029" s="2" t="str">
        <f t="shared" si="992"/>
        <v>One Manhattan Square</v>
      </c>
      <c r="C6029" s="1" t="s">
        <v>47</v>
      </c>
      <c r="D6029" s="1" t="s">
        <v>41</v>
      </c>
      <c r="E6029" s="3">
        <v>2447800</v>
      </c>
      <c r="F6029" s="1">
        <v>2102.92096219931</v>
      </c>
      <c r="G6029" s="1">
        <v>4</v>
      </c>
      <c r="H6029" s="1">
        <v>2</v>
      </c>
      <c r="I6029" s="1">
        <v>2</v>
      </c>
      <c r="J6029" s="1">
        <v>2</v>
      </c>
      <c r="K6029" s="1">
        <v>2</v>
      </c>
      <c r="M6029" s="4">
        <v>1164</v>
      </c>
      <c r="N6029" s="1">
        <v>1521</v>
      </c>
      <c r="O6029" s="1">
        <v>1545</v>
      </c>
      <c r="P6029" s="1">
        <v>24</v>
      </c>
      <c r="Q6029" s="1" t="s">
        <v>42</v>
      </c>
      <c r="S6029" s="1" t="s">
        <v>42</v>
      </c>
      <c r="T6029" s="1" t="s">
        <v>273</v>
      </c>
      <c r="U6029" s="1">
        <v>4</v>
      </c>
      <c r="V6029" s="5">
        <v>44252</v>
      </c>
      <c r="W6029" s="5">
        <v>44205</v>
      </c>
      <c r="X6029" s="1">
        <v>2721000</v>
      </c>
      <c r="Y6029" s="1">
        <v>2400000</v>
      </c>
      <c r="Z6029" s="5">
        <v>44209</v>
      </c>
      <c r="AA6029" s="1">
        <v>2447800</v>
      </c>
      <c r="AB6029" s="1" t="s">
        <v>4331</v>
      </c>
      <c r="AC6029" s="5">
        <v>44244</v>
      </c>
      <c r="AF6029" s="1">
        <v>10002</v>
      </c>
      <c r="AI6029" s="1" t="s">
        <v>246</v>
      </c>
      <c r="AJ6029" s="1">
        <v>2019</v>
      </c>
      <c r="AK6029" s="1" t="s">
        <v>46</v>
      </c>
      <c r="AL6029" s="1">
        <v>787</v>
      </c>
    </row>
    <row r="6030" spans="1:38" x14ac:dyDescent="0.2">
      <c r="A6030" s="2" t="str">
        <f>HYPERLINK("https://www.compass.com/listing/252-south-street-unit-46l-manhattan-ny-10002/29513535524480225/","252 South St, Unit 46L")</f>
        <v>252 South St, Unit 46L</v>
      </c>
      <c r="B6030" s="2" t="str">
        <f t="shared" si="992"/>
        <v>One Manhattan Square</v>
      </c>
      <c r="C6030" s="1" t="s">
        <v>47</v>
      </c>
      <c r="D6030" s="1" t="s">
        <v>41</v>
      </c>
      <c r="E6030" s="3">
        <v>2615811</v>
      </c>
      <c r="F6030" s="1">
        <v>2329.3065449688302</v>
      </c>
      <c r="G6030" s="1">
        <v>4</v>
      </c>
      <c r="H6030" s="1">
        <v>2</v>
      </c>
      <c r="I6030" s="1">
        <v>2</v>
      </c>
      <c r="J6030" s="1">
        <v>2</v>
      </c>
      <c r="M6030" s="4">
        <v>1123</v>
      </c>
      <c r="N6030" s="1">
        <v>1398</v>
      </c>
      <c r="O6030" s="1">
        <v>1422</v>
      </c>
      <c r="P6030" s="1">
        <v>24</v>
      </c>
      <c r="Q6030" s="1" t="s">
        <v>42</v>
      </c>
      <c r="S6030" s="1" t="s">
        <v>42</v>
      </c>
      <c r="T6030" s="1" t="s">
        <v>273</v>
      </c>
      <c r="U6030" s="1">
        <v>5</v>
      </c>
      <c r="V6030" s="5">
        <v>43766</v>
      </c>
      <c r="W6030" s="5">
        <v>43006</v>
      </c>
      <c r="X6030" s="1">
        <v>2701000</v>
      </c>
      <c r="Y6030" s="1">
        <v>2701000</v>
      </c>
      <c r="Z6030" s="5">
        <v>43011</v>
      </c>
      <c r="AA6030" s="1">
        <v>2615811.25</v>
      </c>
      <c r="AB6030" s="1" t="s">
        <v>4332</v>
      </c>
      <c r="AC6030" s="5">
        <v>43755</v>
      </c>
      <c r="AF6030" s="1">
        <v>10002</v>
      </c>
      <c r="AI6030" s="1" t="s">
        <v>246</v>
      </c>
      <c r="AJ6030" s="1">
        <v>2019</v>
      </c>
      <c r="AK6030" s="1" t="s">
        <v>46</v>
      </c>
      <c r="AL6030" s="1">
        <v>787</v>
      </c>
    </row>
    <row r="6031" spans="1:38" x14ac:dyDescent="0.2">
      <c r="A6031" s="2" t="str">
        <f>HYPERLINK("https://www.compass.com/listing/252-south-street-unit-61b-manhattan-ny-10002/29513545523787793/","252 South St, Unit 61B")</f>
        <v>252 South St, Unit 61B</v>
      </c>
      <c r="B6031" s="2" t="str">
        <f t="shared" si="992"/>
        <v>One Manhattan Square</v>
      </c>
      <c r="C6031" s="1" t="s">
        <v>47</v>
      </c>
      <c r="D6031" s="1" t="s">
        <v>41</v>
      </c>
      <c r="E6031" s="3">
        <v>2610869</v>
      </c>
      <c r="F6031" s="1">
        <v>2525.0184429400301</v>
      </c>
      <c r="G6031" s="1">
        <v>4</v>
      </c>
      <c r="H6031" s="1">
        <v>2</v>
      </c>
      <c r="I6031" s="1">
        <v>2</v>
      </c>
      <c r="J6031" s="1">
        <v>2</v>
      </c>
      <c r="M6031" s="4">
        <v>1034</v>
      </c>
      <c r="N6031" s="1">
        <v>1374</v>
      </c>
      <c r="O6031" s="1">
        <v>1397</v>
      </c>
      <c r="P6031" s="1">
        <v>23</v>
      </c>
      <c r="Q6031" s="1" t="s">
        <v>42</v>
      </c>
      <c r="S6031" s="1" t="s">
        <v>42</v>
      </c>
      <c r="T6031" s="1" t="s">
        <v>273</v>
      </c>
      <c r="U6031" s="1">
        <v>2</v>
      </c>
      <c r="V6031" s="5">
        <v>43717</v>
      </c>
      <c r="W6031" s="5">
        <v>43006</v>
      </c>
      <c r="X6031" s="1">
        <v>2653000</v>
      </c>
      <c r="Y6031" s="1">
        <v>2653000</v>
      </c>
      <c r="Z6031" s="5">
        <v>43008</v>
      </c>
      <c r="AA6031" s="1">
        <v>2610869.0699999998</v>
      </c>
      <c r="AB6031" s="1" t="s">
        <v>4333</v>
      </c>
      <c r="AC6031" s="5">
        <v>43707</v>
      </c>
      <c r="AF6031" s="1">
        <v>10002</v>
      </c>
      <c r="AI6031" s="1" t="s">
        <v>246</v>
      </c>
      <c r="AJ6031" s="1">
        <v>2019</v>
      </c>
      <c r="AK6031" s="1" t="s">
        <v>46</v>
      </c>
      <c r="AL6031" s="1">
        <v>787</v>
      </c>
    </row>
    <row r="6032" spans="1:38" x14ac:dyDescent="0.2">
      <c r="A6032" s="2" t="str">
        <f>HYPERLINK("https://www.compass.com/listing/252-south-street-unit-9e-manhattan-ny-10002/29513548375828385/","252 South St, Unit 9E")</f>
        <v>252 South St, Unit 9E</v>
      </c>
      <c r="B6032" s="2" t="str">
        <f t="shared" si="992"/>
        <v>One Manhattan Square</v>
      </c>
      <c r="C6032" s="1" t="s">
        <v>47</v>
      </c>
      <c r="D6032" s="1" t="s">
        <v>41</v>
      </c>
      <c r="E6032" s="3">
        <v>2061883</v>
      </c>
      <c r="F6032" s="1">
        <v>1836.0489759572499</v>
      </c>
      <c r="G6032" s="1">
        <v>4</v>
      </c>
      <c r="H6032" s="1">
        <v>2</v>
      </c>
      <c r="I6032" s="1">
        <v>2</v>
      </c>
      <c r="J6032" s="1">
        <v>2</v>
      </c>
      <c r="K6032" s="1">
        <v>2</v>
      </c>
      <c r="M6032" s="4">
        <v>1123</v>
      </c>
      <c r="N6032" s="1">
        <v>1192</v>
      </c>
      <c r="O6032" s="1">
        <v>1212</v>
      </c>
      <c r="P6032" s="1">
        <v>20</v>
      </c>
      <c r="Q6032" s="1" t="s">
        <v>42</v>
      </c>
      <c r="S6032" s="1" t="s">
        <v>42</v>
      </c>
      <c r="T6032" s="1" t="s">
        <v>273</v>
      </c>
      <c r="U6032" s="1">
        <v>4</v>
      </c>
      <c r="V6032" s="5">
        <v>43696</v>
      </c>
      <c r="W6032" s="5">
        <v>43273</v>
      </c>
      <c r="X6032" s="1">
        <v>2115000</v>
      </c>
      <c r="Y6032" s="1">
        <v>2115000</v>
      </c>
      <c r="Z6032" s="5">
        <v>43277</v>
      </c>
      <c r="AA6032" s="1">
        <v>2061883</v>
      </c>
      <c r="AB6032" s="1" t="s">
        <v>4334</v>
      </c>
      <c r="AC6032" s="5">
        <v>43680</v>
      </c>
      <c r="AF6032" s="1">
        <v>10002</v>
      </c>
      <c r="AI6032" s="1" t="s">
        <v>246</v>
      </c>
      <c r="AJ6032" s="1">
        <v>2019</v>
      </c>
      <c r="AK6032" s="1" t="s">
        <v>46</v>
      </c>
      <c r="AL6032" s="1">
        <v>787</v>
      </c>
    </row>
    <row r="6033" spans="1:38" x14ac:dyDescent="0.2">
      <c r="A6033" s="2" t="str">
        <f>HYPERLINK("https://www.compass.com/listing/252-south-street-unit-42c-manhattan-ny-10002/675433960473577761/","252 South St, Unit 42C")</f>
        <v>252 South St, Unit 42C</v>
      </c>
      <c r="B6033" s="2" t="str">
        <f t="shared" si="992"/>
        <v>One Manhattan Square</v>
      </c>
      <c r="C6033" s="1" t="s">
        <v>47</v>
      </c>
      <c r="D6033" s="1" t="s">
        <v>41</v>
      </c>
      <c r="E6033" s="3">
        <v>3193844</v>
      </c>
      <c r="F6033" s="1">
        <v>2147.8438130464001</v>
      </c>
      <c r="G6033" s="1">
        <v>5</v>
      </c>
      <c r="H6033" s="1">
        <v>3</v>
      </c>
      <c r="I6033" s="1">
        <v>3</v>
      </c>
      <c r="J6033" s="1">
        <v>3</v>
      </c>
      <c r="K6033" s="1">
        <v>3</v>
      </c>
      <c r="M6033" s="4">
        <v>1487</v>
      </c>
      <c r="N6033" s="1">
        <v>1856</v>
      </c>
      <c r="O6033" s="1">
        <v>1885</v>
      </c>
      <c r="P6033" s="1">
        <v>29</v>
      </c>
      <c r="Q6033" s="1" t="s">
        <v>42</v>
      </c>
      <c r="S6033" s="1" t="s">
        <v>42</v>
      </c>
      <c r="T6033" s="1" t="s">
        <v>273</v>
      </c>
      <c r="U6033" s="1">
        <v>146</v>
      </c>
      <c r="V6033" s="5">
        <v>44420</v>
      </c>
      <c r="W6033" s="5">
        <v>44183</v>
      </c>
      <c r="X6033" s="1">
        <v>3230000</v>
      </c>
      <c r="Y6033" s="1">
        <v>3230000</v>
      </c>
      <c r="Z6033" s="5">
        <v>44330</v>
      </c>
      <c r="AA6033" s="1">
        <v>3193843.75</v>
      </c>
      <c r="AB6033" s="1" t="s">
        <v>4335</v>
      </c>
      <c r="AC6033" s="5">
        <v>44393</v>
      </c>
      <c r="AF6033" s="1">
        <v>10002</v>
      </c>
      <c r="AI6033" s="1" t="s">
        <v>191</v>
      </c>
      <c r="AJ6033" s="1">
        <v>2019</v>
      </c>
      <c r="AK6033" s="1" t="s">
        <v>46</v>
      </c>
      <c r="AL6033" s="1">
        <v>787</v>
      </c>
    </row>
    <row r="6034" spans="1:38" x14ac:dyDescent="0.2">
      <c r="A6034" s="2" t="str">
        <f>HYPERLINK("https://www.compass.com/listing/252-south-street-unit-50g-manhattan-ny-10002/630339857031781553/","252 South St, Unit 50G")</f>
        <v>252 South St, Unit 50G</v>
      </c>
      <c r="B6034" s="2" t="str">
        <f t="shared" si="992"/>
        <v>One Manhattan Square</v>
      </c>
      <c r="C6034" s="1" t="s">
        <v>47</v>
      </c>
      <c r="D6034" s="1" t="s">
        <v>41</v>
      </c>
      <c r="E6034" s="3">
        <v>2348989</v>
      </c>
      <c r="F6034" s="1">
        <v>2031.9975605536299</v>
      </c>
      <c r="G6034" s="1">
        <v>4</v>
      </c>
      <c r="H6034" s="1">
        <v>2</v>
      </c>
      <c r="I6034" s="1">
        <v>2</v>
      </c>
      <c r="J6034" s="1">
        <v>2</v>
      </c>
      <c r="K6034" s="1">
        <v>2</v>
      </c>
      <c r="M6034" s="4">
        <v>1156</v>
      </c>
      <c r="N6034" s="1">
        <v>1492</v>
      </c>
      <c r="O6034" s="1">
        <v>1516</v>
      </c>
      <c r="P6034" s="1">
        <v>24</v>
      </c>
      <c r="Q6034" s="1" t="s">
        <v>42</v>
      </c>
      <c r="S6034" s="1" t="s">
        <v>42</v>
      </c>
      <c r="T6034" s="1" t="s">
        <v>273</v>
      </c>
      <c r="V6034" s="5">
        <v>44224</v>
      </c>
      <c r="W6034" s="5">
        <v>44121</v>
      </c>
      <c r="X6034" s="1">
        <v>2617000</v>
      </c>
      <c r="Y6034" s="1">
        <v>2302960</v>
      </c>
      <c r="Z6034" s="5">
        <v>44121</v>
      </c>
      <c r="AA6034" s="1">
        <v>2348989.1800000002</v>
      </c>
      <c r="AB6034" s="1" t="s">
        <v>4336</v>
      </c>
      <c r="AC6034" s="5">
        <v>44217</v>
      </c>
      <c r="AF6034" s="1">
        <v>10002</v>
      </c>
      <c r="AI6034" s="1" t="s">
        <v>246</v>
      </c>
      <c r="AJ6034" s="1">
        <v>2019</v>
      </c>
      <c r="AK6034" s="1" t="s">
        <v>46</v>
      </c>
      <c r="AL6034" s="1">
        <v>787</v>
      </c>
    </row>
    <row r="6035" spans="1:38" x14ac:dyDescent="0.2">
      <c r="A6035" s="2" t="str">
        <f>HYPERLINK("https://www.compass.com/listing/252-south-street-unit-21m-manhattan-ny-10002/612963617150858953/","252 South St, Unit 21M")</f>
        <v>252 South St, Unit 21M</v>
      </c>
      <c r="B6035" s="2" t="str">
        <f t="shared" si="992"/>
        <v>One Manhattan Square</v>
      </c>
      <c r="C6035" s="1" t="s">
        <v>47</v>
      </c>
      <c r="D6035" s="1" t="s">
        <v>41</v>
      </c>
      <c r="E6035" s="3">
        <v>2157682</v>
      </c>
      <c r="F6035" s="1">
        <v>1921.3552003561799</v>
      </c>
      <c r="G6035" s="1">
        <v>4</v>
      </c>
      <c r="H6035" s="1">
        <v>2</v>
      </c>
      <c r="I6035" s="1">
        <v>2</v>
      </c>
      <c r="J6035" s="1">
        <v>2</v>
      </c>
      <c r="K6035" s="1">
        <v>2</v>
      </c>
      <c r="M6035" s="4">
        <v>1123</v>
      </c>
      <c r="N6035" s="1">
        <v>1276</v>
      </c>
      <c r="O6035" s="1">
        <v>1296</v>
      </c>
      <c r="P6035" s="1">
        <v>20</v>
      </c>
      <c r="Q6035" s="1" t="s">
        <v>42</v>
      </c>
      <c r="S6035" s="1" t="s">
        <v>42</v>
      </c>
      <c r="T6035" s="1" t="s">
        <v>273</v>
      </c>
      <c r="U6035" s="1">
        <v>1</v>
      </c>
      <c r="V6035" s="5">
        <v>44183</v>
      </c>
      <c r="W6035" s="5">
        <v>44098</v>
      </c>
      <c r="X6035" s="1">
        <v>2299000</v>
      </c>
      <c r="Y6035" s="1">
        <v>2115080</v>
      </c>
      <c r="Z6035" s="5">
        <v>44099</v>
      </c>
      <c r="AA6035" s="1">
        <v>2157681.89</v>
      </c>
      <c r="AB6035" s="1" t="s">
        <v>4337</v>
      </c>
      <c r="AC6035" s="5">
        <v>44180</v>
      </c>
      <c r="AF6035" s="1">
        <v>10002</v>
      </c>
      <c r="AI6035" s="1" t="s">
        <v>246</v>
      </c>
      <c r="AJ6035" s="1">
        <v>2019</v>
      </c>
      <c r="AK6035" s="1" t="s">
        <v>46</v>
      </c>
      <c r="AL6035" s="1">
        <v>787</v>
      </c>
    </row>
    <row r="6036" spans="1:38" x14ac:dyDescent="0.2">
      <c r="A6036" s="2" t="str">
        <f>HYPERLINK("https://www.compass.com/listing/252-south-street-unit-36b-manhattan-ny-10002/157048637556348353/","252 South St, Unit 36B")</f>
        <v>252 South St, Unit 36B</v>
      </c>
      <c r="B6036" s="2" t="str">
        <f t="shared" si="992"/>
        <v>One Manhattan Square</v>
      </c>
      <c r="C6036" s="1" t="s">
        <v>47</v>
      </c>
      <c r="D6036" s="1" t="s">
        <v>41</v>
      </c>
      <c r="E6036" s="3">
        <v>2223785</v>
      </c>
      <c r="F6036" s="1">
        <v>2128.02392344497</v>
      </c>
      <c r="G6036" s="1">
        <v>4</v>
      </c>
      <c r="H6036" s="1">
        <v>2</v>
      </c>
      <c r="I6036" s="1">
        <v>2</v>
      </c>
      <c r="J6036" s="1">
        <v>2</v>
      </c>
      <c r="K6036" s="1">
        <v>2</v>
      </c>
      <c r="M6036" s="4">
        <v>1045</v>
      </c>
      <c r="N6036" s="1">
        <v>1246</v>
      </c>
      <c r="O6036" s="1">
        <v>1267</v>
      </c>
      <c r="P6036" s="1">
        <v>21</v>
      </c>
      <c r="Q6036" s="1" t="s">
        <v>42</v>
      </c>
      <c r="S6036" s="1" t="s">
        <v>42</v>
      </c>
      <c r="T6036" s="1" t="s">
        <v>273</v>
      </c>
      <c r="U6036" s="1">
        <v>1</v>
      </c>
      <c r="V6036" s="5">
        <v>43710</v>
      </c>
      <c r="W6036" s="5">
        <v>43469</v>
      </c>
      <c r="X6036" s="1">
        <v>2314000</v>
      </c>
      <c r="Y6036" s="1">
        <v>2314000</v>
      </c>
      <c r="Z6036" s="5">
        <v>43470</v>
      </c>
      <c r="AA6036" s="1">
        <v>2223785</v>
      </c>
      <c r="AB6036" s="1" t="s">
        <v>4338</v>
      </c>
      <c r="AC6036" s="5">
        <v>43696</v>
      </c>
      <c r="AF6036" s="1">
        <v>10002</v>
      </c>
      <c r="AI6036" s="1" t="s">
        <v>246</v>
      </c>
      <c r="AJ6036" s="1">
        <v>2019</v>
      </c>
      <c r="AK6036" s="1" t="s">
        <v>46</v>
      </c>
      <c r="AL6036" s="1">
        <v>787</v>
      </c>
    </row>
    <row r="6037" spans="1:38" x14ac:dyDescent="0.2">
      <c r="A6037" s="2" t="str">
        <f>HYPERLINK("https://www.compass.com/listing/252-south-street-unit-18a-manhattan-ny-10002/29513521490389073/","252 South St, Unit 18A")</f>
        <v>252 South St, Unit 18A</v>
      </c>
      <c r="B6037" s="2" t="str">
        <f t="shared" si="992"/>
        <v>One Manhattan Square</v>
      </c>
      <c r="C6037" s="1" t="s">
        <v>47</v>
      </c>
      <c r="D6037" s="1" t="s">
        <v>41</v>
      </c>
      <c r="E6037" s="3">
        <v>2306258</v>
      </c>
      <c r="F6037" s="1">
        <v>1984.73149741824</v>
      </c>
      <c r="G6037" s="1">
        <v>4</v>
      </c>
      <c r="H6037" s="1">
        <v>2</v>
      </c>
      <c r="I6037" s="1">
        <v>2</v>
      </c>
      <c r="J6037" s="1">
        <v>2</v>
      </c>
      <c r="M6037" s="4">
        <v>1162</v>
      </c>
      <c r="N6037" s="1">
        <v>1276</v>
      </c>
      <c r="O6037" s="1">
        <v>1297</v>
      </c>
      <c r="P6037" s="1">
        <v>21</v>
      </c>
      <c r="Q6037" s="1" t="s">
        <v>42</v>
      </c>
      <c r="S6037" s="1" t="s">
        <v>42</v>
      </c>
      <c r="T6037" s="1" t="s">
        <v>273</v>
      </c>
      <c r="U6037" s="1">
        <v>35</v>
      </c>
      <c r="V6037" s="5">
        <v>43696</v>
      </c>
      <c r="W6037" s="5">
        <v>43077</v>
      </c>
      <c r="X6037" s="1">
        <v>2343000</v>
      </c>
      <c r="Y6037" s="1">
        <v>2343000</v>
      </c>
      <c r="Z6037" s="5">
        <v>43112</v>
      </c>
      <c r="AA6037" s="1">
        <v>2306258</v>
      </c>
      <c r="AB6037" s="1" t="s">
        <v>4339</v>
      </c>
      <c r="AC6037" s="5">
        <v>43571</v>
      </c>
      <c r="AF6037" s="1">
        <v>10002</v>
      </c>
      <c r="AI6037" s="1" t="s">
        <v>246</v>
      </c>
      <c r="AJ6037" s="1">
        <v>2019</v>
      </c>
      <c r="AK6037" s="1" t="s">
        <v>46</v>
      </c>
      <c r="AL6037" s="1">
        <v>787</v>
      </c>
    </row>
    <row r="6038" spans="1:38" x14ac:dyDescent="0.2">
      <c r="A6038" s="2" t="str">
        <f>HYPERLINK("https://www.compass.com/listing/252-south-street-unit-10d-manhattan-ny-10002/29513534241109457/","252 South St, Unit 10D")</f>
        <v>252 South St, Unit 10D</v>
      </c>
      <c r="B6038" s="2" t="str">
        <f t="shared" si="992"/>
        <v>One Manhattan Square</v>
      </c>
      <c r="C6038" s="1" t="s">
        <v>47</v>
      </c>
      <c r="D6038" s="1" t="s">
        <v>41</v>
      </c>
      <c r="E6038" s="3">
        <v>2315428</v>
      </c>
      <c r="F6038" s="1">
        <v>2061.8232413178898</v>
      </c>
      <c r="G6038" s="1">
        <v>4</v>
      </c>
      <c r="H6038" s="1">
        <v>2</v>
      </c>
      <c r="I6038" s="1">
        <v>2</v>
      </c>
      <c r="J6038" s="1">
        <v>2</v>
      </c>
      <c r="M6038" s="4">
        <v>1123</v>
      </c>
      <c r="N6038" s="1">
        <v>1198</v>
      </c>
      <c r="O6038" s="1">
        <v>1218</v>
      </c>
      <c r="P6038" s="1">
        <v>20</v>
      </c>
      <c r="Q6038" s="1" t="s">
        <v>42</v>
      </c>
      <c r="S6038" s="1" t="s">
        <v>42</v>
      </c>
      <c r="T6038" s="1" t="s">
        <v>273</v>
      </c>
      <c r="U6038" s="1">
        <v>4</v>
      </c>
      <c r="V6038" s="5">
        <v>43683</v>
      </c>
      <c r="W6038" s="5">
        <v>43035</v>
      </c>
      <c r="X6038" s="1">
        <v>2378000</v>
      </c>
      <c r="Y6038" s="1">
        <v>2378000</v>
      </c>
      <c r="Z6038" s="5">
        <v>43039</v>
      </c>
      <c r="AA6038" s="1">
        <v>2315427.5</v>
      </c>
      <c r="AB6038" s="1" t="s">
        <v>4340</v>
      </c>
      <c r="AC6038" s="5">
        <v>43573</v>
      </c>
      <c r="AF6038" s="1">
        <v>10002</v>
      </c>
      <c r="AI6038" s="1" t="s">
        <v>246</v>
      </c>
      <c r="AJ6038" s="1">
        <v>2019</v>
      </c>
      <c r="AK6038" s="1" t="s">
        <v>46</v>
      </c>
      <c r="AL6038" s="1">
        <v>787</v>
      </c>
    </row>
    <row r="6039" spans="1:38" x14ac:dyDescent="0.2">
      <c r="A6039" s="2" t="str">
        <f>HYPERLINK("https://www.compass.com/listing/252-south-street-unit-57b-manhattan-ny-10002/29513534517847217/","252 South St, Unit 57B")</f>
        <v>252 South St, Unit 57B</v>
      </c>
      <c r="B6039" s="2" t="str">
        <f t="shared" si="992"/>
        <v>One Manhattan Square</v>
      </c>
      <c r="C6039" s="1" t="s">
        <v>47</v>
      </c>
      <c r="D6039" s="1" t="s">
        <v>41</v>
      </c>
      <c r="E6039" s="3">
        <v>2589251</v>
      </c>
      <c r="F6039" s="1">
        <v>2504.11077369439</v>
      </c>
      <c r="G6039" s="1">
        <v>4</v>
      </c>
      <c r="H6039" s="1">
        <v>2</v>
      </c>
      <c r="I6039" s="1">
        <v>2</v>
      </c>
      <c r="J6039" s="1">
        <v>2</v>
      </c>
      <c r="M6039" s="4">
        <v>1034</v>
      </c>
      <c r="N6039" s="1">
        <v>1347</v>
      </c>
      <c r="O6039" s="1">
        <v>1370</v>
      </c>
      <c r="P6039" s="1">
        <v>23</v>
      </c>
      <c r="Q6039" s="1" t="s">
        <v>42</v>
      </c>
      <c r="S6039" s="1" t="s">
        <v>42</v>
      </c>
      <c r="T6039" s="1" t="s">
        <v>273</v>
      </c>
      <c r="U6039" s="1">
        <v>2</v>
      </c>
      <c r="V6039" s="5">
        <v>43717</v>
      </c>
      <c r="W6039" s="5">
        <v>43019</v>
      </c>
      <c r="X6039" s="1">
        <v>2631000</v>
      </c>
      <c r="Y6039" s="1">
        <v>2631000</v>
      </c>
      <c r="Z6039" s="5">
        <v>43021</v>
      </c>
      <c r="AA6039" s="1">
        <v>2589250.54</v>
      </c>
      <c r="AB6039" s="1" t="s">
        <v>4341</v>
      </c>
      <c r="AC6039" s="5">
        <v>43707</v>
      </c>
      <c r="AF6039" s="1">
        <v>10002</v>
      </c>
      <c r="AI6039" s="1" t="s">
        <v>246</v>
      </c>
      <c r="AJ6039" s="1">
        <v>2019</v>
      </c>
      <c r="AK6039" s="1" t="s">
        <v>46</v>
      </c>
      <c r="AL6039" s="1">
        <v>787</v>
      </c>
    </row>
    <row r="6040" spans="1:38" x14ac:dyDescent="0.2">
      <c r="A6040" s="2" t="str">
        <f>HYPERLINK("https://www.compass.com/listing/252-south-street-unit-65b-manhattan-ny-10002/29513535860075313/","252 South St, Unit 65B")</f>
        <v>252 South St, Unit 65B</v>
      </c>
      <c r="B6040" s="2" t="str">
        <f t="shared" si="992"/>
        <v>One Manhattan Square</v>
      </c>
      <c r="C6040" s="1" t="s">
        <v>47</v>
      </c>
      <c r="D6040" s="1" t="s">
        <v>41</v>
      </c>
      <c r="E6040" s="3">
        <v>2629537</v>
      </c>
      <c r="F6040" s="1">
        <v>2543.0728626692398</v>
      </c>
      <c r="G6040" s="1">
        <v>4</v>
      </c>
      <c r="H6040" s="1">
        <v>2</v>
      </c>
      <c r="I6040" s="1">
        <v>2</v>
      </c>
      <c r="J6040" s="1">
        <v>2</v>
      </c>
      <c r="M6040" s="4">
        <v>1034</v>
      </c>
      <c r="N6040" s="1">
        <v>1396</v>
      </c>
      <c r="O6040" s="1">
        <v>1420</v>
      </c>
      <c r="P6040" s="1">
        <v>24</v>
      </c>
      <c r="Q6040" s="1" t="s">
        <v>42</v>
      </c>
      <c r="S6040" s="1" t="s">
        <v>42</v>
      </c>
      <c r="T6040" s="1" t="s">
        <v>273</v>
      </c>
      <c r="U6040" s="1">
        <v>2</v>
      </c>
      <c r="V6040" s="5">
        <v>43717</v>
      </c>
      <c r="W6040" s="5">
        <v>43006</v>
      </c>
      <c r="X6040" s="1">
        <v>2672000</v>
      </c>
      <c r="Y6040" s="1">
        <v>2672000</v>
      </c>
      <c r="Z6040" s="5">
        <v>43008</v>
      </c>
      <c r="AA6040" s="1">
        <v>2629537.34</v>
      </c>
      <c r="AB6040" s="1" t="s">
        <v>4342</v>
      </c>
      <c r="AC6040" s="5">
        <v>43707</v>
      </c>
      <c r="AF6040" s="1">
        <v>10002</v>
      </c>
      <c r="AI6040" s="1" t="s">
        <v>246</v>
      </c>
      <c r="AJ6040" s="1">
        <v>2019</v>
      </c>
      <c r="AK6040" s="1" t="s">
        <v>46</v>
      </c>
      <c r="AL6040" s="1">
        <v>787</v>
      </c>
    </row>
    <row r="6041" spans="1:38" x14ac:dyDescent="0.2">
      <c r="A6041" s="2" t="str">
        <f>HYPERLINK("https://www.compass.com/listing/252-south-street-unit-48k-manhattan-ny-10002/308624830303662929/","252 South St, Unit 48K")</f>
        <v>252 South St, Unit 48K</v>
      </c>
      <c r="B6041" s="2" t="str">
        <f t="shared" si="992"/>
        <v>One Manhattan Square</v>
      </c>
      <c r="C6041" s="1" t="s">
        <v>47</v>
      </c>
      <c r="D6041" s="1" t="s">
        <v>41</v>
      </c>
      <c r="E6041" s="3">
        <v>2520573</v>
      </c>
      <c r="F6041" s="1">
        <v>2244.4999376669598</v>
      </c>
      <c r="G6041" s="1">
        <v>4</v>
      </c>
      <c r="H6041" s="1">
        <v>2</v>
      </c>
      <c r="I6041" s="1">
        <v>2</v>
      </c>
      <c r="J6041" s="1">
        <v>2</v>
      </c>
      <c r="K6041" s="1">
        <v>2</v>
      </c>
      <c r="M6041" s="4">
        <v>1123</v>
      </c>
      <c r="N6041" s="1">
        <v>1431</v>
      </c>
      <c r="O6041" s="1">
        <v>1454</v>
      </c>
      <c r="P6041" s="1">
        <v>23</v>
      </c>
      <c r="Q6041" s="1" t="s">
        <v>42</v>
      </c>
      <c r="S6041" s="1" t="s">
        <v>42</v>
      </c>
      <c r="T6041" s="1" t="s">
        <v>273</v>
      </c>
      <c r="U6041" s="1">
        <v>13</v>
      </c>
      <c r="V6041" s="5">
        <v>43731</v>
      </c>
      <c r="W6041" s="5">
        <v>43678</v>
      </c>
      <c r="X6041" s="1">
        <v>2602000</v>
      </c>
      <c r="Y6041" s="1">
        <v>2602000</v>
      </c>
      <c r="Z6041" s="5">
        <v>43691</v>
      </c>
      <c r="AA6041" s="1">
        <v>2520573.4300000002</v>
      </c>
      <c r="AB6041" s="1" t="s">
        <v>4343</v>
      </c>
      <c r="AC6041" s="5">
        <v>43721</v>
      </c>
      <c r="AF6041" s="1">
        <v>10002</v>
      </c>
      <c r="AI6041" s="1" t="s">
        <v>246</v>
      </c>
      <c r="AJ6041" s="1">
        <v>2019</v>
      </c>
      <c r="AK6041" s="1" t="s">
        <v>46</v>
      </c>
      <c r="AL6041" s="1">
        <v>787</v>
      </c>
    </row>
    <row r="6042" spans="1:38" x14ac:dyDescent="0.2">
      <c r="A6042" s="2" t="str">
        <f>HYPERLINK("https://www.compass.com/listing/252-south-street-unit-40l-manhattan-ny-10002/404232563502711089/","252 South St, Unit 40L")</f>
        <v>252 South St, Unit 40L</v>
      </c>
      <c r="B6042" s="2" t="str">
        <f t="shared" si="992"/>
        <v>One Manhattan Square</v>
      </c>
      <c r="C6042" s="1" t="s">
        <v>47</v>
      </c>
      <c r="D6042" s="1" t="s">
        <v>41</v>
      </c>
      <c r="E6042" s="3">
        <v>2601150</v>
      </c>
      <c r="F6042" s="1">
        <v>2316.2511576135298</v>
      </c>
      <c r="G6042" s="1">
        <v>4</v>
      </c>
      <c r="H6042" s="1">
        <v>2</v>
      </c>
      <c r="I6042" s="1">
        <v>2</v>
      </c>
      <c r="J6042" s="1">
        <v>2</v>
      </c>
      <c r="K6042" s="1">
        <v>2</v>
      </c>
      <c r="M6042" s="4">
        <v>1123</v>
      </c>
      <c r="N6042" s="1">
        <v>1388.74</v>
      </c>
      <c r="O6042" s="1">
        <v>1410.67</v>
      </c>
      <c r="P6042" s="1">
        <v>21.9166666666666</v>
      </c>
      <c r="Q6042" s="1" t="s">
        <v>42</v>
      </c>
      <c r="S6042" s="1" t="s">
        <v>42</v>
      </c>
      <c r="T6042" s="1" t="s">
        <v>273</v>
      </c>
      <c r="U6042" s="1">
        <v>1</v>
      </c>
      <c r="V6042" s="5">
        <v>44117</v>
      </c>
      <c r="W6042" s="5">
        <v>43810</v>
      </c>
      <c r="X6042" s="1">
        <v>2834000</v>
      </c>
      <c r="Y6042" s="1">
        <v>2550600</v>
      </c>
      <c r="Z6042" s="5">
        <v>43811</v>
      </c>
      <c r="AA6042" s="1">
        <v>2601150.0499999998</v>
      </c>
      <c r="AB6042" s="1" t="s">
        <v>4344</v>
      </c>
      <c r="AC6042" s="5">
        <v>43958</v>
      </c>
      <c r="AF6042" s="1">
        <v>10002</v>
      </c>
      <c r="AI6042" s="1" t="s">
        <v>246</v>
      </c>
      <c r="AJ6042" s="1">
        <v>2019</v>
      </c>
      <c r="AK6042" s="1" t="s">
        <v>46</v>
      </c>
      <c r="AL6042" s="1">
        <v>787</v>
      </c>
    </row>
    <row r="6043" spans="1:38" x14ac:dyDescent="0.2">
      <c r="A6043" s="2" t="str">
        <f>HYPERLINK("https://www.compass.com/listing/252-south-street-unit-40n-manhattan-ny-10002/766634889688430209/","252 South St, Unit 40N")</f>
        <v>252 South St, Unit 40N</v>
      </c>
      <c r="B6043" s="2" t="str">
        <f t="shared" si="992"/>
        <v>One Manhattan Square</v>
      </c>
      <c r="C6043" s="1" t="s">
        <v>47</v>
      </c>
      <c r="D6043" s="1" t="s">
        <v>41</v>
      </c>
      <c r="E6043" s="3">
        <v>1388820</v>
      </c>
      <c r="F6043" s="1">
        <v>1920.91286307053</v>
      </c>
      <c r="G6043" s="1">
        <v>3</v>
      </c>
      <c r="H6043" s="1">
        <v>1</v>
      </c>
      <c r="I6043" s="1">
        <v>1</v>
      </c>
      <c r="J6043" s="1">
        <v>1</v>
      </c>
      <c r="K6043" s="1">
        <v>1</v>
      </c>
      <c r="M6043" s="1">
        <v>723</v>
      </c>
      <c r="N6043" s="1">
        <v>895</v>
      </c>
      <c r="O6043" s="1">
        <v>909</v>
      </c>
      <c r="P6043" s="1">
        <v>14</v>
      </c>
      <c r="Q6043" s="1" t="s">
        <v>42</v>
      </c>
      <c r="S6043" s="1" t="s">
        <v>42</v>
      </c>
      <c r="T6043" s="1" t="s">
        <v>273</v>
      </c>
      <c r="U6043" s="1">
        <v>6</v>
      </c>
      <c r="V6043" s="5">
        <v>44310</v>
      </c>
      <c r="W6043" s="5">
        <v>44303</v>
      </c>
      <c r="X6043" s="1">
        <v>1640000</v>
      </c>
      <c r="Y6043" s="1">
        <v>1640000</v>
      </c>
      <c r="Z6043" s="5">
        <v>44310</v>
      </c>
      <c r="AA6043" s="1">
        <v>1388820</v>
      </c>
      <c r="AB6043" s="1" t="s">
        <v>4345</v>
      </c>
      <c r="AC6043" s="5">
        <v>44330</v>
      </c>
      <c r="AF6043" s="1">
        <v>10002</v>
      </c>
      <c r="AI6043" s="1" t="s">
        <v>246</v>
      </c>
      <c r="AJ6043" s="1">
        <v>2019</v>
      </c>
      <c r="AK6043" s="1" t="s">
        <v>46</v>
      </c>
      <c r="AL6043" s="1">
        <v>787</v>
      </c>
    </row>
    <row r="6044" spans="1:38" x14ac:dyDescent="0.2">
      <c r="A6044" s="2" t="str">
        <f>HYPERLINK("https://www.compass.com/listing/252-south-street-unit-66c-manhattan-ny-10002/265103026040181249/","252 South St, Unit 66C")</f>
        <v>252 South St, Unit 66C</v>
      </c>
      <c r="B6044" s="2" t="str">
        <f t="shared" si="992"/>
        <v>One Manhattan Square</v>
      </c>
      <c r="C6044" s="1" t="s">
        <v>47</v>
      </c>
      <c r="D6044" s="1" t="s">
        <v>41</v>
      </c>
      <c r="E6044" s="3">
        <v>4057869</v>
      </c>
      <c r="F6044" s="1">
        <v>2728.89643577673</v>
      </c>
      <c r="G6044" s="1">
        <v>5</v>
      </c>
      <c r="H6044" s="1">
        <v>3</v>
      </c>
      <c r="I6044" s="1">
        <v>3</v>
      </c>
      <c r="J6044" s="1">
        <v>3</v>
      </c>
      <c r="K6044" s="1">
        <v>3</v>
      </c>
      <c r="M6044" s="4">
        <v>1487</v>
      </c>
      <c r="N6044" s="1">
        <v>2044.95</v>
      </c>
      <c r="O6044" s="1">
        <v>2077.2399999999998</v>
      </c>
      <c r="P6044" s="1">
        <v>32.25</v>
      </c>
      <c r="Q6044" s="1" t="s">
        <v>42</v>
      </c>
      <c r="S6044" s="1" t="s">
        <v>42</v>
      </c>
      <c r="T6044" s="1" t="s">
        <v>273</v>
      </c>
      <c r="U6044" s="1">
        <v>24</v>
      </c>
      <c r="V6044" s="5">
        <v>43696</v>
      </c>
      <c r="W6044" s="5">
        <v>43509</v>
      </c>
      <c r="X6044" s="1">
        <v>4277000</v>
      </c>
      <c r="Y6044" s="1">
        <v>4277000</v>
      </c>
      <c r="Z6044" s="5">
        <v>43618</v>
      </c>
      <c r="AA6044" s="1">
        <v>4057869</v>
      </c>
      <c r="AB6044" s="1" t="s">
        <v>4346</v>
      </c>
      <c r="AC6044" s="5">
        <v>43642</v>
      </c>
      <c r="AF6044" s="1">
        <v>10002</v>
      </c>
      <c r="AI6044" s="1" t="s">
        <v>246</v>
      </c>
      <c r="AJ6044" s="1">
        <v>2019</v>
      </c>
      <c r="AK6044" s="1" t="s">
        <v>46</v>
      </c>
      <c r="AL6044" s="1">
        <v>787</v>
      </c>
    </row>
    <row r="6045" spans="1:38" x14ac:dyDescent="0.2">
      <c r="A6045" s="2" t="str">
        <f>HYPERLINK("https://www.compass.com/listing/252-south-street-unit-66c-manhattan-ny-10002/175967903189859905/","252 South St, Unit 66C")</f>
        <v>252 South St, Unit 66C</v>
      </c>
      <c r="B6045" s="2" t="str">
        <f t="shared" si="992"/>
        <v>One Manhattan Square</v>
      </c>
      <c r="C6045" s="1" t="s">
        <v>47</v>
      </c>
      <c r="D6045" s="1" t="s">
        <v>41</v>
      </c>
      <c r="E6045" s="3">
        <v>4057870</v>
      </c>
      <c r="F6045" s="1">
        <v>2728.8968056489498</v>
      </c>
      <c r="G6045" s="1">
        <v>5</v>
      </c>
      <c r="H6045" s="1">
        <v>3</v>
      </c>
      <c r="I6045" s="1">
        <v>3</v>
      </c>
      <c r="J6045" s="1">
        <v>3</v>
      </c>
      <c r="K6045" s="1">
        <v>3</v>
      </c>
      <c r="M6045" s="4">
        <v>1487</v>
      </c>
      <c r="N6045" s="1">
        <v>2016</v>
      </c>
      <c r="O6045" s="1">
        <v>2050</v>
      </c>
      <c r="P6045" s="1">
        <v>34</v>
      </c>
      <c r="Q6045" s="1" t="s">
        <v>42</v>
      </c>
      <c r="S6045" s="1" t="s">
        <v>42</v>
      </c>
      <c r="T6045" s="1" t="s">
        <v>273</v>
      </c>
      <c r="U6045" s="1">
        <v>37</v>
      </c>
      <c r="V6045" s="5">
        <v>43533</v>
      </c>
      <c r="W6045" s="5">
        <v>43495</v>
      </c>
      <c r="X6045" s="1">
        <v>4277000</v>
      </c>
      <c r="Y6045" s="1">
        <v>4277000</v>
      </c>
      <c r="AA6045" s="1">
        <v>4057869.55</v>
      </c>
      <c r="AB6045" s="1" t="s">
        <v>4346</v>
      </c>
      <c r="AC6045" s="5">
        <v>43641</v>
      </c>
      <c r="AF6045" s="1">
        <v>10002</v>
      </c>
      <c r="AI6045" s="1" t="s">
        <v>246</v>
      </c>
      <c r="AJ6045" s="1">
        <v>2019</v>
      </c>
      <c r="AK6045" s="1" t="s">
        <v>46</v>
      </c>
      <c r="AL6045" s="1">
        <v>787</v>
      </c>
    </row>
    <row r="6046" spans="1:38" x14ac:dyDescent="0.2">
      <c r="A6046" s="2" t="str">
        <f>HYPERLINK("https://www.compass.com/listing/252-south-street-unit-45c-manhattan-ny-10002/308637356332225537/","252 South St, Unit 45C")</f>
        <v>252 South St, Unit 45C</v>
      </c>
      <c r="B6046" s="2" t="str">
        <f t="shared" si="992"/>
        <v>One Manhattan Square</v>
      </c>
      <c r="C6046" s="1" t="s">
        <v>47</v>
      </c>
      <c r="D6046" s="1" t="s">
        <v>41</v>
      </c>
      <c r="E6046" s="3">
        <v>3603229</v>
      </c>
      <c r="F6046" s="1">
        <v>2423.1530665770001</v>
      </c>
      <c r="G6046" s="1">
        <v>5</v>
      </c>
      <c r="H6046" s="1">
        <v>3</v>
      </c>
      <c r="I6046" s="1">
        <v>3</v>
      </c>
      <c r="J6046" s="1">
        <v>3</v>
      </c>
      <c r="K6046" s="1">
        <v>3</v>
      </c>
      <c r="M6046" s="4">
        <v>1487</v>
      </c>
      <c r="N6046" s="1">
        <v>1871</v>
      </c>
      <c r="O6046" s="1">
        <v>1901</v>
      </c>
      <c r="P6046" s="1">
        <v>30</v>
      </c>
      <c r="Q6046" s="1" t="s">
        <v>42</v>
      </c>
      <c r="S6046" s="1" t="s">
        <v>42</v>
      </c>
      <c r="T6046" s="1" t="s">
        <v>273</v>
      </c>
      <c r="U6046" s="1">
        <v>30</v>
      </c>
      <c r="V6046" s="5">
        <v>43708</v>
      </c>
      <c r="W6046" s="5">
        <v>43678</v>
      </c>
      <c r="X6046" s="1">
        <v>3849000</v>
      </c>
      <c r="Y6046" s="1">
        <v>3849000</v>
      </c>
      <c r="AA6046" s="1">
        <v>3603228.61</v>
      </c>
      <c r="AB6046" s="1" t="s">
        <v>4347</v>
      </c>
      <c r="AC6046" s="5">
        <v>43796</v>
      </c>
      <c r="AF6046" s="1">
        <v>10002</v>
      </c>
      <c r="AI6046" s="1" t="s">
        <v>246</v>
      </c>
      <c r="AJ6046" s="1">
        <v>2019</v>
      </c>
      <c r="AK6046" s="1" t="s">
        <v>46</v>
      </c>
      <c r="AL6046" s="1">
        <v>787</v>
      </c>
    </row>
    <row r="6047" spans="1:38" x14ac:dyDescent="0.2">
      <c r="A6047" s="2" t="str">
        <f>HYPERLINK("https://www.compass.com/listing/252-south-street-unit-45c-manhattan-ny-10002/330982544916659025/","252 South St, Unit 45C")</f>
        <v>252 South St, Unit 45C</v>
      </c>
      <c r="B6047" s="2" t="str">
        <f t="shared" si="992"/>
        <v>One Manhattan Square</v>
      </c>
      <c r="C6047" s="1" t="s">
        <v>47</v>
      </c>
      <c r="D6047" s="1" t="s">
        <v>41</v>
      </c>
      <c r="E6047" s="3">
        <v>3603229</v>
      </c>
      <c r="F6047" s="1">
        <v>2423.1530665770001</v>
      </c>
      <c r="G6047" s="1">
        <v>5</v>
      </c>
      <c r="H6047" s="1">
        <v>3</v>
      </c>
      <c r="I6047" s="1">
        <v>3</v>
      </c>
      <c r="J6047" s="1">
        <v>3</v>
      </c>
      <c r="K6047" s="1">
        <v>3</v>
      </c>
      <c r="M6047" s="4">
        <v>1487</v>
      </c>
      <c r="N6047" s="1">
        <v>1871</v>
      </c>
      <c r="O6047" s="1">
        <v>1901</v>
      </c>
      <c r="P6047" s="1">
        <v>30</v>
      </c>
      <c r="Q6047" s="1" t="s">
        <v>42</v>
      </c>
      <c r="S6047" s="1" t="s">
        <v>42</v>
      </c>
      <c r="T6047" s="1" t="s">
        <v>273</v>
      </c>
      <c r="U6047" s="1">
        <v>31</v>
      </c>
      <c r="V6047" s="5">
        <v>43808</v>
      </c>
      <c r="W6047" s="5">
        <v>43678</v>
      </c>
      <c r="X6047" s="1">
        <v>3849000</v>
      </c>
      <c r="Y6047" s="1">
        <v>3849000</v>
      </c>
      <c r="Z6047" s="5">
        <v>43709</v>
      </c>
      <c r="AA6047" s="1">
        <v>3603228.61</v>
      </c>
      <c r="AB6047" s="1" t="s">
        <v>4347</v>
      </c>
      <c r="AC6047" s="5">
        <v>43796</v>
      </c>
      <c r="AF6047" s="1">
        <v>10002</v>
      </c>
      <c r="AI6047" s="1" t="s">
        <v>246</v>
      </c>
      <c r="AJ6047" s="1">
        <v>2019</v>
      </c>
      <c r="AK6047" s="1" t="s">
        <v>46</v>
      </c>
      <c r="AL6047" s="1">
        <v>787</v>
      </c>
    </row>
    <row r="6048" spans="1:38" x14ac:dyDescent="0.2">
      <c r="A6048" s="2" t="str">
        <f>HYPERLINK("https://www.compass.com/listing/252-south-street-unit-29n-manhattan-ny-10002/29513524518625985/","252 South St, Unit 29N")</f>
        <v>252 South St, Unit 29N</v>
      </c>
      <c r="B6048" s="2" t="str">
        <f t="shared" si="992"/>
        <v>One Manhattan Square</v>
      </c>
      <c r="C6048" s="1" t="s">
        <v>47</v>
      </c>
      <c r="D6048" s="1" t="s">
        <v>41</v>
      </c>
      <c r="E6048" s="3">
        <v>1519156</v>
      </c>
      <c r="F6048" s="1">
        <v>2185.8359712230199</v>
      </c>
      <c r="G6048" s="1">
        <v>3</v>
      </c>
      <c r="H6048" s="1">
        <v>1</v>
      </c>
      <c r="I6048" s="1">
        <v>1</v>
      </c>
      <c r="J6048" s="1">
        <v>1</v>
      </c>
      <c r="M6048" s="1">
        <v>695</v>
      </c>
      <c r="N6048" s="1">
        <v>807</v>
      </c>
      <c r="O6048" s="1">
        <v>821</v>
      </c>
      <c r="P6048" s="1">
        <v>14</v>
      </c>
      <c r="Q6048" s="1" t="s">
        <v>42</v>
      </c>
      <c r="S6048" s="1" t="s">
        <v>42</v>
      </c>
      <c r="T6048" s="1" t="s">
        <v>273</v>
      </c>
      <c r="U6048" s="1">
        <v>4</v>
      </c>
      <c r="V6048" s="5">
        <v>43696</v>
      </c>
      <c r="W6048" s="5">
        <v>42969</v>
      </c>
      <c r="X6048" s="1">
        <v>1580000</v>
      </c>
      <c r="Y6048" s="1">
        <v>1580000</v>
      </c>
      <c r="Z6048" s="5">
        <v>42973</v>
      </c>
      <c r="AA6048" s="1">
        <v>1519156</v>
      </c>
      <c r="AB6048" s="1" t="s">
        <v>4348</v>
      </c>
      <c r="AC6048" s="5">
        <v>43655</v>
      </c>
      <c r="AF6048" s="1">
        <v>10002</v>
      </c>
      <c r="AI6048" s="1" t="s">
        <v>246</v>
      </c>
      <c r="AJ6048" s="1">
        <v>2019</v>
      </c>
      <c r="AK6048" s="1" t="s">
        <v>46</v>
      </c>
      <c r="AL6048" s="1">
        <v>787</v>
      </c>
    </row>
    <row r="6049" spans="1:38" x14ac:dyDescent="0.2">
      <c r="A6049" s="2" t="str">
        <f>HYPERLINK("https://www.compass.com/listing/252-south-street-unit-51m-manhattan-ny-10002/29513538359829969/","252 South St, Unit 51M")</f>
        <v>252 South St, Unit 51M</v>
      </c>
      <c r="B6049" s="2" t="str">
        <f t="shared" si="992"/>
        <v>One Manhattan Square</v>
      </c>
      <c r="C6049" s="1" t="s">
        <v>47</v>
      </c>
      <c r="D6049" s="1" t="s">
        <v>41</v>
      </c>
      <c r="E6049" s="3">
        <v>1668798</v>
      </c>
      <c r="F6049" s="1">
        <v>2401.1482014388398</v>
      </c>
      <c r="G6049" s="1">
        <v>3</v>
      </c>
      <c r="H6049" s="1">
        <v>1</v>
      </c>
      <c r="I6049" s="1">
        <v>1</v>
      </c>
      <c r="J6049" s="1">
        <v>1</v>
      </c>
      <c r="M6049" s="1">
        <v>695</v>
      </c>
      <c r="N6049" s="1">
        <v>887</v>
      </c>
      <c r="O6049" s="1">
        <v>902</v>
      </c>
      <c r="P6049" s="1">
        <v>15</v>
      </c>
      <c r="Q6049" s="1" t="s">
        <v>42</v>
      </c>
      <c r="S6049" s="1" t="s">
        <v>42</v>
      </c>
      <c r="T6049" s="1" t="s">
        <v>273</v>
      </c>
      <c r="U6049" s="1">
        <v>5</v>
      </c>
      <c r="V6049" s="5">
        <v>43696</v>
      </c>
      <c r="W6049" s="5">
        <v>42979</v>
      </c>
      <c r="X6049" s="1">
        <v>1712000</v>
      </c>
      <c r="Y6049" s="1">
        <v>1712000</v>
      </c>
      <c r="Z6049" s="5">
        <v>42984</v>
      </c>
      <c r="AA6049" s="1">
        <v>1668798</v>
      </c>
      <c r="AB6049" s="1" t="s">
        <v>4349</v>
      </c>
      <c r="AC6049" s="5">
        <v>43645</v>
      </c>
      <c r="AF6049" s="1">
        <v>10002</v>
      </c>
      <c r="AI6049" s="1" t="s">
        <v>246</v>
      </c>
      <c r="AJ6049" s="1">
        <v>2019</v>
      </c>
      <c r="AK6049" s="1" t="s">
        <v>46</v>
      </c>
      <c r="AL6049" s="1">
        <v>787</v>
      </c>
    </row>
    <row r="6050" spans="1:38" x14ac:dyDescent="0.2">
      <c r="A6050" s="2" t="str">
        <f>HYPERLINK("https://www.compass.com/listing/252-south-street-unit-48e-manhattan-ny-10002/29513538687036417/","252 South St, Unit 48E")</f>
        <v>252 South St, Unit 48E</v>
      </c>
      <c r="B6050" s="2" t="str">
        <f t="shared" si="992"/>
        <v>One Manhattan Square</v>
      </c>
      <c r="C6050" s="1" t="s">
        <v>47</v>
      </c>
      <c r="D6050" s="1" t="s">
        <v>41</v>
      </c>
      <c r="E6050" s="3">
        <v>1463514</v>
      </c>
      <c r="F6050" s="1">
        <v>2108.80979827089</v>
      </c>
      <c r="G6050" s="1">
        <v>3</v>
      </c>
      <c r="H6050" s="1">
        <v>1</v>
      </c>
      <c r="I6050" s="1">
        <v>1</v>
      </c>
      <c r="J6050" s="1">
        <v>1</v>
      </c>
      <c r="M6050" s="1">
        <v>694</v>
      </c>
      <c r="N6050" s="1">
        <v>871</v>
      </c>
      <c r="O6050" s="1">
        <v>886</v>
      </c>
      <c r="P6050" s="1">
        <v>15</v>
      </c>
      <c r="Q6050" s="1" t="s">
        <v>42</v>
      </c>
      <c r="S6050" s="1" t="s">
        <v>42</v>
      </c>
      <c r="T6050" s="1" t="s">
        <v>273</v>
      </c>
      <c r="U6050" s="1">
        <v>5</v>
      </c>
      <c r="V6050" s="5">
        <v>43696</v>
      </c>
      <c r="W6050" s="5">
        <v>42979</v>
      </c>
      <c r="X6050" s="1">
        <v>1460000</v>
      </c>
      <c r="Y6050" s="1">
        <v>1460000</v>
      </c>
      <c r="Z6050" s="5">
        <v>42984</v>
      </c>
      <c r="AA6050" s="1">
        <v>1463514</v>
      </c>
      <c r="AB6050" s="1" t="s">
        <v>4350</v>
      </c>
      <c r="AC6050" s="5">
        <v>43655</v>
      </c>
      <c r="AF6050" s="1">
        <v>10002</v>
      </c>
      <c r="AI6050" s="1" t="s">
        <v>246</v>
      </c>
      <c r="AJ6050" s="1">
        <v>2019</v>
      </c>
      <c r="AK6050" s="1" t="s">
        <v>46</v>
      </c>
      <c r="AL6050" s="1">
        <v>787</v>
      </c>
    </row>
    <row r="6051" spans="1:38" x14ac:dyDescent="0.2">
      <c r="A6051" s="2" t="str">
        <f>HYPERLINK("https://www.compass.com/listing/252-south-street-unit-20k-manhattan-ny-10002/530648684348879609/","252 South St, Unit 20K")</f>
        <v>252 South St, Unit 20K</v>
      </c>
      <c r="B6051" s="2" t="str">
        <f t="shared" si="992"/>
        <v>One Manhattan Square</v>
      </c>
      <c r="C6051" s="1" t="s">
        <v>47</v>
      </c>
      <c r="D6051" s="1" t="s">
        <v>41</v>
      </c>
      <c r="E6051" s="3">
        <v>1255747</v>
      </c>
      <c r="F6051" s="1">
        <v>1806.82975539568</v>
      </c>
      <c r="G6051" s="1">
        <v>3</v>
      </c>
      <c r="H6051" s="1">
        <v>1</v>
      </c>
      <c r="I6051" s="1">
        <v>1</v>
      </c>
      <c r="J6051" s="1">
        <v>1</v>
      </c>
      <c r="K6051" s="1">
        <v>1</v>
      </c>
      <c r="M6051" s="1">
        <v>695</v>
      </c>
      <c r="N6051" s="1">
        <v>786</v>
      </c>
      <c r="O6051" s="1">
        <v>798</v>
      </c>
      <c r="P6051" s="1">
        <v>12</v>
      </c>
      <c r="Q6051" s="1" t="s">
        <v>42</v>
      </c>
      <c r="S6051" s="1" t="s">
        <v>42</v>
      </c>
      <c r="T6051" s="1" t="s">
        <v>273</v>
      </c>
      <c r="U6051" s="1">
        <v>43</v>
      </c>
      <c r="V6051" s="5">
        <v>44226</v>
      </c>
      <c r="W6051" s="5">
        <v>43984</v>
      </c>
      <c r="X6051" s="1">
        <v>1430000</v>
      </c>
      <c r="Y6051" s="1">
        <v>1229311</v>
      </c>
      <c r="Z6051" s="5">
        <v>44076</v>
      </c>
      <c r="AA6051" s="1">
        <v>1255746.68</v>
      </c>
      <c r="AB6051" s="1" t="s">
        <v>4351</v>
      </c>
      <c r="AC6051" s="5">
        <v>44223</v>
      </c>
      <c r="AF6051" s="1">
        <v>10002</v>
      </c>
      <c r="AI6051" s="1" t="s">
        <v>246</v>
      </c>
      <c r="AJ6051" s="1">
        <v>2019</v>
      </c>
      <c r="AK6051" s="1" t="s">
        <v>46</v>
      </c>
      <c r="AL6051" s="1">
        <v>787</v>
      </c>
    </row>
    <row r="6052" spans="1:38" x14ac:dyDescent="0.2">
      <c r="A6052" s="2" t="str">
        <f>HYPERLINK("https://www.compass.com/listing/252-south-street-unit-37n-manhattan-ny-10002/29513529426012609/","252 South St, Unit 37N")</f>
        <v>252 South St, Unit 37N</v>
      </c>
      <c r="B6052" s="2" t="str">
        <f t="shared" si="992"/>
        <v>One Manhattan Square</v>
      </c>
      <c r="C6052" s="1" t="s">
        <v>47</v>
      </c>
      <c r="D6052" s="1" t="s">
        <v>41</v>
      </c>
      <c r="E6052" s="3">
        <v>1613957</v>
      </c>
      <c r="F6052" s="1">
        <v>2232.3052282157601</v>
      </c>
      <c r="G6052" s="1">
        <v>3</v>
      </c>
      <c r="H6052" s="1">
        <v>1</v>
      </c>
      <c r="I6052" s="1">
        <v>1</v>
      </c>
      <c r="J6052" s="1">
        <v>1</v>
      </c>
      <c r="M6052" s="1">
        <v>723</v>
      </c>
      <c r="N6052" s="1">
        <v>866</v>
      </c>
      <c r="O6052" s="1">
        <v>881</v>
      </c>
      <c r="P6052" s="1">
        <v>15</v>
      </c>
      <c r="Q6052" s="1" t="s">
        <v>42</v>
      </c>
      <c r="S6052" s="1" t="s">
        <v>42</v>
      </c>
      <c r="T6052" s="1" t="s">
        <v>273</v>
      </c>
      <c r="U6052" s="1">
        <v>6</v>
      </c>
      <c r="V6052" s="5">
        <v>43685</v>
      </c>
      <c r="W6052" s="5">
        <v>42935</v>
      </c>
      <c r="X6052" s="1">
        <v>1630000</v>
      </c>
      <c r="Y6052" s="1">
        <v>1630000</v>
      </c>
      <c r="Z6052" s="5">
        <v>42942</v>
      </c>
      <c r="AA6052" s="1">
        <v>1613956.68</v>
      </c>
      <c r="AB6052" s="1" t="s">
        <v>4352</v>
      </c>
      <c r="AC6052" s="5">
        <v>43621</v>
      </c>
      <c r="AF6052" s="1">
        <v>10002</v>
      </c>
      <c r="AI6052" s="1" t="s">
        <v>246</v>
      </c>
      <c r="AJ6052" s="1">
        <v>2019</v>
      </c>
      <c r="AK6052" s="1" t="s">
        <v>46</v>
      </c>
      <c r="AL6052" s="1">
        <v>787</v>
      </c>
    </row>
    <row r="6053" spans="1:38" x14ac:dyDescent="0.2">
      <c r="A6053" s="2" t="str">
        <f>HYPERLINK("https://www.compass.com/listing/252-south-street-unit-33j-manhattan-ny-10002/665195328717588489/","252 South St, Unit 33J")</f>
        <v>252 South St, Unit 33J</v>
      </c>
      <c r="B6053" s="2" t="str">
        <f t="shared" si="992"/>
        <v>One Manhattan Square</v>
      </c>
      <c r="C6053" s="1" t="s">
        <v>47</v>
      </c>
      <c r="D6053" s="1" t="s">
        <v>41</v>
      </c>
      <c r="E6053" s="3">
        <v>1321235</v>
      </c>
      <c r="F6053" s="1">
        <v>1901.0577841726599</v>
      </c>
      <c r="G6053" s="1">
        <v>3</v>
      </c>
      <c r="H6053" s="1">
        <v>1</v>
      </c>
      <c r="I6053" s="1">
        <v>1</v>
      </c>
      <c r="J6053" s="1">
        <v>1</v>
      </c>
      <c r="K6053" s="1">
        <v>1</v>
      </c>
      <c r="M6053" s="1">
        <v>695</v>
      </c>
      <c r="N6053" s="1">
        <v>830</v>
      </c>
      <c r="O6053" s="1">
        <v>843</v>
      </c>
      <c r="P6053" s="1">
        <v>13</v>
      </c>
      <c r="Q6053" s="1" t="s">
        <v>42</v>
      </c>
      <c r="S6053" s="1" t="s">
        <v>42</v>
      </c>
      <c r="T6053" s="1" t="s">
        <v>273</v>
      </c>
      <c r="U6053" s="1">
        <v>14</v>
      </c>
      <c r="V6053" s="5">
        <v>44184</v>
      </c>
      <c r="W6053" s="5">
        <v>44170</v>
      </c>
      <c r="X6053" s="1">
        <v>1310000</v>
      </c>
      <c r="Y6053" s="1">
        <v>1310000</v>
      </c>
      <c r="AA6053" s="1">
        <v>1321235.1599999999</v>
      </c>
      <c r="AB6053" s="1" t="s">
        <v>4293</v>
      </c>
      <c r="AC6053" s="5">
        <v>44294</v>
      </c>
      <c r="AF6053" s="1">
        <v>10002</v>
      </c>
      <c r="AI6053" s="1" t="s">
        <v>246</v>
      </c>
      <c r="AJ6053" s="1">
        <v>2019</v>
      </c>
      <c r="AK6053" s="1" t="s">
        <v>46</v>
      </c>
      <c r="AL6053" s="1">
        <v>787</v>
      </c>
    </row>
    <row r="6054" spans="1:38" x14ac:dyDescent="0.2">
      <c r="A6054" s="2" t="str">
        <f>HYPERLINK("https://www.compass.com/listing/252-south-street-unit-23j-manhattan-ny-10002/29513521867912065/","252 South St, Unit 23J")</f>
        <v>252 South St, Unit 23J</v>
      </c>
      <c r="B6054" s="2" t="str">
        <f t="shared" si="992"/>
        <v>One Manhattan Square</v>
      </c>
      <c r="C6054" s="1" t="s">
        <v>47</v>
      </c>
      <c r="D6054" s="1" t="s">
        <v>41</v>
      </c>
      <c r="E6054" s="3">
        <v>1321595</v>
      </c>
      <c r="F6054" s="1">
        <v>1898.8433908045899</v>
      </c>
      <c r="G6054" s="1">
        <v>3</v>
      </c>
      <c r="H6054" s="1">
        <v>1</v>
      </c>
      <c r="I6054" s="1">
        <v>1</v>
      </c>
      <c r="J6054" s="1">
        <v>1</v>
      </c>
      <c r="M6054" s="1">
        <v>696</v>
      </c>
      <c r="N6054" s="1">
        <v>786</v>
      </c>
      <c r="O6054" s="1">
        <v>799</v>
      </c>
      <c r="P6054" s="1">
        <v>13</v>
      </c>
      <c r="Q6054" s="1" t="s">
        <v>42</v>
      </c>
      <c r="S6054" s="1" t="s">
        <v>42</v>
      </c>
      <c r="T6054" s="1" t="s">
        <v>273</v>
      </c>
      <c r="U6054" s="1">
        <v>6</v>
      </c>
      <c r="V6054" s="5">
        <v>43696</v>
      </c>
      <c r="W6054" s="5">
        <v>43082</v>
      </c>
      <c r="X6054" s="1">
        <v>1334000</v>
      </c>
      <c r="Y6054" s="1">
        <v>1334000</v>
      </c>
      <c r="Z6054" s="5">
        <v>43088</v>
      </c>
      <c r="AA6054" s="1">
        <v>1321595</v>
      </c>
      <c r="AB6054" s="1" t="s">
        <v>4353</v>
      </c>
      <c r="AC6054" s="5">
        <v>43589</v>
      </c>
      <c r="AF6054" s="1">
        <v>10002</v>
      </c>
      <c r="AI6054" s="1" t="s">
        <v>246</v>
      </c>
      <c r="AJ6054" s="1">
        <v>2019</v>
      </c>
      <c r="AK6054" s="1" t="s">
        <v>46</v>
      </c>
      <c r="AL6054" s="1">
        <v>787</v>
      </c>
    </row>
    <row r="6055" spans="1:38" x14ac:dyDescent="0.2">
      <c r="A6055" s="2" t="str">
        <f>HYPERLINK("https://www.compass.com/listing/252-south-street-unit-35n-manhattan-ny-10002/384071561972474177/","252 South St, Unit 35N")</f>
        <v>252 South St, Unit 35N</v>
      </c>
      <c r="B6055" s="2" t="str">
        <f t="shared" si="992"/>
        <v>One Manhattan Square</v>
      </c>
      <c r="C6055" s="1" t="s">
        <v>47</v>
      </c>
      <c r="D6055" s="1" t="s">
        <v>41</v>
      </c>
      <c r="E6055" s="3">
        <v>1554592</v>
      </c>
      <c r="F6055" s="1">
        <v>2150.1962655601601</v>
      </c>
      <c r="G6055" s="1">
        <v>3</v>
      </c>
      <c r="H6055" s="1">
        <v>1</v>
      </c>
      <c r="I6055" s="1">
        <v>1</v>
      </c>
      <c r="J6055" s="1">
        <v>1</v>
      </c>
      <c r="K6055" s="1">
        <v>1</v>
      </c>
      <c r="M6055" s="1">
        <v>723</v>
      </c>
      <c r="N6055" s="1">
        <v>8790.9599999999991</v>
      </c>
      <c r="O6055" s="1">
        <v>8804.9599999999991</v>
      </c>
      <c r="P6055" s="1">
        <v>14</v>
      </c>
      <c r="Q6055" s="1" t="s">
        <v>42</v>
      </c>
      <c r="S6055" s="1" t="s">
        <v>42</v>
      </c>
      <c r="T6055" s="1" t="s">
        <v>273</v>
      </c>
      <c r="U6055" s="1">
        <v>2</v>
      </c>
      <c r="V6055" s="5">
        <v>44161</v>
      </c>
      <c r="W6055" s="5">
        <v>43782</v>
      </c>
      <c r="X6055" s="1">
        <v>1620000</v>
      </c>
      <c r="Y6055" s="1">
        <v>1522800</v>
      </c>
      <c r="Z6055" s="5">
        <v>43784</v>
      </c>
      <c r="AA6055" s="1">
        <v>1554591.9</v>
      </c>
      <c r="AB6055" s="1" t="s">
        <v>4354</v>
      </c>
      <c r="AC6055" s="5">
        <v>44152</v>
      </c>
      <c r="AF6055" s="1">
        <v>10002</v>
      </c>
      <c r="AI6055" s="1" t="s">
        <v>246</v>
      </c>
      <c r="AJ6055" s="1">
        <v>2019</v>
      </c>
      <c r="AK6055" s="1" t="s">
        <v>46</v>
      </c>
      <c r="AL6055" s="1">
        <v>787</v>
      </c>
    </row>
    <row r="6056" spans="1:38" x14ac:dyDescent="0.2">
      <c r="A6056" s="2" t="str">
        <f>HYPERLINK("https://www.compass.com/listing/252-south-street-unit-23n-manhattan-ny-10002/29513535197410801/","252 South St, Unit 23N")</f>
        <v>252 South St, Unit 23N</v>
      </c>
      <c r="B6056" s="2" t="str">
        <f t="shared" si="992"/>
        <v>One Manhattan Square</v>
      </c>
      <c r="C6056" s="1" t="s">
        <v>47</v>
      </c>
      <c r="D6056" s="1" t="s">
        <v>41</v>
      </c>
      <c r="E6056" s="3">
        <v>1543594</v>
      </c>
      <c r="F6056" s="1">
        <v>2220.9985611510701</v>
      </c>
      <c r="G6056" s="1">
        <v>3</v>
      </c>
      <c r="H6056" s="1">
        <v>1</v>
      </c>
      <c r="I6056" s="1">
        <v>1</v>
      </c>
      <c r="J6056" s="1">
        <v>1</v>
      </c>
      <c r="M6056" s="1">
        <v>695</v>
      </c>
      <c r="N6056" s="1">
        <v>785</v>
      </c>
      <c r="O6056" s="1">
        <v>798</v>
      </c>
      <c r="P6056" s="1">
        <v>13</v>
      </c>
      <c r="Q6056" s="1" t="s">
        <v>42</v>
      </c>
      <c r="S6056" s="1" t="s">
        <v>42</v>
      </c>
      <c r="T6056" s="1" t="s">
        <v>273</v>
      </c>
      <c r="U6056" s="1">
        <v>2</v>
      </c>
      <c r="V6056" s="5">
        <v>43960</v>
      </c>
      <c r="W6056" s="5">
        <v>43019</v>
      </c>
      <c r="X6056" s="1">
        <v>1550000</v>
      </c>
      <c r="Y6056" s="1">
        <v>1550000</v>
      </c>
      <c r="Z6056" s="5">
        <v>43021</v>
      </c>
      <c r="AA6056" s="1">
        <v>1543594</v>
      </c>
      <c r="AB6056" s="1" t="s">
        <v>4355</v>
      </c>
      <c r="AC6056" s="5">
        <v>43865</v>
      </c>
      <c r="AF6056" s="1">
        <v>10002</v>
      </c>
      <c r="AI6056" s="1" t="s">
        <v>246</v>
      </c>
      <c r="AJ6056" s="1">
        <v>2019</v>
      </c>
      <c r="AK6056" s="1" t="s">
        <v>46</v>
      </c>
      <c r="AL6056" s="1">
        <v>787</v>
      </c>
    </row>
    <row r="6057" spans="1:38" x14ac:dyDescent="0.2">
      <c r="A6057" s="2" t="str">
        <f>HYPERLINK("https://www.compass.com/listing/252-south-street-unit-66k-manhattan-ny-10002/29513538074703553/","252 South St, Unit 66K")</f>
        <v>252 South St, Unit 66K</v>
      </c>
      <c r="B6057" s="2" t="str">
        <f t="shared" si="992"/>
        <v>One Manhattan Square</v>
      </c>
      <c r="C6057" s="1" t="s">
        <v>47</v>
      </c>
      <c r="D6057" s="1" t="s">
        <v>41</v>
      </c>
      <c r="E6057" s="3">
        <v>1716448</v>
      </c>
      <c r="F6057" s="1">
        <v>2494.8372238371999</v>
      </c>
      <c r="G6057" s="1">
        <v>3</v>
      </c>
      <c r="H6057" s="1">
        <v>1</v>
      </c>
      <c r="I6057" s="1">
        <v>1</v>
      </c>
      <c r="J6057" s="1">
        <v>1</v>
      </c>
      <c r="M6057" s="1">
        <v>688</v>
      </c>
      <c r="N6057" s="1">
        <v>953</v>
      </c>
      <c r="O6057" s="1">
        <v>969</v>
      </c>
      <c r="P6057" s="1">
        <v>16</v>
      </c>
      <c r="Q6057" s="1" t="s">
        <v>42</v>
      </c>
      <c r="S6057" s="1" t="s">
        <v>42</v>
      </c>
      <c r="T6057" s="1" t="s">
        <v>273</v>
      </c>
      <c r="U6057" s="1">
        <v>5</v>
      </c>
      <c r="V6057" s="5">
        <v>43717</v>
      </c>
      <c r="W6057" s="5">
        <v>42979</v>
      </c>
      <c r="X6057" s="1">
        <v>1761000</v>
      </c>
      <c r="Y6057" s="1">
        <v>1761000</v>
      </c>
      <c r="Z6057" s="5">
        <v>42984</v>
      </c>
      <c r="AA6057" s="1">
        <v>1716448.01</v>
      </c>
      <c r="AB6057" s="1" t="s">
        <v>4356</v>
      </c>
      <c r="AC6057" s="5">
        <v>43707</v>
      </c>
      <c r="AF6057" s="1">
        <v>10002</v>
      </c>
      <c r="AI6057" s="1" t="s">
        <v>246</v>
      </c>
      <c r="AJ6057" s="1">
        <v>2019</v>
      </c>
      <c r="AK6057" s="1" t="s">
        <v>46</v>
      </c>
      <c r="AL6057" s="1">
        <v>787</v>
      </c>
    </row>
    <row r="6058" spans="1:38" x14ac:dyDescent="0.2">
      <c r="A6058" s="2" t="str">
        <f>HYPERLINK("https://www.compass.com/listing/252-south-street-unit-57g-manhattan-ny-10002/29513548812086737/","252 South St, Unit 57G")</f>
        <v>252 South St, Unit 57G</v>
      </c>
      <c r="B6058" s="2" t="str">
        <f t="shared" si="992"/>
        <v>One Manhattan Square</v>
      </c>
      <c r="C6058" s="1" t="s">
        <v>47</v>
      </c>
      <c r="D6058" s="1" t="s">
        <v>41</v>
      </c>
      <c r="E6058" s="3">
        <v>1546649</v>
      </c>
      <c r="F6058" s="1">
        <v>2248.0363372093002</v>
      </c>
      <c r="G6058" s="1">
        <v>3</v>
      </c>
      <c r="H6058" s="1">
        <v>1</v>
      </c>
      <c r="I6058" s="1">
        <v>1</v>
      </c>
      <c r="J6058" s="1">
        <v>1</v>
      </c>
      <c r="M6058" s="1">
        <v>688</v>
      </c>
      <c r="N6058" s="1">
        <v>896</v>
      </c>
      <c r="O6058" s="1">
        <v>911</v>
      </c>
      <c r="P6058" s="1">
        <v>15</v>
      </c>
      <c r="Q6058" s="1" t="s">
        <v>42</v>
      </c>
      <c r="S6058" s="1" t="s">
        <v>42</v>
      </c>
      <c r="T6058" s="1" t="s">
        <v>273</v>
      </c>
      <c r="U6058" s="1">
        <v>8</v>
      </c>
      <c r="V6058" s="5">
        <v>43710</v>
      </c>
      <c r="W6058" s="5">
        <v>42936</v>
      </c>
      <c r="X6058" s="1">
        <v>1567000</v>
      </c>
      <c r="Y6058" s="1">
        <v>1567000</v>
      </c>
      <c r="Z6058" s="5">
        <v>42944</v>
      </c>
      <c r="AA6058" s="1">
        <v>1546649</v>
      </c>
      <c r="AB6058" s="1" t="s">
        <v>4357</v>
      </c>
      <c r="AC6058" s="5">
        <v>43697</v>
      </c>
      <c r="AF6058" s="1">
        <v>10002</v>
      </c>
      <c r="AI6058" s="1" t="s">
        <v>246</v>
      </c>
      <c r="AJ6058" s="1">
        <v>2019</v>
      </c>
      <c r="AK6058" s="1" t="s">
        <v>46</v>
      </c>
      <c r="AL6058" s="1">
        <v>787</v>
      </c>
    </row>
    <row r="6059" spans="1:38" x14ac:dyDescent="0.2">
      <c r="A6059" s="2" t="str">
        <f>HYPERLINK("https://www.compass.com/listing/252-south-street-unit-69k-manhattan-ny-10002/404246238124545953/","252 South St, Unit 69K")</f>
        <v>252 South St, Unit 69K</v>
      </c>
      <c r="B6059" s="2" t="str">
        <f t="shared" si="992"/>
        <v>One Manhattan Square</v>
      </c>
      <c r="C6059" s="1" t="s">
        <v>47</v>
      </c>
      <c r="D6059" s="1" t="s">
        <v>41</v>
      </c>
      <c r="E6059" s="3">
        <v>1887763</v>
      </c>
      <c r="F6059" s="1">
        <v>2743.8408430232498</v>
      </c>
      <c r="G6059" s="1">
        <v>3</v>
      </c>
      <c r="H6059" s="1">
        <v>1</v>
      </c>
      <c r="I6059" s="1">
        <v>1</v>
      </c>
      <c r="J6059" s="1">
        <v>1</v>
      </c>
      <c r="K6059" s="1">
        <v>1</v>
      </c>
      <c r="M6059" s="1">
        <v>688</v>
      </c>
      <c r="N6059" s="1">
        <v>960.82</v>
      </c>
      <c r="O6059" s="1">
        <v>975.99</v>
      </c>
      <c r="P6059" s="1">
        <v>15.1666666666666</v>
      </c>
      <c r="Q6059" s="1" t="s">
        <v>42</v>
      </c>
      <c r="S6059" s="1" t="s">
        <v>42</v>
      </c>
      <c r="T6059" s="1" t="s">
        <v>273</v>
      </c>
      <c r="U6059" s="1">
        <v>1</v>
      </c>
      <c r="V6059" s="5">
        <v>43901</v>
      </c>
      <c r="W6059" s="5">
        <v>43810</v>
      </c>
      <c r="X6059" s="1">
        <v>1939000</v>
      </c>
      <c r="Y6059" s="1">
        <v>1939000</v>
      </c>
      <c r="Z6059" s="5">
        <v>43811</v>
      </c>
      <c r="AA6059" s="1">
        <v>1887762.5</v>
      </c>
      <c r="AB6059" s="1" t="s">
        <v>4358</v>
      </c>
      <c r="AC6059" s="5">
        <v>43889</v>
      </c>
      <c r="AF6059" s="1">
        <v>10002</v>
      </c>
      <c r="AI6059" s="1" t="s">
        <v>246</v>
      </c>
      <c r="AJ6059" s="1">
        <v>2019</v>
      </c>
      <c r="AK6059" s="1" t="s">
        <v>46</v>
      </c>
      <c r="AL6059" s="1">
        <v>787</v>
      </c>
    </row>
    <row r="6060" spans="1:38" x14ac:dyDescent="0.2">
      <c r="A6060" s="2" t="str">
        <f>HYPERLINK("https://www.compass.com/listing/252-south-street-unit-57k-manhattan-ny-10002/4849516345768820113/","252 South St, Unit 57K")</f>
        <v>252 South St, Unit 57K</v>
      </c>
      <c r="B6060" s="2" t="str">
        <f t="shared" si="992"/>
        <v>One Manhattan Square</v>
      </c>
      <c r="C6060" s="1" t="s">
        <v>47</v>
      </c>
      <c r="D6060" s="1" t="s">
        <v>41</v>
      </c>
      <c r="E6060" s="3">
        <v>1658656</v>
      </c>
      <c r="F6060" s="1">
        <v>2410.8372093023199</v>
      </c>
      <c r="G6060" s="1">
        <v>3</v>
      </c>
      <c r="H6060" s="1">
        <v>1</v>
      </c>
      <c r="I6060" s="1">
        <v>1</v>
      </c>
      <c r="J6060" s="1">
        <v>1</v>
      </c>
      <c r="M6060" s="1">
        <v>688</v>
      </c>
      <c r="N6060" s="1">
        <v>896</v>
      </c>
      <c r="O6060" s="1">
        <v>911</v>
      </c>
      <c r="P6060" s="1">
        <v>15</v>
      </c>
      <c r="Q6060" s="1" t="s">
        <v>42</v>
      </c>
      <c r="S6060" s="1" t="s">
        <v>42</v>
      </c>
      <c r="T6060" s="1" t="s">
        <v>273</v>
      </c>
      <c r="U6060" s="1">
        <v>3</v>
      </c>
      <c r="V6060" s="5">
        <v>43696</v>
      </c>
      <c r="W6060" s="5">
        <v>42994</v>
      </c>
      <c r="X6060" s="1">
        <v>1721000</v>
      </c>
      <c r="Y6060" s="1">
        <v>1721000</v>
      </c>
      <c r="Z6060" s="5">
        <v>42997</v>
      </c>
      <c r="AA6060" s="1">
        <v>1658656</v>
      </c>
      <c r="AB6060" s="1" t="s">
        <v>4359</v>
      </c>
      <c r="AC6060" s="5">
        <v>43663</v>
      </c>
      <c r="AF6060" s="1">
        <v>10002</v>
      </c>
      <c r="AI6060" s="1" t="s">
        <v>246</v>
      </c>
      <c r="AJ6060" s="1">
        <v>2019</v>
      </c>
      <c r="AK6060" s="1" t="s">
        <v>46</v>
      </c>
      <c r="AL6060" s="1">
        <v>787</v>
      </c>
    </row>
    <row r="6061" spans="1:38" x14ac:dyDescent="0.2">
      <c r="A6061" s="2" t="str">
        <f>HYPERLINK("https://www.compass.com/listing/252-south-street-unit-47j-manhattan-ny-10002/293237712251537617/","252 South St, Unit 47J")</f>
        <v>252 South St, Unit 47J</v>
      </c>
      <c r="B6061" s="2" t="str">
        <f t="shared" si="992"/>
        <v>One Manhattan Square</v>
      </c>
      <c r="C6061" s="1" t="s">
        <v>47</v>
      </c>
      <c r="D6061" s="1" t="s">
        <v>41</v>
      </c>
      <c r="E6061" s="3">
        <v>1441429</v>
      </c>
      <c r="F6061" s="1">
        <v>2073.9988920863302</v>
      </c>
      <c r="G6061" s="1">
        <v>3</v>
      </c>
      <c r="H6061" s="1">
        <v>1</v>
      </c>
      <c r="I6061" s="1">
        <v>1</v>
      </c>
      <c r="J6061" s="1">
        <v>1</v>
      </c>
      <c r="K6061" s="1">
        <v>1</v>
      </c>
      <c r="M6061" s="1">
        <v>695</v>
      </c>
      <c r="N6061" s="1">
        <v>882</v>
      </c>
      <c r="O6061" s="1">
        <v>896</v>
      </c>
      <c r="P6061" s="1">
        <v>14</v>
      </c>
      <c r="Q6061" s="1" t="s">
        <v>42</v>
      </c>
      <c r="S6061" s="1" t="s">
        <v>42</v>
      </c>
      <c r="T6061" s="1" t="s">
        <v>273</v>
      </c>
      <c r="U6061" s="1">
        <v>1</v>
      </c>
      <c r="V6061" s="5">
        <v>43876</v>
      </c>
      <c r="W6061" s="5">
        <v>43656</v>
      </c>
      <c r="X6061" s="1">
        <v>1482000</v>
      </c>
      <c r="Y6061" s="1">
        <v>1411665</v>
      </c>
      <c r="Z6061" s="5">
        <v>43657</v>
      </c>
      <c r="AA6061" s="1">
        <v>1441429.23</v>
      </c>
      <c r="AB6061" s="1" t="s">
        <v>4360</v>
      </c>
      <c r="AC6061" s="5">
        <v>43873</v>
      </c>
      <c r="AF6061" s="1">
        <v>10002</v>
      </c>
      <c r="AI6061" s="1" t="s">
        <v>246</v>
      </c>
      <c r="AJ6061" s="1">
        <v>2019</v>
      </c>
      <c r="AK6061" s="1" t="s">
        <v>46</v>
      </c>
      <c r="AL6061" s="1">
        <v>787</v>
      </c>
    </row>
    <row r="6062" spans="1:38" x14ac:dyDescent="0.2">
      <c r="A6062" s="2" t="str">
        <f>HYPERLINK("https://www.compass.com/listing/252-south-street-unit-49m-manhattan-ny-10002/265103026509933745/","252 South St, Unit 49M")</f>
        <v>252 South St, Unit 49M</v>
      </c>
      <c r="B6062" s="2" t="str">
        <f t="shared" si="992"/>
        <v>One Manhattan Square</v>
      </c>
      <c r="C6062" s="1" t="s">
        <v>47</v>
      </c>
      <c r="D6062" s="1" t="s">
        <v>41</v>
      </c>
      <c r="E6062" s="3">
        <v>1734452</v>
      </c>
      <c r="F6062" s="1">
        <v>2495.61435971223</v>
      </c>
      <c r="G6062" s="1">
        <v>3</v>
      </c>
      <c r="H6062" s="1">
        <v>1</v>
      </c>
      <c r="I6062" s="1">
        <v>1</v>
      </c>
      <c r="J6062" s="1">
        <v>1</v>
      </c>
      <c r="K6062" s="1">
        <v>1</v>
      </c>
      <c r="M6062" s="1">
        <v>695</v>
      </c>
      <c r="N6062" s="1">
        <v>892.8</v>
      </c>
      <c r="O6062" s="1">
        <v>906.9</v>
      </c>
      <c r="P6062" s="1">
        <v>14.0833333333333</v>
      </c>
      <c r="Q6062" s="1" t="s">
        <v>42</v>
      </c>
      <c r="S6062" s="1" t="s">
        <v>42</v>
      </c>
      <c r="T6062" s="1" t="s">
        <v>273</v>
      </c>
      <c r="V6062" s="5">
        <v>43872</v>
      </c>
      <c r="W6062" s="5">
        <v>43618</v>
      </c>
      <c r="X6062" s="1">
        <v>1787000</v>
      </c>
      <c r="Y6062" s="1">
        <v>1787000</v>
      </c>
      <c r="Z6062" s="5">
        <v>43618</v>
      </c>
      <c r="AA6062" s="1">
        <v>1734451.98</v>
      </c>
      <c r="AB6062" s="1" t="s">
        <v>4361</v>
      </c>
      <c r="AC6062" s="5">
        <v>43861</v>
      </c>
      <c r="AF6062" s="1">
        <v>10002</v>
      </c>
      <c r="AI6062" s="1" t="s">
        <v>246</v>
      </c>
      <c r="AJ6062" s="1">
        <v>2019</v>
      </c>
      <c r="AK6062" s="1" t="s">
        <v>46</v>
      </c>
      <c r="AL6062" s="1">
        <v>787</v>
      </c>
    </row>
    <row r="6063" spans="1:38" x14ac:dyDescent="0.2">
      <c r="A6063" s="2" t="str">
        <f>HYPERLINK("https://www.compass.com/listing/252-south-street-unit-61k-manhattan-ny-10002/29513543141387505/","252 South St, Unit 61K")</f>
        <v>252 South St, Unit 61K</v>
      </c>
      <c r="B6063" s="2" t="str">
        <f t="shared" si="992"/>
        <v>One Manhattan Square</v>
      </c>
      <c r="C6063" s="1" t="s">
        <v>47</v>
      </c>
      <c r="D6063" s="1" t="s">
        <v>41</v>
      </c>
      <c r="E6063" s="3">
        <v>1700404</v>
      </c>
      <c r="F6063" s="1">
        <v>2471.5174418604602</v>
      </c>
      <c r="G6063" s="1">
        <v>3</v>
      </c>
      <c r="H6063" s="1">
        <v>1</v>
      </c>
      <c r="I6063" s="1">
        <v>1</v>
      </c>
      <c r="J6063" s="1">
        <v>1</v>
      </c>
      <c r="K6063" s="1">
        <v>1</v>
      </c>
      <c r="M6063" s="1">
        <v>688</v>
      </c>
      <c r="N6063" s="1">
        <v>915</v>
      </c>
      <c r="O6063" s="1">
        <v>930</v>
      </c>
      <c r="P6063" s="1">
        <v>15</v>
      </c>
      <c r="Q6063" s="1" t="s">
        <v>42</v>
      </c>
      <c r="S6063" s="1" t="s">
        <v>42</v>
      </c>
      <c r="T6063" s="1" t="s">
        <v>273</v>
      </c>
      <c r="U6063" s="1">
        <v>13</v>
      </c>
      <c r="V6063" s="5">
        <v>43696</v>
      </c>
      <c r="W6063" s="5">
        <v>43229</v>
      </c>
      <c r="X6063" s="1">
        <v>1737000</v>
      </c>
      <c r="Y6063" s="1">
        <v>1737000</v>
      </c>
      <c r="Z6063" s="5">
        <v>43242</v>
      </c>
      <c r="AA6063" s="1">
        <v>1700404</v>
      </c>
      <c r="AB6063" s="1" t="s">
        <v>4362</v>
      </c>
      <c r="AC6063" s="5">
        <v>43672</v>
      </c>
      <c r="AF6063" s="1">
        <v>10002</v>
      </c>
      <c r="AI6063" s="1" t="s">
        <v>246</v>
      </c>
      <c r="AJ6063" s="1">
        <v>2019</v>
      </c>
      <c r="AK6063" s="1" t="s">
        <v>46</v>
      </c>
      <c r="AL6063" s="1">
        <v>787</v>
      </c>
    </row>
    <row r="6064" spans="1:38" x14ac:dyDescent="0.2">
      <c r="A6064" s="2" t="str">
        <f>HYPERLINK("https://www.compass.com/listing/252-south-street-unit-52j-manhattan-ny-10002/223122407098005569/","252 South St, Unit 52J")</f>
        <v>252 South St, Unit 52J</v>
      </c>
      <c r="B6064" s="2" t="str">
        <f t="shared" si="992"/>
        <v>One Manhattan Square</v>
      </c>
      <c r="C6064" s="1" t="s">
        <v>47</v>
      </c>
      <c r="D6064" s="1" t="s">
        <v>41</v>
      </c>
      <c r="E6064" s="3">
        <v>1528770</v>
      </c>
      <c r="F6064" s="1">
        <v>2199.6690647482001</v>
      </c>
      <c r="G6064" s="1">
        <v>3</v>
      </c>
      <c r="H6064" s="1">
        <v>1</v>
      </c>
      <c r="I6064" s="1">
        <v>1</v>
      </c>
      <c r="J6064" s="1">
        <v>1</v>
      </c>
      <c r="K6064" s="1">
        <v>1</v>
      </c>
      <c r="M6064" s="1">
        <v>695</v>
      </c>
      <c r="N6064" s="1">
        <v>891</v>
      </c>
      <c r="O6064" s="1">
        <v>906</v>
      </c>
      <c r="P6064" s="1">
        <v>15</v>
      </c>
      <c r="Q6064" s="1" t="s">
        <v>42</v>
      </c>
      <c r="S6064" s="1" t="s">
        <v>42</v>
      </c>
      <c r="T6064" s="1" t="s">
        <v>273</v>
      </c>
      <c r="U6064" s="1">
        <v>2</v>
      </c>
      <c r="V6064" s="5">
        <v>43717</v>
      </c>
      <c r="W6064" s="5">
        <v>43560</v>
      </c>
      <c r="X6064" s="1">
        <v>1509000</v>
      </c>
      <c r="Y6064" s="1">
        <v>1509000</v>
      </c>
      <c r="Z6064" s="5">
        <v>43562</v>
      </c>
      <c r="AA6064" s="1">
        <v>1528770</v>
      </c>
      <c r="AB6064" s="1" t="s">
        <v>4363</v>
      </c>
      <c r="AC6064" s="5">
        <v>43707</v>
      </c>
      <c r="AF6064" s="1">
        <v>10002</v>
      </c>
      <c r="AI6064" s="1" t="s">
        <v>246</v>
      </c>
      <c r="AJ6064" s="1">
        <v>2019</v>
      </c>
      <c r="AK6064" s="1" t="s">
        <v>46</v>
      </c>
      <c r="AL6064" s="1">
        <v>787</v>
      </c>
    </row>
    <row r="6065" spans="1:38" x14ac:dyDescent="0.2">
      <c r="A6065" s="2" t="str">
        <f>HYPERLINK("https://www.compass.com/listing/252-south-street-unit-15e-manhattan-ny-10002/462344882474942985/","252 South St, Unit 15E")</f>
        <v>252 South St, Unit 15E</v>
      </c>
      <c r="B6065" s="2" t="str">
        <f t="shared" si="992"/>
        <v>One Manhattan Square</v>
      </c>
      <c r="C6065" s="1" t="s">
        <v>47</v>
      </c>
      <c r="D6065" s="1" t="s">
        <v>41</v>
      </c>
      <c r="E6065" s="3">
        <v>1931038</v>
      </c>
      <c r="F6065" s="1">
        <v>1719.5352894033799</v>
      </c>
      <c r="G6065" s="1">
        <v>4</v>
      </c>
      <c r="H6065" s="1">
        <v>2</v>
      </c>
      <c r="I6065" s="1">
        <v>2</v>
      </c>
      <c r="J6065" s="1">
        <v>2</v>
      </c>
      <c r="K6065" s="1">
        <v>2</v>
      </c>
      <c r="M6065" s="4">
        <v>1123</v>
      </c>
      <c r="N6065" s="1">
        <v>1233</v>
      </c>
      <c r="O6065" s="1">
        <v>1252</v>
      </c>
      <c r="P6065" s="1">
        <v>19</v>
      </c>
      <c r="Q6065" s="1" t="s">
        <v>42</v>
      </c>
      <c r="S6065" s="1" t="s">
        <v>42</v>
      </c>
      <c r="T6065" s="1" t="s">
        <v>273</v>
      </c>
      <c r="U6065" s="1">
        <v>20</v>
      </c>
      <c r="V6065" s="5">
        <v>43958</v>
      </c>
      <c r="W6065" s="5">
        <v>43890</v>
      </c>
      <c r="X6065" s="1">
        <v>2150000</v>
      </c>
      <c r="Y6065" s="1">
        <v>2150000</v>
      </c>
      <c r="AA6065" s="1">
        <v>1931038.13</v>
      </c>
      <c r="AB6065" s="1" t="s">
        <v>4364</v>
      </c>
      <c r="AC6065" s="5">
        <v>44049</v>
      </c>
      <c r="AF6065" s="1">
        <v>10002</v>
      </c>
      <c r="AI6065" s="1" t="s">
        <v>246</v>
      </c>
      <c r="AJ6065" s="1">
        <v>2019</v>
      </c>
      <c r="AK6065" s="1" t="s">
        <v>46</v>
      </c>
      <c r="AL6065" s="1">
        <v>787</v>
      </c>
    </row>
    <row r="6066" spans="1:38" x14ac:dyDescent="0.2">
      <c r="A6066" s="2" t="str">
        <f>HYPERLINK("https://www.compass.com/listing/252-south-street-unit-17e-manhattan-ny-10002/522513833485890961/","252 South St, Unit 17E")</f>
        <v>252 South St, Unit 17E</v>
      </c>
      <c r="B6066" s="2" t="str">
        <f t="shared" si="992"/>
        <v>One Manhattan Square</v>
      </c>
      <c r="C6066" s="1" t="s">
        <v>47</v>
      </c>
      <c r="D6066" s="1" t="s">
        <v>41</v>
      </c>
      <c r="E6066" s="3">
        <v>1922494</v>
      </c>
      <c r="F6066" s="1">
        <v>1711.9265538735499</v>
      </c>
      <c r="G6066" s="1">
        <v>4</v>
      </c>
      <c r="H6066" s="1">
        <v>2</v>
      </c>
      <c r="I6066" s="1">
        <v>2</v>
      </c>
      <c r="J6066" s="1">
        <v>2</v>
      </c>
      <c r="K6066" s="1">
        <v>2</v>
      </c>
      <c r="M6066" s="4">
        <v>1123</v>
      </c>
      <c r="N6066" s="1">
        <v>1245.8399999999999</v>
      </c>
      <c r="O6066" s="1">
        <v>1265.5</v>
      </c>
      <c r="P6066" s="1">
        <v>19.6666666666666</v>
      </c>
      <c r="Q6066" s="1" t="s">
        <v>42</v>
      </c>
      <c r="S6066" s="1" t="s">
        <v>42</v>
      </c>
      <c r="T6066" s="1" t="s">
        <v>273</v>
      </c>
      <c r="V6066" s="5">
        <v>44118</v>
      </c>
      <c r="W6066" s="5">
        <v>43973</v>
      </c>
      <c r="X6066" s="1">
        <v>2165000</v>
      </c>
      <c r="Y6066" s="1">
        <v>1905200</v>
      </c>
      <c r="Z6066" s="5">
        <v>43978</v>
      </c>
      <c r="AA6066" s="1">
        <v>1922493.52</v>
      </c>
      <c r="AB6066" s="1" t="s">
        <v>4365</v>
      </c>
      <c r="AC6066" s="5">
        <v>44103</v>
      </c>
      <c r="AF6066" s="1">
        <v>10002</v>
      </c>
      <c r="AI6066" s="1" t="s">
        <v>246</v>
      </c>
      <c r="AJ6066" s="1">
        <v>2019</v>
      </c>
      <c r="AK6066" s="1" t="s">
        <v>46</v>
      </c>
      <c r="AL6066" s="1">
        <v>787</v>
      </c>
    </row>
    <row r="6067" spans="1:38" x14ac:dyDescent="0.2">
      <c r="A6067" s="2" t="str">
        <f>HYPERLINK("https://www.compass.com/listing/252-south-street-unit-15e-manhattan-ny-10002/530392349577426785/","252 South St, Unit 15E")</f>
        <v>252 South St, Unit 15E</v>
      </c>
      <c r="B6067" s="2" t="str">
        <f t="shared" si="992"/>
        <v>One Manhattan Square</v>
      </c>
      <c r="C6067" s="1" t="s">
        <v>47</v>
      </c>
      <c r="D6067" s="1" t="s">
        <v>41</v>
      </c>
      <c r="E6067" s="3">
        <v>1931038</v>
      </c>
      <c r="F6067" s="1">
        <v>1719.5352894033799</v>
      </c>
      <c r="G6067" s="1">
        <v>4</v>
      </c>
      <c r="H6067" s="1">
        <v>2</v>
      </c>
      <c r="I6067" s="1">
        <v>2</v>
      </c>
      <c r="J6067" s="1">
        <v>2</v>
      </c>
      <c r="K6067" s="1">
        <v>2</v>
      </c>
      <c r="M6067" s="4">
        <v>1123</v>
      </c>
      <c r="N6067" s="1">
        <v>1233</v>
      </c>
      <c r="O6067" s="1">
        <v>1252</v>
      </c>
      <c r="P6067" s="1">
        <v>19</v>
      </c>
      <c r="Q6067" s="1" t="s">
        <v>42</v>
      </c>
      <c r="S6067" s="1" t="s">
        <v>42</v>
      </c>
      <c r="T6067" s="1" t="s">
        <v>273</v>
      </c>
      <c r="V6067" s="5">
        <v>44182</v>
      </c>
      <c r="W6067" s="5">
        <v>43983</v>
      </c>
      <c r="X6067" s="1">
        <v>2150000</v>
      </c>
      <c r="Y6067" s="1">
        <v>2150000</v>
      </c>
      <c r="Z6067" s="5">
        <v>43994</v>
      </c>
      <c r="AA6067" s="1">
        <v>1931038.13</v>
      </c>
      <c r="AB6067" s="1" t="s">
        <v>4364</v>
      </c>
      <c r="AC6067" s="5">
        <v>44049</v>
      </c>
      <c r="AF6067" s="1">
        <v>10002</v>
      </c>
      <c r="AI6067" s="1" t="s">
        <v>246</v>
      </c>
      <c r="AJ6067" s="1">
        <v>2019</v>
      </c>
      <c r="AK6067" s="1" t="s">
        <v>46</v>
      </c>
      <c r="AL6067" s="1">
        <v>787</v>
      </c>
    </row>
    <row r="6068" spans="1:38" x14ac:dyDescent="0.2">
      <c r="A6068" s="2" t="str">
        <f>HYPERLINK("https://www.compass.com/listing/252-south-street-unit-51k-manhattan-ny-10002/29513524845832417/","252 South St, Unit 51K")</f>
        <v>252 South St, Unit 51K</v>
      </c>
      <c r="B6068" s="2" t="str">
        <f t="shared" si="992"/>
        <v>One Manhattan Square</v>
      </c>
      <c r="C6068" s="1" t="s">
        <v>47</v>
      </c>
      <c r="D6068" s="1" t="s">
        <v>41</v>
      </c>
      <c r="E6068" s="3">
        <v>2492054</v>
      </c>
      <c r="F6068" s="1">
        <v>2219.1039626001698</v>
      </c>
      <c r="G6068" s="1">
        <v>4</v>
      </c>
      <c r="H6068" s="1">
        <v>2</v>
      </c>
      <c r="I6068" s="1">
        <v>2</v>
      </c>
      <c r="J6068" s="1">
        <v>2</v>
      </c>
      <c r="M6068" s="4">
        <v>1123</v>
      </c>
      <c r="N6068" s="1">
        <v>1434</v>
      </c>
      <c r="O6068" s="1">
        <v>1458</v>
      </c>
      <c r="P6068" s="1">
        <v>24</v>
      </c>
      <c r="Q6068" s="1" t="s">
        <v>42</v>
      </c>
      <c r="S6068" s="1" t="s">
        <v>42</v>
      </c>
      <c r="T6068" s="1" t="s">
        <v>273</v>
      </c>
      <c r="U6068" s="1">
        <v>3</v>
      </c>
      <c r="V6068" s="5">
        <v>43704</v>
      </c>
      <c r="W6068" s="5">
        <v>42970</v>
      </c>
      <c r="X6068" s="1">
        <v>2529000</v>
      </c>
      <c r="Y6068" s="1">
        <v>2529000</v>
      </c>
      <c r="Z6068" s="5">
        <v>42973</v>
      </c>
      <c r="AA6068" s="1">
        <v>2492053.75</v>
      </c>
      <c r="AB6068" s="1" t="s">
        <v>4366</v>
      </c>
      <c r="AC6068" s="5">
        <v>43691</v>
      </c>
      <c r="AF6068" s="1">
        <v>10002</v>
      </c>
      <c r="AI6068" s="1" t="s">
        <v>246</v>
      </c>
      <c r="AJ6068" s="1">
        <v>2019</v>
      </c>
      <c r="AK6068" s="1" t="s">
        <v>46</v>
      </c>
      <c r="AL6068" s="1">
        <v>787</v>
      </c>
    </row>
    <row r="6069" spans="1:38" x14ac:dyDescent="0.2">
      <c r="A6069" s="2" t="str">
        <f>HYPERLINK("https://www.compass.com/listing/252-south-street-unit-57h-manhattan-ny-10002/384082274770350049/","252 South St, Unit 57H")</f>
        <v>252 South St, Unit 57H</v>
      </c>
      <c r="B6069" s="2" t="str">
        <f t="shared" si="992"/>
        <v>One Manhattan Square</v>
      </c>
      <c r="C6069" s="1" t="s">
        <v>47</v>
      </c>
      <c r="D6069" s="1" t="s">
        <v>41</v>
      </c>
      <c r="E6069" s="3">
        <v>1489801</v>
      </c>
      <c r="F6069" s="1">
        <v>2194.1107069219402</v>
      </c>
      <c r="G6069" s="1">
        <v>3</v>
      </c>
      <c r="H6069" s="1">
        <v>1</v>
      </c>
      <c r="I6069" s="1">
        <v>1</v>
      </c>
      <c r="J6069" s="1">
        <v>1</v>
      </c>
      <c r="K6069" s="1">
        <v>1</v>
      </c>
      <c r="M6069" s="1">
        <v>679</v>
      </c>
      <c r="N6069" s="1">
        <v>898</v>
      </c>
      <c r="O6069" s="1">
        <v>912</v>
      </c>
      <c r="P6069" s="1">
        <v>14</v>
      </c>
      <c r="Q6069" s="1" t="s">
        <v>42</v>
      </c>
      <c r="S6069" s="1" t="s">
        <v>42</v>
      </c>
      <c r="T6069" s="1" t="s">
        <v>273</v>
      </c>
      <c r="U6069" s="1">
        <v>2</v>
      </c>
      <c r="V6069" s="5">
        <v>43973</v>
      </c>
      <c r="W6069" s="5">
        <v>43782</v>
      </c>
      <c r="X6069" s="1">
        <v>1569000</v>
      </c>
      <c r="Y6069" s="1">
        <v>1459170</v>
      </c>
      <c r="Z6069" s="5">
        <v>43784</v>
      </c>
      <c r="AA6069" s="1">
        <v>1489801.17</v>
      </c>
      <c r="AB6069" s="1" t="s">
        <v>4367</v>
      </c>
      <c r="AC6069" s="5">
        <v>43966</v>
      </c>
      <c r="AF6069" s="1">
        <v>10002</v>
      </c>
      <c r="AI6069" s="1" t="s">
        <v>246</v>
      </c>
      <c r="AJ6069" s="1">
        <v>2019</v>
      </c>
      <c r="AK6069" s="1" t="s">
        <v>46</v>
      </c>
      <c r="AL6069" s="1">
        <v>787</v>
      </c>
    </row>
    <row r="6070" spans="1:38" x14ac:dyDescent="0.2">
      <c r="A6070" s="2" t="str">
        <f>HYPERLINK("https://www.compass.com/listing/252-south-street-unit-45g-manhattan-ny-10002/668833220975052169/","252 South St, Unit 45G")</f>
        <v>252 South St, Unit 45G</v>
      </c>
      <c r="B6070" s="2" t="str">
        <f t="shared" si="992"/>
        <v>One Manhattan Square</v>
      </c>
      <c r="C6070" s="1" t="s">
        <v>47</v>
      </c>
      <c r="D6070" s="1" t="s">
        <v>41</v>
      </c>
      <c r="E6070" s="3">
        <v>2276558</v>
      </c>
      <c r="F6070" s="1">
        <v>1969.34041522491</v>
      </c>
      <c r="G6070" s="1">
        <v>5</v>
      </c>
      <c r="H6070" s="1">
        <v>2</v>
      </c>
      <c r="I6070" s="1">
        <v>2</v>
      </c>
      <c r="J6070" s="1">
        <v>2</v>
      </c>
      <c r="K6070" s="1">
        <v>2</v>
      </c>
      <c r="M6070" s="4">
        <v>1156</v>
      </c>
      <c r="N6070" s="1">
        <v>1455</v>
      </c>
      <c r="O6070" s="1">
        <v>1478</v>
      </c>
      <c r="P6070" s="1">
        <v>23</v>
      </c>
      <c r="Q6070" s="1" t="s">
        <v>42</v>
      </c>
      <c r="S6070" s="1" t="s">
        <v>42</v>
      </c>
      <c r="T6070" s="1" t="s">
        <v>273</v>
      </c>
      <c r="V6070" s="5">
        <v>44292</v>
      </c>
      <c r="W6070" s="5">
        <v>44170</v>
      </c>
      <c r="X6070" s="1">
        <v>2575000</v>
      </c>
      <c r="Y6070" s="1">
        <v>2231826</v>
      </c>
      <c r="Z6070" s="5">
        <v>44170</v>
      </c>
      <c r="AA6070" s="1">
        <v>2276557.52</v>
      </c>
      <c r="AB6070" s="1" t="s">
        <v>4368</v>
      </c>
      <c r="AC6070" s="5">
        <v>44285</v>
      </c>
      <c r="AF6070" s="1">
        <v>10002</v>
      </c>
      <c r="AI6070" s="1" t="s">
        <v>4369</v>
      </c>
      <c r="AJ6070" s="1">
        <v>2019</v>
      </c>
      <c r="AK6070" s="1" t="s">
        <v>46</v>
      </c>
      <c r="AL6070" s="1">
        <v>787</v>
      </c>
    </row>
    <row r="6071" spans="1:38" x14ac:dyDescent="0.2">
      <c r="A6071" s="2" t="str">
        <f>HYPERLINK("https://www.compass.com/listing/252-south-street-unit-18e-manhattan-ny-10002/419560741683322289/","252 South St, Unit 18E")</f>
        <v>252 South St, Unit 18E</v>
      </c>
      <c r="B6071" s="2" t="str">
        <f t="shared" si="992"/>
        <v>One Manhattan Square</v>
      </c>
      <c r="C6071" s="1" t="s">
        <v>47</v>
      </c>
      <c r="D6071" s="1" t="s">
        <v>41</v>
      </c>
      <c r="E6071" s="3">
        <v>2153424</v>
      </c>
      <c r="F6071" s="1">
        <v>1917.56396260017</v>
      </c>
      <c r="G6071" s="1">
        <v>4</v>
      </c>
      <c r="H6071" s="1">
        <v>2</v>
      </c>
      <c r="I6071" s="1">
        <v>2</v>
      </c>
      <c r="J6071" s="1">
        <v>2</v>
      </c>
      <c r="K6071" s="1">
        <v>2</v>
      </c>
      <c r="M6071" s="4">
        <v>1123</v>
      </c>
      <c r="N6071" s="1">
        <v>1251</v>
      </c>
      <c r="O6071" s="1">
        <v>1271</v>
      </c>
      <c r="P6071" s="1">
        <v>20</v>
      </c>
      <c r="Q6071" s="1" t="s">
        <v>42</v>
      </c>
      <c r="S6071" s="1" t="s">
        <v>42</v>
      </c>
      <c r="T6071" s="1" t="s">
        <v>273</v>
      </c>
      <c r="V6071" s="5">
        <v>44261</v>
      </c>
      <c r="W6071" s="5">
        <v>44112</v>
      </c>
      <c r="Y6071" s="1">
        <v>2222000</v>
      </c>
      <c r="Z6071" s="5">
        <v>44112</v>
      </c>
      <c r="AA6071" s="1">
        <v>2153424.33</v>
      </c>
      <c r="AB6071" s="1" t="s">
        <v>4370</v>
      </c>
      <c r="AC6071" s="5">
        <v>44327</v>
      </c>
      <c r="AF6071" s="1">
        <v>10002</v>
      </c>
      <c r="AI6071" s="1" t="s">
        <v>246</v>
      </c>
      <c r="AJ6071" s="1">
        <v>2019</v>
      </c>
      <c r="AK6071" s="1" t="s">
        <v>46</v>
      </c>
      <c r="AL6071" s="1">
        <v>787</v>
      </c>
    </row>
    <row r="6072" spans="1:38" x14ac:dyDescent="0.2">
      <c r="A6072" s="2" t="str">
        <f>HYPERLINK("https://www.compass.com/listing/252-south-street-unit-52k-manhattan-ny-10002/108631936007790561/","252 South St, Unit 52K")</f>
        <v>252 South St, Unit 52K</v>
      </c>
      <c r="B6072" s="2" t="str">
        <f t="shared" si="992"/>
        <v>One Manhattan Square</v>
      </c>
      <c r="C6072" s="1" t="s">
        <v>47</v>
      </c>
      <c r="D6072" s="1" t="s">
        <v>41</v>
      </c>
      <c r="E6072" s="3">
        <v>2490812</v>
      </c>
      <c r="F6072" s="1">
        <v>2217.9981478183399</v>
      </c>
      <c r="G6072" s="1">
        <v>5</v>
      </c>
      <c r="H6072" s="1">
        <v>2</v>
      </c>
      <c r="I6072" s="1">
        <v>2</v>
      </c>
      <c r="J6072" s="1">
        <v>2</v>
      </c>
      <c r="K6072" s="1">
        <v>2</v>
      </c>
      <c r="M6072" s="4">
        <v>1123</v>
      </c>
      <c r="N6072" s="1">
        <v>1440</v>
      </c>
      <c r="O6072" s="1">
        <v>1464</v>
      </c>
      <c r="P6072" s="1">
        <v>24</v>
      </c>
      <c r="Q6072" s="1" t="s">
        <v>42</v>
      </c>
      <c r="S6072" s="1" t="s">
        <v>42</v>
      </c>
      <c r="T6072" s="1" t="s">
        <v>273</v>
      </c>
      <c r="U6072" s="1">
        <v>4</v>
      </c>
      <c r="V6072" s="5">
        <v>43696</v>
      </c>
      <c r="W6072" s="5">
        <v>43402</v>
      </c>
      <c r="X6072" s="1">
        <v>2544000</v>
      </c>
      <c r="Y6072" s="1">
        <v>2633000</v>
      </c>
      <c r="Z6072" s="5">
        <v>43406</v>
      </c>
      <c r="AA6072" s="1">
        <v>2490811.92</v>
      </c>
      <c r="AB6072" s="1" t="s">
        <v>4371</v>
      </c>
      <c r="AC6072" s="5">
        <v>43679</v>
      </c>
      <c r="AF6072" s="1">
        <v>10002</v>
      </c>
      <c r="AI6072" s="1" t="s">
        <v>246</v>
      </c>
      <c r="AJ6072" s="1">
        <v>2019</v>
      </c>
      <c r="AK6072" s="1" t="s">
        <v>46</v>
      </c>
      <c r="AL6072" s="1">
        <v>787</v>
      </c>
    </row>
    <row r="6073" spans="1:38" x14ac:dyDescent="0.2">
      <c r="A6073" s="2" t="str">
        <f>HYPERLINK("https://www.compass.com/listing/252-south-street-unit-36l-manhattan-ny-10002/29513528201275809/","252 South St, Unit 36L")</f>
        <v>252 South St, Unit 36L</v>
      </c>
      <c r="B6073" s="2" t="str">
        <f t="shared" si="992"/>
        <v>One Manhattan Square</v>
      </c>
      <c r="C6073" s="1" t="s">
        <v>47</v>
      </c>
      <c r="D6073" s="1" t="s">
        <v>41</v>
      </c>
      <c r="E6073" s="3">
        <v>2568972</v>
      </c>
      <c r="F6073" s="1">
        <v>2287.59728406055</v>
      </c>
      <c r="G6073" s="1">
        <v>4</v>
      </c>
      <c r="H6073" s="1">
        <v>2</v>
      </c>
      <c r="I6073" s="1">
        <v>2</v>
      </c>
      <c r="J6073" s="1">
        <v>2</v>
      </c>
      <c r="K6073" s="1">
        <v>2</v>
      </c>
      <c r="M6073" s="4">
        <v>1123</v>
      </c>
      <c r="N6073" s="1">
        <v>1339</v>
      </c>
      <c r="O6073" s="1">
        <v>1362</v>
      </c>
      <c r="P6073" s="1">
        <v>23</v>
      </c>
      <c r="Q6073" s="1" t="s">
        <v>42</v>
      </c>
      <c r="S6073" s="1" t="s">
        <v>42</v>
      </c>
      <c r="T6073" s="1" t="s">
        <v>273</v>
      </c>
      <c r="U6073" s="1">
        <v>4</v>
      </c>
      <c r="V6073" s="5">
        <v>43837</v>
      </c>
      <c r="W6073" s="5">
        <v>43247</v>
      </c>
      <c r="X6073" s="1">
        <v>2652000</v>
      </c>
      <c r="Y6073" s="1">
        <v>2519000</v>
      </c>
      <c r="Z6073" s="5">
        <v>43252</v>
      </c>
      <c r="AA6073" s="1">
        <v>2568971.75</v>
      </c>
      <c r="AB6073" s="1" t="s">
        <v>4372</v>
      </c>
      <c r="AC6073" s="5">
        <v>43819</v>
      </c>
      <c r="AF6073" s="1">
        <v>10002</v>
      </c>
      <c r="AI6073" s="1" t="s">
        <v>246</v>
      </c>
      <c r="AJ6073" s="1">
        <v>2019</v>
      </c>
      <c r="AK6073" s="1" t="s">
        <v>46</v>
      </c>
      <c r="AL6073" s="1">
        <v>787</v>
      </c>
    </row>
    <row r="6074" spans="1:38" x14ac:dyDescent="0.2">
      <c r="A6074" s="2" t="str">
        <f>HYPERLINK("https://www.compass.com/listing/252-south-street-unit-28a-manhattan-ny-10002/29513532429170065/","252 South St, Unit 28A")</f>
        <v>252 South St, Unit 28A</v>
      </c>
      <c r="B6074" s="2" t="str">
        <f t="shared" si="992"/>
        <v>One Manhattan Square</v>
      </c>
      <c r="C6074" s="1" t="s">
        <v>47</v>
      </c>
      <c r="D6074" s="1" t="s">
        <v>41</v>
      </c>
      <c r="E6074" s="3">
        <v>2508895</v>
      </c>
      <c r="F6074" s="1">
        <v>2159.1179001721098</v>
      </c>
      <c r="G6074" s="1">
        <v>4</v>
      </c>
      <c r="H6074" s="1">
        <v>2</v>
      </c>
      <c r="I6074" s="1">
        <v>2</v>
      </c>
      <c r="J6074" s="1">
        <v>2</v>
      </c>
      <c r="M6074" s="4">
        <v>1162</v>
      </c>
      <c r="N6074" s="1">
        <v>1343</v>
      </c>
      <c r="O6074" s="1">
        <v>1366</v>
      </c>
      <c r="P6074" s="1">
        <v>23</v>
      </c>
      <c r="Q6074" s="1" t="s">
        <v>42</v>
      </c>
      <c r="S6074" s="1" t="s">
        <v>42</v>
      </c>
      <c r="T6074" s="1" t="s">
        <v>273</v>
      </c>
      <c r="U6074" s="1">
        <v>16</v>
      </c>
      <c r="V6074" s="5">
        <v>43696</v>
      </c>
      <c r="W6074" s="5">
        <v>43054</v>
      </c>
      <c r="X6074" s="1">
        <v>2585000</v>
      </c>
      <c r="Y6074" s="1">
        <v>2585000</v>
      </c>
      <c r="Z6074" s="5">
        <v>43070</v>
      </c>
      <c r="AA6074" s="1">
        <v>2508895</v>
      </c>
      <c r="AB6074" s="1" t="s">
        <v>4373</v>
      </c>
      <c r="AC6074" s="5">
        <v>43613</v>
      </c>
      <c r="AF6074" s="1">
        <v>10002</v>
      </c>
      <c r="AI6074" s="1" t="s">
        <v>246</v>
      </c>
      <c r="AJ6074" s="1">
        <v>2019</v>
      </c>
      <c r="AK6074" s="1" t="s">
        <v>46</v>
      </c>
      <c r="AL6074" s="1">
        <v>787</v>
      </c>
    </row>
    <row r="6075" spans="1:38" x14ac:dyDescent="0.2">
      <c r="A6075" s="2" t="str">
        <f>HYPERLINK("https://www.compass.com/listing/252-south-street-unit-33b-manhattan-ny-10002/375198637782045681/","252 South St, Unit 33B")</f>
        <v>252 South St, Unit 33B</v>
      </c>
      <c r="B6075" s="2" t="str">
        <f t="shared" si="992"/>
        <v>One Manhattan Square</v>
      </c>
      <c r="C6075" s="1" t="s">
        <v>47</v>
      </c>
      <c r="D6075" s="1" t="s">
        <v>41</v>
      </c>
      <c r="E6075" s="3">
        <v>2243991</v>
      </c>
      <c r="F6075" s="1">
        <v>2147.3595789473602</v>
      </c>
      <c r="G6075" s="1">
        <v>4</v>
      </c>
      <c r="H6075" s="1">
        <v>2</v>
      </c>
      <c r="I6075" s="1">
        <v>2</v>
      </c>
      <c r="J6075" s="1">
        <v>2</v>
      </c>
      <c r="K6075" s="1">
        <v>2</v>
      </c>
      <c r="M6075" s="4">
        <v>1045</v>
      </c>
      <c r="N6075" s="1">
        <v>1248</v>
      </c>
      <c r="O6075" s="1">
        <v>1268</v>
      </c>
      <c r="P6075" s="1">
        <v>20</v>
      </c>
      <c r="Q6075" s="1" t="s">
        <v>42</v>
      </c>
      <c r="S6075" s="1" t="s">
        <v>42</v>
      </c>
      <c r="T6075" s="1" t="s">
        <v>273</v>
      </c>
      <c r="U6075" s="1">
        <v>40</v>
      </c>
      <c r="V6075" s="5">
        <v>44176</v>
      </c>
      <c r="W6075" s="5">
        <v>43770</v>
      </c>
      <c r="X6075" s="1">
        <v>2305000</v>
      </c>
      <c r="Y6075" s="1">
        <v>2243226</v>
      </c>
      <c r="Z6075" s="5">
        <v>43810</v>
      </c>
      <c r="AA6075" s="1">
        <v>2243990.7599999998</v>
      </c>
      <c r="AB6075" s="1" t="s">
        <v>4374</v>
      </c>
      <c r="AC6075" s="5">
        <v>44174</v>
      </c>
      <c r="AF6075" s="1">
        <v>10002</v>
      </c>
      <c r="AI6075" s="1" t="s">
        <v>246</v>
      </c>
      <c r="AJ6075" s="1">
        <v>2019</v>
      </c>
      <c r="AK6075" s="1" t="s">
        <v>46</v>
      </c>
      <c r="AL6075" s="1">
        <v>787</v>
      </c>
    </row>
    <row r="6076" spans="1:38" x14ac:dyDescent="0.2">
      <c r="A6076" s="2" t="str">
        <f>HYPERLINK("https://www.compass.com/listing/252-south-street-unit-27p-manhattan-ny-10002/102086256279702833/","252 South St, Unit 27P")</f>
        <v>252 South St, Unit 27P</v>
      </c>
      <c r="B6076" s="2" t="str">
        <f t="shared" si="992"/>
        <v>One Manhattan Square</v>
      </c>
      <c r="C6076" s="1" t="s">
        <v>47</v>
      </c>
      <c r="D6076" s="1" t="s">
        <v>41</v>
      </c>
      <c r="E6076" s="3">
        <v>1534938</v>
      </c>
      <c r="F6076" s="1">
        <v>2123.0124481327798</v>
      </c>
      <c r="G6076" s="1">
        <v>3</v>
      </c>
      <c r="H6076" s="1">
        <v>1</v>
      </c>
      <c r="I6076" s="1">
        <v>1</v>
      </c>
      <c r="J6076" s="1">
        <v>1</v>
      </c>
      <c r="K6076" s="1">
        <v>1</v>
      </c>
      <c r="M6076" s="1">
        <v>723</v>
      </c>
      <c r="N6076" s="1">
        <v>832</v>
      </c>
      <c r="O6076" s="1">
        <v>846</v>
      </c>
      <c r="P6076" s="1">
        <v>14</v>
      </c>
      <c r="Q6076" s="1" t="s">
        <v>42</v>
      </c>
      <c r="S6076" s="1" t="s">
        <v>42</v>
      </c>
      <c r="T6076" s="1" t="s">
        <v>273</v>
      </c>
      <c r="U6076" s="1">
        <v>3</v>
      </c>
      <c r="V6076" s="5">
        <v>43696</v>
      </c>
      <c r="W6076" s="5">
        <v>43396</v>
      </c>
      <c r="X6076" s="1">
        <v>1550000</v>
      </c>
      <c r="Y6076" s="1">
        <v>1550000</v>
      </c>
      <c r="Z6076" s="5">
        <v>43399</v>
      </c>
      <c r="AA6076" s="1">
        <v>1534938.88</v>
      </c>
      <c r="AB6076" s="1" t="s">
        <v>4375</v>
      </c>
      <c r="AC6076" s="5">
        <v>43592</v>
      </c>
      <c r="AF6076" s="1">
        <v>10002</v>
      </c>
      <c r="AI6076" s="1" t="s">
        <v>246</v>
      </c>
      <c r="AJ6076" s="1">
        <v>2019</v>
      </c>
      <c r="AK6076" s="1" t="s">
        <v>46</v>
      </c>
      <c r="AL6076" s="1">
        <v>787</v>
      </c>
    </row>
    <row r="6077" spans="1:38" x14ac:dyDescent="0.2">
      <c r="A6077" s="2" t="str">
        <f>HYPERLINK("https://www.compass.com/listing/252-south-street-unit-33m-manhattan-ny-10002/29513529065251777/","252 South St, Unit 33M")</f>
        <v>252 South St, Unit 33M</v>
      </c>
      <c r="B6077" s="2" t="str">
        <f t="shared" si="992"/>
        <v>One Manhattan Square</v>
      </c>
      <c r="C6077" s="1" t="s">
        <v>47</v>
      </c>
      <c r="D6077" s="1" t="s">
        <v>41</v>
      </c>
      <c r="E6077" s="3">
        <v>1613957</v>
      </c>
      <c r="F6077" s="1">
        <v>2322.23982733812</v>
      </c>
      <c r="G6077" s="1">
        <v>3</v>
      </c>
      <c r="H6077" s="1">
        <v>1</v>
      </c>
      <c r="I6077" s="1">
        <v>1</v>
      </c>
      <c r="J6077" s="1">
        <v>1</v>
      </c>
      <c r="M6077" s="1">
        <v>695</v>
      </c>
      <c r="N6077" s="1">
        <v>818</v>
      </c>
      <c r="O6077" s="1">
        <v>832</v>
      </c>
      <c r="P6077" s="1">
        <v>14</v>
      </c>
      <c r="Q6077" s="1" t="s">
        <v>42</v>
      </c>
      <c r="S6077" s="1" t="s">
        <v>42</v>
      </c>
      <c r="T6077" s="1" t="s">
        <v>273</v>
      </c>
      <c r="U6077" s="1">
        <v>6</v>
      </c>
      <c r="V6077" s="5">
        <v>43684</v>
      </c>
      <c r="W6077" s="5">
        <v>42935</v>
      </c>
      <c r="X6077" s="1">
        <v>1630000</v>
      </c>
      <c r="Y6077" s="1">
        <v>1630000</v>
      </c>
      <c r="Z6077" s="5">
        <v>42942</v>
      </c>
      <c r="AA6077" s="1">
        <v>1613956.68</v>
      </c>
      <c r="AB6077" s="1" t="s">
        <v>4376</v>
      </c>
      <c r="AC6077" s="5">
        <v>43621</v>
      </c>
      <c r="AF6077" s="1">
        <v>10002</v>
      </c>
      <c r="AI6077" s="1" t="s">
        <v>246</v>
      </c>
      <c r="AJ6077" s="1">
        <v>2019</v>
      </c>
      <c r="AK6077" s="1" t="s">
        <v>46</v>
      </c>
      <c r="AL6077" s="1">
        <v>787</v>
      </c>
    </row>
    <row r="6078" spans="1:38" x14ac:dyDescent="0.2">
      <c r="A6078" s="2" t="str">
        <f>HYPERLINK("https://www.compass.com/listing/252-south-street-unit-25n-manhattan-ny-10002/29513529753203985/","252 South St, Unit 25N")</f>
        <v>252 South St, Unit 25N</v>
      </c>
      <c r="B6078" s="2" t="str">
        <f t="shared" si="992"/>
        <v>One Manhattan Square</v>
      </c>
      <c r="C6078" s="1" t="s">
        <v>47</v>
      </c>
      <c r="D6078" s="1" t="s">
        <v>41</v>
      </c>
      <c r="E6078" s="3">
        <v>1524961</v>
      </c>
      <c r="F6078" s="1">
        <v>2194.18848920863</v>
      </c>
      <c r="G6078" s="1">
        <v>3</v>
      </c>
      <c r="H6078" s="1">
        <v>1</v>
      </c>
      <c r="I6078" s="1">
        <v>1</v>
      </c>
      <c r="J6078" s="1">
        <v>1</v>
      </c>
      <c r="M6078" s="1">
        <v>695</v>
      </c>
      <c r="N6078" s="1">
        <v>792</v>
      </c>
      <c r="O6078" s="1">
        <v>805</v>
      </c>
      <c r="P6078" s="1">
        <v>13</v>
      </c>
      <c r="Q6078" s="1" t="s">
        <v>42</v>
      </c>
      <c r="S6078" s="1" t="s">
        <v>42</v>
      </c>
      <c r="T6078" s="1" t="s">
        <v>273</v>
      </c>
      <c r="U6078" s="1">
        <v>6</v>
      </c>
      <c r="V6078" s="5">
        <v>43696</v>
      </c>
      <c r="W6078" s="5">
        <v>42936</v>
      </c>
      <c r="X6078" s="1">
        <v>1560000</v>
      </c>
      <c r="Y6078" s="1">
        <v>1560000</v>
      </c>
      <c r="Z6078" s="5">
        <v>42942</v>
      </c>
      <c r="AA6078" s="1">
        <v>1524961</v>
      </c>
      <c r="AB6078" s="1" t="s">
        <v>4377</v>
      </c>
      <c r="AC6078" s="5">
        <v>43587</v>
      </c>
      <c r="AF6078" s="1">
        <v>10002</v>
      </c>
      <c r="AI6078" s="1" t="s">
        <v>246</v>
      </c>
      <c r="AJ6078" s="1">
        <v>2019</v>
      </c>
      <c r="AK6078" s="1" t="s">
        <v>46</v>
      </c>
      <c r="AL6078" s="1">
        <v>787</v>
      </c>
    </row>
    <row r="6079" spans="1:38" x14ac:dyDescent="0.2">
      <c r="A6079" s="2" t="str">
        <f>HYPERLINK("https://www.compass.com/listing/252-south-street-unit-24n-manhattan-ny-10002/29513537160345233/","252 South St, Unit 24N")</f>
        <v>252 South St, Unit 24N</v>
      </c>
      <c r="B6079" s="2" t="str">
        <f t="shared" si="992"/>
        <v>One Manhattan Square</v>
      </c>
      <c r="C6079" s="1" t="s">
        <v>47</v>
      </c>
      <c r="D6079" s="1" t="s">
        <v>41</v>
      </c>
      <c r="E6079" s="3">
        <v>1592470</v>
      </c>
      <c r="F6079" s="1">
        <v>2291.3237410071902</v>
      </c>
      <c r="G6079" s="1">
        <v>3</v>
      </c>
      <c r="H6079" s="1">
        <v>1</v>
      </c>
      <c r="I6079" s="1">
        <v>1</v>
      </c>
      <c r="J6079" s="1">
        <v>1</v>
      </c>
      <c r="M6079" s="1">
        <v>695</v>
      </c>
      <c r="N6079" s="1">
        <v>789</v>
      </c>
      <c r="O6079" s="1">
        <v>802</v>
      </c>
      <c r="P6079" s="1">
        <v>13</v>
      </c>
      <c r="Q6079" s="1" t="s">
        <v>42</v>
      </c>
      <c r="S6079" s="1" t="s">
        <v>42</v>
      </c>
      <c r="T6079" s="1" t="s">
        <v>273</v>
      </c>
      <c r="U6079" s="1">
        <v>5</v>
      </c>
      <c r="V6079" s="5">
        <v>43837</v>
      </c>
      <c r="W6079" s="5">
        <v>42978</v>
      </c>
      <c r="X6079" s="1">
        <v>1560000</v>
      </c>
      <c r="Y6079" s="1">
        <v>1560000</v>
      </c>
      <c r="Z6079" s="5">
        <v>42983</v>
      </c>
      <c r="AA6079" s="1">
        <v>1592470</v>
      </c>
      <c r="AB6079" s="1" t="s">
        <v>4378</v>
      </c>
      <c r="AC6079" s="5">
        <v>43822</v>
      </c>
      <c r="AF6079" s="1">
        <v>10002</v>
      </c>
      <c r="AI6079" s="1" t="s">
        <v>246</v>
      </c>
      <c r="AJ6079" s="1">
        <v>2019</v>
      </c>
      <c r="AK6079" s="1" t="s">
        <v>46</v>
      </c>
      <c r="AL6079" s="1">
        <v>787</v>
      </c>
    </row>
    <row r="6080" spans="1:38" x14ac:dyDescent="0.2">
      <c r="A6080" s="2" t="str">
        <f>HYPERLINK("https://www.compass.com/listing/252-south-street-unit-28n-manhattan-ny-10002/29513542747072145/","252 South St, Unit 28N")</f>
        <v>252 South St, Unit 28N</v>
      </c>
      <c r="B6080" s="2" t="str">
        <f t="shared" si="992"/>
        <v>One Manhattan Square</v>
      </c>
      <c r="C6080" s="1" t="s">
        <v>47</v>
      </c>
      <c r="D6080" s="1" t="s">
        <v>41</v>
      </c>
      <c r="E6080" s="3">
        <v>1612835</v>
      </c>
      <c r="F6080" s="1">
        <v>2320.6258992805701</v>
      </c>
      <c r="G6080" s="1">
        <v>3</v>
      </c>
      <c r="H6080" s="1">
        <v>1</v>
      </c>
      <c r="I6080" s="1">
        <v>1</v>
      </c>
      <c r="J6080" s="1">
        <v>1</v>
      </c>
      <c r="M6080" s="1">
        <v>695</v>
      </c>
      <c r="N6080" s="1">
        <v>803</v>
      </c>
      <c r="O6080" s="1">
        <v>817</v>
      </c>
      <c r="P6080" s="1">
        <v>14</v>
      </c>
      <c r="Q6080" s="1" t="s">
        <v>42</v>
      </c>
      <c r="S6080" s="1" t="s">
        <v>42</v>
      </c>
      <c r="T6080" s="1" t="s">
        <v>273</v>
      </c>
      <c r="U6080" s="1">
        <v>72</v>
      </c>
      <c r="V6080" s="5">
        <v>43683</v>
      </c>
      <c r="W6080" s="5">
        <v>42830</v>
      </c>
      <c r="X6080" s="1">
        <v>1580000</v>
      </c>
      <c r="Y6080" s="1">
        <v>1580000</v>
      </c>
      <c r="Z6080" s="5">
        <v>42902</v>
      </c>
      <c r="AA6080" s="1">
        <v>1612835</v>
      </c>
      <c r="AB6080" s="1" t="s">
        <v>4379</v>
      </c>
      <c r="AC6080" s="5">
        <v>43637</v>
      </c>
      <c r="AF6080" s="1">
        <v>10002</v>
      </c>
      <c r="AI6080" s="1" t="s">
        <v>246</v>
      </c>
      <c r="AJ6080" s="1">
        <v>2019</v>
      </c>
      <c r="AK6080" s="1" t="s">
        <v>46</v>
      </c>
      <c r="AL6080" s="1">
        <v>787</v>
      </c>
    </row>
    <row r="6081" spans="1:38" x14ac:dyDescent="0.2">
      <c r="A6081" s="2" t="str">
        <f>HYPERLINK("https://www.compass.com/listing/252-south-street-unit-26n-manhattan-ny-10002/4849516313489444913/","252 South St, Unit 26N")</f>
        <v>252 South St, Unit 26N</v>
      </c>
      <c r="B6081" s="2" t="str">
        <f t="shared" si="992"/>
        <v>One Manhattan Square</v>
      </c>
      <c r="C6081" s="1" t="s">
        <v>47</v>
      </c>
      <c r="D6081" s="1" t="s">
        <v>41</v>
      </c>
      <c r="E6081" s="3">
        <v>1530713</v>
      </c>
      <c r="F6081" s="1">
        <v>2202.4647482014302</v>
      </c>
      <c r="G6081" s="1">
        <v>3</v>
      </c>
      <c r="H6081" s="1">
        <v>1</v>
      </c>
      <c r="I6081" s="1">
        <v>1</v>
      </c>
      <c r="J6081" s="1">
        <v>1</v>
      </c>
      <c r="M6081" s="1">
        <v>695</v>
      </c>
      <c r="N6081" s="1">
        <v>796</v>
      </c>
      <c r="O6081" s="1">
        <v>809</v>
      </c>
      <c r="P6081" s="1">
        <v>13</v>
      </c>
      <c r="Q6081" s="1" t="s">
        <v>42</v>
      </c>
      <c r="S6081" s="1" t="s">
        <v>42</v>
      </c>
      <c r="T6081" s="1" t="s">
        <v>273</v>
      </c>
      <c r="U6081" s="1">
        <v>7</v>
      </c>
      <c r="V6081" s="5">
        <v>43696</v>
      </c>
      <c r="W6081" s="5">
        <v>42944</v>
      </c>
      <c r="X6081" s="1">
        <v>1570000</v>
      </c>
      <c r="Y6081" s="1">
        <v>1570000</v>
      </c>
      <c r="Z6081" s="5">
        <v>42959</v>
      </c>
      <c r="AA6081" s="1">
        <v>1530713.74</v>
      </c>
      <c r="AB6081" s="1" t="s">
        <v>4380</v>
      </c>
      <c r="AC6081" s="5">
        <v>43587</v>
      </c>
      <c r="AF6081" s="1">
        <v>10002</v>
      </c>
      <c r="AI6081" s="1" t="s">
        <v>246</v>
      </c>
      <c r="AJ6081" s="1">
        <v>2019</v>
      </c>
      <c r="AK6081" s="1" t="s">
        <v>46</v>
      </c>
      <c r="AL6081" s="1">
        <v>787</v>
      </c>
    </row>
    <row r="6082" spans="1:38" x14ac:dyDescent="0.2">
      <c r="A6082" s="2" t="str">
        <f>HYPERLINK("https://www.compass.com/listing/456-west-167th-street-unit-6e-manhattan-ny-10032/29513639677442113/","456 W 167th St, Unit 6E")</f>
        <v>456 W 167th St, Unit 6E</v>
      </c>
      <c r="B6082" s="2" t="str">
        <f>HYPERLINK("https://www.compass.com/building/456-w-167th-st-manhattan-ny-10032/282005897969005013/","456 W 167th St")</f>
        <v>456 W 167th St</v>
      </c>
      <c r="C6082" s="1" t="s">
        <v>93</v>
      </c>
      <c r="D6082" s="1" t="s">
        <v>41</v>
      </c>
      <c r="E6082" s="3">
        <v>730000</v>
      </c>
      <c r="F6082" s="1">
        <v>782.42229367631296</v>
      </c>
      <c r="G6082" s="1">
        <v>5</v>
      </c>
      <c r="H6082" s="1">
        <v>2</v>
      </c>
      <c r="I6082" s="1">
        <v>2</v>
      </c>
      <c r="J6082" s="1">
        <v>2</v>
      </c>
      <c r="K6082" s="1">
        <v>2</v>
      </c>
      <c r="M6082" s="1">
        <v>933</v>
      </c>
      <c r="N6082" s="1">
        <v>592</v>
      </c>
      <c r="O6082" s="1">
        <v>1399</v>
      </c>
      <c r="P6082" s="1">
        <v>807</v>
      </c>
      <c r="Q6082" s="1" t="s">
        <v>105</v>
      </c>
      <c r="S6082" s="1" t="s">
        <v>105</v>
      </c>
      <c r="T6082" s="1" t="s">
        <v>273</v>
      </c>
      <c r="U6082" s="1">
        <v>251</v>
      </c>
      <c r="V6082" s="5">
        <v>44385</v>
      </c>
      <c r="W6082" s="5">
        <v>43251</v>
      </c>
      <c r="X6082" s="1">
        <v>800000</v>
      </c>
      <c r="Y6082" s="1">
        <v>749000</v>
      </c>
      <c r="Z6082" s="5">
        <v>43502</v>
      </c>
      <c r="AA6082" s="1">
        <v>730000</v>
      </c>
      <c r="AB6082" s="1" t="s">
        <v>4381</v>
      </c>
      <c r="AC6082" s="5">
        <v>43571</v>
      </c>
      <c r="AF6082" s="1">
        <v>10032</v>
      </c>
      <c r="AI6082" s="1" t="s">
        <v>4382</v>
      </c>
      <c r="AJ6082" s="1">
        <v>2014</v>
      </c>
      <c r="AL6082" s="1">
        <v>49</v>
      </c>
    </row>
    <row r="6083" spans="1:38" x14ac:dyDescent="0.2">
      <c r="A6083" s="2" t="str">
        <f>HYPERLINK("https://www.compass.com/listing/252-south-street-unit-72g-manhattan-ny-10002/263532624851579297/","252 South St, Unit 72G")</f>
        <v>252 South St, Unit 72G</v>
      </c>
      <c r="B6083" s="2" t="str">
        <f t="shared" ref="B6083:B6087" si="993">HYPERLINK("https://www.compass.com/building/one-manhattan-square-manhattan-ny/294844950218926165/","One Manhattan Square")</f>
        <v>One Manhattan Square</v>
      </c>
      <c r="C6083" s="1" t="s">
        <v>47</v>
      </c>
      <c r="D6083" s="1" t="s">
        <v>41</v>
      </c>
      <c r="E6083" s="3">
        <v>1607204</v>
      </c>
      <c r="F6083" s="1">
        <v>2336.0526162790602</v>
      </c>
      <c r="G6083" s="1">
        <v>3</v>
      </c>
      <c r="H6083" s="1">
        <v>1</v>
      </c>
      <c r="I6083" s="1">
        <v>1</v>
      </c>
      <c r="J6083" s="1">
        <v>1</v>
      </c>
      <c r="K6083" s="1">
        <v>1</v>
      </c>
      <c r="M6083" s="1">
        <v>688</v>
      </c>
      <c r="N6083" s="1">
        <v>972</v>
      </c>
      <c r="O6083" s="1">
        <v>987</v>
      </c>
      <c r="P6083" s="1">
        <v>15</v>
      </c>
      <c r="Q6083" s="1" t="s">
        <v>42</v>
      </c>
      <c r="S6083" s="1" t="s">
        <v>42</v>
      </c>
      <c r="T6083" s="1" t="s">
        <v>273</v>
      </c>
      <c r="U6083" s="1">
        <v>12</v>
      </c>
      <c r="V6083" s="5">
        <v>43816</v>
      </c>
      <c r="W6083" s="5">
        <v>43617</v>
      </c>
      <c r="X6083" s="1">
        <v>1630000</v>
      </c>
      <c r="Y6083" s="1">
        <v>1630000</v>
      </c>
      <c r="Z6083" s="5">
        <v>43629</v>
      </c>
      <c r="AA6083" s="1">
        <v>1607204.2</v>
      </c>
      <c r="AB6083" s="1" t="s">
        <v>4383</v>
      </c>
      <c r="AC6083" s="5">
        <v>43801</v>
      </c>
      <c r="AF6083" s="1">
        <v>10002</v>
      </c>
      <c r="AI6083" s="1" t="s">
        <v>246</v>
      </c>
      <c r="AJ6083" s="1">
        <v>2019</v>
      </c>
      <c r="AK6083" s="1" t="s">
        <v>46</v>
      </c>
      <c r="AL6083" s="1">
        <v>787</v>
      </c>
    </row>
    <row r="6084" spans="1:38" x14ac:dyDescent="0.2">
      <c r="A6084" s="2" t="str">
        <f>HYPERLINK("https://www.compass.com/listing/252-south-street-unit-53m-manhattan-ny-10002/29513533016337025/","252 South St, Unit 53M")</f>
        <v>252 South St, Unit 53M</v>
      </c>
      <c r="B6084" s="2" t="str">
        <f t="shared" si="993"/>
        <v>One Manhattan Square</v>
      </c>
      <c r="C6084" s="1" t="s">
        <v>47</v>
      </c>
      <c r="D6084" s="1" t="s">
        <v>41</v>
      </c>
      <c r="E6084" s="3">
        <v>1705812</v>
      </c>
      <c r="F6084" s="1">
        <v>2454.40575539568</v>
      </c>
      <c r="G6084" s="1">
        <v>3</v>
      </c>
      <c r="H6084" s="1">
        <v>1</v>
      </c>
      <c r="I6084" s="1">
        <v>1</v>
      </c>
      <c r="J6084" s="1">
        <v>1</v>
      </c>
      <c r="M6084" s="1">
        <v>695</v>
      </c>
      <c r="N6084" s="1">
        <v>895</v>
      </c>
      <c r="O6084" s="1">
        <v>910</v>
      </c>
      <c r="P6084" s="1">
        <v>15</v>
      </c>
      <c r="Q6084" s="1" t="s">
        <v>42</v>
      </c>
      <c r="S6084" s="1" t="s">
        <v>42</v>
      </c>
      <c r="T6084" s="1" t="s">
        <v>273</v>
      </c>
      <c r="U6084" s="1">
        <v>2</v>
      </c>
      <c r="V6084" s="5">
        <v>43704</v>
      </c>
      <c r="W6084" s="5">
        <v>43054</v>
      </c>
      <c r="X6084" s="1">
        <v>1723000</v>
      </c>
      <c r="Y6084" s="1">
        <v>1723000</v>
      </c>
      <c r="Z6084" s="5">
        <v>43056</v>
      </c>
      <c r="AA6084" s="1">
        <v>1705812</v>
      </c>
      <c r="AB6084" s="1" t="s">
        <v>4384</v>
      </c>
      <c r="AC6084" s="5">
        <v>43691</v>
      </c>
      <c r="AF6084" s="1">
        <v>10002</v>
      </c>
      <c r="AI6084" s="1" t="s">
        <v>246</v>
      </c>
      <c r="AJ6084" s="1">
        <v>2019</v>
      </c>
      <c r="AK6084" s="1" t="s">
        <v>46</v>
      </c>
      <c r="AL6084" s="1">
        <v>787</v>
      </c>
    </row>
    <row r="6085" spans="1:38" x14ac:dyDescent="0.2">
      <c r="A6085" s="2" t="str">
        <f>HYPERLINK("https://www.compass.com/listing/252-south-street-unit-43m-manhattan-ny-10002/29513534903773921/","252 South St, Unit 43M")</f>
        <v>252 South St, Unit 43M</v>
      </c>
      <c r="B6085" s="2" t="str">
        <f t="shared" si="993"/>
        <v>One Manhattan Square</v>
      </c>
      <c r="C6085" s="1" t="s">
        <v>47</v>
      </c>
      <c r="D6085" s="1" t="s">
        <v>41</v>
      </c>
      <c r="E6085" s="3">
        <v>1663747</v>
      </c>
      <c r="F6085" s="1">
        <v>2393.8805755395601</v>
      </c>
      <c r="G6085" s="1">
        <v>3</v>
      </c>
      <c r="H6085" s="1">
        <v>1</v>
      </c>
      <c r="I6085" s="1">
        <v>1</v>
      </c>
      <c r="J6085" s="1">
        <v>1</v>
      </c>
      <c r="M6085" s="1">
        <v>695</v>
      </c>
      <c r="N6085" s="1">
        <v>858</v>
      </c>
      <c r="O6085" s="1">
        <v>872</v>
      </c>
      <c r="P6085" s="1">
        <v>14</v>
      </c>
      <c r="Q6085" s="1" t="s">
        <v>42</v>
      </c>
      <c r="S6085" s="1" t="s">
        <v>42</v>
      </c>
      <c r="T6085" s="1" t="s">
        <v>273</v>
      </c>
      <c r="U6085" s="1">
        <v>2</v>
      </c>
      <c r="V6085" s="5">
        <v>43696</v>
      </c>
      <c r="W6085" s="5">
        <v>43019</v>
      </c>
      <c r="X6085" s="1">
        <v>1681000</v>
      </c>
      <c r="Y6085" s="1">
        <v>1681000</v>
      </c>
      <c r="Z6085" s="5">
        <v>43021</v>
      </c>
      <c r="AA6085" s="1">
        <v>1663747</v>
      </c>
      <c r="AB6085" s="1" t="s">
        <v>4385</v>
      </c>
      <c r="AC6085" s="5">
        <v>43624</v>
      </c>
      <c r="AF6085" s="1">
        <v>10002</v>
      </c>
      <c r="AI6085" s="1" t="s">
        <v>246</v>
      </c>
      <c r="AJ6085" s="1">
        <v>2019</v>
      </c>
      <c r="AK6085" s="1" t="s">
        <v>46</v>
      </c>
      <c r="AL6085" s="1">
        <v>787</v>
      </c>
    </row>
    <row r="6086" spans="1:38" x14ac:dyDescent="0.2">
      <c r="A6086" s="2" t="str">
        <f>HYPERLINK("https://www.compass.com/listing/252-south-street-unit-59k-manhattan-ny-10002/29513537479026049/","252 South St, Unit 59K")</f>
        <v>252 South St, Unit 59K</v>
      </c>
      <c r="B6086" s="2" t="str">
        <f t="shared" si="993"/>
        <v>One Manhattan Square</v>
      </c>
      <c r="C6086" s="1" t="s">
        <v>47</v>
      </c>
      <c r="D6086" s="1" t="s">
        <v>41</v>
      </c>
      <c r="E6086" s="3">
        <v>1684113</v>
      </c>
      <c r="F6086" s="1">
        <v>2447.8379360465101</v>
      </c>
      <c r="G6086" s="1">
        <v>3</v>
      </c>
      <c r="H6086" s="1">
        <v>1</v>
      </c>
      <c r="I6086" s="1">
        <v>1</v>
      </c>
      <c r="J6086" s="1">
        <v>1</v>
      </c>
      <c r="M6086" s="1">
        <v>688</v>
      </c>
      <c r="N6086" s="1">
        <v>904</v>
      </c>
      <c r="O6086" s="1">
        <v>919</v>
      </c>
      <c r="P6086" s="1">
        <v>15</v>
      </c>
      <c r="Q6086" s="1" t="s">
        <v>42</v>
      </c>
      <c r="S6086" s="1" t="s">
        <v>42</v>
      </c>
      <c r="T6086" s="1" t="s">
        <v>273</v>
      </c>
      <c r="U6086" s="1">
        <v>1</v>
      </c>
      <c r="V6086" s="5">
        <v>43774</v>
      </c>
      <c r="W6086" s="5">
        <v>42993</v>
      </c>
      <c r="X6086" s="1">
        <v>1728000</v>
      </c>
      <c r="Y6086" s="1">
        <v>1728000</v>
      </c>
      <c r="Z6086" s="5">
        <v>42994</v>
      </c>
      <c r="AA6086" s="1">
        <v>1684112.5</v>
      </c>
      <c r="AB6086" s="1" t="s">
        <v>4386</v>
      </c>
      <c r="AC6086" s="5">
        <v>43756</v>
      </c>
      <c r="AF6086" s="1">
        <v>10002</v>
      </c>
      <c r="AI6086" s="1" t="s">
        <v>246</v>
      </c>
      <c r="AJ6086" s="1">
        <v>2019</v>
      </c>
      <c r="AK6086" s="1" t="s">
        <v>46</v>
      </c>
      <c r="AL6086" s="1">
        <v>787</v>
      </c>
    </row>
    <row r="6087" spans="1:38" x14ac:dyDescent="0.2">
      <c r="A6087" s="2" t="str">
        <f>HYPERLINK("https://www.compass.com/listing/252-south-street-unit-50j-manhattan-ny-10002/29513523906308257/","252 South St, Unit 50J")</f>
        <v>252 South St, Unit 50J</v>
      </c>
      <c r="B6087" s="2" t="str">
        <f t="shared" si="993"/>
        <v>One Manhattan Square</v>
      </c>
      <c r="C6087" s="1" t="s">
        <v>47</v>
      </c>
      <c r="D6087" s="1" t="s">
        <v>41</v>
      </c>
      <c r="E6087" s="3">
        <v>1487529</v>
      </c>
      <c r="F6087" s="1">
        <v>2140.3294964028701</v>
      </c>
      <c r="G6087" s="1">
        <v>3</v>
      </c>
      <c r="H6087" s="1">
        <v>1</v>
      </c>
      <c r="I6087" s="1">
        <v>1</v>
      </c>
      <c r="J6087" s="1">
        <v>1</v>
      </c>
      <c r="M6087" s="1">
        <v>695</v>
      </c>
      <c r="N6087" s="1">
        <v>884</v>
      </c>
      <c r="O6087" s="1">
        <v>899</v>
      </c>
      <c r="P6087" s="1">
        <v>15</v>
      </c>
      <c r="Q6087" s="1" t="s">
        <v>42</v>
      </c>
      <c r="S6087" s="1" t="s">
        <v>42</v>
      </c>
      <c r="T6087" s="1" t="s">
        <v>273</v>
      </c>
      <c r="U6087" s="1">
        <v>7</v>
      </c>
      <c r="V6087" s="5">
        <v>43696</v>
      </c>
      <c r="W6087" s="5">
        <v>43075</v>
      </c>
      <c r="X6087" s="1">
        <v>1502000</v>
      </c>
      <c r="Y6087" s="1">
        <v>1502000</v>
      </c>
      <c r="Z6087" s="5">
        <v>43082</v>
      </c>
      <c r="AA6087" s="1">
        <v>1487529</v>
      </c>
      <c r="AB6087" s="1" t="s">
        <v>4387</v>
      </c>
      <c r="AC6087" s="5">
        <v>43645</v>
      </c>
      <c r="AF6087" s="1">
        <v>10002</v>
      </c>
      <c r="AI6087" s="1" t="s">
        <v>246</v>
      </c>
      <c r="AJ6087" s="1">
        <v>2019</v>
      </c>
      <c r="AK6087" s="1" t="s">
        <v>46</v>
      </c>
      <c r="AL6087" s="1">
        <v>787</v>
      </c>
    </row>
    <row r="6088" spans="1:38" x14ac:dyDescent="0.2">
      <c r="A6088" s="2" t="str">
        <f>HYPERLINK("https://www.compass.com/listing/50-clinton-street-unit-pha-manhattan-ny-10002/29514174761558449/","50 Clinton St, Unit PHA")</f>
        <v>50 Clinton St, Unit PHA</v>
      </c>
      <c r="B6088" s="2" t="str">
        <f t="shared" ref="B6088:B6089" si="994">HYPERLINK("https://www.compass.com/building/50-clinton-st-manhattan-ny-10002/281887574832709909/","50 Clinton St")</f>
        <v>50 Clinton St</v>
      </c>
      <c r="C6088" s="1" t="s">
        <v>47</v>
      </c>
      <c r="D6088" s="1" t="s">
        <v>41</v>
      </c>
      <c r="E6088" s="3">
        <v>2250000</v>
      </c>
      <c r="F6088" s="1">
        <v>1835.2365415986901</v>
      </c>
      <c r="G6088" s="1">
        <v>4</v>
      </c>
      <c r="H6088" s="1">
        <v>2</v>
      </c>
      <c r="I6088" s="1">
        <v>2</v>
      </c>
      <c r="J6088" s="1">
        <v>2</v>
      </c>
      <c r="K6088" s="1">
        <v>2</v>
      </c>
      <c r="M6088" s="4">
        <v>1226</v>
      </c>
      <c r="N6088" s="1">
        <v>1626</v>
      </c>
      <c r="O6088" s="1">
        <v>3561</v>
      </c>
      <c r="P6088" s="1">
        <v>1935</v>
      </c>
      <c r="Q6088" s="1" t="s">
        <v>42</v>
      </c>
      <c r="S6088" s="1" t="s">
        <v>42</v>
      </c>
      <c r="T6088" s="1" t="s">
        <v>273</v>
      </c>
      <c r="U6088" s="1">
        <v>685</v>
      </c>
      <c r="V6088" s="5">
        <v>43788</v>
      </c>
      <c r="W6088" s="5">
        <v>42942</v>
      </c>
      <c r="X6088" s="1">
        <v>3500000</v>
      </c>
      <c r="Y6088" s="1">
        <v>2495000</v>
      </c>
      <c r="Z6088" s="5">
        <v>43627</v>
      </c>
      <c r="AA6088" s="1">
        <v>2250000</v>
      </c>
      <c r="AB6088" s="1" t="s">
        <v>4388</v>
      </c>
      <c r="AC6088" s="5">
        <v>43643</v>
      </c>
      <c r="AF6088" s="1">
        <v>10002</v>
      </c>
      <c r="AI6088" s="1" t="s">
        <v>483</v>
      </c>
      <c r="AJ6088" s="1">
        <v>2017</v>
      </c>
      <c r="AK6088" s="1" t="s">
        <v>55</v>
      </c>
      <c r="AL6088" s="1">
        <v>37</v>
      </c>
    </row>
    <row r="6089" spans="1:38" x14ac:dyDescent="0.2">
      <c r="A6089" s="2" t="str">
        <f>HYPERLINK("https://www.compass.com/listing/50-clinton-street-unit-6e-manhattan-ny-10002/29514175751414241/","50 Clinton St, Unit 6E")</f>
        <v>50 Clinton St, Unit 6E</v>
      </c>
      <c r="B6089" s="2" t="str">
        <f t="shared" si="994"/>
        <v>50 Clinton St</v>
      </c>
      <c r="C6089" s="1" t="s">
        <v>47</v>
      </c>
      <c r="D6089" s="1" t="s">
        <v>41</v>
      </c>
      <c r="E6089" s="3">
        <v>1860852</v>
      </c>
      <c r="F6089" s="1">
        <v>2056.19005524861</v>
      </c>
      <c r="G6089" s="1">
        <v>4</v>
      </c>
      <c r="H6089" s="1">
        <v>2</v>
      </c>
      <c r="I6089" s="1">
        <v>2</v>
      </c>
      <c r="J6089" s="1">
        <v>2</v>
      </c>
      <c r="M6089" s="1">
        <v>905</v>
      </c>
      <c r="N6089" s="1">
        <v>1055</v>
      </c>
      <c r="O6089" s="1">
        <v>2061</v>
      </c>
      <c r="P6089" s="1">
        <v>1006</v>
      </c>
      <c r="Q6089" s="1" t="s">
        <v>42</v>
      </c>
      <c r="S6089" s="1" t="s">
        <v>42</v>
      </c>
      <c r="T6089" s="1" t="s">
        <v>273</v>
      </c>
      <c r="U6089" s="1">
        <v>427</v>
      </c>
      <c r="V6089" s="5">
        <v>43640</v>
      </c>
      <c r="W6089" s="5">
        <v>42942</v>
      </c>
      <c r="X6089" s="1">
        <v>2200000</v>
      </c>
      <c r="Y6089" s="1">
        <v>1850000</v>
      </c>
      <c r="Z6089" s="5">
        <v>43369</v>
      </c>
      <c r="AA6089" s="1">
        <v>1860852</v>
      </c>
      <c r="AB6089" s="1" t="s">
        <v>4389</v>
      </c>
      <c r="AC6089" s="5">
        <v>43405</v>
      </c>
      <c r="AF6089" s="1">
        <v>10002</v>
      </c>
      <c r="AI6089" s="1" t="s">
        <v>177</v>
      </c>
      <c r="AJ6089" s="1">
        <v>2017</v>
      </c>
      <c r="AK6089" s="1" t="s">
        <v>55</v>
      </c>
      <c r="AL6089" s="1">
        <v>37</v>
      </c>
    </row>
    <row r="6090" spans="1:38" x14ac:dyDescent="0.2">
      <c r="A6090" s="2" t="str">
        <f>HYPERLINK("https://www.compass.com/listing/252-south-street-unit-10c-manhattan-ny-10002/754944425564619721/","252 South St, Unit 10C")</f>
        <v>252 South St, Unit 10C</v>
      </c>
      <c r="B6090" s="2" t="str">
        <f>HYPERLINK("https://www.compass.com/building/one-manhattan-square-manhattan-ny/294844950218926165/","One Manhattan Square")</f>
        <v>One Manhattan Square</v>
      </c>
      <c r="C6090" s="1" t="s">
        <v>47</v>
      </c>
      <c r="D6090" s="1" t="s">
        <v>41</v>
      </c>
      <c r="E6090" s="3">
        <v>1200000</v>
      </c>
      <c r="F6090" s="1">
        <v>1726.6187050359699</v>
      </c>
      <c r="G6090" s="1">
        <v>3</v>
      </c>
      <c r="H6090" s="1">
        <v>1</v>
      </c>
      <c r="I6090" s="1">
        <v>1</v>
      </c>
      <c r="J6090" s="1">
        <v>1</v>
      </c>
      <c r="K6090" s="1">
        <v>1</v>
      </c>
      <c r="M6090" s="1">
        <v>695</v>
      </c>
      <c r="N6090" s="1">
        <v>752.49</v>
      </c>
      <c r="O6090" s="1">
        <v>764.49</v>
      </c>
      <c r="P6090" s="1">
        <v>12</v>
      </c>
      <c r="Q6090" s="1" t="s">
        <v>42</v>
      </c>
      <c r="S6090" s="1" t="s">
        <v>42</v>
      </c>
      <c r="T6090" s="1" t="s">
        <v>273</v>
      </c>
      <c r="U6090" s="1">
        <v>1</v>
      </c>
      <c r="V6090" s="5">
        <v>44293</v>
      </c>
      <c r="W6090" s="5">
        <v>44292</v>
      </c>
      <c r="X6090" s="1">
        <v>1200000</v>
      </c>
      <c r="Y6090" s="1">
        <v>1200000</v>
      </c>
      <c r="AA6090" s="1">
        <v>1200000</v>
      </c>
      <c r="AB6090" s="1" t="s">
        <v>275</v>
      </c>
      <c r="AC6090" s="5">
        <v>44293</v>
      </c>
      <c r="AF6090" s="1">
        <v>10002</v>
      </c>
      <c r="AI6090" s="1" t="s">
        <v>246</v>
      </c>
      <c r="AJ6090" s="1">
        <v>2019</v>
      </c>
      <c r="AK6090" s="1" t="s">
        <v>46</v>
      </c>
      <c r="AL6090" s="1">
        <v>787</v>
      </c>
    </row>
    <row r="6091" spans="1:38" x14ac:dyDescent="0.2">
      <c r="A6091" s="2" t="str">
        <f>HYPERLINK("https://www.compass.com/listing/130-william-street-unit-18c-manhattan-ny-10038/657737990212193145/","130 William St, Unit 18C")</f>
        <v>130 William St, Unit 18C</v>
      </c>
      <c r="B6091" s="2" t="str">
        <f>HYPERLINK("https://www.compass.com/building/130-william-st-manhattan-ny-10038/282029682239486757/","130 William St")</f>
        <v>130 William St</v>
      </c>
      <c r="C6091" s="1" t="s">
        <v>96</v>
      </c>
      <c r="D6091" s="1" t="s">
        <v>41</v>
      </c>
      <c r="E6091" s="3">
        <v>1786560</v>
      </c>
      <c r="F6091" s="1">
        <v>1806.43110212335</v>
      </c>
      <c r="G6091" s="1">
        <v>3</v>
      </c>
      <c r="H6091" s="1">
        <v>1</v>
      </c>
      <c r="J6091" s="1">
        <v>1</v>
      </c>
      <c r="M6091" s="1">
        <v>989</v>
      </c>
      <c r="N6091" s="1">
        <v>670</v>
      </c>
      <c r="O6091" s="1">
        <v>1968</v>
      </c>
      <c r="P6091" s="1">
        <v>1298</v>
      </c>
      <c r="Q6091" s="1" t="s">
        <v>42</v>
      </c>
      <c r="S6091" s="1" t="s">
        <v>42</v>
      </c>
      <c r="T6091" s="1" t="s">
        <v>273</v>
      </c>
      <c r="V6091" s="5">
        <v>44247</v>
      </c>
      <c r="W6091" s="5">
        <v>44159</v>
      </c>
      <c r="X6091" s="1">
        <v>1750990</v>
      </c>
      <c r="Y6091" s="1">
        <v>1750990</v>
      </c>
      <c r="Z6091" s="5">
        <v>44159</v>
      </c>
      <c r="AA6091" s="1">
        <v>1786560.36</v>
      </c>
      <c r="AB6091" s="1" t="s">
        <v>4390</v>
      </c>
      <c r="AC6091" s="5">
        <v>44208</v>
      </c>
      <c r="AF6091" s="1">
        <v>10038</v>
      </c>
      <c r="AI6091" s="1" t="s">
        <v>48</v>
      </c>
      <c r="AJ6091" s="1">
        <v>2020</v>
      </c>
      <c r="AK6091" s="1" t="s">
        <v>49</v>
      </c>
      <c r="AL6091" s="1">
        <v>244</v>
      </c>
    </row>
    <row r="6092" spans="1:38" x14ac:dyDescent="0.2">
      <c r="A6092" s="2" t="str">
        <f>HYPERLINK("https://www.compass.com/listing/49-chambers-street-unit-11g-manhattan-ny-10007/673938728669858097/","49 Chambers St, Unit 11G")</f>
        <v>49 Chambers St, Unit 11G</v>
      </c>
      <c r="B6092" s="2" t="str">
        <f>HYPERLINK("https://www.compass.com/building/49-chambers-manhattan-ny/282058733280852725/","49 Chambers")</f>
        <v>49 Chambers</v>
      </c>
      <c r="C6092" s="1" t="s">
        <v>113</v>
      </c>
      <c r="D6092" s="1" t="s">
        <v>41</v>
      </c>
      <c r="E6092" s="3">
        <v>2145000</v>
      </c>
      <c r="F6092" s="1">
        <v>1866.8407310704899</v>
      </c>
      <c r="G6092" s="1">
        <v>4</v>
      </c>
      <c r="H6092" s="1">
        <v>1</v>
      </c>
      <c r="I6092" s="1">
        <v>2</v>
      </c>
      <c r="J6092" s="1">
        <v>2</v>
      </c>
      <c r="K6092" s="1">
        <v>2</v>
      </c>
      <c r="M6092" s="4">
        <v>1149</v>
      </c>
      <c r="N6092" s="1">
        <v>902</v>
      </c>
      <c r="O6092" s="1">
        <v>2731</v>
      </c>
      <c r="P6092" s="1">
        <v>1829</v>
      </c>
      <c r="Q6092" s="1" t="s">
        <v>42</v>
      </c>
      <c r="S6092" s="1" t="s">
        <v>42</v>
      </c>
      <c r="T6092" s="1" t="s">
        <v>273</v>
      </c>
      <c r="U6092" s="1">
        <v>63</v>
      </c>
      <c r="V6092" s="5">
        <v>44314</v>
      </c>
      <c r="W6092" s="5">
        <v>44181</v>
      </c>
      <c r="X6092" s="1">
        <v>2145000</v>
      </c>
      <c r="Y6092" s="1">
        <v>2145000</v>
      </c>
      <c r="Z6092" s="5">
        <v>44245</v>
      </c>
      <c r="AA6092" s="1">
        <v>2145000</v>
      </c>
      <c r="AB6092" s="1" t="s">
        <v>275</v>
      </c>
      <c r="AC6092" s="5">
        <v>44246</v>
      </c>
      <c r="AF6092" s="1">
        <v>10007</v>
      </c>
      <c r="AI6092" s="1" t="s">
        <v>114</v>
      </c>
      <c r="AJ6092" s="1">
        <v>1910</v>
      </c>
      <c r="AK6092" s="1" t="s">
        <v>49</v>
      </c>
      <c r="AL6092" s="1">
        <v>99</v>
      </c>
    </row>
    <row r="6093" spans="1:38" x14ac:dyDescent="0.2">
      <c r="A6093" s="2" t="str">
        <f>HYPERLINK("https://www.compass.com/listing/695-1st-avenue-unit-31f-manhattan-ny-10016/647183775493945145/","695 1st Ave, Unit 31F")</f>
        <v>695 1st Ave, Unit 31F</v>
      </c>
      <c r="B6093" s="2" t="str">
        <f>HYPERLINK("https://www.compass.com/building/one-united-nations-park-manhattan-ny/282058773630059653/","One United Nations Park")</f>
        <v>One United Nations Park</v>
      </c>
      <c r="C6093" s="1" t="s">
        <v>59</v>
      </c>
      <c r="D6093" s="1" t="s">
        <v>41</v>
      </c>
      <c r="E6093" s="3">
        <v>2630000</v>
      </c>
      <c r="F6093" s="1">
        <v>1623.45679012345</v>
      </c>
      <c r="G6093" s="1">
        <v>4</v>
      </c>
      <c r="H6093" s="1">
        <v>2</v>
      </c>
      <c r="I6093" s="1">
        <v>2</v>
      </c>
      <c r="J6093" s="1">
        <v>1.5</v>
      </c>
      <c r="K6093" s="1">
        <v>1</v>
      </c>
      <c r="L6093" s="1">
        <v>1</v>
      </c>
      <c r="M6093" s="4">
        <v>1620</v>
      </c>
      <c r="N6093" s="1">
        <v>2198</v>
      </c>
      <c r="O6093" s="1">
        <v>4809</v>
      </c>
      <c r="P6093" s="1">
        <v>2611</v>
      </c>
      <c r="Q6093" s="1" t="s">
        <v>42</v>
      </c>
      <c r="S6093" s="1" t="s">
        <v>42</v>
      </c>
      <c r="T6093" s="1" t="s">
        <v>273</v>
      </c>
      <c r="V6093" s="5">
        <v>44401</v>
      </c>
      <c r="W6093" s="5">
        <v>44144</v>
      </c>
      <c r="X6093" s="1">
        <v>2890000</v>
      </c>
      <c r="Y6093" s="1">
        <v>2890000</v>
      </c>
      <c r="Z6093" s="5">
        <v>44145</v>
      </c>
      <c r="AA6093" s="1">
        <v>2630000</v>
      </c>
      <c r="AB6093" s="1" t="s">
        <v>275</v>
      </c>
      <c r="AC6093" s="5">
        <v>44397</v>
      </c>
      <c r="AF6093" s="1">
        <v>10016</v>
      </c>
      <c r="AJ6093" s="1">
        <v>2019</v>
      </c>
      <c r="AK6093" s="1" t="s">
        <v>49</v>
      </c>
      <c r="AL6093" s="1">
        <v>148</v>
      </c>
    </row>
    <row r="6094" spans="1:38" x14ac:dyDescent="0.2">
      <c r="A6094" s="2" t="str">
        <f>HYPERLINK("https://www.compass.com/listing/252-south-street-unit-39l-manhattan-ny-10002/645558917777277289/","252 South St, Unit 39L")</f>
        <v>252 South St, Unit 39L</v>
      </c>
      <c r="B6094" s="2" t="str">
        <f t="shared" ref="B6094:B6095" si="995">HYPERLINK("https://www.compass.com/building/one-manhattan-square-manhattan-ny/294844950218926165/","One Manhattan Square")</f>
        <v>One Manhattan Square</v>
      </c>
      <c r="C6094" s="1" t="s">
        <v>47</v>
      </c>
      <c r="D6094" s="1" t="s">
        <v>41</v>
      </c>
      <c r="E6094" s="3">
        <v>2541000</v>
      </c>
      <c r="F6094" s="1">
        <v>2262.6892252893999</v>
      </c>
      <c r="G6094" s="1">
        <v>4</v>
      </c>
      <c r="H6094" s="1">
        <v>2</v>
      </c>
      <c r="I6094" s="1">
        <v>2</v>
      </c>
      <c r="J6094" s="1">
        <v>2</v>
      </c>
      <c r="K6094" s="1">
        <v>2</v>
      </c>
      <c r="M6094" s="4">
        <v>1123</v>
      </c>
      <c r="N6094" s="1">
        <v>1384</v>
      </c>
      <c r="O6094" s="1">
        <v>1406</v>
      </c>
      <c r="P6094" s="1">
        <v>22</v>
      </c>
      <c r="Q6094" s="1" t="s">
        <v>42</v>
      </c>
      <c r="S6094" s="1" t="s">
        <v>42</v>
      </c>
      <c r="T6094" s="1" t="s">
        <v>273</v>
      </c>
      <c r="U6094" s="1">
        <v>3</v>
      </c>
      <c r="V6094" s="5">
        <v>44142</v>
      </c>
      <c r="W6094" s="5">
        <v>44139</v>
      </c>
      <c r="X6094" s="1">
        <v>2541000</v>
      </c>
      <c r="Y6094" s="1">
        <v>2541000</v>
      </c>
      <c r="AA6094" s="1">
        <v>2541000</v>
      </c>
      <c r="AB6094" s="1" t="s">
        <v>275</v>
      </c>
      <c r="AC6094" s="5">
        <v>44142</v>
      </c>
      <c r="AF6094" s="1">
        <v>10002</v>
      </c>
      <c r="AI6094" s="1" t="s">
        <v>246</v>
      </c>
      <c r="AJ6094" s="1">
        <v>2019</v>
      </c>
      <c r="AK6094" s="1" t="s">
        <v>46</v>
      </c>
      <c r="AL6094" s="1">
        <v>787</v>
      </c>
    </row>
    <row r="6095" spans="1:38" x14ac:dyDescent="0.2">
      <c r="A6095" s="2" t="str">
        <f>HYPERLINK("https://www.compass.com/listing/252-south-street-unit-65k-manhattan-ny-10002/640493089481679881/","252 South St, Unit 65K")</f>
        <v>252 South St, Unit 65K</v>
      </c>
      <c r="B6095" s="2" t="str">
        <f t="shared" si="995"/>
        <v>One Manhattan Square</v>
      </c>
      <c r="C6095" s="1" t="s">
        <v>47</v>
      </c>
      <c r="D6095" s="1" t="s">
        <v>41</v>
      </c>
      <c r="E6095" s="3">
        <v>1508000</v>
      </c>
      <c r="F6095" s="1">
        <v>2191.86046511627</v>
      </c>
      <c r="G6095" s="1">
        <v>3</v>
      </c>
      <c r="H6095" s="1">
        <v>1</v>
      </c>
      <c r="I6095" s="1">
        <v>1</v>
      </c>
      <c r="J6095" s="1">
        <v>1</v>
      </c>
      <c r="K6095" s="1">
        <v>1</v>
      </c>
      <c r="M6095" s="1">
        <v>688</v>
      </c>
      <c r="N6095" s="1">
        <v>943.07</v>
      </c>
      <c r="O6095" s="1">
        <v>958.07</v>
      </c>
      <c r="P6095" s="1">
        <v>15</v>
      </c>
      <c r="Q6095" s="1" t="s">
        <v>42</v>
      </c>
      <c r="S6095" s="1" t="s">
        <v>42</v>
      </c>
      <c r="T6095" s="1" t="s">
        <v>273</v>
      </c>
      <c r="V6095" s="5">
        <v>44136</v>
      </c>
      <c r="W6095" s="5">
        <v>44135</v>
      </c>
      <c r="X6095" s="1">
        <v>1808000</v>
      </c>
      <c r="Y6095" s="1">
        <v>1508000</v>
      </c>
      <c r="AA6095" s="1">
        <v>1508000</v>
      </c>
      <c r="AB6095" s="1" t="s">
        <v>275</v>
      </c>
      <c r="AC6095" s="5">
        <v>44136</v>
      </c>
      <c r="AF6095" s="1">
        <v>10002</v>
      </c>
      <c r="AI6095" s="1" t="s">
        <v>246</v>
      </c>
      <c r="AJ6095" s="1">
        <v>2019</v>
      </c>
      <c r="AK6095" s="1" t="s">
        <v>46</v>
      </c>
      <c r="AL6095" s="1">
        <v>787</v>
      </c>
    </row>
    <row r="6096" spans="1:38" x14ac:dyDescent="0.2">
      <c r="A6096" s="2" t="str">
        <f>HYPERLINK("https://www.compass.com/listing/111-murray-street-unit-45east-manhattan-ny-10007/619785211913503209/","111 Murray St, Unit 45EAST")</f>
        <v>111 Murray St, Unit 45EAST</v>
      </c>
      <c r="B6096" s="2" t="str">
        <f t="shared" ref="B6096:B6097" si="996">HYPERLINK("https://www.compass.com/building/111-murray-st-manhattan-ny-10007/281896511862746053/","111 Murray St")</f>
        <v>111 Murray St</v>
      </c>
      <c r="C6096" s="1" t="s">
        <v>50</v>
      </c>
      <c r="D6096" s="1" t="s">
        <v>41</v>
      </c>
      <c r="E6096" s="3">
        <v>6700000</v>
      </c>
      <c r="F6096" s="1">
        <v>2375.0443105281802</v>
      </c>
      <c r="G6096" s="1">
        <v>6.5</v>
      </c>
      <c r="H6096" s="1">
        <v>3</v>
      </c>
      <c r="I6096" s="1">
        <v>5</v>
      </c>
      <c r="J6096" s="1">
        <v>4.5</v>
      </c>
      <c r="K6096" s="1">
        <v>4</v>
      </c>
      <c r="L6096" s="1">
        <v>1</v>
      </c>
      <c r="M6096" s="4">
        <v>2821</v>
      </c>
      <c r="N6096" s="1">
        <v>3493</v>
      </c>
      <c r="O6096" s="1">
        <v>9856</v>
      </c>
      <c r="P6096" s="1">
        <v>6363</v>
      </c>
      <c r="Q6096" s="1" t="s">
        <v>42</v>
      </c>
      <c r="S6096" s="1" t="s">
        <v>42</v>
      </c>
      <c r="T6096" s="1" t="s">
        <v>273</v>
      </c>
      <c r="U6096" s="1">
        <v>7</v>
      </c>
      <c r="V6096" s="5">
        <v>44225</v>
      </c>
      <c r="W6096" s="5">
        <v>44099</v>
      </c>
      <c r="X6096" s="1">
        <v>7250000</v>
      </c>
      <c r="Y6096" s="1">
        <v>7250000</v>
      </c>
      <c r="Z6096" s="5">
        <v>44107</v>
      </c>
      <c r="AA6096" s="1">
        <v>6700000</v>
      </c>
      <c r="AB6096" s="1" t="s">
        <v>275</v>
      </c>
      <c r="AC6096" s="5">
        <v>44144</v>
      </c>
      <c r="AF6096" s="1">
        <v>10007</v>
      </c>
      <c r="AI6096" s="1" t="s">
        <v>107</v>
      </c>
      <c r="AJ6096" s="1">
        <v>2018</v>
      </c>
      <c r="AK6096" s="1" t="s">
        <v>49</v>
      </c>
      <c r="AL6096" s="1">
        <v>157</v>
      </c>
    </row>
    <row r="6097" spans="1:38" x14ac:dyDescent="0.2">
      <c r="A6097" s="2" t="str">
        <f>HYPERLINK("https://www.compass.com/listing/111-murray-street-unit-23w-manhattan-ny-10007/100377842147233073/","111 Murray St, Unit 23W")</f>
        <v>111 Murray St, Unit 23W</v>
      </c>
      <c r="B6097" s="2" t="str">
        <f t="shared" si="996"/>
        <v>111 Murray St</v>
      </c>
      <c r="C6097" s="1" t="s">
        <v>50</v>
      </c>
      <c r="D6097" s="1" t="s">
        <v>41</v>
      </c>
      <c r="E6097" s="3">
        <v>7600000</v>
      </c>
      <c r="F6097" s="1">
        <v>2830.5400372439399</v>
      </c>
      <c r="M6097" s="4">
        <v>2685</v>
      </c>
      <c r="Q6097" s="1" t="s">
        <v>42</v>
      </c>
      <c r="S6097" s="1" t="s">
        <v>42</v>
      </c>
      <c r="T6097" s="1" t="s">
        <v>273</v>
      </c>
      <c r="AA6097" s="1">
        <v>7600000</v>
      </c>
      <c r="AB6097" s="1" t="s">
        <v>4391</v>
      </c>
      <c r="AC6097" s="5">
        <v>43367</v>
      </c>
      <c r="AF6097" s="1">
        <v>10007</v>
      </c>
      <c r="AI6097" s="1" t="s">
        <v>80</v>
      </c>
      <c r="AJ6097" s="1">
        <v>2018</v>
      </c>
      <c r="AK6097" s="1" t="s">
        <v>49</v>
      </c>
      <c r="AL6097" s="1">
        <v>157</v>
      </c>
    </row>
    <row r="6098" spans="1:38" x14ac:dyDescent="0.2">
      <c r="A6098" s="2" t="str">
        <f>HYPERLINK("https://www.compass.com/listing/70-charlton-street-unit-16d-manhattan-ny-10014/102557859610391905/","70 Charlton St, Unit 16D")</f>
        <v>70 Charlton St, Unit 16D</v>
      </c>
      <c r="B6098" s="2" t="str">
        <f>HYPERLINK("https://www.compass.com/building/70-charlton-street-manhattan-ny/292835639240484293/","70 Charlton Street")</f>
        <v>70 Charlton Street</v>
      </c>
      <c r="C6098" s="1" t="s">
        <v>53</v>
      </c>
      <c r="D6098" s="1" t="s">
        <v>41</v>
      </c>
      <c r="E6098" s="3">
        <v>1629200</v>
      </c>
      <c r="Q6098" s="1" t="s">
        <v>271</v>
      </c>
      <c r="S6098" s="1" t="s">
        <v>271</v>
      </c>
      <c r="T6098" s="1" t="s">
        <v>273</v>
      </c>
      <c r="AA6098" s="1">
        <v>1629200</v>
      </c>
      <c r="AB6098" s="1" t="s">
        <v>4392</v>
      </c>
      <c r="AC6098" s="5">
        <v>43383</v>
      </c>
      <c r="AF6098" s="1">
        <v>10014</v>
      </c>
      <c r="AI6098" s="1" t="s">
        <v>80</v>
      </c>
      <c r="AJ6098" s="1">
        <v>2016</v>
      </c>
      <c r="AK6098" s="1" t="s">
        <v>49</v>
      </c>
      <c r="AL6098" s="1">
        <v>92</v>
      </c>
    </row>
    <row r="6099" spans="1:38" x14ac:dyDescent="0.2">
      <c r="A6099" s="2" t="str">
        <f>HYPERLINK("https://www.compass.com/listing/230-east-20th-street-unit-42-manhattan-ny-10003/102571174478793393/","230 E 20th St, Unit 42")</f>
        <v>230 E 20th St, Unit 42</v>
      </c>
      <c r="B6099" s="2" t="str">
        <f>HYPERLINK("https://www.compass.com/building/the-modern-at-gramercy-square-manhattan-ny/282059330264532517/","The Modern at Gramercy Square")</f>
        <v>The Modern at Gramercy Square</v>
      </c>
      <c r="C6099" s="1" t="s">
        <v>64</v>
      </c>
      <c r="D6099" s="1" t="s">
        <v>41</v>
      </c>
      <c r="E6099" s="3">
        <v>1397754</v>
      </c>
      <c r="F6099" s="1">
        <v>2034.57666666666</v>
      </c>
      <c r="M6099" s="1">
        <v>687</v>
      </c>
      <c r="Q6099" s="1" t="s">
        <v>42</v>
      </c>
      <c r="S6099" s="1" t="s">
        <v>42</v>
      </c>
      <c r="T6099" s="1" t="s">
        <v>273</v>
      </c>
      <c r="AA6099" s="1">
        <v>1397754.17</v>
      </c>
      <c r="AB6099" s="1" t="s">
        <v>4393</v>
      </c>
      <c r="AC6099" s="5">
        <v>43383</v>
      </c>
      <c r="AF6099" s="1">
        <v>10003</v>
      </c>
      <c r="AI6099" s="1" t="s">
        <v>65</v>
      </c>
      <c r="AJ6099" s="1">
        <v>2016</v>
      </c>
      <c r="AK6099" s="1" t="s">
        <v>49</v>
      </c>
      <c r="AL6099" s="1">
        <v>37</v>
      </c>
    </row>
    <row r="6100" spans="1:38" x14ac:dyDescent="0.2">
      <c r="A6100" s="2" t="str">
        <f>HYPERLINK("https://www.compass.com/listing/111-murray-street-unit-21w-manhattan-ny-10007/105447783107964785/","111 Murray St, Unit 21W")</f>
        <v>111 Murray St, Unit 21W</v>
      </c>
      <c r="B6100" s="2" t="str">
        <f t="shared" ref="B6100:B6101" si="997">HYPERLINK("https://www.compass.com/building/111-murray-st-manhattan-ny-10007/281896511862746053/","111 Murray St")</f>
        <v>111 Murray St</v>
      </c>
      <c r="C6100" s="1" t="s">
        <v>50</v>
      </c>
      <c r="D6100" s="1" t="s">
        <v>41</v>
      </c>
      <c r="E6100" s="3">
        <v>7325000</v>
      </c>
      <c r="F6100" s="1">
        <v>2728.1191806331399</v>
      </c>
      <c r="M6100" s="4">
        <v>2685</v>
      </c>
      <c r="Q6100" s="1" t="s">
        <v>42</v>
      </c>
      <c r="S6100" s="1" t="s">
        <v>42</v>
      </c>
      <c r="T6100" s="1" t="s">
        <v>273</v>
      </c>
      <c r="AA6100" s="1">
        <v>7325000</v>
      </c>
      <c r="AB6100" s="1" t="s">
        <v>4394</v>
      </c>
      <c r="AC6100" s="5">
        <v>43348</v>
      </c>
      <c r="AF6100" s="1">
        <v>10007</v>
      </c>
      <c r="AI6100" s="1" t="s">
        <v>80</v>
      </c>
      <c r="AJ6100" s="1">
        <v>2018</v>
      </c>
      <c r="AK6100" s="1" t="s">
        <v>49</v>
      </c>
      <c r="AL6100" s="1">
        <v>157</v>
      </c>
    </row>
    <row r="6101" spans="1:38" x14ac:dyDescent="0.2">
      <c r="A6101" s="2" t="str">
        <f>HYPERLINK("https://www.compass.com/listing/111-murray-street-unit-34b-manhattan-ny-10007/111970138873453489/","111 Murray St, Unit 34B")</f>
        <v>111 Murray St, Unit 34B</v>
      </c>
      <c r="B6101" s="2" t="str">
        <f t="shared" si="997"/>
        <v>111 Murray St</v>
      </c>
      <c r="C6101" s="1" t="s">
        <v>50</v>
      </c>
      <c r="D6101" s="1" t="s">
        <v>41</v>
      </c>
      <c r="E6101" s="3">
        <v>4938513</v>
      </c>
      <c r="F6101" s="1">
        <v>2964.29321728691</v>
      </c>
      <c r="M6101" s="4">
        <v>1666</v>
      </c>
      <c r="Q6101" s="1" t="s">
        <v>42</v>
      </c>
      <c r="S6101" s="1" t="s">
        <v>42</v>
      </c>
      <c r="T6101" s="1" t="s">
        <v>273</v>
      </c>
      <c r="AA6101" s="1">
        <v>4938512.5</v>
      </c>
      <c r="AB6101" s="1" t="s">
        <v>4395</v>
      </c>
      <c r="AC6101" s="5">
        <v>43403</v>
      </c>
      <c r="AF6101" s="1">
        <v>10007</v>
      </c>
      <c r="AI6101" s="1" t="s">
        <v>80</v>
      </c>
      <c r="AJ6101" s="1">
        <v>2018</v>
      </c>
      <c r="AK6101" s="1" t="s">
        <v>49</v>
      </c>
      <c r="AL6101" s="1">
        <v>157</v>
      </c>
    </row>
    <row r="6102" spans="1:38" x14ac:dyDescent="0.2">
      <c r="A6102" s="2" t="str">
        <f>HYPERLINK("https://www.compass.com/listing/12-east-88th-street-unit-3b-manhattan-ny-10128/11340706316676769/","12 E 88th St, Unit 3B")</f>
        <v>12 E 88th St, Unit 3B</v>
      </c>
      <c r="B6102" s="2" t="str">
        <f>HYPERLINK("https://www.compass.com/building/12-e-88th-st-manhattan-ny-10128/282046316798827461/","12 E 88th St")</f>
        <v>12 E 88th St</v>
      </c>
      <c r="C6102" s="1" t="s">
        <v>82</v>
      </c>
      <c r="D6102" s="1" t="s">
        <v>41</v>
      </c>
      <c r="E6102" s="3">
        <v>1476463</v>
      </c>
      <c r="F6102" s="1">
        <v>1700.99366359447</v>
      </c>
      <c r="G6102" s="1">
        <v>3</v>
      </c>
      <c r="H6102" s="1">
        <v>1</v>
      </c>
      <c r="I6102" s="1">
        <v>1</v>
      </c>
      <c r="J6102" s="1">
        <v>1</v>
      </c>
      <c r="K6102" s="1">
        <v>1</v>
      </c>
      <c r="M6102" s="1">
        <v>868</v>
      </c>
      <c r="N6102" s="1">
        <v>1043</v>
      </c>
      <c r="O6102" s="1">
        <v>2180</v>
      </c>
      <c r="P6102" s="1">
        <v>1137</v>
      </c>
      <c r="Q6102" s="1" t="s">
        <v>42</v>
      </c>
      <c r="S6102" s="1" t="s">
        <v>42</v>
      </c>
      <c r="T6102" s="1" t="s">
        <v>273</v>
      </c>
      <c r="U6102" s="1">
        <v>167</v>
      </c>
      <c r="V6102" s="5">
        <v>43805</v>
      </c>
      <c r="W6102" s="5">
        <v>43237</v>
      </c>
      <c r="X6102" s="1">
        <v>1650000</v>
      </c>
      <c r="Y6102" s="1">
        <v>1550000</v>
      </c>
      <c r="AA6102" s="1">
        <v>1476462.5</v>
      </c>
      <c r="AB6102" s="1" t="s">
        <v>4396</v>
      </c>
      <c r="AC6102" s="5">
        <v>43755</v>
      </c>
      <c r="AF6102" s="1">
        <v>10128</v>
      </c>
      <c r="AI6102" s="1" t="s">
        <v>197</v>
      </c>
      <c r="AJ6102" s="1">
        <v>1931</v>
      </c>
      <c r="AK6102" s="1" t="s">
        <v>46</v>
      </c>
      <c r="AL6102" s="1">
        <v>39</v>
      </c>
    </row>
    <row r="6103" spans="1:38" x14ac:dyDescent="0.2">
      <c r="A6103" s="2" t="str">
        <f>HYPERLINK("https://www.compass.com/listing/111-murray-street-unit-18w-manhattan-ny-10007/116350172501387985/","111 Murray St, Unit 18W")</f>
        <v>111 Murray St, Unit 18W</v>
      </c>
      <c r="B6103" s="2" t="str">
        <f t="shared" ref="B6103:B6107" si="998">HYPERLINK("https://www.compass.com/building/111-murray-st-manhattan-ny-10007/281896511862746053/","111 Murray St")</f>
        <v>111 Murray St</v>
      </c>
      <c r="C6103" s="1" t="s">
        <v>50</v>
      </c>
      <c r="D6103" s="1" t="s">
        <v>41</v>
      </c>
      <c r="E6103" s="3">
        <v>7100000</v>
      </c>
      <c r="F6103" s="1">
        <v>2644.32029795158</v>
      </c>
      <c r="M6103" s="4">
        <v>2685</v>
      </c>
      <c r="Q6103" s="1" t="s">
        <v>42</v>
      </c>
      <c r="S6103" s="1" t="s">
        <v>42</v>
      </c>
      <c r="T6103" s="1" t="s">
        <v>273</v>
      </c>
      <c r="AA6103" s="1">
        <v>7100000</v>
      </c>
      <c r="AB6103" s="1" t="s">
        <v>4397</v>
      </c>
      <c r="AC6103" s="5">
        <v>43354</v>
      </c>
      <c r="AF6103" s="1">
        <v>10007</v>
      </c>
      <c r="AI6103" s="1" t="s">
        <v>80</v>
      </c>
      <c r="AJ6103" s="1">
        <v>2018</v>
      </c>
      <c r="AK6103" s="1" t="s">
        <v>49</v>
      </c>
      <c r="AL6103" s="1">
        <v>157</v>
      </c>
    </row>
    <row r="6104" spans="1:38" x14ac:dyDescent="0.2">
      <c r="A6104" s="2" t="str">
        <f>HYPERLINK("https://www.compass.com/listing/111-murray-street-unit-26b-manhattan-ny-10007/116350175345126145/","111 Murray St, Unit 26B")</f>
        <v>111 Murray St, Unit 26B</v>
      </c>
      <c r="B6104" s="2" t="str">
        <f t="shared" si="998"/>
        <v>111 Murray St</v>
      </c>
      <c r="C6104" s="1" t="s">
        <v>50</v>
      </c>
      <c r="D6104" s="1" t="s">
        <v>41</v>
      </c>
      <c r="E6104" s="3">
        <v>4276650</v>
      </c>
      <c r="F6104" s="1">
        <v>2705.0284629981002</v>
      </c>
      <c r="M6104" s="4">
        <v>1581</v>
      </c>
      <c r="Q6104" s="1" t="s">
        <v>42</v>
      </c>
      <c r="S6104" s="1" t="s">
        <v>42</v>
      </c>
      <c r="T6104" s="1" t="s">
        <v>273</v>
      </c>
      <c r="AA6104" s="1">
        <v>4276650</v>
      </c>
      <c r="AB6104" s="1" t="s">
        <v>4398</v>
      </c>
      <c r="AC6104" s="5">
        <v>43397</v>
      </c>
      <c r="AF6104" s="1">
        <v>10007</v>
      </c>
      <c r="AI6104" s="1" t="s">
        <v>80</v>
      </c>
      <c r="AJ6104" s="1">
        <v>2018</v>
      </c>
      <c r="AK6104" s="1" t="s">
        <v>49</v>
      </c>
      <c r="AL6104" s="1">
        <v>157</v>
      </c>
    </row>
    <row r="6105" spans="1:38" x14ac:dyDescent="0.2">
      <c r="A6105" s="2" t="str">
        <f>HYPERLINK("https://www.compass.com/listing/111-murray-street-unit-29w-manhattan-ny-10007/116350175554942961/","111 Murray St, Unit 29W")</f>
        <v>111 Murray St, Unit 29W</v>
      </c>
      <c r="B6105" s="2" t="str">
        <f t="shared" si="998"/>
        <v>111 Murray St</v>
      </c>
      <c r="C6105" s="1" t="s">
        <v>50</v>
      </c>
      <c r="D6105" s="1" t="s">
        <v>41</v>
      </c>
      <c r="E6105" s="3">
        <v>8069631</v>
      </c>
      <c r="F6105" s="1">
        <v>3005.4492551210401</v>
      </c>
      <c r="M6105" s="4">
        <v>2685</v>
      </c>
      <c r="Q6105" s="1" t="s">
        <v>42</v>
      </c>
      <c r="S6105" s="1" t="s">
        <v>42</v>
      </c>
      <c r="T6105" s="1" t="s">
        <v>273</v>
      </c>
      <c r="AA6105" s="1">
        <v>8069631.25</v>
      </c>
      <c r="AB6105" s="1" t="s">
        <v>4399</v>
      </c>
      <c r="AC6105" s="5">
        <v>43403</v>
      </c>
      <c r="AF6105" s="1">
        <v>10007</v>
      </c>
      <c r="AI6105" s="1" t="s">
        <v>80</v>
      </c>
      <c r="AJ6105" s="1">
        <v>2018</v>
      </c>
      <c r="AK6105" s="1" t="s">
        <v>49</v>
      </c>
      <c r="AL6105" s="1">
        <v>157</v>
      </c>
    </row>
    <row r="6106" spans="1:38" x14ac:dyDescent="0.2">
      <c r="A6106" s="2" t="str">
        <f>HYPERLINK("https://www.compass.com/listing/111-murray-street-unit-30w-manhattan-ny-10007/125033711216465937/","111 Murray St, Unit 30W")</f>
        <v>111 Murray St, Unit 30W</v>
      </c>
      <c r="B6106" s="2" t="str">
        <f t="shared" si="998"/>
        <v>111 Murray St</v>
      </c>
      <c r="C6106" s="1" t="s">
        <v>50</v>
      </c>
      <c r="D6106" s="1" t="s">
        <v>41</v>
      </c>
      <c r="E6106" s="3">
        <v>8247825</v>
      </c>
      <c r="F6106" s="1">
        <v>3071.8156424580998</v>
      </c>
      <c r="M6106" s="4">
        <v>2685</v>
      </c>
      <c r="Q6106" s="1" t="s">
        <v>42</v>
      </c>
      <c r="S6106" s="1" t="s">
        <v>42</v>
      </c>
      <c r="T6106" s="1" t="s">
        <v>273</v>
      </c>
      <c r="AA6106" s="1">
        <v>8247825</v>
      </c>
      <c r="AB6106" s="1" t="s">
        <v>4400</v>
      </c>
      <c r="AC6106" s="5">
        <v>43403</v>
      </c>
      <c r="AF6106" s="1">
        <v>10007</v>
      </c>
      <c r="AI6106" s="1" t="s">
        <v>80</v>
      </c>
      <c r="AJ6106" s="1">
        <v>2018</v>
      </c>
      <c r="AK6106" s="1" t="s">
        <v>49</v>
      </c>
      <c r="AL6106" s="1">
        <v>157</v>
      </c>
    </row>
    <row r="6107" spans="1:38" x14ac:dyDescent="0.2">
      <c r="A6107" s="2" t="str">
        <f>HYPERLINK("https://www.compass.com/listing/111-murray-street-unit-34w-manhattan-ny-10007/125033712197933089/","111 Murray St, Unit 34W")</f>
        <v>111 Murray St, Unit 34W</v>
      </c>
      <c r="B6107" s="2" t="str">
        <f t="shared" si="998"/>
        <v>111 Murray St</v>
      </c>
      <c r="C6107" s="1" t="s">
        <v>50</v>
      </c>
      <c r="D6107" s="1" t="s">
        <v>41</v>
      </c>
      <c r="E6107" s="3">
        <v>6694994</v>
      </c>
      <c r="F6107" s="1">
        <v>2937.6892277314601</v>
      </c>
      <c r="M6107" s="4">
        <v>2279</v>
      </c>
      <c r="Q6107" s="1" t="s">
        <v>42</v>
      </c>
      <c r="S6107" s="1" t="s">
        <v>42</v>
      </c>
      <c r="T6107" s="1" t="s">
        <v>273</v>
      </c>
      <c r="AA6107" s="1">
        <v>6694993.75</v>
      </c>
      <c r="AB6107" s="1" t="s">
        <v>4401</v>
      </c>
      <c r="AC6107" s="5">
        <v>43416</v>
      </c>
      <c r="AF6107" s="1">
        <v>10007</v>
      </c>
      <c r="AI6107" s="1" t="s">
        <v>80</v>
      </c>
      <c r="AJ6107" s="1">
        <v>2018</v>
      </c>
      <c r="AK6107" s="1" t="s">
        <v>49</v>
      </c>
      <c r="AL6107" s="1">
        <v>157</v>
      </c>
    </row>
    <row r="6108" spans="1:38" x14ac:dyDescent="0.2">
      <c r="A6108" s="2" t="str">
        <f>HYPERLINK("https://www.compass.com/listing/360-east-89th-street-unit-2a-manhattan-ny-10128/125100439136902097/","360 E 89th St, Unit 2A")</f>
        <v>360 E 89th St, Unit 2A</v>
      </c>
      <c r="B6108" s="2" t="str">
        <f>HYPERLINK("https://www.compass.com/building/citizen360-manhattan-ny/282052027553444853/","Citizen360")</f>
        <v>Citizen360</v>
      </c>
      <c r="C6108" s="1" t="s">
        <v>82</v>
      </c>
      <c r="D6108" s="1" t="s">
        <v>41</v>
      </c>
      <c r="E6108" s="3">
        <v>1784688</v>
      </c>
      <c r="F6108" s="1">
        <v>1450.96544715447</v>
      </c>
      <c r="M6108" s="4">
        <v>1230</v>
      </c>
      <c r="Q6108" s="1" t="s">
        <v>42</v>
      </c>
      <c r="S6108" s="1" t="s">
        <v>42</v>
      </c>
      <c r="T6108" s="1" t="s">
        <v>273</v>
      </c>
      <c r="AA6108" s="1">
        <v>1784687.5</v>
      </c>
      <c r="AB6108" s="1" t="s">
        <v>4402</v>
      </c>
      <c r="AC6108" s="5">
        <v>43417</v>
      </c>
      <c r="AF6108" s="1">
        <v>10128</v>
      </c>
      <c r="AJ6108" s="1">
        <v>2017</v>
      </c>
      <c r="AK6108" s="1" t="s">
        <v>55</v>
      </c>
      <c r="AL6108" s="1">
        <v>82</v>
      </c>
    </row>
    <row r="6109" spans="1:38" x14ac:dyDescent="0.2">
      <c r="A6109" s="2" t="str">
        <f>HYPERLINK("https://www.compass.com/listing/111-murray-street-unit-35w-manhattan-ny-10007/126484179067203633/","111 Murray St, Unit 35W")</f>
        <v>111 Murray St, Unit 35W</v>
      </c>
      <c r="B6109" s="2" t="str">
        <f>HYPERLINK("https://www.compass.com/building/111-murray-st-manhattan-ny-10007/281896511862746053/","111 Murray St")</f>
        <v>111 Murray St</v>
      </c>
      <c r="C6109" s="1" t="s">
        <v>50</v>
      </c>
      <c r="D6109" s="1" t="s">
        <v>41</v>
      </c>
      <c r="E6109" s="3">
        <v>6771363</v>
      </c>
      <c r="F6109" s="1">
        <v>2971.1989907854299</v>
      </c>
      <c r="M6109" s="4">
        <v>2279</v>
      </c>
      <c r="Q6109" s="1" t="s">
        <v>42</v>
      </c>
      <c r="S6109" s="1" t="s">
        <v>42</v>
      </c>
      <c r="T6109" s="1" t="s">
        <v>273</v>
      </c>
      <c r="AA6109" s="1">
        <v>6771362.5</v>
      </c>
      <c r="AB6109" s="1" t="s">
        <v>4403</v>
      </c>
      <c r="AC6109" s="5">
        <v>43418</v>
      </c>
      <c r="AF6109" s="1">
        <v>10007</v>
      </c>
      <c r="AI6109" s="1" t="s">
        <v>80</v>
      </c>
      <c r="AJ6109" s="1">
        <v>2018</v>
      </c>
      <c r="AK6109" s="1" t="s">
        <v>49</v>
      </c>
      <c r="AL6109" s="1">
        <v>157</v>
      </c>
    </row>
    <row r="6110" spans="1:38" x14ac:dyDescent="0.2">
      <c r="A6110" s="2" t="str">
        <f>HYPERLINK("https://www.compass.com/listing/100-barrow-street-unit-1d-manhattan-ny-10014/130843757468833457/","100 Barrow St, Unit 1D")</f>
        <v>100 Barrow St, Unit 1D</v>
      </c>
      <c r="B6110" s="2" t="str">
        <f>HYPERLINK("https://www.compass.com/building/100-barrow-manhattan-ny/292834978184618837/","100 Barrow")</f>
        <v>100 Barrow</v>
      </c>
      <c r="C6110" s="1" t="s">
        <v>67</v>
      </c>
      <c r="D6110" s="1" t="s">
        <v>41</v>
      </c>
      <c r="E6110" s="3">
        <v>170000</v>
      </c>
      <c r="Q6110" s="1" t="s">
        <v>271</v>
      </c>
      <c r="S6110" s="1" t="s">
        <v>271</v>
      </c>
      <c r="T6110" s="1" t="s">
        <v>273</v>
      </c>
      <c r="AA6110" s="1">
        <v>170000</v>
      </c>
      <c r="AB6110" s="1" t="s">
        <v>4404</v>
      </c>
      <c r="AC6110" s="5">
        <v>43417</v>
      </c>
      <c r="AF6110" s="1">
        <v>10014</v>
      </c>
      <c r="AJ6110" s="1">
        <v>2015</v>
      </c>
      <c r="AK6110" s="1" t="s">
        <v>202</v>
      </c>
      <c r="AL6110" s="1">
        <v>33</v>
      </c>
    </row>
    <row r="6111" spans="1:38" x14ac:dyDescent="0.2">
      <c r="A6111" s="2" t="str">
        <f>HYPERLINK("https://www.compass.com/listing/111-murray-street-unit-39w-manhattan-ny-10007/137353588060982705/","111 Murray St, Unit 39W")</f>
        <v>111 Murray St, Unit 39W</v>
      </c>
      <c r="B6111" s="2" t="str">
        <f>HYPERLINK("https://www.compass.com/building/111-murray-st-manhattan-ny-10007/281896511862746053/","111 Murray St")</f>
        <v>111 Murray St</v>
      </c>
      <c r="C6111" s="1" t="s">
        <v>50</v>
      </c>
      <c r="D6111" s="1" t="s">
        <v>41</v>
      </c>
      <c r="E6111" s="3">
        <v>7431189</v>
      </c>
      <c r="F6111" s="1">
        <v>3260.7233435717399</v>
      </c>
      <c r="M6111" s="4">
        <v>2279</v>
      </c>
      <c r="Q6111" s="1" t="s">
        <v>42</v>
      </c>
      <c r="S6111" s="1" t="s">
        <v>42</v>
      </c>
      <c r="T6111" s="1" t="s">
        <v>273</v>
      </c>
      <c r="AA6111" s="1">
        <v>7431188.5</v>
      </c>
      <c r="AB6111" s="1" t="s">
        <v>4405</v>
      </c>
      <c r="AC6111" s="5">
        <v>43433</v>
      </c>
      <c r="AF6111" s="1">
        <v>10007</v>
      </c>
      <c r="AI6111" s="1" t="s">
        <v>80</v>
      </c>
      <c r="AJ6111" s="1">
        <v>2018</v>
      </c>
      <c r="AK6111" s="1" t="s">
        <v>49</v>
      </c>
      <c r="AL6111" s="1">
        <v>157</v>
      </c>
    </row>
    <row r="6112" spans="1:38" x14ac:dyDescent="0.2">
      <c r="A6112" s="2" t="str">
        <f>HYPERLINK("https://www.compass.com/listing/196-orchard-street-unit-6p-manhattan-ny-10002/142430108886589313/","196 Orchard St, Unit 6P")</f>
        <v>196 Orchard St, Unit 6P</v>
      </c>
      <c r="B6112" s="2" t="str">
        <f>HYPERLINK("https://www.compass.com/building/196-orchard-st-manhattan-ny-10002/281886194713760485/","196 Orchard St")</f>
        <v>196 Orchard St</v>
      </c>
      <c r="C6112" s="1" t="s">
        <v>47</v>
      </c>
      <c r="D6112" s="1" t="s">
        <v>41</v>
      </c>
      <c r="E6112" s="3">
        <v>939999</v>
      </c>
      <c r="F6112" s="1">
        <v>1543.51231527093</v>
      </c>
      <c r="M6112" s="1">
        <v>609</v>
      </c>
      <c r="Q6112" s="1" t="s">
        <v>42</v>
      </c>
      <c r="S6112" s="1" t="s">
        <v>42</v>
      </c>
      <c r="T6112" s="1" t="s">
        <v>273</v>
      </c>
      <c r="AA6112" s="1">
        <v>939999</v>
      </c>
      <c r="AB6112" s="1" t="s">
        <v>4406</v>
      </c>
      <c r="AC6112" s="5">
        <v>43445</v>
      </c>
      <c r="AF6112" s="1">
        <v>10002</v>
      </c>
      <c r="AI6112" s="1" t="s">
        <v>165</v>
      </c>
      <c r="AJ6112" s="1">
        <v>2018</v>
      </c>
      <c r="AK6112" s="1" t="s">
        <v>202</v>
      </c>
      <c r="AL6112" s="1">
        <v>89</v>
      </c>
    </row>
    <row r="6113" spans="1:38" x14ac:dyDescent="0.2">
      <c r="A6113" s="2" t="str">
        <f>HYPERLINK("https://www.compass.com/listing/235-west-75th-street-unit-721-manhattan-ny-10023/142467448568826737/","235 W 75th St, Unit 721")</f>
        <v>235 W 75th St, Unit 721</v>
      </c>
      <c r="B6113" s="2" t="str">
        <f>HYPERLINK("https://www.compass.com/building/the-astor-manhattan-ny/281958704155269925/","The Astor")</f>
        <v>The Astor</v>
      </c>
      <c r="C6113" s="1" t="s">
        <v>57</v>
      </c>
      <c r="D6113" s="1" t="s">
        <v>41</v>
      </c>
      <c r="E6113" s="3">
        <v>4282671</v>
      </c>
      <c r="F6113" s="1">
        <v>2186.1515926493098</v>
      </c>
      <c r="H6113" s="1">
        <v>3</v>
      </c>
      <c r="J6113" s="1">
        <v>3</v>
      </c>
      <c r="M6113" s="4">
        <v>1959</v>
      </c>
      <c r="N6113" s="1">
        <v>2587</v>
      </c>
      <c r="O6113" s="1">
        <v>5420</v>
      </c>
      <c r="P6113" s="1">
        <v>2833</v>
      </c>
      <c r="Q6113" s="1" t="s">
        <v>42</v>
      </c>
      <c r="S6113" s="1" t="s">
        <v>42</v>
      </c>
      <c r="T6113" s="1" t="s">
        <v>273</v>
      </c>
      <c r="AA6113" s="1">
        <v>4282670.97</v>
      </c>
      <c r="AB6113" s="1" t="s">
        <v>4407</v>
      </c>
      <c r="AC6113" s="5">
        <v>43441</v>
      </c>
      <c r="AF6113" s="1">
        <v>10023</v>
      </c>
      <c r="AJ6113" s="1">
        <v>2018</v>
      </c>
      <c r="AK6113" s="1" t="s">
        <v>49</v>
      </c>
      <c r="AL6113" s="1">
        <v>98</v>
      </c>
    </row>
    <row r="6114" spans="1:38" x14ac:dyDescent="0.2">
      <c r="A6114" s="2" t="str">
        <f>HYPERLINK("https://www.compass.com/listing/111-murray-street-unit-25w-manhattan-ny-10007/143152179123931649/","111 Murray St, Unit 25W")</f>
        <v>111 Murray St, Unit 25W</v>
      </c>
      <c r="B6114" s="2" t="str">
        <f>HYPERLINK("https://www.compass.com/building/111-murray-st-manhattan-ny-10007/281896511862746053/","111 Murray St")</f>
        <v>111 Murray St</v>
      </c>
      <c r="C6114" s="1" t="s">
        <v>50</v>
      </c>
      <c r="D6114" s="1" t="s">
        <v>41</v>
      </c>
      <c r="E6114" s="3">
        <v>8069631</v>
      </c>
      <c r="F6114" s="1">
        <v>3005.4492551210401</v>
      </c>
      <c r="M6114" s="4">
        <v>2685</v>
      </c>
      <c r="Q6114" s="1" t="s">
        <v>42</v>
      </c>
      <c r="S6114" s="1" t="s">
        <v>42</v>
      </c>
      <c r="T6114" s="1" t="s">
        <v>273</v>
      </c>
      <c r="AA6114" s="1">
        <v>8069631.25</v>
      </c>
      <c r="AB6114" s="1" t="s">
        <v>4408</v>
      </c>
      <c r="AC6114" s="5">
        <v>43411</v>
      </c>
      <c r="AF6114" s="1">
        <v>10007</v>
      </c>
      <c r="AI6114" s="1" t="s">
        <v>80</v>
      </c>
      <c r="AJ6114" s="1">
        <v>2018</v>
      </c>
      <c r="AK6114" s="1" t="s">
        <v>49</v>
      </c>
      <c r="AL6114" s="1">
        <v>157</v>
      </c>
    </row>
    <row r="6115" spans="1:38" x14ac:dyDescent="0.2">
      <c r="A6115" s="2" t="str">
        <f>HYPERLINK("https://www.compass.com/listing/70-west-139th-street-unit-2a-manhattan-ny-10037/143222534320535937/","70 W 139th St, Unit 2A")</f>
        <v>70 W 139th St, Unit 2A</v>
      </c>
      <c r="B6115" s="2" t="str">
        <f t="shared" ref="B6115:B6118" si="999">HYPERLINK("https://www.compass.com/building/70-w-139th-st-manhattan-ny-10037/292920118235647477/","70 W 139th St")</f>
        <v>70 W 139th St</v>
      </c>
      <c r="C6115" s="1" t="s">
        <v>84</v>
      </c>
      <c r="D6115" s="1" t="s">
        <v>41</v>
      </c>
      <c r="E6115" s="3">
        <v>265545</v>
      </c>
      <c r="F6115" s="1">
        <v>414.9140625</v>
      </c>
      <c r="M6115" s="1">
        <v>640</v>
      </c>
      <c r="Q6115" s="1" t="s">
        <v>42</v>
      </c>
      <c r="S6115" s="1" t="s">
        <v>42</v>
      </c>
      <c r="T6115" s="1" t="s">
        <v>273</v>
      </c>
      <c r="AA6115" s="1">
        <v>265545</v>
      </c>
      <c r="AB6115" s="1" t="s">
        <v>4409</v>
      </c>
      <c r="AC6115" s="5">
        <v>43445</v>
      </c>
      <c r="AF6115" s="1">
        <v>10037</v>
      </c>
      <c r="AI6115" s="1" t="s">
        <v>48</v>
      </c>
      <c r="AJ6115" s="1">
        <v>2018</v>
      </c>
      <c r="AL6115" s="1">
        <v>64</v>
      </c>
    </row>
    <row r="6116" spans="1:38" x14ac:dyDescent="0.2">
      <c r="A6116" s="2" t="str">
        <f>HYPERLINK("https://www.compass.com/listing/70-west-139th-street-unit-4h-manhattan-ny-10037/143222534622473361/","70 W 139th St, Unit 4H")</f>
        <v>70 W 139th St, Unit 4H</v>
      </c>
      <c r="B6116" s="2" t="str">
        <f t="shared" si="999"/>
        <v>70 W 139th St</v>
      </c>
      <c r="C6116" s="1" t="s">
        <v>84</v>
      </c>
      <c r="D6116" s="1" t="s">
        <v>41</v>
      </c>
      <c r="E6116" s="3">
        <v>375901</v>
      </c>
      <c r="F6116" s="1">
        <v>600.48083067092603</v>
      </c>
      <c r="M6116" s="1">
        <v>626</v>
      </c>
      <c r="Q6116" s="1" t="s">
        <v>42</v>
      </c>
      <c r="S6116" s="1" t="s">
        <v>42</v>
      </c>
      <c r="T6116" s="1" t="s">
        <v>273</v>
      </c>
      <c r="AA6116" s="1">
        <v>375901</v>
      </c>
      <c r="AB6116" s="1" t="s">
        <v>4410</v>
      </c>
      <c r="AC6116" s="5">
        <v>43444</v>
      </c>
      <c r="AF6116" s="1">
        <v>10037</v>
      </c>
      <c r="AI6116" s="1" t="s">
        <v>48</v>
      </c>
      <c r="AJ6116" s="1">
        <v>2018</v>
      </c>
      <c r="AL6116" s="1">
        <v>64</v>
      </c>
    </row>
    <row r="6117" spans="1:38" x14ac:dyDescent="0.2">
      <c r="A6117" s="2" t="str">
        <f>HYPERLINK("https://www.compass.com/listing/70-west-139th-street-unit-7h-manhattan-ny-10037/145395027730803089/","70 W 139th St, Unit 7H")</f>
        <v>70 W 139th St, Unit 7H</v>
      </c>
      <c r="B6117" s="2" t="str">
        <f t="shared" si="999"/>
        <v>70 W 139th St</v>
      </c>
      <c r="C6117" s="1" t="s">
        <v>84</v>
      </c>
      <c r="D6117" s="1" t="s">
        <v>41</v>
      </c>
      <c r="E6117" s="3">
        <v>375901</v>
      </c>
      <c r="F6117" s="1">
        <v>600.48083067092603</v>
      </c>
      <c r="M6117" s="1">
        <v>626</v>
      </c>
      <c r="Q6117" s="1" t="s">
        <v>42</v>
      </c>
      <c r="S6117" s="1" t="s">
        <v>42</v>
      </c>
      <c r="T6117" s="1" t="s">
        <v>273</v>
      </c>
      <c r="AA6117" s="1">
        <v>375901</v>
      </c>
      <c r="AB6117" s="1" t="s">
        <v>4411</v>
      </c>
      <c r="AC6117" s="5">
        <v>43444</v>
      </c>
      <c r="AF6117" s="1">
        <v>10037</v>
      </c>
      <c r="AI6117" s="1" t="s">
        <v>48</v>
      </c>
      <c r="AJ6117" s="1">
        <v>2018</v>
      </c>
      <c r="AL6117" s="1">
        <v>64</v>
      </c>
    </row>
    <row r="6118" spans="1:38" x14ac:dyDescent="0.2">
      <c r="A6118" s="2" t="str">
        <f>HYPERLINK("https://www.compass.com/listing/70-west-139th-street-unit-3h-manhattan-ny-10037/146122857443844577/","70 W 139th St, Unit 3H")</f>
        <v>70 W 139th St, Unit 3H</v>
      </c>
      <c r="B6118" s="2" t="str">
        <f t="shared" si="999"/>
        <v>70 W 139th St</v>
      </c>
      <c r="C6118" s="1" t="s">
        <v>84</v>
      </c>
      <c r="D6118" s="1" t="s">
        <v>41</v>
      </c>
      <c r="E6118" s="3">
        <v>265545</v>
      </c>
      <c r="F6118" s="1">
        <v>424.19329073482402</v>
      </c>
      <c r="M6118" s="1">
        <v>626</v>
      </c>
      <c r="Q6118" s="1" t="s">
        <v>42</v>
      </c>
      <c r="S6118" s="1" t="s">
        <v>42</v>
      </c>
      <c r="T6118" s="1" t="s">
        <v>273</v>
      </c>
      <c r="AA6118" s="1">
        <v>265545</v>
      </c>
      <c r="AB6118" s="1" t="s">
        <v>4412</v>
      </c>
      <c r="AC6118" s="5">
        <v>43445</v>
      </c>
      <c r="AF6118" s="1">
        <v>10037</v>
      </c>
      <c r="AI6118" s="1" t="s">
        <v>48</v>
      </c>
      <c r="AJ6118" s="1">
        <v>2018</v>
      </c>
      <c r="AL6118" s="1">
        <v>64</v>
      </c>
    </row>
    <row r="6119" spans="1:38" x14ac:dyDescent="0.2">
      <c r="A6119" s="2" t="str">
        <f>HYPERLINK("https://www.compass.com/listing/300-east-64th-street-unit-11c-manhattan-ny-10065/146833201489371553/","300 E 64th St, Unit 11C")</f>
        <v>300 E 64th St, Unit 11C</v>
      </c>
      <c r="B6119" s="2" t="str">
        <f>HYPERLINK("https://www.compass.com/building/300-e-64th-st-manhattan-ny-10065/282038617012979925/","300 E 64th St")</f>
        <v>300 E 64th St</v>
      </c>
      <c r="C6119" s="1" t="s">
        <v>82</v>
      </c>
      <c r="D6119" s="1" t="s">
        <v>41</v>
      </c>
      <c r="E6119" s="3">
        <v>1238674</v>
      </c>
      <c r="F6119" s="1">
        <v>1269.1329405737699</v>
      </c>
      <c r="M6119" s="1">
        <v>976</v>
      </c>
      <c r="Q6119" s="1" t="s">
        <v>42</v>
      </c>
      <c r="S6119" s="1" t="s">
        <v>42</v>
      </c>
      <c r="T6119" s="1" t="s">
        <v>273</v>
      </c>
      <c r="AA6119" s="1">
        <v>1238673.75</v>
      </c>
      <c r="AB6119" s="1" t="s">
        <v>4413</v>
      </c>
      <c r="AC6119" s="5">
        <v>43446</v>
      </c>
      <c r="AF6119" s="1">
        <v>10065</v>
      </c>
      <c r="AI6119" s="1" t="s">
        <v>83</v>
      </c>
      <c r="AJ6119" s="1">
        <v>1996</v>
      </c>
      <c r="AK6119" s="1" t="s">
        <v>49</v>
      </c>
      <c r="AL6119" s="1">
        <v>103</v>
      </c>
    </row>
    <row r="6120" spans="1:38" x14ac:dyDescent="0.2">
      <c r="A6120" s="2" t="str">
        <f>HYPERLINK("https://www.compass.com/listing/70-west-139th-street-unit-2c-manhattan-ny-10037/146845680550296001/","70 W 139th St, Unit 2C")</f>
        <v>70 W 139th St, Unit 2C</v>
      </c>
      <c r="B6120" s="2" t="str">
        <f t="shared" ref="B6120:B6126" si="1000">HYPERLINK("https://www.compass.com/building/70-w-139th-st-manhattan-ny-10037/292920118235647477/","70 W 139th St")</f>
        <v>70 W 139th St</v>
      </c>
      <c r="C6120" s="1" t="s">
        <v>84</v>
      </c>
      <c r="D6120" s="1" t="s">
        <v>41</v>
      </c>
      <c r="E6120" s="3">
        <v>291031</v>
      </c>
      <c r="F6120" s="1">
        <v>308.29555084745698</v>
      </c>
      <c r="M6120" s="1">
        <v>944</v>
      </c>
      <c r="Q6120" s="1" t="s">
        <v>42</v>
      </c>
      <c r="S6120" s="1" t="s">
        <v>42</v>
      </c>
      <c r="T6120" s="1" t="s">
        <v>273</v>
      </c>
      <c r="AA6120" s="1">
        <v>291031</v>
      </c>
      <c r="AB6120" s="1" t="s">
        <v>4414</v>
      </c>
      <c r="AC6120" s="5">
        <v>43446</v>
      </c>
      <c r="AF6120" s="1">
        <v>10037</v>
      </c>
      <c r="AI6120" s="1" t="s">
        <v>48</v>
      </c>
      <c r="AJ6120" s="1">
        <v>2018</v>
      </c>
      <c r="AL6120" s="1">
        <v>64</v>
      </c>
    </row>
    <row r="6121" spans="1:38" x14ac:dyDescent="0.2">
      <c r="A6121" s="2" t="str">
        <f>HYPERLINK("https://www.compass.com/listing/70-west-139th-street-unit-5d-manhattan-ny-10037/146845681892471377/","70 W 139th St, Unit 5D")</f>
        <v>70 W 139th St, Unit 5D</v>
      </c>
      <c r="B6121" s="2" t="str">
        <f t="shared" si="1000"/>
        <v>70 W 139th St</v>
      </c>
      <c r="C6121" s="1" t="s">
        <v>84</v>
      </c>
      <c r="D6121" s="1" t="s">
        <v>41</v>
      </c>
      <c r="E6121" s="3">
        <v>426337</v>
      </c>
      <c r="F6121" s="1">
        <v>481.73672316384102</v>
      </c>
      <c r="M6121" s="1">
        <v>885</v>
      </c>
      <c r="Q6121" s="1" t="s">
        <v>42</v>
      </c>
      <c r="S6121" s="1" t="s">
        <v>42</v>
      </c>
      <c r="T6121" s="1" t="s">
        <v>273</v>
      </c>
      <c r="AA6121" s="1">
        <v>426337</v>
      </c>
      <c r="AB6121" s="1" t="s">
        <v>4415</v>
      </c>
      <c r="AC6121" s="5">
        <v>43451</v>
      </c>
      <c r="AF6121" s="1">
        <v>10037</v>
      </c>
      <c r="AI6121" s="1" t="s">
        <v>48</v>
      </c>
      <c r="AJ6121" s="1">
        <v>2018</v>
      </c>
      <c r="AL6121" s="1">
        <v>64</v>
      </c>
    </row>
    <row r="6122" spans="1:38" x14ac:dyDescent="0.2">
      <c r="A6122" s="2" t="str">
        <f>HYPERLINK("https://www.compass.com/listing/70-west-139th-street-unit-6d-manhattan-ny-10037/146845682513230305/","70 W 139th St, Unit 6D")</f>
        <v>70 W 139th St, Unit 6D</v>
      </c>
      <c r="B6122" s="2" t="str">
        <f t="shared" si="1000"/>
        <v>70 W 139th St</v>
      </c>
      <c r="C6122" s="1" t="s">
        <v>84</v>
      </c>
      <c r="D6122" s="1" t="s">
        <v>41</v>
      </c>
      <c r="E6122" s="3">
        <v>426337</v>
      </c>
      <c r="F6122" s="1">
        <v>481.73672316384102</v>
      </c>
      <c r="M6122" s="1">
        <v>885</v>
      </c>
      <c r="Q6122" s="1" t="s">
        <v>42</v>
      </c>
      <c r="S6122" s="1" t="s">
        <v>42</v>
      </c>
      <c r="T6122" s="1" t="s">
        <v>273</v>
      </c>
      <c r="AA6122" s="1">
        <v>426337</v>
      </c>
      <c r="AB6122" s="1" t="s">
        <v>4416</v>
      </c>
      <c r="AC6122" s="5">
        <v>43444</v>
      </c>
      <c r="AF6122" s="1">
        <v>10037</v>
      </c>
      <c r="AI6122" s="1" t="s">
        <v>48</v>
      </c>
      <c r="AJ6122" s="1">
        <v>2018</v>
      </c>
      <c r="AL6122" s="1">
        <v>64</v>
      </c>
    </row>
    <row r="6123" spans="1:38" x14ac:dyDescent="0.2">
      <c r="A6123" s="2" t="str">
        <f>HYPERLINK("https://www.compass.com/listing/70-west-139th-street-unit-6a-manhattan-ny-10037/147571161025278769/","70 W 139th St, Unit 6A")</f>
        <v>70 W 139th St, Unit 6A</v>
      </c>
      <c r="B6123" s="2" t="str">
        <f t="shared" si="1000"/>
        <v>70 W 139th St</v>
      </c>
      <c r="C6123" s="1" t="s">
        <v>84</v>
      </c>
      <c r="D6123" s="1" t="s">
        <v>41</v>
      </c>
      <c r="E6123" s="3">
        <v>465381</v>
      </c>
      <c r="F6123" s="1">
        <v>727.15781249999998</v>
      </c>
      <c r="M6123" s="1">
        <v>640</v>
      </c>
      <c r="Q6123" s="1" t="s">
        <v>42</v>
      </c>
      <c r="S6123" s="1" t="s">
        <v>42</v>
      </c>
      <c r="T6123" s="1" t="s">
        <v>273</v>
      </c>
      <c r="AA6123" s="1">
        <v>465381</v>
      </c>
      <c r="AB6123" s="1" t="s">
        <v>4417</v>
      </c>
      <c r="AC6123" s="5">
        <v>43448</v>
      </c>
      <c r="AF6123" s="1">
        <v>10037</v>
      </c>
      <c r="AI6123" s="1" t="s">
        <v>48</v>
      </c>
      <c r="AJ6123" s="1">
        <v>2018</v>
      </c>
      <c r="AL6123" s="1">
        <v>64</v>
      </c>
    </row>
    <row r="6124" spans="1:38" x14ac:dyDescent="0.2">
      <c r="A6124" s="2" t="str">
        <f>HYPERLINK("https://www.compass.com/listing/70-west-139th-street-unit-6i-manhattan-ny-10037/148295741989778833/","70 W 139th St, Unit 6I")</f>
        <v>70 W 139th St, Unit 6I</v>
      </c>
      <c r="B6124" s="2" t="str">
        <f t="shared" si="1000"/>
        <v>70 W 139th St</v>
      </c>
      <c r="C6124" s="1" t="s">
        <v>84</v>
      </c>
      <c r="D6124" s="1" t="s">
        <v>41</v>
      </c>
      <c r="E6124" s="3">
        <v>465381</v>
      </c>
      <c r="F6124" s="1">
        <v>695.636771300448</v>
      </c>
      <c r="M6124" s="1">
        <v>669</v>
      </c>
      <c r="Q6124" s="1" t="s">
        <v>42</v>
      </c>
      <c r="S6124" s="1" t="s">
        <v>42</v>
      </c>
      <c r="T6124" s="1" t="s">
        <v>273</v>
      </c>
      <c r="AA6124" s="1">
        <v>465381</v>
      </c>
      <c r="AB6124" s="1" t="s">
        <v>4418</v>
      </c>
      <c r="AC6124" s="5">
        <v>43448</v>
      </c>
      <c r="AF6124" s="1">
        <v>10037</v>
      </c>
      <c r="AI6124" s="1" t="s">
        <v>48</v>
      </c>
      <c r="AJ6124" s="1">
        <v>2018</v>
      </c>
      <c r="AL6124" s="1">
        <v>64</v>
      </c>
    </row>
    <row r="6125" spans="1:38" x14ac:dyDescent="0.2">
      <c r="A6125" s="2" t="str">
        <f>HYPERLINK("https://www.compass.com/listing/70-west-139th-street-unit-2i-manhattan-ny-10037/152642027417250145/","70 W 139th St, Unit 2I")</f>
        <v>70 W 139th St, Unit 2I</v>
      </c>
      <c r="B6125" s="2" t="str">
        <f t="shared" si="1000"/>
        <v>70 W 139th St</v>
      </c>
      <c r="C6125" s="1" t="s">
        <v>84</v>
      </c>
      <c r="D6125" s="1" t="s">
        <v>41</v>
      </c>
      <c r="E6125" s="3">
        <v>375901</v>
      </c>
      <c r="F6125" s="1">
        <v>561.884902840059</v>
      </c>
      <c r="M6125" s="1">
        <v>669</v>
      </c>
      <c r="Q6125" s="1" t="s">
        <v>42</v>
      </c>
      <c r="S6125" s="1" t="s">
        <v>42</v>
      </c>
      <c r="T6125" s="1" t="s">
        <v>273</v>
      </c>
      <c r="AA6125" s="1">
        <v>375901</v>
      </c>
      <c r="AB6125" s="1" t="s">
        <v>4419</v>
      </c>
      <c r="AC6125" s="5">
        <v>43451</v>
      </c>
      <c r="AF6125" s="1">
        <v>10037</v>
      </c>
      <c r="AI6125" s="1" t="s">
        <v>48</v>
      </c>
      <c r="AJ6125" s="1">
        <v>2018</v>
      </c>
      <c r="AL6125" s="1">
        <v>64</v>
      </c>
    </row>
    <row r="6126" spans="1:38" x14ac:dyDescent="0.2">
      <c r="A6126" s="2" t="str">
        <f>HYPERLINK("https://www.compass.com/listing/70-west-139th-street-unit-6h-manhattan-ny-10037/152642030781105441/","70 W 139th St, Unit 6H")</f>
        <v>70 W 139th St, Unit 6H</v>
      </c>
      <c r="B6126" s="2" t="str">
        <f t="shared" si="1000"/>
        <v>70 W 139th St</v>
      </c>
      <c r="C6126" s="1" t="s">
        <v>84</v>
      </c>
      <c r="D6126" s="1" t="s">
        <v>41</v>
      </c>
      <c r="E6126" s="3">
        <v>375901</v>
      </c>
      <c r="F6126" s="1">
        <v>600.48083067092603</v>
      </c>
      <c r="M6126" s="1">
        <v>626</v>
      </c>
      <c r="Q6126" s="1" t="s">
        <v>42</v>
      </c>
      <c r="S6126" s="1" t="s">
        <v>42</v>
      </c>
      <c r="T6126" s="1" t="s">
        <v>273</v>
      </c>
      <c r="AA6126" s="1">
        <v>375901</v>
      </c>
      <c r="AB6126" s="1" t="s">
        <v>4420</v>
      </c>
      <c r="AC6126" s="5">
        <v>43453</v>
      </c>
      <c r="AF6126" s="1">
        <v>10037</v>
      </c>
      <c r="AI6126" s="1" t="s">
        <v>48</v>
      </c>
      <c r="AJ6126" s="1">
        <v>2018</v>
      </c>
      <c r="AL6126" s="1">
        <v>64</v>
      </c>
    </row>
    <row r="6127" spans="1:38" x14ac:dyDescent="0.2">
      <c r="A6127" s="2" t="str">
        <f>HYPERLINK("https://www.compass.com/listing/111-murray-street-unit-40w-manhattan-ny-10007/153298926265495105/","111 Murray St, Unit 40W")</f>
        <v>111 Murray St, Unit 40W</v>
      </c>
      <c r="B6127" s="2" t="str">
        <f>HYPERLINK("https://www.compass.com/building/111-murray-st-manhattan-ny-10007/281896511862746053/","111 Murray St")</f>
        <v>111 Murray St</v>
      </c>
      <c r="C6127" s="1" t="s">
        <v>50</v>
      </c>
      <c r="D6127" s="1" t="s">
        <v>41</v>
      </c>
      <c r="E6127" s="3">
        <v>8700000</v>
      </c>
      <c r="F6127" s="1">
        <v>3817.4637999122401</v>
      </c>
      <c r="M6127" s="4">
        <v>2279</v>
      </c>
      <c r="Q6127" s="1" t="s">
        <v>42</v>
      </c>
      <c r="S6127" s="1" t="s">
        <v>42</v>
      </c>
      <c r="T6127" s="1" t="s">
        <v>273</v>
      </c>
      <c r="AA6127" s="1">
        <v>8700000</v>
      </c>
      <c r="AB6127" s="1" t="s">
        <v>4421</v>
      </c>
      <c r="AC6127" s="5">
        <v>43448</v>
      </c>
      <c r="AF6127" s="1">
        <v>10007</v>
      </c>
      <c r="AI6127" s="1" t="s">
        <v>80</v>
      </c>
      <c r="AJ6127" s="1">
        <v>2018</v>
      </c>
      <c r="AK6127" s="1" t="s">
        <v>49</v>
      </c>
      <c r="AL6127" s="1">
        <v>157</v>
      </c>
    </row>
    <row r="6128" spans="1:38" x14ac:dyDescent="0.2">
      <c r="A6128" s="2" t="str">
        <f>HYPERLINK("https://www.compass.com/listing/70-west-139th-street-unit-2h-manhattan-ny-10037/155540984028039841/","70 W 139th St, Unit 2H")</f>
        <v>70 W 139th St, Unit 2H</v>
      </c>
      <c r="B6128" s="2" t="str">
        <f>HYPERLINK("https://www.compass.com/building/70-w-139th-st-manhattan-ny-10037/292920118235647477/","70 W 139th St")</f>
        <v>70 W 139th St</v>
      </c>
      <c r="C6128" s="1" t="s">
        <v>84</v>
      </c>
      <c r="D6128" s="1" t="s">
        <v>41</v>
      </c>
      <c r="E6128" s="3">
        <v>265545</v>
      </c>
      <c r="F6128" s="1">
        <v>424.19329073482402</v>
      </c>
      <c r="M6128" s="1">
        <v>626</v>
      </c>
      <c r="Q6128" s="1" t="s">
        <v>42</v>
      </c>
      <c r="S6128" s="1" t="s">
        <v>42</v>
      </c>
      <c r="T6128" s="1" t="s">
        <v>273</v>
      </c>
      <c r="AA6128" s="1">
        <v>265545</v>
      </c>
      <c r="AB6128" s="1" t="s">
        <v>4422</v>
      </c>
      <c r="AC6128" s="5">
        <v>43461</v>
      </c>
      <c r="AF6128" s="1">
        <v>10037</v>
      </c>
      <c r="AI6128" s="1" t="s">
        <v>48</v>
      </c>
      <c r="AJ6128" s="1">
        <v>2018</v>
      </c>
      <c r="AL6128" s="1">
        <v>64</v>
      </c>
    </row>
    <row r="6129" spans="1:38" x14ac:dyDescent="0.2">
      <c r="A6129" s="2" t="str">
        <f>HYPERLINK("https://www.compass.com/listing/111-murray-street-unit-42w-manhattan-ny-10007/156924403362379841/","111 Murray St, Unit 42W")</f>
        <v>111 Murray St, Unit 42W</v>
      </c>
      <c r="B6129" s="2" t="str">
        <f>HYPERLINK("https://www.compass.com/building/111-murray-st-manhattan-ny-10007/281896511862746053/","111 Murray St")</f>
        <v>111 Murray St</v>
      </c>
      <c r="C6129" s="1" t="s">
        <v>50</v>
      </c>
      <c r="D6129" s="1" t="s">
        <v>41</v>
      </c>
      <c r="E6129" s="3">
        <v>7738700</v>
      </c>
      <c r="F6129" s="1">
        <v>3395.6559894690599</v>
      </c>
      <c r="M6129" s="4">
        <v>2279</v>
      </c>
      <c r="Q6129" s="1" t="s">
        <v>42</v>
      </c>
      <c r="S6129" s="1" t="s">
        <v>42</v>
      </c>
      <c r="T6129" s="1" t="s">
        <v>273</v>
      </c>
      <c r="AA6129" s="1">
        <v>7738700</v>
      </c>
      <c r="AB6129" s="1" t="s">
        <v>4423</v>
      </c>
      <c r="AC6129" s="5">
        <v>43453</v>
      </c>
      <c r="AF6129" s="1">
        <v>10007</v>
      </c>
      <c r="AI6129" s="1" t="s">
        <v>80</v>
      </c>
      <c r="AJ6129" s="1">
        <v>2018</v>
      </c>
      <c r="AK6129" s="1" t="s">
        <v>49</v>
      </c>
      <c r="AL6129" s="1">
        <v>157</v>
      </c>
    </row>
    <row r="6130" spans="1:38" x14ac:dyDescent="0.2">
      <c r="A6130" s="2" t="str">
        <f>HYPERLINK("https://www.compass.com/listing/70-west-139th-street-unit-6c-manhattan-ny-10037/157718951768385617/","70 W 139th St, Unit 6C")</f>
        <v>70 W 139th St, Unit 6C</v>
      </c>
      <c r="B6130" s="2" t="str">
        <f>HYPERLINK("https://www.compass.com/building/70-w-139th-st-manhattan-ny-10037/292920118235647477/","70 W 139th St")</f>
        <v>70 W 139th St</v>
      </c>
      <c r="C6130" s="1" t="s">
        <v>84</v>
      </c>
      <c r="D6130" s="1" t="s">
        <v>41</v>
      </c>
      <c r="E6130" s="3">
        <v>291031</v>
      </c>
      <c r="F6130" s="1">
        <v>308.29555084745698</v>
      </c>
      <c r="M6130" s="1">
        <v>944</v>
      </c>
      <c r="Q6130" s="1" t="s">
        <v>42</v>
      </c>
      <c r="S6130" s="1" t="s">
        <v>42</v>
      </c>
      <c r="T6130" s="1" t="s">
        <v>273</v>
      </c>
      <c r="AA6130" s="1">
        <v>291031</v>
      </c>
      <c r="AB6130" s="1" t="s">
        <v>4424</v>
      </c>
      <c r="AC6130" s="5">
        <v>43453</v>
      </c>
      <c r="AF6130" s="1">
        <v>10037</v>
      </c>
      <c r="AI6130" s="1" t="s">
        <v>48</v>
      </c>
      <c r="AJ6130" s="1">
        <v>2018</v>
      </c>
      <c r="AL6130" s="1">
        <v>64</v>
      </c>
    </row>
    <row r="6131" spans="1:38" x14ac:dyDescent="0.2">
      <c r="A6131" s="2" t="str">
        <f>HYPERLINK("https://www.compass.com/listing/111-murray-street-unit-41b-manhattan-ny-10007/158372865354278577/","111 Murray St, Unit 41B")</f>
        <v>111 Murray St, Unit 41B</v>
      </c>
      <c r="B6131" s="2" t="str">
        <f t="shared" ref="B6131:B6133" si="1001">HYPERLINK("https://www.compass.com/building/111-murray-st-manhattan-ny-10007/281896511862746053/","111 Murray St")</f>
        <v>111 Murray St</v>
      </c>
      <c r="C6131" s="1" t="s">
        <v>50</v>
      </c>
      <c r="D6131" s="1" t="s">
        <v>41</v>
      </c>
      <c r="E6131" s="3">
        <v>5150000</v>
      </c>
      <c r="F6131" s="1">
        <v>3091.2364945978302</v>
      </c>
      <c r="M6131" s="4">
        <v>1666</v>
      </c>
      <c r="Q6131" s="1" t="s">
        <v>42</v>
      </c>
      <c r="S6131" s="1" t="s">
        <v>42</v>
      </c>
      <c r="T6131" s="1" t="s">
        <v>273</v>
      </c>
      <c r="AA6131" s="1">
        <v>5150000</v>
      </c>
      <c r="AB6131" s="1" t="s">
        <v>4425</v>
      </c>
      <c r="AC6131" s="5">
        <v>43461</v>
      </c>
      <c r="AF6131" s="1">
        <v>10007</v>
      </c>
      <c r="AI6131" s="1" t="s">
        <v>80</v>
      </c>
      <c r="AJ6131" s="1">
        <v>2018</v>
      </c>
      <c r="AK6131" s="1" t="s">
        <v>49</v>
      </c>
      <c r="AL6131" s="1">
        <v>157</v>
      </c>
    </row>
    <row r="6132" spans="1:38" x14ac:dyDescent="0.2">
      <c r="A6132" s="2" t="str">
        <f>HYPERLINK("https://www.compass.com/listing/111-murray-street-unit-57w-manhattan-ny-10007/158372865966674945/","111 Murray St, Unit 57W")</f>
        <v>111 Murray St, Unit 57W</v>
      </c>
      <c r="B6132" s="2" t="str">
        <f t="shared" si="1001"/>
        <v>111 Murray St</v>
      </c>
      <c r="C6132" s="1" t="s">
        <v>50</v>
      </c>
      <c r="D6132" s="1" t="s">
        <v>41</v>
      </c>
      <c r="E6132" s="3">
        <v>14000938</v>
      </c>
      <c r="F6132" s="1">
        <v>3697.1052284129901</v>
      </c>
      <c r="M6132" s="4">
        <v>3787</v>
      </c>
      <c r="Q6132" s="1" t="s">
        <v>42</v>
      </c>
      <c r="S6132" s="1" t="s">
        <v>42</v>
      </c>
      <c r="T6132" s="1" t="s">
        <v>273</v>
      </c>
      <c r="AA6132" s="1">
        <v>14000937.5</v>
      </c>
      <c r="AB6132" s="1" t="s">
        <v>4426</v>
      </c>
      <c r="AC6132" s="5">
        <v>43462</v>
      </c>
      <c r="AF6132" s="1">
        <v>10007</v>
      </c>
      <c r="AI6132" s="1" t="s">
        <v>80</v>
      </c>
      <c r="AJ6132" s="1">
        <v>2018</v>
      </c>
      <c r="AK6132" s="1" t="s">
        <v>49</v>
      </c>
      <c r="AL6132" s="1">
        <v>157</v>
      </c>
    </row>
    <row r="6133" spans="1:38" x14ac:dyDescent="0.2">
      <c r="A6133" s="2" t="str">
        <f>HYPERLINK("https://www.compass.com/listing/111-murray-street-unit-43b-manhattan-ny-10007/163445147089043457/","111 Murray St, Unit 43B")</f>
        <v>111 Murray St, Unit 43B</v>
      </c>
      <c r="B6133" s="2" t="str">
        <f t="shared" si="1001"/>
        <v>111 Murray St</v>
      </c>
      <c r="C6133" s="1" t="s">
        <v>50</v>
      </c>
      <c r="D6133" s="1" t="s">
        <v>41</v>
      </c>
      <c r="E6133" s="3">
        <v>5300000</v>
      </c>
      <c r="F6133" s="1">
        <v>3181.2725090036001</v>
      </c>
      <c r="M6133" s="4">
        <v>1666</v>
      </c>
      <c r="Q6133" s="1" t="s">
        <v>42</v>
      </c>
      <c r="S6133" s="1" t="s">
        <v>42</v>
      </c>
      <c r="T6133" s="1" t="s">
        <v>273</v>
      </c>
      <c r="AA6133" s="1">
        <v>5300000</v>
      </c>
      <c r="AB6133" s="1" t="s">
        <v>4427</v>
      </c>
      <c r="AC6133" s="5">
        <v>43455</v>
      </c>
      <c r="AF6133" s="1">
        <v>10007</v>
      </c>
      <c r="AI6133" s="1" t="s">
        <v>80</v>
      </c>
      <c r="AJ6133" s="1">
        <v>2018</v>
      </c>
      <c r="AK6133" s="1" t="s">
        <v>49</v>
      </c>
      <c r="AL6133" s="1">
        <v>157</v>
      </c>
    </row>
    <row r="6134" spans="1:38" x14ac:dyDescent="0.2">
      <c r="A6134" s="2" t="str">
        <f>HYPERLINK("https://www.compass.com/listing/498-west-end-avenue-unit-5d-manhattan-ny-10024/172190556863170721/","498 W End Ave, Unit 5D")</f>
        <v>498 W End Ave, Unit 5D</v>
      </c>
      <c r="B6134" s="2" t="str">
        <f>HYPERLINK("https://www.compass.com/building/498-w-end-ave-manhattan-ny-10024/281925430842268789/","498 W End Ave")</f>
        <v>498 W End Ave</v>
      </c>
      <c r="C6134" s="1" t="s">
        <v>57</v>
      </c>
      <c r="D6134" s="1" t="s">
        <v>41</v>
      </c>
      <c r="E6134" s="3">
        <v>1140311</v>
      </c>
      <c r="F6134" s="1">
        <v>1669.56259150805</v>
      </c>
      <c r="M6134" s="1">
        <v>683</v>
      </c>
      <c r="Q6134" s="1" t="s">
        <v>42</v>
      </c>
      <c r="S6134" s="1" t="s">
        <v>42</v>
      </c>
      <c r="T6134" s="1" t="s">
        <v>273</v>
      </c>
      <c r="AA6134" s="1">
        <v>1140311.25</v>
      </c>
      <c r="AB6134" s="1" t="s">
        <v>4428</v>
      </c>
      <c r="AC6134" s="5">
        <v>43473</v>
      </c>
      <c r="AF6134" s="1">
        <v>10024</v>
      </c>
      <c r="AJ6134" s="1">
        <v>1912</v>
      </c>
      <c r="AK6134" s="1" t="s">
        <v>55</v>
      </c>
      <c r="AL6134" s="1">
        <v>19</v>
      </c>
    </row>
    <row r="6135" spans="1:38" x14ac:dyDescent="0.2">
      <c r="A6135" s="2" t="str">
        <f>HYPERLINK("https://www.compass.com/listing/111-murray-street-unit-43w-manhattan-ny-10007/173595121571353793/","111 Murray St, Unit 43W")</f>
        <v>111 Murray St, Unit 43W</v>
      </c>
      <c r="B6135" s="2" t="str">
        <f>HYPERLINK("https://www.compass.com/building/111-murray-st-manhattan-ny-10007/281896511862746053/","111 Murray St")</f>
        <v>111 Murray St</v>
      </c>
      <c r="C6135" s="1" t="s">
        <v>50</v>
      </c>
      <c r="D6135" s="1" t="s">
        <v>41</v>
      </c>
      <c r="E6135" s="3">
        <v>9316988</v>
      </c>
      <c r="F6135" s="1">
        <v>4088.19109258446</v>
      </c>
      <c r="M6135" s="4">
        <v>2279</v>
      </c>
      <c r="Q6135" s="1" t="s">
        <v>42</v>
      </c>
      <c r="S6135" s="1" t="s">
        <v>42</v>
      </c>
      <c r="T6135" s="1" t="s">
        <v>273</v>
      </c>
      <c r="AA6135" s="1">
        <v>9316987.5</v>
      </c>
      <c r="AB6135" s="1" t="s">
        <v>4429</v>
      </c>
      <c r="AC6135" s="5">
        <v>43480</v>
      </c>
      <c r="AF6135" s="1">
        <v>10007</v>
      </c>
      <c r="AI6135" s="1" t="s">
        <v>80</v>
      </c>
      <c r="AJ6135" s="1">
        <v>2018</v>
      </c>
      <c r="AK6135" s="1" t="s">
        <v>49</v>
      </c>
      <c r="AL6135" s="1">
        <v>157</v>
      </c>
    </row>
    <row r="6136" spans="1:38" x14ac:dyDescent="0.2">
      <c r="A6136" s="2" t="str">
        <f>HYPERLINK("https://www.compass.com/listing/70-west-139th-street-unit-5h-manhattan-ny-10037/173665904377286753/","70 W 139th St, Unit 5H")</f>
        <v>70 W 139th St, Unit 5H</v>
      </c>
      <c r="B6136" s="2" t="str">
        <f>HYPERLINK("https://www.compass.com/building/70-w-139th-st-manhattan-ny-10037/292920118235647477/","70 W 139th St")</f>
        <v>70 W 139th St</v>
      </c>
      <c r="C6136" s="1" t="s">
        <v>84</v>
      </c>
      <c r="D6136" s="1" t="s">
        <v>41</v>
      </c>
      <c r="E6136" s="3">
        <v>375901</v>
      </c>
      <c r="F6136" s="1">
        <v>600.48083067092603</v>
      </c>
      <c r="M6136" s="1">
        <v>626</v>
      </c>
      <c r="Q6136" s="1" t="s">
        <v>42</v>
      </c>
      <c r="S6136" s="1" t="s">
        <v>42</v>
      </c>
      <c r="T6136" s="1" t="s">
        <v>273</v>
      </c>
      <c r="AA6136" s="1">
        <v>375901</v>
      </c>
      <c r="AB6136" s="1" t="s">
        <v>4430</v>
      </c>
      <c r="AC6136" s="5">
        <v>43476</v>
      </c>
      <c r="AF6136" s="1">
        <v>10037</v>
      </c>
      <c r="AI6136" s="1" t="s">
        <v>48</v>
      </c>
      <c r="AJ6136" s="1">
        <v>2018</v>
      </c>
      <c r="AL6136" s="1">
        <v>64</v>
      </c>
    </row>
    <row r="6137" spans="1:38" x14ac:dyDescent="0.2">
      <c r="A6137" s="2" t="str">
        <f>HYPERLINK("https://www.compass.com/listing/111-murray-street-unit-37w-manhattan-ny-10007/175770193002301201/","111 Murray St, Unit 37W")</f>
        <v>111 Murray St, Unit 37W</v>
      </c>
      <c r="B6137" s="2" t="str">
        <f t="shared" ref="B6137:B6138" si="1002">HYPERLINK("https://www.compass.com/building/111-murray-st-manhattan-ny-10007/281896511862746053/","111 Murray St")</f>
        <v>111 Murray St</v>
      </c>
      <c r="C6137" s="1" t="s">
        <v>50</v>
      </c>
      <c r="D6137" s="1" t="s">
        <v>41</v>
      </c>
      <c r="E6137" s="3">
        <v>6924100</v>
      </c>
      <c r="F6137" s="1">
        <v>3038.2185168933702</v>
      </c>
      <c r="M6137" s="4">
        <v>2279</v>
      </c>
      <c r="Q6137" s="1" t="s">
        <v>42</v>
      </c>
      <c r="S6137" s="1" t="s">
        <v>42</v>
      </c>
      <c r="T6137" s="1" t="s">
        <v>273</v>
      </c>
      <c r="AA6137" s="1">
        <v>6924100</v>
      </c>
      <c r="AB6137" s="1" t="s">
        <v>4431</v>
      </c>
      <c r="AC6137" s="5">
        <v>43479</v>
      </c>
      <c r="AF6137" s="1">
        <v>10007</v>
      </c>
      <c r="AI6137" s="1" t="s">
        <v>80</v>
      </c>
      <c r="AJ6137" s="1">
        <v>2018</v>
      </c>
      <c r="AK6137" s="1" t="s">
        <v>49</v>
      </c>
      <c r="AL6137" s="1">
        <v>157</v>
      </c>
    </row>
    <row r="6138" spans="1:38" x14ac:dyDescent="0.2">
      <c r="A6138" s="2" t="str">
        <f>HYPERLINK("https://www.compass.com/listing/111-murray-street-unit-34w-manhattan-ny-10007/177218720047951249/","111 Murray St, Unit 34W")</f>
        <v>111 Murray St, Unit 34W</v>
      </c>
      <c r="B6138" s="2" t="str">
        <f t="shared" si="1002"/>
        <v>111 Murray St</v>
      </c>
      <c r="C6138" s="1" t="s">
        <v>50</v>
      </c>
      <c r="D6138" s="1" t="s">
        <v>41</v>
      </c>
      <c r="E6138" s="3">
        <v>4400000</v>
      </c>
      <c r="F6138" s="1">
        <v>1930.67134708205</v>
      </c>
      <c r="M6138" s="4">
        <v>2279</v>
      </c>
      <c r="Q6138" s="1" t="s">
        <v>42</v>
      </c>
      <c r="S6138" s="1" t="s">
        <v>42</v>
      </c>
      <c r="T6138" s="1" t="s">
        <v>273</v>
      </c>
      <c r="AA6138" s="1">
        <v>4400000</v>
      </c>
      <c r="AB6138" s="1" t="s">
        <v>4432</v>
      </c>
      <c r="AC6138" s="5">
        <v>43494</v>
      </c>
      <c r="AF6138" s="1">
        <v>10007</v>
      </c>
      <c r="AI6138" s="1" t="s">
        <v>80</v>
      </c>
      <c r="AJ6138" s="1">
        <v>2018</v>
      </c>
      <c r="AK6138" s="1" t="s">
        <v>49</v>
      </c>
      <c r="AL6138" s="1">
        <v>157</v>
      </c>
    </row>
    <row r="6139" spans="1:38" x14ac:dyDescent="0.2">
      <c r="A6139" s="2" t="str">
        <f>HYPERLINK("https://www.compass.com/listing/70-west-139th-street-unit-4e-manhattan-ny-10037/177290985036920673/","70 W 139th St, Unit 4E")</f>
        <v>70 W 139th St, Unit 4E</v>
      </c>
      <c r="B6139" s="2" t="str">
        <f>HYPERLINK("https://www.compass.com/building/70-w-139th-st-manhattan-ny-10037/292920118235647477/","70 W 139th St")</f>
        <v>70 W 139th St</v>
      </c>
      <c r="C6139" s="1" t="s">
        <v>84</v>
      </c>
      <c r="D6139" s="1" t="s">
        <v>41</v>
      </c>
      <c r="E6139" s="3">
        <v>291031</v>
      </c>
      <c r="F6139" s="1">
        <v>309.93716719914801</v>
      </c>
      <c r="M6139" s="1">
        <v>939</v>
      </c>
      <c r="Q6139" s="1" t="s">
        <v>42</v>
      </c>
      <c r="S6139" s="1" t="s">
        <v>42</v>
      </c>
      <c r="T6139" s="1" t="s">
        <v>273</v>
      </c>
      <c r="AA6139" s="1">
        <v>291031</v>
      </c>
      <c r="AB6139" s="1" t="s">
        <v>4433</v>
      </c>
      <c r="AC6139" s="5">
        <v>43490</v>
      </c>
      <c r="AF6139" s="1">
        <v>10037</v>
      </c>
      <c r="AI6139" s="1" t="s">
        <v>48</v>
      </c>
      <c r="AJ6139" s="1">
        <v>2018</v>
      </c>
      <c r="AL6139" s="1">
        <v>64</v>
      </c>
    </row>
    <row r="6140" spans="1:38" x14ac:dyDescent="0.2">
      <c r="A6140" s="2" t="str">
        <f>HYPERLINK("https://www.compass.com/listing/111-murray-street-unit-46w-manhattan-ny-10007/177943974181465121/","111 Murray St, Unit 46W")</f>
        <v>111 Murray St, Unit 46W</v>
      </c>
      <c r="B6140" s="2" t="str">
        <f>HYPERLINK("https://www.compass.com/building/111-murray-st-manhattan-ny-10007/281896511862746053/","111 Murray St")</f>
        <v>111 Murray St</v>
      </c>
      <c r="C6140" s="1" t="s">
        <v>50</v>
      </c>
      <c r="D6140" s="1" t="s">
        <v>41</v>
      </c>
      <c r="E6140" s="3">
        <v>11648526</v>
      </c>
      <c r="F6140" s="1">
        <v>3631.0867955112199</v>
      </c>
      <c r="M6140" s="4">
        <v>3208</v>
      </c>
      <c r="Q6140" s="1" t="s">
        <v>42</v>
      </c>
      <c r="S6140" s="1" t="s">
        <v>42</v>
      </c>
      <c r="T6140" s="1" t="s">
        <v>273</v>
      </c>
      <c r="AA6140" s="1">
        <v>11648526.439999999</v>
      </c>
      <c r="AB6140" s="1" t="s">
        <v>4434</v>
      </c>
      <c r="AC6140" s="5">
        <v>43490</v>
      </c>
      <c r="AF6140" s="1">
        <v>10007</v>
      </c>
      <c r="AI6140" s="1" t="s">
        <v>80</v>
      </c>
      <c r="AJ6140" s="1">
        <v>2018</v>
      </c>
      <c r="AK6140" s="1" t="s">
        <v>49</v>
      </c>
      <c r="AL6140" s="1">
        <v>157</v>
      </c>
    </row>
    <row r="6141" spans="1:38" x14ac:dyDescent="0.2">
      <c r="A6141" s="2" t="str">
        <f>HYPERLINK("https://www.compass.com/listing/425-west-50th-street-unit-15f-manhattan-ny-10019/181037845467728865/","425 W 50th St, Unit 15F")</f>
        <v>425 W 50th St, Unit 15F</v>
      </c>
      <c r="B6141" s="2" t="str">
        <f>HYPERLINK("https://www.compass.com/building/stella-tower-manhattan-ny/281945855710262181/","Stella Tower")</f>
        <v>Stella Tower</v>
      </c>
      <c r="C6141" s="1" t="s">
        <v>90</v>
      </c>
      <c r="D6141" s="1" t="s">
        <v>41</v>
      </c>
      <c r="E6141" s="3">
        <v>5595284</v>
      </c>
      <c r="F6141" s="1">
        <v>2544.4674852205499</v>
      </c>
      <c r="G6141" s="1">
        <v>5</v>
      </c>
      <c r="H6141" s="1">
        <v>3</v>
      </c>
      <c r="I6141" s="1">
        <v>4</v>
      </c>
      <c r="J6141" s="1">
        <v>3.5</v>
      </c>
      <c r="M6141" s="4">
        <v>2199</v>
      </c>
      <c r="N6141" s="1">
        <v>2497</v>
      </c>
      <c r="O6141" s="1">
        <v>4026</v>
      </c>
      <c r="P6141" s="1">
        <v>1529</v>
      </c>
      <c r="Q6141" s="1" t="s">
        <v>42</v>
      </c>
      <c r="S6141" s="1" t="s">
        <v>42</v>
      </c>
      <c r="T6141" s="1" t="s">
        <v>273</v>
      </c>
      <c r="U6141" s="1">
        <v>11</v>
      </c>
      <c r="V6141" s="5">
        <v>43634</v>
      </c>
      <c r="W6141" s="5">
        <v>42262</v>
      </c>
      <c r="X6141" s="1">
        <v>5495000</v>
      </c>
      <c r="Y6141" s="1">
        <v>5495000</v>
      </c>
      <c r="Z6141" s="5">
        <v>42273</v>
      </c>
      <c r="AA6141" s="1">
        <v>5595284</v>
      </c>
      <c r="AB6141" s="1" t="s">
        <v>3144</v>
      </c>
      <c r="AC6141" s="5">
        <v>42328</v>
      </c>
      <c r="AF6141" s="1">
        <v>10019</v>
      </c>
      <c r="AI6141" s="1" t="s">
        <v>80</v>
      </c>
      <c r="AJ6141" s="1">
        <v>1930</v>
      </c>
      <c r="AK6141" s="1" t="s">
        <v>46</v>
      </c>
      <c r="AL6141" s="1">
        <v>51</v>
      </c>
    </row>
    <row r="6142" spans="1:38" x14ac:dyDescent="0.2">
      <c r="A6142" s="2" t="str">
        <f>HYPERLINK("https://www.compass.com/listing/111-murray-street-unit-41w-manhattan-ny-10007/187366871249458465/","111 Murray St, Unit 41W")</f>
        <v>111 Murray St, Unit 41W</v>
      </c>
      <c r="B6142" s="2" t="str">
        <f t="shared" ref="B6142:B6144" si="1003">HYPERLINK("https://www.compass.com/building/111-murray-st-manhattan-ny-10007/281896511862746053/","111 Murray St")</f>
        <v>111 Murray St</v>
      </c>
      <c r="C6142" s="1" t="s">
        <v>50</v>
      </c>
      <c r="D6142" s="1" t="s">
        <v>41</v>
      </c>
      <c r="E6142" s="3">
        <v>9164250</v>
      </c>
      <c r="F6142" s="1">
        <v>4021.1715664765202</v>
      </c>
      <c r="M6142" s="4">
        <v>2279</v>
      </c>
      <c r="Q6142" s="1" t="s">
        <v>42</v>
      </c>
      <c r="S6142" s="1" t="s">
        <v>42</v>
      </c>
      <c r="T6142" s="1" t="s">
        <v>273</v>
      </c>
      <c r="AA6142" s="1">
        <v>9164250</v>
      </c>
      <c r="AB6142" s="1" t="s">
        <v>4435</v>
      </c>
      <c r="AC6142" s="5">
        <v>43503</v>
      </c>
      <c r="AF6142" s="1">
        <v>10007</v>
      </c>
      <c r="AI6142" s="1" t="s">
        <v>80</v>
      </c>
      <c r="AJ6142" s="1">
        <v>2018</v>
      </c>
      <c r="AK6142" s="1" t="s">
        <v>49</v>
      </c>
      <c r="AL6142" s="1">
        <v>157</v>
      </c>
    </row>
    <row r="6143" spans="1:38" x14ac:dyDescent="0.2">
      <c r="A6143" s="2" t="str">
        <f>HYPERLINK("https://www.compass.com/listing/111-murray-street-unit-44b-manhattan-ny-10007/187366872465863105/","111 Murray St, Unit 44B")</f>
        <v>111 Murray St, Unit 44B</v>
      </c>
      <c r="B6143" s="2" t="str">
        <f t="shared" si="1003"/>
        <v>111 Murray St</v>
      </c>
      <c r="C6143" s="1" t="s">
        <v>50</v>
      </c>
      <c r="D6143" s="1" t="s">
        <v>41</v>
      </c>
      <c r="E6143" s="3">
        <v>5150000</v>
      </c>
      <c r="F6143" s="1">
        <v>3091.2364945978302</v>
      </c>
      <c r="M6143" s="4">
        <v>1666</v>
      </c>
      <c r="Q6143" s="1" t="s">
        <v>42</v>
      </c>
      <c r="S6143" s="1" t="s">
        <v>42</v>
      </c>
      <c r="T6143" s="1" t="s">
        <v>273</v>
      </c>
      <c r="AA6143" s="1">
        <v>5150000</v>
      </c>
      <c r="AB6143" s="1" t="s">
        <v>4436</v>
      </c>
      <c r="AC6143" s="5">
        <v>43501</v>
      </c>
      <c r="AF6143" s="1">
        <v>10007</v>
      </c>
      <c r="AI6143" s="1" t="s">
        <v>80</v>
      </c>
      <c r="AJ6143" s="1">
        <v>2018</v>
      </c>
      <c r="AK6143" s="1" t="s">
        <v>49</v>
      </c>
      <c r="AL6143" s="1">
        <v>157</v>
      </c>
    </row>
    <row r="6144" spans="1:38" x14ac:dyDescent="0.2">
      <c r="A6144" s="2" t="str">
        <f>HYPERLINK("https://www.compass.com/listing/111-murray-street-unit-47w-manhattan-ny-10007/187366873086563697/","111 Murray St, Unit 47W")</f>
        <v>111 Murray St, Unit 47W</v>
      </c>
      <c r="B6144" s="2" t="str">
        <f t="shared" si="1003"/>
        <v>111 Murray St</v>
      </c>
      <c r="C6144" s="1" t="s">
        <v>50</v>
      </c>
      <c r="D6144" s="1" t="s">
        <v>41</v>
      </c>
      <c r="E6144" s="3">
        <v>12376829</v>
      </c>
      <c r="F6144" s="1">
        <v>3847.3200963630702</v>
      </c>
      <c r="M6144" s="4">
        <v>3217</v>
      </c>
      <c r="Q6144" s="1" t="s">
        <v>42</v>
      </c>
      <c r="S6144" s="1" t="s">
        <v>42</v>
      </c>
      <c r="T6144" s="1" t="s">
        <v>273</v>
      </c>
      <c r="AA6144" s="1">
        <v>12376828.75</v>
      </c>
      <c r="AB6144" s="1" t="s">
        <v>4437</v>
      </c>
      <c r="AC6144" s="5">
        <v>43495</v>
      </c>
      <c r="AF6144" s="1">
        <v>10007</v>
      </c>
      <c r="AI6144" s="1" t="s">
        <v>80</v>
      </c>
      <c r="AJ6144" s="1">
        <v>2018</v>
      </c>
      <c r="AK6144" s="1" t="s">
        <v>49</v>
      </c>
      <c r="AL6144" s="1">
        <v>157</v>
      </c>
    </row>
    <row r="6145" spans="1:38" x14ac:dyDescent="0.2">
      <c r="A6145" s="2" t="str">
        <f>HYPERLINK("https://www.compass.com/listing/67-69-franklin-street-unit-6b-manhattan-ny-10013/188735694154253793/","67-69 Franklin St, Unit 6B")</f>
        <v>67-69 Franklin St, Unit 6B</v>
      </c>
      <c r="B6145" s="2" t="str">
        <f>HYPERLINK("https://www.compass.com/building/cast-iron-house-manhattan-ny/567514773896133269/","Cast Iron House")</f>
        <v>Cast Iron House</v>
      </c>
      <c r="C6145" s="1" t="s">
        <v>50</v>
      </c>
      <c r="D6145" s="1" t="s">
        <v>41</v>
      </c>
      <c r="E6145" s="3">
        <v>7900000</v>
      </c>
      <c r="F6145" s="1">
        <v>2088.2897171556901</v>
      </c>
      <c r="G6145" s="1">
        <v>6</v>
      </c>
      <c r="H6145" s="1">
        <v>4</v>
      </c>
      <c r="I6145" s="1">
        <v>4</v>
      </c>
      <c r="J6145" s="1">
        <v>4</v>
      </c>
      <c r="K6145" s="1">
        <v>4</v>
      </c>
      <c r="M6145" s="4">
        <v>3783</v>
      </c>
      <c r="N6145" s="1">
        <v>3960</v>
      </c>
      <c r="O6145" s="1">
        <v>8890</v>
      </c>
      <c r="P6145" s="1">
        <v>4930</v>
      </c>
      <c r="Q6145" s="1" t="s">
        <v>42</v>
      </c>
      <c r="S6145" s="1" t="s">
        <v>42</v>
      </c>
      <c r="T6145" s="1" t="s">
        <v>273</v>
      </c>
      <c r="U6145" s="1">
        <v>2</v>
      </c>
      <c r="V6145" s="5">
        <v>43608</v>
      </c>
      <c r="W6145" s="5">
        <v>43510</v>
      </c>
      <c r="X6145" s="1">
        <v>8450000</v>
      </c>
      <c r="Y6145" s="1">
        <v>8450000</v>
      </c>
      <c r="Z6145" s="5">
        <v>43513</v>
      </c>
      <c r="AA6145" s="1">
        <v>7900000</v>
      </c>
      <c r="AB6145" s="1" t="s">
        <v>4438</v>
      </c>
      <c r="AC6145" s="5">
        <v>43595</v>
      </c>
      <c r="AF6145" s="1">
        <v>10013</v>
      </c>
      <c r="AI6145" s="1" t="s">
        <v>177</v>
      </c>
      <c r="AJ6145" s="1">
        <v>1881</v>
      </c>
      <c r="AK6145" s="1" t="s">
        <v>46</v>
      </c>
      <c r="AL6145" s="1">
        <v>13</v>
      </c>
    </row>
    <row r="6146" spans="1:38" x14ac:dyDescent="0.2">
      <c r="A6146" s="2" t="str">
        <f>HYPERLINK("https://www.compass.com/listing/15-hudson-yards-unit-64a-manhattan-ny-10001/18882311886065649/","15 Hudson Yards, Unit 64A")</f>
        <v>15 Hudson Yards, Unit 64A</v>
      </c>
      <c r="B6146" s="2" t="str">
        <f>HYPERLINK("https://www.compass.com/building/fifteen-hudson-yards-manhattan-ny/282058587512011909/","Fifteen Hudson Yards")</f>
        <v>Fifteen Hudson Yards</v>
      </c>
      <c r="C6146" s="1" t="s">
        <v>77</v>
      </c>
      <c r="D6146" s="1" t="s">
        <v>41</v>
      </c>
      <c r="E6146" s="3">
        <v>6688150</v>
      </c>
      <c r="F6146" s="1">
        <v>3210.82573211713</v>
      </c>
      <c r="G6146" s="1">
        <v>4</v>
      </c>
      <c r="H6146" s="1">
        <v>2</v>
      </c>
      <c r="I6146" s="1">
        <v>3</v>
      </c>
      <c r="J6146" s="1">
        <v>2.5</v>
      </c>
      <c r="K6146" s="1">
        <v>2</v>
      </c>
      <c r="L6146" s="1">
        <v>1</v>
      </c>
      <c r="M6146" s="4">
        <v>2083</v>
      </c>
      <c r="N6146" s="1">
        <v>4851</v>
      </c>
      <c r="O6146" s="1">
        <v>4918</v>
      </c>
      <c r="P6146" s="1">
        <v>67</v>
      </c>
      <c r="Q6146" s="1" t="s">
        <v>42</v>
      </c>
      <c r="S6146" s="1" t="s">
        <v>42</v>
      </c>
      <c r="T6146" s="1" t="s">
        <v>273</v>
      </c>
      <c r="U6146" s="1">
        <v>55</v>
      </c>
      <c r="V6146" s="5">
        <v>43614</v>
      </c>
      <c r="W6146" s="5">
        <v>42993</v>
      </c>
      <c r="X6146" s="1">
        <v>6895000</v>
      </c>
      <c r="Y6146" s="1">
        <v>6895000</v>
      </c>
      <c r="AA6146" s="1">
        <v>6688150</v>
      </c>
      <c r="AB6146" s="1" t="s">
        <v>275</v>
      </c>
      <c r="AC6146" s="5">
        <v>43608</v>
      </c>
      <c r="AF6146" s="1">
        <v>10001</v>
      </c>
      <c r="AJ6146" s="1">
        <v>2018</v>
      </c>
      <c r="AK6146" s="1" t="s">
        <v>49</v>
      </c>
      <c r="AL6146" s="1">
        <v>285</v>
      </c>
    </row>
    <row r="6147" spans="1:38" x14ac:dyDescent="0.2">
      <c r="A6147" s="2" t="str">
        <f>HYPERLINK("https://www.compass.com/listing/200-east-94th-street-unit-612-manhattan-ny-10128/192573871579275473/","200 E 94th St, Unit 612")</f>
        <v>200 E 94th St, Unit 612</v>
      </c>
      <c r="B6147" s="2" t="str">
        <f>HYPERLINK("https://www.compass.com/building/carnegie-park-condominium-manhattan-ny/282049797358118613/","Carnegie Park Condominium")</f>
        <v>Carnegie Park Condominium</v>
      </c>
      <c r="C6147" s="1" t="s">
        <v>82</v>
      </c>
      <c r="D6147" s="1" t="s">
        <v>41</v>
      </c>
      <c r="E6147" s="3">
        <v>1059448</v>
      </c>
      <c r="F6147" s="1">
        <v>1502.7635744680799</v>
      </c>
      <c r="G6147" s="1">
        <v>3</v>
      </c>
      <c r="H6147" s="1">
        <v>1</v>
      </c>
      <c r="I6147" s="1">
        <v>1</v>
      </c>
      <c r="J6147" s="1">
        <v>1</v>
      </c>
      <c r="K6147" s="1">
        <v>1</v>
      </c>
      <c r="M6147" s="1">
        <v>705</v>
      </c>
      <c r="N6147" s="1">
        <v>773</v>
      </c>
      <c r="O6147" s="1">
        <v>1594</v>
      </c>
      <c r="P6147" s="1">
        <v>821</v>
      </c>
      <c r="Q6147" s="1" t="s">
        <v>2921</v>
      </c>
      <c r="S6147" s="1" t="s">
        <v>100</v>
      </c>
      <c r="T6147" s="1" t="s">
        <v>273</v>
      </c>
      <c r="V6147" s="5">
        <v>42551</v>
      </c>
      <c r="AA6147" s="1">
        <v>1059448.3200000001</v>
      </c>
      <c r="AB6147" s="1" t="s">
        <v>4439</v>
      </c>
      <c r="AC6147" s="5">
        <v>42545</v>
      </c>
      <c r="AF6147" s="1">
        <v>10128</v>
      </c>
      <c r="AI6147" s="1" t="s">
        <v>163</v>
      </c>
      <c r="AJ6147" s="1">
        <v>1986</v>
      </c>
      <c r="AK6147" s="1" t="s">
        <v>108</v>
      </c>
      <c r="AL6147" s="1">
        <v>287</v>
      </c>
    </row>
    <row r="6148" spans="1:38" x14ac:dyDescent="0.2">
      <c r="A6148" s="2" t="str">
        <f>HYPERLINK("https://www.compass.com/listing/78-irving-place-unit-3-manhattan-ny-10003/192575542430636337/","78 Irving Pl, Unit 3")</f>
        <v>78 Irving Pl, Unit 3</v>
      </c>
      <c r="B6148" s="2" t="str">
        <f>HYPERLINK("https://www.compass.com/building/78-irving-pl-manhattan-ny-10003/281894845214107557/","78 Irving Pl")</f>
        <v>78 Irving Pl</v>
      </c>
      <c r="C6148" s="1" t="s">
        <v>64</v>
      </c>
      <c r="D6148" s="1" t="s">
        <v>41</v>
      </c>
      <c r="E6148" s="3">
        <v>6389519</v>
      </c>
      <c r="F6148" s="1">
        <v>2891.1849547511301</v>
      </c>
      <c r="G6148" s="1">
        <v>6</v>
      </c>
      <c r="H6148" s="1">
        <v>3</v>
      </c>
      <c r="I6148" s="1">
        <v>3</v>
      </c>
      <c r="J6148" s="1">
        <v>3</v>
      </c>
      <c r="M6148" s="4">
        <v>2210</v>
      </c>
      <c r="N6148" s="1">
        <v>3785</v>
      </c>
      <c r="O6148" s="1">
        <v>6191</v>
      </c>
      <c r="P6148" s="1">
        <v>2406</v>
      </c>
      <c r="Q6148" s="1" t="s">
        <v>42</v>
      </c>
      <c r="S6148" s="1" t="s">
        <v>42</v>
      </c>
      <c r="T6148" s="1" t="s">
        <v>273</v>
      </c>
      <c r="U6148" s="1">
        <v>530</v>
      </c>
      <c r="V6148" s="5">
        <v>42852</v>
      </c>
      <c r="W6148" s="5">
        <v>42173</v>
      </c>
      <c r="X6148" s="1">
        <v>6275000</v>
      </c>
      <c r="Y6148" s="1">
        <v>6275000</v>
      </c>
      <c r="AA6148" s="1">
        <v>6389518.75</v>
      </c>
      <c r="AB6148" s="1" t="s">
        <v>4440</v>
      </c>
      <c r="AC6148" s="5">
        <v>42703</v>
      </c>
      <c r="AF6148" s="1">
        <v>10003</v>
      </c>
      <c r="AJ6148" s="1">
        <v>1920</v>
      </c>
      <c r="AK6148" s="1" t="s">
        <v>55</v>
      </c>
      <c r="AL6148" s="1">
        <v>7</v>
      </c>
    </row>
    <row r="6149" spans="1:38" x14ac:dyDescent="0.2">
      <c r="A6149" s="2" t="str">
        <f>HYPERLINK("https://www.compass.com/listing/15-hudson-yards-unit-26b-manhattan-ny-10001/196966884220949057/","15 Hudson Yards, Unit 26B")</f>
        <v>15 Hudson Yards, Unit 26B</v>
      </c>
      <c r="B6149" s="2" t="str">
        <f t="shared" ref="B6149:B6154" si="1004">HYPERLINK("https://www.compass.com/building/fifteen-hudson-yards-manhattan-ny/282058587512011909/","Fifteen Hudson Yards")</f>
        <v>Fifteen Hudson Yards</v>
      </c>
      <c r="C6149" s="1" t="s">
        <v>77</v>
      </c>
      <c r="D6149" s="1" t="s">
        <v>41</v>
      </c>
      <c r="E6149" s="3">
        <v>2170000</v>
      </c>
      <c r="F6149" s="1">
        <v>2549.9412455934098</v>
      </c>
      <c r="G6149" s="1">
        <v>3</v>
      </c>
      <c r="H6149" s="1">
        <v>1</v>
      </c>
      <c r="I6149" s="1">
        <v>1</v>
      </c>
      <c r="J6149" s="1">
        <v>1</v>
      </c>
      <c r="K6149" s="1">
        <v>1</v>
      </c>
      <c r="M6149" s="1">
        <v>851</v>
      </c>
      <c r="N6149" s="1">
        <v>1863</v>
      </c>
      <c r="O6149" s="1">
        <v>1889</v>
      </c>
      <c r="P6149" s="1">
        <v>26</v>
      </c>
      <c r="Q6149" s="1" t="s">
        <v>42</v>
      </c>
      <c r="S6149" s="1" t="s">
        <v>42</v>
      </c>
      <c r="T6149" s="1" t="s">
        <v>273</v>
      </c>
      <c r="U6149" s="1">
        <v>441</v>
      </c>
      <c r="V6149" s="5">
        <v>43524</v>
      </c>
      <c r="W6149" s="5">
        <v>43068</v>
      </c>
      <c r="X6149" s="1">
        <v>2170000</v>
      </c>
      <c r="Y6149" s="1">
        <v>2170000</v>
      </c>
      <c r="AA6149" s="1">
        <v>2170000</v>
      </c>
      <c r="AB6149" s="1" t="s">
        <v>275</v>
      </c>
      <c r="AC6149" s="5">
        <v>43509</v>
      </c>
      <c r="AF6149" s="1">
        <v>10001</v>
      </c>
      <c r="AJ6149" s="1">
        <v>2018</v>
      </c>
      <c r="AK6149" s="1" t="s">
        <v>46</v>
      </c>
      <c r="AL6149" s="1">
        <v>285</v>
      </c>
    </row>
    <row r="6150" spans="1:38" x14ac:dyDescent="0.2">
      <c r="A6150" s="2" t="str">
        <f>HYPERLINK("https://www.compass.com/listing/15-hudson-yards-unit-27b-manhattan-ny-10001/196966884824847521/","15 Hudson Yards, Unit 27B")</f>
        <v>15 Hudson Yards, Unit 27B</v>
      </c>
      <c r="B6150" s="2" t="str">
        <f t="shared" si="1004"/>
        <v>Fifteen Hudson Yards</v>
      </c>
      <c r="C6150" s="1" t="s">
        <v>77</v>
      </c>
      <c r="D6150" s="1" t="s">
        <v>41</v>
      </c>
      <c r="E6150" s="3">
        <v>1995000</v>
      </c>
      <c r="F6150" s="1">
        <v>2344.30082256169</v>
      </c>
      <c r="G6150" s="1">
        <v>3</v>
      </c>
      <c r="H6150" s="1">
        <v>1</v>
      </c>
      <c r="I6150" s="1">
        <v>1</v>
      </c>
      <c r="J6150" s="1">
        <v>1</v>
      </c>
      <c r="K6150" s="1">
        <v>1</v>
      </c>
      <c r="M6150" s="1">
        <v>851</v>
      </c>
      <c r="N6150" s="1">
        <v>1864</v>
      </c>
      <c r="O6150" s="1">
        <v>1890</v>
      </c>
      <c r="P6150" s="1">
        <v>26</v>
      </c>
      <c r="Q6150" s="1" t="s">
        <v>42</v>
      </c>
      <c r="S6150" s="1" t="s">
        <v>42</v>
      </c>
      <c r="T6150" s="1" t="s">
        <v>273</v>
      </c>
      <c r="U6150" s="1">
        <v>871</v>
      </c>
      <c r="V6150" s="5">
        <v>43524</v>
      </c>
      <c r="W6150" s="5">
        <v>42636</v>
      </c>
      <c r="X6150" s="1">
        <v>1995000</v>
      </c>
      <c r="Y6150" s="1">
        <v>1995000</v>
      </c>
      <c r="AA6150" s="1">
        <v>1995000</v>
      </c>
      <c r="AB6150" s="1" t="s">
        <v>275</v>
      </c>
      <c r="AC6150" s="5">
        <v>43507</v>
      </c>
      <c r="AF6150" s="1">
        <v>10001</v>
      </c>
      <c r="AJ6150" s="1">
        <v>2018</v>
      </c>
      <c r="AK6150" s="1" t="s">
        <v>46</v>
      </c>
      <c r="AL6150" s="1">
        <v>285</v>
      </c>
    </row>
    <row r="6151" spans="1:38" x14ac:dyDescent="0.2">
      <c r="A6151" s="2" t="str">
        <f>HYPERLINK("https://www.compass.com/listing/15-hudson-yards-unit-26j-manhattan-ny-10001/196966885101791457/","15 Hudson Yards, Unit 26J")</f>
        <v>15 Hudson Yards, Unit 26J</v>
      </c>
      <c r="B6151" s="2" t="str">
        <f t="shared" si="1004"/>
        <v>Fifteen Hudson Yards</v>
      </c>
      <c r="C6151" s="1" t="s">
        <v>77</v>
      </c>
      <c r="D6151" s="1" t="s">
        <v>41</v>
      </c>
      <c r="E6151" s="3">
        <v>2732660</v>
      </c>
      <c r="F6151" s="1">
        <v>2343.6192109776998</v>
      </c>
      <c r="G6151" s="1">
        <v>3</v>
      </c>
      <c r="H6151" s="1">
        <v>1</v>
      </c>
      <c r="I6151" s="1">
        <v>2</v>
      </c>
      <c r="J6151" s="1">
        <v>1.5</v>
      </c>
      <c r="K6151" s="1">
        <v>1</v>
      </c>
      <c r="L6151" s="1">
        <v>1</v>
      </c>
      <c r="M6151" s="4">
        <v>1166</v>
      </c>
      <c r="N6151" s="1">
        <v>2499</v>
      </c>
      <c r="O6151" s="1">
        <v>2534</v>
      </c>
      <c r="P6151" s="1">
        <v>35</v>
      </c>
      <c r="Q6151" s="1" t="s">
        <v>42</v>
      </c>
      <c r="S6151" s="1" t="s">
        <v>42</v>
      </c>
      <c r="T6151" s="1" t="s">
        <v>273</v>
      </c>
      <c r="U6151" s="1">
        <v>873</v>
      </c>
      <c r="V6151" s="5">
        <v>43546</v>
      </c>
      <c r="W6151" s="5">
        <v>42648</v>
      </c>
      <c r="X6151" s="1">
        <v>2680000</v>
      </c>
      <c r="Y6151" s="1">
        <v>2680000</v>
      </c>
      <c r="AA6151" s="1">
        <v>2732660</v>
      </c>
      <c r="AB6151" s="1" t="s">
        <v>275</v>
      </c>
      <c r="AC6151" s="5">
        <v>43521</v>
      </c>
      <c r="AF6151" s="1">
        <v>10001</v>
      </c>
      <c r="AJ6151" s="1">
        <v>2018</v>
      </c>
      <c r="AK6151" s="1" t="s">
        <v>46</v>
      </c>
      <c r="AL6151" s="1">
        <v>285</v>
      </c>
    </row>
    <row r="6152" spans="1:38" x14ac:dyDescent="0.2">
      <c r="A6152" s="2" t="str">
        <f>HYPERLINK("https://www.compass.com/listing/15-hudson-yards-unit-28e-manhattan-ny-10001/196966885361799857/","15 Hudson Yards, Unit 28E")</f>
        <v>15 Hudson Yards, Unit 28E</v>
      </c>
      <c r="B6152" s="2" t="str">
        <f t="shared" si="1004"/>
        <v>Fifteen Hudson Yards</v>
      </c>
      <c r="C6152" s="1" t="s">
        <v>77</v>
      </c>
      <c r="D6152" s="1" t="s">
        <v>41</v>
      </c>
      <c r="E6152" s="3">
        <v>2355907</v>
      </c>
      <c r="F6152" s="1">
        <v>2377.3027245206799</v>
      </c>
      <c r="G6152" s="1">
        <v>3</v>
      </c>
      <c r="H6152" s="1">
        <v>1</v>
      </c>
      <c r="I6152" s="1">
        <v>2</v>
      </c>
      <c r="J6152" s="1">
        <v>1.5</v>
      </c>
      <c r="K6152" s="1">
        <v>1</v>
      </c>
      <c r="L6152" s="1">
        <v>1</v>
      </c>
      <c r="M6152" s="1">
        <v>991</v>
      </c>
      <c r="N6152" s="1">
        <v>2150</v>
      </c>
      <c r="O6152" s="1">
        <v>2180</v>
      </c>
      <c r="P6152" s="1">
        <v>30</v>
      </c>
      <c r="Q6152" s="1" t="s">
        <v>42</v>
      </c>
      <c r="S6152" s="1" t="s">
        <v>42</v>
      </c>
      <c r="T6152" s="1" t="s">
        <v>273</v>
      </c>
      <c r="U6152" s="1">
        <v>885</v>
      </c>
      <c r="V6152" s="5">
        <v>43546</v>
      </c>
      <c r="W6152" s="5">
        <v>42633</v>
      </c>
      <c r="X6152" s="1">
        <v>2310000</v>
      </c>
      <c r="Y6152" s="1">
        <v>2310000</v>
      </c>
      <c r="AA6152" s="1">
        <v>2355907</v>
      </c>
      <c r="AB6152" s="1" t="s">
        <v>275</v>
      </c>
      <c r="AC6152" s="5">
        <v>43518</v>
      </c>
      <c r="AF6152" s="1">
        <v>10001</v>
      </c>
      <c r="AJ6152" s="1">
        <v>2018</v>
      </c>
      <c r="AK6152" s="1" t="s">
        <v>46</v>
      </c>
      <c r="AL6152" s="1">
        <v>285</v>
      </c>
    </row>
    <row r="6153" spans="1:38" x14ac:dyDescent="0.2">
      <c r="A6153" s="2" t="str">
        <f>HYPERLINK("https://www.compass.com/listing/15-hudson-yards-unit-31f-manhattan-ny-10001/197111111269565249/","15 Hudson Yards, Unit 31F")</f>
        <v>15 Hudson Yards, Unit 31F</v>
      </c>
      <c r="B6153" s="2" t="str">
        <f t="shared" si="1004"/>
        <v>Fifteen Hudson Yards</v>
      </c>
      <c r="C6153" s="1" t="s">
        <v>77</v>
      </c>
      <c r="D6153" s="1" t="s">
        <v>41</v>
      </c>
      <c r="E6153" s="3">
        <v>2415000</v>
      </c>
      <c r="F6153" s="1">
        <v>2313.2183908045899</v>
      </c>
      <c r="G6153" s="1">
        <v>3</v>
      </c>
      <c r="H6153" s="1">
        <v>1</v>
      </c>
      <c r="I6153" s="1">
        <v>1</v>
      </c>
      <c r="J6153" s="1">
        <v>1</v>
      </c>
      <c r="K6153" s="1">
        <v>1</v>
      </c>
      <c r="M6153" s="4">
        <v>1044</v>
      </c>
      <c r="N6153" s="1">
        <v>2245</v>
      </c>
      <c r="O6153" s="1">
        <v>2276</v>
      </c>
      <c r="P6153" s="1">
        <v>31</v>
      </c>
      <c r="Q6153" s="1" t="s">
        <v>42</v>
      </c>
      <c r="S6153" s="1" t="s">
        <v>42</v>
      </c>
      <c r="T6153" s="1" t="s">
        <v>273</v>
      </c>
      <c r="U6153" s="1">
        <v>483</v>
      </c>
      <c r="V6153" s="5">
        <v>43524</v>
      </c>
      <c r="W6153" s="5">
        <v>43040</v>
      </c>
      <c r="X6153" s="1">
        <v>2415000</v>
      </c>
      <c r="Y6153" s="1">
        <v>2415000</v>
      </c>
      <c r="AA6153" s="1">
        <v>2415000</v>
      </c>
      <c r="AB6153" s="1" t="s">
        <v>275</v>
      </c>
      <c r="AC6153" s="5">
        <v>43523</v>
      </c>
      <c r="AF6153" s="1">
        <v>10001</v>
      </c>
      <c r="AJ6153" s="1">
        <v>2018</v>
      </c>
      <c r="AK6153" s="1" t="s">
        <v>46</v>
      </c>
      <c r="AL6153" s="1">
        <v>285</v>
      </c>
    </row>
    <row r="6154" spans="1:38" x14ac:dyDescent="0.2">
      <c r="A6154" s="2" t="str">
        <f>HYPERLINK("https://www.compass.com/listing/15-hudson-yards-unit-26f-manhattan-ny-10001/198481854033144609/","15 Hudson Yards, Unit 26F")</f>
        <v>15 Hudson Yards, Unit 26F</v>
      </c>
      <c r="B6154" s="2" t="str">
        <f t="shared" si="1004"/>
        <v>Fifteen Hudson Yards</v>
      </c>
      <c r="C6154" s="1" t="s">
        <v>77</v>
      </c>
      <c r="D6154" s="1" t="s">
        <v>41</v>
      </c>
      <c r="E6154" s="3">
        <v>2325860</v>
      </c>
      <c r="F6154" s="1">
        <v>2227.8352490421398</v>
      </c>
      <c r="G6154" s="1">
        <v>2</v>
      </c>
      <c r="H6154" s="1">
        <v>1</v>
      </c>
      <c r="I6154" s="1">
        <v>1</v>
      </c>
      <c r="J6154" s="1">
        <v>1</v>
      </c>
      <c r="K6154" s="1">
        <v>1</v>
      </c>
      <c r="M6154" s="4">
        <v>1044</v>
      </c>
      <c r="N6154" s="1">
        <v>2218</v>
      </c>
      <c r="O6154" s="1">
        <v>2249</v>
      </c>
      <c r="P6154" s="1">
        <v>31</v>
      </c>
      <c r="Q6154" s="1" t="s">
        <v>42</v>
      </c>
      <c r="S6154" s="1" t="s">
        <v>42</v>
      </c>
      <c r="T6154" s="1" t="s">
        <v>273</v>
      </c>
      <c r="U6154" s="1">
        <v>856</v>
      </c>
      <c r="V6154" s="5">
        <v>43574</v>
      </c>
      <c r="W6154" s="5">
        <v>42668</v>
      </c>
      <c r="X6154" s="1">
        <v>2280000</v>
      </c>
      <c r="Y6154" s="1">
        <v>2280000</v>
      </c>
      <c r="AA6154" s="1">
        <v>2325860</v>
      </c>
      <c r="AB6154" s="1" t="s">
        <v>275</v>
      </c>
      <c r="AC6154" s="5">
        <v>43524</v>
      </c>
      <c r="AF6154" s="1">
        <v>10001</v>
      </c>
      <c r="AJ6154" s="1">
        <v>2018</v>
      </c>
      <c r="AK6154" s="1" t="s">
        <v>46</v>
      </c>
      <c r="AL6154" s="1">
        <v>285</v>
      </c>
    </row>
    <row r="6155" spans="1:38" x14ac:dyDescent="0.2">
      <c r="A6155" s="2" t="str">
        <f>HYPERLINK("https://www.compass.com/listing/121-east-22nd-street-unit-s601-manhattan-ny-10010/200630833889969793/","121 E 22nd St, Unit S601")</f>
        <v>121 E 22nd St, Unit S601</v>
      </c>
      <c r="B6155" s="2" t="str">
        <f>HYPERLINK("https://www.compass.com/building/121-e-22nd-manhattan-ny/292795784653461493/","121 E 22nd")</f>
        <v>121 E 22nd</v>
      </c>
      <c r="C6155" s="1" t="s">
        <v>64</v>
      </c>
      <c r="D6155" s="1" t="s">
        <v>41</v>
      </c>
      <c r="E6155" s="3">
        <v>3640000</v>
      </c>
      <c r="F6155" s="1">
        <v>2156.3981042654</v>
      </c>
      <c r="G6155" s="1">
        <v>4</v>
      </c>
      <c r="H6155" s="1">
        <v>2</v>
      </c>
      <c r="I6155" s="1">
        <v>3</v>
      </c>
      <c r="J6155" s="1">
        <v>2.5</v>
      </c>
      <c r="K6155" s="1">
        <v>2</v>
      </c>
      <c r="L6155" s="1">
        <v>1</v>
      </c>
      <c r="M6155" s="4">
        <v>1688</v>
      </c>
      <c r="N6155" s="1">
        <v>1758</v>
      </c>
      <c r="O6155" s="1">
        <v>4873</v>
      </c>
      <c r="P6155" s="1">
        <v>3115</v>
      </c>
      <c r="Q6155" s="1" t="s">
        <v>42</v>
      </c>
      <c r="S6155" s="1" t="s">
        <v>42</v>
      </c>
      <c r="T6155" s="1" t="s">
        <v>273</v>
      </c>
      <c r="V6155" s="5">
        <v>44373</v>
      </c>
      <c r="AA6155" s="1">
        <v>3640000</v>
      </c>
      <c r="AB6155" s="1" t="s">
        <v>275</v>
      </c>
      <c r="AC6155" s="5">
        <v>43508</v>
      </c>
      <c r="AF6155" s="1">
        <v>10010</v>
      </c>
      <c r="AI6155" s="1" t="s">
        <v>234</v>
      </c>
      <c r="AJ6155" s="1">
        <v>2016</v>
      </c>
      <c r="AK6155" s="1" t="s">
        <v>108</v>
      </c>
      <c r="AL6155" s="1">
        <v>140</v>
      </c>
    </row>
    <row r="6156" spans="1:38" x14ac:dyDescent="0.2">
      <c r="A6156" s="2" t="str">
        <f>HYPERLINK("https://www.compass.com/listing/15-hudson-yards-unit-30b-manhattan-ny-10001/202032175443398369/","15 Hudson Yards, Unit 30B")</f>
        <v>15 Hudson Yards, Unit 30B</v>
      </c>
      <c r="B6156" s="2" t="str">
        <f t="shared" ref="B6156:B6158" si="1005">HYPERLINK("https://www.compass.com/building/fifteen-hudson-yards-manhattan-ny/282058587512011909/","Fifteen Hudson Yards")</f>
        <v>Fifteen Hudson Yards</v>
      </c>
      <c r="C6156" s="1" t="s">
        <v>77</v>
      </c>
      <c r="D6156" s="1" t="s">
        <v>41</v>
      </c>
      <c r="E6156" s="3">
        <v>2070000</v>
      </c>
      <c r="F6156" s="1">
        <v>2432.4324324324298</v>
      </c>
      <c r="G6156" s="1">
        <v>3</v>
      </c>
      <c r="H6156" s="1">
        <v>1</v>
      </c>
      <c r="I6156" s="1">
        <v>1</v>
      </c>
      <c r="J6156" s="1">
        <v>1</v>
      </c>
      <c r="K6156" s="1">
        <v>1</v>
      </c>
      <c r="M6156" s="1">
        <v>851</v>
      </c>
      <c r="N6156" s="1">
        <v>1885</v>
      </c>
      <c r="O6156" s="1">
        <v>1911</v>
      </c>
      <c r="P6156" s="1">
        <v>26</v>
      </c>
      <c r="Q6156" s="1" t="s">
        <v>42</v>
      </c>
      <c r="S6156" s="1" t="s">
        <v>42</v>
      </c>
      <c r="T6156" s="1" t="s">
        <v>273</v>
      </c>
      <c r="U6156" s="1">
        <v>886</v>
      </c>
      <c r="V6156" s="5">
        <v>43553</v>
      </c>
      <c r="W6156" s="5">
        <v>42642</v>
      </c>
      <c r="X6156" s="1">
        <v>2070000</v>
      </c>
      <c r="Y6156" s="1">
        <v>2070000</v>
      </c>
      <c r="AA6156" s="1">
        <v>2070000</v>
      </c>
      <c r="AB6156" s="1" t="s">
        <v>275</v>
      </c>
      <c r="AC6156" s="5">
        <v>43528</v>
      </c>
      <c r="AF6156" s="1">
        <v>10001</v>
      </c>
      <c r="AJ6156" s="1">
        <v>2018</v>
      </c>
      <c r="AK6156" s="1" t="s">
        <v>46</v>
      </c>
      <c r="AL6156" s="1">
        <v>285</v>
      </c>
    </row>
    <row r="6157" spans="1:38" x14ac:dyDescent="0.2">
      <c r="A6157" s="2" t="str">
        <f>HYPERLINK("https://www.compass.com/listing/15-hudson-yards-unit-31a-manhattan-ny-10001/202145377049219153/","15 Hudson Yards, Unit 31A")</f>
        <v>15 Hudson Yards, Unit 31A</v>
      </c>
      <c r="B6157" s="2" t="str">
        <f t="shared" si="1005"/>
        <v>Fifteen Hudson Yards</v>
      </c>
      <c r="C6157" s="1" t="s">
        <v>77</v>
      </c>
      <c r="D6157" s="1" t="s">
        <v>41</v>
      </c>
      <c r="E6157" s="3">
        <v>4937823</v>
      </c>
      <c r="F6157" s="1">
        <v>2774.05786516853</v>
      </c>
      <c r="G6157" s="1">
        <v>4</v>
      </c>
      <c r="H6157" s="1">
        <v>2</v>
      </c>
      <c r="I6157" s="1">
        <v>3</v>
      </c>
      <c r="J6157" s="1">
        <v>2.5</v>
      </c>
      <c r="K6157" s="1">
        <v>2</v>
      </c>
      <c r="L6157" s="1">
        <v>1</v>
      </c>
      <c r="M6157" s="4">
        <v>1780</v>
      </c>
      <c r="N6157" s="1">
        <v>3958</v>
      </c>
      <c r="O6157" s="1">
        <v>4013</v>
      </c>
      <c r="P6157" s="1">
        <v>55</v>
      </c>
      <c r="Q6157" s="1" t="s">
        <v>42</v>
      </c>
      <c r="S6157" s="1" t="s">
        <v>42</v>
      </c>
      <c r="T6157" s="1" t="s">
        <v>273</v>
      </c>
      <c r="U6157" s="1">
        <v>791</v>
      </c>
      <c r="V6157" s="5">
        <v>43571</v>
      </c>
      <c r="W6157" s="5">
        <v>42739</v>
      </c>
      <c r="X6157" s="1">
        <v>4845150</v>
      </c>
      <c r="Y6157" s="1">
        <v>4937823</v>
      </c>
      <c r="AA6157" s="1">
        <v>4937823</v>
      </c>
      <c r="AB6157" s="1" t="s">
        <v>275</v>
      </c>
      <c r="AC6157" s="5">
        <v>43530</v>
      </c>
      <c r="AF6157" s="1">
        <v>10001</v>
      </c>
      <c r="AJ6157" s="1">
        <v>2018</v>
      </c>
      <c r="AK6157" s="1" t="s">
        <v>46</v>
      </c>
      <c r="AL6157" s="1">
        <v>285</v>
      </c>
    </row>
    <row r="6158" spans="1:38" x14ac:dyDescent="0.2">
      <c r="A6158" s="2" t="str">
        <f>HYPERLINK("https://www.compass.com/listing/15-hudson-yards-unit-66c-manhattan-ny-10001/20330245571826289/","15 Hudson Yards, Unit 66C")</f>
        <v>15 Hudson Yards, Unit 66C</v>
      </c>
      <c r="B6158" s="2" t="str">
        <f t="shared" si="1005"/>
        <v>Fifteen Hudson Yards</v>
      </c>
      <c r="C6158" s="1" t="s">
        <v>77</v>
      </c>
      <c r="D6158" s="1" t="s">
        <v>41</v>
      </c>
      <c r="E6158" s="3">
        <v>4855000</v>
      </c>
      <c r="F6158" s="1">
        <v>2575.59681697612</v>
      </c>
      <c r="G6158" s="1">
        <v>4</v>
      </c>
      <c r="H6158" s="1">
        <v>2</v>
      </c>
      <c r="I6158" s="1">
        <v>3</v>
      </c>
      <c r="J6158" s="1">
        <v>2.5</v>
      </c>
      <c r="K6158" s="1">
        <v>2</v>
      </c>
      <c r="L6158" s="1">
        <v>1</v>
      </c>
      <c r="M6158" s="4">
        <v>1885</v>
      </c>
      <c r="N6158" s="1">
        <v>4168</v>
      </c>
      <c r="O6158" s="1">
        <v>4225</v>
      </c>
      <c r="P6158" s="1">
        <v>57</v>
      </c>
      <c r="Q6158" s="1" t="s">
        <v>42</v>
      </c>
      <c r="S6158" s="1" t="s">
        <v>42</v>
      </c>
      <c r="T6158" s="1" t="s">
        <v>273</v>
      </c>
      <c r="U6158" s="1">
        <v>328</v>
      </c>
      <c r="V6158" s="5">
        <v>43603</v>
      </c>
      <c r="W6158" s="5">
        <v>42909</v>
      </c>
      <c r="X6158" s="1">
        <v>4855000</v>
      </c>
      <c r="Y6158" s="1">
        <v>4855000</v>
      </c>
      <c r="AA6158" s="1">
        <v>4855000</v>
      </c>
      <c r="AB6158" s="1" t="s">
        <v>275</v>
      </c>
      <c r="AC6158" s="5">
        <v>43601</v>
      </c>
      <c r="AF6158" s="1">
        <v>10001</v>
      </c>
      <c r="AJ6158" s="1">
        <v>2018</v>
      </c>
      <c r="AK6158" s="1" t="s">
        <v>46</v>
      </c>
      <c r="AL6158" s="1">
        <v>285</v>
      </c>
    </row>
    <row r="6159" spans="1:38" x14ac:dyDescent="0.2">
      <c r="A6159" s="2" t="str">
        <f>HYPERLINK("https://www.compass.com/listing/252-south-street-unit-8c-manhattan-ny-10002/204039358993482257/","252 South St, Unit 8C")</f>
        <v>252 South St, Unit 8C</v>
      </c>
      <c r="B6159" s="2" t="str">
        <f>HYPERLINK("https://www.compass.com/building/one-manhattan-square-manhattan-ny/294844950218926165/","One Manhattan Square")</f>
        <v>One Manhattan Square</v>
      </c>
      <c r="C6159" s="1" t="s">
        <v>47</v>
      </c>
      <c r="D6159" s="1" t="s">
        <v>41</v>
      </c>
      <c r="E6159" s="3">
        <v>1295397</v>
      </c>
      <c r="F6159" s="1">
        <v>1863.8799424460401</v>
      </c>
      <c r="M6159" s="1">
        <v>695</v>
      </c>
      <c r="Q6159" s="1" t="s">
        <v>42</v>
      </c>
      <c r="S6159" s="1" t="s">
        <v>42</v>
      </c>
      <c r="T6159" s="1" t="s">
        <v>273</v>
      </c>
      <c r="AA6159" s="1">
        <v>1295396.56</v>
      </c>
      <c r="AB6159" s="1" t="s">
        <v>4441</v>
      </c>
      <c r="AC6159" s="5">
        <v>43529</v>
      </c>
      <c r="AF6159" s="1">
        <v>10002</v>
      </c>
      <c r="AI6159" s="1" t="s">
        <v>66</v>
      </c>
      <c r="AJ6159" s="1">
        <v>2019</v>
      </c>
      <c r="AK6159" s="1" t="s">
        <v>49</v>
      </c>
      <c r="AL6159" s="1">
        <v>787</v>
      </c>
    </row>
    <row r="6160" spans="1:38" x14ac:dyDescent="0.2">
      <c r="A6160" s="2" t="str">
        <f>HYPERLINK("https://www.compass.com/listing/15-hudson-yards-unit-27d-manhattan-ny-10001/205668887159747969/","15 Hudson Yards, Unit 27D")</f>
        <v>15 Hudson Yards, Unit 27D</v>
      </c>
      <c r="B6160" s="2" t="str">
        <f>HYPERLINK("https://www.compass.com/building/fifteen-hudson-yards-manhattan-ny/282058587512011909/","Fifteen Hudson Yards")</f>
        <v>Fifteen Hudson Yards</v>
      </c>
      <c r="C6160" s="1" t="s">
        <v>77</v>
      </c>
      <c r="D6160" s="1" t="s">
        <v>41</v>
      </c>
      <c r="E6160" s="3">
        <v>3825352</v>
      </c>
      <c r="F6160" s="1">
        <v>2434.97899427116</v>
      </c>
      <c r="G6160" s="1">
        <v>4</v>
      </c>
      <c r="H6160" s="1">
        <v>2</v>
      </c>
      <c r="I6160" s="1">
        <v>3</v>
      </c>
      <c r="J6160" s="1">
        <v>2.5</v>
      </c>
      <c r="K6160" s="1">
        <v>2</v>
      </c>
      <c r="L6160" s="1">
        <v>1</v>
      </c>
      <c r="M6160" s="4">
        <v>1571</v>
      </c>
      <c r="N6160" s="1">
        <v>3358</v>
      </c>
      <c r="O6160" s="1">
        <v>3405</v>
      </c>
      <c r="P6160" s="1">
        <v>47</v>
      </c>
      <c r="Q6160" s="1" t="s">
        <v>42</v>
      </c>
      <c r="S6160" s="1" t="s">
        <v>42</v>
      </c>
      <c r="T6160" s="1" t="s">
        <v>273</v>
      </c>
      <c r="U6160" s="1">
        <v>680</v>
      </c>
      <c r="V6160" s="5">
        <v>43574</v>
      </c>
      <c r="W6160" s="5">
        <v>42851</v>
      </c>
      <c r="X6160" s="1">
        <v>3770000</v>
      </c>
      <c r="Y6160" s="1">
        <v>3770000</v>
      </c>
      <c r="AA6160" s="1">
        <v>3825352</v>
      </c>
      <c r="AB6160" s="1" t="s">
        <v>275</v>
      </c>
      <c r="AC6160" s="5">
        <v>43531</v>
      </c>
      <c r="AF6160" s="1">
        <v>10001</v>
      </c>
      <c r="AJ6160" s="1">
        <v>2018</v>
      </c>
      <c r="AK6160" s="1" t="s">
        <v>49</v>
      </c>
      <c r="AL6160" s="1">
        <v>285</v>
      </c>
    </row>
    <row r="6161" spans="1:38" x14ac:dyDescent="0.2">
      <c r="A6161" s="2" t="str">
        <f>HYPERLINK("https://www.compass.com/listing/111-murray-street-unit-44w-manhattan-ny-10007/206934833425810049/","111 Murray St, Unit 44W")</f>
        <v>111 Murray St, Unit 44W</v>
      </c>
      <c r="B6161" s="2" t="str">
        <f>HYPERLINK("https://www.compass.com/building/111-murray-st-manhattan-ny-10007/281896511862746053/","111 Murray St")</f>
        <v>111 Murray St</v>
      </c>
      <c r="C6161" s="1" t="s">
        <v>50</v>
      </c>
      <c r="D6161" s="1" t="s">
        <v>41</v>
      </c>
      <c r="E6161" s="3">
        <v>8909688</v>
      </c>
      <c r="F6161" s="1">
        <v>3892.3929663608501</v>
      </c>
      <c r="M6161" s="4">
        <v>2289</v>
      </c>
      <c r="Q6161" s="1" t="s">
        <v>42</v>
      </c>
      <c r="S6161" s="1" t="s">
        <v>42</v>
      </c>
      <c r="T6161" s="1" t="s">
        <v>273</v>
      </c>
      <c r="AA6161" s="1">
        <v>8909687.5</v>
      </c>
      <c r="AB6161" s="1" t="s">
        <v>4442</v>
      </c>
      <c r="AC6161" s="5">
        <v>43495</v>
      </c>
      <c r="AF6161" s="1">
        <v>10007</v>
      </c>
      <c r="AI6161" s="1" t="s">
        <v>80</v>
      </c>
      <c r="AJ6161" s="1">
        <v>2018</v>
      </c>
      <c r="AK6161" s="1" t="s">
        <v>49</v>
      </c>
      <c r="AL6161" s="1">
        <v>157</v>
      </c>
    </row>
    <row r="6162" spans="1:38" x14ac:dyDescent="0.2">
      <c r="A6162" s="2" t="str">
        <f>HYPERLINK("https://www.compass.com/listing/70-west-139th-street-unit-5e-manhattan-ny-10037/207736004981831953/","70 W 139th St, Unit 5E")</f>
        <v>70 W 139th St, Unit 5E</v>
      </c>
      <c r="B6162" s="2" t="str">
        <f>HYPERLINK("https://www.compass.com/building/70-w-139th-st-manhattan-ny-10037/292920118235647477/","70 W 139th St")</f>
        <v>70 W 139th St</v>
      </c>
      <c r="C6162" s="1" t="s">
        <v>84</v>
      </c>
      <c r="D6162" s="1" t="s">
        <v>41</v>
      </c>
      <c r="E6162" s="3">
        <v>533786</v>
      </c>
      <c r="F6162" s="1">
        <v>568.46219382321601</v>
      </c>
      <c r="M6162" s="1">
        <v>939</v>
      </c>
      <c r="Q6162" s="1" t="s">
        <v>42</v>
      </c>
      <c r="S6162" s="1" t="s">
        <v>42</v>
      </c>
      <c r="T6162" s="1" t="s">
        <v>273</v>
      </c>
      <c r="AA6162" s="1">
        <v>533786</v>
      </c>
      <c r="AB6162" s="1" t="s">
        <v>4443</v>
      </c>
      <c r="AC6162" s="5">
        <v>43530</v>
      </c>
      <c r="AF6162" s="1">
        <v>10037</v>
      </c>
      <c r="AI6162" s="1" t="s">
        <v>48</v>
      </c>
      <c r="AJ6162" s="1">
        <v>2018</v>
      </c>
      <c r="AL6162" s="1">
        <v>64</v>
      </c>
    </row>
    <row r="6163" spans="1:38" x14ac:dyDescent="0.2">
      <c r="A6163" s="2" t="str">
        <f>HYPERLINK("https://www.compass.com/listing/111-murray-street-unit-28w-manhattan-ny-10007/208387242660473345/","111 Murray St, Unit 28W")</f>
        <v>111 Murray St, Unit 28W</v>
      </c>
      <c r="B6163" s="2" t="str">
        <f>HYPERLINK("https://www.compass.com/building/111-murray-st-manhattan-ny-10007/281896511862746053/","111 Murray St")</f>
        <v>111 Murray St</v>
      </c>
      <c r="C6163" s="1" t="s">
        <v>50</v>
      </c>
      <c r="D6163" s="1" t="s">
        <v>41</v>
      </c>
      <c r="E6163" s="3">
        <v>7722000</v>
      </c>
      <c r="F6163" s="1">
        <v>2875.9776536312802</v>
      </c>
      <c r="M6163" s="4">
        <v>2685</v>
      </c>
      <c r="Q6163" s="1" t="s">
        <v>42</v>
      </c>
      <c r="S6163" s="1" t="s">
        <v>42</v>
      </c>
      <c r="T6163" s="1" t="s">
        <v>273</v>
      </c>
      <c r="AA6163" s="1">
        <v>7722000</v>
      </c>
      <c r="AB6163" s="1" t="s">
        <v>4444</v>
      </c>
      <c r="AC6163" s="5">
        <v>43535</v>
      </c>
      <c r="AF6163" s="1">
        <v>10007</v>
      </c>
      <c r="AI6163" s="1" t="s">
        <v>80</v>
      </c>
      <c r="AJ6163" s="1">
        <v>2018</v>
      </c>
      <c r="AK6163" s="1" t="s">
        <v>49</v>
      </c>
      <c r="AL6163" s="1">
        <v>157</v>
      </c>
    </row>
    <row r="6164" spans="1:38" x14ac:dyDescent="0.2">
      <c r="A6164" s="2" t="str">
        <f>HYPERLINK("https://www.compass.com/listing/252-south-street-unit-8g-manhattan-ny-10002/208389248972303633/","252 South St, Unit 8G")</f>
        <v>252 South St, Unit 8G</v>
      </c>
      <c r="B6164" s="2" t="str">
        <f>HYPERLINK("https://www.compass.com/building/one-manhattan-square-manhattan-ny/294844950218926165/","One Manhattan Square")</f>
        <v>One Manhattan Square</v>
      </c>
      <c r="C6164" s="1" t="s">
        <v>47</v>
      </c>
      <c r="D6164" s="1" t="s">
        <v>41</v>
      </c>
      <c r="E6164" s="3">
        <v>1073163</v>
      </c>
      <c r="F6164" s="1">
        <v>1484.3188105117499</v>
      </c>
      <c r="M6164" s="1">
        <v>723</v>
      </c>
      <c r="Q6164" s="1" t="s">
        <v>42</v>
      </c>
      <c r="S6164" s="1" t="s">
        <v>42</v>
      </c>
      <c r="T6164" s="1" t="s">
        <v>273</v>
      </c>
      <c r="AA6164" s="1">
        <v>1073162.5</v>
      </c>
      <c r="AB6164" s="1" t="s">
        <v>4445</v>
      </c>
      <c r="AC6164" s="5">
        <v>43531</v>
      </c>
      <c r="AF6164" s="1">
        <v>10002</v>
      </c>
      <c r="AI6164" s="1" t="s">
        <v>66</v>
      </c>
      <c r="AJ6164" s="1">
        <v>2019</v>
      </c>
      <c r="AK6164" s="1" t="s">
        <v>49</v>
      </c>
      <c r="AL6164" s="1">
        <v>787</v>
      </c>
    </row>
    <row r="6165" spans="1:38" x14ac:dyDescent="0.2">
      <c r="A6165" s="2" t="str">
        <f>HYPERLINK("https://www.compass.com/listing/49-chambers-street-unit-9a-manhattan-ny-10007/209198850097811441/","49 Chambers St, Unit 9A")</f>
        <v>49 Chambers St, Unit 9A</v>
      </c>
      <c r="B6165" s="2" t="str">
        <f t="shared" ref="B6165:B6166" si="1006">HYPERLINK("https://www.compass.com/building/49-chambers-manhattan-ny/282058733280852725/","49 Chambers")</f>
        <v>49 Chambers</v>
      </c>
      <c r="C6165" s="1" t="s">
        <v>50</v>
      </c>
      <c r="D6165" s="1" t="s">
        <v>41</v>
      </c>
      <c r="E6165" s="3">
        <v>3425000</v>
      </c>
      <c r="F6165" s="1">
        <v>1877.7412280701701</v>
      </c>
      <c r="G6165" s="1">
        <v>4</v>
      </c>
      <c r="H6165" s="1">
        <v>2</v>
      </c>
      <c r="J6165" s="1">
        <v>2</v>
      </c>
      <c r="M6165" s="4">
        <v>1824</v>
      </c>
      <c r="N6165" s="1">
        <v>1318</v>
      </c>
      <c r="O6165" s="1">
        <v>4977</v>
      </c>
      <c r="P6165" s="1">
        <v>3659</v>
      </c>
      <c r="S6165" s="1" t="s">
        <v>42</v>
      </c>
      <c r="T6165" s="1" t="s">
        <v>273</v>
      </c>
      <c r="V6165" s="5">
        <v>43777</v>
      </c>
      <c r="AA6165" s="1">
        <v>3425000</v>
      </c>
      <c r="AB6165" s="1" t="s">
        <v>275</v>
      </c>
      <c r="AC6165" s="5">
        <v>43539</v>
      </c>
      <c r="AF6165" s="1">
        <v>10007</v>
      </c>
      <c r="AI6165" s="1" t="s">
        <v>78</v>
      </c>
      <c r="AJ6165" s="1">
        <v>1910</v>
      </c>
      <c r="AK6165" s="1" t="s">
        <v>125</v>
      </c>
      <c r="AL6165" s="1">
        <v>99</v>
      </c>
    </row>
    <row r="6166" spans="1:38" x14ac:dyDescent="0.2">
      <c r="A6166" s="2" t="str">
        <f>HYPERLINK("https://www.compass.com/listing/49-chambers-street-unit-10a-manhattan-ny-10007/209201597635368113/","49 Chambers St, Unit 10A")</f>
        <v>49 Chambers St, Unit 10A</v>
      </c>
      <c r="B6166" s="2" t="str">
        <f t="shared" si="1006"/>
        <v>49 Chambers</v>
      </c>
      <c r="C6166" s="1" t="s">
        <v>50</v>
      </c>
      <c r="D6166" s="1" t="s">
        <v>41</v>
      </c>
      <c r="E6166" s="3">
        <v>3425000</v>
      </c>
      <c r="F6166" s="1">
        <v>1877.7412280701701</v>
      </c>
      <c r="G6166" s="1">
        <v>4</v>
      </c>
      <c r="H6166" s="1">
        <v>2</v>
      </c>
      <c r="J6166" s="1">
        <v>2</v>
      </c>
      <c r="M6166" s="4">
        <v>1824</v>
      </c>
      <c r="N6166" s="1">
        <v>1318</v>
      </c>
      <c r="O6166" s="1">
        <v>4977</v>
      </c>
      <c r="P6166" s="1">
        <v>3659</v>
      </c>
      <c r="S6166" s="1" t="s">
        <v>42</v>
      </c>
      <c r="T6166" s="1" t="s">
        <v>273</v>
      </c>
      <c r="V6166" s="5">
        <v>43777</v>
      </c>
      <c r="AA6166" s="1">
        <v>3425000</v>
      </c>
      <c r="AB6166" s="1" t="s">
        <v>275</v>
      </c>
      <c r="AC6166" s="5">
        <v>43539</v>
      </c>
      <c r="AF6166" s="1">
        <v>10007</v>
      </c>
      <c r="AI6166" s="1" t="s">
        <v>78</v>
      </c>
      <c r="AJ6166" s="1">
        <v>1910</v>
      </c>
      <c r="AK6166" s="1" t="s">
        <v>125</v>
      </c>
      <c r="AL6166" s="1">
        <v>99</v>
      </c>
    </row>
    <row r="6167" spans="1:38" x14ac:dyDescent="0.2">
      <c r="A6167" s="2" t="str">
        <f>HYPERLINK("https://www.compass.com/listing/15-hudson-yards-unit-28f-manhattan-ny-10001/210638943413146593/","15 Hudson Yards, Unit 28F")</f>
        <v>15 Hudson Yards, Unit 28F</v>
      </c>
      <c r="B6167" s="2" t="str">
        <f t="shared" ref="B6167:B6168" si="1007">HYPERLINK("https://www.compass.com/building/fifteen-hudson-yards-manhattan-ny/282058587512011909/","Fifteen Hudson Yards")</f>
        <v>Fifteen Hudson Yards</v>
      </c>
      <c r="C6167" s="1" t="s">
        <v>77</v>
      </c>
      <c r="D6167" s="1" t="s">
        <v>41</v>
      </c>
      <c r="E6167" s="3">
        <v>2433276</v>
      </c>
      <c r="F6167" s="1">
        <v>2330.7241379310299</v>
      </c>
      <c r="G6167" s="1">
        <v>3</v>
      </c>
      <c r="H6167" s="1">
        <v>1</v>
      </c>
      <c r="I6167" s="1">
        <v>1</v>
      </c>
      <c r="J6167" s="1">
        <v>1</v>
      </c>
      <c r="K6167" s="1">
        <v>1</v>
      </c>
      <c r="M6167" s="4">
        <v>1044</v>
      </c>
      <c r="N6167" s="1">
        <v>2233</v>
      </c>
      <c r="O6167" s="1">
        <v>2264</v>
      </c>
      <c r="P6167" s="1">
        <v>31</v>
      </c>
      <c r="Q6167" s="1" t="s">
        <v>42</v>
      </c>
      <c r="S6167" s="1" t="s">
        <v>42</v>
      </c>
      <c r="T6167" s="1" t="s">
        <v>273</v>
      </c>
      <c r="U6167" s="1">
        <v>611</v>
      </c>
      <c r="V6167" s="5">
        <v>43601</v>
      </c>
      <c r="W6167" s="5">
        <v>42928</v>
      </c>
      <c r="X6167" s="1">
        <v>2385000</v>
      </c>
      <c r="Y6167" s="1">
        <v>2385000</v>
      </c>
      <c r="AA6167" s="1">
        <v>2433276</v>
      </c>
      <c r="AB6167" s="1" t="s">
        <v>275</v>
      </c>
      <c r="AC6167" s="5">
        <v>43539</v>
      </c>
      <c r="AF6167" s="1">
        <v>10001</v>
      </c>
      <c r="AJ6167" s="1">
        <v>2018</v>
      </c>
      <c r="AK6167" s="1" t="s">
        <v>46</v>
      </c>
      <c r="AL6167" s="1">
        <v>285</v>
      </c>
    </row>
    <row r="6168" spans="1:38" x14ac:dyDescent="0.2">
      <c r="A6168" s="2" t="str">
        <f>HYPERLINK("https://www.compass.com/listing/15-hudson-yards-unit-27f-manhattan-ny-10001/210638943597672433/","15 Hudson Yards, Unit 27F")</f>
        <v>15 Hudson Yards, Unit 27F</v>
      </c>
      <c r="B6168" s="2" t="str">
        <f t="shared" si="1007"/>
        <v>Fifteen Hudson Yards</v>
      </c>
      <c r="C6168" s="1" t="s">
        <v>77</v>
      </c>
      <c r="D6168" s="1" t="s">
        <v>41</v>
      </c>
      <c r="E6168" s="3">
        <v>2295000</v>
      </c>
      <c r="F6168" s="1">
        <v>2198.2758620689601</v>
      </c>
      <c r="G6168" s="1">
        <v>2</v>
      </c>
      <c r="H6168" s="1">
        <v>1</v>
      </c>
      <c r="I6168" s="1">
        <v>1</v>
      </c>
      <c r="J6168" s="1">
        <v>1</v>
      </c>
      <c r="K6168" s="1">
        <v>1</v>
      </c>
      <c r="M6168" s="4">
        <v>1044</v>
      </c>
      <c r="N6168" s="1">
        <v>2222</v>
      </c>
      <c r="O6168" s="1">
        <v>2253</v>
      </c>
      <c r="P6168" s="1">
        <v>31</v>
      </c>
      <c r="Q6168" s="1" t="s">
        <v>42</v>
      </c>
      <c r="S6168" s="1" t="s">
        <v>42</v>
      </c>
      <c r="T6168" s="1" t="s">
        <v>273</v>
      </c>
      <c r="U6168" s="1">
        <v>891</v>
      </c>
      <c r="V6168" s="5">
        <v>43543</v>
      </c>
      <c r="W6168" s="5">
        <v>42648</v>
      </c>
      <c r="X6168" s="1">
        <v>2295000</v>
      </c>
      <c r="Y6168" s="1">
        <v>2295000</v>
      </c>
      <c r="AA6168" s="1">
        <v>2295000</v>
      </c>
      <c r="AB6168" s="1" t="s">
        <v>275</v>
      </c>
      <c r="AC6168" s="5">
        <v>43539</v>
      </c>
      <c r="AF6168" s="1">
        <v>10001</v>
      </c>
      <c r="AJ6168" s="1">
        <v>2018</v>
      </c>
      <c r="AK6168" s="1" t="s">
        <v>46</v>
      </c>
      <c r="AL6168" s="1">
        <v>285</v>
      </c>
    </row>
    <row r="6169" spans="1:38" x14ac:dyDescent="0.2">
      <c r="A6169" s="2" t="str">
        <f>HYPERLINK("https://www.compass.com/listing/220-central-park-south-unit-ph50-manhattan-ny-10019/210682047428069905/","220 Central Park S, Unit PH50")</f>
        <v>220 Central Park S, Unit PH50</v>
      </c>
      <c r="B6169" s="2" t="str">
        <f>HYPERLINK("https://www.compass.com/building/220-central-park-south-manhattan-ny/281944232648828453/","220 Central Park South")</f>
        <v>220 Central Park South</v>
      </c>
      <c r="C6169" s="1" t="s">
        <v>260</v>
      </c>
      <c r="D6169" s="1" t="s">
        <v>41</v>
      </c>
      <c r="E6169" s="3">
        <v>239958219</v>
      </c>
      <c r="F6169" s="1">
        <v>10419.8280059924</v>
      </c>
      <c r="G6169" s="1">
        <v>20</v>
      </c>
      <c r="H6169" s="1">
        <v>16</v>
      </c>
      <c r="I6169" s="1">
        <v>19</v>
      </c>
      <c r="J6169" s="1">
        <v>18</v>
      </c>
      <c r="K6169" s="1">
        <v>17</v>
      </c>
      <c r="L6169" s="1">
        <v>2</v>
      </c>
      <c r="M6169" s="4">
        <v>23029</v>
      </c>
      <c r="N6169" s="1">
        <v>45553</v>
      </c>
      <c r="O6169" s="1">
        <v>101845</v>
      </c>
      <c r="P6169" s="1">
        <v>56292</v>
      </c>
      <c r="Q6169" s="1" t="s">
        <v>42</v>
      </c>
      <c r="S6169" s="1" t="s">
        <v>42</v>
      </c>
      <c r="T6169" s="1" t="s">
        <v>273</v>
      </c>
      <c r="U6169" s="1">
        <v>1315</v>
      </c>
      <c r="V6169" s="5">
        <v>43552</v>
      </c>
      <c r="W6169" s="5">
        <v>42173</v>
      </c>
      <c r="Y6169" s="1">
        <v>237788400</v>
      </c>
      <c r="AA6169" s="1">
        <v>239958219.15000001</v>
      </c>
      <c r="AB6169" s="1" t="s">
        <v>4446</v>
      </c>
      <c r="AC6169" s="5">
        <v>43488</v>
      </c>
      <c r="AF6169" s="1">
        <v>10019</v>
      </c>
      <c r="AI6169" s="1" t="s">
        <v>101</v>
      </c>
      <c r="AJ6169" s="1">
        <v>2018</v>
      </c>
      <c r="AK6169" s="1" t="s">
        <v>46</v>
      </c>
      <c r="AL6169" s="1">
        <v>117</v>
      </c>
    </row>
    <row r="6170" spans="1:38" x14ac:dyDescent="0.2">
      <c r="A6170" s="2" t="str">
        <f>HYPERLINK("https://www.compass.com/listing/111-murray-street-unit-49w-manhattan-ny-10007/212714546698167553/","111 Murray St, Unit 49W")</f>
        <v>111 Murray St, Unit 49W</v>
      </c>
      <c r="B6170" s="2" t="str">
        <f>HYPERLINK("https://www.compass.com/building/111-murray-st-manhattan-ny-10007/281896511862746053/","111 Murray St")</f>
        <v>111 Murray St</v>
      </c>
      <c r="C6170" s="1" t="s">
        <v>50</v>
      </c>
      <c r="D6170" s="1" t="s">
        <v>41</v>
      </c>
      <c r="E6170" s="3">
        <v>12142631</v>
      </c>
      <c r="F6170" s="1">
        <v>3744.2587881591098</v>
      </c>
      <c r="M6170" s="4">
        <v>3243</v>
      </c>
      <c r="Q6170" s="1" t="s">
        <v>42</v>
      </c>
      <c r="S6170" s="1" t="s">
        <v>42</v>
      </c>
      <c r="T6170" s="1" t="s">
        <v>273</v>
      </c>
      <c r="AA6170" s="1">
        <v>12142631.25</v>
      </c>
      <c r="AB6170" s="1" t="s">
        <v>4447</v>
      </c>
      <c r="AC6170" s="5">
        <v>43535</v>
      </c>
      <c r="AF6170" s="1">
        <v>10007</v>
      </c>
      <c r="AI6170" s="1" t="s">
        <v>80</v>
      </c>
      <c r="AJ6170" s="1">
        <v>2018</v>
      </c>
      <c r="AK6170" s="1" t="s">
        <v>49</v>
      </c>
      <c r="AL6170" s="1">
        <v>157</v>
      </c>
    </row>
    <row r="6171" spans="1:38" x14ac:dyDescent="0.2">
      <c r="A6171" s="2" t="str">
        <f>HYPERLINK("https://www.compass.com/listing/121-east-22nd-street-unit-condo-manhattan-ny-10010/212735447284067345/","121 E 22nd St, Unit CONDO")</f>
        <v>121 E 22nd St, Unit CONDO</v>
      </c>
      <c r="B6171" s="2" t="str">
        <f>HYPERLINK("https://www.compass.com/building/121-e-22nd-manhattan-ny/292795784653461493/","121 E 22nd")</f>
        <v>121 E 22nd</v>
      </c>
      <c r="C6171" s="1" t="s">
        <v>64</v>
      </c>
      <c r="D6171" s="1" t="s">
        <v>41</v>
      </c>
      <c r="E6171" s="3">
        <v>1552831</v>
      </c>
      <c r="F6171" s="1">
        <v>1912.35375615763</v>
      </c>
      <c r="M6171" s="1">
        <v>812</v>
      </c>
      <c r="Q6171" s="1" t="s">
        <v>42</v>
      </c>
      <c r="S6171" s="1" t="s">
        <v>42</v>
      </c>
      <c r="T6171" s="1" t="s">
        <v>273</v>
      </c>
      <c r="AA6171" s="1">
        <v>1552831.25</v>
      </c>
      <c r="AB6171" s="1" t="s">
        <v>4448</v>
      </c>
      <c r="AC6171" s="5">
        <v>43532</v>
      </c>
      <c r="AF6171" s="1">
        <v>10010</v>
      </c>
      <c r="AI6171" s="1" t="s">
        <v>66</v>
      </c>
      <c r="AJ6171" s="1">
        <v>2016</v>
      </c>
      <c r="AK6171" s="1" t="s">
        <v>55</v>
      </c>
      <c r="AL6171" s="1">
        <v>140</v>
      </c>
    </row>
    <row r="6172" spans="1:38" x14ac:dyDescent="0.2">
      <c r="A6172" s="2" t="str">
        <f>HYPERLINK("https://www.compass.com/listing/15-hudson-yards-unit-32e-manhattan-ny-10001/213693715682783505/","15 Hudson Yards, Unit 32E")</f>
        <v>15 Hudson Yards, Unit 32E</v>
      </c>
      <c r="B6172" s="2" t="str">
        <f t="shared" ref="B6172:B6175" si="1008">HYPERLINK("https://www.compass.com/building/fifteen-hudson-yards-manhattan-ny/282058587512011909/","Fifteen Hudson Yards")</f>
        <v>Fifteen Hudson Yards</v>
      </c>
      <c r="C6172" s="1" t="s">
        <v>77</v>
      </c>
      <c r="D6172" s="1" t="s">
        <v>41</v>
      </c>
      <c r="E6172" s="3">
        <v>2370000</v>
      </c>
      <c r="F6172" s="1">
        <v>2398.78542510121</v>
      </c>
      <c r="G6172" s="1">
        <v>3</v>
      </c>
      <c r="H6172" s="1">
        <v>1</v>
      </c>
      <c r="I6172" s="1">
        <v>2</v>
      </c>
      <c r="J6172" s="1">
        <v>1.5</v>
      </c>
      <c r="K6172" s="1">
        <v>1</v>
      </c>
      <c r="L6172" s="1">
        <v>1</v>
      </c>
      <c r="M6172" s="1">
        <v>988</v>
      </c>
      <c r="N6172" s="1">
        <v>2162</v>
      </c>
      <c r="O6172" s="1">
        <v>2192</v>
      </c>
      <c r="P6172" s="1">
        <v>30</v>
      </c>
      <c r="Q6172" s="1" t="s">
        <v>42</v>
      </c>
      <c r="S6172" s="1" t="s">
        <v>42</v>
      </c>
      <c r="T6172" s="1" t="s">
        <v>273</v>
      </c>
      <c r="U6172" s="1">
        <v>903</v>
      </c>
      <c r="V6172" s="5">
        <v>43547</v>
      </c>
      <c r="W6172" s="5">
        <v>42642</v>
      </c>
      <c r="X6172" s="1">
        <v>2370000</v>
      </c>
      <c r="Y6172" s="1">
        <v>2370000</v>
      </c>
      <c r="AA6172" s="1">
        <v>2370000</v>
      </c>
      <c r="AB6172" s="1" t="s">
        <v>275</v>
      </c>
      <c r="AC6172" s="5">
        <v>43545</v>
      </c>
      <c r="AF6172" s="1">
        <v>10001</v>
      </c>
      <c r="AJ6172" s="1">
        <v>2018</v>
      </c>
      <c r="AK6172" s="1" t="s">
        <v>46</v>
      </c>
      <c r="AL6172" s="1">
        <v>285</v>
      </c>
    </row>
    <row r="6173" spans="1:38" x14ac:dyDescent="0.2">
      <c r="A6173" s="2" t="str">
        <f>HYPERLINK("https://www.compass.com/listing/15-hudson-yards-unit-36e-manhattan-ny-10001/213693716110570961/","15 Hudson Yards, Unit 36E")</f>
        <v>15 Hudson Yards, Unit 36E</v>
      </c>
      <c r="B6173" s="2" t="str">
        <f t="shared" si="1008"/>
        <v>Fifteen Hudson Yards</v>
      </c>
      <c r="C6173" s="1" t="s">
        <v>77</v>
      </c>
      <c r="D6173" s="1" t="s">
        <v>41</v>
      </c>
      <c r="E6173" s="3">
        <v>2430000</v>
      </c>
      <c r="F6173" s="1">
        <v>2472.0244150559502</v>
      </c>
      <c r="G6173" s="1">
        <v>3</v>
      </c>
      <c r="H6173" s="1">
        <v>1</v>
      </c>
      <c r="I6173" s="1">
        <v>2</v>
      </c>
      <c r="J6173" s="1">
        <v>1.5</v>
      </c>
      <c r="K6173" s="1">
        <v>1</v>
      </c>
      <c r="L6173" s="1">
        <v>1</v>
      </c>
      <c r="M6173" s="1">
        <v>983</v>
      </c>
      <c r="N6173" s="1">
        <v>2171</v>
      </c>
      <c r="O6173" s="1">
        <v>2201</v>
      </c>
      <c r="P6173" s="1">
        <v>30</v>
      </c>
      <c r="Q6173" s="1" t="s">
        <v>42</v>
      </c>
      <c r="S6173" s="1" t="s">
        <v>42</v>
      </c>
      <c r="T6173" s="1" t="s">
        <v>273</v>
      </c>
      <c r="U6173" s="1">
        <v>884</v>
      </c>
      <c r="V6173" s="5">
        <v>43547</v>
      </c>
      <c r="W6173" s="5">
        <v>42661</v>
      </c>
      <c r="X6173" s="1">
        <v>2430000</v>
      </c>
      <c r="Y6173" s="1">
        <v>2430000</v>
      </c>
      <c r="AA6173" s="1">
        <v>2430000</v>
      </c>
      <c r="AB6173" s="1" t="s">
        <v>275</v>
      </c>
      <c r="AC6173" s="5">
        <v>43545</v>
      </c>
      <c r="AF6173" s="1">
        <v>10001</v>
      </c>
      <c r="AJ6173" s="1">
        <v>2018</v>
      </c>
      <c r="AK6173" s="1" t="s">
        <v>46</v>
      </c>
      <c r="AL6173" s="1">
        <v>285</v>
      </c>
    </row>
    <row r="6174" spans="1:38" x14ac:dyDescent="0.2">
      <c r="A6174" s="2" t="str">
        <f>HYPERLINK("https://www.compass.com/listing/15-hudson-yards-unit-33j-manhattan-ny-10001/215898935535878449/","15 Hudson Yards, Unit 33J")</f>
        <v>15 Hudson Yards, Unit 33J</v>
      </c>
      <c r="B6174" s="2" t="str">
        <f t="shared" si="1008"/>
        <v>Fifteen Hudson Yards</v>
      </c>
      <c r="C6174" s="1" t="s">
        <v>77</v>
      </c>
      <c r="D6174" s="1" t="s">
        <v>41</v>
      </c>
      <c r="E6174" s="3">
        <v>2916075</v>
      </c>
      <c r="F6174" s="1">
        <v>2524.7402597402502</v>
      </c>
      <c r="G6174" s="1">
        <v>3</v>
      </c>
      <c r="H6174" s="1">
        <v>1</v>
      </c>
      <c r="I6174" s="1">
        <v>2</v>
      </c>
      <c r="J6174" s="1">
        <v>1.5</v>
      </c>
      <c r="K6174" s="1">
        <v>1</v>
      </c>
      <c r="L6174" s="1">
        <v>1</v>
      </c>
      <c r="M6174" s="4">
        <v>1155</v>
      </c>
      <c r="N6174" s="1">
        <v>2519</v>
      </c>
      <c r="O6174" s="1">
        <v>2554</v>
      </c>
      <c r="P6174" s="1">
        <v>35</v>
      </c>
      <c r="Q6174" s="1" t="s">
        <v>42</v>
      </c>
      <c r="S6174" s="1" t="s">
        <v>42</v>
      </c>
      <c r="T6174" s="1" t="s">
        <v>273</v>
      </c>
      <c r="U6174" s="1">
        <v>651</v>
      </c>
      <c r="V6174" s="5">
        <v>43601</v>
      </c>
      <c r="W6174" s="5">
        <v>42895</v>
      </c>
      <c r="Y6174" s="1">
        <v>2885000</v>
      </c>
      <c r="AA6174" s="1">
        <v>2916075</v>
      </c>
      <c r="AB6174" s="1" t="s">
        <v>275</v>
      </c>
      <c r="AC6174" s="5">
        <v>43546</v>
      </c>
      <c r="AF6174" s="1">
        <v>10001</v>
      </c>
      <c r="AJ6174" s="1">
        <v>2018</v>
      </c>
      <c r="AK6174" s="1" t="s">
        <v>46</v>
      </c>
      <c r="AL6174" s="1">
        <v>285</v>
      </c>
    </row>
    <row r="6175" spans="1:38" x14ac:dyDescent="0.2">
      <c r="A6175" s="2" t="str">
        <f>HYPERLINK("https://www.compass.com/listing/15-hudson-yards-unit-29f-manhattan-ny-10001/215898935871408865/","15 Hudson Yards, Unit 29F")</f>
        <v>15 Hudson Yards, Unit 29F</v>
      </c>
      <c r="B6175" s="2" t="str">
        <f t="shared" si="1008"/>
        <v>Fifteen Hudson Yards</v>
      </c>
      <c r="C6175" s="1" t="s">
        <v>77</v>
      </c>
      <c r="D6175" s="1" t="s">
        <v>41</v>
      </c>
      <c r="E6175" s="3">
        <v>2442458</v>
      </c>
      <c r="F6175" s="1">
        <v>2339.5191570881202</v>
      </c>
      <c r="G6175" s="1">
        <v>3</v>
      </c>
      <c r="H6175" s="1">
        <v>1</v>
      </c>
      <c r="I6175" s="1">
        <v>1</v>
      </c>
      <c r="J6175" s="1">
        <v>1</v>
      </c>
      <c r="K6175" s="1">
        <v>1</v>
      </c>
      <c r="M6175" s="4">
        <v>1044</v>
      </c>
      <c r="N6175" s="1">
        <v>2237</v>
      </c>
      <c r="O6175" s="1">
        <v>2268</v>
      </c>
      <c r="P6175" s="1">
        <v>31</v>
      </c>
      <c r="Q6175" s="1" t="s">
        <v>42</v>
      </c>
      <c r="S6175" s="1" t="s">
        <v>42</v>
      </c>
      <c r="T6175" s="1" t="s">
        <v>273</v>
      </c>
      <c r="U6175" s="1">
        <v>574</v>
      </c>
      <c r="V6175" s="5">
        <v>43601</v>
      </c>
      <c r="W6175" s="5">
        <v>42972</v>
      </c>
      <c r="X6175" s="1">
        <v>2395000</v>
      </c>
      <c r="Y6175" s="1">
        <v>2395000</v>
      </c>
      <c r="AA6175" s="1">
        <v>2442458</v>
      </c>
      <c r="AB6175" s="1" t="s">
        <v>275</v>
      </c>
      <c r="AC6175" s="5">
        <v>43546</v>
      </c>
      <c r="AF6175" s="1">
        <v>10001</v>
      </c>
      <c r="AJ6175" s="1">
        <v>2018</v>
      </c>
      <c r="AK6175" s="1" t="s">
        <v>46</v>
      </c>
      <c r="AL6175" s="1">
        <v>285</v>
      </c>
    </row>
    <row r="6176" spans="1:38" x14ac:dyDescent="0.2">
      <c r="A6176" s="2" t="str">
        <f>HYPERLINK("https://www.compass.com/listing/200-east-94th-street-unit-2815-manhattan-ny-10128/216401903007904401/","200 E 94th St, Unit 2815")</f>
        <v>200 E 94th St, Unit 2815</v>
      </c>
      <c r="B6176" s="2" t="str">
        <f>HYPERLINK("https://www.compass.com/building/carnegie-park-condominium-manhattan-ny/282049797358118613/","Carnegie Park Condominium")</f>
        <v>Carnegie Park Condominium</v>
      </c>
      <c r="C6176" s="1" t="s">
        <v>82</v>
      </c>
      <c r="D6176" s="1" t="s">
        <v>41</v>
      </c>
      <c r="E6176" s="3">
        <v>2823500</v>
      </c>
      <c r="F6176" s="1">
        <v>1586.23582584269</v>
      </c>
      <c r="M6176" s="4">
        <v>1780</v>
      </c>
      <c r="Q6176" s="1" t="s">
        <v>42</v>
      </c>
      <c r="S6176" s="1" t="s">
        <v>42</v>
      </c>
      <c r="T6176" s="1" t="s">
        <v>273</v>
      </c>
      <c r="AA6176" s="1">
        <v>2823499.77</v>
      </c>
      <c r="AB6176" s="1" t="s">
        <v>4449</v>
      </c>
      <c r="AC6176" s="5">
        <v>43543</v>
      </c>
      <c r="AF6176" s="1">
        <v>10128</v>
      </c>
      <c r="AI6176" s="1" t="s">
        <v>163</v>
      </c>
      <c r="AJ6176" s="1">
        <v>1986</v>
      </c>
      <c r="AK6176" s="1" t="s">
        <v>55</v>
      </c>
      <c r="AL6176" s="1">
        <v>287</v>
      </c>
    </row>
    <row r="6177" spans="1:38" x14ac:dyDescent="0.2">
      <c r="A6177" s="2" t="str">
        <f>HYPERLINK("https://www.compass.com/listing/111-murray-street-unit-17a-manhattan-ny-10007/223604449011047409/","111 Murray St, Unit 17A")</f>
        <v>111 Murray St, Unit 17A</v>
      </c>
      <c r="B6177" s="2" t="str">
        <f>HYPERLINK("https://www.compass.com/building/111-murray-st-manhattan-ny-10007/281896511862746053/","111 Murray St")</f>
        <v>111 Murray St</v>
      </c>
      <c r="C6177" s="1" t="s">
        <v>50</v>
      </c>
      <c r="D6177" s="1" t="s">
        <v>41</v>
      </c>
      <c r="E6177" s="3">
        <v>3920263</v>
      </c>
      <c r="F6177" s="1">
        <v>2460.93063402385</v>
      </c>
      <c r="M6177" s="4">
        <v>1593</v>
      </c>
      <c r="Q6177" s="1" t="s">
        <v>42</v>
      </c>
      <c r="S6177" s="1" t="s">
        <v>42</v>
      </c>
      <c r="T6177" s="1" t="s">
        <v>273</v>
      </c>
      <c r="AA6177" s="1">
        <v>3920262.5</v>
      </c>
      <c r="AB6177" s="1" t="s">
        <v>4450</v>
      </c>
      <c r="AC6177" s="5">
        <v>43549</v>
      </c>
      <c r="AF6177" s="1">
        <v>10007</v>
      </c>
      <c r="AI6177" s="1" t="s">
        <v>80</v>
      </c>
      <c r="AJ6177" s="1">
        <v>2018</v>
      </c>
      <c r="AK6177" s="1" t="s">
        <v>49</v>
      </c>
      <c r="AL6177" s="1">
        <v>157</v>
      </c>
    </row>
    <row r="6178" spans="1:38" x14ac:dyDescent="0.2">
      <c r="A6178" s="2" t="str">
        <f>HYPERLINK("https://www.compass.com/listing/252-south-street-unit-15c-manhattan-ny-10002/223606317305103329/","252 South St, Unit 15C")</f>
        <v>252 South St, Unit 15C</v>
      </c>
      <c r="B6178" s="2" t="str">
        <f>HYPERLINK("https://www.compass.com/building/one-manhattan-square-manhattan-ny/294844950218926165/","One Manhattan Square")</f>
        <v>One Manhattan Square</v>
      </c>
      <c r="C6178" s="1" t="s">
        <v>47</v>
      </c>
      <c r="D6178" s="1" t="s">
        <v>41</v>
      </c>
      <c r="E6178" s="3">
        <v>1282821</v>
      </c>
      <c r="F6178" s="1">
        <v>1845.7850071942401</v>
      </c>
      <c r="M6178" s="1">
        <v>695</v>
      </c>
      <c r="Q6178" s="1" t="s">
        <v>42</v>
      </c>
      <c r="S6178" s="1" t="s">
        <v>42</v>
      </c>
      <c r="T6178" s="1" t="s">
        <v>273</v>
      </c>
      <c r="AA6178" s="1">
        <v>1282820.58</v>
      </c>
      <c r="AB6178" s="1" t="s">
        <v>4451</v>
      </c>
      <c r="AC6178" s="5">
        <v>43552</v>
      </c>
      <c r="AF6178" s="1">
        <v>10002</v>
      </c>
      <c r="AI6178" s="1" t="s">
        <v>66</v>
      </c>
      <c r="AJ6178" s="1">
        <v>2019</v>
      </c>
      <c r="AK6178" s="1" t="s">
        <v>49</v>
      </c>
      <c r="AL6178" s="1">
        <v>787</v>
      </c>
    </row>
    <row r="6179" spans="1:38" x14ac:dyDescent="0.2">
      <c r="A6179" s="2" t="str">
        <f>HYPERLINK("https://www.compass.com/listing/15-hudson-yards-unit-25c-manhattan-ny-10001/22503163923807937/","15 Hudson Yards, Unit 25C")</f>
        <v>15 Hudson Yards, Unit 25C</v>
      </c>
      <c r="B6179" s="2" t="str">
        <f>HYPERLINK("https://www.compass.com/building/fifteen-hudson-yards-manhattan-ny/282058587512011909/","Fifteen Hudson Yards")</f>
        <v>Fifteen Hudson Yards</v>
      </c>
      <c r="C6179" s="1" t="s">
        <v>77</v>
      </c>
      <c r="D6179" s="1" t="s">
        <v>41</v>
      </c>
      <c r="E6179" s="3">
        <v>4529750</v>
      </c>
      <c r="F6179" s="1">
        <v>2720.57057057057</v>
      </c>
      <c r="G6179" s="1">
        <v>4</v>
      </c>
      <c r="H6179" s="1">
        <v>2</v>
      </c>
      <c r="I6179" s="1">
        <v>3</v>
      </c>
      <c r="J6179" s="1">
        <v>2.5</v>
      </c>
      <c r="K6179" s="1">
        <v>2</v>
      </c>
      <c r="L6179" s="1">
        <v>1</v>
      </c>
      <c r="M6179" s="4">
        <v>1665</v>
      </c>
      <c r="N6179" s="1">
        <v>3690</v>
      </c>
      <c r="O6179" s="1">
        <v>3741</v>
      </c>
      <c r="P6179" s="1">
        <v>51</v>
      </c>
      <c r="Q6179" s="1" t="s">
        <v>42</v>
      </c>
      <c r="S6179" s="1" t="s">
        <v>42</v>
      </c>
      <c r="T6179" s="1" t="s">
        <v>273</v>
      </c>
      <c r="U6179" s="1">
        <v>137</v>
      </c>
      <c r="V6179" s="5">
        <v>43760</v>
      </c>
      <c r="W6179" s="5">
        <v>42956</v>
      </c>
      <c r="X6179" s="1">
        <v>4525000</v>
      </c>
      <c r="Y6179" s="1">
        <v>4525000</v>
      </c>
      <c r="AA6179" s="1">
        <v>4529750</v>
      </c>
      <c r="AB6179" s="1" t="s">
        <v>275</v>
      </c>
      <c r="AC6179" s="5">
        <v>43734</v>
      </c>
      <c r="AF6179" s="1">
        <v>10001</v>
      </c>
      <c r="AJ6179" s="1">
        <v>2018</v>
      </c>
      <c r="AK6179" s="1" t="s">
        <v>46</v>
      </c>
      <c r="AL6179" s="1">
        <v>285</v>
      </c>
    </row>
    <row r="6180" spans="1:38" x14ac:dyDescent="0.2">
      <c r="A6180" s="2" t="str">
        <f>HYPERLINK("https://www.compass.com/listing/172-madison-avenue-unit-19b-manhattan-ny-10016/226027763151249809/","172 Madison Ave, Unit 19B")</f>
        <v>172 Madison Ave, Unit 19B</v>
      </c>
      <c r="B6180" s="2" t="str">
        <f>HYPERLINK("https://www.compass.com/building/172-madison-ave-manhattan-ny-10016/281937956250376981/","172 Madison Ave")</f>
        <v>172 Madison Ave</v>
      </c>
      <c r="C6180" s="1" t="s">
        <v>120</v>
      </c>
      <c r="D6180" s="1" t="s">
        <v>41</v>
      </c>
      <c r="E6180" s="3">
        <v>2341975</v>
      </c>
      <c r="F6180" s="1">
        <v>1573.9079301075201</v>
      </c>
      <c r="G6180" s="1">
        <v>4.5</v>
      </c>
      <c r="H6180" s="1">
        <v>2</v>
      </c>
      <c r="I6180" s="1">
        <v>3</v>
      </c>
      <c r="J6180" s="1">
        <v>2.5</v>
      </c>
      <c r="K6180" s="1">
        <v>2</v>
      </c>
      <c r="L6180" s="1">
        <v>1</v>
      </c>
      <c r="M6180" s="4">
        <v>1488</v>
      </c>
      <c r="N6180" s="1">
        <v>2004</v>
      </c>
      <c r="O6180" s="1">
        <v>4173</v>
      </c>
      <c r="P6180" s="1">
        <v>2169</v>
      </c>
      <c r="Q6180" s="1" t="s">
        <v>3154</v>
      </c>
      <c r="S6180" s="1" t="s">
        <v>100</v>
      </c>
      <c r="T6180" s="1" t="s">
        <v>273</v>
      </c>
      <c r="U6180" s="1">
        <v>267</v>
      </c>
      <c r="V6180" s="5">
        <v>44009</v>
      </c>
      <c r="W6180" s="5">
        <v>43564</v>
      </c>
      <c r="X6180" s="1">
        <v>2800000</v>
      </c>
      <c r="Y6180" s="1">
        <v>2575000</v>
      </c>
      <c r="Z6180" s="5">
        <v>43882</v>
      </c>
      <c r="AA6180" s="1">
        <v>2341975</v>
      </c>
      <c r="AB6180" s="1" t="s">
        <v>4452</v>
      </c>
      <c r="AC6180" s="5">
        <v>43966</v>
      </c>
      <c r="AF6180" s="1">
        <v>10016</v>
      </c>
      <c r="AJ6180" s="1">
        <v>2016</v>
      </c>
      <c r="AK6180" s="1" t="s">
        <v>46</v>
      </c>
      <c r="AL6180" s="1">
        <v>72</v>
      </c>
    </row>
    <row r="6181" spans="1:38" x14ac:dyDescent="0.2">
      <c r="A6181" s="2" t="str">
        <f>HYPERLINK("https://www.compass.com/listing/15-hudson-yards-unit-36b-manhattan-ny-10001/228061656029112305/","15 Hudson Yards, Unit 36B")</f>
        <v>15 Hudson Yards, Unit 36B</v>
      </c>
      <c r="B6181" s="2" t="str">
        <f t="shared" ref="B6181:B6186" si="1009">HYPERLINK("https://www.compass.com/building/fifteen-hudson-yards-manhattan-ny/282058587512011909/","Fifteen Hudson Yards")</f>
        <v>Fifteen Hudson Yards</v>
      </c>
      <c r="C6181" s="1" t="s">
        <v>77</v>
      </c>
      <c r="D6181" s="1" t="s">
        <v>41</v>
      </c>
      <c r="E6181" s="3">
        <v>2420000</v>
      </c>
      <c r="F6181" s="1">
        <v>2850.41224970553</v>
      </c>
      <c r="G6181" s="1">
        <v>3</v>
      </c>
      <c r="H6181" s="1">
        <v>1</v>
      </c>
      <c r="I6181" s="1">
        <v>1</v>
      </c>
      <c r="J6181" s="1">
        <v>1</v>
      </c>
      <c r="K6181" s="1">
        <v>1</v>
      </c>
      <c r="M6181" s="1">
        <v>849</v>
      </c>
      <c r="N6181" s="1">
        <v>1923</v>
      </c>
      <c r="O6181" s="1">
        <v>1950</v>
      </c>
      <c r="P6181" s="1">
        <v>27</v>
      </c>
      <c r="Q6181" s="1" t="s">
        <v>42</v>
      </c>
      <c r="S6181" s="1" t="s">
        <v>42</v>
      </c>
      <c r="T6181" s="1" t="s">
        <v>273</v>
      </c>
      <c r="U6181" s="1">
        <v>771</v>
      </c>
      <c r="V6181" s="5">
        <v>43567</v>
      </c>
      <c r="W6181" s="5">
        <v>42793</v>
      </c>
      <c r="X6181" s="1">
        <v>2420000</v>
      </c>
      <c r="Y6181" s="1">
        <v>2420000</v>
      </c>
      <c r="AA6181" s="1">
        <v>2420000</v>
      </c>
      <c r="AB6181" s="1" t="s">
        <v>275</v>
      </c>
      <c r="AC6181" s="5">
        <v>43565</v>
      </c>
      <c r="AF6181" s="1">
        <v>10001</v>
      </c>
      <c r="AJ6181" s="1">
        <v>2018</v>
      </c>
      <c r="AK6181" s="1" t="s">
        <v>46</v>
      </c>
      <c r="AL6181" s="1">
        <v>285</v>
      </c>
    </row>
    <row r="6182" spans="1:38" x14ac:dyDescent="0.2">
      <c r="A6182" s="2" t="str">
        <f>HYPERLINK("https://www.compass.com/listing/15-hudson-yards-unit-37f-manhattan-ny-10001/228061656305971809/","15 Hudson Yards, Unit 37F")</f>
        <v>15 Hudson Yards, Unit 37F</v>
      </c>
      <c r="B6182" s="2" t="str">
        <f t="shared" si="1009"/>
        <v>Fifteen Hudson Yards</v>
      </c>
      <c r="C6182" s="1" t="s">
        <v>77</v>
      </c>
      <c r="D6182" s="1" t="s">
        <v>41</v>
      </c>
      <c r="E6182" s="3">
        <v>2478750</v>
      </c>
      <c r="F6182" s="1">
        <v>2376.5580057526299</v>
      </c>
      <c r="G6182" s="1">
        <v>3</v>
      </c>
      <c r="H6182" s="1">
        <v>1</v>
      </c>
      <c r="I6182" s="1">
        <v>1</v>
      </c>
      <c r="J6182" s="1">
        <v>1</v>
      </c>
      <c r="K6182" s="1">
        <v>1</v>
      </c>
      <c r="M6182" s="4">
        <v>1043</v>
      </c>
      <c r="N6182" s="1">
        <v>2268</v>
      </c>
      <c r="O6182" s="1">
        <v>2300</v>
      </c>
      <c r="P6182" s="1">
        <v>32</v>
      </c>
      <c r="Q6182" s="1" t="s">
        <v>42</v>
      </c>
      <c r="S6182" s="1" t="s">
        <v>42</v>
      </c>
      <c r="T6182" s="1" t="s">
        <v>273</v>
      </c>
      <c r="U6182" s="1">
        <v>140</v>
      </c>
      <c r="V6182" s="5">
        <v>43671</v>
      </c>
      <c r="W6182" s="5">
        <v>43424</v>
      </c>
      <c r="X6182" s="1">
        <v>2475000</v>
      </c>
      <c r="Y6182" s="1">
        <v>2475000</v>
      </c>
      <c r="AA6182" s="1">
        <v>2478750</v>
      </c>
      <c r="AB6182" s="1" t="s">
        <v>275</v>
      </c>
      <c r="AC6182" s="5">
        <v>43565</v>
      </c>
      <c r="AF6182" s="1">
        <v>10001</v>
      </c>
      <c r="AJ6182" s="1">
        <v>2018</v>
      </c>
      <c r="AK6182" s="1" t="s">
        <v>46</v>
      </c>
      <c r="AL6182" s="1">
        <v>285</v>
      </c>
    </row>
    <row r="6183" spans="1:38" x14ac:dyDescent="0.2">
      <c r="A6183" s="2" t="str">
        <f>HYPERLINK("https://www.compass.com/listing/15-hudson-yards-unit-32f-manhattan-ny-10001/228885142985335777/","15 Hudson Yards, Unit 32F")</f>
        <v>15 Hudson Yards, Unit 32F</v>
      </c>
      <c r="B6183" s="2" t="str">
        <f t="shared" si="1009"/>
        <v>Fifteen Hudson Yards</v>
      </c>
      <c r="C6183" s="1" t="s">
        <v>77</v>
      </c>
      <c r="D6183" s="1" t="s">
        <v>41</v>
      </c>
      <c r="E6183" s="3">
        <v>2502606</v>
      </c>
      <c r="F6183" s="1">
        <v>2397.1321839080401</v>
      </c>
      <c r="G6183" s="1">
        <v>3</v>
      </c>
      <c r="H6183" s="1">
        <v>1</v>
      </c>
      <c r="I6183" s="1">
        <v>1</v>
      </c>
      <c r="J6183" s="1">
        <v>1</v>
      </c>
      <c r="K6183" s="1">
        <v>1</v>
      </c>
      <c r="M6183" s="4">
        <v>1044</v>
      </c>
      <c r="N6183" s="1">
        <v>2249</v>
      </c>
      <c r="O6183" s="1">
        <v>2280</v>
      </c>
      <c r="P6183" s="1">
        <v>31</v>
      </c>
      <c r="Q6183" s="1" t="s">
        <v>42</v>
      </c>
      <c r="S6183" s="1" t="s">
        <v>42</v>
      </c>
      <c r="T6183" s="1" t="s">
        <v>273</v>
      </c>
      <c r="U6183" s="1">
        <v>345</v>
      </c>
      <c r="V6183" s="5">
        <v>43678</v>
      </c>
      <c r="W6183" s="5">
        <v>43221</v>
      </c>
      <c r="X6183" s="1">
        <v>2425000</v>
      </c>
      <c r="Y6183" s="1">
        <v>2425000</v>
      </c>
      <c r="AA6183" s="1">
        <v>2502606</v>
      </c>
      <c r="AB6183" s="1" t="s">
        <v>275</v>
      </c>
      <c r="AC6183" s="5">
        <v>43566</v>
      </c>
      <c r="AF6183" s="1">
        <v>10001</v>
      </c>
      <c r="AJ6183" s="1">
        <v>2018</v>
      </c>
      <c r="AK6183" s="1" t="s">
        <v>46</v>
      </c>
      <c r="AL6183" s="1">
        <v>285</v>
      </c>
    </row>
    <row r="6184" spans="1:38" x14ac:dyDescent="0.2">
      <c r="A6184" s="2" t="str">
        <f>HYPERLINK("https://www.compass.com/listing/15-hudson-yards-unit-32h-manhattan-ny-10001/228885143589327185/","15 Hudson Yards, Unit 32H")</f>
        <v>15 Hudson Yards, Unit 32H</v>
      </c>
      <c r="B6184" s="2" t="str">
        <f t="shared" si="1009"/>
        <v>Fifteen Hudson Yards</v>
      </c>
      <c r="C6184" s="1" t="s">
        <v>77</v>
      </c>
      <c r="D6184" s="1" t="s">
        <v>41</v>
      </c>
      <c r="E6184" s="3">
        <v>6288775</v>
      </c>
      <c r="F6184" s="1">
        <v>2835.3358881875502</v>
      </c>
      <c r="G6184" s="1">
        <v>5</v>
      </c>
      <c r="H6184" s="1">
        <v>3</v>
      </c>
      <c r="I6184" s="1">
        <v>4</v>
      </c>
      <c r="J6184" s="1">
        <v>3.5</v>
      </c>
      <c r="K6184" s="1">
        <v>3</v>
      </c>
      <c r="L6184" s="1">
        <v>1</v>
      </c>
      <c r="M6184" s="4">
        <v>2218</v>
      </c>
      <c r="N6184" s="1">
        <v>4956</v>
      </c>
      <c r="O6184" s="1">
        <v>5025</v>
      </c>
      <c r="P6184" s="1">
        <v>69</v>
      </c>
      <c r="Q6184" s="1" t="s">
        <v>42</v>
      </c>
      <c r="S6184" s="1" t="s">
        <v>42</v>
      </c>
      <c r="T6184" s="1" t="s">
        <v>273</v>
      </c>
      <c r="U6184" s="1">
        <v>345</v>
      </c>
      <c r="V6184" s="5">
        <v>43678</v>
      </c>
      <c r="W6184" s="5">
        <v>43221</v>
      </c>
      <c r="X6184" s="1">
        <v>6100000</v>
      </c>
      <c r="Y6184" s="1">
        <v>6100000</v>
      </c>
      <c r="AA6184" s="1">
        <v>6288775</v>
      </c>
      <c r="AB6184" s="1" t="s">
        <v>275</v>
      </c>
      <c r="AC6184" s="5">
        <v>43566</v>
      </c>
      <c r="AF6184" s="1">
        <v>10001</v>
      </c>
      <c r="AJ6184" s="1">
        <v>2018</v>
      </c>
      <c r="AK6184" s="1" t="s">
        <v>46</v>
      </c>
      <c r="AL6184" s="1">
        <v>285</v>
      </c>
    </row>
    <row r="6185" spans="1:38" x14ac:dyDescent="0.2">
      <c r="A6185" s="2" t="str">
        <f>HYPERLINK("https://www.compass.com/listing/15-hudson-yards-unit-34b-manhattan-ny-10001/231639965182795473/","15 Hudson Yards, Unit 34B")</f>
        <v>15 Hudson Yards, Unit 34B</v>
      </c>
      <c r="B6185" s="2" t="str">
        <f t="shared" si="1009"/>
        <v>Fifteen Hudson Yards</v>
      </c>
      <c r="C6185" s="1" t="s">
        <v>77</v>
      </c>
      <c r="D6185" s="1" t="s">
        <v>41</v>
      </c>
      <c r="E6185" s="3">
        <v>2213852</v>
      </c>
      <c r="F6185" s="1">
        <v>2607.59952885747</v>
      </c>
      <c r="G6185" s="1">
        <v>3</v>
      </c>
      <c r="H6185" s="1">
        <v>1</v>
      </c>
      <c r="I6185" s="1">
        <v>1</v>
      </c>
      <c r="J6185" s="1">
        <v>1</v>
      </c>
      <c r="K6185" s="1">
        <v>1</v>
      </c>
      <c r="M6185" s="1">
        <v>849</v>
      </c>
      <c r="N6185" s="1">
        <v>1909</v>
      </c>
      <c r="O6185" s="1">
        <v>1936</v>
      </c>
      <c r="P6185" s="1">
        <v>27</v>
      </c>
      <c r="Q6185" s="1" t="s">
        <v>42</v>
      </c>
      <c r="S6185" s="1" t="s">
        <v>42</v>
      </c>
      <c r="T6185" s="1" t="s">
        <v>273</v>
      </c>
      <c r="U6185" s="1">
        <v>928</v>
      </c>
      <c r="V6185" s="5">
        <v>43594</v>
      </c>
      <c r="W6185" s="5">
        <v>42639</v>
      </c>
      <c r="X6185" s="1">
        <v>2170000</v>
      </c>
      <c r="Y6185" s="1">
        <v>2170000</v>
      </c>
      <c r="AA6185" s="1">
        <v>2213852</v>
      </c>
      <c r="AB6185" s="1" t="s">
        <v>275</v>
      </c>
      <c r="AC6185" s="5">
        <v>43567</v>
      </c>
      <c r="AF6185" s="1">
        <v>10001</v>
      </c>
      <c r="AJ6185" s="1">
        <v>2018</v>
      </c>
      <c r="AK6185" s="1" t="s">
        <v>46</v>
      </c>
      <c r="AL6185" s="1">
        <v>285</v>
      </c>
    </row>
    <row r="6186" spans="1:38" x14ac:dyDescent="0.2">
      <c r="A6186" s="2" t="str">
        <f>HYPERLINK("https://www.compass.com/listing/15-hudson-yards-unit-28j-manhattan-ny-10001/231647731423232033/","15 Hudson Yards, Unit 28J")</f>
        <v>15 Hudson Yards, Unit 28J</v>
      </c>
      <c r="B6186" s="2" t="str">
        <f t="shared" si="1009"/>
        <v>Fifteen Hudson Yards</v>
      </c>
      <c r="C6186" s="1" t="s">
        <v>77</v>
      </c>
      <c r="D6186" s="1" t="s">
        <v>41</v>
      </c>
      <c r="E6186" s="3">
        <v>2763707</v>
      </c>
      <c r="F6186" s="1">
        <v>2380.4539190353098</v>
      </c>
      <c r="G6186" s="1">
        <v>3</v>
      </c>
      <c r="H6186" s="1">
        <v>1</v>
      </c>
      <c r="I6186" s="1">
        <v>2</v>
      </c>
      <c r="J6186" s="1">
        <v>1.5</v>
      </c>
      <c r="K6186" s="1">
        <v>1</v>
      </c>
      <c r="L6186" s="1">
        <v>1</v>
      </c>
      <c r="M6186" s="4">
        <v>1161</v>
      </c>
      <c r="N6186" s="1">
        <v>2500</v>
      </c>
      <c r="O6186" s="1">
        <v>2535</v>
      </c>
      <c r="P6186" s="1">
        <v>35</v>
      </c>
      <c r="Q6186" s="1" t="s">
        <v>42</v>
      </c>
      <c r="S6186" s="1" t="s">
        <v>42</v>
      </c>
      <c r="T6186" s="1" t="s">
        <v>273</v>
      </c>
      <c r="U6186" s="1">
        <v>928</v>
      </c>
      <c r="V6186" s="5">
        <v>43678</v>
      </c>
      <c r="W6186" s="5">
        <v>42642</v>
      </c>
      <c r="X6186" s="1">
        <v>2710000</v>
      </c>
      <c r="Y6186" s="1">
        <v>2710000</v>
      </c>
      <c r="AA6186" s="1">
        <v>2763707</v>
      </c>
      <c r="AB6186" s="1" t="s">
        <v>275</v>
      </c>
      <c r="AC6186" s="5">
        <v>43570</v>
      </c>
      <c r="AF6186" s="1">
        <v>10001</v>
      </c>
      <c r="AJ6186" s="1">
        <v>2018</v>
      </c>
      <c r="AK6186" s="1" t="s">
        <v>46</v>
      </c>
      <c r="AL6186" s="1">
        <v>285</v>
      </c>
    </row>
    <row r="6187" spans="1:38" x14ac:dyDescent="0.2">
      <c r="A6187" s="2" t="str">
        <f>HYPERLINK("https://www.compass.com/listing/200-east-94th-street-unit-225-manhattan-ny-10128/232394976619717697/","200 E 94th St, Unit 225")</f>
        <v>200 E 94th St, Unit 225</v>
      </c>
      <c r="B6187" s="2" t="str">
        <f t="shared" ref="B6187:B6189" si="1010">HYPERLINK("https://www.compass.com/building/carnegie-park-condominium-manhattan-ny/282049797358118613/","Carnegie Park Condominium")</f>
        <v>Carnegie Park Condominium</v>
      </c>
      <c r="C6187" s="1" t="s">
        <v>82</v>
      </c>
      <c r="D6187" s="1" t="s">
        <v>41</v>
      </c>
      <c r="E6187" s="3">
        <v>989627</v>
      </c>
      <c r="F6187" s="1">
        <v>1401.73825779036</v>
      </c>
      <c r="H6187" s="1">
        <v>1</v>
      </c>
      <c r="J6187" s="1">
        <v>1</v>
      </c>
      <c r="K6187" s="1">
        <v>1</v>
      </c>
      <c r="M6187" s="1">
        <v>706</v>
      </c>
      <c r="N6187" s="1">
        <v>791</v>
      </c>
      <c r="O6187" s="1">
        <v>1646</v>
      </c>
      <c r="P6187" s="1">
        <v>855</v>
      </c>
      <c r="Q6187" s="1" t="s">
        <v>42</v>
      </c>
      <c r="S6187" s="1" t="s">
        <v>42</v>
      </c>
      <c r="T6187" s="1" t="s">
        <v>273</v>
      </c>
      <c r="AA6187" s="1">
        <v>989627.21</v>
      </c>
      <c r="AB6187" s="1" t="s">
        <v>4453</v>
      </c>
      <c r="AC6187" s="5">
        <v>43563</v>
      </c>
      <c r="AF6187" s="1">
        <v>10128</v>
      </c>
      <c r="AI6187" s="1" t="s">
        <v>163</v>
      </c>
      <c r="AJ6187" s="1">
        <v>1986</v>
      </c>
      <c r="AK6187" s="1" t="s">
        <v>55</v>
      </c>
      <c r="AL6187" s="1">
        <v>287</v>
      </c>
    </row>
    <row r="6188" spans="1:38" x14ac:dyDescent="0.2">
      <c r="A6188" s="2" t="str">
        <f>HYPERLINK("https://www.compass.com/listing/200-east-94th-street-unit-1714-manhattan-ny-10128/232395075731158353/","200 E 94th St, Unit 1714")</f>
        <v>200 E 94th St, Unit 1714</v>
      </c>
      <c r="B6188" s="2" t="str">
        <f t="shared" si="1010"/>
        <v>Carnegie Park Condominium</v>
      </c>
      <c r="C6188" s="1" t="s">
        <v>82</v>
      </c>
      <c r="D6188" s="1" t="s">
        <v>41</v>
      </c>
      <c r="E6188" s="3">
        <v>1828323</v>
      </c>
      <c r="F6188" s="1">
        <v>1716.7351079812199</v>
      </c>
      <c r="H6188" s="1">
        <v>2</v>
      </c>
      <c r="J6188" s="1">
        <v>2</v>
      </c>
      <c r="K6188" s="1">
        <v>2</v>
      </c>
      <c r="M6188" s="4">
        <v>1065</v>
      </c>
      <c r="N6188" s="1">
        <v>1224</v>
      </c>
      <c r="O6188" s="1">
        <v>2544</v>
      </c>
      <c r="P6188" s="1">
        <v>1320</v>
      </c>
      <c r="Q6188" s="1" t="s">
        <v>42</v>
      </c>
      <c r="S6188" s="1" t="s">
        <v>42</v>
      </c>
      <c r="T6188" s="1" t="s">
        <v>273</v>
      </c>
      <c r="AA6188" s="1">
        <v>1828322.89</v>
      </c>
      <c r="AB6188" s="1" t="s">
        <v>4454</v>
      </c>
      <c r="AC6188" s="5">
        <v>43559</v>
      </c>
      <c r="AF6188" s="1">
        <v>10128</v>
      </c>
      <c r="AI6188" s="1" t="s">
        <v>163</v>
      </c>
      <c r="AJ6188" s="1">
        <v>1986</v>
      </c>
      <c r="AK6188" s="1" t="s">
        <v>55</v>
      </c>
      <c r="AL6188" s="1">
        <v>287</v>
      </c>
    </row>
    <row r="6189" spans="1:38" x14ac:dyDescent="0.2">
      <c r="A6189" s="2" t="str">
        <f>HYPERLINK("https://www.compass.com/listing/200-east-94th-street-unit-1817-manhattan-ny-10128/232395077417286785/","200 E 94th St, Unit 1817")</f>
        <v>200 E 94th St, Unit 1817</v>
      </c>
      <c r="B6189" s="2" t="str">
        <f t="shared" si="1010"/>
        <v>Carnegie Park Condominium</v>
      </c>
      <c r="C6189" s="1" t="s">
        <v>82</v>
      </c>
      <c r="D6189" s="1" t="s">
        <v>41</v>
      </c>
      <c r="E6189" s="3">
        <v>3693877</v>
      </c>
      <c r="F6189" s="1">
        <v>1964.82836702127</v>
      </c>
      <c r="H6189" s="1">
        <v>4</v>
      </c>
      <c r="J6189" s="1">
        <v>3</v>
      </c>
      <c r="M6189" s="4">
        <v>1880</v>
      </c>
      <c r="N6189" s="1">
        <v>1963</v>
      </c>
      <c r="O6189" s="1">
        <v>4049</v>
      </c>
      <c r="P6189" s="1">
        <v>2086</v>
      </c>
      <c r="Q6189" s="1" t="s">
        <v>42</v>
      </c>
      <c r="S6189" s="1" t="s">
        <v>42</v>
      </c>
      <c r="T6189" s="1" t="s">
        <v>273</v>
      </c>
      <c r="AA6189" s="1">
        <v>3693877.33</v>
      </c>
      <c r="AB6189" s="1" t="s">
        <v>4455</v>
      </c>
      <c r="AC6189" s="5">
        <v>43558</v>
      </c>
      <c r="AF6189" s="1">
        <v>10128</v>
      </c>
      <c r="AI6189" s="1" t="s">
        <v>163</v>
      </c>
      <c r="AJ6189" s="1">
        <v>1986</v>
      </c>
      <c r="AK6189" s="1" t="s">
        <v>55</v>
      </c>
      <c r="AL6189" s="1">
        <v>287</v>
      </c>
    </row>
    <row r="6190" spans="1:38" x14ac:dyDescent="0.2">
      <c r="A6190" s="2" t="str">
        <f>HYPERLINK("https://www.compass.com/listing/111-murray-street-unit-50w-manhattan-ny-10007/233072068021808369/","111 Murray St, Unit 50W")</f>
        <v>111 Murray St, Unit 50W</v>
      </c>
      <c r="B6190" s="2" t="str">
        <f>HYPERLINK("https://www.compass.com/building/111-murray-st-manhattan-ny-10007/281896511862746053/","111 Murray St")</f>
        <v>111 Murray St</v>
      </c>
      <c r="C6190" s="1" t="s">
        <v>50</v>
      </c>
      <c r="D6190" s="1" t="s">
        <v>41</v>
      </c>
      <c r="E6190" s="3">
        <v>12200000</v>
      </c>
      <c r="F6190" s="1">
        <v>3742.3312883435501</v>
      </c>
      <c r="M6190" s="4">
        <v>3260</v>
      </c>
      <c r="Q6190" s="1" t="s">
        <v>42</v>
      </c>
      <c r="S6190" s="1" t="s">
        <v>42</v>
      </c>
      <c r="T6190" s="1" t="s">
        <v>273</v>
      </c>
      <c r="AA6190" s="1">
        <v>12200000</v>
      </c>
      <c r="AB6190" s="1" t="s">
        <v>4456</v>
      </c>
      <c r="AC6190" s="5">
        <v>43560</v>
      </c>
      <c r="AF6190" s="1">
        <v>10007</v>
      </c>
      <c r="AI6190" s="1" t="s">
        <v>80</v>
      </c>
      <c r="AJ6190" s="1">
        <v>2018</v>
      </c>
      <c r="AK6190" s="1" t="s">
        <v>49</v>
      </c>
      <c r="AL6190" s="1">
        <v>157</v>
      </c>
    </row>
    <row r="6191" spans="1:38" x14ac:dyDescent="0.2">
      <c r="A6191" s="2" t="str">
        <f>HYPERLINK("https://www.compass.com/listing/21-east-12th-street-unit-3a-manhattan-ny-10003/233083147552668657/","21 E 12th St, Unit 3A")</f>
        <v>21 E 12th St, Unit 3A</v>
      </c>
      <c r="B6191" s="2" t="str">
        <f>HYPERLINK("https://www.compass.com/building/21-east-12th-street-manhattan-ny/292779727154847925/","21 East 12th Street")</f>
        <v>21 East 12th Street</v>
      </c>
      <c r="C6191" s="1" t="s">
        <v>277</v>
      </c>
      <c r="D6191" s="1" t="s">
        <v>41</v>
      </c>
      <c r="E6191" s="3">
        <v>23278631</v>
      </c>
      <c r="F6191" s="1">
        <v>3501.0724454805199</v>
      </c>
      <c r="M6191" s="4">
        <v>6649</v>
      </c>
      <c r="Q6191" s="1" t="s">
        <v>42</v>
      </c>
      <c r="S6191" s="1" t="s">
        <v>42</v>
      </c>
      <c r="T6191" s="1" t="s">
        <v>273</v>
      </c>
      <c r="AA6191" s="1">
        <v>23278630.690000001</v>
      </c>
      <c r="AB6191" s="1" t="s">
        <v>4457</v>
      </c>
      <c r="AC6191" s="5">
        <v>43563</v>
      </c>
      <c r="AF6191" s="1">
        <v>10003</v>
      </c>
      <c r="AI6191" s="1" t="s">
        <v>80</v>
      </c>
      <c r="AJ6191" s="1">
        <v>2018</v>
      </c>
      <c r="AK6191" s="1" t="s">
        <v>202</v>
      </c>
      <c r="AL6191" s="1">
        <v>52</v>
      </c>
    </row>
    <row r="6192" spans="1:38" x14ac:dyDescent="0.2">
      <c r="A6192" s="2" t="str">
        <f>HYPERLINK("https://www.compass.com/listing/15-hudson-yards-unit-30e-manhattan-ny-10001/233175839372594193/","15 Hudson Yards, Unit 30E")</f>
        <v>15 Hudson Yards, Unit 30E</v>
      </c>
      <c r="B6192" s="2" t="str">
        <f t="shared" ref="B6192:B6198" si="1011">HYPERLINK("https://www.compass.com/building/fifteen-hudson-yards-manhattan-ny/282058587512011909/","Fifteen Hudson Yards")</f>
        <v>Fifteen Hudson Yards</v>
      </c>
      <c r="C6192" s="1" t="s">
        <v>77</v>
      </c>
      <c r="D6192" s="1" t="s">
        <v>41</v>
      </c>
      <c r="E6192" s="3">
        <v>2340000</v>
      </c>
      <c r="F6192" s="1">
        <v>2361.2512613521599</v>
      </c>
      <c r="G6192" s="1">
        <v>3</v>
      </c>
      <c r="H6192" s="1">
        <v>1</v>
      </c>
      <c r="I6192" s="1">
        <v>2</v>
      </c>
      <c r="J6192" s="1">
        <v>1.5</v>
      </c>
      <c r="K6192" s="1">
        <v>1</v>
      </c>
      <c r="L6192" s="1">
        <v>1</v>
      </c>
      <c r="M6192" s="1">
        <v>991</v>
      </c>
      <c r="N6192" s="1">
        <v>2158</v>
      </c>
      <c r="O6192" s="1">
        <v>2188</v>
      </c>
      <c r="P6192" s="1">
        <v>30</v>
      </c>
      <c r="Q6192" s="1" t="s">
        <v>42</v>
      </c>
      <c r="S6192" s="1" t="s">
        <v>42</v>
      </c>
      <c r="T6192" s="1" t="s">
        <v>273</v>
      </c>
      <c r="U6192" s="1">
        <v>930</v>
      </c>
      <c r="V6192" s="5">
        <v>43574</v>
      </c>
      <c r="W6192" s="5">
        <v>42642</v>
      </c>
      <c r="X6192" s="1">
        <v>2340000</v>
      </c>
      <c r="Y6192" s="1">
        <v>2340000</v>
      </c>
      <c r="AA6192" s="1">
        <v>2340000</v>
      </c>
      <c r="AB6192" s="1" t="s">
        <v>275</v>
      </c>
      <c r="AC6192" s="5">
        <v>43572</v>
      </c>
      <c r="AF6192" s="1">
        <v>10001</v>
      </c>
      <c r="AJ6192" s="1">
        <v>2018</v>
      </c>
      <c r="AK6192" s="1" t="s">
        <v>46</v>
      </c>
      <c r="AL6192" s="1">
        <v>285</v>
      </c>
    </row>
    <row r="6193" spans="1:38" x14ac:dyDescent="0.2">
      <c r="A6193" s="2" t="str">
        <f>HYPERLINK("https://www.compass.com/listing/15-hudson-yards-unit-34e-manhattan-ny-10001/233175839624234321/","15 Hudson Yards, Unit 34E")</f>
        <v>15 Hudson Yards, Unit 34E</v>
      </c>
      <c r="B6193" s="2" t="str">
        <f t="shared" si="1011"/>
        <v>Fifteen Hudson Yards</v>
      </c>
      <c r="C6193" s="1" t="s">
        <v>77</v>
      </c>
      <c r="D6193" s="1" t="s">
        <v>41</v>
      </c>
      <c r="E6193" s="3">
        <v>2448550</v>
      </c>
      <c r="F6193" s="1">
        <v>2483.3164300202802</v>
      </c>
      <c r="G6193" s="1">
        <v>3</v>
      </c>
      <c r="H6193" s="1">
        <v>1</v>
      </c>
      <c r="I6193" s="1">
        <v>2</v>
      </c>
      <c r="J6193" s="1">
        <v>1.5</v>
      </c>
      <c r="K6193" s="1">
        <v>1</v>
      </c>
      <c r="L6193" s="1">
        <v>1</v>
      </c>
      <c r="M6193" s="1">
        <v>986</v>
      </c>
      <c r="N6193" s="1">
        <v>2167</v>
      </c>
      <c r="O6193" s="1">
        <v>2197</v>
      </c>
      <c r="P6193" s="1">
        <v>30</v>
      </c>
      <c r="Q6193" s="1" t="s">
        <v>42</v>
      </c>
      <c r="S6193" s="1" t="s">
        <v>42</v>
      </c>
      <c r="T6193" s="1" t="s">
        <v>273</v>
      </c>
      <c r="U6193" s="1">
        <v>926</v>
      </c>
      <c r="V6193" s="5">
        <v>43678</v>
      </c>
      <c r="W6193" s="5">
        <v>42646</v>
      </c>
      <c r="X6193" s="1">
        <v>2400000</v>
      </c>
      <c r="Y6193" s="1">
        <v>2400000</v>
      </c>
      <c r="AA6193" s="1">
        <v>2448550</v>
      </c>
      <c r="AB6193" s="1" t="s">
        <v>275</v>
      </c>
      <c r="AC6193" s="5">
        <v>43572</v>
      </c>
      <c r="AF6193" s="1">
        <v>10001</v>
      </c>
      <c r="AJ6193" s="1">
        <v>2018</v>
      </c>
      <c r="AK6193" s="1" t="s">
        <v>46</v>
      </c>
      <c r="AL6193" s="1">
        <v>285</v>
      </c>
    </row>
    <row r="6194" spans="1:38" x14ac:dyDescent="0.2">
      <c r="A6194" s="2" t="str">
        <f>HYPERLINK("https://www.compass.com/listing/15-hudson-yards-unit-34j-manhattan-ny-10001/233882772157062337/","15 Hudson Yards, Unit 34J")</f>
        <v>15 Hudson Yards, Unit 34J</v>
      </c>
      <c r="B6194" s="2" t="str">
        <f t="shared" si="1011"/>
        <v>Fifteen Hudson Yards</v>
      </c>
      <c r="C6194" s="1" t="s">
        <v>77</v>
      </c>
      <c r="D6194" s="1" t="s">
        <v>41</v>
      </c>
      <c r="E6194" s="3">
        <v>2931712</v>
      </c>
      <c r="F6194" s="1">
        <v>2542.6816999132602</v>
      </c>
      <c r="G6194" s="1">
        <v>3</v>
      </c>
      <c r="H6194" s="1">
        <v>1</v>
      </c>
      <c r="I6194" s="1">
        <v>2</v>
      </c>
      <c r="J6194" s="1">
        <v>1.5</v>
      </c>
      <c r="K6194" s="1">
        <v>1</v>
      </c>
      <c r="L6194" s="1">
        <v>1</v>
      </c>
      <c r="M6194" s="4">
        <v>1153</v>
      </c>
      <c r="N6194" s="1">
        <v>2520</v>
      </c>
      <c r="O6194" s="1">
        <v>2555</v>
      </c>
      <c r="P6194" s="1">
        <v>35</v>
      </c>
      <c r="Q6194" s="1" t="s">
        <v>42</v>
      </c>
      <c r="S6194" s="1" t="s">
        <v>42</v>
      </c>
      <c r="T6194" s="1" t="s">
        <v>273</v>
      </c>
      <c r="U6194" s="1">
        <v>449</v>
      </c>
      <c r="V6194" s="5">
        <v>43685</v>
      </c>
      <c r="W6194" s="5">
        <v>43123</v>
      </c>
      <c r="X6194" s="1">
        <v>2900000</v>
      </c>
      <c r="Y6194" s="1">
        <v>2900000</v>
      </c>
      <c r="AA6194" s="1">
        <v>2931712</v>
      </c>
      <c r="AB6194" s="1" t="s">
        <v>275</v>
      </c>
      <c r="AC6194" s="5">
        <v>43573</v>
      </c>
      <c r="AF6194" s="1">
        <v>10001</v>
      </c>
      <c r="AJ6194" s="1">
        <v>2018</v>
      </c>
      <c r="AK6194" s="1" t="s">
        <v>46</v>
      </c>
      <c r="AL6194" s="1">
        <v>285</v>
      </c>
    </row>
    <row r="6195" spans="1:38" x14ac:dyDescent="0.2">
      <c r="A6195" s="2" t="str">
        <f>HYPERLINK("https://www.compass.com/listing/15-hudson-yards-unit-38j-manhattan-ny-10001/236202593372627681/","15 Hudson Yards, Unit 38J")</f>
        <v>15 Hudson Yards, Unit 38J</v>
      </c>
      <c r="B6195" s="2" t="str">
        <f t="shared" si="1011"/>
        <v>Fifteen Hudson Yards</v>
      </c>
      <c r="C6195" s="1" t="s">
        <v>77</v>
      </c>
      <c r="D6195" s="1" t="s">
        <v>41</v>
      </c>
      <c r="E6195" s="3">
        <v>2960000</v>
      </c>
      <c r="F6195" s="1">
        <v>2585.15283842794</v>
      </c>
      <c r="G6195" s="1">
        <v>3</v>
      </c>
      <c r="H6195" s="1">
        <v>1</v>
      </c>
      <c r="I6195" s="1">
        <v>2</v>
      </c>
      <c r="J6195" s="1">
        <v>1.5</v>
      </c>
      <c r="K6195" s="1">
        <v>1</v>
      </c>
      <c r="L6195" s="1">
        <v>1</v>
      </c>
      <c r="M6195" s="4">
        <v>1145</v>
      </c>
      <c r="N6195" s="1">
        <v>2524</v>
      </c>
      <c r="O6195" s="1">
        <v>2559</v>
      </c>
      <c r="P6195" s="1">
        <v>35</v>
      </c>
      <c r="Q6195" s="1" t="s">
        <v>42</v>
      </c>
      <c r="S6195" s="1" t="s">
        <v>42</v>
      </c>
      <c r="T6195" s="1" t="s">
        <v>273</v>
      </c>
      <c r="U6195" s="1">
        <v>505</v>
      </c>
      <c r="V6195" s="5">
        <v>43578</v>
      </c>
      <c r="W6195" s="5">
        <v>43068</v>
      </c>
      <c r="X6195" s="1">
        <v>2960000</v>
      </c>
      <c r="Y6195" s="1">
        <v>2960000</v>
      </c>
      <c r="AA6195" s="1">
        <v>2960000</v>
      </c>
      <c r="AB6195" s="1" t="s">
        <v>275</v>
      </c>
      <c r="AC6195" s="5">
        <v>43574</v>
      </c>
      <c r="AF6195" s="1">
        <v>10001</v>
      </c>
      <c r="AJ6195" s="1">
        <v>2018</v>
      </c>
      <c r="AK6195" s="1" t="s">
        <v>46</v>
      </c>
      <c r="AL6195" s="1">
        <v>285</v>
      </c>
    </row>
    <row r="6196" spans="1:38" x14ac:dyDescent="0.2">
      <c r="A6196" s="2" t="str">
        <f>HYPERLINK("https://www.compass.com/listing/15-hudson-yards-unit-38d-manhattan-ny-10001/238234778480977729/","15 Hudson Yards, Unit 38D")</f>
        <v>15 Hudson Yards, Unit 38D</v>
      </c>
      <c r="B6196" s="2" t="str">
        <f t="shared" si="1011"/>
        <v>Fifteen Hudson Yards</v>
      </c>
      <c r="C6196" s="1" t="s">
        <v>77</v>
      </c>
      <c r="D6196" s="1" t="s">
        <v>41</v>
      </c>
      <c r="E6196" s="3">
        <v>3935000</v>
      </c>
      <c r="F6196" s="1">
        <v>2527.2960822093701</v>
      </c>
      <c r="G6196" s="1">
        <v>4</v>
      </c>
      <c r="H6196" s="1">
        <v>2</v>
      </c>
      <c r="I6196" s="1">
        <v>3</v>
      </c>
      <c r="J6196" s="1">
        <v>2.5</v>
      </c>
      <c r="K6196" s="1">
        <v>2</v>
      </c>
      <c r="L6196" s="1">
        <v>1</v>
      </c>
      <c r="M6196" s="4">
        <v>1557</v>
      </c>
      <c r="N6196" s="1">
        <v>3390</v>
      </c>
      <c r="O6196" s="1">
        <v>3437</v>
      </c>
      <c r="P6196" s="1">
        <v>47</v>
      </c>
      <c r="Q6196" s="1" t="s">
        <v>42</v>
      </c>
      <c r="S6196" s="1" t="s">
        <v>42</v>
      </c>
      <c r="T6196" s="1" t="s">
        <v>273</v>
      </c>
      <c r="U6196" s="1">
        <v>461</v>
      </c>
      <c r="V6196" s="5">
        <v>43581</v>
      </c>
      <c r="W6196" s="5">
        <v>43117</v>
      </c>
      <c r="X6196" s="1">
        <v>3935000</v>
      </c>
      <c r="Y6196" s="1">
        <v>3935000</v>
      </c>
      <c r="AA6196" s="1">
        <v>3935000</v>
      </c>
      <c r="AB6196" s="1" t="s">
        <v>275</v>
      </c>
      <c r="AC6196" s="5">
        <v>43579</v>
      </c>
      <c r="AF6196" s="1">
        <v>10001</v>
      </c>
      <c r="AJ6196" s="1">
        <v>2018</v>
      </c>
      <c r="AK6196" s="1" t="s">
        <v>46</v>
      </c>
      <c r="AL6196" s="1">
        <v>285</v>
      </c>
    </row>
    <row r="6197" spans="1:38" x14ac:dyDescent="0.2">
      <c r="A6197" s="2" t="str">
        <f>HYPERLINK("https://www.compass.com/listing/15-hudson-yards-unit-34f-manhattan-ny-10001/238234778783026049/","15 Hudson Yards, Unit 34F")</f>
        <v>15 Hudson Yards, Unit 34F</v>
      </c>
      <c r="B6197" s="2" t="str">
        <f t="shared" si="1011"/>
        <v>Fifteen Hudson Yards</v>
      </c>
      <c r="C6197" s="1" t="s">
        <v>77</v>
      </c>
      <c r="D6197" s="1" t="s">
        <v>41</v>
      </c>
      <c r="E6197" s="3">
        <v>2445000</v>
      </c>
      <c r="F6197" s="1">
        <v>2341.9540229885001</v>
      </c>
      <c r="G6197" s="1">
        <v>2</v>
      </c>
      <c r="H6197" s="1" t="s">
        <v>99</v>
      </c>
      <c r="I6197" s="1">
        <v>1</v>
      </c>
      <c r="J6197" s="1">
        <v>1</v>
      </c>
      <c r="K6197" s="1">
        <v>1</v>
      </c>
      <c r="M6197" s="4">
        <v>1044</v>
      </c>
      <c r="N6197" s="1">
        <v>2257</v>
      </c>
      <c r="O6197" s="1">
        <v>2288</v>
      </c>
      <c r="P6197" s="1">
        <v>31</v>
      </c>
      <c r="Q6197" s="1" t="s">
        <v>42</v>
      </c>
      <c r="S6197" s="1" t="s">
        <v>42</v>
      </c>
      <c r="T6197" s="1" t="s">
        <v>273</v>
      </c>
      <c r="U6197" s="1">
        <v>435</v>
      </c>
      <c r="V6197" s="5">
        <v>43581</v>
      </c>
      <c r="W6197" s="5">
        <v>43143</v>
      </c>
      <c r="X6197" s="1">
        <v>2445000</v>
      </c>
      <c r="Y6197" s="1">
        <v>2445000</v>
      </c>
      <c r="AA6197" s="1">
        <v>2445000</v>
      </c>
      <c r="AB6197" s="1" t="s">
        <v>275</v>
      </c>
      <c r="AC6197" s="5">
        <v>43579</v>
      </c>
      <c r="AF6197" s="1">
        <v>10001</v>
      </c>
      <c r="AJ6197" s="1">
        <v>2018</v>
      </c>
      <c r="AK6197" s="1" t="s">
        <v>46</v>
      </c>
      <c r="AL6197" s="1">
        <v>285</v>
      </c>
    </row>
    <row r="6198" spans="1:38" x14ac:dyDescent="0.2">
      <c r="A6198" s="2" t="str">
        <f>HYPERLINK("https://www.compass.com/listing/15-hudson-yards-unit-37e-manhattan-ny-10001/239122148227046737/","15 Hudson Yards, Unit 37E")</f>
        <v>15 Hudson Yards, Unit 37E</v>
      </c>
      <c r="B6198" s="2" t="str">
        <f t="shared" si="1011"/>
        <v>Fifteen Hudson Yards</v>
      </c>
      <c r="C6198" s="1" t="s">
        <v>77</v>
      </c>
      <c r="D6198" s="1" t="s">
        <v>41</v>
      </c>
      <c r="E6198" s="3">
        <v>2445000</v>
      </c>
      <c r="F6198" s="1">
        <v>2489.8167006109902</v>
      </c>
      <c r="G6198" s="1">
        <v>3</v>
      </c>
      <c r="H6198" s="1">
        <v>1</v>
      </c>
      <c r="I6198" s="1">
        <v>2</v>
      </c>
      <c r="J6198" s="1">
        <v>1.5</v>
      </c>
      <c r="K6198" s="1">
        <v>1</v>
      </c>
      <c r="L6198" s="1">
        <v>1</v>
      </c>
      <c r="M6198" s="1">
        <v>982</v>
      </c>
      <c r="N6198" s="1">
        <v>2174</v>
      </c>
      <c r="O6198" s="1">
        <v>2204</v>
      </c>
      <c r="P6198" s="1">
        <v>30</v>
      </c>
      <c r="Q6198" s="1" t="s">
        <v>42</v>
      </c>
      <c r="S6198" s="1" t="s">
        <v>42</v>
      </c>
      <c r="T6198" s="1" t="s">
        <v>273</v>
      </c>
      <c r="U6198" s="1">
        <v>921</v>
      </c>
      <c r="V6198" s="5">
        <v>43582</v>
      </c>
      <c r="W6198" s="5">
        <v>42660</v>
      </c>
      <c r="X6198" s="1">
        <v>2445000</v>
      </c>
      <c r="Y6198" s="1">
        <v>2445000</v>
      </c>
      <c r="AA6198" s="1">
        <v>2445000</v>
      </c>
      <c r="AB6198" s="1" t="s">
        <v>275</v>
      </c>
      <c r="AC6198" s="5">
        <v>43581</v>
      </c>
      <c r="AF6198" s="1">
        <v>10001</v>
      </c>
      <c r="AJ6198" s="1">
        <v>2018</v>
      </c>
      <c r="AK6198" s="1" t="s">
        <v>46</v>
      </c>
      <c r="AL6198" s="1">
        <v>285</v>
      </c>
    </row>
    <row r="6199" spans="1:38" x14ac:dyDescent="0.2">
      <c r="A6199" s="2" t="str">
        <f>HYPERLINK("https://www.compass.com/listing/111-murray-street-unit-45w-manhattan-ny-10007/239389908685340177/","111 Murray St, Unit 45W")</f>
        <v>111 Murray St, Unit 45W</v>
      </c>
      <c r="B6199" s="2" t="str">
        <f>HYPERLINK("https://www.compass.com/building/111-murray-st-manhattan-ny-10007/281896511862746053/","111 Murray St")</f>
        <v>111 Murray St</v>
      </c>
      <c r="C6199" s="1" t="s">
        <v>50</v>
      </c>
      <c r="D6199" s="1" t="s">
        <v>41</v>
      </c>
      <c r="E6199" s="3">
        <v>12040000</v>
      </c>
      <c r="F6199" s="1">
        <v>3761.3245860668499</v>
      </c>
      <c r="M6199" s="4">
        <v>3201</v>
      </c>
      <c r="Q6199" s="1" t="s">
        <v>42</v>
      </c>
      <c r="S6199" s="1" t="s">
        <v>42</v>
      </c>
      <c r="T6199" s="1" t="s">
        <v>273</v>
      </c>
      <c r="AA6199" s="1">
        <v>12040000</v>
      </c>
      <c r="AB6199" s="1" t="s">
        <v>4458</v>
      </c>
      <c r="AC6199" s="5">
        <v>43573</v>
      </c>
      <c r="AF6199" s="1">
        <v>10007</v>
      </c>
      <c r="AI6199" s="1" t="s">
        <v>80</v>
      </c>
      <c r="AJ6199" s="1">
        <v>2018</v>
      </c>
      <c r="AK6199" s="1" t="s">
        <v>49</v>
      </c>
      <c r="AL6199" s="1">
        <v>157</v>
      </c>
    </row>
    <row r="6200" spans="1:38" x14ac:dyDescent="0.2">
      <c r="A6200" s="2" t="str">
        <f>HYPERLINK("https://www.compass.com/listing/252-south-street-unit-20c-manhattan-ny-10002/239392789434046385/","252 South St, Unit 20C")</f>
        <v>252 South St, Unit 20C</v>
      </c>
      <c r="B6200" s="2" t="str">
        <f>HYPERLINK("https://www.compass.com/building/one-manhattan-square-manhattan-ny/294844950218926165/","One Manhattan Square")</f>
        <v>One Manhattan Square</v>
      </c>
      <c r="C6200" s="1" t="s">
        <v>47</v>
      </c>
      <c r="D6200" s="1" t="s">
        <v>41</v>
      </c>
      <c r="E6200" s="3">
        <v>1431791</v>
      </c>
      <c r="F6200" s="1">
        <v>2060.13143884892</v>
      </c>
      <c r="M6200" s="1">
        <v>695</v>
      </c>
      <c r="Q6200" s="1" t="s">
        <v>42</v>
      </c>
      <c r="S6200" s="1" t="s">
        <v>42</v>
      </c>
      <c r="T6200" s="1" t="s">
        <v>273</v>
      </c>
      <c r="AA6200" s="1">
        <v>1431791.35</v>
      </c>
      <c r="AB6200" s="1" t="s">
        <v>4459</v>
      </c>
      <c r="AC6200" s="5">
        <v>43573</v>
      </c>
      <c r="AF6200" s="1">
        <v>10002</v>
      </c>
      <c r="AI6200" s="1" t="s">
        <v>66</v>
      </c>
      <c r="AJ6200" s="1">
        <v>2019</v>
      </c>
      <c r="AK6200" s="1" t="s">
        <v>49</v>
      </c>
      <c r="AL6200" s="1">
        <v>787</v>
      </c>
    </row>
    <row r="6201" spans="1:38" x14ac:dyDescent="0.2">
      <c r="A6201" s="2" t="str">
        <f>HYPERLINK("https://www.compass.com/listing/15-hudson-yards-unit-65c-manhattan-ny-10001/242027911689883265/","15 Hudson Yards, Unit 65C")</f>
        <v>15 Hudson Yards, Unit 65C</v>
      </c>
      <c r="B6201" s="2" t="str">
        <f t="shared" ref="B6201:B6213" si="1012">HYPERLINK("https://www.compass.com/building/fifteen-hudson-yards-manhattan-ny/282058587512011909/","Fifteen Hudson Yards")</f>
        <v>Fifteen Hudson Yards</v>
      </c>
      <c r="C6201" s="1" t="s">
        <v>77</v>
      </c>
      <c r="D6201" s="1" t="s">
        <v>41</v>
      </c>
      <c r="E6201" s="3">
        <v>4835000</v>
      </c>
      <c r="F6201" s="1">
        <v>2554.14685684099</v>
      </c>
      <c r="G6201" s="1">
        <v>4</v>
      </c>
      <c r="H6201" s="1">
        <v>2</v>
      </c>
      <c r="I6201" s="1">
        <v>3</v>
      </c>
      <c r="J6201" s="1">
        <v>2.5</v>
      </c>
      <c r="K6201" s="1">
        <v>2</v>
      </c>
      <c r="L6201" s="1">
        <v>1</v>
      </c>
      <c r="M6201" s="4">
        <v>1893</v>
      </c>
      <c r="N6201" s="1">
        <v>4081</v>
      </c>
      <c r="O6201" s="1">
        <v>4138</v>
      </c>
      <c r="P6201" s="1">
        <v>57</v>
      </c>
      <c r="Q6201" s="1" t="s">
        <v>42</v>
      </c>
      <c r="S6201" s="1" t="s">
        <v>42</v>
      </c>
      <c r="T6201" s="1" t="s">
        <v>273</v>
      </c>
      <c r="U6201" s="1">
        <v>937</v>
      </c>
      <c r="V6201" s="5">
        <v>43586</v>
      </c>
      <c r="W6201" s="5">
        <v>42648</v>
      </c>
      <c r="X6201" s="1">
        <v>4835000</v>
      </c>
      <c r="Y6201" s="1">
        <v>4835000</v>
      </c>
      <c r="AA6201" s="1">
        <v>4835000</v>
      </c>
      <c r="AB6201" s="1" t="s">
        <v>275</v>
      </c>
      <c r="AC6201" s="5">
        <v>43585</v>
      </c>
      <c r="AF6201" s="1">
        <v>10001</v>
      </c>
      <c r="AJ6201" s="1">
        <v>2018</v>
      </c>
      <c r="AK6201" s="1" t="s">
        <v>46</v>
      </c>
      <c r="AL6201" s="1">
        <v>285</v>
      </c>
    </row>
    <row r="6202" spans="1:38" x14ac:dyDescent="0.2">
      <c r="A6202" s="2" t="str">
        <f>HYPERLINK("https://www.compass.com/listing/15-hudson-yards-unit-30d-manhattan-ny-10001/246930269754475137/","15 Hudson Yards, Unit 30D")</f>
        <v>15 Hudson Yards, Unit 30D</v>
      </c>
      <c r="B6202" s="2" t="str">
        <f t="shared" si="1012"/>
        <v>Fifteen Hudson Yards</v>
      </c>
      <c r="C6202" s="1" t="s">
        <v>77</v>
      </c>
      <c r="D6202" s="1" t="s">
        <v>41</v>
      </c>
      <c r="E6202" s="3">
        <v>3815000</v>
      </c>
      <c r="F6202" s="1">
        <v>2428.3895607893</v>
      </c>
      <c r="G6202" s="1">
        <v>4</v>
      </c>
      <c r="H6202" s="1">
        <v>2</v>
      </c>
      <c r="I6202" s="1">
        <v>3</v>
      </c>
      <c r="J6202" s="1">
        <v>2.5</v>
      </c>
      <c r="K6202" s="1">
        <v>2</v>
      </c>
      <c r="L6202" s="1">
        <v>1</v>
      </c>
      <c r="M6202" s="4">
        <v>1571</v>
      </c>
      <c r="N6202" s="1">
        <v>3380</v>
      </c>
      <c r="O6202" s="1">
        <v>3427</v>
      </c>
      <c r="P6202" s="1">
        <v>47</v>
      </c>
      <c r="Q6202" s="1" t="s">
        <v>42</v>
      </c>
      <c r="S6202" s="1" t="s">
        <v>42</v>
      </c>
      <c r="T6202" s="1" t="s">
        <v>273</v>
      </c>
      <c r="U6202" s="1">
        <v>553</v>
      </c>
      <c r="V6202" s="5">
        <v>43593</v>
      </c>
      <c r="W6202" s="5">
        <v>43034</v>
      </c>
      <c r="X6202" s="1">
        <v>3815000</v>
      </c>
      <c r="Y6202" s="1">
        <v>3815000</v>
      </c>
      <c r="AA6202" s="1">
        <v>3815000</v>
      </c>
      <c r="AB6202" s="1" t="s">
        <v>275</v>
      </c>
      <c r="AC6202" s="5">
        <v>43587</v>
      </c>
      <c r="AF6202" s="1">
        <v>10001</v>
      </c>
      <c r="AJ6202" s="1">
        <v>2018</v>
      </c>
      <c r="AK6202" s="1" t="s">
        <v>46</v>
      </c>
      <c r="AL6202" s="1">
        <v>285</v>
      </c>
    </row>
    <row r="6203" spans="1:38" x14ac:dyDescent="0.2">
      <c r="A6203" s="2" t="str">
        <f>HYPERLINK("https://www.compass.com/listing/15-hudson-yards-unit-36j-manhattan-ny-10001/246930270408744001/","15 Hudson Yards, Unit 36J")</f>
        <v>15 Hudson Yards, Unit 36J</v>
      </c>
      <c r="B6203" s="2" t="str">
        <f t="shared" si="1012"/>
        <v>Fifteen Hudson Yards</v>
      </c>
      <c r="C6203" s="1" t="s">
        <v>77</v>
      </c>
      <c r="D6203" s="1" t="s">
        <v>41</v>
      </c>
      <c r="E6203" s="3">
        <v>2930000</v>
      </c>
      <c r="F6203" s="1">
        <v>2550.04351610095</v>
      </c>
      <c r="G6203" s="1">
        <v>3</v>
      </c>
      <c r="H6203" s="1">
        <v>1</v>
      </c>
      <c r="I6203" s="1">
        <v>2</v>
      </c>
      <c r="J6203" s="1">
        <v>1.5</v>
      </c>
      <c r="K6203" s="1">
        <v>1</v>
      </c>
      <c r="L6203" s="1">
        <v>1</v>
      </c>
      <c r="M6203" s="4">
        <v>1149</v>
      </c>
      <c r="N6203" s="1">
        <v>2522</v>
      </c>
      <c r="O6203" s="1">
        <v>2557</v>
      </c>
      <c r="P6203" s="1">
        <v>35</v>
      </c>
      <c r="Q6203" s="1" t="s">
        <v>42</v>
      </c>
      <c r="S6203" s="1" t="s">
        <v>42</v>
      </c>
      <c r="T6203" s="1" t="s">
        <v>273</v>
      </c>
      <c r="U6203" s="1">
        <v>611</v>
      </c>
      <c r="V6203" s="5">
        <v>43593</v>
      </c>
      <c r="W6203" s="5">
        <v>42977</v>
      </c>
      <c r="X6203" s="1">
        <v>2930000</v>
      </c>
      <c r="Y6203" s="1">
        <v>2930000</v>
      </c>
      <c r="AA6203" s="1">
        <v>2930000</v>
      </c>
      <c r="AB6203" s="1" t="s">
        <v>275</v>
      </c>
      <c r="AC6203" s="5">
        <v>43588</v>
      </c>
      <c r="AF6203" s="1">
        <v>10001</v>
      </c>
      <c r="AJ6203" s="1">
        <v>2018</v>
      </c>
      <c r="AK6203" s="1" t="s">
        <v>46</v>
      </c>
      <c r="AL6203" s="1">
        <v>285</v>
      </c>
    </row>
    <row r="6204" spans="1:38" x14ac:dyDescent="0.2">
      <c r="A6204" s="2" t="str">
        <f>HYPERLINK("https://www.compass.com/listing/15-hudson-yards-unit-66a-manhattan-ny-10001/248331968176040129/","15 Hudson Yards, Unit 66A")</f>
        <v>15 Hudson Yards, Unit 66A</v>
      </c>
      <c r="B6204" s="2" t="str">
        <f t="shared" si="1012"/>
        <v>Fifteen Hudson Yards</v>
      </c>
      <c r="C6204" s="1" t="s">
        <v>77</v>
      </c>
      <c r="D6204" s="1" t="s">
        <v>41</v>
      </c>
      <c r="E6204" s="3">
        <v>6935000</v>
      </c>
      <c r="F6204" s="1">
        <v>3340.5587668593398</v>
      </c>
      <c r="G6204" s="1">
        <v>4</v>
      </c>
      <c r="H6204" s="1">
        <v>2</v>
      </c>
      <c r="I6204" s="1">
        <v>3</v>
      </c>
      <c r="J6204" s="1">
        <v>2.5</v>
      </c>
      <c r="K6204" s="1">
        <v>2</v>
      </c>
      <c r="L6204" s="1">
        <v>1</v>
      </c>
      <c r="M6204" s="4">
        <v>2076</v>
      </c>
      <c r="N6204" s="1">
        <v>4835</v>
      </c>
      <c r="O6204" s="1">
        <v>4902</v>
      </c>
      <c r="P6204" s="1">
        <v>67</v>
      </c>
      <c r="Q6204" s="1" t="s">
        <v>42</v>
      </c>
      <c r="S6204" s="1" t="s">
        <v>42</v>
      </c>
      <c r="T6204" s="1" t="s">
        <v>273</v>
      </c>
      <c r="U6204" s="1">
        <v>938</v>
      </c>
      <c r="V6204" s="5">
        <v>43595</v>
      </c>
      <c r="W6204" s="5">
        <v>42655</v>
      </c>
      <c r="X6204" s="1">
        <v>6935000</v>
      </c>
      <c r="Y6204" s="1">
        <v>6935000</v>
      </c>
      <c r="AA6204" s="1">
        <v>6935000</v>
      </c>
      <c r="AB6204" s="1" t="s">
        <v>275</v>
      </c>
      <c r="AC6204" s="5">
        <v>43593</v>
      </c>
      <c r="AF6204" s="1">
        <v>10001</v>
      </c>
      <c r="AJ6204" s="1">
        <v>2018</v>
      </c>
      <c r="AK6204" s="1" t="s">
        <v>49</v>
      </c>
      <c r="AL6204" s="1">
        <v>285</v>
      </c>
    </row>
    <row r="6205" spans="1:38" x14ac:dyDescent="0.2">
      <c r="A6205" s="2" t="str">
        <f>HYPERLINK("https://www.compass.com/listing/15-hudson-yards-unit-38a-manhattan-ny-10001/252835495745183473/","15 Hudson Yards, Unit 38A")</f>
        <v>15 Hudson Yards, Unit 38A</v>
      </c>
      <c r="B6205" s="2" t="str">
        <f t="shared" si="1012"/>
        <v>Fifteen Hudson Yards</v>
      </c>
      <c r="C6205" s="1" t="s">
        <v>77</v>
      </c>
      <c r="D6205" s="1" t="s">
        <v>41</v>
      </c>
      <c r="E6205" s="3">
        <v>5170000</v>
      </c>
      <c r="F6205" s="1">
        <v>2917.6072234762901</v>
      </c>
      <c r="G6205" s="1">
        <v>4</v>
      </c>
      <c r="H6205" s="1">
        <v>2</v>
      </c>
      <c r="I6205" s="1">
        <v>3</v>
      </c>
      <c r="J6205" s="1">
        <v>2.5</v>
      </c>
      <c r="K6205" s="1">
        <v>2</v>
      </c>
      <c r="L6205" s="1">
        <v>1</v>
      </c>
      <c r="M6205" s="4">
        <v>1772</v>
      </c>
      <c r="N6205" s="1">
        <v>4000</v>
      </c>
      <c r="O6205" s="1">
        <v>4056</v>
      </c>
      <c r="P6205" s="1">
        <v>56</v>
      </c>
      <c r="Q6205" s="1" t="s">
        <v>42</v>
      </c>
      <c r="S6205" s="1" t="s">
        <v>42</v>
      </c>
      <c r="T6205" s="1" t="s">
        <v>273</v>
      </c>
      <c r="U6205" s="1">
        <v>698</v>
      </c>
      <c r="V6205" s="5">
        <v>43601</v>
      </c>
      <c r="W6205" s="5">
        <v>42900</v>
      </c>
      <c r="X6205" s="1">
        <v>5170000</v>
      </c>
      <c r="Y6205" s="1">
        <v>5170000</v>
      </c>
      <c r="AA6205" s="1">
        <v>5170000</v>
      </c>
      <c r="AB6205" s="1" t="s">
        <v>275</v>
      </c>
      <c r="AC6205" s="5">
        <v>43598</v>
      </c>
      <c r="AF6205" s="1">
        <v>10001</v>
      </c>
      <c r="AJ6205" s="1">
        <v>2018</v>
      </c>
      <c r="AK6205" s="1" t="s">
        <v>46</v>
      </c>
      <c r="AL6205" s="1">
        <v>285</v>
      </c>
    </row>
    <row r="6206" spans="1:38" x14ac:dyDescent="0.2">
      <c r="A6206" s="2" t="str">
        <f>HYPERLINK("https://www.compass.com/listing/15-hudson-yards-unit-29d-manhattan-ny-10001/254320206799760881/","15 Hudson Yards, Unit 29D")</f>
        <v>15 Hudson Yards, Unit 29D</v>
      </c>
      <c r="B6206" s="2" t="str">
        <f t="shared" si="1012"/>
        <v>Fifteen Hudson Yards</v>
      </c>
      <c r="C6206" s="1" t="s">
        <v>77</v>
      </c>
      <c r="D6206" s="1" t="s">
        <v>41</v>
      </c>
      <c r="E6206" s="3">
        <v>3800000</v>
      </c>
      <c r="F6206" s="1">
        <v>2418.84150222788</v>
      </c>
      <c r="G6206" s="1">
        <v>4</v>
      </c>
      <c r="H6206" s="1">
        <v>2</v>
      </c>
      <c r="I6206" s="1">
        <v>3</v>
      </c>
      <c r="J6206" s="1">
        <v>2.5</v>
      </c>
      <c r="K6206" s="1">
        <v>2</v>
      </c>
      <c r="L6206" s="1">
        <v>1</v>
      </c>
      <c r="M6206" s="4">
        <v>1571</v>
      </c>
      <c r="N6206" s="1">
        <v>3366</v>
      </c>
      <c r="O6206" s="1">
        <v>3413</v>
      </c>
      <c r="P6206" s="1">
        <v>47</v>
      </c>
      <c r="Q6206" s="1" t="s">
        <v>42</v>
      </c>
      <c r="S6206" s="1" t="s">
        <v>42</v>
      </c>
      <c r="T6206" s="1" t="s">
        <v>273</v>
      </c>
      <c r="U6206" s="1">
        <v>725</v>
      </c>
      <c r="V6206" s="5">
        <v>43603</v>
      </c>
      <c r="W6206" s="5">
        <v>42877</v>
      </c>
      <c r="X6206" s="1">
        <v>3800000</v>
      </c>
      <c r="Y6206" s="1">
        <v>3800000</v>
      </c>
      <c r="AA6206" s="1">
        <v>3800000</v>
      </c>
      <c r="AB6206" s="1" t="s">
        <v>275</v>
      </c>
      <c r="AC6206" s="5">
        <v>43602</v>
      </c>
      <c r="AF6206" s="1">
        <v>10001</v>
      </c>
      <c r="AJ6206" s="1">
        <v>2018</v>
      </c>
      <c r="AK6206" s="1" t="s">
        <v>49</v>
      </c>
      <c r="AL6206" s="1">
        <v>285</v>
      </c>
    </row>
    <row r="6207" spans="1:38" x14ac:dyDescent="0.2">
      <c r="A6207" s="2" t="str">
        <f>HYPERLINK("https://www.compass.com/listing/15-hudson-yards-unit-67a-manhattan-ny-10001/254320207185661409/","15 Hudson Yards, Unit 67A")</f>
        <v>15 Hudson Yards, Unit 67A</v>
      </c>
      <c r="B6207" s="2" t="str">
        <f t="shared" si="1012"/>
        <v>Fifteen Hudson Yards</v>
      </c>
      <c r="C6207" s="1" t="s">
        <v>77</v>
      </c>
      <c r="D6207" s="1" t="s">
        <v>41</v>
      </c>
      <c r="E6207" s="3">
        <v>6955000</v>
      </c>
      <c r="F6207" s="1">
        <v>3356.6602316602298</v>
      </c>
      <c r="G6207" s="1">
        <v>4</v>
      </c>
      <c r="H6207" s="1">
        <v>2</v>
      </c>
      <c r="I6207" s="1">
        <v>3</v>
      </c>
      <c r="J6207" s="1">
        <v>2.5</v>
      </c>
      <c r="K6207" s="1">
        <v>2</v>
      </c>
      <c r="L6207" s="1">
        <v>1</v>
      </c>
      <c r="M6207" s="4">
        <v>2072</v>
      </c>
      <c r="N6207" s="1">
        <v>4834</v>
      </c>
      <c r="O6207" s="1">
        <v>4901</v>
      </c>
      <c r="P6207" s="1">
        <v>67</v>
      </c>
      <c r="Q6207" s="1" t="s">
        <v>42</v>
      </c>
      <c r="S6207" s="1" t="s">
        <v>42</v>
      </c>
      <c r="T6207" s="1" t="s">
        <v>273</v>
      </c>
      <c r="U6207" s="1">
        <v>610</v>
      </c>
      <c r="V6207" s="5">
        <v>43603</v>
      </c>
      <c r="W6207" s="5">
        <v>42992</v>
      </c>
      <c r="X6207" s="1">
        <v>6955000</v>
      </c>
      <c r="Y6207" s="1">
        <v>6955000</v>
      </c>
      <c r="AA6207" s="1">
        <v>6955000</v>
      </c>
      <c r="AB6207" s="1" t="s">
        <v>275</v>
      </c>
      <c r="AC6207" s="5">
        <v>43602</v>
      </c>
      <c r="AF6207" s="1">
        <v>10001</v>
      </c>
      <c r="AJ6207" s="1">
        <v>2018</v>
      </c>
      <c r="AK6207" s="1" t="s">
        <v>49</v>
      </c>
      <c r="AL6207" s="1">
        <v>285</v>
      </c>
    </row>
    <row r="6208" spans="1:38" x14ac:dyDescent="0.2">
      <c r="A6208" s="2" t="str">
        <f>HYPERLINK("https://www.compass.com/listing/15-hudson-yards-unit-67f-manhattan-ny-10001/254338535404971233/","15 Hudson Yards, Unit 67F")</f>
        <v>15 Hudson Yards, Unit 67F</v>
      </c>
      <c r="B6208" s="2" t="str">
        <f t="shared" si="1012"/>
        <v>Fifteen Hudson Yards</v>
      </c>
      <c r="C6208" s="1" t="s">
        <v>77</v>
      </c>
      <c r="D6208" s="1" t="s">
        <v>41</v>
      </c>
      <c r="E6208" s="3">
        <v>4930000</v>
      </c>
      <c r="F6208" s="1">
        <v>2723.7569060773399</v>
      </c>
      <c r="G6208" s="1">
        <v>4</v>
      </c>
      <c r="H6208" s="1">
        <v>2</v>
      </c>
      <c r="I6208" s="1">
        <v>3</v>
      </c>
      <c r="J6208" s="1">
        <v>2.5</v>
      </c>
      <c r="K6208" s="1">
        <v>2</v>
      </c>
      <c r="L6208" s="1">
        <v>1</v>
      </c>
      <c r="M6208" s="4">
        <v>1810</v>
      </c>
      <c r="N6208" s="1">
        <v>3985</v>
      </c>
      <c r="O6208" s="1">
        <v>4040</v>
      </c>
      <c r="P6208" s="1">
        <v>55</v>
      </c>
      <c r="Q6208" s="1" t="s">
        <v>42</v>
      </c>
      <c r="S6208" s="1" t="s">
        <v>42</v>
      </c>
      <c r="T6208" s="1" t="s">
        <v>273</v>
      </c>
      <c r="U6208" s="1">
        <v>855</v>
      </c>
      <c r="V6208" s="5">
        <v>43603</v>
      </c>
      <c r="W6208" s="5">
        <v>42745</v>
      </c>
      <c r="AA6208" s="1">
        <v>4930000</v>
      </c>
      <c r="AB6208" s="1" t="s">
        <v>275</v>
      </c>
      <c r="AC6208" s="5">
        <v>43601</v>
      </c>
      <c r="AF6208" s="1">
        <v>10001</v>
      </c>
      <c r="AJ6208" s="1">
        <v>2018</v>
      </c>
      <c r="AK6208" s="1" t="s">
        <v>49</v>
      </c>
      <c r="AL6208" s="1">
        <v>285</v>
      </c>
    </row>
    <row r="6209" spans="1:38" x14ac:dyDescent="0.2">
      <c r="A6209" s="2" t="str">
        <f>HYPERLINK("https://www.compass.com/listing/15-hudson-yards-unit-38b-manhattan-ny-10001/264266320038663313/","15 Hudson Yards, Unit 38B")</f>
        <v>15 Hudson Yards, Unit 38B</v>
      </c>
      <c r="B6209" s="2" t="str">
        <f t="shared" si="1012"/>
        <v>Fifteen Hudson Yards</v>
      </c>
      <c r="C6209" s="1" t="s">
        <v>77</v>
      </c>
      <c r="D6209" s="1" t="s">
        <v>41</v>
      </c>
      <c r="E6209" s="3">
        <v>2270000</v>
      </c>
      <c r="F6209" s="1">
        <v>2676.8867924528299</v>
      </c>
      <c r="G6209" s="1">
        <v>3</v>
      </c>
      <c r="H6209" s="1">
        <v>1</v>
      </c>
      <c r="I6209" s="1">
        <v>1</v>
      </c>
      <c r="J6209" s="1">
        <v>1</v>
      </c>
      <c r="K6209" s="1">
        <v>1</v>
      </c>
      <c r="M6209" s="1">
        <v>848</v>
      </c>
      <c r="N6209" s="1">
        <v>1935</v>
      </c>
      <c r="O6209" s="1">
        <v>1962</v>
      </c>
      <c r="P6209" s="1">
        <v>27</v>
      </c>
      <c r="Q6209" s="1" t="s">
        <v>42</v>
      </c>
      <c r="S6209" s="1" t="s">
        <v>42</v>
      </c>
      <c r="T6209" s="1" t="s">
        <v>273</v>
      </c>
      <c r="U6209" s="1">
        <v>973</v>
      </c>
      <c r="V6209" s="5">
        <v>43617</v>
      </c>
      <c r="W6209" s="5">
        <v>42642</v>
      </c>
      <c r="AA6209" s="1">
        <v>2270000</v>
      </c>
      <c r="AB6209" s="1" t="s">
        <v>275</v>
      </c>
      <c r="AC6209" s="5">
        <v>43615</v>
      </c>
      <c r="AF6209" s="1">
        <v>10001</v>
      </c>
      <c r="AJ6209" s="1">
        <v>2018</v>
      </c>
      <c r="AK6209" s="1" t="s">
        <v>46</v>
      </c>
      <c r="AL6209" s="1">
        <v>285</v>
      </c>
    </row>
    <row r="6210" spans="1:38" x14ac:dyDescent="0.2">
      <c r="A6210" s="2" t="str">
        <f>HYPERLINK("https://www.compass.com/listing/15-hudson-yards-unit-35e-manhattan-ny-10001/264283118838490673/","15 Hudson Yards, Unit 35E")</f>
        <v>15 Hudson Yards, Unit 35E</v>
      </c>
      <c r="B6210" s="2" t="str">
        <f t="shared" si="1012"/>
        <v>Fifteen Hudson Yards</v>
      </c>
      <c r="C6210" s="1" t="s">
        <v>77</v>
      </c>
      <c r="D6210" s="1" t="s">
        <v>41</v>
      </c>
      <c r="E6210" s="3">
        <v>2415000</v>
      </c>
      <c r="F6210" s="1">
        <v>2454.2682926829202</v>
      </c>
      <c r="G6210" s="1">
        <v>3</v>
      </c>
      <c r="H6210" s="1">
        <v>1</v>
      </c>
      <c r="I6210" s="1">
        <v>2</v>
      </c>
      <c r="J6210" s="1">
        <v>1.5</v>
      </c>
      <c r="K6210" s="1">
        <v>1</v>
      </c>
      <c r="L6210" s="1">
        <v>1</v>
      </c>
      <c r="M6210" s="1">
        <v>984</v>
      </c>
      <c r="N6210" s="1">
        <v>2169</v>
      </c>
      <c r="O6210" s="1">
        <v>2199</v>
      </c>
      <c r="P6210" s="1">
        <v>30</v>
      </c>
      <c r="Q6210" s="1" t="s">
        <v>42</v>
      </c>
      <c r="S6210" s="1" t="s">
        <v>42</v>
      </c>
      <c r="T6210" s="1" t="s">
        <v>273</v>
      </c>
      <c r="U6210" s="1">
        <v>960</v>
      </c>
      <c r="V6210" s="5">
        <v>43617</v>
      </c>
      <c r="W6210" s="5">
        <v>42655</v>
      </c>
      <c r="AA6210" s="1">
        <v>2415000</v>
      </c>
      <c r="AB6210" s="1" t="s">
        <v>275</v>
      </c>
      <c r="AC6210" s="5">
        <v>43615</v>
      </c>
      <c r="AF6210" s="1">
        <v>10001</v>
      </c>
      <c r="AJ6210" s="1">
        <v>2018</v>
      </c>
      <c r="AK6210" s="1" t="s">
        <v>46</v>
      </c>
      <c r="AL6210" s="1">
        <v>285</v>
      </c>
    </row>
    <row r="6211" spans="1:38" x14ac:dyDescent="0.2">
      <c r="A6211" s="2" t="str">
        <f>HYPERLINK("https://www.compass.com/listing/15-hudson-yards-unit-63f-manhattan-ny-10001/264283120390443937/","15 Hudson Yards, Unit 63F")</f>
        <v>15 Hudson Yards, Unit 63F</v>
      </c>
      <c r="B6211" s="2" t="str">
        <f t="shared" si="1012"/>
        <v>Fifteen Hudson Yards</v>
      </c>
      <c r="C6211" s="1" t="s">
        <v>77</v>
      </c>
      <c r="D6211" s="1" t="s">
        <v>41</v>
      </c>
      <c r="E6211" s="3">
        <v>4850000</v>
      </c>
      <c r="F6211" s="1">
        <v>2637.30288200108</v>
      </c>
      <c r="G6211" s="1">
        <v>4</v>
      </c>
      <c r="H6211" s="1">
        <v>2</v>
      </c>
      <c r="I6211" s="1">
        <v>3</v>
      </c>
      <c r="J6211" s="1">
        <v>2.5</v>
      </c>
      <c r="K6211" s="1">
        <v>2</v>
      </c>
      <c r="L6211" s="1">
        <v>1</v>
      </c>
      <c r="M6211" s="4">
        <v>1839</v>
      </c>
      <c r="N6211" s="1">
        <v>4007</v>
      </c>
      <c r="O6211" s="1">
        <v>4063</v>
      </c>
      <c r="P6211" s="1">
        <v>56</v>
      </c>
      <c r="Q6211" s="1" t="s">
        <v>42</v>
      </c>
      <c r="S6211" s="1" t="s">
        <v>42</v>
      </c>
      <c r="T6211" s="1" t="s">
        <v>273</v>
      </c>
      <c r="U6211" s="1">
        <v>972</v>
      </c>
      <c r="V6211" s="5">
        <v>43617</v>
      </c>
      <c r="W6211" s="5">
        <v>42642</v>
      </c>
      <c r="AA6211" s="1">
        <v>4850000</v>
      </c>
      <c r="AB6211" s="1" t="s">
        <v>275</v>
      </c>
      <c r="AC6211" s="5">
        <v>43614</v>
      </c>
      <c r="AF6211" s="1">
        <v>10001</v>
      </c>
      <c r="AJ6211" s="1">
        <v>2018</v>
      </c>
      <c r="AK6211" s="1" t="s">
        <v>46</v>
      </c>
      <c r="AL6211" s="1">
        <v>285</v>
      </c>
    </row>
    <row r="6212" spans="1:38" x14ac:dyDescent="0.2">
      <c r="A6212" s="2" t="str">
        <f>HYPERLINK("https://www.compass.com/listing/15-hudson-yards-unit-38e-manhattan-ny-10001/266456952379321617/","15 Hudson Yards, Unit 38E")</f>
        <v>15 Hudson Yards, Unit 38E</v>
      </c>
      <c r="B6212" s="2" t="str">
        <f t="shared" si="1012"/>
        <v>Fifteen Hudson Yards</v>
      </c>
      <c r="C6212" s="1" t="s">
        <v>77</v>
      </c>
      <c r="D6212" s="1" t="s">
        <v>41</v>
      </c>
      <c r="E6212" s="3">
        <v>2610000</v>
      </c>
      <c r="F6212" s="1">
        <v>2665.98569969356</v>
      </c>
      <c r="G6212" s="1">
        <v>3</v>
      </c>
      <c r="H6212" s="1">
        <v>1</v>
      </c>
      <c r="I6212" s="1">
        <v>2</v>
      </c>
      <c r="J6212" s="1">
        <v>1.5</v>
      </c>
      <c r="K6212" s="1">
        <v>1</v>
      </c>
      <c r="L6212" s="1">
        <v>1</v>
      </c>
      <c r="M6212" s="1">
        <v>979</v>
      </c>
      <c r="N6212" s="1">
        <v>2180</v>
      </c>
      <c r="O6212" s="1">
        <v>2210</v>
      </c>
      <c r="P6212" s="1">
        <v>30</v>
      </c>
      <c r="Q6212" s="1" t="s">
        <v>42</v>
      </c>
      <c r="S6212" s="1" t="s">
        <v>42</v>
      </c>
      <c r="T6212" s="1" t="s">
        <v>273</v>
      </c>
      <c r="U6212" s="1">
        <v>627</v>
      </c>
      <c r="V6212" s="5">
        <v>43620</v>
      </c>
      <c r="W6212" s="5">
        <v>42989</v>
      </c>
      <c r="AA6212" s="1">
        <v>2610000</v>
      </c>
      <c r="AB6212" s="1" t="s">
        <v>275</v>
      </c>
      <c r="AC6212" s="5">
        <v>43616</v>
      </c>
      <c r="AF6212" s="1">
        <v>10001</v>
      </c>
      <c r="AJ6212" s="1">
        <v>2018</v>
      </c>
      <c r="AK6212" s="1" t="s">
        <v>46</v>
      </c>
      <c r="AL6212" s="1">
        <v>285</v>
      </c>
    </row>
    <row r="6213" spans="1:38" x14ac:dyDescent="0.2">
      <c r="A6213" s="2" t="str">
        <f>HYPERLINK("https://www.compass.com/listing/15-hudson-yards-unit-64f-manhattan-ny-10001/266456952631052817/","15 Hudson Yards, Unit 64F")</f>
        <v>15 Hudson Yards, Unit 64F</v>
      </c>
      <c r="B6213" s="2" t="str">
        <f t="shared" si="1012"/>
        <v>Fifteen Hudson Yards</v>
      </c>
      <c r="C6213" s="1" t="s">
        <v>77</v>
      </c>
      <c r="D6213" s="1" t="s">
        <v>41</v>
      </c>
      <c r="E6213" s="3">
        <v>4870000</v>
      </c>
      <c r="F6213" s="1">
        <v>2656.84669939989</v>
      </c>
      <c r="G6213" s="1">
        <v>4</v>
      </c>
      <c r="H6213" s="1">
        <v>2</v>
      </c>
      <c r="I6213" s="1">
        <v>3</v>
      </c>
      <c r="J6213" s="1">
        <v>2.5</v>
      </c>
      <c r="K6213" s="1">
        <v>2</v>
      </c>
      <c r="L6213" s="1">
        <v>1</v>
      </c>
      <c r="M6213" s="4">
        <v>1833</v>
      </c>
      <c r="N6213" s="1">
        <v>4015</v>
      </c>
      <c r="O6213" s="1">
        <v>4071</v>
      </c>
      <c r="P6213" s="1">
        <v>56</v>
      </c>
      <c r="Q6213" s="1" t="s">
        <v>42</v>
      </c>
      <c r="S6213" s="1" t="s">
        <v>42</v>
      </c>
      <c r="T6213" s="1" t="s">
        <v>273</v>
      </c>
      <c r="U6213" s="1">
        <v>627</v>
      </c>
      <c r="V6213" s="5">
        <v>43620</v>
      </c>
      <c r="W6213" s="5">
        <v>42989</v>
      </c>
      <c r="AA6213" s="1">
        <v>4870000</v>
      </c>
      <c r="AB6213" s="1" t="s">
        <v>275</v>
      </c>
      <c r="AC6213" s="5">
        <v>43616</v>
      </c>
      <c r="AF6213" s="1">
        <v>10001</v>
      </c>
      <c r="AJ6213" s="1">
        <v>2018</v>
      </c>
      <c r="AK6213" s="1" t="s">
        <v>46</v>
      </c>
      <c r="AL6213" s="1">
        <v>285</v>
      </c>
    </row>
    <row r="6214" spans="1:38" x14ac:dyDescent="0.2">
      <c r="A6214" s="2" t="str">
        <f>HYPERLINK("https://www.compass.com/listing/160-leroy-street-unit-n11c-manhattan-ny-10014/272185600646424001/","160 Leroy St, Unit N11C")</f>
        <v>160 Leroy St, Unit N11C</v>
      </c>
      <c r="B6214" s="2" t="str">
        <f>HYPERLINK("https://www.compass.com/building/160-leroy-st-manhattan-ny-10014/293418469918017093/","160 Leroy St")</f>
        <v>160 Leroy St</v>
      </c>
      <c r="C6214" s="1" t="s">
        <v>67</v>
      </c>
      <c r="D6214" s="1" t="s">
        <v>41</v>
      </c>
      <c r="E6214" s="3">
        <v>5145413</v>
      </c>
      <c r="F6214" s="1">
        <v>2977.6692708333298</v>
      </c>
      <c r="G6214" s="1">
        <v>4</v>
      </c>
      <c r="H6214" s="1">
        <v>2</v>
      </c>
      <c r="I6214" s="1">
        <v>2</v>
      </c>
      <c r="J6214" s="1">
        <v>2.5</v>
      </c>
      <c r="K6214" s="1">
        <v>2</v>
      </c>
      <c r="L6214" s="1">
        <v>1</v>
      </c>
      <c r="M6214" s="4">
        <v>1728</v>
      </c>
      <c r="N6214" s="1">
        <v>2509</v>
      </c>
      <c r="O6214" s="1">
        <v>4945</v>
      </c>
      <c r="P6214" s="1">
        <v>2436</v>
      </c>
      <c r="Q6214" s="1" t="s">
        <v>42</v>
      </c>
      <c r="S6214" s="1" t="s">
        <v>42</v>
      </c>
      <c r="T6214" s="1" t="s">
        <v>273</v>
      </c>
      <c r="U6214" s="1">
        <v>415</v>
      </c>
      <c r="V6214" s="5">
        <v>43302</v>
      </c>
      <c r="W6214" s="5">
        <v>42382</v>
      </c>
      <c r="X6214" s="1">
        <v>5050000</v>
      </c>
      <c r="Y6214" s="1">
        <v>5050000</v>
      </c>
      <c r="Z6214" s="5">
        <v>42798</v>
      </c>
      <c r="AA6214" s="1">
        <v>5145412.5</v>
      </c>
      <c r="AB6214" s="1" t="s">
        <v>4460</v>
      </c>
      <c r="AC6214" s="5">
        <v>43301</v>
      </c>
      <c r="AF6214" s="1">
        <v>10014</v>
      </c>
      <c r="AI6214" s="1" t="s">
        <v>65</v>
      </c>
      <c r="AJ6214" s="1">
        <v>2017</v>
      </c>
      <c r="AK6214" s="1" t="s">
        <v>49</v>
      </c>
      <c r="AL6214" s="1">
        <v>57</v>
      </c>
    </row>
    <row r="6215" spans="1:38" x14ac:dyDescent="0.2">
      <c r="A6215" s="2" t="str">
        <f>HYPERLINK("https://www.compass.com/listing/220-central-park-south-unit-villa-6-manhattan-ny-10019/272324452887300145/","220 Central Park S, Unit VILLA 6")</f>
        <v>220 Central Park S, Unit VILLA 6</v>
      </c>
      <c r="B6215" s="2" t="str">
        <f>HYPERLINK("https://www.compass.com/building/220-central-park-south-manhattan-ny/281944232648828453/","220 Central Park South")</f>
        <v>220 Central Park South</v>
      </c>
      <c r="C6215" s="1" t="s">
        <v>260</v>
      </c>
      <c r="D6215" s="1" t="s">
        <v>41</v>
      </c>
      <c r="E6215" s="3">
        <v>39000000</v>
      </c>
      <c r="F6215" s="1">
        <v>7809.3712454945899</v>
      </c>
      <c r="G6215" s="1">
        <v>6</v>
      </c>
      <c r="H6215" s="1">
        <v>5</v>
      </c>
      <c r="I6215" s="1">
        <v>7</v>
      </c>
      <c r="J6215" s="1">
        <v>6.5</v>
      </c>
      <c r="K6215" s="1">
        <v>6</v>
      </c>
      <c r="L6215" s="1">
        <v>1</v>
      </c>
      <c r="M6215" s="4">
        <v>4994</v>
      </c>
      <c r="N6215" s="1">
        <v>9669</v>
      </c>
      <c r="O6215" s="1">
        <v>21618</v>
      </c>
      <c r="P6215" s="1">
        <v>11949</v>
      </c>
      <c r="Q6215" s="1" t="s">
        <v>42</v>
      </c>
      <c r="S6215" s="1" t="s">
        <v>42</v>
      </c>
      <c r="T6215" s="1" t="s">
        <v>273</v>
      </c>
      <c r="V6215" s="5">
        <v>44072</v>
      </c>
      <c r="W6215" s="5">
        <v>43623</v>
      </c>
      <c r="X6215" s="1">
        <v>45000000</v>
      </c>
      <c r="Y6215" s="1">
        <v>45000000</v>
      </c>
      <c r="AA6215" s="1">
        <v>39000000</v>
      </c>
      <c r="AB6215" s="1" t="s">
        <v>4461</v>
      </c>
      <c r="AC6215" s="5">
        <v>43623</v>
      </c>
      <c r="AF6215" s="1">
        <v>10019</v>
      </c>
      <c r="AI6215" s="1" t="s">
        <v>3873</v>
      </c>
      <c r="AJ6215" s="1">
        <v>2018</v>
      </c>
      <c r="AK6215" s="1" t="s">
        <v>46</v>
      </c>
      <c r="AL6215" s="1">
        <v>117</v>
      </c>
    </row>
    <row r="6216" spans="1:38" x14ac:dyDescent="0.2">
      <c r="A6216" s="2" t="str">
        <f>HYPERLINK("https://www.compass.com/listing/15-hudson-yards-unit-29j-manhattan-ny-10001/273866870745050049/","15 Hudson Yards, Unit 29J")</f>
        <v>15 Hudson Yards, Unit 29J</v>
      </c>
      <c r="B6216" s="2" t="str">
        <f t="shared" ref="B6216:B6221" si="1013">HYPERLINK("https://www.compass.com/building/fifteen-hudson-yards-manhattan-ny/282058587512011909/","Fifteen Hudson Yards")</f>
        <v>Fifteen Hudson Yards</v>
      </c>
      <c r="C6216" s="1" t="s">
        <v>77</v>
      </c>
      <c r="D6216" s="1" t="s">
        <v>41</v>
      </c>
      <c r="E6216" s="3">
        <v>2779982</v>
      </c>
      <c r="F6216" s="1">
        <v>2394.4720068906099</v>
      </c>
      <c r="G6216" s="1">
        <v>3</v>
      </c>
      <c r="H6216" s="1">
        <v>1</v>
      </c>
      <c r="I6216" s="1">
        <v>2</v>
      </c>
      <c r="J6216" s="1">
        <v>1.5</v>
      </c>
      <c r="K6216" s="1">
        <v>1</v>
      </c>
      <c r="L6216" s="1">
        <v>1</v>
      </c>
      <c r="M6216" s="4">
        <v>1161</v>
      </c>
      <c r="N6216" s="1">
        <v>2504</v>
      </c>
      <c r="O6216" s="1">
        <v>2539</v>
      </c>
      <c r="P6216" s="1">
        <v>35</v>
      </c>
      <c r="Q6216" s="1" t="s">
        <v>42</v>
      </c>
      <c r="S6216" s="1" t="s">
        <v>42</v>
      </c>
      <c r="T6216" s="1" t="s">
        <v>273</v>
      </c>
      <c r="U6216" s="1">
        <v>904</v>
      </c>
      <c r="V6216" s="5">
        <v>43671</v>
      </c>
      <c r="W6216" s="5">
        <v>42654</v>
      </c>
      <c r="X6216" s="1">
        <v>2779982</v>
      </c>
      <c r="Y6216" s="1">
        <v>2779982</v>
      </c>
      <c r="AA6216" s="1">
        <v>2779982</v>
      </c>
      <c r="AB6216" s="1" t="s">
        <v>275</v>
      </c>
      <c r="AC6216" s="5">
        <v>43558</v>
      </c>
      <c r="AF6216" s="1">
        <v>10001</v>
      </c>
      <c r="AJ6216" s="1">
        <v>2018</v>
      </c>
      <c r="AK6216" s="1" t="s">
        <v>46</v>
      </c>
      <c r="AL6216" s="1">
        <v>285</v>
      </c>
    </row>
    <row r="6217" spans="1:38" x14ac:dyDescent="0.2">
      <c r="A6217" s="2" t="str">
        <f>HYPERLINK("https://www.compass.com/listing/15-hudson-yards-unit-69c-manhattan-ny-10001/273866880173797345/","15 Hudson Yards, Unit 69C")</f>
        <v>15 Hudson Yards, Unit 69C</v>
      </c>
      <c r="B6217" s="2" t="str">
        <f t="shared" si="1013"/>
        <v>Fifteen Hudson Yards</v>
      </c>
      <c r="C6217" s="1" t="s">
        <v>77</v>
      </c>
      <c r="D6217" s="1" t="s">
        <v>41</v>
      </c>
      <c r="E6217" s="3">
        <v>3379248</v>
      </c>
      <c r="F6217" s="1">
        <v>2878.4054514480399</v>
      </c>
      <c r="G6217" s="1">
        <v>3</v>
      </c>
      <c r="H6217" s="1">
        <v>1</v>
      </c>
      <c r="I6217" s="1">
        <v>2</v>
      </c>
      <c r="J6217" s="1">
        <v>1.5</v>
      </c>
      <c r="K6217" s="1">
        <v>1</v>
      </c>
      <c r="L6217" s="1">
        <v>1</v>
      </c>
      <c r="M6217" s="4">
        <v>1174</v>
      </c>
      <c r="N6217" s="1">
        <v>2676</v>
      </c>
      <c r="O6217" s="1">
        <v>2713</v>
      </c>
      <c r="P6217" s="1">
        <v>37</v>
      </c>
      <c r="Q6217" s="1" t="s">
        <v>42</v>
      </c>
      <c r="S6217" s="1" t="s">
        <v>42</v>
      </c>
      <c r="T6217" s="1" t="s">
        <v>273</v>
      </c>
      <c r="U6217" s="1">
        <v>937</v>
      </c>
      <c r="V6217" s="5">
        <v>43630</v>
      </c>
      <c r="W6217" s="5">
        <v>42668</v>
      </c>
      <c r="X6217" s="1">
        <v>3379248</v>
      </c>
      <c r="Y6217" s="1">
        <v>3379248</v>
      </c>
      <c r="AA6217" s="1">
        <v>3379248</v>
      </c>
      <c r="AB6217" s="1" t="s">
        <v>275</v>
      </c>
      <c r="AC6217" s="5">
        <v>43605</v>
      </c>
      <c r="AF6217" s="1">
        <v>10001</v>
      </c>
      <c r="AJ6217" s="1">
        <v>2018</v>
      </c>
      <c r="AK6217" s="1" t="s">
        <v>46</v>
      </c>
      <c r="AL6217" s="1">
        <v>285</v>
      </c>
    </row>
    <row r="6218" spans="1:38" x14ac:dyDescent="0.2">
      <c r="A6218" s="2" t="str">
        <f>HYPERLINK("https://www.compass.com/listing/15-hudson-yards-unit-39a-manhattan-ny-10001/273866882296164001/","15 Hudson Yards, Unit 39A")</f>
        <v>15 Hudson Yards, Unit 39A</v>
      </c>
      <c r="B6218" s="2" t="str">
        <f t="shared" si="1013"/>
        <v>Fifteen Hudson Yards</v>
      </c>
      <c r="C6218" s="1" t="s">
        <v>77</v>
      </c>
      <c r="D6218" s="1" t="s">
        <v>41</v>
      </c>
      <c r="E6218" s="3">
        <v>5039150</v>
      </c>
      <c r="F6218" s="1">
        <v>2846.9774011299401</v>
      </c>
      <c r="G6218" s="1">
        <v>4</v>
      </c>
      <c r="H6218" s="1">
        <v>2</v>
      </c>
      <c r="I6218" s="1">
        <v>3</v>
      </c>
      <c r="J6218" s="1">
        <v>2.5</v>
      </c>
      <c r="K6218" s="1">
        <v>2</v>
      </c>
      <c r="L6218" s="1">
        <v>1</v>
      </c>
      <c r="M6218" s="4">
        <v>1770</v>
      </c>
      <c r="N6218" s="1">
        <v>3991</v>
      </c>
      <c r="O6218" s="1">
        <v>4046</v>
      </c>
      <c r="P6218" s="1">
        <v>55</v>
      </c>
      <c r="Q6218" s="1" t="s">
        <v>42</v>
      </c>
      <c r="S6218" s="1" t="s">
        <v>42</v>
      </c>
      <c r="T6218" s="1" t="s">
        <v>273</v>
      </c>
      <c r="U6218" s="1">
        <v>903</v>
      </c>
      <c r="V6218" s="5">
        <v>43630</v>
      </c>
      <c r="W6218" s="5">
        <v>42719</v>
      </c>
      <c r="X6218" s="1">
        <v>5039150</v>
      </c>
      <c r="Y6218" s="1">
        <v>5039150</v>
      </c>
      <c r="AA6218" s="1">
        <v>5039150</v>
      </c>
      <c r="AB6218" s="1" t="s">
        <v>275</v>
      </c>
      <c r="AC6218" s="5">
        <v>43623</v>
      </c>
      <c r="AF6218" s="1">
        <v>10001</v>
      </c>
      <c r="AJ6218" s="1">
        <v>2018</v>
      </c>
      <c r="AK6218" s="1" t="s">
        <v>46</v>
      </c>
      <c r="AL6218" s="1">
        <v>285</v>
      </c>
    </row>
    <row r="6219" spans="1:38" x14ac:dyDescent="0.2">
      <c r="A6219" s="2" t="str">
        <f>HYPERLINK("https://www.compass.com/listing/15-hudson-yards-unit-68e-manhattan-ny-10001/273866888319136305/","15 Hudson Yards, Unit 68E")</f>
        <v>15 Hudson Yards, Unit 68E</v>
      </c>
      <c r="B6219" s="2" t="str">
        <f t="shared" si="1013"/>
        <v>Fifteen Hudson Yards</v>
      </c>
      <c r="C6219" s="1" t="s">
        <v>77</v>
      </c>
      <c r="D6219" s="1" t="s">
        <v>41</v>
      </c>
      <c r="E6219" s="3">
        <v>7595000</v>
      </c>
      <c r="F6219" s="1">
        <v>3048.97631473303</v>
      </c>
      <c r="G6219" s="1">
        <v>4</v>
      </c>
      <c r="H6219" s="1">
        <v>2</v>
      </c>
      <c r="I6219" s="1">
        <v>3</v>
      </c>
      <c r="J6219" s="1">
        <v>2.5</v>
      </c>
      <c r="K6219" s="1">
        <v>2</v>
      </c>
      <c r="L6219" s="1">
        <v>1</v>
      </c>
      <c r="M6219" s="4">
        <v>2491</v>
      </c>
      <c r="N6219" s="1">
        <v>5595</v>
      </c>
      <c r="O6219" s="1">
        <v>5673</v>
      </c>
      <c r="P6219" s="1">
        <v>78</v>
      </c>
      <c r="Q6219" s="1" t="s">
        <v>42</v>
      </c>
      <c r="S6219" s="1" t="s">
        <v>42</v>
      </c>
      <c r="T6219" s="1" t="s">
        <v>273</v>
      </c>
      <c r="U6219" s="1">
        <v>726</v>
      </c>
      <c r="V6219" s="5">
        <v>43630</v>
      </c>
      <c r="W6219" s="5">
        <v>42900</v>
      </c>
      <c r="X6219" s="1">
        <v>7595000</v>
      </c>
      <c r="Y6219" s="1">
        <v>7595000</v>
      </c>
      <c r="AA6219" s="1">
        <v>7595000</v>
      </c>
      <c r="AB6219" s="1" t="s">
        <v>275</v>
      </c>
      <c r="AC6219" s="5">
        <v>43626</v>
      </c>
      <c r="AF6219" s="1">
        <v>10001</v>
      </c>
      <c r="AJ6219" s="1">
        <v>2018</v>
      </c>
      <c r="AK6219" s="1" t="s">
        <v>46</v>
      </c>
      <c r="AL6219" s="1">
        <v>285</v>
      </c>
    </row>
    <row r="6220" spans="1:38" x14ac:dyDescent="0.2">
      <c r="A6220" s="2" t="str">
        <f>HYPERLINK("https://www.compass.com/listing/15-hudson-yards-unit-35b-manhattan-ny-10001/273866889585864817/","15 Hudson Yards, Unit 35B")</f>
        <v>15 Hudson Yards, Unit 35B</v>
      </c>
      <c r="B6220" s="2" t="str">
        <f t="shared" si="1013"/>
        <v>Fifteen Hudson Yards</v>
      </c>
      <c r="C6220" s="1" t="s">
        <v>77</v>
      </c>
      <c r="D6220" s="1" t="s">
        <v>41</v>
      </c>
      <c r="E6220" s="3">
        <v>2239808</v>
      </c>
      <c r="F6220" s="1">
        <v>2638.17196702002</v>
      </c>
      <c r="G6220" s="1">
        <v>3</v>
      </c>
      <c r="H6220" s="1">
        <v>1</v>
      </c>
      <c r="I6220" s="1">
        <v>1</v>
      </c>
      <c r="J6220" s="1">
        <v>1</v>
      </c>
      <c r="K6220" s="1">
        <v>1</v>
      </c>
      <c r="M6220" s="1">
        <v>849</v>
      </c>
      <c r="N6220" s="1">
        <v>1916</v>
      </c>
      <c r="O6220" s="1">
        <v>1943</v>
      </c>
      <c r="P6220" s="1">
        <v>27</v>
      </c>
      <c r="Q6220" s="1" t="s">
        <v>42</v>
      </c>
      <c r="S6220" s="1" t="s">
        <v>42</v>
      </c>
      <c r="T6220" s="1" t="s">
        <v>273</v>
      </c>
      <c r="U6220" s="1">
        <v>904</v>
      </c>
      <c r="V6220" s="5">
        <v>43630</v>
      </c>
      <c r="W6220" s="5">
        <v>42655</v>
      </c>
      <c r="X6220" s="1">
        <v>2195000</v>
      </c>
      <c r="Y6220" s="1">
        <v>2195000</v>
      </c>
      <c r="AA6220" s="1">
        <v>2239808</v>
      </c>
      <c r="AB6220" s="1" t="s">
        <v>275</v>
      </c>
      <c r="AC6220" s="5">
        <v>43559</v>
      </c>
      <c r="AF6220" s="1">
        <v>10001</v>
      </c>
      <c r="AJ6220" s="1">
        <v>2018</v>
      </c>
      <c r="AK6220" s="1" t="s">
        <v>49</v>
      </c>
      <c r="AL6220" s="1">
        <v>285</v>
      </c>
    </row>
    <row r="6221" spans="1:38" x14ac:dyDescent="0.2">
      <c r="A6221" s="2" t="str">
        <f>HYPERLINK("https://www.compass.com/listing/15-hudson-yards-unit-33d-manhattan-ny-10001/273866896103764993/","15 Hudson Yards, Unit 33D")</f>
        <v>15 Hudson Yards, Unit 33D</v>
      </c>
      <c r="B6221" s="2" t="str">
        <f t="shared" si="1013"/>
        <v>Fifteen Hudson Yards</v>
      </c>
      <c r="C6221" s="1" t="s">
        <v>77</v>
      </c>
      <c r="D6221" s="1" t="s">
        <v>41</v>
      </c>
      <c r="E6221" s="3">
        <v>3934195</v>
      </c>
      <c r="F6221" s="1">
        <v>2512.2573435504401</v>
      </c>
      <c r="G6221" s="1">
        <v>4</v>
      </c>
      <c r="H6221" s="1">
        <v>2</v>
      </c>
      <c r="I6221" s="1">
        <v>3</v>
      </c>
      <c r="J6221" s="1">
        <v>2.5</v>
      </c>
      <c r="K6221" s="1">
        <v>2</v>
      </c>
      <c r="L6221" s="1">
        <v>1</v>
      </c>
      <c r="M6221" s="4">
        <v>1566</v>
      </c>
      <c r="N6221" s="1">
        <v>3384</v>
      </c>
      <c r="O6221" s="1">
        <v>3431</v>
      </c>
      <c r="P6221" s="1">
        <v>47</v>
      </c>
      <c r="Q6221" s="1" t="s">
        <v>42</v>
      </c>
      <c r="S6221" s="1" t="s">
        <v>42</v>
      </c>
      <c r="T6221" s="1" t="s">
        <v>273</v>
      </c>
      <c r="U6221" s="1">
        <v>557</v>
      </c>
      <c r="V6221" s="5">
        <v>43630</v>
      </c>
      <c r="W6221" s="5">
        <v>43003</v>
      </c>
      <c r="X6221" s="1">
        <v>3934195</v>
      </c>
      <c r="Y6221" s="1">
        <v>3934195</v>
      </c>
      <c r="AA6221" s="1">
        <v>3934195</v>
      </c>
      <c r="AB6221" s="1" t="s">
        <v>275</v>
      </c>
      <c r="AC6221" s="5">
        <v>43560</v>
      </c>
      <c r="AF6221" s="1">
        <v>10001</v>
      </c>
      <c r="AJ6221" s="1">
        <v>2018</v>
      </c>
      <c r="AK6221" s="1" t="s">
        <v>49</v>
      </c>
      <c r="AL6221" s="1">
        <v>285</v>
      </c>
    </row>
    <row r="6222" spans="1:38" x14ac:dyDescent="0.2">
      <c r="A6222" s="2" t="str">
        <f>HYPERLINK("https://www.compass.com/listing/111-murray-street-unit-9b-manhattan-ny-10007/276882992075431569/","111 Murray St, Unit 9B")</f>
        <v>111 Murray St, Unit 9B</v>
      </c>
      <c r="B6222" s="2" t="str">
        <f t="shared" ref="B6222:B6238" si="1014">HYPERLINK("https://www.compass.com/building/111-murray-st-manhattan-ny-10007/281896511862746053/","111 Murray St")</f>
        <v>111 Murray St</v>
      </c>
      <c r="C6222" s="1" t="s">
        <v>50</v>
      </c>
      <c r="D6222" s="1" t="s">
        <v>41</v>
      </c>
      <c r="E6222" s="3">
        <v>2087413</v>
      </c>
      <c r="F6222" s="1">
        <v>2635.62184343434</v>
      </c>
      <c r="H6222" s="1">
        <v>1</v>
      </c>
      <c r="J6222" s="1">
        <v>1</v>
      </c>
      <c r="M6222" s="1">
        <v>792</v>
      </c>
      <c r="N6222" s="1">
        <v>876</v>
      </c>
      <c r="O6222" s="1">
        <v>2106</v>
      </c>
      <c r="P6222" s="1">
        <v>1230</v>
      </c>
      <c r="Q6222" s="1" t="s">
        <v>42</v>
      </c>
      <c r="S6222" s="1" t="s">
        <v>42</v>
      </c>
      <c r="T6222" s="1" t="s">
        <v>273</v>
      </c>
      <c r="AA6222" s="1">
        <v>2087412.5</v>
      </c>
      <c r="AB6222" s="1" t="s">
        <v>4462</v>
      </c>
      <c r="AC6222" s="5">
        <v>43593</v>
      </c>
      <c r="AF6222" s="1">
        <v>10007</v>
      </c>
      <c r="AI6222" s="1" t="s">
        <v>80</v>
      </c>
      <c r="AJ6222" s="1">
        <v>2018</v>
      </c>
      <c r="AK6222" s="1" t="s">
        <v>49</v>
      </c>
      <c r="AL6222" s="1">
        <v>157</v>
      </c>
    </row>
    <row r="6223" spans="1:38" x14ac:dyDescent="0.2">
      <c r="A6223" s="2" t="str">
        <f>HYPERLINK("https://www.compass.com/listing/111-murray-street-unit-11b-manhattan-ny-10007/276882995070223697/","111 Murray St, Unit 11B")</f>
        <v>111 Murray St, Unit 11B</v>
      </c>
      <c r="B6223" s="2" t="str">
        <f t="shared" si="1014"/>
        <v>111 Murray St</v>
      </c>
      <c r="C6223" s="1" t="s">
        <v>50</v>
      </c>
      <c r="D6223" s="1" t="s">
        <v>41</v>
      </c>
      <c r="E6223" s="3">
        <v>2138325</v>
      </c>
      <c r="F6223" s="1">
        <v>2699.9053030302998</v>
      </c>
      <c r="M6223" s="1">
        <v>792</v>
      </c>
      <c r="Q6223" s="1" t="s">
        <v>42</v>
      </c>
      <c r="S6223" s="1" t="s">
        <v>42</v>
      </c>
      <c r="T6223" s="1" t="s">
        <v>273</v>
      </c>
      <c r="AA6223" s="1">
        <v>2138325</v>
      </c>
      <c r="AB6223" s="1" t="s">
        <v>4463</v>
      </c>
      <c r="AC6223" s="5">
        <v>43584</v>
      </c>
      <c r="AF6223" s="1">
        <v>10007</v>
      </c>
      <c r="AI6223" s="1" t="s">
        <v>80</v>
      </c>
      <c r="AJ6223" s="1">
        <v>2018</v>
      </c>
      <c r="AK6223" s="1" t="s">
        <v>49</v>
      </c>
      <c r="AL6223" s="1">
        <v>157</v>
      </c>
    </row>
    <row r="6224" spans="1:38" x14ac:dyDescent="0.2">
      <c r="A6224" s="2" t="str">
        <f>HYPERLINK("https://www.compass.com/listing/111-murray-street-unit-12b-manhattan-ny-10007/276883000816365041/","111 Murray St, Unit 12B")</f>
        <v>111 Murray St, Unit 12B</v>
      </c>
      <c r="B6224" s="2" t="str">
        <f t="shared" si="1014"/>
        <v>111 Murray St</v>
      </c>
      <c r="C6224" s="1" t="s">
        <v>50</v>
      </c>
      <c r="D6224" s="1" t="s">
        <v>41</v>
      </c>
      <c r="E6224" s="3">
        <v>2163781</v>
      </c>
      <c r="F6224" s="1">
        <v>2732.04703282828</v>
      </c>
      <c r="M6224" s="1">
        <v>792</v>
      </c>
      <c r="Q6224" s="1" t="s">
        <v>42</v>
      </c>
      <c r="S6224" s="1" t="s">
        <v>42</v>
      </c>
      <c r="T6224" s="1" t="s">
        <v>273</v>
      </c>
      <c r="AA6224" s="1">
        <v>2163781.25</v>
      </c>
      <c r="AB6224" s="1" t="s">
        <v>4464</v>
      </c>
      <c r="AC6224" s="5">
        <v>43579</v>
      </c>
      <c r="AF6224" s="1">
        <v>10007</v>
      </c>
      <c r="AI6224" s="1" t="s">
        <v>80</v>
      </c>
      <c r="AJ6224" s="1">
        <v>2018</v>
      </c>
      <c r="AK6224" s="1" t="s">
        <v>49</v>
      </c>
      <c r="AL6224" s="1">
        <v>157</v>
      </c>
    </row>
    <row r="6225" spans="1:38" x14ac:dyDescent="0.2">
      <c r="A6225" s="2" t="str">
        <f>HYPERLINK("https://www.compass.com/listing/111-murray-street-unit-14b-manhattan-ny-10007/276883003274230801/","111 Murray St, Unit 14B")</f>
        <v>111 Murray St, Unit 14B</v>
      </c>
      <c r="B6225" s="2" t="str">
        <f t="shared" si="1014"/>
        <v>111 Murray St</v>
      </c>
      <c r="C6225" s="1" t="s">
        <v>50</v>
      </c>
      <c r="D6225" s="1" t="s">
        <v>41</v>
      </c>
      <c r="E6225" s="3">
        <v>2189238</v>
      </c>
      <c r="F6225" s="1">
        <v>2764.1887626262601</v>
      </c>
      <c r="M6225" s="1">
        <v>792</v>
      </c>
      <c r="Q6225" s="1" t="s">
        <v>42</v>
      </c>
      <c r="S6225" s="1" t="s">
        <v>42</v>
      </c>
      <c r="T6225" s="1" t="s">
        <v>273</v>
      </c>
      <c r="AA6225" s="1">
        <v>2189237.5</v>
      </c>
      <c r="AB6225" s="1" t="s">
        <v>4465</v>
      </c>
      <c r="AC6225" s="5">
        <v>43594</v>
      </c>
      <c r="AF6225" s="1">
        <v>10007</v>
      </c>
      <c r="AI6225" s="1" t="s">
        <v>80</v>
      </c>
      <c r="AJ6225" s="1">
        <v>2018</v>
      </c>
      <c r="AK6225" s="1" t="s">
        <v>49</v>
      </c>
      <c r="AL6225" s="1">
        <v>157</v>
      </c>
    </row>
    <row r="6226" spans="1:38" x14ac:dyDescent="0.2">
      <c r="A6226" s="2" t="str">
        <f>HYPERLINK("https://www.compass.com/listing/111-murray-street-unit-18a-manhattan-ny-10007/276883010681365825/","111 Murray St, Unit 18A")</f>
        <v>111 Murray St, Unit 18A</v>
      </c>
      <c r="B6226" s="2" t="str">
        <f t="shared" si="1014"/>
        <v>111 Murray St</v>
      </c>
      <c r="C6226" s="1" t="s">
        <v>50</v>
      </c>
      <c r="D6226" s="1" t="s">
        <v>41</v>
      </c>
      <c r="E6226" s="3">
        <v>3966175</v>
      </c>
      <c r="F6226" s="1">
        <v>2489.7520401757602</v>
      </c>
      <c r="M6226" s="4">
        <v>1593</v>
      </c>
      <c r="Q6226" s="1" t="s">
        <v>42</v>
      </c>
      <c r="S6226" s="1" t="s">
        <v>42</v>
      </c>
      <c r="T6226" s="1" t="s">
        <v>273</v>
      </c>
      <c r="AA6226" s="1">
        <v>3966175</v>
      </c>
      <c r="AB6226" s="1" t="s">
        <v>4466</v>
      </c>
      <c r="AC6226" s="5">
        <v>43592</v>
      </c>
      <c r="AF6226" s="1">
        <v>10007</v>
      </c>
      <c r="AI6226" s="1" t="s">
        <v>80</v>
      </c>
      <c r="AJ6226" s="1">
        <v>2018</v>
      </c>
      <c r="AK6226" s="1" t="s">
        <v>49</v>
      </c>
      <c r="AL6226" s="1">
        <v>157</v>
      </c>
    </row>
    <row r="6227" spans="1:38" x14ac:dyDescent="0.2">
      <c r="A6227" s="2" t="str">
        <f>HYPERLINK("https://www.compass.com/listing/111-murray-street-unit-19a-manhattan-ny-10007/276883012845629521/","111 Murray St, Unit 19A")</f>
        <v>111 Murray St, Unit 19A</v>
      </c>
      <c r="B6227" s="2" t="str">
        <f t="shared" si="1014"/>
        <v>111 Murray St</v>
      </c>
      <c r="C6227" s="1" t="s">
        <v>50</v>
      </c>
      <c r="D6227" s="1" t="s">
        <v>41</v>
      </c>
      <c r="E6227" s="3">
        <v>4225738</v>
      </c>
      <c r="F6227" s="1">
        <v>2652.6914626490802</v>
      </c>
      <c r="M6227" s="4">
        <v>1593</v>
      </c>
      <c r="Q6227" s="1" t="s">
        <v>42</v>
      </c>
      <c r="S6227" s="1" t="s">
        <v>42</v>
      </c>
      <c r="T6227" s="1" t="s">
        <v>273</v>
      </c>
      <c r="AA6227" s="1">
        <v>4225737.5</v>
      </c>
      <c r="AB6227" s="1" t="s">
        <v>4467</v>
      </c>
      <c r="AC6227" s="5">
        <v>43605</v>
      </c>
      <c r="AF6227" s="1">
        <v>10007</v>
      </c>
      <c r="AI6227" s="1" t="s">
        <v>80</v>
      </c>
      <c r="AJ6227" s="1">
        <v>2018</v>
      </c>
      <c r="AK6227" s="1" t="s">
        <v>49</v>
      </c>
      <c r="AL6227" s="1">
        <v>157</v>
      </c>
    </row>
    <row r="6228" spans="1:38" x14ac:dyDescent="0.2">
      <c r="A6228" s="2" t="str">
        <f>HYPERLINK("https://www.compass.com/listing/111-murray-street-unit-20a-manhattan-ny-10007/276883014783399745/","111 Murray St, Unit 20A")</f>
        <v>111 Murray St, Unit 20A</v>
      </c>
      <c r="B6228" s="2" t="str">
        <f t="shared" si="1014"/>
        <v>111 Murray St</v>
      </c>
      <c r="C6228" s="1" t="s">
        <v>50</v>
      </c>
      <c r="D6228" s="1" t="s">
        <v>41</v>
      </c>
      <c r="E6228" s="3">
        <v>4159031</v>
      </c>
      <c r="F6228" s="1">
        <v>2610.8168549905799</v>
      </c>
      <c r="M6228" s="4">
        <v>1593</v>
      </c>
      <c r="Q6228" s="1" t="s">
        <v>42</v>
      </c>
      <c r="S6228" s="1" t="s">
        <v>42</v>
      </c>
      <c r="T6228" s="1" t="s">
        <v>273</v>
      </c>
      <c r="AA6228" s="1">
        <v>4159031.25</v>
      </c>
      <c r="AB6228" s="1" t="s">
        <v>4468</v>
      </c>
      <c r="AC6228" s="5">
        <v>43587</v>
      </c>
      <c r="AF6228" s="1">
        <v>10007</v>
      </c>
      <c r="AI6228" s="1" t="s">
        <v>80</v>
      </c>
      <c r="AJ6228" s="1">
        <v>2018</v>
      </c>
      <c r="AK6228" s="1" t="s">
        <v>49</v>
      </c>
      <c r="AL6228" s="1">
        <v>157</v>
      </c>
    </row>
    <row r="6229" spans="1:38" x14ac:dyDescent="0.2">
      <c r="A6229" s="2" t="str">
        <f>HYPERLINK("https://www.compass.com/listing/111-murray-street-unit-21a-manhattan-ny-10007/276883016628896129/","111 Murray St, Unit 21A")</f>
        <v>111 Murray St, Unit 21A</v>
      </c>
      <c r="B6229" s="2" t="str">
        <f t="shared" si="1014"/>
        <v>111 Murray St</v>
      </c>
      <c r="C6229" s="1" t="s">
        <v>50</v>
      </c>
      <c r="D6229" s="1" t="s">
        <v>41</v>
      </c>
      <c r="E6229" s="3">
        <v>4184238</v>
      </c>
      <c r="F6229" s="1">
        <v>2626.6399874450699</v>
      </c>
      <c r="M6229" s="4">
        <v>1593</v>
      </c>
      <c r="Q6229" s="1" t="s">
        <v>42</v>
      </c>
      <c r="S6229" s="1" t="s">
        <v>42</v>
      </c>
      <c r="T6229" s="1" t="s">
        <v>273</v>
      </c>
      <c r="AA6229" s="1">
        <v>4184237.5</v>
      </c>
      <c r="AB6229" s="1" t="s">
        <v>4469</v>
      </c>
      <c r="AC6229" s="5">
        <v>43591</v>
      </c>
      <c r="AF6229" s="1">
        <v>10007</v>
      </c>
      <c r="AI6229" s="1" t="s">
        <v>80</v>
      </c>
      <c r="AJ6229" s="1">
        <v>2018</v>
      </c>
      <c r="AK6229" s="1" t="s">
        <v>49</v>
      </c>
      <c r="AL6229" s="1">
        <v>157</v>
      </c>
    </row>
    <row r="6230" spans="1:38" x14ac:dyDescent="0.2">
      <c r="A6230" s="2" t="str">
        <f>HYPERLINK("https://www.compass.com/listing/111-murray-street-unit-23a-manhattan-ny-10007/276883018843499025/","111 Murray St, Unit 23A")</f>
        <v>111 Murray St, Unit 23A</v>
      </c>
      <c r="B6230" s="2" t="str">
        <f t="shared" si="1014"/>
        <v>111 Murray St</v>
      </c>
      <c r="C6230" s="1" t="s">
        <v>50</v>
      </c>
      <c r="D6230" s="1" t="s">
        <v>41</v>
      </c>
      <c r="E6230" s="3">
        <v>4093751</v>
      </c>
      <c r="F6230" s="1">
        <v>2569.8374136848702</v>
      </c>
      <c r="H6230" s="1">
        <v>2</v>
      </c>
      <c r="J6230" s="1">
        <v>2</v>
      </c>
      <c r="K6230" s="1">
        <v>2</v>
      </c>
      <c r="M6230" s="4">
        <v>1593</v>
      </c>
      <c r="N6230" s="1">
        <v>1767</v>
      </c>
      <c r="O6230" s="1">
        <v>4248</v>
      </c>
      <c r="P6230" s="1">
        <v>2481</v>
      </c>
      <c r="Q6230" s="1" t="s">
        <v>42</v>
      </c>
      <c r="S6230" s="1" t="s">
        <v>42</v>
      </c>
      <c r="T6230" s="1" t="s">
        <v>273</v>
      </c>
      <c r="AA6230" s="1">
        <v>4093751</v>
      </c>
      <c r="AB6230" s="1" t="s">
        <v>4470</v>
      </c>
      <c r="AC6230" s="5">
        <v>43594</v>
      </c>
      <c r="AF6230" s="1">
        <v>10007</v>
      </c>
      <c r="AI6230" s="1" t="s">
        <v>80</v>
      </c>
      <c r="AJ6230" s="1">
        <v>2018</v>
      </c>
      <c r="AK6230" s="1" t="s">
        <v>49</v>
      </c>
      <c r="AL6230" s="1">
        <v>157</v>
      </c>
    </row>
    <row r="6231" spans="1:38" x14ac:dyDescent="0.2">
      <c r="A6231" s="2" t="str">
        <f>HYPERLINK("https://www.compass.com/listing/111-murray-street-unit-25a-manhattan-ny-10007/276883022391809953/","111 Murray St, Unit 25A")</f>
        <v>111 Murray St, Unit 25A</v>
      </c>
      <c r="B6231" s="2" t="str">
        <f t="shared" si="1014"/>
        <v>111 Murray St</v>
      </c>
      <c r="C6231" s="1" t="s">
        <v>50</v>
      </c>
      <c r="D6231" s="1" t="s">
        <v>41</v>
      </c>
      <c r="E6231" s="3">
        <v>4405500</v>
      </c>
      <c r="F6231" s="1">
        <v>2765.5367231638402</v>
      </c>
      <c r="M6231" s="4">
        <v>1593</v>
      </c>
      <c r="Q6231" s="1" t="s">
        <v>42</v>
      </c>
      <c r="S6231" s="1" t="s">
        <v>42</v>
      </c>
      <c r="T6231" s="1" t="s">
        <v>273</v>
      </c>
      <c r="AA6231" s="1">
        <v>4405500</v>
      </c>
      <c r="AB6231" s="1" t="s">
        <v>4471</v>
      </c>
      <c r="AC6231" s="5">
        <v>43607</v>
      </c>
      <c r="AF6231" s="1">
        <v>10007</v>
      </c>
      <c r="AI6231" s="1" t="s">
        <v>80</v>
      </c>
      <c r="AJ6231" s="1">
        <v>2018</v>
      </c>
      <c r="AK6231" s="1" t="s">
        <v>49</v>
      </c>
      <c r="AL6231" s="1">
        <v>157</v>
      </c>
    </row>
    <row r="6232" spans="1:38" x14ac:dyDescent="0.2">
      <c r="A6232" s="2" t="str">
        <f>HYPERLINK("https://www.compass.com/listing/111-murray-street-unit-29b-manhattan-ny-10007/276883025873152705/","111 Murray St, Unit 29B")</f>
        <v>111 Murray St, Unit 29B</v>
      </c>
      <c r="B6232" s="2" t="str">
        <f t="shared" si="1014"/>
        <v>111 Murray St</v>
      </c>
      <c r="C6232" s="1" t="s">
        <v>50</v>
      </c>
      <c r="D6232" s="1" t="s">
        <v>41</v>
      </c>
      <c r="E6232" s="3">
        <v>4100000</v>
      </c>
      <c r="F6232" s="1">
        <v>2593.2953826691901</v>
      </c>
      <c r="M6232" s="4">
        <v>1581</v>
      </c>
      <c r="Q6232" s="1" t="s">
        <v>42</v>
      </c>
      <c r="S6232" s="1" t="s">
        <v>42</v>
      </c>
      <c r="T6232" s="1" t="s">
        <v>273</v>
      </c>
      <c r="AA6232" s="1">
        <v>4100000</v>
      </c>
      <c r="AB6232" s="1" t="s">
        <v>4472</v>
      </c>
      <c r="AC6232" s="5">
        <v>43602</v>
      </c>
      <c r="AF6232" s="1">
        <v>10007</v>
      </c>
      <c r="AI6232" s="1" t="s">
        <v>80</v>
      </c>
      <c r="AJ6232" s="1">
        <v>2018</v>
      </c>
      <c r="AK6232" s="1" t="s">
        <v>49</v>
      </c>
      <c r="AL6232" s="1">
        <v>157</v>
      </c>
    </row>
    <row r="6233" spans="1:38" x14ac:dyDescent="0.2">
      <c r="A6233" s="2" t="str">
        <f>HYPERLINK("https://www.compass.com/listing/111-murray-street-unit-33a-manhattan-ny-10007/276883028121301505/","111 Murray St, Unit 33A")</f>
        <v>111 Murray St, Unit 33A</v>
      </c>
      <c r="B6233" s="2" t="str">
        <f t="shared" si="1014"/>
        <v>111 Murray St</v>
      </c>
      <c r="C6233" s="1" t="s">
        <v>50</v>
      </c>
      <c r="D6233" s="1" t="s">
        <v>41</v>
      </c>
      <c r="E6233" s="3">
        <v>5447638</v>
      </c>
      <c r="F6233" s="1">
        <v>2828.4722222222199</v>
      </c>
      <c r="M6233" s="4">
        <v>1926</v>
      </c>
      <c r="Q6233" s="1" t="s">
        <v>42</v>
      </c>
      <c r="S6233" s="1" t="s">
        <v>42</v>
      </c>
      <c r="T6233" s="1" t="s">
        <v>273</v>
      </c>
      <c r="AA6233" s="1">
        <v>5447637.5</v>
      </c>
      <c r="AB6233" s="1" t="s">
        <v>4473</v>
      </c>
      <c r="AC6233" s="5">
        <v>43621</v>
      </c>
      <c r="AF6233" s="1">
        <v>10007</v>
      </c>
      <c r="AI6233" s="1" t="s">
        <v>80</v>
      </c>
      <c r="AJ6233" s="1">
        <v>2018</v>
      </c>
      <c r="AK6233" s="1" t="s">
        <v>49</v>
      </c>
      <c r="AL6233" s="1">
        <v>157</v>
      </c>
    </row>
    <row r="6234" spans="1:38" x14ac:dyDescent="0.2">
      <c r="A6234" s="2" t="str">
        <f>HYPERLINK("https://www.compass.com/listing/111-murray-street-unit-33w-manhattan-ny-10007/276883029782253281/","111 Murray St, Unit 33W")</f>
        <v>111 Murray St, Unit 33W</v>
      </c>
      <c r="B6234" s="2" t="str">
        <f t="shared" si="1014"/>
        <v>111 Murray St</v>
      </c>
      <c r="C6234" s="1" t="s">
        <v>50</v>
      </c>
      <c r="D6234" s="1" t="s">
        <v>41</v>
      </c>
      <c r="E6234" s="3">
        <v>6720000</v>
      </c>
      <c r="F6234" s="1">
        <v>2948.6616937253102</v>
      </c>
      <c r="M6234" s="4">
        <v>2279</v>
      </c>
      <c r="Q6234" s="1" t="s">
        <v>42</v>
      </c>
      <c r="S6234" s="1" t="s">
        <v>42</v>
      </c>
      <c r="T6234" s="1" t="s">
        <v>273</v>
      </c>
      <c r="AA6234" s="1">
        <v>6720000</v>
      </c>
      <c r="AB6234" s="1" t="s">
        <v>4474</v>
      </c>
      <c r="AC6234" s="5">
        <v>43522</v>
      </c>
      <c r="AF6234" s="1">
        <v>10007</v>
      </c>
      <c r="AI6234" s="1" t="s">
        <v>80</v>
      </c>
      <c r="AJ6234" s="1">
        <v>2018</v>
      </c>
      <c r="AK6234" s="1" t="s">
        <v>49</v>
      </c>
      <c r="AL6234" s="1">
        <v>157</v>
      </c>
    </row>
    <row r="6235" spans="1:38" x14ac:dyDescent="0.2">
      <c r="A6235" s="2" t="str">
        <f>HYPERLINK("https://www.compass.com/listing/111-murray-street-unit-35a-manhattan-ny-10007/276883032617601009/","111 Murray St, Unit 35A")</f>
        <v>111 Murray St, Unit 35A</v>
      </c>
      <c r="B6235" s="2" t="str">
        <f t="shared" si="1014"/>
        <v>111 Murray St</v>
      </c>
      <c r="C6235" s="1" t="s">
        <v>50</v>
      </c>
      <c r="D6235" s="1" t="s">
        <v>41</v>
      </c>
      <c r="E6235" s="3">
        <v>5511838</v>
      </c>
      <c r="F6235" s="1">
        <v>2861.8055555555502</v>
      </c>
      <c r="M6235" s="4">
        <v>1926</v>
      </c>
      <c r="Q6235" s="1" t="s">
        <v>42</v>
      </c>
      <c r="S6235" s="1" t="s">
        <v>42</v>
      </c>
      <c r="T6235" s="1" t="s">
        <v>273</v>
      </c>
      <c r="AA6235" s="1">
        <v>5511837.5</v>
      </c>
      <c r="AB6235" s="1" t="s">
        <v>4475</v>
      </c>
      <c r="AC6235" s="5">
        <v>43607</v>
      </c>
      <c r="AF6235" s="1">
        <v>10007</v>
      </c>
      <c r="AI6235" s="1" t="s">
        <v>80</v>
      </c>
      <c r="AJ6235" s="1">
        <v>2018</v>
      </c>
      <c r="AK6235" s="1" t="s">
        <v>49</v>
      </c>
      <c r="AL6235" s="1">
        <v>157</v>
      </c>
    </row>
    <row r="6236" spans="1:38" x14ac:dyDescent="0.2">
      <c r="A6236" s="2" t="str">
        <f>HYPERLINK("https://www.compass.com/listing/111-murray-street-unit-37a-manhattan-ny-10007/276883038347027457/","111 Murray St, Unit 37A")</f>
        <v>111 Murray St, Unit 37A</v>
      </c>
      <c r="B6236" s="2" t="str">
        <f t="shared" si="1014"/>
        <v>111 Murray St</v>
      </c>
      <c r="C6236" s="1" t="s">
        <v>50</v>
      </c>
      <c r="D6236" s="1" t="s">
        <v>41</v>
      </c>
      <c r="E6236" s="3">
        <v>5956763</v>
      </c>
      <c r="F6236" s="1">
        <v>3092.8154205607402</v>
      </c>
      <c r="M6236" s="4">
        <v>1926</v>
      </c>
      <c r="Q6236" s="1" t="s">
        <v>42</v>
      </c>
      <c r="S6236" s="1" t="s">
        <v>42</v>
      </c>
      <c r="T6236" s="1" t="s">
        <v>273</v>
      </c>
      <c r="AA6236" s="1">
        <v>5956762.5</v>
      </c>
      <c r="AB6236" s="1" t="s">
        <v>4476</v>
      </c>
      <c r="AC6236" s="5">
        <v>43619</v>
      </c>
      <c r="AF6236" s="1">
        <v>10007</v>
      </c>
      <c r="AI6236" s="1" t="s">
        <v>80</v>
      </c>
      <c r="AJ6236" s="1">
        <v>2018</v>
      </c>
      <c r="AK6236" s="1" t="s">
        <v>49</v>
      </c>
      <c r="AL6236" s="1">
        <v>157</v>
      </c>
    </row>
    <row r="6237" spans="1:38" x14ac:dyDescent="0.2">
      <c r="A6237" s="2" t="str">
        <f>HYPERLINK("https://www.compass.com/listing/111-murray-street-unit-48w-manhattan-ny-10007/276883053060652769/","111 Murray St, Unit 48W")</f>
        <v>111 Murray St, Unit 48W</v>
      </c>
      <c r="B6237" s="2" t="str">
        <f t="shared" si="1014"/>
        <v>111 Murray St</v>
      </c>
      <c r="C6237" s="1" t="s">
        <v>50</v>
      </c>
      <c r="D6237" s="1" t="s">
        <v>41</v>
      </c>
      <c r="E6237" s="3">
        <v>12285731</v>
      </c>
      <c r="F6237" s="1">
        <v>3805.9886152416302</v>
      </c>
      <c r="M6237" s="4">
        <v>3228</v>
      </c>
      <c r="Q6237" s="1" t="s">
        <v>42</v>
      </c>
      <c r="S6237" s="1" t="s">
        <v>42</v>
      </c>
      <c r="T6237" s="1" t="s">
        <v>273</v>
      </c>
      <c r="AA6237" s="1">
        <v>12285731.25</v>
      </c>
      <c r="AB6237" s="1" t="s">
        <v>4477</v>
      </c>
      <c r="AC6237" s="5">
        <v>43598</v>
      </c>
      <c r="AF6237" s="1">
        <v>10007</v>
      </c>
      <c r="AI6237" s="1" t="s">
        <v>80</v>
      </c>
      <c r="AJ6237" s="1">
        <v>2018</v>
      </c>
      <c r="AK6237" s="1" t="s">
        <v>49</v>
      </c>
      <c r="AL6237" s="1">
        <v>157</v>
      </c>
    </row>
    <row r="6238" spans="1:38" x14ac:dyDescent="0.2">
      <c r="A6238" s="2" t="str">
        <f>HYPERLINK("https://www.compass.com/listing/111-murray-street-unit-58w-manhattan-ny-10007/276883055820440001/","111 Murray St, Unit 58W")</f>
        <v>111 Murray St, Unit 58W</v>
      </c>
      <c r="B6238" s="2" t="str">
        <f t="shared" si="1014"/>
        <v>111 Murray St</v>
      </c>
      <c r="C6238" s="1" t="s">
        <v>50</v>
      </c>
      <c r="D6238" s="1" t="s">
        <v>41</v>
      </c>
      <c r="E6238" s="3">
        <v>14419880</v>
      </c>
      <c r="F6238" s="1">
        <v>3758.11310919989</v>
      </c>
      <c r="M6238" s="4">
        <v>3837</v>
      </c>
      <c r="Q6238" s="1" t="s">
        <v>42</v>
      </c>
      <c r="S6238" s="1" t="s">
        <v>42</v>
      </c>
      <c r="T6238" s="1" t="s">
        <v>273</v>
      </c>
      <c r="AA6238" s="1">
        <v>14419880</v>
      </c>
      <c r="AB6238" s="1" t="s">
        <v>4478</v>
      </c>
      <c r="AC6238" s="5">
        <v>43601</v>
      </c>
      <c r="AF6238" s="1">
        <v>10007</v>
      </c>
      <c r="AI6238" s="1" t="s">
        <v>80</v>
      </c>
      <c r="AJ6238" s="1">
        <v>2018</v>
      </c>
      <c r="AK6238" s="1" t="s">
        <v>49</v>
      </c>
      <c r="AL6238" s="1">
        <v>157</v>
      </c>
    </row>
    <row r="6239" spans="1:38" x14ac:dyDescent="0.2">
      <c r="A6239" s="2" t="str">
        <f>HYPERLINK("https://www.compass.com/listing/252-south-street-unit-15n-manhattan-ny-10002/276887416596363841/","252 South St, Unit 15N")</f>
        <v>252 South St, Unit 15N</v>
      </c>
      <c r="B6239" s="2" t="str">
        <f t="shared" ref="B6239:B6253" si="1015">HYPERLINK("https://www.compass.com/building/one-manhattan-square-manhattan-ny/294844950218926165/","One Manhattan Square")</f>
        <v>One Manhattan Square</v>
      </c>
      <c r="C6239" s="1" t="s">
        <v>47</v>
      </c>
      <c r="D6239" s="1" t="s">
        <v>41</v>
      </c>
      <c r="E6239" s="3">
        <v>1215107</v>
      </c>
      <c r="F6239" s="1">
        <v>1748.3553237409999</v>
      </c>
      <c r="M6239" s="1">
        <v>695</v>
      </c>
      <c r="Q6239" s="1" t="s">
        <v>42</v>
      </c>
      <c r="S6239" s="1" t="s">
        <v>42</v>
      </c>
      <c r="T6239" s="1" t="s">
        <v>273</v>
      </c>
      <c r="AA6239" s="1">
        <v>1215106.95</v>
      </c>
      <c r="AB6239" s="1" t="s">
        <v>4479</v>
      </c>
      <c r="AC6239" s="5">
        <v>43614</v>
      </c>
      <c r="AF6239" s="1">
        <v>10002</v>
      </c>
      <c r="AI6239" s="1" t="s">
        <v>66</v>
      </c>
      <c r="AJ6239" s="1">
        <v>2019</v>
      </c>
      <c r="AK6239" s="1" t="s">
        <v>49</v>
      </c>
      <c r="AL6239" s="1">
        <v>787</v>
      </c>
    </row>
    <row r="6240" spans="1:38" x14ac:dyDescent="0.2">
      <c r="A6240" s="2" t="str">
        <f>HYPERLINK("https://www.compass.com/listing/252-south-street-unit-21g-manhattan-ny-10002/276887422913022145/","252 South St, Unit 21G")</f>
        <v>252 South St, Unit 21G</v>
      </c>
      <c r="B6240" s="2" t="str">
        <f t="shared" si="1015"/>
        <v>One Manhattan Square</v>
      </c>
      <c r="C6240" s="1" t="s">
        <v>47</v>
      </c>
      <c r="D6240" s="1" t="s">
        <v>41</v>
      </c>
      <c r="E6240" s="3">
        <v>1231715</v>
      </c>
      <c r="F6240" s="1">
        <v>1703.61738589211</v>
      </c>
      <c r="M6240" s="1">
        <v>723</v>
      </c>
      <c r="Q6240" s="1" t="s">
        <v>42</v>
      </c>
      <c r="S6240" s="1" t="s">
        <v>42</v>
      </c>
      <c r="T6240" s="1" t="s">
        <v>273</v>
      </c>
      <c r="AA6240" s="1">
        <v>1231715.3700000001</v>
      </c>
      <c r="AB6240" s="1" t="s">
        <v>4480</v>
      </c>
      <c r="AC6240" s="5">
        <v>43579</v>
      </c>
      <c r="AF6240" s="1">
        <v>10002</v>
      </c>
      <c r="AI6240" s="1" t="s">
        <v>66</v>
      </c>
      <c r="AJ6240" s="1">
        <v>2019</v>
      </c>
      <c r="AK6240" s="1" t="s">
        <v>49</v>
      </c>
      <c r="AL6240" s="1">
        <v>787</v>
      </c>
    </row>
    <row r="6241" spans="1:38" x14ac:dyDescent="0.2">
      <c r="A6241" s="2" t="str">
        <f>HYPERLINK("https://www.compass.com/listing/252-south-street-unit-21n-manhattan-ny-10002/276887423667969297/","252 South St, Unit 21N")</f>
        <v>252 South St, Unit 21N</v>
      </c>
      <c r="B6241" s="2" t="str">
        <f t="shared" si="1015"/>
        <v>One Manhattan Square</v>
      </c>
      <c r="C6241" s="1" t="s">
        <v>47</v>
      </c>
      <c r="D6241" s="1" t="s">
        <v>41</v>
      </c>
      <c r="E6241" s="3">
        <v>1293094</v>
      </c>
      <c r="F6241" s="1">
        <v>1860.5674244604299</v>
      </c>
      <c r="M6241" s="1">
        <v>695</v>
      </c>
      <c r="Q6241" s="1" t="s">
        <v>42</v>
      </c>
      <c r="S6241" s="1" t="s">
        <v>42</v>
      </c>
      <c r="T6241" s="1" t="s">
        <v>273</v>
      </c>
      <c r="AA6241" s="1">
        <v>1293094.3600000001</v>
      </c>
      <c r="AB6241" s="1" t="s">
        <v>4481</v>
      </c>
      <c r="AC6241" s="5">
        <v>43585</v>
      </c>
      <c r="AF6241" s="1">
        <v>10002</v>
      </c>
      <c r="AI6241" s="1" t="s">
        <v>66</v>
      </c>
      <c r="AJ6241" s="1">
        <v>2019</v>
      </c>
      <c r="AK6241" s="1" t="s">
        <v>49</v>
      </c>
      <c r="AL6241" s="1">
        <v>787</v>
      </c>
    </row>
    <row r="6242" spans="1:38" x14ac:dyDescent="0.2">
      <c r="A6242" s="2" t="str">
        <f>HYPERLINK("https://www.compass.com/listing/252-south-street-unit-22p-manhattan-ny-10002/276887424959845009/","252 South St, Unit 22P")</f>
        <v>252 South St, Unit 22P</v>
      </c>
      <c r="B6242" s="2" t="str">
        <f t="shared" si="1015"/>
        <v>One Manhattan Square</v>
      </c>
      <c r="C6242" s="1" t="s">
        <v>47</v>
      </c>
      <c r="D6242" s="1" t="s">
        <v>41</v>
      </c>
      <c r="E6242" s="3">
        <v>1366419</v>
      </c>
      <c r="F6242" s="1">
        <v>1889.9287690179799</v>
      </c>
      <c r="M6242" s="1">
        <v>723</v>
      </c>
      <c r="Q6242" s="1" t="s">
        <v>42</v>
      </c>
      <c r="S6242" s="1" t="s">
        <v>42</v>
      </c>
      <c r="T6242" s="1" t="s">
        <v>273</v>
      </c>
      <c r="AA6242" s="1">
        <v>1366418.5</v>
      </c>
      <c r="AB6242" s="1" t="s">
        <v>4482</v>
      </c>
      <c r="AC6242" s="5">
        <v>43601</v>
      </c>
      <c r="AF6242" s="1">
        <v>10002</v>
      </c>
      <c r="AI6242" s="1" t="s">
        <v>66</v>
      </c>
      <c r="AJ6242" s="1">
        <v>2019</v>
      </c>
      <c r="AK6242" s="1" t="s">
        <v>49</v>
      </c>
      <c r="AL6242" s="1">
        <v>787</v>
      </c>
    </row>
    <row r="6243" spans="1:38" x14ac:dyDescent="0.2">
      <c r="A6243" s="2" t="str">
        <f>HYPERLINK("https://www.compass.com/listing/252-south-street-unit-23b-manhattan-ny-10002/276887425639294593/","252 South St, Unit 23B")</f>
        <v>252 South St, Unit 23B</v>
      </c>
      <c r="B6243" s="2" t="str">
        <f t="shared" si="1015"/>
        <v>One Manhattan Square</v>
      </c>
      <c r="C6243" s="1" t="s">
        <v>47</v>
      </c>
      <c r="D6243" s="1" t="s">
        <v>41</v>
      </c>
      <c r="E6243" s="3">
        <v>1416313</v>
      </c>
      <c r="F6243" s="1">
        <v>2034.9321120689599</v>
      </c>
      <c r="M6243" s="1">
        <v>696</v>
      </c>
      <c r="Q6243" s="1" t="s">
        <v>42</v>
      </c>
      <c r="S6243" s="1" t="s">
        <v>42</v>
      </c>
      <c r="T6243" s="1" t="s">
        <v>273</v>
      </c>
      <c r="AA6243" s="1">
        <v>1416312.75</v>
      </c>
      <c r="AB6243" s="1" t="s">
        <v>4483</v>
      </c>
      <c r="AC6243" s="5">
        <v>43608</v>
      </c>
      <c r="AF6243" s="1">
        <v>10002</v>
      </c>
      <c r="AI6243" s="1" t="s">
        <v>66</v>
      </c>
      <c r="AJ6243" s="1">
        <v>2019</v>
      </c>
      <c r="AK6243" s="1" t="s">
        <v>49</v>
      </c>
      <c r="AL6243" s="1">
        <v>787</v>
      </c>
    </row>
    <row r="6244" spans="1:38" x14ac:dyDescent="0.2">
      <c r="A6244" s="2" t="str">
        <f>HYPERLINK("https://www.compass.com/listing/252-south-street-unit-23c-manhattan-ny-10002/276887426176246049/","252 South St, Unit 23C")</f>
        <v>252 South St, Unit 23C</v>
      </c>
      <c r="B6244" s="2" t="str">
        <f t="shared" si="1015"/>
        <v>One Manhattan Square</v>
      </c>
      <c r="C6244" s="1" t="s">
        <v>47</v>
      </c>
      <c r="D6244" s="1" t="s">
        <v>41</v>
      </c>
      <c r="E6244" s="3">
        <v>1414380</v>
      </c>
      <c r="F6244" s="1">
        <v>2035.0786762589901</v>
      </c>
      <c r="M6244" s="1">
        <v>695</v>
      </c>
      <c r="Q6244" s="1" t="s">
        <v>42</v>
      </c>
      <c r="S6244" s="1" t="s">
        <v>42</v>
      </c>
      <c r="T6244" s="1" t="s">
        <v>273</v>
      </c>
      <c r="AA6244" s="1">
        <v>1414379.68</v>
      </c>
      <c r="AB6244" s="1" t="s">
        <v>4484</v>
      </c>
      <c r="AC6244" s="5">
        <v>43595</v>
      </c>
      <c r="AF6244" s="1">
        <v>10002</v>
      </c>
      <c r="AI6244" s="1" t="s">
        <v>66</v>
      </c>
      <c r="AJ6244" s="1">
        <v>2019</v>
      </c>
      <c r="AK6244" s="1" t="s">
        <v>49</v>
      </c>
      <c r="AL6244" s="1">
        <v>787</v>
      </c>
    </row>
    <row r="6245" spans="1:38" x14ac:dyDescent="0.2">
      <c r="A6245" s="2" t="str">
        <f>HYPERLINK("https://www.compass.com/listing/252-south-street-unit-24b-manhattan-ny-10002/276887427593843121/","252 South St, Unit 24B")</f>
        <v>252 South St, Unit 24B</v>
      </c>
      <c r="B6245" s="2" t="str">
        <f t="shared" si="1015"/>
        <v>One Manhattan Square</v>
      </c>
      <c r="C6245" s="1" t="s">
        <v>47</v>
      </c>
      <c r="D6245" s="1" t="s">
        <v>41</v>
      </c>
      <c r="E6245" s="3">
        <v>1416313</v>
      </c>
      <c r="F6245" s="1">
        <v>2034.9321120689599</v>
      </c>
      <c r="M6245" s="1">
        <v>696</v>
      </c>
      <c r="Q6245" s="1" t="s">
        <v>42</v>
      </c>
      <c r="S6245" s="1" t="s">
        <v>42</v>
      </c>
      <c r="T6245" s="1" t="s">
        <v>273</v>
      </c>
      <c r="AA6245" s="1">
        <v>1416312.75</v>
      </c>
      <c r="AB6245" s="1" t="s">
        <v>4485</v>
      </c>
      <c r="AC6245" s="5">
        <v>43577</v>
      </c>
      <c r="AF6245" s="1">
        <v>10002</v>
      </c>
      <c r="AI6245" s="1" t="s">
        <v>66</v>
      </c>
      <c r="AJ6245" s="1">
        <v>2019</v>
      </c>
      <c r="AK6245" s="1" t="s">
        <v>49</v>
      </c>
      <c r="AL6245" s="1">
        <v>787</v>
      </c>
    </row>
    <row r="6246" spans="1:38" x14ac:dyDescent="0.2">
      <c r="A6246" s="2" t="str">
        <f>HYPERLINK("https://www.compass.com/listing/252-south-street-unit-26p-manhattan-ny-10002/276887438331299313/","252 South St, Unit 26P")</f>
        <v>252 South St, Unit 26P</v>
      </c>
      <c r="B6246" s="2" t="str">
        <f t="shared" si="1015"/>
        <v>One Manhattan Square</v>
      </c>
      <c r="C6246" s="1" t="s">
        <v>47</v>
      </c>
      <c r="D6246" s="1" t="s">
        <v>41</v>
      </c>
      <c r="E6246" s="3">
        <v>1526284</v>
      </c>
      <c r="F6246" s="1">
        <v>2111.0425311203298</v>
      </c>
      <c r="M6246" s="1">
        <v>723</v>
      </c>
      <c r="Q6246" s="1" t="s">
        <v>42</v>
      </c>
      <c r="S6246" s="1" t="s">
        <v>42</v>
      </c>
      <c r="T6246" s="1" t="s">
        <v>273</v>
      </c>
      <c r="AA6246" s="1">
        <v>1526283.75</v>
      </c>
      <c r="AB6246" s="1" t="s">
        <v>4486</v>
      </c>
      <c r="AC6246" s="5">
        <v>43613</v>
      </c>
      <c r="AF6246" s="1">
        <v>10002</v>
      </c>
      <c r="AI6246" s="1" t="s">
        <v>66</v>
      </c>
      <c r="AJ6246" s="1">
        <v>2019</v>
      </c>
      <c r="AK6246" s="1" t="s">
        <v>49</v>
      </c>
      <c r="AL6246" s="1">
        <v>787</v>
      </c>
    </row>
    <row r="6247" spans="1:38" x14ac:dyDescent="0.2">
      <c r="A6247" s="2" t="str">
        <f>HYPERLINK("https://www.compass.com/listing/252-south-street-unit-27j-manhattan-ny-10002/276887439077859505/","252 South St, Unit 27J")</f>
        <v>252 South St, Unit 27J</v>
      </c>
      <c r="B6247" s="2" t="str">
        <f t="shared" si="1015"/>
        <v>One Manhattan Square</v>
      </c>
      <c r="C6247" s="1" t="s">
        <v>47</v>
      </c>
      <c r="D6247" s="1" t="s">
        <v>41</v>
      </c>
      <c r="E6247" s="3">
        <v>1274115</v>
      </c>
      <c r="F6247" s="1">
        <v>1830.6246264367801</v>
      </c>
      <c r="M6247" s="1">
        <v>696</v>
      </c>
      <c r="Q6247" s="1" t="s">
        <v>42</v>
      </c>
      <c r="S6247" s="1" t="s">
        <v>42</v>
      </c>
      <c r="T6247" s="1" t="s">
        <v>273</v>
      </c>
      <c r="AA6247" s="1">
        <v>1274114.74</v>
      </c>
      <c r="AB6247" s="1" t="s">
        <v>4487</v>
      </c>
      <c r="AC6247" s="5">
        <v>43602</v>
      </c>
      <c r="AF6247" s="1">
        <v>10002</v>
      </c>
      <c r="AI6247" s="1" t="s">
        <v>66</v>
      </c>
      <c r="AJ6247" s="1">
        <v>2019</v>
      </c>
      <c r="AK6247" s="1" t="s">
        <v>49</v>
      </c>
      <c r="AL6247" s="1">
        <v>787</v>
      </c>
    </row>
    <row r="6248" spans="1:38" x14ac:dyDescent="0.2">
      <c r="A6248" s="2" t="str">
        <f>HYPERLINK("https://www.compass.com/listing/252-south-street-unit-28c-manhattan-ny-10002/276887441267288561/","252 South St, Unit 28C")</f>
        <v>252 South St, Unit 28C</v>
      </c>
      <c r="B6248" s="2" t="str">
        <f t="shared" si="1015"/>
        <v>One Manhattan Square</v>
      </c>
      <c r="C6248" s="1" t="s">
        <v>47</v>
      </c>
      <c r="D6248" s="1" t="s">
        <v>41</v>
      </c>
      <c r="E6248" s="3">
        <v>1457909</v>
      </c>
      <c r="F6248" s="1">
        <v>2097.71058992805</v>
      </c>
      <c r="M6248" s="1">
        <v>695</v>
      </c>
      <c r="Q6248" s="1" t="s">
        <v>42</v>
      </c>
      <c r="S6248" s="1" t="s">
        <v>42</v>
      </c>
      <c r="T6248" s="1" t="s">
        <v>273</v>
      </c>
      <c r="AA6248" s="1">
        <v>1457908.86</v>
      </c>
      <c r="AB6248" s="1" t="s">
        <v>4488</v>
      </c>
      <c r="AC6248" s="5">
        <v>43619</v>
      </c>
      <c r="AF6248" s="1">
        <v>10002</v>
      </c>
      <c r="AI6248" s="1" t="s">
        <v>66</v>
      </c>
      <c r="AJ6248" s="1">
        <v>2019</v>
      </c>
      <c r="AK6248" s="1" t="s">
        <v>49</v>
      </c>
      <c r="AL6248" s="1">
        <v>787</v>
      </c>
    </row>
    <row r="6249" spans="1:38" x14ac:dyDescent="0.2">
      <c r="A6249" s="2" t="str">
        <f>HYPERLINK("https://www.compass.com/listing/252-south-street-unit-29c-manhattan-ny-10002/276887445302237601/","252 South St, Unit 29C")</f>
        <v>252 South St, Unit 29C</v>
      </c>
      <c r="B6249" s="2" t="str">
        <f t="shared" si="1015"/>
        <v>One Manhattan Square</v>
      </c>
      <c r="C6249" s="1" t="s">
        <v>47</v>
      </c>
      <c r="D6249" s="1" t="s">
        <v>41</v>
      </c>
      <c r="E6249" s="3">
        <v>1438562</v>
      </c>
      <c r="F6249" s="1">
        <v>2069.8735395683402</v>
      </c>
      <c r="M6249" s="1">
        <v>695</v>
      </c>
      <c r="Q6249" s="1" t="s">
        <v>42</v>
      </c>
      <c r="S6249" s="1" t="s">
        <v>42</v>
      </c>
      <c r="T6249" s="1" t="s">
        <v>273</v>
      </c>
      <c r="AA6249" s="1">
        <v>1438562.11</v>
      </c>
      <c r="AB6249" s="1" t="s">
        <v>4489</v>
      </c>
      <c r="AC6249" s="5">
        <v>43601</v>
      </c>
      <c r="AF6249" s="1">
        <v>10002</v>
      </c>
      <c r="AI6249" s="1" t="s">
        <v>66</v>
      </c>
      <c r="AJ6249" s="1">
        <v>2019</v>
      </c>
      <c r="AK6249" s="1" t="s">
        <v>49</v>
      </c>
      <c r="AL6249" s="1">
        <v>787</v>
      </c>
    </row>
    <row r="6250" spans="1:38" x14ac:dyDescent="0.2">
      <c r="A6250" s="2" t="str">
        <f>HYPERLINK("https://www.compass.com/listing/252-south-street-unit-29d-manhattan-ny-10002/276887446627611313/","252 South St, Unit 29D")</f>
        <v>252 South St, Unit 29D</v>
      </c>
      <c r="B6250" s="2" t="str">
        <f t="shared" si="1015"/>
        <v>One Manhattan Square</v>
      </c>
      <c r="C6250" s="1" t="s">
        <v>47</v>
      </c>
      <c r="D6250" s="1" t="s">
        <v>41</v>
      </c>
      <c r="E6250" s="3">
        <v>2533589</v>
      </c>
      <c r="F6250" s="1">
        <v>2256.0895458593</v>
      </c>
      <c r="M6250" s="4">
        <v>1123</v>
      </c>
      <c r="Q6250" s="1" t="s">
        <v>42</v>
      </c>
      <c r="S6250" s="1" t="s">
        <v>42</v>
      </c>
      <c r="T6250" s="1" t="s">
        <v>273</v>
      </c>
      <c r="AA6250" s="1">
        <v>2533588.56</v>
      </c>
      <c r="AB6250" s="1" t="s">
        <v>4490</v>
      </c>
      <c r="AC6250" s="5">
        <v>43605</v>
      </c>
      <c r="AF6250" s="1">
        <v>10002</v>
      </c>
      <c r="AI6250" s="1" t="s">
        <v>66</v>
      </c>
      <c r="AJ6250" s="1">
        <v>2019</v>
      </c>
      <c r="AK6250" s="1" t="s">
        <v>49</v>
      </c>
      <c r="AL6250" s="1">
        <v>787</v>
      </c>
    </row>
    <row r="6251" spans="1:38" x14ac:dyDescent="0.2">
      <c r="A6251" s="2" t="str">
        <f>HYPERLINK("https://www.compass.com/listing/252-south-street-unit-30d-manhattan-ny-10002/276887448305361409/","252 South St, Unit 30D")</f>
        <v>252 South St, Unit 30D</v>
      </c>
      <c r="B6251" s="2" t="str">
        <f t="shared" si="1015"/>
        <v>One Manhattan Square</v>
      </c>
      <c r="C6251" s="1" t="s">
        <v>47</v>
      </c>
      <c r="D6251" s="1" t="s">
        <v>41</v>
      </c>
      <c r="E6251" s="3">
        <v>2685460</v>
      </c>
      <c r="F6251" s="1">
        <v>2391.3267586820998</v>
      </c>
      <c r="M6251" s="4">
        <v>1123</v>
      </c>
      <c r="Q6251" s="1" t="s">
        <v>42</v>
      </c>
      <c r="S6251" s="1" t="s">
        <v>42</v>
      </c>
      <c r="T6251" s="1" t="s">
        <v>273</v>
      </c>
      <c r="AA6251" s="1">
        <v>2685459.95</v>
      </c>
      <c r="AB6251" s="1" t="s">
        <v>4491</v>
      </c>
      <c r="AC6251" s="5">
        <v>43616</v>
      </c>
      <c r="AF6251" s="1">
        <v>10002</v>
      </c>
      <c r="AI6251" s="1" t="s">
        <v>66</v>
      </c>
      <c r="AJ6251" s="1">
        <v>2019</v>
      </c>
      <c r="AK6251" s="1" t="s">
        <v>49</v>
      </c>
      <c r="AL6251" s="1">
        <v>787</v>
      </c>
    </row>
    <row r="6252" spans="1:38" x14ac:dyDescent="0.2">
      <c r="A6252" s="2" t="str">
        <f>HYPERLINK("https://www.compass.com/listing/252-south-street-unit-30p-manhattan-ny-10002/276887449748125633/","252 South St, Unit 30P")</f>
        <v>252 South St, Unit 30P</v>
      </c>
      <c r="B6252" s="2" t="str">
        <f t="shared" si="1015"/>
        <v>One Manhattan Square</v>
      </c>
      <c r="C6252" s="1" t="s">
        <v>47</v>
      </c>
      <c r="D6252" s="1" t="s">
        <v>41</v>
      </c>
      <c r="E6252" s="3">
        <v>1379734</v>
      </c>
      <c r="F6252" s="1">
        <v>1908.3455325034499</v>
      </c>
      <c r="M6252" s="1">
        <v>723</v>
      </c>
      <c r="Q6252" s="1" t="s">
        <v>42</v>
      </c>
      <c r="S6252" s="1" t="s">
        <v>42</v>
      </c>
      <c r="T6252" s="1" t="s">
        <v>273</v>
      </c>
      <c r="AA6252" s="1">
        <v>1379733.82</v>
      </c>
      <c r="AB6252" s="1" t="s">
        <v>4492</v>
      </c>
      <c r="AC6252" s="5">
        <v>43615</v>
      </c>
      <c r="AF6252" s="1">
        <v>10002</v>
      </c>
      <c r="AI6252" s="1" t="s">
        <v>66</v>
      </c>
      <c r="AJ6252" s="1">
        <v>2019</v>
      </c>
      <c r="AK6252" s="1" t="s">
        <v>49</v>
      </c>
      <c r="AL6252" s="1">
        <v>787</v>
      </c>
    </row>
    <row r="6253" spans="1:38" x14ac:dyDescent="0.2">
      <c r="A6253" s="2" t="str">
        <f>HYPERLINK("https://www.compass.com/listing/252-south-street-unit-39m-manhattan-ny-10002/276887456056367633/","252 South St, Unit 39M")</f>
        <v>252 South St, Unit 39M</v>
      </c>
      <c r="B6253" s="2" t="str">
        <f t="shared" si="1015"/>
        <v>One Manhattan Square</v>
      </c>
      <c r="C6253" s="1" t="s">
        <v>47</v>
      </c>
      <c r="D6253" s="1" t="s">
        <v>41</v>
      </c>
      <c r="E6253" s="3">
        <v>1468203</v>
      </c>
      <c r="F6253" s="1">
        <v>2112.5222014388401</v>
      </c>
      <c r="M6253" s="1">
        <v>695</v>
      </c>
      <c r="Q6253" s="1" t="s">
        <v>42</v>
      </c>
      <c r="S6253" s="1" t="s">
        <v>42</v>
      </c>
      <c r="T6253" s="1" t="s">
        <v>273</v>
      </c>
      <c r="AA6253" s="1">
        <v>1468202.93</v>
      </c>
      <c r="AB6253" s="1" t="s">
        <v>4493</v>
      </c>
      <c r="AC6253" s="5">
        <v>43616</v>
      </c>
      <c r="AF6253" s="1">
        <v>10002</v>
      </c>
      <c r="AI6253" s="1" t="s">
        <v>66</v>
      </c>
      <c r="AJ6253" s="1">
        <v>2019</v>
      </c>
      <c r="AK6253" s="1" t="s">
        <v>49</v>
      </c>
      <c r="AL6253" s="1">
        <v>787</v>
      </c>
    </row>
    <row r="6254" spans="1:38" x14ac:dyDescent="0.2">
      <c r="A6254" s="2" t="str">
        <f>HYPERLINK("https://www.compass.com/listing/565-broome-street-unit-s8c-manhattan-ny-10013/276894822772556481/","565 Broome St, Unit S8C")</f>
        <v>565 Broome St, Unit S8C</v>
      </c>
      <c r="B6254" s="2" t="str">
        <f>HYPERLINK("https://www.compass.com/building/565-broome-soho-manhattan-ny/292813251698267109/","565 Broome Soho")</f>
        <v>565 Broome Soho</v>
      </c>
      <c r="C6254" s="1" t="s">
        <v>53</v>
      </c>
      <c r="D6254" s="1" t="s">
        <v>41</v>
      </c>
      <c r="E6254" s="3">
        <v>3474155</v>
      </c>
      <c r="F6254" s="1">
        <v>2066.71921475312</v>
      </c>
      <c r="M6254" s="4">
        <v>1681</v>
      </c>
      <c r="Q6254" s="1" t="s">
        <v>42</v>
      </c>
      <c r="S6254" s="1" t="s">
        <v>42</v>
      </c>
      <c r="T6254" s="1" t="s">
        <v>273</v>
      </c>
      <c r="AA6254" s="1">
        <v>3474155</v>
      </c>
      <c r="AB6254" s="1" t="s">
        <v>4494</v>
      </c>
      <c r="AC6254" s="5">
        <v>43584</v>
      </c>
      <c r="AF6254" s="1">
        <v>10013</v>
      </c>
      <c r="AI6254" s="1" t="s">
        <v>48</v>
      </c>
      <c r="AJ6254" s="1">
        <v>2019</v>
      </c>
      <c r="AK6254" s="1" t="s">
        <v>49</v>
      </c>
      <c r="AL6254" s="1">
        <v>115</v>
      </c>
    </row>
    <row r="6255" spans="1:38" x14ac:dyDescent="0.2">
      <c r="A6255" s="2" t="str">
        <f>HYPERLINK("https://www.compass.com/listing/277-5th-avenue-unit-ph52-manhattan-ny-10016/276928050694822737/","277 5th Ave, Unit PH52")</f>
        <v>277 5th Ave, Unit PH52</v>
      </c>
      <c r="B6255" s="2" t="str">
        <f>HYPERLINK("https://www.compass.com/building/277-fifth-avenue-manhattan-ny/281939285475645317/","277 FIFTH AVENUE")</f>
        <v>277 FIFTH AVENUE</v>
      </c>
      <c r="C6255" s="1" t="s">
        <v>40</v>
      </c>
      <c r="D6255" s="1" t="s">
        <v>41</v>
      </c>
      <c r="E6255" s="3">
        <v>17250000</v>
      </c>
      <c r="F6255" s="1">
        <v>4013.4946486737999</v>
      </c>
      <c r="M6255" s="4">
        <v>4298</v>
      </c>
      <c r="Q6255" s="1" t="s">
        <v>42</v>
      </c>
      <c r="S6255" s="1" t="s">
        <v>42</v>
      </c>
      <c r="T6255" s="1" t="s">
        <v>273</v>
      </c>
      <c r="AA6255" s="1">
        <v>17250000</v>
      </c>
      <c r="AB6255" s="1" t="s">
        <v>4495</v>
      </c>
      <c r="AC6255" s="5">
        <v>43608</v>
      </c>
      <c r="AF6255" s="1">
        <v>10016</v>
      </c>
      <c r="AI6255" s="1" t="s">
        <v>118</v>
      </c>
      <c r="AJ6255" s="1">
        <v>2019</v>
      </c>
      <c r="AK6255" s="1" t="s">
        <v>49</v>
      </c>
      <c r="AL6255" s="1">
        <v>130</v>
      </c>
    </row>
    <row r="6256" spans="1:38" x14ac:dyDescent="0.2">
      <c r="A6256" s="2" t="str">
        <f>HYPERLINK("https://www.compass.com/listing/121-east-22nd-street-unit-n308-manhattan-ny-10010/276950057847163329/","121 E 22nd St, Unit N308")</f>
        <v>121 E 22nd St, Unit N308</v>
      </c>
      <c r="B6256" s="2" t="str">
        <f>HYPERLINK("https://www.compass.com/building/121-e-22nd-manhattan-ny/292795784653461493/","121 E 22nd")</f>
        <v>121 E 22nd</v>
      </c>
      <c r="C6256" s="1" t="s">
        <v>64</v>
      </c>
      <c r="D6256" s="1" t="s">
        <v>41</v>
      </c>
      <c r="E6256" s="3">
        <v>3065000</v>
      </c>
      <c r="F6256" s="1">
        <v>1795.54774458113</v>
      </c>
      <c r="M6256" s="4">
        <v>1707</v>
      </c>
      <c r="Q6256" s="1" t="s">
        <v>42</v>
      </c>
      <c r="S6256" s="1" t="s">
        <v>42</v>
      </c>
      <c r="T6256" s="1" t="s">
        <v>273</v>
      </c>
      <c r="AA6256" s="1">
        <v>3065000</v>
      </c>
      <c r="AB6256" s="1" t="s">
        <v>4496</v>
      </c>
      <c r="AC6256" s="5">
        <v>43584</v>
      </c>
      <c r="AF6256" s="1">
        <v>10010</v>
      </c>
      <c r="AI6256" s="1" t="s">
        <v>66</v>
      </c>
      <c r="AJ6256" s="1">
        <v>2016</v>
      </c>
      <c r="AK6256" s="1" t="s">
        <v>55</v>
      </c>
      <c r="AL6256" s="1">
        <v>140</v>
      </c>
    </row>
    <row r="6257" spans="1:38" x14ac:dyDescent="0.2">
      <c r="A6257" s="2" t="str">
        <f>HYPERLINK("https://www.compass.com/listing/200-east-94th-street-unit-304-manhattan-ny-10128/277166034815819889/","200 E 94th St, Unit 304")</f>
        <v>200 E 94th St, Unit 304</v>
      </c>
      <c r="B6257" s="2" t="str">
        <f t="shared" ref="B6257:B6261" si="1016">HYPERLINK("https://www.compass.com/building/carnegie-park-condominium-manhattan-ny/282049797358118613/","Carnegie Park Condominium")</f>
        <v>Carnegie Park Condominium</v>
      </c>
      <c r="C6257" s="1" t="s">
        <v>82</v>
      </c>
      <c r="D6257" s="1" t="s">
        <v>41</v>
      </c>
      <c r="E6257" s="3">
        <v>2043585</v>
      </c>
      <c r="F6257" s="1">
        <v>1452.4415920398001</v>
      </c>
      <c r="M6257" s="4">
        <v>1407</v>
      </c>
      <c r="Q6257" s="1" t="s">
        <v>42</v>
      </c>
      <c r="S6257" s="1" t="s">
        <v>42</v>
      </c>
      <c r="T6257" s="1" t="s">
        <v>273</v>
      </c>
      <c r="AA6257" s="1">
        <v>2043585.32</v>
      </c>
      <c r="AB6257" s="1" t="s">
        <v>4497</v>
      </c>
      <c r="AC6257" s="5">
        <v>43605</v>
      </c>
      <c r="AF6257" s="1">
        <v>10128</v>
      </c>
      <c r="AI6257" s="1" t="s">
        <v>163</v>
      </c>
      <c r="AJ6257" s="1">
        <v>1986</v>
      </c>
      <c r="AK6257" s="1" t="s">
        <v>55</v>
      </c>
      <c r="AL6257" s="1">
        <v>287</v>
      </c>
    </row>
    <row r="6258" spans="1:38" x14ac:dyDescent="0.2">
      <c r="A6258" s="2" t="str">
        <f>HYPERLINK("https://www.compass.com/listing/200-east-94th-street-unit-615-manhattan-ny-10128/277166072950449153/","200 E 94th St, Unit 615")</f>
        <v>200 E 94th St, Unit 615</v>
      </c>
      <c r="B6258" s="2" t="str">
        <f t="shared" si="1016"/>
        <v>Carnegie Park Condominium</v>
      </c>
      <c r="C6258" s="1" t="s">
        <v>82</v>
      </c>
      <c r="D6258" s="1" t="s">
        <v>41</v>
      </c>
      <c r="E6258" s="3">
        <v>1755081</v>
      </c>
      <c r="F6258" s="1">
        <v>1631.1162267657901</v>
      </c>
      <c r="H6258" s="1">
        <v>2</v>
      </c>
      <c r="J6258" s="1">
        <v>2</v>
      </c>
      <c r="K6258" s="1">
        <v>2</v>
      </c>
      <c r="M6258" s="4">
        <v>1076</v>
      </c>
      <c r="N6258" s="1">
        <v>1214</v>
      </c>
      <c r="O6258" s="1">
        <v>2524</v>
      </c>
      <c r="P6258" s="1">
        <v>1310</v>
      </c>
      <c r="Q6258" s="1" t="s">
        <v>42</v>
      </c>
      <c r="S6258" s="1" t="s">
        <v>42</v>
      </c>
      <c r="T6258" s="1" t="s">
        <v>273</v>
      </c>
      <c r="AA6258" s="1">
        <v>1755081.06</v>
      </c>
      <c r="AB6258" s="1" t="s">
        <v>4498</v>
      </c>
      <c r="AC6258" s="5">
        <v>43588</v>
      </c>
      <c r="AF6258" s="1">
        <v>10128</v>
      </c>
      <c r="AI6258" s="1" t="s">
        <v>163</v>
      </c>
      <c r="AJ6258" s="1">
        <v>1986</v>
      </c>
      <c r="AK6258" s="1" t="s">
        <v>55</v>
      </c>
      <c r="AL6258" s="1">
        <v>287</v>
      </c>
    </row>
    <row r="6259" spans="1:38" x14ac:dyDescent="0.2">
      <c r="A6259" s="2" t="str">
        <f>HYPERLINK("https://www.compass.com/listing/200-east-94th-street-unit-1809-manhattan-ny-10128/277166167532035409/","200 E 94th St, Unit 1809")</f>
        <v>200 E 94th St, Unit 1809</v>
      </c>
      <c r="B6259" s="2" t="str">
        <f t="shared" si="1016"/>
        <v>Carnegie Park Condominium</v>
      </c>
      <c r="C6259" s="1" t="s">
        <v>82</v>
      </c>
      <c r="D6259" s="1" t="s">
        <v>41</v>
      </c>
      <c r="E6259" s="3">
        <v>4147543</v>
      </c>
      <c r="F6259" s="1">
        <v>1816.70730617608</v>
      </c>
      <c r="M6259" s="4">
        <v>2283</v>
      </c>
      <c r="Q6259" s="1" t="s">
        <v>42</v>
      </c>
      <c r="S6259" s="1" t="s">
        <v>42</v>
      </c>
      <c r="T6259" s="1" t="s">
        <v>273</v>
      </c>
      <c r="AA6259" s="1">
        <v>4147542.78</v>
      </c>
      <c r="AB6259" s="1" t="s">
        <v>4499</v>
      </c>
      <c r="AC6259" s="5">
        <v>43616</v>
      </c>
      <c r="AF6259" s="1">
        <v>10128</v>
      </c>
      <c r="AI6259" s="1" t="s">
        <v>163</v>
      </c>
      <c r="AJ6259" s="1">
        <v>1986</v>
      </c>
      <c r="AK6259" s="1" t="s">
        <v>55</v>
      </c>
      <c r="AL6259" s="1">
        <v>287</v>
      </c>
    </row>
    <row r="6260" spans="1:38" x14ac:dyDescent="0.2">
      <c r="A6260" s="2" t="str">
        <f>HYPERLINK("https://www.compass.com/listing/200-east-94th-street-unit-2111-manhattan-ny-10128/277166180542789345/","200 E 94th St, Unit 2111")</f>
        <v>200 E 94th St, Unit 2111</v>
      </c>
      <c r="B6260" s="2" t="str">
        <f t="shared" si="1016"/>
        <v>Carnegie Park Condominium</v>
      </c>
      <c r="C6260" s="1" t="s">
        <v>82</v>
      </c>
      <c r="D6260" s="1" t="s">
        <v>41</v>
      </c>
      <c r="E6260" s="3">
        <v>1299775</v>
      </c>
      <c r="F6260" s="1">
        <v>1521.9842740046799</v>
      </c>
      <c r="H6260" s="1">
        <v>1</v>
      </c>
      <c r="J6260" s="1">
        <v>1</v>
      </c>
      <c r="M6260" s="1">
        <v>854</v>
      </c>
      <c r="N6260" s="1">
        <v>963</v>
      </c>
      <c r="O6260" s="1">
        <v>1987</v>
      </c>
      <c r="P6260" s="1">
        <v>1024</v>
      </c>
      <c r="Q6260" s="1" t="s">
        <v>42</v>
      </c>
      <c r="S6260" s="1" t="s">
        <v>42</v>
      </c>
      <c r="T6260" s="1" t="s">
        <v>273</v>
      </c>
      <c r="AA6260" s="1">
        <v>1299774.57</v>
      </c>
      <c r="AB6260" s="1" t="s">
        <v>4500</v>
      </c>
      <c r="AC6260" s="5">
        <v>43607</v>
      </c>
      <c r="AF6260" s="1">
        <v>10128</v>
      </c>
      <c r="AI6260" s="1" t="s">
        <v>163</v>
      </c>
      <c r="AJ6260" s="1">
        <v>1986</v>
      </c>
      <c r="AK6260" s="1" t="s">
        <v>55</v>
      </c>
      <c r="AL6260" s="1">
        <v>287</v>
      </c>
    </row>
    <row r="6261" spans="1:38" x14ac:dyDescent="0.2">
      <c r="A6261" s="2" t="str">
        <f>HYPERLINK("https://www.compass.com/listing/200-east-94th-street-unit-2909-manhattan-ny-10128/277166221714083057/","200 E 94th St, Unit 2909")</f>
        <v>200 E 94th St, Unit 2909</v>
      </c>
      <c r="B6261" s="2" t="str">
        <f t="shared" si="1016"/>
        <v>Carnegie Park Condominium</v>
      </c>
      <c r="C6261" s="1" t="s">
        <v>82</v>
      </c>
      <c r="D6261" s="1" t="s">
        <v>41</v>
      </c>
      <c r="E6261" s="3">
        <v>1218392</v>
      </c>
      <c r="F6261" s="1">
        <v>1615.9044297082201</v>
      </c>
      <c r="M6261" s="1">
        <v>754</v>
      </c>
      <c r="Q6261" s="1" t="s">
        <v>42</v>
      </c>
      <c r="S6261" s="1" t="s">
        <v>42</v>
      </c>
      <c r="T6261" s="1" t="s">
        <v>273</v>
      </c>
      <c r="AA6261" s="1">
        <v>1218391.94</v>
      </c>
      <c r="AB6261" s="1" t="s">
        <v>4501</v>
      </c>
      <c r="AC6261" s="5">
        <v>43580</v>
      </c>
      <c r="AF6261" s="1">
        <v>10128</v>
      </c>
      <c r="AI6261" s="1" t="s">
        <v>163</v>
      </c>
      <c r="AJ6261" s="1">
        <v>1986</v>
      </c>
      <c r="AK6261" s="1" t="s">
        <v>55</v>
      </c>
      <c r="AL6261" s="1">
        <v>287</v>
      </c>
    </row>
    <row r="6262" spans="1:38" x14ac:dyDescent="0.2">
      <c r="A6262" s="2" t="str">
        <f>HYPERLINK("https://www.compass.com/listing/70-west-139th-street-unit-4d-manhattan-ny-10037/277177040929658337/","70 W 139th St, Unit 4D")</f>
        <v>70 W 139th St, Unit 4D</v>
      </c>
      <c r="B6262" s="2" t="str">
        <f>HYPERLINK("https://www.compass.com/building/70-w-139th-st-manhattan-ny-10037/292920118235647477/","70 W 139th St")</f>
        <v>70 W 139th St</v>
      </c>
      <c r="C6262" s="1" t="s">
        <v>84</v>
      </c>
      <c r="D6262" s="1" t="s">
        <v>41</v>
      </c>
      <c r="E6262" s="3">
        <v>426337</v>
      </c>
      <c r="F6262" s="1">
        <v>481.73672316384102</v>
      </c>
      <c r="M6262" s="1">
        <v>885</v>
      </c>
      <c r="Q6262" s="1" t="s">
        <v>42</v>
      </c>
      <c r="S6262" s="1" t="s">
        <v>42</v>
      </c>
      <c r="T6262" s="1" t="s">
        <v>273</v>
      </c>
      <c r="AA6262" s="1">
        <v>426337</v>
      </c>
      <c r="AB6262" s="1" t="s">
        <v>4502</v>
      </c>
      <c r="AC6262" s="5">
        <v>43600</v>
      </c>
      <c r="AF6262" s="1">
        <v>10037</v>
      </c>
      <c r="AI6262" s="1" t="s">
        <v>48</v>
      </c>
      <c r="AJ6262" s="1">
        <v>2018</v>
      </c>
      <c r="AL6262" s="1">
        <v>64</v>
      </c>
    </row>
    <row r="6263" spans="1:38" x14ac:dyDescent="0.2">
      <c r="A6263" s="2" t="str">
        <f>HYPERLINK("https://www.compass.com/listing/15-hudson-yards-unit-36a-manhattan-ny-10001/278843170245123329/","15 Hudson Yards, Unit 36A")</f>
        <v>15 Hudson Yards, Unit 36A</v>
      </c>
      <c r="B6263" s="2" t="str">
        <f t="shared" ref="B6263:B6264" si="1017">HYPERLINK("https://www.compass.com/building/fifteen-hudson-yards-manhattan-ny/282058587512011909/","Fifteen Hudson Yards")</f>
        <v>Fifteen Hudson Yards</v>
      </c>
      <c r="C6263" s="1" t="s">
        <v>77</v>
      </c>
      <c r="D6263" s="1" t="s">
        <v>41</v>
      </c>
      <c r="E6263" s="3">
        <v>5120000</v>
      </c>
      <c r="F6263" s="1">
        <v>2882.88288288288</v>
      </c>
      <c r="G6263" s="1">
        <v>4</v>
      </c>
      <c r="H6263" s="1">
        <v>2</v>
      </c>
      <c r="I6263" s="1">
        <v>3</v>
      </c>
      <c r="J6263" s="1">
        <v>2.5</v>
      </c>
      <c r="K6263" s="1">
        <v>2</v>
      </c>
      <c r="L6263" s="1">
        <v>1</v>
      </c>
      <c r="M6263" s="4">
        <v>1776</v>
      </c>
      <c r="N6263" s="1">
        <v>3982</v>
      </c>
      <c r="O6263" s="1">
        <v>4037</v>
      </c>
      <c r="P6263" s="1">
        <v>55</v>
      </c>
      <c r="Q6263" s="1" t="s">
        <v>42</v>
      </c>
      <c r="S6263" s="1" t="s">
        <v>42</v>
      </c>
      <c r="T6263" s="1" t="s">
        <v>273</v>
      </c>
      <c r="U6263" s="1">
        <v>836</v>
      </c>
      <c r="V6263" s="5">
        <v>43637</v>
      </c>
      <c r="W6263" s="5">
        <v>42797</v>
      </c>
      <c r="AA6263" s="1">
        <v>5120000</v>
      </c>
      <c r="AB6263" s="1" t="s">
        <v>275</v>
      </c>
      <c r="AC6263" s="5">
        <v>43634</v>
      </c>
      <c r="AF6263" s="1">
        <v>10001</v>
      </c>
      <c r="AJ6263" s="1">
        <v>2018</v>
      </c>
      <c r="AK6263" s="1" t="s">
        <v>46</v>
      </c>
      <c r="AL6263" s="1">
        <v>285</v>
      </c>
    </row>
    <row r="6264" spans="1:38" x14ac:dyDescent="0.2">
      <c r="A6264" s="2" t="str">
        <f>HYPERLINK("https://www.compass.com/listing/15-hudson-yards-unit-29e-manhattan-ny-10001/281922052414321025/","15 Hudson Yards, Unit 29E")</f>
        <v>15 Hudson Yards, Unit 29E</v>
      </c>
      <c r="B6264" s="2" t="str">
        <f t="shared" si="1017"/>
        <v>Fifteen Hudson Yards</v>
      </c>
      <c r="C6264" s="1" t="s">
        <v>77</v>
      </c>
      <c r="D6264" s="1" t="s">
        <v>41</v>
      </c>
      <c r="E6264" s="3">
        <v>2325000</v>
      </c>
      <c r="F6264" s="1">
        <v>2346.11503531786</v>
      </c>
      <c r="G6264" s="1">
        <v>3</v>
      </c>
      <c r="H6264" s="1">
        <v>1</v>
      </c>
      <c r="I6264" s="1">
        <v>2</v>
      </c>
      <c r="J6264" s="1">
        <v>1.5</v>
      </c>
      <c r="K6264" s="1">
        <v>1</v>
      </c>
      <c r="L6264" s="1">
        <v>1</v>
      </c>
      <c r="M6264" s="1">
        <v>991</v>
      </c>
      <c r="N6264" s="1">
        <v>2154</v>
      </c>
      <c r="O6264" s="1">
        <v>2184</v>
      </c>
      <c r="P6264" s="1">
        <v>30</v>
      </c>
      <c r="Q6264" s="1" t="s">
        <v>42</v>
      </c>
      <c r="S6264" s="1" t="s">
        <v>42</v>
      </c>
      <c r="T6264" s="1" t="s">
        <v>273</v>
      </c>
      <c r="U6264" s="1">
        <v>965</v>
      </c>
      <c r="V6264" s="5">
        <v>43641</v>
      </c>
      <c r="W6264" s="5">
        <v>42675</v>
      </c>
      <c r="X6264" s="1">
        <v>2325000</v>
      </c>
      <c r="Y6264" s="1">
        <v>2325000</v>
      </c>
      <c r="AA6264" s="1">
        <v>2325000</v>
      </c>
      <c r="AB6264" s="1" t="s">
        <v>275</v>
      </c>
      <c r="AC6264" s="5">
        <v>43640</v>
      </c>
      <c r="AF6264" s="1">
        <v>10001</v>
      </c>
      <c r="AJ6264" s="1">
        <v>2018</v>
      </c>
      <c r="AK6264" s="1" t="s">
        <v>46</v>
      </c>
      <c r="AL6264" s="1">
        <v>285</v>
      </c>
    </row>
    <row r="6265" spans="1:38" x14ac:dyDescent="0.2">
      <c r="A6265" s="2" t="str">
        <f>HYPERLINK("https://www.compass.com/listing/220-central-park-south-unit-villa-4-manhattan-ny-10019/282538910398030097/","220 Central Park S, Unit VILLA 4")</f>
        <v>220 Central Park S, Unit VILLA 4</v>
      </c>
      <c r="B6265" s="2" t="str">
        <f>HYPERLINK("https://www.compass.com/building/220-central-park-south-manhattan-ny/281944232648828453/","220 Central Park South")</f>
        <v>220 Central Park South</v>
      </c>
      <c r="C6265" s="1" t="s">
        <v>260</v>
      </c>
      <c r="D6265" s="1" t="s">
        <v>41</v>
      </c>
      <c r="E6265" s="3">
        <v>33296775</v>
      </c>
      <c r="F6265" s="1">
        <v>6667.3558269923897</v>
      </c>
      <c r="G6265" s="1">
        <v>6</v>
      </c>
      <c r="H6265" s="1">
        <v>5</v>
      </c>
      <c r="I6265" s="1">
        <v>7</v>
      </c>
      <c r="J6265" s="1">
        <v>6.5</v>
      </c>
      <c r="K6265" s="1">
        <v>6</v>
      </c>
      <c r="L6265" s="1">
        <v>1</v>
      </c>
      <c r="M6265" s="4">
        <v>4994</v>
      </c>
      <c r="N6265" s="1">
        <v>9605</v>
      </c>
      <c r="O6265" s="1">
        <v>21474</v>
      </c>
      <c r="P6265" s="1">
        <v>11869</v>
      </c>
      <c r="Q6265" s="1" t="s">
        <v>42</v>
      </c>
      <c r="S6265" s="1" t="s">
        <v>42</v>
      </c>
      <c r="T6265" s="1" t="s">
        <v>273</v>
      </c>
      <c r="U6265" s="1">
        <v>14</v>
      </c>
      <c r="V6265" s="5">
        <v>44072</v>
      </c>
      <c r="W6265" s="5">
        <v>43623</v>
      </c>
      <c r="X6265" s="1">
        <v>32700000</v>
      </c>
      <c r="Y6265" s="1">
        <v>32700000</v>
      </c>
      <c r="AA6265" s="1">
        <v>33296775</v>
      </c>
      <c r="AB6265" s="1" t="s">
        <v>4503</v>
      </c>
      <c r="AC6265" s="5">
        <v>43637</v>
      </c>
      <c r="AF6265" s="1">
        <v>10019</v>
      </c>
      <c r="AI6265" s="1" t="s">
        <v>101</v>
      </c>
      <c r="AJ6265" s="1">
        <v>2018</v>
      </c>
      <c r="AK6265" s="1" t="s">
        <v>46</v>
      </c>
      <c r="AL6265" s="1">
        <v>117</v>
      </c>
    </row>
    <row r="6266" spans="1:38" x14ac:dyDescent="0.2">
      <c r="A6266" s="2" t="str">
        <f>HYPERLINK("https://www.compass.com/listing/15-hudson-yards-unit-39j-manhattan-ny-10001/284658216242066193/","15 Hudson Yards, Unit 39J")</f>
        <v>15 Hudson Yards, Unit 39J</v>
      </c>
      <c r="B6266" s="2" t="str">
        <f t="shared" ref="B6266:B6267" si="1018">HYPERLINK("https://www.compass.com/building/fifteen-hudson-yards-manhattan-ny/282058587512011909/","Fifteen Hudson Yards")</f>
        <v>Fifteen Hudson Yards</v>
      </c>
      <c r="C6266" s="1" t="s">
        <v>77</v>
      </c>
      <c r="D6266" s="1" t="s">
        <v>41</v>
      </c>
      <c r="E6266" s="3">
        <v>2875000</v>
      </c>
      <c r="F6266" s="1">
        <v>2517.51313485113</v>
      </c>
      <c r="G6266" s="1">
        <v>3</v>
      </c>
      <c r="H6266" s="1">
        <v>1</v>
      </c>
      <c r="I6266" s="1">
        <v>2</v>
      </c>
      <c r="J6266" s="1">
        <v>1.5</v>
      </c>
      <c r="K6266" s="1">
        <v>1</v>
      </c>
      <c r="L6266" s="1">
        <v>1</v>
      </c>
      <c r="M6266" s="4">
        <v>1142</v>
      </c>
      <c r="N6266" s="1">
        <v>2516</v>
      </c>
      <c r="O6266" s="1">
        <v>2551</v>
      </c>
      <c r="P6266" s="1">
        <v>35</v>
      </c>
      <c r="Q6266" s="1" t="s">
        <v>42</v>
      </c>
      <c r="S6266" s="1" t="s">
        <v>42</v>
      </c>
      <c r="T6266" s="1" t="s">
        <v>273</v>
      </c>
      <c r="U6266" s="1">
        <v>989</v>
      </c>
      <c r="V6266" s="5">
        <v>43645</v>
      </c>
      <c r="W6266" s="5">
        <v>42654</v>
      </c>
      <c r="AA6266" s="1">
        <v>2875000</v>
      </c>
      <c r="AB6266" s="1" t="s">
        <v>275</v>
      </c>
      <c r="AC6266" s="5">
        <v>43643</v>
      </c>
      <c r="AF6266" s="1">
        <v>10001</v>
      </c>
      <c r="AJ6266" s="1">
        <v>2018</v>
      </c>
      <c r="AK6266" s="1" t="s">
        <v>46</v>
      </c>
      <c r="AL6266" s="1">
        <v>285</v>
      </c>
    </row>
    <row r="6267" spans="1:38" x14ac:dyDescent="0.2">
      <c r="A6267" s="2" t="str">
        <f>HYPERLINK("https://www.compass.com/listing/15-hudson-yards-unit-72f-manhattan-ny-10001/284658216460109905/","15 Hudson Yards, Unit 72F")</f>
        <v>15 Hudson Yards, Unit 72F</v>
      </c>
      <c r="B6267" s="2" t="str">
        <f t="shared" si="1018"/>
        <v>Fifteen Hudson Yards</v>
      </c>
      <c r="C6267" s="1" t="s">
        <v>77</v>
      </c>
      <c r="D6267" s="1" t="s">
        <v>41</v>
      </c>
      <c r="E6267" s="3">
        <v>5084818</v>
      </c>
      <c r="F6267" s="1">
        <v>2956.2892441860399</v>
      </c>
      <c r="G6267" s="1">
        <v>4</v>
      </c>
      <c r="H6267" s="1">
        <v>2</v>
      </c>
      <c r="I6267" s="1">
        <v>3</v>
      </c>
      <c r="J6267" s="1">
        <v>2.5</v>
      </c>
      <c r="K6267" s="1">
        <v>2</v>
      </c>
      <c r="L6267" s="1">
        <v>1</v>
      </c>
      <c r="M6267" s="4">
        <v>1720</v>
      </c>
      <c r="N6267" s="1">
        <v>3871</v>
      </c>
      <c r="O6267" s="1">
        <v>3925</v>
      </c>
      <c r="P6267" s="1">
        <v>54</v>
      </c>
      <c r="Q6267" s="1" t="s">
        <v>42</v>
      </c>
      <c r="S6267" s="1" t="s">
        <v>42</v>
      </c>
      <c r="T6267" s="1" t="s">
        <v>273</v>
      </c>
      <c r="U6267" s="1">
        <v>918</v>
      </c>
      <c r="V6267" s="5">
        <v>43645</v>
      </c>
      <c r="W6267" s="5">
        <v>42723</v>
      </c>
      <c r="AA6267" s="1">
        <v>5084817.5</v>
      </c>
      <c r="AB6267" s="1" t="s">
        <v>4504</v>
      </c>
      <c r="AC6267" s="5">
        <v>43642</v>
      </c>
      <c r="AF6267" s="1">
        <v>10001</v>
      </c>
      <c r="AJ6267" s="1">
        <v>2018</v>
      </c>
      <c r="AK6267" s="1" t="s">
        <v>46</v>
      </c>
      <c r="AL6267" s="1">
        <v>285</v>
      </c>
    </row>
    <row r="6268" spans="1:38" x14ac:dyDescent="0.2">
      <c r="A6268" s="2" t="str">
        <f>HYPERLINK("https://www.compass.com/listing/180-east-88th-street-unit-6b-manhattan-ny-10128/284694638328075793/","180 E 88th St, Unit 6B")</f>
        <v>180 E 88th St, Unit 6B</v>
      </c>
      <c r="B6268" s="2" t="str">
        <f>HYPERLINK("https://www.compass.com/building/180-e-88th-st-manhattan-ny-10128/282058835781256373/","180 E 88th St")</f>
        <v>180 E 88th St</v>
      </c>
      <c r="C6268" s="1" t="s">
        <v>82</v>
      </c>
      <c r="D6268" s="1" t="s">
        <v>41</v>
      </c>
      <c r="E6268" s="3">
        <v>1419000</v>
      </c>
      <c r="F6268" s="1">
        <v>1917.56756756756</v>
      </c>
      <c r="G6268" s="1">
        <v>1</v>
      </c>
      <c r="H6268" s="1" t="s">
        <v>99</v>
      </c>
      <c r="I6268" s="1">
        <v>1</v>
      </c>
      <c r="J6268" s="1">
        <v>1</v>
      </c>
      <c r="K6268" s="1">
        <v>1</v>
      </c>
      <c r="M6268" s="1">
        <v>740</v>
      </c>
      <c r="N6268" s="1">
        <v>1056</v>
      </c>
      <c r="O6268" s="1">
        <v>1887</v>
      </c>
      <c r="P6268" s="1">
        <v>831</v>
      </c>
      <c r="Q6268" s="1" t="s">
        <v>42</v>
      </c>
      <c r="S6268" s="1" t="s">
        <v>42</v>
      </c>
      <c r="T6268" s="1" t="s">
        <v>273</v>
      </c>
      <c r="U6268" s="1">
        <v>6</v>
      </c>
      <c r="V6268" s="5">
        <v>43664</v>
      </c>
      <c r="W6268" s="5">
        <v>43637</v>
      </c>
      <c r="X6268" s="1">
        <v>1575000</v>
      </c>
      <c r="Y6268" s="1">
        <v>1575000</v>
      </c>
      <c r="AA6268" s="1">
        <v>1419000</v>
      </c>
      <c r="AB6268" s="1" t="s">
        <v>4505</v>
      </c>
      <c r="AC6268" s="5">
        <v>43643</v>
      </c>
      <c r="AF6268" s="1">
        <v>10128</v>
      </c>
      <c r="AJ6268" s="1">
        <v>2019</v>
      </c>
      <c r="AK6268" s="1" t="s">
        <v>46</v>
      </c>
      <c r="AL6268" s="1">
        <v>48</v>
      </c>
    </row>
    <row r="6269" spans="1:38" x14ac:dyDescent="0.2">
      <c r="A6269" s="2" t="str">
        <f>HYPERLINK("https://www.compass.com/listing/15-hudson-yards-unit-39f-manhattan-ny-10001/286820357287990257/","15 Hudson Yards, Unit 39F")</f>
        <v>15 Hudson Yards, Unit 39F</v>
      </c>
      <c r="B6269" s="2" t="str">
        <f>HYPERLINK("https://www.compass.com/building/fifteen-hudson-yards-manhattan-ny/282058587512011909/","Fifteen Hudson Yards")</f>
        <v>Fifteen Hudson Yards</v>
      </c>
      <c r="C6269" s="1" t="s">
        <v>77</v>
      </c>
      <c r="D6269" s="1" t="s">
        <v>41</v>
      </c>
      <c r="E6269" s="3">
        <v>2475000</v>
      </c>
      <c r="F6269" s="1">
        <v>2372.9626078619299</v>
      </c>
      <c r="G6269" s="1">
        <v>3</v>
      </c>
      <c r="H6269" s="1">
        <v>1</v>
      </c>
      <c r="I6269" s="1">
        <v>1</v>
      </c>
      <c r="J6269" s="1">
        <v>1</v>
      </c>
      <c r="K6269" s="1">
        <v>1</v>
      </c>
      <c r="M6269" s="4">
        <v>1043</v>
      </c>
      <c r="N6269" s="1">
        <v>2269</v>
      </c>
      <c r="O6269" s="1">
        <v>2301</v>
      </c>
      <c r="P6269" s="1">
        <v>32</v>
      </c>
      <c r="Q6269" s="1" t="s">
        <v>42</v>
      </c>
      <c r="S6269" s="1" t="s">
        <v>42</v>
      </c>
      <c r="T6269" s="1" t="s">
        <v>273</v>
      </c>
      <c r="U6269" s="1">
        <v>977</v>
      </c>
      <c r="V6269" s="5">
        <v>43648</v>
      </c>
      <c r="W6269" s="5">
        <v>42667</v>
      </c>
      <c r="AA6269" s="1">
        <v>2475000</v>
      </c>
      <c r="AB6269" s="1" t="s">
        <v>275</v>
      </c>
      <c r="AC6269" s="5">
        <v>43644</v>
      </c>
      <c r="AF6269" s="1">
        <v>10001</v>
      </c>
      <c r="AJ6269" s="1">
        <v>2018</v>
      </c>
      <c r="AK6269" s="1" t="s">
        <v>49</v>
      </c>
      <c r="AL6269" s="1">
        <v>285</v>
      </c>
    </row>
    <row r="6270" spans="1:38" x14ac:dyDescent="0.2">
      <c r="A6270" s="2" t="str">
        <f>HYPERLINK("https://www.compass.com/listing/55-west-17th-street-unit-ph-manhattan-ny-10011/29283895895705201/","55 W 17th St, Unit PH")</f>
        <v>55 W 17th St, Unit PH</v>
      </c>
      <c r="B6270" s="2" t="str">
        <f>HYPERLINK("https://www.compass.com/building/55-w-17th-st-manhattan-ny-10011/281911689161499829/","55 W 17th St")</f>
        <v>55 W 17th St</v>
      </c>
      <c r="C6270" s="1" t="s">
        <v>56</v>
      </c>
      <c r="D6270" s="1" t="s">
        <v>41</v>
      </c>
      <c r="E6270" s="3">
        <v>16756322</v>
      </c>
      <c r="F6270" s="1">
        <v>3482.9187279151902</v>
      </c>
      <c r="G6270" s="1">
        <v>9</v>
      </c>
      <c r="H6270" s="1">
        <v>4</v>
      </c>
      <c r="I6270" s="1">
        <v>6</v>
      </c>
      <c r="J6270" s="1">
        <v>5.5</v>
      </c>
      <c r="M6270" s="4">
        <v>4811</v>
      </c>
      <c r="N6270" s="1">
        <v>7424</v>
      </c>
      <c r="O6270" s="1">
        <v>16168</v>
      </c>
      <c r="P6270" s="1">
        <v>8744</v>
      </c>
      <c r="Q6270" s="1" t="s">
        <v>42</v>
      </c>
      <c r="S6270" s="1" t="s">
        <v>42</v>
      </c>
      <c r="T6270" s="1" t="s">
        <v>273</v>
      </c>
      <c r="U6270" s="1">
        <v>9</v>
      </c>
      <c r="V6270" s="5">
        <v>43300</v>
      </c>
      <c r="W6270" s="5">
        <v>42340</v>
      </c>
      <c r="X6270" s="1">
        <v>15249990</v>
      </c>
      <c r="Y6270" s="1">
        <v>15249990</v>
      </c>
      <c r="Z6270" s="5">
        <v>42350</v>
      </c>
      <c r="AA6270" s="1">
        <v>16756322</v>
      </c>
      <c r="AB6270" s="1" t="s">
        <v>4506</v>
      </c>
      <c r="AC6270" s="5">
        <v>43074</v>
      </c>
      <c r="AF6270" s="1">
        <v>10011</v>
      </c>
      <c r="AI6270" s="1" t="s">
        <v>102</v>
      </c>
      <c r="AJ6270" s="1">
        <v>2018</v>
      </c>
      <c r="AK6270" s="1" t="s">
        <v>108</v>
      </c>
      <c r="AL6270" s="1">
        <v>52</v>
      </c>
    </row>
    <row r="6271" spans="1:38" x14ac:dyDescent="0.2">
      <c r="A6271" s="2" t="str">
        <f>HYPERLINK("https://www.compass.com/listing/50-west-street-unit-7b-manhattan-ny-10006/29355193359466033/","50 West St, Unit 7B")</f>
        <v>50 West St, Unit 7B</v>
      </c>
      <c r="B6271" s="2" t="str">
        <f t="shared" ref="B6271:B6300" si="1019">HYPERLINK("https://www.compass.com/building/50-west-st-manhattan-ny-10006/281896342152815429/","50 West St")</f>
        <v>50 West St</v>
      </c>
      <c r="C6271" s="1" t="s">
        <v>96</v>
      </c>
      <c r="D6271" s="1" t="s">
        <v>41</v>
      </c>
      <c r="E6271" s="3">
        <v>1985588</v>
      </c>
      <c r="F6271" s="1">
        <v>1444.0636363636299</v>
      </c>
      <c r="M6271" s="4">
        <v>1375</v>
      </c>
      <c r="Q6271" s="1" t="s">
        <v>42</v>
      </c>
      <c r="S6271" s="1" t="s">
        <v>42</v>
      </c>
      <c r="T6271" s="1" t="s">
        <v>273</v>
      </c>
      <c r="AA6271" s="1">
        <v>1985587.5</v>
      </c>
      <c r="AB6271" s="1" t="s">
        <v>4507</v>
      </c>
      <c r="AC6271" s="5">
        <v>42894</v>
      </c>
      <c r="AF6271" s="1">
        <v>10006</v>
      </c>
      <c r="AI6271" s="1" t="s">
        <v>97</v>
      </c>
      <c r="AJ6271" s="1">
        <v>2016</v>
      </c>
      <c r="AK6271" s="1" t="s">
        <v>49</v>
      </c>
      <c r="AL6271" s="1">
        <v>186</v>
      </c>
    </row>
    <row r="6272" spans="1:38" x14ac:dyDescent="0.2">
      <c r="A6272" s="2" t="str">
        <f>HYPERLINK("https://www.compass.com/listing/50-west-street-unit-10b-manhattan-ny-10006/29355195750187553/","50 West St, Unit 10B")</f>
        <v>50 West St, Unit 10B</v>
      </c>
      <c r="B6272" s="2" t="str">
        <f t="shared" si="1019"/>
        <v>50 West St</v>
      </c>
      <c r="C6272" s="1" t="s">
        <v>96</v>
      </c>
      <c r="D6272" s="1" t="s">
        <v>41</v>
      </c>
      <c r="E6272" s="3">
        <v>1415368</v>
      </c>
      <c r="F6272" s="1">
        <v>1302.0860165593299</v>
      </c>
      <c r="M6272" s="4">
        <v>1087</v>
      </c>
      <c r="Q6272" s="1" t="s">
        <v>42</v>
      </c>
      <c r="S6272" s="1" t="s">
        <v>42</v>
      </c>
      <c r="T6272" s="1" t="s">
        <v>273</v>
      </c>
      <c r="AA6272" s="1">
        <v>1415367.5</v>
      </c>
      <c r="AB6272" s="1" t="s">
        <v>4508</v>
      </c>
      <c r="AC6272" s="5">
        <v>42782</v>
      </c>
      <c r="AF6272" s="1">
        <v>10006</v>
      </c>
      <c r="AI6272" s="1" t="s">
        <v>97</v>
      </c>
      <c r="AJ6272" s="1">
        <v>2016</v>
      </c>
      <c r="AK6272" s="1" t="s">
        <v>49</v>
      </c>
      <c r="AL6272" s="1">
        <v>186</v>
      </c>
    </row>
    <row r="6273" spans="1:38" x14ac:dyDescent="0.2">
      <c r="A6273" s="2" t="str">
        <f>HYPERLINK("https://www.compass.com/listing/50-west-street-unit-12c-manhattan-ny-10006/29355197469884033/","50 West St, Unit 12C")</f>
        <v>50 West St, Unit 12C</v>
      </c>
      <c r="B6273" s="2" t="str">
        <f t="shared" si="1019"/>
        <v>50 West St</v>
      </c>
      <c r="C6273" s="1" t="s">
        <v>96</v>
      </c>
      <c r="D6273" s="1" t="s">
        <v>41</v>
      </c>
      <c r="E6273" s="3">
        <v>1461189</v>
      </c>
      <c r="F6273" s="1">
        <v>1352.9525462962899</v>
      </c>
      <c r="M6273" s="4">
        <v>1080</v>
      </c>
      <c r="Q6273" s="1" t="s">
        <v>42</v>
      </c>
      <c r="S6273" s="1" t="s">
        <v>42</v>
      </c>
      <c r="T6273" s="1" t="s">
        <v>273</v>
      </c>
      <c r="AA6273" s="1">
        <v>1461188.75</v>
      </c>
      <c r="AB6273" s="1" t="s">
        <v>4509</v>
      </c>
      <c r="AC6273" s="5">
        <v>42859</v>
      </c>
      <c r="AF6273" s="1">
        <v>10006</v>
      </c>
      <c r="AI6273" s="1" t="s">
        <v>97</v>
      </c>
      <c r="AJ6273" s="1">
        <v>2016</v>
      </c>
      <c r="AK6273" s="1" t="s">
        <v>49</v>
      </c>
      <c r="AL6273" s="1">
        <v>186</v>
      </c>
    </row>
    <row r="6274" spans="1:38" x14ac:dyDescent="0.2">
      <c r="A6274" s="2" t="str">
        <f>HYPERLINK("https://www.compass.com/listing/50-west-street-unit-14a-manhattan-ny-10006/29355197797007937/","50 West St, Unit 14A")</f>
        <v>50 West St, Unit 14A</v>
      </c>
      <c r="B6274" s="2" t="str">
        <f t="shared" si="1019"/>
        <v>50 West St</v>
      </c>
      <c r="C6274" s="1" t="s">
        <v>96</v>
      </c>
      <c r="D6274" s="1" t="s">
        <v>41</v>
      </c>
      <c r="E6274" s="3">
        <v>1613926</v>
      </c>
      <c r="F6274" s="1">
        <v>1382.9702227934799</v>
      </c>
      <c r="M6274" s="4">
        <v>1167</v>
      </c>
      <c r="Q6274" s="1" t="s">
        <v>42</v>
      </c>
      <c r="S6274" s="1" t="s">
        <v>42</v>
      </c>
      <c r="T6274" s="1" t="s">
        <v>273</v>
      </c>
      <c r="AA6274" s="1">
        <v>1613926.25</v>
      </c>
      <c r="AB6274" s="1" t="s">
        <v>4510</v>
      </c>
      <c r="AC6274" s="5">
        <v>42779</v>
      </c>
      <c r="AF6274" s="1">
        <v>10006</v>
      </c>
      <c r="AI6274" s="1" t="s">
        <v>97</v>
      </c>
      <c r="AJ6274" s="1">
        <v>2016</v>
      </c>
      <c r="AK6274" s="1" t="s">
        <v>49</v>
      </c>
      <c r="AL6274" s="1">
        <v>186</v>
      </c>
    </row>
    <row r="6275" spans="1:38" x14ac:dyDescent="0.2">
      <c r="A6275" s="2" t="str">
        <f>HYPERLINK("https://www.compass.com/listing/50-west-street-unit-15b-manhattan-ny-10006/29355198770086481/","50 West St, Unit 15B")</f>
        <v>50 West St, Unit 15B</v>
      </c>
      <c r="B6275" s="2" t="str">
        <f t="shared" si="1019"/>
        <v>50 West St</v>
      </c>
      <c r="C6275" s="1" t="s">
        <v>96</v>
      </c>
      <c r="D6275" s="1" t="s">
        <v>41</v>
      </c>
      <c r="E6275" s="3">
        <v>1741208</v>
      </c>
      <c r="F6275" s="1">
        <v>1601.84682612695</v>
      </c>
      <c r="M6275" s="4">
        <v>1087</v>
      </c>
      <c r="Q6275" s="1" t="s">
        <v>42</v>
      </c>
      <c r="S6275" s="1" t="s">
        <v>42</v>
      </c>
      <c r="T6275" s="1" t="s">
        <v>273</v>
      </c>
      <c r="AA6275" s="1">
        <v>1741207.5</v>
      </c>
      <c r="AB6275" s="1" t="s">
        <v>4511</v>
      </c>
      <c r="AC6275" s="5">
        <v>42789</v>
      </c>
      <c r="AF6275" s="1">
        <v>10006</v>
      </c>
      <c r="AI6275" s="1" t="s">
        <v>97</v>
      </c>
      <c r="AJ6275" s="1">
        <v>2016</v>
      </c>
      <c r="AK6275" s="1" t="s">
        <v>49</v>
      </c>
      <c r="AL6275" s="1">
        <v>186</v>
      </c>
    </row>
    <row r="6276" spans="1:38" x14ac:dyDescent="0.2">
      <c r="A6276" s="2" t="str">
        <f>HYPERLINK("https://www.compass.com/listing/50-west-street-unit-18a-manhattan-ny-10006/29355201345423425/","50 West St, Unit 18A")</f>
        <v>50 West St, Unit 18A</v>
      </c>
      <c r="B6276" s="2" t="str">
        <f t="shared" si="1019"/>
        <v>50 West St</v>
      </c>
      <c r="C6276" s="1" t="s">
        <v>96</v>
      </c>
      <c r="D6276" s="1" t="s">
        <v>41</v>
      </c>
      <c r="E6276" s="3">
        <v>1680113</v>
      </c>
      <c r="F6276" s="1">
        <v>1439.6850899742899</v>
      </c>
      <c r="M6276" s="4">
        <v>1167</v>
      </c>
      <c r="Q6276" s="1" t="s">
        <v>42</v>
      </c>
      <c r="S6276" s="1" t="s">
        <v>42</v>
      </c>
      <c r="T6276" s="1" t="s">
        <v>273</v>
      </c>
      <c r="AA6276" s="1">
        <v>1680112.5</v>
      </c>
      <c r="AB6276" s="1" t="s">
        <v>4512</v>
      </c>
      <c r="AC6276" s="5">
        <v>42765</v>
      </c>
      <c r="AF6276" s="1">
        <v>10006</v>
      </c>
      <c r="AI6276" s="1" t="s">
        <v>97</v>
      </c>
      <c r="AJ6276" s="1">
        <v>2016</v>
      </c>
      <c r="AK6276" s="1" t="s">
        <v>49</v>
      </c>
      <c r="AL6276" s="1">
        <v>186</v>
      </c>
    </row>
    <row r="6277" spans="1:38" x14ac:dyDescent="0.2">
      <c r="A6277" s="2" t="str">
        <f>HYPERLINK("https://www.compass.com/listing/50-west-street-unit-21a-manhattan-ny-10006/29355204449174177/","50 West St, Unit 21A")</f>
        <v>50 West St, Unit 21A</v>
      </c>
      <c r="B6277" s="2" t="str">
        <f t="shared" si="1019"/>
        <v>50 West St</v>
      </c>
      <c r="C6277" s="1" t="s">
        <v>96</v>
      </c>
      <c r="D6277" s="1" t="s">
        <v>41</v>
      </c>
      <c r="E6277" s="3">
        <v>2555808</v>
      </c>
      <c r="F6277" s="1">
        <v>1537.7903128760499</v>
      </c>
      <c r="M6277" s="4">
        <v>1662</v>
      </c>
      <c r="Q6277" s="1" t="s">
        <v>42</v>
      </c>
      <c r="S6277" s="1" t="s">
        <v>42</v>
      </c>
      <c r="T6277" s="1" t="s">
        <v>273</v>
      </c>
      <c r="AA6277" s="1">
        <v>2555807.5</v>
      </c>
      <c r="AB6277" s="1" t="s">
        <v>4513</v>
      </c>
      <c r="AC6277" s="5">
        <v>42781</v>
      </c>
      <c r="AF6277" s="1">
        <v>10006</v>
      </c>
      <c r="AI6277" s="1" t="s">
        <v>97</v>
      </c>
      <c r="AJ6277" s="1">
        <v>2016</v>
      </c>
      <c r="AK6277" s="1" t="s">
        <v>49</v>
      </c>
      <c r="AL6277" s="1">
        <v>186</v>
      </c>
    </row>
    <row r="6278" spans="1:38" x14ac:dyDescent="0.2">
      <c r="A6278" s="2" t="str">
        <f>HYPERLINK("https://www.compass.com/listing/50-west-street-unit-22a-manhattan-ny-10006/29355205220957985/","50 West St, Unit 22A")</f>
        <v>50 West St, Unit 22A</v>
      </c>
      <c r="B6278" s="2" t="str">
        <f t="shared" si="1019"/>
        <v>50 West St</v>
      </c>
      <c r="C6278" s="1" t="s">
        <v>96</v>
      </c>
      <c r="D6278" s="1" t="s">
        <v>41</v>
      </c>
      <c r="E6278" s="3">
        <v>1741208</v>
      </c>
      <c r="F6278" s="1">
        <v>1492.03727506426</v>
      </c>
      <c r="H6278" s="1">
        <v>1</v>
      </c>
      <c r="J6278" s="1">
        <v>1.5</v>
      </c>
      <c r="M6278" s="4">
        <v>1167</v>
      </c>
      <c r="N6278" s="1">
        <v>1317</v>
      </c>
      <c r="O6278" s="1">
        <v>2787</v>
      </c>
      <c r="P6278" s="1">
        <v>1470</v>
      </c>
      <c r="Q6278" s="1" t="s">
        <v>42</v>
      </c>
      <c r="S6278" s="1" t="s">
        <v>42</v>
      </c>
      <c r="T6278" s="1" t="s">
        <v>273</v>
      </c>
      <c r="AA6278" s="1">
        <v>1741207.5</v>
      </c>
      <c r="AB6278" s="1" t="s">
        <v>4514</v>
      </c>
      <c r="AC6278" s="5">
        <v>42776</v>
      </c>
      <c r="AF6278" s="1">
        <v>10006</v>
      </c>
      <c r="AI6278" s="1" t="s">
        <v>97</v>
      </c>
      <c r="AJ6278" s="1">
        <v>2016</v>
      </c>
      <c r="AK6278" s="1" t="s">
        <v>49</v>
      </c>
      <c r="AL6278" s="1">
        <v>186</v>
      </c>
    </row>
    <row r="6279" spans="1:38" x14ac:dyDescent="0.2">
      <c r="A6279" s="2" t="str">
        <f>HYPERLINK("https://www.compass.com/listing/50-west-street-unit-22c-manhattan-ny-10006/29355205531304625/","50 West St, Unit 22C")</f>
        <v>50 West St, Unit 22C</v>
      </c>
      <c r="B6279" s="2" t="str">
        <f t="shared" si="1019"/>
        <v>50 West St</v>
      </c>
      <c r="C6279" s="1" t="s">
        <v>96</v>
      </c>
      <c r="D6279" s="1" t="s">
        <v>41</v>
      </c>
      <c r="E6279" s="3">
        <v>5992401</v>
      </c>
      <c r="F6279" s="1">
        <v>2603.12825803649</v>
      </c>
      <c r="M6279" s="4">
        <v>2302</v>
      </c>
      <c r="Q6279" s="1" t="s">
        <v>42</v>
      </c>
      <c r="S6279" s="1" t="s">
        <v>42</v>
      </c>
      <c r="T6279" s="1" t="s">
        <v>273</v>
      </c>
      <c r="AA6279" s="1">
        <v>5992401.25</v>
      </c>
      <c r="AB6279" s="1" t="s">
        <v>4515</v>
      </c>
      <c r="AC6279" s="5">
        <v>42864</v>
      </c>
      <c r="AF6279" s="1">
        <v>10006</v>
      </c>
      <c r="AI6279" s="1" t="s">
        <v>97</v>
      </c>
      <c r="AJ6279" s="1">
        <v>2016</v>
      </c>
      <c r="AK6279" s="1" t="s">
        <v>49</v>
      </c>
      <c r="AL6279" s="1">
        <v>186</v>
      </c>
    </row>
    <row r="6280" spans="1:38" x14ac:dyDescent="0.2">
      <c r="A6280" s="2" t="str">
        <f>HYPERLINK("https://www.compass.com/listing/50-west-street-unit-23b-manhattan-ny-10006/29355206177259313/","50 West St, Unit 23B")</f>
        <v>50 West St, Unit 23B</v>
      </c>
      <c r="B6280" s="2" t="str">
        <f t="shared" si="1019"/>
        <v>50 West St</v>
      </c>
      <c r="C6280" s="1" t="s">
        <v>96</v>
      </c>
      <c r="D6280" s="1" t="s">
        <v>41</v>
      </c>
      <c r="E6280" s="3">
        <v>1873580</v>
      </c>
      <c r="F6280" s="1">
        <v>1723.6246550137901</v>
      </c>
      <c r="M6280" s="4">
        <v>1087</v>
      </c>
      <c r="Q6280" s="1" t="s">
        <v>42</v>
      </c>
      <c r="S6280" s="1" t="s">
        <v>42</v>
      </c>
      <c r="T6280" s="1" t="s">
        <v>273</v>
      </c>
      <c r="AA6280" s="1">
        <v>1873580</v>
      </c>
      <c r="AB6280" s="1" t="s">
        <v>4516</v>
      </c>
      <c r="AC6280" s="5">
        <v>42759</v>
      </c>
      <c r="AF6280" s="1">
        <v>10006</v>
      </c>
      <c r="AI6280" s="1" t="s">
        <v>97</v>
      </c>
      <c r="AJ6280" s="1">
        <v>2016</v>
      </c>
      <c r="AK6280" s="1" t="s">
        <v>49</v>
      </c>
      <c r="AL6280" s="1">
        <v>186</v>
      </c>
    </row>
    <row r="6281" spans="1:38" x14ac:dyDescent="0.2">
      <c r="A6281" s="2" t="str">
        <f>HYPERLINK("https://www.compass.com/listing/50-west-street-unit-25b-manhattan-ny-10006/29355207192280897/","50 West St, Unit 25B")</f>
        <v>50 West St, Unit 25B</v>
      </c>
      <c r="B6281" s="2" t="str">
        <f t="shared" si="1019"/>
        <v>50 West St</v>
      </c>
      <c r="C6281" s="1" t="s">
        <v>96</v>
      </c>
      <c r="D6281" s="1" t="s">
        <v>41</v>
      </c>
      <c r="E6281" s="3">
        <v>1664839</v>
      </c>
      <c r="F6281" s="1">
        <v>1531.5903863845399</v>
      </c>
      <c r="M6281" s="4">
        <v>1087</v>
      </c>
      <c r="Q6281" s="1" t="s">
        <v>42</v>
      </c>
      <c r="S6281" s="1" t="s">
        <v>42</v>
      </c>
      <c r="T6281" s="1" t="s">
        <v>273</v>
      </c>
      <c r="AA6281" s="1">
        <v>1664838.75</v>
      </c>
      <c r="AB6281" s="1" t="s">
        <v>4517</v>
      </c>
      <c r="AC6281" s="5">
        <v>42843</v>
      </c>
      <c r="AF6281" s="1">
        <v>10006</v>
      </c>
      <c r="AI6281" s="1" t="s">
        <v>97</v>
      </c>
      <c r="AJ6281" s="1">
        <v>2016</v>
      </c>
      <c r="AK6281" s="1" t="s">
        <v>49</v>
      </c>
      <c r="AL6281" s="1">
        <v>186</v>
      </c>
    </row>
    <row r="6282" spans="1:38" x14ac:dyDescent="0.2">
      <c r="A6282" s="2" t="str">
        <f>HYPERLINK("https://www.compass.com/listing/50-west-street-unit-25c-manhattan-ny-10006/29355207511016145/","50 West St, Unit 25C")</f>
        <v>50 West St, Unit 25C</v>
      </c>
      <c r="B6282" s="2" t="str">
        <f t="shared" si="1019"/>
        <v>50 West St</v>
      </c>
      <c r="C6282" s="1" t="s">
        <v>96</v>
      </c>
      <c r="D6282" s="1" t="s">
        <v>41</v>
      </c>
      <c r="E6282" s="3">
        <v>2112869</v>
      </c>
      <c r="F6282" s="1">
        <v>1956.3599537037001</v>
      </c>
      <c r="M6282" s="4">
        <v>1080</v>
      </c>
      <c r="Q6282" s="1" t="s">
        <v>42</v>
      </c>
      <c r="S6282" s="1" t="s">
        <v>42</v>
      </c>
      <c r="T6282" s="1" t="s">
        <v>273</v>
      </c>
      <c r="AA6282" s="1">
        <v>2112868.75</v>
      </c>
      <c r="AB6282" s="1" t="s">
        <v>4518</v>
      </c>
      <c r="AC6282" s="5">
        <v>42849</v>
      </c>
      <c r="AF6282" s="1">
        <v>10006</v>
      </c>
      <c r="AI6282" s="1" t="s">
        <v>97</v>
      </c>
      <c r="AJ6282" s="1">
        <v>2016</v>
      </c>
      <c r="AK6282" s="1" t="s">
        <v>49</v>
      </c>
      <c r="AL6282" s="1">
        <v>186</v>
      </c>
    </row>
    <row r="6283" spans="1:38" x14ac:dyDescent="0.2">
      <c r="A6283" s="2" t="str">
        <f>HYPERLINK("https://www.compass.com/listing/50-west-street-unit-27c-manhattan-ny-10006/29355208131805009/","50 West St, Unit 27C")</f>
        <v>50 West St, Unit 27C</v>
      </c>
      <c r="B6283" s="2" t="str">
        <f t="shared" si="1019"/>
        <v>50 West St</v>
      </c>
      <c r="C6283" s="1" t="s">
        <v>96</v>
      </c>
      <c r="D6283" s="1" t="s">
        <v>41</v>
      </c>
      <c r="E6283" s="3">
        <v>1944858</v>
      </c>
      <c r="F6283" s="1">
        <v>1800.7939814814799</v>
      </c>
      <c r="M6283" s="4">
        <v>1080</v>
      </c>
      <c r="Q6283" s="1" t="s">
        <v>42</v>
      </c>
      <c r="S6283" s="1" t="s">
        <v>42</v>
      </c>
      <c r="T6283" s="1" t="s">
        <v>273</v>
      </c>
      <c r="AA6283" s="1">
        <v>1944857.5</v>
      </c>
      <c r="AB6283" s="1" t="s">
        <v>4519</v>
      </c>
      <c r="AC6283" s="5">
        <v>42851</v>
      </c>
      <c r="AF6283" s="1">
        <v>10006</v>
      </c>
      <c r="AI6283" s="1" t="s">
        <v>97</v>
      </c>
      <c r="AJ6283" s="1">
        <v>2016</v>
      </c>
      <c r="AK6283" s="1" t="s">
        <v>49</v>
      </c>
      <c r="AL6283" s="1">
        <v>186</v>
      </c>
    </row>
    <row r="6284" spans="1:38" x14ac:dyDescent="0.2">
      <c r="A6284" s="2" t="str">
        <f>HYPERLINK("https://www.compass.com/listing/50-west-street-unit-29c-manhattan-ny-10006/29355209448784625/","50 West St, Unit 29C")</f>
        <v>50 West St, Unit 29C</v>
      </c>
      <c r="B6284" s="2" t="str">
        <f t="shared" si="1019"/>
        <v>50 West St</v>
      </c>
      <c r="C6284" s="1" t="s">
        <v>96</v>
      </c>
      <c r="D6284" s="1" t="s">
        <v>41</v>
      </c>
      <c r="E6284" s="3">
        <v>1756481</v>
      </c>
      <c r="F6284" s="1">
        <v>1626.3715277777701</v>
      </c>
      <c r="M6284" s="4">
        <v>1080</v>
      </c>
      <c r="Q6284" s="1" t="s">
        <v>42</v>
      </c>
      <c r="S6284" s="1" t="s">
        <v>42</v>
      </c>
      <c r="T6284" s="1" t="s">
        <v>273</v>
      </c>
      <c r="AA6284" s="1">
        <v>1756481.25</v>
      </c>
      <c r="AB6284" s="1" t="s">
        <v>4520</v>
      </c>
      <c r="AC6284" s="5">
        <v>42958</v>
      </c>
      <c r="AF6284" s="1">
        <v>10006</v>
      </c>
      <c r="AI6284" s="1" t="s">
        <v>97</v>
      </c>
      <c r="AJ6284" s="1">
        <v>2016</v>
      </c>
      <c r="AK6284" s="1" t="s">
        <v>49</v>
      </c>
      <c r="AL6284" s="1">
        <v>186</v>
      </c>
    </row>
    <row r="6285" spans="1:38" x14ac:dyDescent="0.2">
      <c r="A6285" s="2" t="str">
        <f>HYPERLINK("https://www.compass.com/listing/50-west-street-unit-30a-manhattan-ny-10006/29355209784363217/","50 West St, Unit 30A")</f>
        <v>50 West St, Unit 30A</v>
      </c>
      <c r="B6285" s="2" t="str">
        <f t="shared" si="1019"/>
        <v>50 West St</v>
      </c>
      <c r="C6285" s="1" t="s">
        <v>96</v>
      </c>
      <c r="D6285" s="1" t="s">
        <v>41</v>
      </c>
      <c r="E6285" s="3">
        <v>1756481</v>
      </c>
      <c r="F6285" s="1">
        <v>1505.12532133676</v>
      </c>
      <c r="H6285" s="1">
        <v>1</v>
      </c>
      <c r="J6285" s="1">
        <v>1</v>
      </c>
      <c r="M6285" s="4">
        <v>1167</v>
      </c>
      <c r="N6285" s="1">
        <v>1890</v>
      </c>
      <c r="O6285" s="1">
        <v>3240</v>
      </c>
      <c r="P6285" s="1">
        <v>1350</v>
      </c>
      <c r="Q6285" s="1" t="s">
        <v>42</v>
      </c>
      <c r="S6285" s="1" t="s">
        <v>42</v>
      </c>
      <c r="T6285" s="1" t="s">
        <v>273</v>
      </c>
      <c r="AA6285" s="1">
        <v>1756481.25</v>
      </c>
      <c r="AB6285" s="1" t="s">
        <v>4521</v>
      </c>
      <c r="AC6285" s="5">
        <v>42782</v>
      </c>
      <c r="AF6285" s="1">
        <v>10006</v>
      </c>
      <c r="AI6285" s="1" t="s">
        <v>97</v>
      </c>
      <c r="AJ6285" s="1">
        <v>2016</v>
      </c>
      <c r="AK6285" s="1" t="s">
        <v>49</v>
      </c>
      <c r="AL6285" s="1">
        <v>186</v>
      </c>
    </row>
    <row r="6286" spans="1:38" x14ac:dyDescent="0.2">
      <c r="A6286" s="2" t="str">
        <f>HYPERLINK("https://www.compass.com/listing/50-west-street-unit-31b-manhattan-ny-10006/29355210740664545/","50 West St, Unit 31B")</f>
        <v>50 West St, Unit 31B</v>
      </c>
      <c r="B6286" s="2" t="str">
        <f t="shared" si="1019"/>
        <v>50 West St</v>
      </c>
      <c r="C6286" s="1" t="s">
        <v>96</v>
      </c>
      <c r="D6286" s="1" t="s">
        <v>41</v>
      </c>
      <c r="E6286" s="3">
        <v>1888854</v>
      </c>
      <c r="F6286" s="1">
        <v>1737.67594296228</v>
      </c>
      <c r="M6286" s="4">
        <v>1087</v>
      </c>
      <c r="Q6286" s="1" t="s">
        <v>42</v>
      </c>
      <c r="S6286" s="1" t="s">
        <v>42</v>
      </c>
      <c r="T6286" s="1" t="s">
        <v>273</v>
      </c>
      <c r="AA6286" s="1">
        <v>1888853.75</v>
      </c>
      <c r="AB6286" s="1" t="s">
        <v>4522</v>
      </c>
      <c r="AC6286" s="5">
        <v>43021</v>
      </c>
      <c r="AF6286" s="1">
        <v>10006</v>
      </c>
      <c r="AI6286" s="1" t="s">
        <v>97</v>
      </c>
      <c r="AJ6286" s="1">
        <v>2016</v>
      </c>
      <c r="AK6286" s="1" t="s">
        <v>49</v>
      </c>
      <c r="AL6286" s="1">
        <v>186</v>
      </c>
    </row>
    <row r="6287" spans="1:38" x14ac:dyDescent="0.2">
      <c r="A6287" s="2" t="str">
        <f>HYPERLINK("https://www.compass.com/listing/50-west-street-unit-33a-manhattan-ny-10006/29355212108005281/","50 West St, Unit 33A")</f>
        <v>50 West St, Unit 33A</v>
      </c>
      <c r="B6287" s="2" t="str">
        <f t="shared" si="1019"/>
        <v>50 West St</v>
      </c>
      <c r="C6287" s="1" t="s">
        <v>96</v>
      </c>
      <c r="D6287" s="1" t="s">
        <v>41</v>
      </c>
      <c r="E6287" s="3">
        <v>3136210</v>
      </c>
      <c r="F6287" s="1">
        <v>1909.99390986601</v>
      </c>
      <c r="M6287" s="4">
        <v>1642</v>
      </c>
      <c r="Q6287" s="1" t="s">
        <v>42</v>
      </c>
      <c r="S6287" s="1" t="s">
        <v>42</v>
      </c>
      <c r="T6287" s="1" t="s">
        <v>273</v>
      </c>
      <c r="AA6287" s="1">
        <v>3136210</v>
      </c>
      <c r="AB6287" s="1" t="s">
        <v>4523</v>
      </c>
      <c r="AC6287" s="5">
        <v>42877</v>
      </c>
      <c r="AF6287" s="1">
        <v>10006</v>
      </c>
      <c r="AI6287" s="1" t="s">
        <v>97</v>
      </c>
      <c r="AJ6287" s="1">
        <v>2016</v>
      </c>
      <c r="AK6287" s="1" t="s">
        <v>49</v>
      </c>
      <c r="AL6287" s="1">
        <v>186</v>
      </c>
    </row>
    <row r="6288" spans="1:38" x14ac:dyDescent="0.2">
      <c r="A6288" s="2" t="str">
        <f>HYPERLINK("https://www.compass.com/listing/50-west-street-unit-33b-manhattan-ny-10006/29355212426740513/","50 West St, Unit 33B")</f>
        <v>50 West St, Unit 33B</v>
      </c>
      <c r="B6288" s="2" t="str">
        <f t="shared" si="1019"/>
        <v>50 West St</v>
      </c>
      <c r="C6288" s="1" t="s">
        <v>96</v>
      </c>
      <c r="D6288" s="1" t="s">
        <v>41</v>
      </c>
      <c r="E6288" s="3">
        <v>1792120</v>
      </c>
      <c r="F6288" s="1">
        <v>1648.6844526218899</v>
      </c>
      <c r="M6288" s="4">
        <v>1087</v>
      </c>
      <c r="Q6288" s="1" t="s">
        <v>42</v>
      </c>
      <c r="S6288" s="1" t="s">
        <v>42</v>
      </c>
      <c r="T6288" s="1" t="s">
        <v>273</v>
      </c>
      <c r="AA6288" s="1">
        <v>1792120</v>
      </c>
      <c r="AB6288" s="1" t="s">
        <v>4524</v>
      </c>
      <c r="AC6288" s="5">
        <v>42815</v>
      </c>
      <c r="AF6288" s="1">
        <v>10006</v>
      </c>
      <c r="AI6288" s="1" t="s">
        <v>97</v>
      </c>
      <c r="AJ6288" s="1">
        <v>2016</v>
      </c>
      <c r="AK6288" s="1" t="s">
        <v>49</v>
      </c>
      <c r="AL6288" s="1">
        <v>186</v>
      </c>
    </row>
    <row r="6289" spans="1:38" x14ac:dyDescent="0.2">
      <c r="A6289" s="2" t="str">
        <f>HYPERLINK("https://www.compass.com/listing/50-west-street-unit-33c-manhattan-ny-10006/29355212753930497/","50 West St, Unit 33C")</f>
        <v>50 West St, Unit 33C</v>
      </c>
      <c r="B6289" s="2" t="str">
        <f t="shared" si="1019"/>
        <v>50 West St</v>
      </c>
      <c r="C6289" s="1" t="s">
        <v>96</v>
      </c>
      <c r="D6289" s="1" t="s">
        <v>41</v>
      </c>
      <c r="E6289" s="3">
        <v>2056865</v>
      </c>
      <c r="F6289" s="1">
        <v>1904.50462962962</v>
      </c>
      <c r="M6289" s="4">
        <v>1080</v>
      </c>
      <c r="Q6289" s="1" t="s">
        <v>42</v>
      </c>
      <c r="S6289" s="1" t="s">
        <v>42</v>
      </c>
      <c r="T6289" s="1" t="s">
        <v>273</v>
      </c>
      <c r="AA6289" s="1">
        <v>2056865</v>
      </c>
      <c r="AB6289" s="1" t="s">
        <v>4525</v>
      </c>
      <c r="AC6289" s="5">
        <v>42905</v>
      </c>
      <c r="AF6289" s="1">
        <v>10006</v>
      </c>
      <c r="AI6289" s="1" t="s">
        <v>97</v>
      </c>
      <c r="AJ6289" s="1">
        <v>2016</v>
      </c>
      <c r="AK6289" s="1" t="s">
        <v>49</v>
      </c>
      <c r="AL6289" s="1">
        <v>186</v>
      </c>
    </row>
    <row r="6290" spans="1:38" x14ac:dyDescent="0.2">
      <c r="A6290" s="2" t="str">
        <f>HYPERLINK("https://www.compass.com/listing/50-west-street-unit-34d-manhattan-ny-10006/29355213777340689/","50 West St, Unit 34D")</f>
        <v>50 West St, Unit 34D</v>
      </c>
      <c r="B6290" s="2" t="str">
        <f t="shared" si="1019"/>
        <v>50 West St</v>
      </c>
      <c r="C6290" s="1" t="s">
        <v>96</v>
      </c>
      <c r="D6290" s="1" t="s">
        <v>41</v>
      </c>
      <c r="E6290" s="3">
        <v>5956763</v>
      </c>
      <c r="F6290" s="1">
        <v>2503.8934426229498</v>
      </c>
      <c r="M6290" s="4">
        <v>2379</v>
      </c>
      <c r="Q6290" s="1" t="s">
        <v>42</v>
      </c>
      <c r="S6290" s="1" t="s">
        <v>42</v>
      </c>
      <c r="T6290" s="1" t="s">
        <v>273</v>
      </c>
      <c r="AA6290" s="1">
        <v>5956762.5</v>
      </c>
      <c r="AB6290" s="1" t="s">
        <v>4526</v>
      </c>
      <c r="AC6290" s="5">
        <v>42941</v>
      </c>
      <c r="AF6290" s="1">
        <v>10006</v>
      </c>
      <c r="AI6290" s="1" t="s">
        <v>97</v>
      </c>
      <c r="AJ6290" s="1">
        <v>2016</v>
      </c>
      <c r="AK6290" s="1" t="s">
        <v>49</v>
      </c>
      <c r="AL6290" s="1">
        <v>186</v>
      </c>
    </row>
    <row r="6291" spans="1:38" x14ac:dyDescent="0.2">
      <c r="A6291" s="2" t="str">
        <f>HYPERLINK("https://www.compass.com/listing/50-west-street-unit-37d-manhattan-ny-10006/29355216713353537/","50 West St, Unit 37D")</f>
        <v>50 West St, Unit 37D</v>
      </c>
      <c r="B6291" s="2" t="str">
        <f t="shared" si="1019"/>
        <v>50 West St</v>
      </c>
      <c r="C6291" s="1" t="s">
        <v>96</v>
      </c>
      <c r="D6291" s="1" t="s">
        <v>41</v>
      </c>
      <c r="E6291" s="3">
        <v>2520169</v>
      </c>
      <c r="F6291" s="1">
        <v>2003.3137917329</v>
      </c>
      <c r="M6291" s="4">
        <v>1258</v>
      </c>
      <c r="Q6291" s="1" t="s">
        <v>42</v>
      </c>
      <c r="S6291" s="1" t="s">
        <v>42</v>
      </c>
      <c r="T6291" s="1" t="s">
        <v>273</v>
      </c>
      <c r="AA6291" s="1">
        <v>2520168.75</v>
      </c>
      <c r="AB6291" s="1" t="s">
        <v>4527</v>
      </c>
      <c r="AC6291" s="5">
        <v>42797</v>
      </c>
      <c r="AF6291" s="1">
        <v>10006</v>
      </c>
      <c r="AI6291" s="1" t="s">
        <v>97</v>
      </c>
      <c r="AJ6291" s="1">
        <v>2016</v>
      </c>
      <c r="AK6291" s="1" t="s">
        <v>49</v>
      </c>
      <c r="AL6291" s="1">
        <v>186</v>
      </c>
    </row>
    <row r="6292" spans="1:38" x14ac:dyDescent="0.2">
      <c r="A6292" s="2" t="str">
        <f>HYPERLINK("https://www.compass.com/listing/50-west-street-unit-37d-manhattan-ny-10006/29355216713353553/","50 West St, Unit 37D")</f>
        <v>50 West St, Unit 37D</v>
      </c>
      <c r="B6292" s="2" t="str">
        <f t="shared" si="1019"/>
        <v>50 West St</v>
      </c>
      <c r="C6292" s="1" t="s">
        <v>96</v>
      </c>
      <c r="D6292" s="1" t="s">
        <v>41</v>
      </c>
      <c r="E6292" s="3">
        <v>1262250</v>
      </c>
      <c r="F6292" s="1">
        <v>1003.37837837837</v>
      </c>
      <c r="M6292" s="4">
        <v>1258</v>
      </c>
      <c r="Q6292" s="1" t="s">
        <v>42</v>
      </c>
      <c r="S6292" s="1" t="s">
        <v>42</v>
      </c>
      <c r="T6292" s="1" t="s">
        <v>273</v>
      </c>
      <c r="AA6292" s="1">
        <v>1262250</v>
      </c>
      <c r="AB6292" s="1" t="s">
        <v>4528</v>
      </c>
      <c r="AC6292" s="5">
        <v>42797</v>
      </c>
      <c r="AF6292" s="1">
        <v>10006</v>
      </c>
      <c r="AI6292" s="1" t="s">
        <v>97</v>
      </c>
      <c r="AJ6292" s="1">
        <v>2016</v>
      </c>
      <c r="AK6292" s="1" t="s">
        <v>49</v>
      </c>
      <c r="AL6292" s="1">
        <v>186</v>
      </c>
    </row>
    <row r="6293" spans="1:38" x14ac:dyDescent="0.2">
      <c r="A6293" s="2" t="str">
        <f>HYPERLINK("https://www.compass.com/listing/50-west-street-unit-39d-manhattan-ny-10006/29355218693065073/","50 West St, Unit 39D")</f>
        <v>50 West St, Unit 39D</v>
      </c>
      <c r="B6293" s="2" t="str">
        <f t="shared" si="1019"/>
        <v>50 West St</v>
      </c>
      <c r="C6293" s="1" t="s">
        <v>96</v>
      </c>
      <c r="D6293" s="1" t="s">
        <v>41</v>
      </c>
      <c r="E6293" s="3">
        <v>2341975</v>
      </c>
      <c r="F6293" s="1">
        <v>1861.6653418123999</v>
      </c>
      <c r="M6293" s="4">
        <v>1258</v>
      </c>
      <c r="Q6293" s="1" t="s">
        <v>42</v>
      </c>
      <c r="S6293" s="1" t="s">
        <v>42</v>
      </c>
      <c r="T6293" s="1" t="s">
        <v>273</v>
      </c>
      <c r="AA6293" s="1">
        <v>2341975</v>
      </c>
      <c r="AB6293" s="1" t="s">
        <v>4529</v>
      </c>
      <c r="AC6293" s="5">
        <v>42814</v>
      </c>
      <c r="AF6293" s="1">
        <v>10006</v>
      </c>
      <c r="AI6293" s="1" t="s">
        <v>97</v>
      </c>
      <c r="AJ6293" s="1">
        <v>2016</v>
      </c>
      <c r="AK6293" s="1" t="s">
        <v>49</v>
      </c>
      <c r="AL6293" s="1">
        <v>186</v>
      </c>
    </row>
    <row r="6294" spans="1:38" x14ac:dyDescent="0.2">
      <c r="A6294" s="2" t="str">
        <f>HYPERLINK("https://www.compass.com/listing/50-west-street-unit-40c-manhattan-ny-10006/29355219657755009/","50 West St, Unit 40C")</f>
        <v>50 West St, Unit 40C</v>
      </c>
      <c r="B6294" s="2" t="str">
        <f t="shared" si="1019"/>
        <v>50 West St</v>
      </c>
      <c r="C6294" s="1" t="s">
        <v>96</v>
      </c>
      <c r="D6294" s="1" t="s">
        <v>41</v>
      </c>
      <c r="E6294" s="3">
        <v>6400000</v>
      </c>
      <c r="F6294" s="1">
        <v>2397.90183589359</v>
      </c>
      <c r="M6294" s="4">
        <v>2669</v>
      </c>
      <c r="Q6294" s="1" t="s">
        <v>42</v>
      </c>
      <c r="S6294" s="1" t="s">
        <v>42</v>
      </c>
      <c r="T6294" s="1" t="s">
        <v>273</v>
      </c>
      <c r="AA6294" s="1">
        <v>6400000</v>
      </c>
      <c r="AB6294" s="1" t="s">
        <v>4530</v>
      </c>
      <c r="AC6294" s="5">
        <v>42976</v>
      </c>
      <c r="AF6294" s="1">
        <v>10006</v>
      </c>
      <c r="AI6294" s="1" t="s">
        <v>97</v>
      </c>
      <c r="AJ6294" s="1">
        <v>2016</v>
      </c>
      <c r="AK6294" s="1" t="s">
        <v>49</v>
      </c>
      <c r="AL6294" s="1">
        <v>186</v>
      </c>
    </row>
    <row r="6295" spans="1:38" x14ac:dyDescent="0.2">
      <c r="A6295" s="2" t="str">
        <f>HYPERLINK("https://www.compass.com/listing/50-west-street-unit-42a-manhattan-ny-10006/29355220974764081/","50 West St, Unit 42A")</f>
        <v>50 West St, Unit 42A</v>
      </c>
      <c r="B6295" s="2" t="str">
        <f t="shared" si="1019"/>
        <v>50 West St</v>
      </c>
      <c r="C6295" s="1" t="s">
        <v>96</v>
      </c>
      <c r="D6295" s="1" t="s">
        <v>41</v>
      </c>
      <c r="E6295" s="3">
        <v>3767525</v>
      </c>
      <c r="F6295" s="1">
        <v>2172.7364475201798</v>
      </c>
      <c r="M6295" s="4">
        <v>1734</v>
      </c>
      <c r="Q6295" s="1" t="s">
        <v>42</v>
      </c>
      <c r="S6295" s="1" t="s">
        <v>42</v>
      </c>
      <c r="T6295" s="1" t="s">
        <v>273</v>
      </c>
      <c r="AA6295" s="1">
        <v>3767525</v>
      </c>
      <c r="AB6295" s="1" t="s">
        <v>4531</v>
      </c>
      <c r="AC6295" s="5">
        <v>42822</v>
      </c>
      <c r="AF6295" s="1">
        <v>10006</v>
      </c>
      <c r="AI6295" s="1" t="s">
        <v>97</v>
      </c>
      <c r="AJ6295" s="1">
        <v>2016</v>
      </c>
      <c r="AK6295" s="1" t="s">
        <v>49</v>
      </c>
      <c r="AL6295" s="1">
        <v>186</v>
      </c>
    </row>
    <row r="6296" spans="1:38" x14ac:dyDescent="0.2">
      <c r="A6296" s="2" t="str">
        <f>HYPERLINK("https://www.compass.com/listing/50-west-street-unit-42d-manhattan-ny-10006/29355222333686737/","50 West St, Unit 42D")</f>
        <v>50 West St, Unit 42D</v>
      </c>
      <c r="B6296" s="2" t="str">
        <f t="shared" si="1019"/>
        <v>50 West St</v>
      </c>
      <c r="C6296" s="1" t="s">
        <v>96</v>
      </c>
      <c r="D6296" s="1" t="s">
        <v>41</v>
      </c>
      <c r="E6296" s="3">
        <v>2861283</v>
      </c>
      <c r="F6296" s="1">
        <v>2274.4693958664502</v>
      </c>
      <c r="M6296" s="4">
        <v>1258</v>
      </c>
      <c r="Q6296" s="1" t="s">
        <v>42</v>
      </c>
      <c r="S6296" s="1" t="s">
        <v>42</v>
      </c>
      <c r="T6296" s="1" t="s">
        <v>273</v>
      </c>
      <c r="AA6296" s="1">
        <v>2861282.5</v>
      </c>
      <c r="AB6296" s="1" t="s">
        <v>4532</v>
      </c>
      <c r="AC6296" s="5">
        <v>42824</v>
      </c>
      <c r="AF6296" s="1">
        <v>10006</v>
      </c>
      <c r="AI6296" s="1" t="s">
        <v>97</v>
      </c>
      <c r="AJ6296" s="1">
        <v>2016</v>
      </c>
      <c r="AK6296" s="1" t="s">
        <v>49</v>
      </c>
      <c r="AL6296" s="1">
        <v>186</v>
      </c>
    </row>
    <row r="6297" spans="1:38" x14ac:dyDescent="0.2">
      <c r="A6297" s="2" t="str">
        <f>HYPERLINK("https://www.compass.com/listing/50-west-street-unit-45d-manhattan-ny-10006/29355224967741569/","50 West St, Unit 45D")</f>
        <v>50 West St, Unit 45D</v>
      </c>
      <c r="B6297" s="2" t="str">
        <f t="shared" si="1019"/>
        <v>50 West St</v>
      </c>
      <c r="C6297" s="1" t="s">
        <v>96</v>
      </c>
      <c r="D6297" s="1" t="s">
        <v>41</v>
      </c>
      <c r="E6297" s="3">
        <v>2947834</v>
      </c>
      <c r="F6297" s="1">
        <v>2343.2700715421302</v>
      </c>
      <c r="M6297" s="4">
        <v>1258</v>
      </c>
      <c r="Q6297" s="1" t="s">
        <v>42</v>
      </c>
      <c r="S6297" s="1" t="s">
        <v>42</v>
      </c>
      <c r="T6297" s="1" t="s">
        <v>273</v>
      </c>
      <c r="AA6297" s="1">
        <v>2947833.75</v>
      </c>
      <c r="AB6297" s="1" t="s">
        <v>4533</v>
      </c>
      <c r="AC6297" s="5">
        <v>42809</v>
      </c>
      <c r="AF6297" s="1">
        <v>10006</v>
      </c>
      <c r="AI6297" s="1" t="s">
        <v>97</v>
      </c>
      <c r="AJ6297" s="1">
        <v>2016</v>
      </c>
      <c r="AK6297" s="1" t="s">
        <v>49</v>
      </c>
      <c r="AL6297" s="1">
        <v>186</v>
      </c>
    </row>
    <row r="6298" spans="1:38" x14ac:dyDescent="0.2">
      <c r="A6298" s="2" t="str">
        <f>HYPERLINK("https://www.compass.com/listing/50-west-street-unit-46c-manhattan-ny-10006/29355225672387057/","50 West St, Unit 46C")</f>
        <v>50 West St, Unit 46C</v>
      </c>
      <c r="B6298" s="2" t="str">
        <f t="shared" si="1019"/>
        <v>50 West St</v>
      </c>
      <c r="C6298" s="1" t="s">
        <v>96</v>
      </c>
      <c r="D6298" s="1" t="s">
        <v>41</v>
      </c>
      <c r="E6298" s="3">
        <v>7112476</v>
      </c>
      <c r="F6298" s="1">
        <v>2664.8468527538398</v>
      </c>
      <c r="M6298" s="4">
        <v>2669</v>
      </c>
      <c r="Q6298" s="1" t="s">
        <v>42</v>
      </c>
      <c r="S6298" s="1" t="s">
        <v>42</v>
      </c>
      <c r="T6298" s="1" t="s">
        <v>273</v>
      </c>
      <c r="AA6298" s="1">
        <v>7112476.25</v>
      </c>
      <c r="AB6298" s="1" t="s">
        <v>4534</v>
      </c>
      <c r="AC6298" s="5">
        <v>42886</v>
      </c>
      <c r="AF6298" s="1">
        <v>10006</v>
      </c>
      <c r="AI6298" s="1" t="s">
        <v>97</v>
      </c>
      <c r="AJ6298" s="1">
        <v>2016</v>
      </c>
      <c r="AK6298" s="1" t="s">
        <v>49</v>
      </c>
      <c r="AL6298" s="1">
        <v>186</v>
      </c>
    </row>
    <row r="6299" spans="1:38" x14ac:dyDescent="0.2">
      <c r="A6299" s="2" t="str">
        <f>HYPERLINK("https://www.compass.com/listing/50-west-street-unit-46d-manhattan-ny-10006/29355226318275601/","50 West St, Unit 46D")</f>
        <v>50 West St, Unit 46D</v>
      </c>
      <c r="B6299" s="2" t="str">
        <f t="shared" si="1019"/>
        <v>50 West St</v>
      </c>
      <c r="C6299" s="1" t="s">
        <v>96</v>
      </c>
      <c r="D6299" s="1" t="s">
        <v>41</v>
      </c>
      <c r="E6299" s="3">
        <v>2774731</v>
      </c>
      <c r="F6299" s="1">
        <v>2205.6687201907698</v>
      </c>
      <c r="M6299" s="4">
        <v>1258</v>
      </c>
      <c r="Q6299" s="1" t="s">
        <v>42</v>
      </c>
      <c r="S6299" s="1" t="s">
        <v>42</v>
      </c>
      <c r="T6299" s="1" t="s">
        <v>273</v>
      </c>
      <c r="AA6299" s="1">
        <v>2774731.25</v>
      </c>
      <c r="AB6299" s="1" t="s">
        <v>4535</v>
      </c>
      <c r="AC6299" s="5">
        <v>42845</v>
      </c>
      <c r="AF6299" s="1">
        <v>10006</v>
      </c>
      <c r="AI6299" s="1" t="s">
        <v>97</v>
      </c>
      <c r="AJ6299" s="1">
        <v>2016</v>
      </c>
      <c r="AK6299" s="1" t="s">
        <v>49</v>
      </c>
      <c r="AL6299" s="1">
        <v>186</v>
      </c>
    </row>
    <row r="6300" spans="1:38" x14ac:dyDescent="0.2">
      <c r="A6300" s="2" t="str">
        <f>HYPERLINK("https://www.compass.com/listing/50-west-street-unit-46d-manhattan-ny-10006/29355226318275617/","50 West St, Unit 46D")</f>
        <v>50 West St, Unit 46D</v>
      </c>
      <c r="B6300" s="2" t="str">
        <f t="shared" si="1019"/>
        <v>50 West St</v>
      </c>
      <c r="C6300" s="1" t="s">
        <v>96</v>
      </c>
      <c r="D6300" s="1" t="s">
        <v>41</v>
      </c>
      <c r="E6300" s="3">
        <v>3000000</v>
      </c>
      <c r="F6300" s="1">
        <v>2384.7376788553202</v>
      </c>
      <c r="M6300" s="4">
        <v>1258</v>
      </c>
      <c r="Q6300" s="1" t="s">
        <v>42</v>
      </c>
      <c r="S6300" s="1" t="s">
        <v>42</v>
      </c>
      <c r="T6300" s="1" t="s">
        <v>273</v>
      </c>
      <c r="AA6300" s="1">
        <v>3000000</v>
      </c>
      <c r="AB6300" s="1" t="s">
        <v>4536</v>
      </c>
      <c r="AC6300" s="5">
        <v>43206</v>
      </c>
      <c r="AF6300" s="1">
        <v>10006</v>
      </c>
      <c r="AI6300" s="1" t="s">
        <v>97</v>
      </c>
      <c r="AJ6300" s="1">
        <v>2016</v>
      </c>
      <c r="AK6300" s="1" t="s">
        <v>49</v>
      </c>
      <c r="AL6300" s="1">
        <v>186</v>
      </c>
    </row>
    <row r="6301" spans="1:38" x14ac:dyDescent="0.2">
      <c r="A6301" s="2" t="str">
        <f>HYPERLINK("https://www.compass.com/listing/100-barclay-street-unit-29c-manhattan-ny-10007/29357183204453313/","100 Barclay St, Unit 29C")</f>
        <v>100 Barclay St, Unit 29C</v>
      </c>
      <c r="B6301" s="2" t="str">
        <f t="shared" ref="B6301:B6303" si="1020">HYPERLINK("https://www.compass.com/building/100-barclay-manhattan-ny/281896670466155525/","100 Barclay")</f>
        <v>100 Barclay</v>
      </c>
      <c r="C6301" s="1" t="s">
        <v>50</v>
      </c>
      <c r="D6301" s="1" t="s">
        <v>41</v>
      </c>
      <c r="E6301" s="3">
        <v>6652839</v>
      </c>
      <c r="F6301" s="1">
        <v>2453.1118657817101</v>
      </c>
      <c r="M6301" s="4">
        <v>2712</v>
      </c>
      <c r="Q6301" s="1" t="s">
        <v>42</v>
      </c>
      <c r="S6301" s="1" t="s">
        <v>42</v>
      </c>
      <c r="T6301" s="1" t="s">
        <v>273</v>
      </c>
      <c r="AA6301" s="1">
        <v>6652839.3799999999</v>
      </c>
      <c r="AB6301" s="1" t="s">
        <v>4537</v>
      </c>
      <c r="AC6301" s="5">
        <v>42395</v>
      </c>
      <c r="AF6301" s="1">
        <v>10007</v>
      </c>
      <c r="AI6301" s="1" t="s">
        <v>52</v>
      </c>
      <c r="AJ6301" s="1">
        <v>1930</v>
      </c>
      <c r="AK6301" s="1" t="s">
        <v>49</v>
      </c>
      <c r="AL6301" s="1">
        <v>156</v>
      </c>
    </row>
    <row r="6302" spans="1:38" x14ac:dyDescent="0.2">
      <c r="A6302" s="2" t="str">
        <f>HYPERLINK("https://www.compass.com/listing/100-barclay-street-unit-17g-manhattan-ny-10007/29357206147299537/","100 Barclay St, Unit 17G")</f>
        <v>100 Barclay St, Unit 17G</v>
      </c>
      <c r="B6302" s="2" t="str">
        <f t="shared" si="1020"/>
        <v>100 Barclay</v>
      </c>
      <c r="C6302" s="1" t="s">
        <v>50</v>
      </c>
      <c r="D6302" s="1" t="s">
        <v>41</v>
      </c>
      <c r="E6302" s="3">
        <v>3850000</v>
      </c>
      <c r="F6302" s="1">
        <v>1730.33707865168</v>
      </c>
      <c r="M6302" s="4">
        <v>2225</v>
      </c>
      <c r="Q6302" s="1" t="s">
        <v>42</v>
      </c>
      <c r="S6302" s="1" t="s">
        <v>42</v>
      </c>
      <c r="T6302" s="1" t="s">
        <v>273</v>
      </c>
      <c r="AA6302" s="1">
        <v>3850000</v>
      </c>
      <c r="AB6302" s="1" t="s">
        <v>4538</v>
      </c>
      <c r="AC6302" s="5">
        <v>42986</v>
      </c>
      <c r="AF6302" s="1">
        <v>10007</v>
      </c>
      <c r="AI6302" s="1" t="s">
        <v>52</v>
      </c>
      <c r="AJ6302" s="1">
        <v>1930</v>
      </c>
      <c r="AK6302" s="1" t="s">
        <v>49</v>
      </c>
      <c r="AL6302" s="1">
        <v>156</v>
      </c>
    </row>
    <row r="6303" spans="1:38" x14ac:dyDescent="0.2">
      <c r="A6303" s="2" t="str">
        <f>HYPERLINK("https://www.compass.com/listing/100-barclay-street-unit-31a-manhattan-ny-10007/29357215341178049/","100 Barclay St, Unit 31A")</f>
        <v>100 Barclay St, Unit 31A</v>
      </c>
      <c r="B6303" s="2" t="str">
        <f t="shared" si="1020"/>
        <v>100 Barclay</v>
      </c>
      <c r="C6303" s="1" t="s">
        <v>50</v>
      </c>
      <c r="D6303" s="1" t="s">
        <v>41</v>
      </c>
      <c r="E6303" s="3">
        <v>11193750</v>
      </c>
      <c r="F6303" s="1">
        <v>2596.5553235908101</v>
      </c>
      <c r="M6303" s="4">
        <v>4311</v>
      </c>
      <c r="Q6303" s="1" t="s">
        <v>42</v>
      </c>
      <c r="S6303" s="1" t="s">
        <v>42</v>
      </c>
      <c r="T6303" s="1" t="s">
        <v>273</v>
      </c>
      <c r="AA6303" s="1">
        <v>11193750</v>
      </c>
      <c r="AB6303" s="1" t="s">
        <v>4539</v>
      </c>
      <c r="AC6303" s="5">
        <v>42906</v>
      </c>
      <c r="AF6303" s="1">
        <v>10007</v>
      </c>
      <c r="AI6303" s="1" t="s">
        <v>52</v>
      </c>
      <c r="AJ6303" s="1">
        <v>1930</v>
      </c>
      <c r="AK6303" s="1" t="s">
        <v>49</v>
      </c>
      <c r="AL6303" s="1">
        <v>156</v>
      </c>
    </row>
    <row r="6304" spans="1:38" x14ac:dyDescent="0.2">
      <c r="A6304" s="2" t="str">
        <f>HYPERLINK("https://www.compass.com/listing/111-murray-street-unit-19w-manhattan-ny-10007/29358184435052513/","111 Murray St, Unit 19W")</f>
        <v>111 Murray St, Unit 19W</v>
      </c>
      <c r="B6304" s="2" t="str">
        <f>HYPERLINK("https://www.compass.com/building/111-murray-st-manhattan-ny-10007/281896511862746053/","111 Murray St")</f>
        <v>111 Murray St</v>
      </c>
      <c r="C6304" s="1" t="s">
        <v>50</v>
      </c>
      <c r="D6304" s="1" t="s">
        <v>41</v>
      </c>
      <c r="E6304" s="3">
        <v>6700000</v>
      </c>
      <c r="F6304" s="1">
        <v>2495.3445065176902</v>
      </c>
      <c r="M6304" s="4">
        <v>2685</v>
      </c>
      <c r="Q6304" s="1" t="s">
        <v>42</v>
      </c>
      <c r="S6304" s="1" t="s">
        <v>42</v>
      </c>
      <c r="T6304" s="1" t="s">
        <v>273</v>
      </c>
      <c r="AA6304" s="1">
        <v>6700000</v>
      </c>
      <c r="AB6304" s="1" t="s">
        <v>4540</v>
      </c>
      <c r="AC6304" s="5">
        <v>43193</v>
      </c>
      <c r="AF6304" s="1">
        <v>10007</v>
      </c>
      <c r="AI6304" s="1" t="s">
        <v>80</v>
      </c>
      <c r="AJ6304" s="1">
        <v>2018</v>
      </c>
      <c r="AK6304" s="1" t="s">
        <v>49</v>
      </c>
      <c r="AL6304" s="1">
        <v>157</v>
      </c>
    </row>
    <row r="6305" spans="1:38" x14ac:dyDescent="0.2">
      <c r="A6305" s="2" t="str">
        <f>HYPERLINK("https://www.compass.com/listing/87-leonard-street-unit-1a-manhattan-ny-10013/29358595963394401/","87 Leonard St, Unit 1A")</f>
        <v>87 Leonard St, Unit 1A</v>
      </c>
      <c r="B6305" s="2" t="str">
        <f t="shared" ref="B6305:B6306" si="1021">HYPERLINK("https://www.compass.com/building/87-leonard-st-manhattan-ny-10013/281921482316090549/","87 Leonard St")</f>
        <v>87 Leonard St</v>
      </c>
      <c r="C6305" s="1" t="s">
        <v>50</v>
      </c>
      <c r="D6305" s="1" t="s">
        <v>41</v>
      </c>
      <c r="E6305" s="3">
        <v>6620625</v>
      </c>
      <c r="F6305" s="1">
        <v>1395.2845100105301</v>
      </c>
      <c r="M6305" s="4">
        <v>4745</v>
      </c>
      <c r="Q6305" s="1" t="s">
        <v>42</v>
      </c>
      <c r="S6305" s="1" t="s">
        <v>42</v>
      </c>
      <c r="T6305" s="1" t="s">
        <v>273</v>
      </c>
      <c r="AA6305" s="1">
        <v>6620625</v>
      </c>
      <c r="AB6305" s="1" t="s">
        <v>4541</v>
      </c>
      <c r="AC6305" s="5">
        <v>43041</v>
      </c>
      <c r="AF6305" s="1">
        <v>10013</v>
      </c>
      <c r="AI6305" s="1" t="s">
        <v>177</v>
      </c>
      <c r="AJ6305" s="1">
        <v>1860</v>
      </c>
      <c r="AK6305" s="1" t="s">
        <v>73</v>
      </c>
      <c r="AL6305" s="1">
        <v>7</v>
      </c>
    </row>
    <row r="6306" spans="1:38" x14ac:dyDescent="0.2">
      <c r="A6306" s="2" t="str">
        <f>HYPERLINK("https://www.compass.com/listing/87-leonard-street-unit-1b-manhattan-ny-10013/29358596290545873/","87 Leonard St, Unit 1B")</f>
        <v>87 Leonard St, Unit 1B</v>
      </c>
      <c r="B6306" s="2" t="str">
        <f t="shared" si="1021"/>
        <v>87 Leonard St</v>
      </c>
      <c r="C6306" s="1" t="s">
        <v>50</v>
      </c>
      <c r="D6306" s="1" t="s">
        <v>41</v>
      </c>
      <c r="E6306" s="3">
        <v>7893438</v>
      </c>
      <c r="F6306" s="1">
        <v>1064.6665093067099</v>
      </c>
      <c r="M6306" s="4">
        <v>7414</v>
      </c>
      <c r="Q6306" s="1" t="s">
        <v>42</v>
      </c>
      <c r="S6306" s="1" t="s">
        <v>42</v>
      </c>
      <c r="T6306" s="1" t="s">
        <v>273</v>
      </c>
      <c r="AA6306" s="1">
        <v>7893437.5</v>
      </c>
      <c r="AB6306" s="1" t="s">
        <v>4542</v>
      </c>
      <c r="AC6306" s="5">
        <v>42704</v>
      </c>
      <c r="AF6306" s="1">
        <v>10013</v>
      </c>
      <c r="AI6306" s="1" t="s">
        <v>177</v>
      </c>
      <c r="AJ6306" s="1">
        <v>1860</v>
      </c>
      <c r="AK6306" s="1" t="s">
        <v>73</v>
      </c>
      <c r="AL6306" s="1">
        <v>7</v>
      </c>
    </row>
    <row r="6307" spans="1:38" x14ac:dyDescent="0.2">
      <c r="A6307" s="2" t="str">
        <f>HYPERLINK("https://www.compass.com/listing/7-harrison-street-unit-atlr-manhattan-ny-10013/29358784405089057/","7 Harrison St, Unit ATLR")</f>
        <v>7 Harrison St, Unit ATLR</v>
      </c>
      <c r="B6307" s="2" t="str">
        <f>HYPERLINK("https://www.compass.com/building/7-harrison-st-manhattan-ny-10013/281921095324439429/","7 Harrison St")</f>
        <v>7 Harrison St</v>
      </c>
      <c r="C6307" s="1" t="s">
        <v>50</v>
      </c>
      <c r="D6307" s="1" t="s">
        <v>41</v>
      </c>
      <c r="E6307" s="3">
        <v>8349650</v>
      </c>
      <c r="F6307" s="1">
        <v>2663.3652312599602</v>
      </c>
      <c r="M6307" s="4">
        <v>3135</v>
      </c>
      <c r="Q6307" s="1" t="s">
        <v>42</v>
      </c>
      <c r="S6307" s="1" t="s">
        <v>42</v>
      </c>
      <c r="T6307" s="1" t="s">
        <v>273</v>
      </c>
      <c r="AA6307" s="1">
        <v>8349650</v>
      </c>
      <c r="AB6307" s="1" t="s">
        <v>4543</v>
      </c>
      <c r="AC6307" s="5">
        <v>42048</v>
      </c>
      <c r="AF6307" s="1">
        <v>10013</v>
      </c>
      <c r="AJ6307" s="1">
        <v>1900</v>
      </c>
      <c r="AK6307" s="1" t="s">
        <v>55</v>
      </c>
      <c r="AL6307" s="1">
        <v>12</v>
      </c>
    </row>
    <row r="6308" spans="1:38" x14ac:dyDescent="0.2">
      <c r="A6308" s="2" t="str">
        <f>HYPERLINK("https://www.compass.com/listing/52-lispenard-street-unit-th2-manhattan-ny-10013/29358994036371793/","52 Lispenard St, Unit TH2")</f>
        <v>52 Lispenard St, Unit TH2</v>
      </c>
      <c r="B6308" s="2" t="str">
        <f>HYPERLINK("https://www.compass.com/building/52-54-lispenard-manhattan-ny/281920521132609877/","52-54 Lispenard")</f>
        <v>52-54 Lispenard</v>
      </c>
      <c r="C6308" s="1" t="s">
        <v>50</v>
      </c>
      <c r="D6308" s="1" t="s">
        <v>41</v>
      </c>
      <c r="E6308" s="3">
        <v>3563875</v>
      </c>
      <c r="F6308" s="1">
        <v>1415.35941223193</v>
      </c>
      <c r="M6308" s="4">
        <v>2518</v>
      </c>
      <c r="Q6308" s="1" t="s">
        <v>42</v>
      </c>
      <c r="S6308" s="1" t="s">
        <v>42</v>
      </c>
      <c r="T6308" s="1" t="s">
        <v>273</v>
      </c>
      <c r="AA6308" s="1">
        <v>3563875</v>
      </c>
      <c r="AB6308" s="1" t="s">
        <v>4544</v>
      </c>
      <c r="AC6308" s="5">
        <v>42654</v>
      </c>
      <c r="AF6308" s="1">
        <v>10013</v>
      </c>
      <c r="AJ6308" s="1">
        <v>1920</v>
      </c>
      <c r="AK6308" s="1" t="s">
        <v>73</v>
      </c>
      <c r="AL6308" s="1">
        <v>7</v>
      </c>
    </row>
    <row r="6309" spans="1:38" x14ac:dyDescent="0.2">
      <c r="A6309" s="2" t="str">
        <f>HYPERLINK("https://www.compass.com/listing/42-lispenard-street-unit-5-manhattan-ny-10013/29358996922085569/","42 Lispenard St, Unit 5")</f>
        <v>42 Lispenard St, Unit 5</v>
      </c>
      <c r="B6309" s="2" t="str">
        <f>HYPERLINK("https://www.compass.com/building/42-lispenard-st-manhattan-ny-10013/281919734784495125/","42 Lispenard St")</f>
        <v>42 Lispenard St</v>
      </c>
      <c r="C6309" s="1" t="s">
        <v>50</v>
      </c>
      <c r="D6309" s="1" t="s">
        <v>41</v>
      </c>
      <c r="E6309" s="3">
        <v>6366813</v>
      </c>
      <c r="F6309" s="1">
        <v>2530.5296104928402</v>
      </c>
      <c r="M6309" s="4">
        <v>2516</v>
      </c>
      <c r="Q6309" s="1" t="s">
        <v>42</v>
      </c>
      <c r="S6309" s="1" t="s">
        <v>42</v>
      </c>
      <c r="T6309" s="1" t="s">
        <v>273</v>
      </c>
      <c r="AA6309" s="1">
        <v>6366812.5</v>
      </c>
      <c r="AB6309" s="1" t="s">
        <v>4545</v>
      </c>
      <c r="AC6309" s="5">
        <v>43041</v>
      </c>
      <c r="AF6309" s="1">
        <v>10013</v>
      </c>
      <c r="AI6309" s="1" t="s">
        <v>177</v>
      </c>
      <c r="AJ6309" s="1">
        <v>1915</v>
      </c>
      <c r="AL6309" s="1">
        <v>4</v>
      </c>
    </row>
    <row r="6310" spans="1:38" x14ac:dyDescent="0.2">
      <c r="A6310" s="2" t="str">
        <f>HYPERLINK("https://www.compass.com/listing/56-walker-street-unit-1-manhattan-ny-10013/29358997232431505/","56 Walker St, Unit 1")</f>
        <v>56 Walker St, Unit 1</v>
      </c>
      <c r="B6310" s="2" t="str">
        <f>HYPERLINK("https://www.compass.com/building/walker-house-manhattan-ny/281920827333577653/","Walker House")</f>
        <v>Walker House</v>
      </c>
      <c r="C6310" s="1" t="s">
        <v>50</v>
      </c>
      <c r="D6310" s="1" t="s">
        <v>41</v>
      </c>
      <c r="E6310" s="3">
        <v>7636875</v>
      </c>
      <c r="F6310" s="1">
        <v>1718.85550303848</v>
      </c>
      <c r="M6310" s="4">
        <v>4443</v>
      </c>
      <c r="Q6310" s="1" t="s">
        <v>42</v>
      </c>
      <c r="S6310" s="1" t="s">
        <v>42</v>
      </c>
      <c r="T6310" s="1" t="s">
        <v>273</v>
      </c>
      <c r="AA6310" s="1">
        <v>7636875</v>
      </c>
      <c r="AB6310" s="1" t="s">
        <v>4546</v>
      </c>
      <c r="AC6310" s="5">
        <v>42870</v>
      </c>
      <c r="AF6310" s="1">
        <v>10013</v>
      </c>
      <c r="AJ6310" s="1">
        <v>2015</v>
      </c>
      <c r="AL6310" s="1">
        <v>4</v>
      </c>
    </row>
    <row r="6311" spans="1:38" x14ac:dyDescent="0.2">
      <c r="A6311" s="2" t="str">
        <f>HYPERLINK("https://www.compass.com/listing/15-hudson-yards-unit-ph85a-manhattan-ny-10001/29359421654103617/","15 Hudson Yards, Unit PH85A")</f>
        <v>15 Hudson Yards, Unit PH85A</v>
      </c>
      <c r="B6311" s="2" t="str">
        <f t="shared" ref="B6311:B6312" si="1022">HYPERLINK("https://www.compass.com/building/fifteen-hudson-yards-manhattan-ny/282058587512011909/","Fifteen Hudson Yards")</f>
        <v>Fifteen Hudson Yards</v>
      </c>
      <c r="C6311" s="1" t="s">
        <v>77</v>
      </c>
      <c r="D6311" s="1" t="s">
        <v>41</v>
      </c>
      <c r="E6311" s="3">
        <v>13005249</v>
      </c>
      <c r="F6311" s="1">
        <v>3866.0074316290102</v>
      </c>
      <c r="G6311" s="1">
        <v>6</v>
      </c>
      <c r="H6311" s="1">
        <v>4</v>
      </c>
      <c r="I6311" s="1">
        <v>5</v>
      </c>
      <c r="J6311" s="1">
        <v>4.5</v>
      </c>
      <c r="K6311" s="1">
        <v>4</v>
      </c>
      <c r="L6311" s="1">
        <v>1</v>
      </c>
      <c r="M6311" s="4">
        <v>3364</v>
      </c>
      <c r="N6311" s="1">
        <v>8202</v>
      </c>
      <c r="O6311" s="1">
        <v>8316</v>
      </c>
      <c r="P6311" s="1">
        <v>114</v>
      </c>
      <c r="Q6311" s="1" t="s">
        <v>42</v>
      </c>
      <c r="S6311" s="1" t="s">
        <v>42</v>
      </c>
      <c r="T6311" s="1" t="s">
        <v>273</v>
      </c>
      <c r="U6311" s="1">
        <v>72</v>
      </c>
      <c r="V6311" s="5">
        <v>43771</v>
      </c>
      <c r="W6311" s="5">
        <v>43481</v>
      </c>
      <c r="Y6311" s="1">
        <v>13880000</v>
      </c>
      <c r="AA6311" s="1">
        <v>13005249</v>
      </c>
      <c r="AB6311" s="1" t="s">
        <v>275</v>
      </c>
      <c r="AC6311" s="5">
        <v>43756</v>
      </c>
      <c r="AF6311" s="1">
        <v>10001</v>
      </c>
      <c r="AJ6311" s="1">
        <v>2018</v>
      </c>
      <c r="AK6311" s="1" t="s">
        <v>46</v>
      </c>
      <c r="AL6311" s="1">
        <v>285</v>
      </c>
    </row>
    <row r="6312" spans="1:38" x14ac:dyDescent="0.2">
      <c r="A6312" s="2" t="str">
        <f>HYPERLINK("https://www.compass.com/listing/15-hudson-yards-unit-36d-manhattan-ny-10001/29359446811535089/","15 Hudson Yards, Unit 36D")</f>
        <v>15 Hudson Yards, Unit 36D</v>
      </c>
      <c r="B6312" s="2" t="str">
        <f t="shared" si="1022"/>
        <v>Fifteen Hudson Yards</v>
      </c>
      <c r="C6312" s="1" t="s">
        <v>77</v>
      </c>
      <c r="D6312" s="1" t="s">
        <v>41</v>
      </c>
      <c r="E6312" s="3">
        <v>3940633</v>
      </c>
      <c r="F6312" s="1">
        <v>2524.4285714285702</v>
      </c>
      <c r="G6312" s="1">
        <v>4</v>
      </c>
      <c r="H6312" s="1">
        <v>2</v>
      </c>
      <c r="I6312" s="1">
        <v>3</v>
      </c>
      <c r="J6312" s="1">
        <v>2.5</v>
      </c>
      <c r="K6312" s="1">
        <v>2</v>
      </c>
      <c r="L6312" s="1">
        <v>1</v>
      </c>
      <c r="M6312" s="4">
        <v>1561</v>
      </c>
      <c r="N6312" s="1">
        <v>3388</v>
      </c>
      <c r="O6312" s="1">
        <v>3435</v>
      </c>
      <c r="P6312" s="1">
        <v>47</v>
      </c>
      <c r="Q6312" s="1" t="s">
        <v>42</v>
      </c>
      <c r="S6312" s="1" t="s">
        <v>42</v>
      </c>
      <c r="T6312" s="1" t="s">
        <v>273</v>
      </c>
      <c r="U6312" s="1">
        <v>43</v>
      </c>
      <c r="V6312" s="5">
        <v>43673</v>
      </c>
      <c r="W6312" s="5">
        <v>42950</v>
      </c>
      <c r="X6312" s="1">
        <v>3905000</v>
      </c>
      <c r="Y6312" s="1">
        <v>3905000</v>
      </c>
      <c r="AA6312" s="1">
        <v>3940633</v>
      </c>
      <c r="AB6312" s="1" t="s">
        <v>275</v>
      </c>
      <c r="AC6312" s="5">
        <v>43564</v>
      </c>
      <c r="AF6312" s="1">
        <v>10001</v>
      </c>
      <c r="AJ6312" s="1">
        <v>2018</v>
      </c>
      <c r="AK6312" s="1" t="s">
        <v>49</v>
      </c>
      <c r="AL6312" s="1">
        <v>285</v>
      </c>
    </row>
    <row r="6313" spans="1:38" x14ac:dyDescent="0.2">
      <c r="A6313" s="2" t="str">
        <f>HYPERLINK("https://www.compass.com/listing/277-east-7th-street-unit-5-manhattan-ny-10009/29360925932852945/","277 E 7th St, Unit 5")</f>
        <v>277 E 7th St, Unit 5</v>
      </c>
      <c r="B6313" s="2" t="str">
        <f t="shared" ref="B6313:B6314" si="1023">HYPERLINK("https://www.compass.com/building/seven-east-village-manhattan-ny/281899280162107413/","Seven East Village")</f>
        <v>Seven East Village</v>
      </c>
      <c r="C6313" s="1" t="s">
        <v>71</v>
      </c>
      <c r="D6313" s="1" t="s">
        <v>41</v>
      </c>
      <c r="E6313" s="3">
        <v>2117960</v>
      </c>
      <c r="F6313" s="1">
        <v>1611.84170471841</v>
      </c>
      <c r="M6313" s="4">
        <v>1314</v>
      </c>
      <c r="Q6313" s="1" t="s">
        <v>42</v>
      </c>
      <c r="S6313" s="1" t="s">
        <v>42</v>
      </c>
      <c r="T6313" s="1" t="s">
        <v>273</v>
      </c>
      <c r="AA6313" s="1">
        <v>2117960</v>
      </c>
      <c r="AB6313" s="1" t="s">
        <v>4547</v>
      </c>
      <c r="AC6313" s="5">
        <v>42214</v>
      </c>
      <c r="AF6313" s="1">
        <v>10009</v>
      </c>
      <c r="AI6313" s="1" t="s">
        <v>78</v>
      </c>
      <c r="AJ6313" s="1">
        <v>2014</v>
      </c>
      <c r="AL6313" s="1">
        <v>6</v>
      </c>
    </row>
    <row r="6314" spans="1:38" x14ac:dyDescent="0.2">
      <c r="A6314" s="2" t="str">
        <f>HYPERLINK("https://www.compass.com/listing/277-east-7th-street-unit-6-manhattan-ny-10009/29360926234883057/","277 E 7th St, Unit 6")</f>
        <v>277 E 7th St, Unit 6</v>
      </c>
      <c r="B6314" s="2" t="str">
        <f t="shared" si="1023"/>
        <v>Seven East Village</v>
      </c>
      <c r="C6314" s="1" t="s">
        <v>71</v>
      </c>
      <c r="D6314" s="1" t="s">
        <v>41</v>
      </c>
      <c r="E6314" s="3">
        <v>2150000</v>
      </c>
      <c r="F6314" s="1">
        <v>1636.2252663622501</v>
      </c>
      <c r="M6314" s="4">
        <v>1314</v>
      </c>
      <c r="Q6314" s="1" t="s">
        <v>42</v>
      </c>
      <c r="S6314" s="1" t="s">
        <v>42</v>
      </c>
      <c r="T6314" s="1" t="s">
        <v>273</v>
      </c>
      <c r="AA6314" s="1">
        <v>2150000</v>
      </c>
      <c r="AB6314" s="1" t="s">
        <v>4548</v>
      </c>
      <c r="AC6314" s="5">
        <v>42247</v>
      </c>
      <c r="AF6314" s="1">
        <v>10009</v>
      </c>
      <c r="AI6314" s="1" t="s">
        <v>78</v>
      </c>
      <c r="AJ6314" s="1">
        <v>2014</v>
      </c>
      <c r="AL6314" s="1">
        <v>6</v>
      </c>
    </row>
    <row r="6315" spans="1:38" x14ac:dyDescent="0.2">
      <c r="A6315" s="2" t="str">
        <f>HYPERLINK("https://www.compass.com/listing/67-avenue-c-unit-2-manhattan-ny-10009/29361010758494353/","67 Avenue C, Unit 2")</f>
        <v>67 Avenue C, Unit 2</v>
      </c>
      <c r="B6315" s="2" t="str">
        <f t="shared" ref="B6315:B6320" si="1024">HYPERLINK("https://www.compass.com/building/67-avenue-c-manhattan-ny-10009/281901375074352277/","67 Avenue C")</f>
        <v>67 Avenue C</v>
      </c>
      <c r="C6315" s="1" t="s">
        <v>71</v>
      </c>
      <c r="D6315" s="1" t="s">
        <v>41</v>
      </c>
      <c r="E6315" s="3">
        <v>1596107</v>
      </c>
      <c r="F6315" s="1">
        <v>1345.7899494097801</v>
      </c>
      <c r="M6315" s="4">
        <v>1186</v>
      </c>
      <c r="Q6315" s="1" t="s">
        <v>42</v>
      </c>
      <c r="S6315" s="1" t="s">
        <v>42</v>
      </c>
      <c r="T6315" s="1" t="s">
        <v>273</v>
      </c>
      <c r="AA6315" s="1">
        <v>1596106.88</v>
      </c>
      <c r="AB6315" s="1" t="s">
        <v>4549</v>
      </c>
      <c r="AC6315" s="5">
        <v>42517</v>
      </c>
      <c r="AF6315" s="1">
        <v>10009</v>
      </c>
      <c r="AI6315" s="1" t="s">
        <v>78</v>
      </c>
      <c r="AJ6315" s="1">
        <v>2015</v>
      </c>
      <c r="AL6315" s="1">
        <v>8</v>
      </c>
    </row>
    <row r="6316" spans="1:38" x14ac:dyDescent="0.2">
      <c r="A6316" s="2" t="str">
        <f>HYPERLINK("https://www.compass.com/listing/67-avenue-c-unit-3a-manhattan-ny-10009/29361011068837649/","67 Avenue C, Unit 3A")</f>
        <v>67 Avenue C, Unit 3A</v>
      </c>
      <c r="B6316" s="2" t="str">
        <f t="shared" si="1024"/>
        <v>67 Avenue C</v>
      </c>
      <c r="C6316" s="1" t="s">
        <v>71</v>
      </c>
      <c r="D6316" s="1" t="s">
        <v>41</v>
      </c>
      <c r="E6316" s="3">
        <v>850000</v>
      </c>
      <c r="F6316" s="1">
        <v>1520.572450805</v>
      </c>
      <c r="H6316" s="1">
        <v>1</v>
      </c>
      <c r="J6316" s="1">
        <v>1</v>
      </c>
      <c r="M6316" s="1">
        <v>559</v>
      </c>
      <c r="N6316" s="1">
        <v>432</v>
      </c>
      <c r="O6316" s="1">
        <v>768</v>
      </c>
      <c r="P6316" s="1">
        <v>336</v>
      </c>
      <c r="Q6316" s="1" t="s">
        <v>42</v>
      </c>
      <c r="S6316" s="1" t="s">
        <v>42</v>
      </c>
      <c r="T6316" s="1" t="s">
        <v>273</v>
      </c>
      <c r="AA6316" s="1">
        <v>850000</v>
      </c>
      <c r="AB6316" s="1" t="s">
        <v>4550</v>
      </c>
      <c r="AC6316" s="5">
        <v>42514</v>
      </c>
      <c r="AF6316" s="1">
        <v>10009</v>
      </c>
      <c r="AI6316" s="1" t="s">
        <v>78</v>
      </c>
      <c r="AJ6316" s="1">
        <v>2015</v>
      </c>
      <c r="AL6316" s="1">
        <v>8</v>
      </c>
    </row>
    <row r="6317" spans="1:38" x14ac:dyDescent="0.2">
      <c r="A6317" s="2" t="str">
        <f>HYPERLINK("https://www.compass.com/listing/67-avenue-c-unit-4b-manhattan-ny-10009/29361012083859233/","67 Avenue C, Unit 4B")</f>
        <v>67 Avenue C, Unit 4B</v>
      </c>
      <c r="B6317" s="2" t="str">
        <f t="shared" si="1024"/>
        <v>67 Avenue C</v>
      </c>
      <c r="C6317" s="1" t="s">
        <v>71</v>
      </c>
      <c r="D6317" s="1" t="s">
        <v>41</v>
      </c>
      <c r="E6317" s="3">
        <v>824783</v>
      </c>
      <c r="F6317" s="1">
        <v>1483.42176258992</v>
      </c>
      <c r="H6317" s="1">
        <v>1</v>
      </c>
      <c r="J6317" s="1">
        <v>1</v>
      </c>
      <c r="M6317" s="1">
        <v>556</v>
      </c>
      <c r="N6317" s="1">
        <v>424</v>
      </c>
      <c r="O6317" s="1">
        <v>754</v>
      </c>
      <c r="P6317" s="1">
        <v>330</v>
      </c>
      <c r="Q6317" s="1" t="s">
        <v>42</v>
      </c>
      <c r="S6317" s="1" t="s">
        <v>42</v>
      </c>
      <c r="T6317" s="1" t="s">
        <v>273</v>
      </c>
      <c r="AA6317" s="1">
        <v>824782.5</v>
      </c>
      <c r="AB6317" s="1" t="s">
        <v>4551</v>
      </c>
      <c r="AC6317" s="5">
        <v>42489</v>
      </c>
      <c r="AF6317" s="1">
        <v>10009</v>
      </c>
      <c r="AI6317" s="1" t="s">
        <v>78</v>
      </c>
      <c r="AJ6317" s="1">
        <v>2015</v>
      </c>
      <c r="AL6317" s="1">
        <v>8</v>
      </c>
    </row>
    <row r="6318" spans="1:38" x14ac:dyDescent="0.2">
      <c r="A6318" s="2" t="str">
        <f>HYPERLINK("https://www.compass.com/listing/67-avenue-c-unit-5-manhattan-ny-10009/29361012385889345/","67 Avenue C, Unit 5")</f>
        <v>67 Avenue C, Unit 5</v>
      </c>
      <c r="B6318" s="2" t="str">
        <f t="shared" si="1024"/>
        <v>67 Avenue C</v>
      </c>
      <c r="C6318" s="1" t="s">
        <v>71</v>
      </c>
      <c r="D6318" s="1" t="s">
        <v>41</v>
      </c>
      <c r="E6318" s="3">
        <v>1750000</v>
      </c>
      <c r="F6318" s="1">
        <v>1475.54806070826</v>
      </c>
      <c r="H6318" s="1">
        <v>3</v>
      </c>
      <c r="J6318" s="1">
        <v>2</v>
      </c>
      <c r="M6318" s="4">
        <v>1186</v>
      </c>
      <c r="N6318" s="1">
        <v>887</v>
      </c>
      <c r="O6318" s="1">
        <v>1580</v>
      </c>
      <c r="P6318" s="1">
        <v>693</v>
      </c>
      <c r="Q6318" s="1" t="s">
        <v>42</v>
      </c>
      <c r="S6318" s="1" t="s">
        <v>42</v>
      </c>
      <c r="T6318" s="1" t="s">
        <v>273</v>
      </c>
      <c r="AA6318" s="1">
        <v>1750000</v>
      </c>
      <c r="AB6318" s="1" t="s">
        <v>4552</v>
      </c>
      <c r="AC6318" s="5">
        <v>42516</v>
      </c>
      <c r="AF6318" s="1">
        <v>10009</v>
      </c>
      <c r="AI6318" s="1" t="s">
        <v>78</v>
      </c>
      <c r="AJ6318" s="1">
        <v>2015</v>
      </c>
      <c r="AL6318" s="1">
        <v>8</v>
      </c>
    </row>
    <row r="6319" spans="1:38" x14ac:dyDescent="0.2">
      <c r="A6319" s="2" t="str">
        <f>HYPERLINK("https://www.compass.com/listing/67-avenue-c-unit-6a-manhattan-ny-10009/29361012696262833/","67 Avenue C, Unit 6A")</f>
        <v>67 Avenue C, Unit 6A</v>
      </c>
      <c r="B6319" s="2" t="str">
        <f t="shared" si="1024"/>
        <v>67 Avenue C</v>
      </c>
      <c r="C6319" s="1" t="s">
        <v>71</v>
      </c>
      <c r="D6319" s="1" t="s">
        <v>41</v>
      </c>
      <c r="E6319" s="3">
        <v>1578288</v>
      </c>
      <c r="F6319" s="1">
        <v>1824.6098265895901</v>
      </c>
      <c r="M6319" s="1">
        <v>865</v>
      </c>
      <c r="Q6319" s="1" t="s">
        <v>42</v>
      </c>
      <c r="S6319" s="1" t="s">
        <v>42</v>
      </c>
      <c r="T6319" s="1" t="s">
        <v>273</v>
      </c>
      <c r="AA6319" s="1">
        <v>1578287.5</v>
      </c>
      <c r="AB6319" s="1" t="s">
        <v>4553</v>
      </c>
      <c r="AC6319" s="5">
        <v>42513</v>
      </c>
      <c r="AF6319" s="1">
        <v>10009</v>
      </c>
      <c r="AI6319" s="1" t="s">
        <v>78</v>
      </c>
      <c r="AJ6319" s="1">
        <v>2015</v>
      </c>
      <c r="AL6319" s="1">
        <v>8</v>
      </c>
    </row>
    <row r="6320" spans="1:38" x14ac:dyDescent="0.2">
      <c r="A6320" s="2" t="str">
        <f>HYPERLINK("https://www.compass.com/listing/67-avenue-c-unit-6b-manhattan-ny-10009/29361012973051697/","67 Avenue C, Unit 6B")</f>
        <v>67 Avenue C, Unit 6B</v>
      </c>
      <c r="B6320" s="2" t="str">
        <f t="shared" si="1024"/>
        <v>67 Avenue C</v>
      </c>
      <c r="C6320" s="1" t="s">
        <v>71</v>
      </c>
      <c r="D6320" s="1" t="s">
        <v>41</v>
      </c>
      <c r="E6320" s="3">
        <v>1170988</v>
      </c>
      <c r="F6320" s="1">
        <v>1978.0194256756699</v>
      </c>
      <c r="M6320" s="1">
        <v>592</v>
      </c>
      <c r="Q6320" s="1" t="s">
        <v>42</v>
      </c>
      <c r="S6320" s="1" t="s">
        <v>42</v>
      </c>
      <c r="T6320" s="1" t="s">
        <v>273</v>
      </c>
      <c r="AA6320" s="1">
        <v>1170987.5</v>
      </c>
      <c r="AB6320" s="1" t="s">
        <v>4554</v>
      </c>
      <c r="AC6320" s="5">
        <v>42577</v>
      </c>
      <c r="AF6320" s="1">
        <v>10009</v>
      </c>
      <c r="AI6320" s="1" t="s">
        <v>78</v>
      </c>
      <c r="AJ6320" s="1">
        <v>2015</v>
      </c>
      <c r="AL6320" s="1">
        <v>8</v>
      </c>
    </row>
    <row r="6321" spans="1:38" x14ac:dyDescent="0.2">
      <c r="A6321" s="2" t="str">
        <f>HYPERLINK("https://www.compass.com/listing/536-east-13th-street-unit-3f-manhattan-ny-10009/29361338333610289/","536 E 13th St, Unit 3F")</f>
        <v>536 E 13th St, Unit 3F</v>
      </c>
      <c r="B6321" s="2" t="str">
        <f t="shared" ref="B6321:B6322" si="1025">HYPERLINK("https://www.compass.com/building/536-e-13th-st-manhattan-ny-10009/281900929068843109/","536 E 13th St")</f>
        <v>536 E 13th St</v>
      </c>
      <c r="C6321" s="1" t="s">
        <v>71</v>
      </c>
      <c r="D6321" s="1" t="s">
        <v>41</v>
      </c>
      <c r="E6321" s="3">
        <v>1272813</v>
      </c>
      <c r="F6321" s="1">
        <v>1674.7532894736801</v>
      </c>
      <c r="M6321" s="1">
        <v>760</v>
      </c>
      <c r="Q6321" s="1" t="s">
        <v>42</v>
      </c>
      <c r="S6321" s="1" t="s">
        <v>42</v>
      </c>
      <c r="T6321" s="1" t="s">
        <v>273</v>
      </c>
      <c r="AA6321" s="1">
        <v>1272812.5</v>
      </c>
      <c r="AB6321" s="1" t="s">
        <v>4555</v>
      </c>
      <c r="AC6321" s="5">
        <v>42495</v>
      </c>
      <c r="AF6321" s="1">
        <v>10009</v>
      </c>
      <c r="AI6321" s="1" t="s">
        <v>52</v>
      </c>
      <c r="AL6321" s="1">
        <v>11</v>
      </c>
    </row>
    <row r="6322" spans="1:38" x14ac:dyDescent="0.2">
      <c r="A6322" s="2" t="str">
        <f>HYPERLINK("https://www.compass.com/listing/536-east-13th-street-unit-3r-manhattan-ny-10009/29361338635640657/","536 E 13th St, Unit 3R")</f>
        <v>536 E 13th St, Unit 3R</v>
      </c>
      <c r="B6322" s="2" t="str">
        <f t="shared" si="1025"/>
        <v>536 E 13th St</v>
      </c>
      <c r="C6322" s="1" t="s">
        <v>71</v>
      </c>
      <c r="D6322" s="1" t="s">
        <v>41</v>
      </c>
      <c r="E6322" s="3">
        <v>1272813</v>
      </c>
      <c r="F6322" s="1">
        <v>1599.01067839195</v>
      </c>
      <c r="M6322" s="1">
        <v>796</v>
      </c>
      <c r="Q6322" s="1" t="s">
        <v>42</v>
      </c>
      <c r="S6322" s="1" t="s">
        <v>42</v>
      </c>
      <c r="T6322" s="1" t="s">
        <v>273</v>
      </c>
      <c r="AA6322" s="1">
        <v>1272812.5</v>
      </c>
      <c r="AB6322" s="1" t="s">
        <v>4556</v>
      </c>
      <c r="AC6322" s="5">
        <v>42527</v>
      </c>
      <c r="AF6322" s="1">
        <v>10009</v>
      </c>
      <c r="AI6322" s="1" t="s">
        <v>52</v>
      </c>
      <c r="AL6322" s="1">
        <v>11</v>
      </c>
    </row>
    <row r="6323" spans="1:38" x14ac:dyDescent="0.2">
      <c r="A6323" s="2" t="str">
        <f>HYPERLINK("https://www.compass.com/listing/347-bowery-unit-r3-manhattan-ny-10003/29362115697498449/","347 Bowery, Unit R3")</f>
        <v>347 Bowery, Unit R3</v>
      </c>
      <c r="B6323" s="2" t="str">
        <f>HYPERLINK("https://www.compass.com/building/347-bowery-manhattan-ny/281893184445880405/","347 Bowery")</f>
        <v>347 Bowery</v>
      </c>
      <c r="C6323" s="1" t="s">
        <v>71</v>
      </c>
      <c r="D6323" s="1" t="s">
        <v>41</v>
      </c>
      <c r="E6323" s="3">
        <v>6155663</v>
      </c>
      <c r="F6323" s="1">
        <v>2417.7778868813798</v>
      </c>
      <c r="M6323" s="4">
        <v>2546</v>
      </c>
      <c r="Q6323" s="1" t="s">
        <v>42</v>
      </c>
      <c r="S6323" s="1" t="s">
        <v>42</v>
      </c>
      <c r="T6323" s="1" t="s">
        <v>273</v>
      </c>
      <c r="AA6323" s="1">
        <v>6155662.5</v>
      </c>
      <c r="AB6323" s="1" t="s">
        <v>4557</v>
      </c>
      <c r="AC6323" s="5">
        <v>42914</v>
      </c>
      <c r="AF6323" s="1">
        <v>10003</v>
      </c>
      <c r="AI6323" s="1" t="s">
        <v>54</v>
      </c>
      <c r="AJ6323" s="1">
        <v>2017</v>
      </c>
      <c r="AK6323" s="1" t="s">
        <v>73</v>
      </c>
      <c r="AL6323" s="1">
        <v>6</v>
      </c>
    </row>
    <row r="6324" spans="1:38" x14ac:dyDescent="0.2">
      <c r="A6324" s="2" t="str">
        <f>HYPERLINK("https://www.compass.com/listing/53-greene-street-unit-2-manhattan-ny-10013/29362526865138769/","53 Greene St, Unit 2")</f>
        <v>53 Greene St, Unit 2</v>
      </c>
      <c r="B6324" s="2" t="str">
        <f t="shared" ref="B6324:B6325" si="1026">HYPERLINK("https://www.compass.com/building/53-greene-st-manhattan-ny-10013/281920591823407893/","53 Greene St")</f>
        <v>53 Greene St</v>
      </c>
      <c r="C6324" s="1" t="s">
        <v>298</v>
      </c>
      <c r="D6324" s="1" t="s">
        <v>41</v>
      </c>
      <c r="E6324" s="3">
        <v>5730000</v>
      </c>
      <c r="F6324" s="1">
        <v>2067.84554312522</v>
      </c>
      <c r="H6324" s="1">
        <v>2</v>
      </c>
      <c r="J6324" s="1">
        <v>3</v>
      </c>
      <c r="M6324" s="4">
        <v>2771</v>
      </c>
      <c r="N6324" s="1">
        <v>2183</v>
      </c>
      <c r="O6324" s="1">
        <v>3654</v>
      </c>
      <c r="P6324" s="1">
        <v>1471</v>
      </c>
      <c r="Q6324" s="1" t="s">
        <v>42</v>
      </c>
      <c r="S6324" s="1" t="s">
        <v>42</v>
      </c>
      <c r="T6324" s="1" t="s">
        <v>273</v>
      </c>
      <c r="AA6324" s="1">
        <v>5730000</v>
      </c>
      <c r="AB6324" s="1" t="s">
        <v>4558</v>
      </c>
      <c r="AC6324" s="5">
        <v>42408</v>
      </c>
      <c r="AF6324" s="1">
        <v>10013</v>
      </c>
      <c r="AJ6324" s="1">
        <v>2014</v>
      </c>
      <c r="AL6324" s="1">
        <v>5</v>
      </c>
    </row>
    <row r="6325" spans="1:38" x14ac:dyDescent="0.2">
      <c r="A6325" s="2" t="str">
        <f>HYPERLINK("https://www.compass.com/listing/53-greene-street-unit-6-manhattan-ny-10013/29362529012615985/","53 Greene St, Unit 6")</f>
        <v>53 Greene St, Unit 6</v>
      </c>
      <c r="B6325" s="2" t="str">
        <f t="shared" si="1026"/>
        <v>53 Greene St</v>
      </c>
      <c r="C6325" s="1" t="s">
        <v>298</v>
      </c>
      <c r="D6325" s="1" t="s">
        <v>41</v>
      </c>
      <c r="E6325" s="3">
        <v>10538888</v>
      </c>
      <c r="F6325" s="1">
        <v>3002.5320512820499</v>
      </c>
      <c r="M6325" s="4">
        <v>3510</v>
      </c>
      <c r="Q6325" s="1" t="s">
        <v>42</v>
      </c>
      <c r="S6325" s="1" t="s">
        <v>42</v>
      </c>
      <c r="T6325" s="1" t="s">
        <v>273</v>
      </c>
      <c r="AA6325" s="1">
        <v>10538887.5</v>
      </c>
      <c r="AB6325" s="1" t="s">
        <v>4559</v>
      </c>
      <c r="AC6325" s="5">
        <v>42408</v>
      </c>
      <c r="AF6325" s="1">
        <v>10013</v>
      </c>
      <c r="AJ6325" s="1">
        <v>2014</v>
      </c>
      <c r="AL6325" s="1">
        <v>5</v>
      </c>
    </row>
    <row r="6326" spans="1:38" x14ac:dyDescent="0.2">
      <c r="A6326" s="2" t="str">
        <f>HYPERLINK("https://www.compass.com/listing/63-greene-street-unit-2b-manhattan-ny-10012/29362725264112673/","63 Greene St, Unit 2B")</f>
        <v>63 Greene St, Unit 2B</v>
      </c>
      <c r="B6326" s="2" t="str">
        <f>HYPERLINK("https://www.compass.com/building/63-greene-street-manhattan-ny/292812252044627637/","63 Greene Street")</f>
        <v>63 Greene Street</v>
      </c>
      <c r="C6326" s="1" t="s">
        <v>298</v>
      </c>
      <c r="D6326" s="1" t="s">
        <v>41</v>
      </c>
      <c r="E6326" s="3">
        <v>1800000</v>
      </c>
      <c r="F6326" s="1">
        <v>1594.3312666076099</v>
      </c>
      <c r="M6326" s="4">
        <v>1129</v>
      </c>
      <c r="Q6326" s="1" t="s">
        <v>42</v>
      </c>
      <c r="S6326" s="1" t="s">
        <v>42</v>
      </c>
      <c r="T6326" s="1" t="s">
        <v>273</v>
      </c>
      <c r="AA6326" s="1">
        <v>1800000</v>
      </c>
      <c r="AB6326" s="1" t="s">
        <v>4560</v>
      </c>
      <c r="AC6326" s="5">
        <v>42935</v>
      </c>
      <c r="AF6326" s="1">
        <v>10012</v>
      </c>
      <c r="AI6326" s="1" t="s">
        <v>140</v>
      </c>
      <c r="AJ6326" s="1">
        <v>1877</v>
      </c>
      <c r="AK6326" s="1" t="s">
        <v>239</v>
      </c>
      <c r="AL6326" s="1">
        <v>23</v>
      </c>
    </row>
    <row r="6327" spans="1:38" x14ac:dyDescent="0.2">
      <c r="A6327" s="2" t="str">
        <f>HYPERLINK("https://www.compass.com/listing/25-prince-street-unit-4a-manhattan-ny-10012/29363099538645793/","25 Prince St, Unit 4A")</f>
        <v>25 Prince St, Unit 4A</v>
      </c>
      <c r="B6327" s="2" t="str">
        <f>HYPERLINK("https://www.compass.com/building/25-prince-st-manhattan-ny-10012/281914530534027029/","25 Prince St")</f>
        <v>25 Prince St</v>
      </c>
      <c r="C6327" s="1" t="s">
        <v>79</v>
      </c>
      <c r="D6327" s="1" t="s">
        <v>41</v>
      </c>
      <c r="E6327" s="3">
        <v>5600375</v>
      </c>
      <c r="F6327" s="1">
        <v>2272.8794642857101</v>
      </c>
      <c r="M6327" s="4">
        <v>2464</v>
      </c>
      <c r="Q6327" s="1" t="s">
        <v>42</v>
      </c>
      <c r="S6327" s="1" t="s">
        <v>42</v>
      </c>
      <c r="T6327" s="1" t="s">
        <v>273</v>
      </c>
      <c r="AA6327" s="1">
        <v>5600375</v>
      </c>
      <c r="AB6327" s="1" t="s">
        <v>4561</v>
      </c>
      <c r="AC6327" s="5">
        <v>42809</v>
      </c>
      <c r="AF6327" s="1">
        <v>10012</v>
      </c>
      <c r="AI6327" s="1" t="s">
        <v>177</v>
      </c>
      <c r="AJ6327" s="1">
        <v>1910</v>
      </c>
      <c r="AL6327" s="1">
        <v>3</v>
      </c>
    </row>
    <row r="6328" spans="1:38" x14ac:dyDescent="0.2">
      <c r="A6328" s="2" t="str">
        <f>HYPERLINK("https://www.compass.com/listing/150-wooster-street-unit-6-manhattan-ny-10012/29363170858546705/","150 Wooster St, Unit 6")</f>
        <v>150 Wooster St, Unit 6</v>
      </c>
      <c r="B6328" s="2" t="str">
        <f>HYPERLINK("https://www.compass.com/building/150-wooster-st-manhattan-ny-10012/282065972817334901/","150 Wooster St")</f>
        <v>150 Wooster St</v>
      </c>
      <c r="C6328" s="1" t="s">
        <v>298</v>
      </c>
      <c r="D6328" s="1" t="s">
        <v>41</v>
      </c>
      <c r="E6328" s="3">
        <v>14357325</v>
      </c>
      <c r="F6328" s="1">
        <v>3361.5839381877699</v>
      </c>
      <c r="M6328" s="4">
        <v>4271</v>
      </c>
      <c r="Q6328" s="1" t="s">
        <v>42</v>
      </c>
      <c r="S6328" s="1" t="s">
        <v>42</v>
      </c>
      <c r="T6328" s="1" t="s">
        <v>273</v>
      </c>
      <c r="AA6328" s="1">
        <v>14357325</v>
      </c>
      <c r="AB6328" s="1" t="s">
        <v>4562</v>
      </c>
      <c r="AC6328" s="5">
        <v>43146</v>
      </c>
      <c r="AF6328" s="1">
        <v>10012</v>
      </c>
      <c r="AJ6328" s="1">
        <v>2017</v>
      </c>
      <c r="AK6328" s="1" t="s">
        <v>55</v>
      </c>
      <c r="AL6328" s="1">
        <v>6</v>
      </c>
    </row>
    <row r="6329" spans="1:38" x14ac:dyDescent="0.2">
      <c r="A6329" s="2" t="str">
        <f>HYPERLINK("https://www.compass.com/listing/178-bleecker-street-unit-5f-manhattan-ny-10012/29363519422047681/","178 Bleecker St, Unit 5F")</f>
        <v>178 Bleecker St, Unit 5F</v>
      </c>
      <c r="B6329" s="2" t="str">
        <f>HYPERLINK("https://www.compass.com/building/178-bleecker-st-manhattan-ny-10012/281913488861850821/","178 Bleecker St")</f>
        <v>178 Bleecker St</v>
      </c>
      <c r="C6329" s="1" t="s">
        <v>277</v>
      </c>
      <c r="D6329" s="1" t="s">
        <v>41</v>
      </c>
      <c r="E6329" s="3">
        <v>1880000</v>
      </c>
      <c r="F6329" s="1">
        <v>1681.5742397137701</v>
      </c>
      <c r="M6329" s="4">
        <v>1118</v>
      </c>
      <c r="Q6329" s="1" t="s">
        <v>42</v>
      </c>
      <c r="S6329" s="1" t="s">
        <v>42</v>
      </c>
      <c r="T6329" s="1" t="s">
        <v>273</v>
      </c>
      <c r="AA6329" s="1">
        <v>1880000</v>
      </c>
      <c r="AB6329" s="1" t="s">
        <v>4563</v>
      </c>
      <c r="AC6329" s="5">
        <v>43139</v>
      </c>
      <c r="AF6329" s="1">
        <v>10012</v>
      </c>
      <c r="AJ6329" s="1">
        <v>2017</v>
      </c>
      <c r="AL6329" s="1">
        <v>5</v>
      </c>
    </row>
    <row r="6330" spans="1:38" x14ac:dyDescent="0.2">
      <c r="A6330" s="2" t="str">
        <f>HYPERLINK("https://www.compass.com/listing/45-great-jones-street-unit-ph-manhattan-ny-10012/29363627987366129/","45 Great Jones St, Unit PH")</f>
        <v>45 Great Jones St, Unit PH</v>
      </c>
      <c r="B6330" s="2" t="str">
        <f>HYPERLINK("https://www.compass.com/building/45-great-jones-st-manhattan-ny-10012/281915142155826213/","45 Great Jones St")</f>
        <v>45 Great Jones St</v>
      </c>
      <c r="C6330" s="1" t="s">
        <v>953</v>
      </c>
      <c r="D6330" s="1" t="s">
        <v>41</v>
      </c>
      <c r="E6330" s="3">
        <v>2593945</v>
      </c>
      <c r="Q6330" s="1" t="s">
        <v>271</v>
      </c>
      <c r="S6330" s="1" t="s">
        <v>271</v>
      </c>
      <c r="T6330" s="1" t="s">
        <v>273</v>
      </c>
      <c r="AA6330" s="1">
        <v>2593945</v>
      </c>
      <c r="AB6330" s="1" t="s">
        <v>4564</v>
      </c>
      <c r="AC6330" s="5">
        <v>42359</v>
      </c>
      <c r="AF6330" s="1">
        <v>10012</v>
      </c>
      <c r="AJ6330" s="1">
        <v>2014</v>
      </c>
      <c r="AL6330" s="1">
        <v>5</v>
      </c>
    </row>
    <row r="6331" spans="1:38" x14ac:dyDescent="0.2">
      <c r="A6331" s="2" t="str">
        <f>HYPERLINK("https://www.compass.com/listing/70-charlton-street-unit-21c-manhattan-ny-10014/29366244973002337/","70 Charlton St, Unit 21C")</f>
        <v>70 Charlton St, Unit 21C</v>
      </c>
      <c r="B6331" s="2" t="str">
        <f t="shared" ref="B6331:B6340" si="1027">HYPERLINK("https://www.compass.com/building/70-charlton-street-manhattan-ny/292835639240484293/","70 Charlton Street")</f>
        <v>70 Charlton Street</v>
      </c>
      <c r="C6331" s="1" t="s">
        <v>53</v>
      </c>
      <c r="D6331" s="1" t="s">
        <v>41</v>
      </c>
      <c r="E6331" s="3">
        <v>3949719</v>
      </c>
      <c r="Q6331" s="1" t="s">
        <v>271</v>
      </c>
      <c r="S6331" s="1" t="s">
        <v>271</v>
      </c>
      <c r="T6331" s="1" t="s">
        <v>273</v>
      </c>
      <c r="AA6331" s="1">
        <v>3949718.75</v>
      </c>
      <c r="AB6331" s="1" t="s">
        <v>4565</v>
      </c>
      <c r="AC6331" s="5">
        <v>42986</v>
      </c>
      <c r="AF6331" s="1">
        <v>10014</v>
      </c>
      <c r="AI6331" s="1" t="s">
        <v>80</v>
      </c>
      <c r="AJ6331" s="1">
        <v>2016</v>
      </c>
      <c r="AK6331" s="1" t="s">
        <v>49</v>
      </c>
      <c r="AL6331" s="1">
        <v>92</v>
      </c>
    </row>
    <row r="6332" spans="1:38" x14ac:dyDescent="0.2">
      <c r="A6332" s="2" t="str">
        <f>HYPERLINK("https://www.compass.com/listing/70-charlton-street-unit-3c-manhattan-ny-10014/29366246717880273/","70 Charlton St, Unit 3C")</f>
        <v>70 Charlton St, Unit 3C</v>
      </c>
      <c r="B6332" s="2" t="str">
        <f t="shared" si="1027"/>
        <v>70 Charlton Street</v>
      </c>
      <c r="C6332" s="1" t="s">
        <v>53</v>
      </c>
      <c r="D6332" s="1" t="s">
        <v>41</v>
      </c>
      <c r="E6332" s="3">
        <v>2580173</v>
      </c>
      <c r="Q6332" s="1" t="s">
        <v>271</v>
      </c>
      <c r="S6332" s="1" t="s">
        <v>271</v>
      </c>
      <c r="T6332" s="1" t="s">
        <v>273</v>
      </c>
      <c r="AA6332" s="1">
        <v>2580172.5</v>
      </c>
      <c r="AB6332" s="1" t="s">
        <v>4566</v>
      </c>
      <c r="AC6332" s="5">
        <v>42810</v>
      </c>
      <c r="AF6332" s="1">
        <v>10014</v>
      </c>
      <c r="AI6332" s="1" t="s">
        <v>80</v>
      </c>
      <c r="AJ6332" s="1">
        <v>2016</v>
      </c>
      <c r="AK6332" s="1" t="s">
        <v>49</v>
      </c>
      <c r="AL6332" s="1">
        <v>92</v>
      </c>
    </row>
    <row r="6333" spans="1:38" x14ac:dyDescent="0.2">
      <c r="A6333" s="2" t="str">
        <f>HYPERLINK("https://www.compass.com/listing/70-charlton-street-unit-11f-manhattan-ny-10014/29366250056546353/","70 Charlton St, Unit 11F")</f>
        <v>70 Charlton St, Unit 11F</v>
      </c>
      <c r="B6333" s="2" t="str">
        <f t="shared" si="1027"/>
        <v>70 Charlton Street</v>
      </c>
      <c r="C6333" s="1" t="s">
        <v>53</v>
      </c>
      <c r="D6333" s="1" t="s">
        <v>41</v>
      </c>
      <c r="E6333" s="3">
        <v>3058750</v>
      </c>
      <c r="Q6333" s="1" t="s">
        <v>271</v>
      </c>
      <c r="S6333" s="1" t="s">
        <v>271</v>
      </c>
      <c r="T6333" s="1" t="s">
        <v>273</v>
      </c>
      <c r="AA6333" s="1">
        <v>3058750</v>
      </c>
      <c r="AB6333" s="1" t="s">
        <v>4567</v>
      </c>
      <c r="AC6333" s="5">
        <v>42943</v>
      </c>
      <c r="AF6333" s="1">
        <v>10014</v>
      </c>
      <c r="AI6333" s="1" t="s">
        <v>80</v>
      </c>
      <c r="AJ6333" s="1">
        <v>2016</v>
      </c>
      <c r="AK6333" s="1" t="s">
        <v>49</v>
      </c>
      <c r="AL6333" s="1">
        <v>92</v>
      </c>
    </row>
    <row r="6334" spans="1:38" x14ac:dyDescent="0.2">
      <c r="A6334" s="2" t="str">
        <f>HYPERLINK("https://www.compass.com/listing/70-charlton-street-unit-7d-manhattan-ny-10014/29366250769571329/","70 Charlton St, Unit 7D")</f>
        <v>70 Charlton St, Unit 7D</v>
      </c>
      <c r="B6334" s="2" t="str">
        <f t="shared" si="1027"/>
        <v>70 Charlton Street</v>
      </c>
      <c r="C6334" s="1" t="s">
        <v>53</v>
      </c>
      <c r="D6334" s="1" t="s">
        <v>41</v>
      </c>
      <c r="E6334" s="3">
        <v>3359134</v>
      </c>
      <c r="Q6334" s="1" t="s">
        <v>271</v>
      </c>
      <c r="S6334" s="1" t="s">
        <v>271</v>
      </c>
      <c r="T6334" s="1" t="s">
        <v>273</v>
      </c>
      <c r="AA6334" s="1">
        <v>3359133.75</v>
      </c>
      <c r="AB6334" s="1" t="s">
        <v>4568</v>
      </c>
      <c r="AC6334" s="5">
        <v>42985</v>
      </c>
      <c r="AF6334" s="1">
        <v>10014</v>
      </c>
      <c r="AI6334" s="1" t="s">
        <v>80</v>
      </c>
      <c r="AJ6334" s="1">
        <v>2016</v>
      </c>
      <c r="AK6334" s="1" t="s">
        <v>49</v>
      </c>
      <c r="AL6334" s="1">
        <v>92</v>
      </c>
    </row>
    <row r="6335" spans="1:38" x14ac:dyDescent="0.2">
      <c r="A6335" s="2" t="str">
        <f>HYPERLINK("https://www.compass.com/listing/70-charlton-street-unit-19d-manhattan-ny-10014/29366254108244097/","70 Charlton St, Unit 19D")</f>
        <v>70 Charlton St, Unit 19D</v>
      </c>
      <c r="B6335" s="2" t="str">
        <f t="shared" si="1027"/>
        <v>70 Charlton Street</v>
      </c>
      <c r="C6335" s="1" t="s">
        <v>53</v>
      </c>
      <c r="D6335" s="1" t="s">
        <v>41</v>
      </c>
      <c r="E6335" s="3">
        <v>1763536</v>
      </c>
      <c r="Q6335" s="1" t="s">
        <v>271</v>
      </c>
      <c r="S6335" s="1" t="s">
        <v>271</v>
      </c>
      <c r="T6335" s="1" t="s">
        <v>273</v>
      </c>
      <c r="AA6335" s="1">
        <v>1763536</v>
      </c>
      <c r="AB6335" s="1" t="s">
        <v>4569</v>
      </c>
      <c r="AC6335" s="5">
        <v>43249</v>
      </c>
      <c r="AF6335" s="1">
        <v>10014</v>
      </c>
      <c r="AI6335" s="1" t="s">
        <v>80</v>
      </c>
      <c r="AJ6335" s="1">
        <v>2016</v>
      </c>
      <c r="AK6335" s="1" t="s">
        <v>49</v>
      </c>
      <c r="AL6335" s="1">
        <v>92</v>
      </c>
    </row>
    <row r="6336" spans="1:38" x14ac:dyDescent="0.2">
      <c r="A6336" s="2" t="str">
        <f>HYPERLINK("https://www.compass.com/listing/70-charlton-street-unit-4e-manhattan-ny-10014/29366255584591665/","70 Charlton St, Unit 4E")</f>
        <v>70 Charlton St, Unit 4E</v>
      </c>
      <c r="B6336" s="2" t="str">
        <f t="shared" si="1027"/>
        <v>70 Charlton Street</v>
      </c>
      <c r="C6336" s="1" t="s">
        <v>53</v>
      </c>
      <c r="D6336" s="1" t="s">
        <v>41</v>
      </c>
      <c r="E6336" s="3">
        <v>2142325</v>
      </c>
      <c r="Q6336" s="1" t="s">
        <v>271</v>
      </c>
      <c r="S6336" s="1" t="s">
        <v>271</v>
      </c>
      <c r="T6336" s="1" t="s">
        <v>273</v>
      </c>
      <c r="AA6336" s="1">
        <v>2142325</v>
      </c>
      <c r="AB6336" s="1" t="s">
        <v>4570</v>
      </c>
      <c r="AC6336" s="5">
        <v>42852</v>
      </c>
      <c r="AF6336" s="1">
        <v>10014</v>
      </c>
      <c r="AI6336" s="1" t="s">
        <v>80</v>
      </c>
      <c r="AJ6336" s="1">
        <v>2016</v>
      </c>
      <c r="AK6336" s="1" t="s">
        <v>49</v>
      </c>
      <c r="AL6336" s="1">
        <v>92</v>
      </c>
    </row>
    <row r="6337" spans="1:38" x14ac:dyDescent="0.2">
      <c r="A6337" s="2" t="str">
        <f>HYPERLINK("https://www.compass.com/listing/70-charlton-street-unit-5g-manhattan-ny-10014/29366256658333505/","70 Charlton St, Unit 5G")</f>
        <v>70 Charlton St, Unit 5G</v>
      </c>
      <c r="B6337" s="2" t="str">
        <f t="shared" si="1027"/>
        <v>70 Charlton Street</v>
      </c>
      <c r="C6337" s="1" t="s">
        <v>53</v>
      </c>
      <c r="D6337" s="1" t="s">
        <v>41</v>
      </c>
      <c r="E6337" s="3">
        <v>1561923</v>
      </c>
      <c r="Q6337" s="1" t="s">
        <v>271</v>
      </c>
      <c r="S6337" s="1" t="s">
        <v>271</v>
      </c>
      <c r="T6337" s="1" t="s">
        <v>273</v>
      </c>
      <c r="AA6337" s="1">
        <v>1561922.5</v>
      </c>
      <c r="AB6337" s="1" t="s">
        <v>4571</v>
      </c>
      <c r="AC6337" s="5">
        <v>42838</v>
      </c>
      <c r="AF6337" s="1">
        <v>10014</v>
      </c>
      <c r="AI6337" s="1" t="s">
        <v>80</v>
      </c>
      <c r="AJ6337" s="1">
        <v>2016</v>
      </c>
      <c r="AK6337" s="1" t="s">
        <v>49</v>
      </c>
      <c r="AL6337" s="1">
        <v>92</v>
      </c>
    </row>
    <row r="6338" spans="1:38" x14ac:dyDescent="0.2">
      <c r="A6338" s="2" t="str">
        <f>HYPERLINK("https://www.compass.com/listing/70-charlton-street-unit-16c-manhattan-ny-10014/29366258621315297/","70 Charlton St, Unit 16C")</f>
        <v>70 Charlton St, Unit 16C</v>
      </c>
      <c r="B6338" s="2" t="str">
        <f t="shared" si="1027"/>
        <v>70 Charlton Street</v>
      </c>
      <c r="C6338" s="1" t="s">
        <v>53</v>
      </c>
      <c r="D6338" s="1" t="s">
        <v>41</v>
      </c>
      <c r="E6338" s="3">
        <v>3567875</v>
      </c>
      <c r="Q6338" s="1" t="s">
        <v>271</v>
      </c>
      <c r="S6338" s="1" t="s">
        <v>271</v>
      </c>
      <c r="T6338" s="1" t="s">
        <v>273</v>
      </c>
      <c r="AA6338" s="1">
        <v>3567875</v>
      </c>
      <c r="AB6338" s="1" t="s">
        <v>4572</v>
      </c>
      <c r="AC6338" s="5">
        <v>42986</v>
      </c>
      <c r="AF6338" s="1">
        <v>10014</v>
      </c>
      <c r="AI6338" s="1" t="s">
        <v>80</v>
      </c>
      <c r="AJ6338" s="1">
        <v>2016</v>
      </c>
      <c r="AK6338" s="1" t="s">
        <v>49</v>
      </c>
      <c r="AL6338" s="1">
        <v>92</v>
      </c>
    </row>
    <row r="6339" spans="1:38" x14ac:dyDescent="0.2">
      <c r="A6339" s="2" t="str">
        <f>HYPERLINK("https://www.compass.com/listing/70-charlton-street-unit-2g-manhattan-ny-10014/29366259267231361/","70 Charlton St, Unit 2G")</f>
        <v>70 Charlton St, Unit 2G</v>
      </c>
      <c r="B6339" s="2" t="str">
        <f t="shared" si="1027"/>
        <v>70 Charlton Street</v>
      </c>
      <c r="C6339" s="1" t="s">
        <v>53</v>
      </c>
      <c r="D6339" s="1" t="s">
        <v>41</v>
      </c>
      <c r="E6339" s="3">
        <v>1470280</v>
      </c>
      <c r="Q6339" s="1" t="s">
        <v>271</v>
      </c>
      <c r="S6339" s="1" t="s">
        <v>271</v>
      </c>
      <c r="T6339" s="1" t="s">
        <v>273</v>
      </c>
      <c r="AA6339" s="1">
        <v>1470280</v>
      </c>
      <c r="AB6339" s="1" t="s">
        <v>4573</v>
      </c>
      <c r="AC6339" s="5">
        <v>43007</v>
      </c>
      <c r="AF6339" s="1">
        <v>10014</v>
      </c>
      <c r="AI6339" s="1" t="s">
        <v>80</v>
      </c>
      <c r="AJ6339" s="1">
        <v>2016</v>
      </c>
      <c r="AK6339" s="1" t="s">
        <v>49</v>
      </c>
      <c r="AL6339" s="1">
        <v>92</v>
      </c>
    </row>
    <row r="6340" spans="1:38" x14ac:dyDescent="0.2">
      <c r="A6340" s="2" t="str">
        <f>HYPERLINK("https://www.compass.com/listing/70-charlton-street-unit-6c-manhattan-ny-10014/29366263847411409/","70 Charlton St, Unit 6C")</f>
        <v>70 Charlton St, Unit 6C</v>
      </c>
      <c r="B6340" s="2" t="str">
        <f t="shared" si="1027"/>
        <v>70 Charlton Street</v>
      </c>
      <c r="C6340" s="1" t="s">
        <v>53</v>
      </c>
      <c r="D6340" s="1" t="s">
        <v>41</v>
      </c>
      <c r="E6340" s="3">
        <v>2600538</v>
      </c>
      <c r="Q6340" s="1" t="s">
        <v>271</v>
      </c>
      <c r="S6340" s="1" t="s">
        <v>271</v>
      </c>
      <c r="T6340" s="1" t="s">
        <v>273</v>
      </c>
      <c r="AA6340" s="1">
        <v>2600537.5</v>
      </c>
      <c r="AB6340" s="1" t="s">
        <v>4574</v>
      </c>
      <c r="AC6340" s="5">
        <v>42818</v>
      </c>
      <c r="AF6340" s="1">
        <v>10014</v>
      </c>
      <c r="AI6340" s="1" t="s">
        <v>80</v>
      </c>
      <c r="AJ6340" s="1">
        <v>2016</v>
      </c>
      <c r="AK6340" s="1" t="s">
        <v>49</v>
      </c>
      <c r="AL6340" s="1">
        <v>92</v>
      </c>
    </row>
    <row r="6341" spans="1:38" x14ac:dyDescent="0.2">
      <c r="A6341" s="2" t="str">
        <f>HYPERLINK("https://www.compass.com/listing/160-leroy-street-unit-4an-manhattan-ny-10014/29367005702336337/","160 Leroy St, Unit 4AN")</f>
        <v>160 Leroy St, Unit 4AN</v>
      </c>
      <c r="B6341" s="2" t="str">
        <f t="shared" ref="B6341:B6348" si="1028">HYPERLINK("https://www.compass.com/building/160-leroy-st-manhattan-ny-10014/293418469918017093/","160 Leroy St")</f>
        <v>160 Leroy St</v>
      </c>
      <c r="C6341" s="1" t="s">
        <v>67</v>
      </c>
      <c r="D6341" s="1" t="s">
        <v>41</v>
      </c>
      <c r="E6341" s="3">
        <v>5679578</v>
      </c>
      <c r="F6341" s="1">
        <v>2775.94239002932</v>
      </c>
      <c r="M6341" s="4">
        <v>2046</v>
      </c>
      <c r="Q6341" s="1" t="s">
        <v>42</v>
      </c>
      <c r="S6341" s="1" t="s">
        <v>42</v>
      </c>
      <c r="T6341" s="1" t="s">
        <v>273</v>
      </c>
      <c r="AA6341" s="1">
        <v>5679578.1299999999</v>
      </c>
      <c r="AB6341" s="1" t="s">
        <v>4575</v>
      </c>
      <c r="AC6341" s="5">
        <v>43133</v>
      </c>
      <c r="AF6341" s="1">
        <v>10014</v>
      </c>
      <c r="AI6341" s="1" t="s">
        <v>65</v>
      </c>
      <c r="AJ6341" s="1">
        <v>2017</v>
      </c>
      <c r="AK6341" s="1" t="s">
        <v>202</v>
      </c>
      <c r="AL6341" s="1">
        <v>57</v>
      </c>
    </row>
    <row r="6342" spans="1:38" x14ac:dyDescent="0.2">
      <c r="A6342" s="2" t="str">
        <f>HYPERLINK("https://www.compass.com/listing/160-leroy-street-unit-5d-n-manhattan-ny-10014/29367008663560065/","160 Leroy St, Unit 5D N")</f>
        <v>160 Leroy St, Unit 5D N</v>
      </c>
      <c r="B6342" s="2" t="str">
        <f t="shared" si="1028"/>
        <v>160 Leroy St</v>
      </c>
      <c r="C6342" s="1" t="s">
        <v>67</v>
      </c>
      <c r="D6342" s="1" t="s">
        <v>41</v>
      </c>
      <c r="E6342" s="3">
        <v>2548875</v>
      </c>
      <c r="F6342" s="1">
        <v>2446.1372360844498</v>
      </c>
      <c r="M6342" s="4">
        <v>1042</v>
      </c>
      <c r="Q6342" s="1" t="s">
        <v>42</v>
      </c>
      <c r="S6342" s="1" t="s">
        <v>42</v>
      </c>
      <c r="T6342" s="1" t="s">
        <v>273</v>
      </c>
      <c r="AA6342" s="1">
        <v>2548875</v>
      </c>
      <c r="AB6342" s="1" t="s">
        <v>4576</v>
      </c>
      <c r="AC6342" s="5">
        <v>43172</v>
      </c>
      <c r="AF6342" s="1">
        <v>10014</v>
      </c>
      <c r="AI6342" s="1" t="s">
        <v>65</v>
      </c>
      <c r="AJ6342" s="1">
        <v>2017</v>
      </c>
      <c r="AK6342" s="1" t="s">
        <v>202</v>
      </c>
      <c r="AL6342" s="1">
        <v>57</v>
      </c>
    </row>
    <row r="6343" spans="1:38" x14ac:dyDescent="0.2">
      <c r="A6343" s="2" t="str">
        <f>HYPERLINK("https://www.compass.com/listing/160-leroy-street-unit-5a-s-manhattan-ny-10014/29367008965504945/","160 Leroy St, Unit 5A S")</f>
        <v>160 Leroy St, Unit 5A S</v>
      </c>
      <c r="B6343" s="2" t="str">
        <f t="shared" si="1028"/>
        <v>160 Leroy St</v>
      </c>
      <c r="C6343" s="1" t="s">
        <v>67</v>
      </c>
      <c r="D6343" s="1" t="s">
        <v>41</v>
      </c>
      <c r="E6343" s="3">
        <v>2500000</v>
      </c>
      <c r="F6343" s="1">
        <v>2281.0218978102098</v>
      </c>
      <c r="M6343" s="4">
        <v>1096</v>
      </c>
      <c r="Q6343" s="1" t="s">
        <v>42</v>
      </c>
      <c r="S6343" s="1" t="s">
        <v>42</v>
      </c>
      <c r="T6343" s="1" t="s">
        <v>273</v>
      </c>
      <c r="AA6343" s="1">
        <v>2500000</v>
      </c>
      <c r="AB6343" s="1" t="s">
        <v>4577</v>
      </c>
      <c r="AC6343" s="5">
        <v>43222</v>
      </c>
      <c r="AF6343" s="1">
        <v>10014</v>
      </c>
      <c r="AI6343" s="1" t="s">
        <v>65</v>
      </c>
      <c r="AJ6343" s="1">
        <v>2017</v>
      </c>
      <c r="AK6343" s="1" t="s">
        <v>202</v>
      </c>
      <c r="AL6343" s="1">
        <v>57</v>
      </c>
    </row>
    <row r="6344" spans="1:38" x14ac:dyDescent="0.2">
      <c r="A6344" s="2" t="str">
        <f>HYPERLINK("https://www.compass.com/listing/160-leroy-street-unit-5b-s-manhattan-ny-10014/29367009284314129/","160 Leroy St, Unit 5B S")</f>
        <v>160 Leroy St, Unit 5B S</v>
      </c>
      <c r="B6344" s="2" t="str">
        <f t="shared" si="1028"/>
        <v>160 Leroy St</v>
      </c>
      <c r="C6344" s="1" t="s">
        <v>67</v>
      </c>
      <c r="D6344" s="1" t="s">
        <v>41</v>
      </c>
      <c r="E6344" s="3">
        <v>6876438</v>
      </c>
      <c r="F6344" s="1">
        <v>2924.8989791578001</v>
      </c>
      <c r="H6344" s="1">
        <v>3</v>
      </c>
      <c r="J6344" s="1">
        <v>3.5</v>
      </c>
      <c r="K6344" s="1">
        <v>3</v>
      </c>
      <c r="L6344" s="1">
        <v>1</v>
      </c>
      <c r="M6344" s="4">
        <v>2351</v>
      </c>
      <c r="N6344" s="1">
        <v>3333</v>
      </c>
      <c r="O6344" s="1">
        <v>6568</v>
      </c>
      <c r="P6344" s="1">
        <v>3235</v>
      </c>
      <c r="Q6344" s="1" t="s">
        <v>42</v>
      </c>
      <c r="S6344" s="1" t="s">
        <v>42</v>
      </c>
      <c r="T6344" s="1" t="s">
        <v>273</v>
      </c>
      <c r="AA6344" s="1">
        <v>6876437.5</v>
      </c>
      <c r="AB6344" s="1" t="s">
        <v>4578</v>
      </c>
      <c r="AC6344" s="5">
        <v>42808</v>
      </c>
      <c r="AF6344" s="1">
        <v>10014</v>
      </c>
      <c r="AI6344" s="1" t="s">
        <v>65</v>
      </c>
      <c r="AJ6344" s="1">
        <v>2017</v>
      </c>
      <c r="AK6344" s="1" t="s">
        <v>202</v>
      </c>
      <c r="AL6344" s="1">
        <v>57</v>
      </c>
    </row>
    <row r="6345" spans="1:38" x14ac:dyDescent="0.2">
      <c r="A6345" s="2" t="str">
        <f>HYPERLINK("https://www.compass.com/listing/160-leroy-street-unit-5b-n-manhattan-ny-10014/29367009284314145/","160 Leroy St, Unit 5B N")</f>
        <v>160 Leroy St, Unit 5B N</v>
      </c>
      <c r="B6345" s="2" t="str">
        <f t="shared" si="1028"/>
        <v>160 Leroy St</v>
      </c>
      <c r="C6345" s="1" t="s">
        <v>67</v>
      </c>
      <c r="D6345" s="1" t="s">
        <v>41</v>
      </c>
      <c r="E6345" s="3">
        <v>5150000</v>
      </c>
      <c r="F6345" s="1">
        <v>2941.1764705882301</v>
      </c>
      <c r="M6345" s="4">
        <v>1751</v>
      </c>
      <c r="Q6345" s="1" t="s">
        <v>42</v>
      </c>
      <c r="S6345" s="1" t="s">
        <v>42</v>
      </c>
      <c r="T6345" s="1" t="s">
        <v>273</v>
      </c>
      <c r="AA6345" s="1">
        <v>5150000</v>
      </c>
      <c r="AB6345" s="1" t="s">
        <v>4579</v>
      </c>
      <c r="AC6345" s="5">
        <v>43186</v>
      </c>
      <c r="AF6345" s="1">
        <v>10014</v>
      </c>
      <c r="AI6345" s="1" t="s">
        <v>65</v>
      </c>
      <c r="AJ6345" s="1">
        <v>2017</v>
      </c>
      <c r="AK6345" s="1" t="s">
        <v>202</v>
      </c>
      <c r="AL6345" s="1">
        <v>57</v>
      </c>
    </row>
    <row r="6346" spans="1:38" x14ac:dyDescent="0.2">
      <c r="A6346" s="2" t="str">
        <f>HYPERLINK("https://www.compass.com/listing/160-leroy-street-unit-6c-s-manhattan-ny-10014/29367011456963681/","160 Leroy St, Unit 6C S")</f>
        <v>160 Leroy St, Unit 6C S</v>
      </c>
      <c r="B6346" s="2" t="str">
        <f t="shared" si="1028"/>
        <v>160 Leroy St</v>
      </c>
      <c r="C6346" s="1" t="s">
        <v>67</v>
      </c>
      <c r="D6346" s="1" t="s">
        <v>41</v>
      </c>
      <c r="E6346" s="3">
        <v>4432638</v>
      </c>
      <c r="F6346" s="1">
        <v>2696.25152068126</v>
      </c>
      <c r="M6346" s="4">
        <v>1644</v>
      </c>
      <c r="Q6346" s="1" t="s">
        <v>42</v>
      </c>
      <c r="S6346" s="1" t="s">
        <v>42</v>
      </c>
      <c r="T6346" s="1" t="s">
        <v>273</v>
      </c>
      <c r="AA6346" s="1">
        <v>4432637.5</v>
      </c>
      <c r="AB6346" s="1" t="s">
        <v>4580</v>
      </c>
      <c r="AC6346" s="5">
        <v>43237</v>
      </c>
      <c r="AF6346" s="1">
        <v>10014</v>
      </c>
      <c r="AI6346" s="1" t="s">
        <v>65</v>
      </c>
      <c r="AJ6346" s="1">
        <v>2017</v>
      </c>
      <c r="AK6346" s="1" t="s">
        <v>202</v>
      </c>
      <c r="AL6346" s="1">
        <v>57</v>
      </c>
    </row>
    <row r="6347" spans="1:38" x14ac:dyDescent="0.2">
      <c r="A6347" s="2" t="str">
        <f>HYPERLINK("https://www.compass.com/listing/160-leroy-street-unit-7a-s-manhattan-ny-10014/29367012522316913/","160 Leroy St, Unit 7A S")</f>
        <v>160 Leroy St, Unit 7A S</v>
      </c>
      <c r="B6347" s="2" t="str">
        <f t="shared" si="1028"/>
        <v>160 Leroy St</v>
      </c>
      <c r="C6347" s="1" t="s">
        <v>67</v>
      </c>
      <c r="D6347" s="1" t="s">
        <v>41</v>
      </c>
      <c r="E6347" s="3">
        <v>2750000</v>
      </c>
      <c r="F6347" s="1">
        <v>2509.1240875912399</v>
      </c>
      <c r="M6347" s="4">
        <v>1096</v>
      </c>
      <c r="Q6347" s="1" t="s">
        <v>42</v>
      </c>
      <c r="S6347" s="1" t="s">
        <v>42</v>
      </c>
      <c r="T6347" s="1" t="s">
        <v>273</v>
      </c>
      <c r="AA6347" s="1">
        <v>2750000</v>
      </c>
      <c r="AB6347" s="1" t="s">
        <v>4581</v>
      </c>
      <c r="AC6347" s="5">
        <v>43258</v>
      </c>
      <c r="AF6347" s="1">
        <v>10014</v>
      </c>
      <c r="AI6347" s="1" t="s">
        <v>65</v>
      </c>
      <c r="AJ6347" s="1">
        <v>2017</v>
      </c>
      <c r="AK6347" s="1" t="s">
        <v>202</v>
      </c>
      <c r="AL6347" s="1">
        <v>57</v>
      </c>
    </row>
    <row r="6348" spans="1:38" x14ac:dyDescent="0.2">
      <c r="A6348" s="2" t="str">
        <f>HYPERLINK("https://www.compass.com/listing/160-leroy-street-unit-7c-s-manhattan-ny-10014/29367013168197649/","160 Leroy St, Unit 7C S")</f>
        <v>160 Leroy St, Unit 7C S</v>
      </c>
      <c r="B6348" s="2" t="str">
        <f t="shared" si="1028"/>
        <v>160 Leroy St</v>
      </c>
      <c r="C6348" s="1" t="s">
        <v>67</v>
      </c>
      <c r="D6348" s="1" t="s">
        <v>41</v>
      </c>
      <c r="E6348" s="3">
        <v>4839938</v>
      </c>
      <c r="F6348" s="1">
        <v>2944.0009124087501</v>
      </c>
      <c r="M6348" s="4">
        <v>1644</v>
      </c>
      <c r="Q6348" s="1" t="s">
        <v>42</v>
      </c>
      <c r="S6348" s="1" t="s">
        <v>42</v>
      </c>
      <c r="T6348" s="1" t="s">
        <v>273</v>
      </c>
      <c r="AA6348" s="1">
        <v>4839937.5</v>
      </c>
      <c r="AB6348" s="1" t="s">
        <v>4582</v>
      </c>
      <c r="AC6348" s="5">
        <v>43234</v>
      </c>
      <c r="AF6348" s="1">
        <v>10014</v>
      </c>
      <c r="AI6348" s="1" t="s">
        <v>65</v>
      </c>
      <c r="AJ6348" s="1">
        <v>2017</v>
      </c>
      <c r="AK6348" s="1" t="s">
        <v>202</v>
      </c>
      <c r="AL6348" s="1">
        <v>57</v>
      </c>
    </row>
    <row r="6349" spans="1:38" x14ac:dyDescent="0.2">
      <c r="A6349" s="2" t="str">
        <f>HYPERLINK("https://www.compass.com/listing/100-barrow-street-unit-1e-manhattan-ny-10014/29367152519757553/","100 Barrow St, Unit 1E")</f>
        <v>100 Barrow St, Unit 1E</v>
      </c>
      <c r="B6349" s="2" t="str">
        <f t="shared" ref="B6349:B6352" si="1029">HYPERLINK("https://www.compass.com/building/100-barrow-manhattan-ny/292834978184618837/","100 Barrow")</f>
        <v>100 Barrow</v>
      </c>
      <c r="C6349" s="1" t="s">
        <v>67</v>
      </c>
      <c r="D6349" s="1" t="s">
        <v>41</v>
      </c>
      <c r="E6349" s="3">
        <v>170000</v>
      </c>
      <c r="Q6349" s="1" t="s">
        <v>271</v>
      </c>
      <c r="S6349" s="1" t="s">
        <v>271</v>
      </c>
      <c r="T6349" s="1" t="s">
        <v>273</v>
      </c>
      <c r="AA6349" s="1">
        <v>170000</v>
      </c>
      <c r="AB6349" s="1" t="s">
        <v>4583</v>
      </c>
      <c r="AC6349" s="5">
        <v>43189</v>
      </c>
      <c r="AF6349" s="1">
        <v>10014</v>
      </c>
      <c r="AJ6349" s="1">
        <v>2015</v>
      </c>
      <c r="AK6349" s="1" t="s">
        <v>202</v>
      </c>
      <c r="AL6349" s="1">
        <v>33</v>
      </c>
    </row>
    <row r="6350" spans="1:38" x14ac:dyDescent="0.2">
      <c r="A6350" s="2" t="str">
        <f>HYPERLINK("https://www.compass.com/listing/100-barrow-street-unit-1c-manhattan-ny-10014/29367152779846417/","100 Barrow St, Unit 1C")</f>
        <v>100 Barrow St, Unit 1C</v>
      </c>
      <c r="B6350" s="2" t="str">
        <f t="shared" si="1029"/>
        <v>100 Barrow</v>
      </c>
      <c r="C6350" s="1" t="s">
        <v>67</v>
      </c>
      <c r="D6350" s="1" t="s">
        <v>41</v>
      </c>
      <c r="E6350" s="3">
        <v>145000</v>
      </c>
      <c r="Q6350" s="1" t="s">
        <v>271</v>
      </c>
      <c r="S6350" s="1" t="s">
        <v>271</v>
      </c>
      <c r="T6350" s="1" t="s">
        <v>273</v>
      </c>
      <c r="AA6350" s="1">
        <v>145000</v>
      </c>
      <c r="AB6350" s="1" t="s">
        <v>4584</v>
      </c>
      <c r="AC6350" s="5">
        <v>43179</v>
      </c>
      <c r="AF6350" s="1">
        <v>10014</v>
      </c>
      <c r="AJ6350" s="1">
        <v>2015</v>
      </c>
      <c r="AK6350" s="1" t="s">
        <v>202</v>
      </c>
      <c r="AL6350" s="1">
        <v>33</v>
      </c>
    </row>
    <row r="6351" spans="1:38" x14ac:dyDescent="0.2">
      <c r="A6351" s="2" t="str">
        <f>HYPERLINK("https://www.compass.com/listing/100-barrow-street-unit-1b-manhattan-ny-10014/29367153081839313/","100 Barrow St, Unit 1B")</f>
        <v>100 Barrow St, Unit 1B</v>
      </c>
      <c r="B6351" s="2" t="str">
        <f t="shared" si="1029"/>
        <v>100 Barrow</v>
      </c>
      <c r="C6351" s="1" t="s">
        <v>67</v>
      </c>
      <c r="D6351" s="1" t="s">
        <v>41</v>
      </c>
      <c r="E6351" s="3">
        <v>90000</v>
      </c>
      <c r="Q6351" s="1" t="s">
        <v>271</v>
      </c>
      <c r="S6351" s="1" t="s">
        <v>271</v>
      </c>
      <c r="T6351" s="1" t="s">
        <v>273</v>
      </c>
      <c r="AA6351" s="1">
        <v>90000</v>
      </c>
      <c r="AB6351" s="1" t="s">
        <v>4585</v>
      </c>
      <c r="AC6351" s="5">
        <v>43159</v>
      </c>
      <c r="AF6351" s="1">
        <v>10014</v>
      </c>
      <c r="AJ6351" s="1">
        <v>2015</v>
      </c>
      <c r="AK6351" s="1" t="s">
        <v>202</v>
      </c>
      <c r="AL6351" s="1">
        <v>33</v>
      </c>
    </row>
    <row r="6352" spans="1:38" x14ac:dyDescent="0.2">
      <c r="A6352" s="2" t="str">
        <f>HYPERLINK("https://www.compass.com/listing/100-barrow-street-unit-2b-manhattan-ny-10014/29367159884997681/","100 Barrow St, Unit 2B")</f>
        <v>100 Barrow St, Unit 2B</v>
      </c>
      <c r="B6352" s="2" t="str">
        <f t="shared" si="1029"/>
        <v>100 Barrow</v>
      </c>
      <c r="C6352" s="1" t="s">
        <v>67</v>
      </c>
      <c r="D6352" s="1" t="s">
        <v>41</v>
      </c>
      <c r="E6352" s="3">
        <v>170000</v>
      </c>
      <c r="Q6352" s="1" t="s">
        <v>271</v>
      </c>
      <c r="S6352" s="1" t="s">
        <v>271</v>
      </c>
      <c r="T6352" s="1" t="s">
        <v>273</v>
      </c>
      <c r="AA6352" s="1">
        <v>170000</v>
      </c>
      <c r="AB6352" s="1" t="s">
        <v>4586</v>
      </c>
      <c r="AC6352" s="5">
        <v>43241</v>
      </c>
      <c r="AF6352" s="1">
        <v>10014</v>
      </c>
      <c r="AJ6352" s="1">
        <v>2015</v>
      </c>
      <c r="AK6352" s="1" t="s">
        <v>202</v>
      </c>
      <c r="AL6352" s="1">
        <v>33</v>
      </c>
    </row>
    <row r="6353" spans="1:38" x14ac:dyDescent="0.2">
      <c r="A6353" s="2" t="str">
        <f>HYPERLINK("https://www.compass.com/listing/261-west-25th-street-unit-grdna-manhattan-ny-10001/29372513444202865/","261 W 25th St, Unit GRDNA")</f>
        <v>261 W 25th St, Unit GRDNA</v>
      </c>
      <c r="B6353" s="2" t="str">
        <f t="shared" ref="B6353:B6357" si="1030">HYPERLINK("https://www.compass.com/building/the-seymour-manhattan-ny/281883155990840165/","The Seymour")</f>
        <v>The Seymour</v>
      </c>
      <c r="C6353" s="1" t="s">
        <v>62</v>
      </c>
      <c r="D6353" s="1" t="s">
        <v>41</v>
      </c>
      <c r="E6353" s="3">
        <v>2621994</v>
      </c>
      <c r="F6353" s="1">
        <v>1945.09922106824</v>
      </c>
      <c r="M6353" s="4">
        <v>1348</v>
      </c>
      <c r="Q6353" s="1" t="s">
        <v>42</v>
      </c>
      <c r="S6353" s="1" t="s">
        <v>42</v>
      </c>
      <c r="T6353" s="1" t="s">
        <v>273</v>
      </c>
      <c r="AA6353" s="1">
        <v>2621993.75</v>
      </c>
      <c r="AB6353" s="1" t="s">
        <v>4587</v>
      </c>
      <c r="AC6353" s="5">
        <v>42480</v>
      </c>
      <c r="AF6353" s="1">
        <v>10001</v>
      </c>
      <c r="AI6353" s="1" t="s">
        <v>163</v>
      </c>
      <c r="AJ6353" s="1">
        <v>2015</v>
      </c>
      <c r="AK6353" s="1" t="s">
        <v>49</v>
      </c>
      <c r="AL6353" s="1">
        <v>49</v>
      </c>
    </row>
    <row r="6354" spans="1:38" x14ac:dyDescent="0.2">
      <c r="A6354" s="2" t="str">
        <f>HYPERLINK("https://www.compass.com/listing/261-west-25th-street-unit-grdnb-manhattan-ny-10001/29372513737891713/","261 W 25th St, Unit GRDNB")</f>
        <v>261 W 25th St, Unit GRDNB</v>
      </c>
      <c r="B6354" s="2" t="str">
        <f t="shared" si="1030"/>
        <v>The Seymour</v>
      </c>
      <c r="C6354" s="1" t="s">
        <v>62</v>
      </c>
      <c r="D6354" s="1" t="s">
        <v>41</v>
      </c>
      <c r="E6354" s="3">
        <v>687319</v>
      </c>
      <c r="F6354" s="1">
        <v>1503.97975929978</v>
      </c>
      <c r="M6354" s="1">
        <v>457</v>
      </c>
      <c r="Q6354" s="1" t="s">
        <v>42</v>
      </c>
      <c r="S6354" s="1" t="s">
        <v>42</v>
      </c>
      <c r="T6354" s="1" t="s">
        <v>273</v>
      </c>
      <c r="AA6354" s="1">
        <v>687318.75</v>
      </c>
      <c r="AB6354" s="1" t="s">
        <v>4588</v>
      </c>
      <c r="AC6354" s="5">
        <v>42480</v>
      </c>
      <c r="AF6354" s="1">
        <v>10001</v>
      </c>
      <c r="AI6354" s="1" t="s">
        <v>163</v>
      </c>
      <c r="AJ6354" s="1">
        <v>2015</v>
      </c>
      <c r="AK6354" s="1" t="s">
        <v>49</v>
      </c>
      <c r="AL6354" s="1">
        <v>49</v>
      </c>
    </row>
    <row r="6355" spans="1:38" x14ac:dyDescent="0.2">
      <c r="A6355" s="2" t="str">
        <f>HYPERLINK("https://www.compass.com/listing/261-west-25th-street-unit-grndc-manhattan-ny-10001/29372514031408561/","261 W 25th St, Unit GRNDC")</f>
        <v>261 W 25th St, Unit GRNDC</v>
      </c>
      <c r="B6355" s="2" t="str">
        <f t="shared" si="1030"/>
        <v>The Seymour</v>
      </c>
      <c r="C6355" s="1" t="s">
        <v>62</v>
      </c>
      <c r="D6355" s="1" t="s">
        <v>41</v>
      </c>
      <c r="E6355" s="3">
        <v>1165896</v>
      </c>
      <c r="Q6355" s="1" t="s">
        <v>42</v>
      </c>
      <c r="S6355" s="1" t="s">
        <v>42</v>
      </c>
      <c r="T6355" s="1" t="s">
        <v>273</v>
      </c>
      <c r="AA6355" s="1">
        <v>1165896.25</v>
      </c>
      <c r="AB6355" s="1" t="s">
        <v>4589</v>
      </c>
      <c r="AC6355" s="5">
        <v>42492</v>
      </c>
      <c r="AF6355" s="1">
        <v>10001</v>
      </c>
      <c r="AI6355" s="1" t="s">
        <v>163</v>
      </c>
      <c r="AJ6355" s="1">
        <v>2015</v>
      </c>
      <c r="AK6355" s="1" t="s">
        <v>49</v>
      </c>
      <c r="AL6355" s="1">
        <v>49</v>
      </c>
    </row>
    <row r="6356" spans="1:38" x14ac:dyDescent="0.2">
      <c r="A6356" s="2" t="str">
        <f>HYPERLINK("https://www.compass.com/listing/261-west-25th-street-unit-grdnd-manhattan-ny-10001/29372514660638609/","261 W 25th St, Unit GRDND")</f>
        <v>261 W 25th St, Unit GRDND</v>
      </c>
      <c r="B6356" s="2" t="str">
        <f t="shared" si="1030"/>
        <v>The Seymour</v>
      </c>
      <c r="C6356" s="1" t="s">
        <v>62</v>
      </c>
      <c r="D6356" s="1" t="s">
        <v>41</v>
      </c>
      <c r="E6356" s="3">
        <v>2591446</v>
      </c>
      <c r="F6356" s="1">
        <v>1949.9219337848001</v>
      </c>
      <c r="M6356" s="4">
        <v>1329</v>
      </c>
      <c r="Q6356" s="1" t="s">
        <v>42</v>
      </c>
      <c r="S6356" s="1" t="s">
        <v>42</v>
      </c>
      <c r="T6356" s="1" t="s">
        <v>273</v>
      </c>
      <c r="AA6356" s="1">
        <v>2591446.25</v>
      </c>
      <c r="AB6356" s="1" t="s">
        <v>4590</v>
      </c>
      <c r="AC6356" s="5">
        <v>42481</v>
      </c>
      <c r="AF6356" s="1">
        <v>10001</v>
      </c>
      <c r="AI6356" s="1" t="s">
        <v>163</v>
      </c>
      <c r="AJ6356" s="1">
        <v>2015</v>
      </c>
      <c r="AK6356" s="1" t="s">
        <v>49</v>
      </c>
      <c r="AL6356" s="1">
        <v>49</v>
      </c>
    </row>
    <row r="6357" spans="1:38" x14ac:dyDescent="0.2">
      <c r="A6357" s="2" t="str">
        <f>HYPERLINK("https://www.compass.com/listing/261-west-25th-street-unit-grdnd-manhattan-ny-10001/29372514660638625/","261 W 25th St, Unit GRDND")</f>
        <v>261 W 25th St, Unit GRDND</v>
      </c>
      <c r="B6357" s="2" t="str">
        <f t="shared" si="1030"/>
        <v>The Seymour</v>
      </c>
      <c r="C6357" s="1" t="s">
        <v>62</v>
      </c>
      <c r="D6357" s="1" t="s">
        <v>41</v>
      </c>
      <c r="E6357" s="3">
        <v>3050000</v>
      </c>
      <c r="F6357" s="1">
        <v>2294.9586155003699</v>
      </c>
      <c r="M6357" s="4">
        <v>1329</v>
      </c>
      <c r="Q6357" s="1" t="s">
        <v>42</v>
      </c>
      <c r="S6357" s="1" t="s">
        <v>42</v>
      </c>
      <c r="T6357" s="1" t="s">
        <v>273</v>
      </c>
      <c r="AA6357" s="1">
        <v>3050000</v>
      </c>
      <c r="AB6357" s="1" t="s">
        <v>4591</v>
      </c>
      <c r="AC6357" s="5">
        <v>42759</v>
      </c>
      <c r="AF6357" s="1">
        <v>10001</v>
      </c>
      <c r="AI6357" s="1" t="s">
        <v>163</v>
      </c>
      <c r="AJ6357" s="1">
        <v>2015</v>
      </c>
      <c r="AK6357" s="1" t="s">
        <v>49</v>
      </c>
      <c r="AL6357" s="1">
        <v>49</v>
      </c>
    </row>
    <row r="6358" spans="1:38" x14ac:dyDescent="0.2">
      <c r="A6358" s="2" t="str">
        <f>HYPERLINK("https://www.compass.com/listing/155-west-18th-street-unit-602-manhattan-ny-10011/29373031876928017/","155 W 18th St, Unit 602")</f>
        <v>155 W 18th St, Unit 602</v>
      </c>
      <c r="B6358" s="2" t="str">
        <f t="shared" ref="B6358:B6359" si="1031">HYPERLINK("https://www.compass.com/building/the-flynn-manhattan-ny/281905793161251925/","The Flynn")</f>
        <v>The Flynn</v>
      </c>
      <c r="C6358" s="1" t="s">
        <v>62</v>
      </c>
      <c r="D6358" s="1" t="s">
        <v>41</v>
      </c>
      <c r="E6358" s="3">
        <v>2500000</v>
      </c>
      <c r="F6358" s="1">
        <v>2248.2014388489201</v>
      </c>
      <c r="M6358" s="4">
        <v>1112</v>
      </c>
      <c r="Q6358" s="1" t="s">
        <v>42</v>
      </c>
      <c r="S6358" s="1" t="s">
        <v>42</v>
      </c>
      <c r="T6358" s="1" t="s">
        <v>273</v>
      </c>
      <c r="AA6358" s="1">
        <v>2500000</v>
      </c>
      <c r="AB6358" s="1" t="s">
        <v>4592</v>
      </c>
      <c r="AC6358" s="5">
        <v>42734</v>
      </c>
      <c r="AF6358" s="1">
        <v>10011</v>
      </c>
      <c r="AI6358" s="1" t="s">
        <v>78</v>
      </c>
      <c r="AJ6358" s="1">
        <v>2016</v>
      </c>
      <c r="AK6358" s="1" t="s">
        <v>55</v>
      </c>
      <c r="AL6358" s="1">
        <v>30</v>
      </c>
    </row>
    <row r="6359" spans="1:38" x14ac:dyDescent="0.2">
      <c r="A6359" s="2" t="str">
        <f>HYPERLINK("https://www.compass.com/listing/155-west-18th-street-unit-702-manhattan-ny-10011/29373033235882529/","155 W 18th St, Unit 702")</f>
        <v>155 W 18th St, Unit 702</v>
      </c>
      <c r="B6359" s="2" t="str">
        <f t="shared" si="1031"/>
        <v>The Flynn</v>
      </c>
      <c r="C6359" s="1" t="s">
        <v>62</v>
      </c>
      <c r="D6359" s="1" t="s">
        <v>41</v>
      </c>
      <c r="E6359" s="3">
        <v>2600000</v>
      </c>
      <c r="F6359" s="1">
        <v>2338.1294964028698</v>
      </c>
      <c r="M6359" s="4">
        <v>1112</v>
      </c>
      <c r="Q6359" s="1" t="s">
        <v>42</v>
      </c>
      <c r="S6359" s="1" t="s">
        <v>42</v>
      </c>
      <c r="T6359" s="1" t="s">
        <v>273</v>
      </c>
      <c r="AA6359" s="1">
        <v>2600000</v>
      </c>
      <c r="AB6359" s="1" t="s">
        <v>4593</v>
      </c>
      <c r="AC6359" s="5">
        <v>42762</v>
      </c>
      <c r="AF6359" s="1">
        <v>10011</v>
      </c>
      <c r="AI6359" s="1" t="s">
        <v>78</v>
      </c>
      <c r="AJ6359" s="1">
        <v>2016</v>
      </c>
      <c r="AK6359" s="1" t="s">
        <v>55</v>
      </c>
      <c r="AL6359" s="1">
        <v>30</v>
      </c>
    </row>
    <row r="6360" spans="1:38" x14ac:dyDescent="0.2">
      <c r="A6360" s="2" t="str">
        <f>HYPERLINK("https://www.compass.com/listing/55-west-17th-street-unit-1203-manhattan-ny-10011/29374464055692193/","55 W 17th St, Unit 1203")</f>
        <v>55 W 17th St, Unit 1203</v>
      </c>
      <c r="B6360" s="2" t="str">
        <f>HYPERLINK("https://www.compass.com/building/55-w-17th-st-manhattan-ny-10011/281911689161499829/","55 W 17th St")</f>
        <v>55 W 17th St</v>
      </c>
      <c r="C6360" s="1" t="s">
        <v>56</v>
      </c>
      <c r="D6360" s="1" t="s">
        <v>41</v>
      </c>
      <c r="E6360" s="3">
        <v>1800000</v>
      </c>
      <c r="F6360" s="1">
        <v>2224.9690976514198</v>
      </c>
      <c r="M6360" s="1">
        <v>809</v>
      </c>
      <c r="Q6360" s="1" t="s">
        <v>42</v>
      </c>
      <c r="S6360" s="1" t="s">
        <v>42</v>
      </c>
      <c r="T6360" s="1" t="s">
        <v>273</v>
      </c>
      <c r="AA6360" s="1">
        <v>1800000</v>
      </c>
      <c r="AB6360" s="1" t="s">
        <v>4594</v>
      </c>
      <c r="AC6360" s="5">
        <v>42912</v>
      </c>
      <c r="AF6360" s="1">
        <v>10011</v>
      </c>
      <c r="AI6360" s="1" t="s">
        <v>102</v>
      </c>
      <c r="AJ6360" s="1">
        <v>2018</v>
      </c>
      <c r="AK6360" s="1" t="s">
        <v>55</v>
      </c>
      <c r="AL6360" s="1">
        <v>52</v>
      </c>
    </row>
    <row r="6361" spans="1:38" x14ac:dyDescent="0.2">
      <c r="A6361" s="2" t="str">
        <f>HYPERLINK("https://www.compass.com/listing/172-madison-avenue-unit-9a-manhattan-ny-10016/29376705693014881/","172 Madison Ave, Unit 9A")</f>
        <v>172 Madison Ave, Unit 9A</v>
      </c>
      <c r="B6361" s="2" t="str">
        <f t="shared" ref="B6361:B6367" si="1032">HYPERLINK("https://www.compass.com/building/172-madison-ave-manhattan-ny-10016/281937956250376981/","172 Madison Ave")</f>
        <v>172 Madison Ave</v>
      </c>
      <c r="C6361" s="1" t="s">
        <v>120</v>
      </c>
      <c r="D6361" s="1" t="s">
        <v>41</v>
      </c>
      <c r="E6361" s="3">
        <v>3029294</v>
      </c>
      <c r="F6361" s="1">
        <v>2048.2040229885001</v>
      </c>
      <c r="M6361" s="4">
        <v>1479</v>
      </c>
      <c r="Q6361" s="1" t="s">
        <v>42</v>
      </c>
      <c r="S6361" s="1" t="s">
        <v>42</v>
      </c>
      <c r="T6361" s="1" t="s">
        <v>273</v>
      </c>
      <c r="AA6361" s="1">
        <v>3029293.75</v>
      </c>
      <c r="AB6361" s="1" t="s">
        <v>4595</v>
      </c>
      <c r="AC6361" s="5">
        <v>42948</v>
      </c>
      <c r="AF6361" s="1">
        <v>10016</v>
      </c>
      <c r="AJ6361" s="1">
        <v>2016</v>
      </c>
      <c r="AK6361" s="1" t="s">
        <v>49</v>
      </c>
      <c r="AL6361" s="1">
        <v>72</v>
      </c>
    </row>
    <row r="6362" spans="1:38" x14ac:dyDescent="0.2">
      <c r="A6362" s="2" t="str">
        <f>HYPERLINK("https://www.compass.com/listing/172-madison-avenue-unit-14c-manhattan-ny-10016/29376709962890497/","172 Madison Ave, Unit 14C")</f>
        <v>172 Madison Ave, Unit 14C</v>
      </c>
      <c r="B6362" s="2" t="str">
        <f t="shared" si="1032"/>
        <v>172 Madison Ave</v>
      </c>
      <c r="C6362" s="1" t="s">
        <v>120</v>
      </c>
      <c r="D6362" s="1" t="s">
        <v>41</v>
      </c>
      <c r="E6362" s="3">
        <v>1659748</v>
      </c>
      <c r="F6362" s="1">
        <v>1862.79180695847</v>
      </c>
      <c r="M6362" s="1">
        <v>891</v>
      </c>
      <c r="Q6362" s="1" t="s">
        <v>42</v>
      </c>
      <c r="S6362" s="1" t="s">
        <v>42</v>
      </c>
      <c r="T6362" s="1" t="s">
        <v>273</v>
      </c>
      <c r="AA6362" s="1">
        <v>1659747.5</v>
      </c>
      <c r="AB6362" s="1" t="s">
        <v>4596</v>
      </c>
      <c r="AC6362" s="5">
        <v>42892</v>
      </c>
      <c r="AF6362" s="1">
        <v>10016</v>
      </c>
      <c r="AJ6362" s="1">
        <v>2016</v>
      </c>
      <c r="AK6362" s="1" t="s">
        <v>49</v>
      </c>
      <c r="AL6362" s="1">
        <v>72</v>
      </c>
    </row>
    <row r="6363" spans="1:38" x14ac:dyDescent="0.2">
      <c r="A6363" s="2" t="str">
        <f>HYPERLINK("https://www.compass.com/listing/172-madison-avenue-unit-19a-manhattan-ny-10016/29376713225984993/","172 Madison Ave, Unit 19A")</f>
        <v>172 Madison Ave, Unit 19A</v>
      </c>
      <c r="B6363" s="2" t="str">
        <f t="shared" si="1032"/>
        <v>172 Madison Ave</v>
      </c>
      <c r="C6363" s="1" t="s">
        <v>120</v>
      </c>
      <c r="D6363" s="1" t="s">
        <v>41</v>
      </c>
      <c r="E6363" s="3">
        <v>3344951</v>
      </c>
      <c r="F6363" s="1">
        <v>2261.6303245436102</v>
      </c>
      <c r="M6363" s="4">
        <v>1479</v>
      </c>
      <c r="Q6363" s="1" t="s">
        <v>42</v>
      </c>
      <c r="S6363" s="1" t="s">
        <v>42</v>
      </c>
      <c r="T6363" s="1" t="s">
        <v>273</v>
      </c>
      <c r="AA6363" s="1">
        <v>3344951.25</v>
      </c>
      <c r="AB6363" s="1" t="s">
        <v>4597</v>
      </c>
      <c r="AC6363" s="5">
        <v>42901</v>
      </c>
      <c r="AF6363" s="1">
        <v>10016</v>
      </c>
      <c r="AJ6363" s="1">
        <v>2016</v>
      </c>
      <c r="AK6363" s="1" t="s">
        <v>49</v>
      </c>
      <c r="AL6363" s="1">
        <v>72</v>
      </c>
    </row>
    <row r="6364" spans="1:38" x14ac:dyDescent="0.2">
      <c r="A6364" s="2" t="str">
        <f>HYPERLINK("https://www.compass.com/listing/172-madison-avenue-unit-19c-manhattan-ny-10016/29376713553214785/","172 Madison Ave, Unit 19C")</f>
        <v>172 Madison Ave, Unit 19C</v>
      </c>
      <c r="B6364" s="2" t="str">
        <f t="shared" si="1032"/>
        <v>172 Madison Ave</v>
      </c>
      <c r="C6364" s="1" t="s">
        <v>120</v>
      </c>
      <c r="D6364" s="1" t="s">
        <v>41</v>
      </c>
      <c r="E6364" s="3">
        <v>1843033</v>
      </c>
      <c r="F6364" s="1">
        <v>2068.49887766554</v>
      </c>
      <c r="M6364" s="1">
        <v>891</v>
      </c>
      <c r="Q6364" s="1" t="s">
        <v>42</v>
      </c>
      <c r="S6364" s="1" t="s">
        <v>42</v>
      </c>
      <c r="T6364" s="1" t="s">
        <v>273</v>
      </c>
      <c r="AA6364" s="1">
        <v>1843032.5</v>
      </c>
      <c r="AB6364" s="1" t="s">
        <v>4598</v>
      </c>
      <c r="AC6364" s="5">
        <v>42906</v>
      </c>
      <c r="AF6364" s="1">
        <v>10016</v>
      </c>
      <c r="AJ6364" s="1">
        <v>2016</v>
      </c>
      <c r="AK6364" s="1" t="s">
        <v>49</v>
      </c>
      <c r="AL6364" s="1">
        <v>72</v>
      </c>
    </row>
    <row r="6365" spans="1:38" x14ac:dyDescent="0.2">
      <c r="A6365" s="2" t="str">
        <f>HYPERLINK("https://www.compass.com/listing/172-madison-avenue-unit-20b-manhattan-ny-10016/29376714232617969/","172 Madison Ave, Unit 20B")</f>
        <v>172 Madison Ave, Unit 20B</v>
      </c>
      <c r="B6365" s="2" t="str">
        <f t="shared" si="1032"/>
        <v>172 Madison Ave</v>
      </c>
      <c r="C6365" s="1" t="s">
        <v>120</v>
      </c>
      <c r="D6365" s="1" t="s">
        <v>41</v>
      </c>
      <c r="E6365" s="3">
        <v>3120000</v>
      </c>
      <c r="F6365" s="1">
        <v>2096.77419354838</v>
      </c>
      <c r="M6365" s="4">
        <v>1488</v>
      </c>
      <c r="Q6365" s="1" t="s">
        <v>42</v>
      </c>
      <c r="S6365" s="1" t="s">
        <v>42</v>
      </c>
      <c r="T6365" s="1" t="s">
        <v>273</v>
      </c>
      <c r="AA6365" s="1">
        <v>3120000</v>
      </c>
      <c r="AB6365" s="1" t="s">
        <v>4599</v>
      </c>
      <c r="AC6365" s="5">
        <v>42914</v>
      </c>
      <c r="AF6365" s="1">
        <v>10016</v>
      </c>
      <c r="AJ6365" s="1">
        <v>2016</v>
      </c>
      <c r="AK6365" s="1" t="s">
        <v>49</v>
      </c>
      <c r="AL6365" s="1">
        <v>72</v>
      </c>
    </row>
    <row r="6366" spans="1:38" x14ac:dyDescent="0.2">
      <c r="A6366" s="2" t="str">
        <f>HYPERLINK("https://www.compass.com/listing/172-madison-avenue-unit-21c-manhattan-ny-10016/29376715574795265/","172 Madison Ave, Unit 21C")</f>
        <v>172 Madison Ave, Unit 21C</v>
      </c>
      <c r="B6366" s="2" t="str">
        <f t="shared" si="1032"/>
        <v>172 Madison Ave</v>
      </c>
      <c r="C6366" s="1" t="s">
        <v>120</v>
      </c>
      <c r="D6366" s="1" t="s">
        <v>41</v>
      </c>
      <c r="E6366" s="3">
        <v>1868489</v>
      </c>
      <c r="F6366" s="1">
        <v>2097.0693041526301</v>
      </c>
      <c r="M6366" s="1">
        <v>891</v>
      </c>
      <c r="Q6366" s="1" t="s">
        <v>42</v>
      </c>
      <c r="S6366" s="1" t="s">
        <v>42</v>
      </c>
      <c r="T6366" s="1" t="s">
        <v>273</v>
      </c>
      <c r="AA6366" s="1">
        <v>1868488.75</v>
      </c>
      <c r="AB6366" s="1" t="s">
        <v>4600</v>
      </c>
      <c r="AC6366" s="5">
        <v>42881</v>
      </c>
      <c r="AF6366" s="1">
        <v>10016</v>
      </c>
      <c r="AJ6366" s="1">
        <v>2016</v>
      </c>
      <c r="AK6366" s="1" t="s">
        <v>49</v>
      </c>
      <c r="AL6366" s="1">
        <v>72</v>
      </c>
    </row>
    <row r="6367" spans="1:38" x14ac:dyDescent="0.2">
      <c r="A6367" s="2" t="str">
        <f>HYPERLINK("https://www.compass.com/listing/172-madison-avenue-unit-24c-manhattan-ny-10016/29376717722278465/","172 Madison Ave, Unit 24C")</f>
        <v>172 Madison Ave, Unit 24C</v>
      </c>
      <c r="B6367" s="2" t="str">
        <f t="shared" si="1032"/>
        <v>172 Madison Ave</v>
      </c>
      <c r="C6367" s="1" t="s">
        <v>120</v>
      </c>
      <c r="D6367" s="1" t="s">
        <v>41</v>
      </c>
      <c r="E6367" s="3">
        <v>2291063</v>
      </c>
      <c r="F6367" s="1">
        <v>2937.2596153846098</v>
      </c>
      <c r="M6367" s="1">
        <v>780</v>
      </c>
      <c r="Q6367" s="1" t="s">
        <v>42</v>
      </c>
      <c r="S6367" s="1" t="s">
        <v>42</v>
      </c>
      <c r="T6367" s="1" t="s">
        <v>273</v>
      </c>
      <c r="AA6367" s="1">
        <v>2291062.5</v>
      </c>
      <c r="AB6367" s="1" t="s">
        <v>4601</v>
      </c>
      <c r="AC6367" s="5">
        <v>43263</v>
      </c>
      <c r="AF6367" s="1">
        <v>10016</v>
      </c>
      <c r="AJ6367" s="1">
        <v>2016</v>
      </c>
      <c r="AK6367" s="1" t="s">
        <v>49</v>
      </c>
      <c r="AL6367" s="1">
        <v>72</v>
      </c>
    </row>
    <row r="6368" spans="1:38" x14ac:dyDescent="0.2">
      <c r="A6368" s="2" t="str">
        <f>HYPERLINK("https://www.compass.com/listing/90-lexington-avenue-unit-2e-manhattan-ny-10016/29378545625188049/","90 Lexington Ave, Unit 2E")</f>
        <v>90 Lexington Ave, Unit 2E</v>
      </c>
      <c r="B6368" s="2" t="str">
        <f t="shared" ref="B6368:B6370" si="1033">HYPERLINK("https://www.compass.com/building/88-90-lexington-avenue-manhattan-ny/281941431524842901/","88 &amp; 90 Lexington Avenue")</f>
        <v>88 &amp; 90 Lexington Avenue</v>
      </c>
      <c r="C6368" s="1" t="s">
        <v>40</v>
      </c>
      <c r="D6368" s="1" t="s">
        <v>41</v>
      </c>
      <c r="E6368" s="3">
        <v>3212577</v>
      </c>
      <c r="F6368" s="1">
        <v>1738.4073376623301</v>
      </c>
      <c r="M6368" s="4">
        <v>1848</v>
      </c>
      <c r="Q6368" s="1" t="s">
        <v>42</v>
      </c>
      <c r="S6368" s="1" t="s">
        <v>42</v>
      </c>
      <c r="T6368" s="1" t="s">
        <v>273</v>
      </c>
      <c r="AA6368" s="1">
        <v>3212576.76</v>
      </c>
      <c r="AB6368" s="1" t="s">
        <v>4602</v>
      </c>
      <c r="AC6368" s="5">
        <v>42584</v>
      </c>
      <c r="AF6368" s="1">
        <v>10016</v>
      </c>
      <c r="AI6368" s="1" t="s">
        <v>118</v>
      </c>
      <c r="AJ6368" s="1">
        <v>1957</v>
      </c>
      <c r="AK6368" s="1" t="s">
        <v>49</v>
      </c>
      <c r="AL6368" s="1">
        <v>49</v>
      </c>
    </row>
    <row r="6369" spans="1:38" x14ac:dyDescent="0.2">
      <c r="A6369" s="2" t="str">
        <f>HYPERLINK("https://www.compass.com/listing/90-lexington-avenue-unit-8c-manhattan-ny-10016/29378554441538401/","90 Lexington Ave, Unit 8C")</f>
        <v>90 Lexington Ave, Unit 8C</v>
      </c>
      <c r="B6369" s="2" t="str">
        <f t="shared" si="1033"/>
        <v>88 &amp; 90 Lexington Avenue</v>
      </c>
      <c r="C6369" s="1" t="s">
        <v>40</v>
      </c>
      <c r="D6369" s="1" t="s">
        <v>41</v>
      </c>
      <c r="E6369" s="3">
        <v>4544307</v>
      </c>
      <c r="F6369" s="1">
        <v>2244.1020592592499</v>
      </c>
      <c r="M6369" s="4">
        <v>2025</v>
      </c>
      <c r="Q6369" s="1" t="s">
        <v>42</v>
      </c>
      <c r="S6369" s="1" t="s">
        <v>42</v>
      </c>
      <c r="T6369" s="1" t="s">
        <v>273</v>
      </c>
      <c r="AA6369" s="1">
        <v>4544306.67</v>
      </c>
      <c r="AB6369" s="1" t="s">
        <v>4603</v>
      </c>
      <c r="AC6369" s="5">
        <v>42828</v>
      </c>
      <c r="AF6369" s="1">
        <v>10016</v>
      </c>
      <c r="AI6369" s="1" t="s">
        <v>118</v>
      </c>
      <c r="AJ6369" s="1">
        <v>1957</v>
      </c>
      <c r="AK6369" s="1" t="s">
        <v>49</v>
      </c>
      <c r="AL6369" s="1">
        <v>49</v>
      </c>
    </row>
    <row r="6370" spans="1:38" x14ac:dyDescent="0.2">
      <c r="A6370" s="2" t="str">
        <f>HYPERLINK("https://www.compass.com/listing/90-lexington-avenue-unit-8f-manhattan-ny-10016/29378555112632993/","90 Lexington Ave, Unit 8F")</f>
        <v>90 Lexington Ave, Unit 8F</v>
      </c>
      <c r="B6370" s="2" t="str">
        <f t="shared" si="1033"/>
        <v>88 &amp; 90 Lexington Avenue</v>
      </c>
      <c r="C6370" s="1" t="s">
        <v>40</v>
      </c>
      <c r="D6370" s="1" t="s">
        <v>41</v>
      </c>
      <c r="E6370" s="3">
        <v>1578288</v>
      </c>
      <c r="F6370" s="1">
        <v>1465.4480037140199</v>
      </c>
      <c r="M6370" s="4">
        <v>1077</v>
      </c>
      <c r="Q6370" s="1" t="s">
        <v>42</v>
      </c>
      <c r="S6370" s="1" t="s">
        <v>42</v>
      </c>
      <c r="T6370" s="1" t="s">
        <v>273</v>
      </c>
      <c r="AA6370" s="1">
        <v>1578287.5</v>
      </c>
      <c r="AB6370" s="1" t="s">
        <v>4604</v>
      </c>
      <c r="AC6370" s="5">
        <v>42635</v>
      </c>
      <c r="AF6370" s="1">
        <v>10016</v>
      </c>
      <c r="AI6370" s="1" t="s">
        <v>118</v>
      </c>
      <c r="AJ6370" s="1">
        <v>1957</v>
      </c>
      <c r="AK6370" s="1" t="s">
        <v>49</v>
      </c>
      <c r="AL6370" s="1">
        <v>49</v>
      </c>
    </row>
    <row r="6371" spans="1:38" x14ac:dyDescent="0.2">
      <c r="A6371" s="2" t="str">
        <f>HYPERLINK("https://www.compass.com/listing/88-lexington-avenue-unit-404-manhattan-ny-10016/29378558862340817/","88 Lexington Ave, Unit 404")</f>
        <v>88 Lexington Ave, Unit 404</v>
      </c>
      <c r="B6371" s="2" t="str">
        <f t="shared" ref="B6371:B6373" si="1034">HYPERLINK("https://www.compass.com/building/88-90-lexington-avenue-manhattan-ny/281903945159296309/","88 &amp; 90 Lexington Avenue")</f>
        <v>88 &amp; 90 Lexington Avenue</v>
      </c>
      <c r="C6371" s="1" t="s">
        <v>40</v>
      </c>
      <c r="D6371" s="1" t="s">
        <v>41</v>
      </c>
      <c r="E6371" s="3">
        <v>1705236</v>
      </c>
      <c r="F6371" s="1">
        <v>1589.2226747437001</v>
      </c>
      <c r="M6371" s="4">
        <v>1073</v>
      </c>
      <c r="Q6371" s="1" t="s">
        <v>42</v>
      </c>
      <c r="S6371" s="1" t="s">
        <v>42</v>
      </c>
      <c r="T6371" s="1" t="s">
        <v>273</v>
      </c>
      <c r="AA6371" s="1">
        <v>1705235.93</v>
      </c>
      <c r="AB6371" s="1" t="s">
        <v>4605</v>
      </c>
      <c r="AC6371" s="5">
        <v>42564</v>
      </c>
      <c r="AF6371" s="1">
        <v>10016</v>
      </c>
      <c r="AI6371" s="1" t="s">
        <v>78</v>
      </c>
      <c r="AJ6371" s="1">
        <v>1927</v>
      </c>
      <c r="AK6371" s="1" t="s">
        <v>49</v>
      </c>
      <c r="AL6371" s="1">
        <v>70</v>
      </c>
    </row>
    <row r="6372" spans="1:38" x14ac:dyDescent="0.2">
      <c r="A6372" s="2" t="str">
        <f>HYPERLINK("https://www.compass.com/listing/88-lexington-avenue-unit-1103-manhattan-ny-10016/29378570111464321/","88 Lexington Ave, Unit 1103")</f>
        <v>88 Lexington Ave, Unit 1103</v>
      </c>
      <c r="B6372" s="2" t="str">
        <f t="shared" si="1034"/>
        <v>88 &amp; 90 Lexington Avenue</v>
      </c>
      <c r="C6372" s="1" t="s">
        <v>40</v>
      </c>
      <c r="D6372" s="1" t="s">
        <v>41</v>
      </c>
      <c r="E6372" s="3">
        <v>2165222</v>
      </c>
      <c r="F6372" s="1">
        <v>1970.1751319381201</v>
      </c>
      <c r="M6372" s="4">
        <v>1099</v>
      </c>
      <c r="Q6372" s="1" t="s">
        <v>42</v>
      </c>
      <c r="S6372" s="1" t="s">
        <v>42</v>
      </c>
      <c r="T6372" s="1" t="s">
        <v>273</v>
      </c>
      <c r="AA6372" s="1">
        <v>2165222.4700000002</v>
      </c>
      <c r="AB6372" s="1" t="s">
        <v>4606</v>
      </c>
      <c r="AC6372" s="5">
        <v>42846</v>
      </c>
      <c r="AF6372" s="1">
        <v>10016</v>
      </c>
      <c r="AI6372" s="1" t="s">
        <v>78</v>
      </c>
      <c r="AJ6372" s="1">
        <v>1927</v>
      </c>
      <c r="AK6372" s="1" t="s">
        <v>49</v>
      </c>
      <c r="AL6372" s="1">
        <v>70</v>
      </c>
    </row>
    <row r="6373" spans="1:38" x14ac:dyDescent="0.2">
      <c r="A6373" s="2" t="str">
        <f>HYPERLINK("https://www.compass.com/listing/88-lexington-avenue-unit-1503-manhattan-ny-10016/29378573525698689/","88 Lexington Ave, Unit 1503")</f>
        <v>88 Lexington Ave, Unit 1503</v>
      </c>
      <c r="B6373" s="2" t="str">
        <f t="shared" si="1034"/>
        <v>88 &amp; 90 Lexington Avenue</v>
      </c>
      <c r="C6373" s="1" t="s">
        <v>40</v>
      </c>
      <c r="D6373" s="1" t="s">
        <v>41</v>
      </c>
      <c r="E6373" s="3">
        <v>2823264</v>
      </c>
      <c r="F6373" s="1">
        <v>1775.63796226415</v>
      </c>
      <c r="M6373" s="4">
        <v>1590</v>
      </c>
      <c r="Q6373" s="1" t="s">
        <v>42</v>
      </c>
      <c r="S6373" s="1" t="s">
        <v>42</v>
      </c>
      <c r="T6373" s="1" t="s">
        <v>273</v>
      </c>
      <c r="AA6373" s="1">
        <v>2823264.36</v>
      </c>
      <c r="AB6373" s="1" t="s">
        <v>4607</v>
      </c>
      <c r="AC6373" s="5">
        <v>42865</v>
      </c>
      <c r="AF6373" s="1">
        <v>10016</v>
      </c>
      <c r="AI6373" s="1" t="s">
        <v>78</v>
      </c>
      <c r="AJ6373" s="1">
        <v>1927</v>
      </c>
      <c r="AK6373" s="1" t="s">
        <v>49</v>
      </c>
      <c r="AL6373" s="1">
        <v>70</v>
      </c>
    </row>
    <row r="6374" spans="1:38" x14ac:dyDescent="0.2">
      <c r="A6374" s="2" t="str">
        <f>HYPERLINK("https://www.compass.com/listing/325-lexington-avenue-unit-4d-manhattan-ny-10016/29379686660383233/","325 Lexington Ave, Unit 4D")</f>
        <v>325 Lexington Ave, Unit 4D</v>
      </c>
      <c r="B6374" s="2" t="str">
        <f t="shared" ref="B6374:B6375" si="1035">HYPERLINK("https://www.compass.com/building/325-lex-condominium-manhattan-ny/281939882467713365/","325 Lex Condominium")</f>
        <v>325 Lex Condominium</v>
      </c>
      <c r="C6374" s="1" t="s">
        <v>59</v>
      </c>
      <c r="D6374" s="1" t="s">
        <v>41</v>
      </c>
      <c r="E6374" s="3">
        <v>763688</v>
      </c>
      <c r="F6374" s="1">
        <v>966.69303797468297</v>
      </c>
      <c r="M6374" s="1">
        <v>790</v>
      </c>
      <c r="Q6374" s="1" t="s">
        <v>42</v>
      </c>
      <c r="S6374" s="1" t="s">
        <v>42</v>
      </c>
      <c r="T6374" s="1" t="s">
        <v>273</v>
      </c>
      <c r="AA6374" s="1">
        <v>763687.5</v>
      </c>
      <c r="AB6374" s="1" t="s">
        <v>4608</v>
      </c>
      <c r="AC6374" s="5">
        <v>42383</v>
      </c>
      <c r="AF6374" s="1">
        <v>10016</v>
      </c>
      <c r="AI6374" s="1" t="s">
        <v>60</v>
      </c>
      <c r="AJ6374" s="1">
        <v>2014</v>
      </c>
      <c r="AK6374" s="1" t="s">
        <v>55</v>
      </c>
      <c r="AL6374" s="1">
        <v>125</v>
      </c>
    </row>
    <row r="6375" spans="1:38" x14ac:dyDescent="0.2">
      <c r="A6375" s="2" t="str">
        <f>HYPERLINK("https://www.compass.com/listing/325-lexington-avenue-unit-11e-manhattan-ny-10016/29379701424333537/","325 Lexington Ave, Unit 11E")</f>
        <v>325 Lexington Ave, Unit 11E</v>
      </c>
      <c r="B6375" s="2" t="str">
        <f t="shared" si="1035"/>
        <v>325 Lex Condominium</v>
      </c>
      <c r="C6375" s="1" t="s">
        <v>59</v>
      </c>
      <c r="D6375" s="1" t="s">
        <v>41</v>
      </c>
      <c r="E6375" s="3">
        <v>1130258</v>
      </c>
      <c r="F6375" s="1">
        <v>1752.3372093023199</v>
      </c>
      <c r="G6375" s="1">
        <v>3</v>
      </c>
      <c r="H6375" s="1">
        <v>1</v>
      </c>
      <c r="I6375" s="1">
        <v>1</v>
      </c>
      <c r="J6375" s="1">
        <v>1</v>
      </c>
      <c r="K6375" s="1">
        <v>1</v>
      </c>
      <c r="M6375" s="1">
        <v>645</v>
      </c>
      <c r="N6375" s="1">
        <v>890</v>
      </c>
      <c r="O6375" s="1">
        <v>1084</v>
      </c>
      <c r="P6375" s="1">
        <v>194</v>
      </c>
      <c r="Q6375" s="1" t="s">
        <v>42</v>
      </c>
      <c r="S6375" s="1" t="s">
        <v>42</v>
      </c>
      <c r="T6375" s="1" t="s">
        <v>273</v>
      </c>
      <c r="V6375" s="5">
        <v>42574</v>
      </c>
      <c r="AA6375" s="1">
        <v>1130257.5</v>
      </c>
      <c r="AB6375" s="1" t="s">
        <v>4609</v>
      </c>
      <c r="AC6375" s="5">
        <v>42045</v>
      </c>
      <c r="AF6375" s="1">
        <v>10016</v>
      </c>
      <c r="AI6375" s="1" t="s">
        <v>60</v>
      </c>
      <c r="AJ6375" s="1">
        <v>2014</v>
      </c>
      <c r="AK6375" s="1" t="s">
        <v>108</v>
      </c>
      <c r="AL6375" s="1">
        <v>125</v>
      </c>
    </row>
    <row r="6376" spans="1:38" x14ac:dyDescent="0.2">
      <c r="A6376" s="2" t="str">
        <f>HYPERLINK("https://www.compass.com/listing/355-east-19th-street-unit-7-manhattan-ny-10003/29381923432356625/","355 E 19th St, Unit 7")</f>
        <v>355 E 19th St, Unit 7</v>
      </c>
      <c r="B6376" s="2" t="str">
        <f>HYPERLINK("https://www.compass.com/building/355-e-19th-st-manhattan-ny-10003/281893275755879157/","355 E 19th St")</f>
        <v>355 E 19th St</v>
      </c>
      <c r="C6376" s="1" t="s">
        <v>64</v>
      </c>
      <c r="D6376" s="1" t="s">
        <v>41</v>
      </c>
      <c r="E6376" s="3">
        <v>3200000</v>
      </c>
      <c r="F6376" s="1">
        <v>1639.3442622950799</v>
      </c>
      <c r="M6376" s="4">
        <v>1952</v>
      </c>
      <c r="Q6376" s="1" t="s">
        <v>42</v>
      </c>
      <c r="S6376" s="1" t="s">
        <v>42</v>
      </c>
      <c r="T6376" s="1" t="s">
        <v>273</v>
      </c>
      <c r="AA6376" s="1">
        <v>3200000</v>
      </c>
      <c r="AB6376" s="1" t="s">
        <v>4610</v>
      </c>
      <c r="AC6376" s="5">
        <v>42830</v>
      </c>
      <c r="AF6376" s="1">
        <v>10003</v>
      </c>
      <c r="AI6376" s="1" t="s">
        <v>140</v>
      </c>
      <c r="AJ6376" s="1">
        <v>2015</v>
      </c>
      <c r="AL6376" s="1">
        <v>7</v>
      </c>
    </row>
    <row r="6377" spans="1:38" x14ac:dyDescent="0.2">
      <c r="A6377" s="2" t="str">
        <f>HYPERLINK("https://www.compass.com/listing/135-west-52nd-street-unit-10f-manhattan-ny-10019/29383328851401985/","135 W 52nd St, Unit 10F")</f>
        <v>135 W 52nd St, Unit 10F</v>
      </c>
      <c r="B6377" s="2" t="str">
        <f t="shared" ref="B6377:B6378" si="1036">HYPERLINK("https://www.compass.com/building/135-w-52nd-st-manhattan-ny-10019/281943802548121109/","135 W 52nd St")</f>
        <v>135 W 52nd St</v>
      </c>
      <c r="C6377" s="1" t="s">
        <v>139</v>
      </c>
      <c r="D6377" s="1" t="s">
        <v>41</v>
      </c>
      <c r="E6377" s="3">
        <v>1914310</v>
      </c>
      <c r="F6377" s="1">
        <v>1912.3976023975999</v>
      </c>
      <c r="G6377" s="1">
        <v>4</v>
      </c>
      <c r="H6377" s="1">
        <v>2</v>
      </c>
      <c r="I6377" s="1">
        <v>2</v>
      </c>
      <c r="J6377" s="1">
        <v>2</v>
      </c>
      <c r="M6377" s="4">
        <v>1001</v>
      </c>
      <c r="N6377" s="1">
        <v>811</v>
      </c>
      <c r="O6377" s="1">
        <v>1947</v>
      </c>
      <c r="P6377" s="1">
        <v>1136</v>
      </c>
      <c r="Q6377" s="1" t="s">
        <v>42</v>
      </c>
      <c r="S6377" s="1" t="s">
        <v>42</v>
      </c>
      <c r="T6377" s="1" t="s">
        <v>273</v>
      </c>
      <c r="V6377" s="5">
        <v>43650</v>
      </c>
      <c r="W6377" s="5">
        <v>41976</v>
      </c>
      <c r="X6377" s="1">
        <v>1880000</v>
      </c>
      <c r="Y6377" s="1">
        <v>1880000</v>
      </c>
      <c r="Z6377" s="5">
        <v>41976</v>
      </c>
      <c r="AA6377" s="1">
        <v>1914310</v>
      </c>
      <c r="AB6377" s="1" t="s">
        <v>4611</v>
      </c>
      <c r="AC6377" s="5">
        <v>42368</v>
      </c>
      <c r="AF6377" s="1">
        <v>10019</v>
      </c>
      <c r="AJ6377" s="1">
        <v>2016</v>
      </c>
      <c r="AK6377" s="1" t="s">
        <v>49</v>
      </c>
      <c r="AL6377" s="1">
        <v>109</v>
      </c>
    </row>
    <row r="6378" spans="1:38" x14ac:dyDescent="0.2">
      <c r="A6378" s="2" t="str">
        <f>HYPERLINK("https://www.compass.com/listing/135-west-52nd-street-unit-14b-manhattan-ny-10019/29383334840867409/","135 W 52nd St, Unit 14B")</f>
        <v>135 W 52nd St, Unit 14B</v>
      </c>
      <c r="B6378" s="2" t="str">
        <f t="shared" si="1036"/>
        <v>135 W 52nd St</v>
      </c>
      <c r="C6378" s="1" t="s">
        <v>219</v>
      </c>
      <c r="D6378" s="1" t="s">
        <v>41</v>
      </c>
      <c r="E6378" s="3">
        <v>2450000</v>
      </c>
      <c r="F6378" s="1">
        <v>2179.7153024910999</v>
      </c>
      <c r="M6378" s="4">
        <v>1124</v>
      </c>
      <c r="Q6378" s="1" t="s">
        <v>42</v>
      </c>
      <c r="S6378" s="1" t="s">
        <v>42</v>
      </c>
      <c r="T6378" s="1" t="s">
        <v>273</v>
      </c>
      <c r="AA6378" s="1">
        <v>2450000</v>
      </c>
      <c r="AB6378" s="1" t="s">
        <v>4612</v>
      </c>
      <c r="AC6378" s="5">
        <v>42324</v>
      </c>
      <c r="AF6378" s="1">
        <v>10019</v>
      </c>
      <c r="AJ6378" s="1">
        <v>2016</v>
      </c>
      <c r="AK6378" s="1" t="s">
        <v>49</v>
      </c>
      <c r="AL6378" s="1">
        <v>109</v>
      </c>
    </row>
    <row r="6379" spans="1:38" x14ac:dyDescent="0.2">
      <c r="A6379" s="2" t="str">
        <f>HYPERLINK("https://www.compass.com/listing/425-west-50th-street-unit-14d-manhattan-ny-10019/29389219784937953/","425 W 50th St, Unit 14D")</f>
        <v>425 W 50th St, Unit 14D</v>
      </c>
      <c r="B6379" s="2" t="str">
        <f>HYPERLINK("https://www.compass.com/building/stella-tower-manhattan-ny/281945855710262181/","Stella Tower")</f>
        <v>Stella Tower</v>
      </c>
      <c r="C6379" s="1" t="s">
        <v>90</v>
      </c>
      <c r="D6379" s="1" t="s">
        <v>41</v>
      </c>
      <c r="E6379" s="3">
        <v>1771755</v>
      </c>
      <c r="F6379" s="1">
        <v>1251.2394067796599</v>
      </c>
      <c r="G6379" s="1">
        <v>3</v>
      </c>
      <c r="H6379" s="1">
        <v>1</v>
      </c>
      <c r="I6379" s="1">
        <v>2</v>
      </c>
      <c r="J6379" s="1">
        <v>2</v>
      </c>
      <c r="M6379" s="4">
        <v>1416</v>
      </c>
      <c r="N6379" s="1">
        <v>1606</v>
      </c>
      <c r="O6379" s="1">
        <v>2589</v>
      </c>
      <c r="P6379" s="1">
        <v>983</v>
      </c>
      <c r="Q6379" s="1" t="s">
        <v>42</v>
      </c>
      <c r="S6379" s="1" t="s">
        <v>42</v>
      </c>
      <c r="T6379" s="1" t="s">
        <v>273</v>
      </c>
      <c r="U6379" s="1">
        <v>132</v>
      </c>
      <c r="V6379" s="5">
        <v>41993</v>
      </c>
      <c r="W6379" s="5">
        <v>41859</v>
      </c>
      <c r="X6379" s="1">
        <v>1740000</v>
      </c>
      <c r="Y6379" s="1">
        <v>1740000</v>
      </c>
      <c r="AA6379" s="1">
        <v>1771755</v>
      </c>
      <c r="AB6379" s="1" t="s">
        <v>4613</v>
      </c>
      <c r="AC6379" s="5">
        <v>42003</v>
      </c>
      <c r="AF6379" s="1">
        <v>10019</v>
      </c>
      <c r="AI6379" s="1" t="s">
        <v>80</v>
      </c>
      <c r="AJ6379" s="1">
        <v>1930</v>
      </c>
      <c r="AK6379" s="1" t="s">
        <v>46</v>
      </c>
      <c r="AL6379" s="1">
        <v>51</v>
      </c>
    </row>
    <row r="6380" spans="1:38" x14ac:dyDescent="0.2">
      <c r="A6380" s="2" t="str">
        <f>HYPERLINK("https://www.compass.com/listing/416-west-52nd-street-unit-th205-manhattan-ny-10019/29389252232006881/","416 W 52nd St, Unit TH205")</f>
        <v>416 W 52nd St, Unit TH205</v>
      </c>
      <c r="B6380" s="2" t="str">
        <f t="shared" ref="B6380:B6383" si="1037">HYPERLINK("https://www.compass.com/building/nine52-manhattan-ny/281945622951555813/","Nine52")</f>
        <v>Nine52</v>
      </c>
      <c r="C6380" s="1" t="s">
        <v>90</v>
      </c>
      <c r="D6380" s="1" t="s">
        <v>41</v>
      </c>
      <c r="E6380" s="3">
        <v>1965000</v>
      </c>
      <c r="F6380" s="1">
        <v>1149.79520187244</v>
      </c>
      <c r="M6380" s="4">
        <v>1709</v>
      </c>
      <c r="Q6380" s="1" t="s">
        <v>42</v>
      </c>
      <c r="S6380" s="1" t="s">
        <v>42</v>
      </c>
      <c r="T6380" s="1" t="s">
        <v>273</v>
      </c>
      <c r="AA6380" s="1">
        <v>1965000</v>
      </c>
      <c r="AB6380" s="1" t="s">
        <v>4614</v>
      </c>
      <c r="AC6380" s="5">
        <v>42640</v>
      </c>
      <c r="AF6380" s="1">
        <v>10019</v>
      </c>
      <c r="AI6380" s="1" t="s">
        <v>48</v>
      </c>
      <c r="AJ6380" s="1">
        <v>1940</v>
      </c>
      <c r="AK6380" s="1" t="s">
        <v>55</v>
      </c>
      <c r="AL6380" s="1">
        <v>155</v>
      </c>
    </row>
    <row r="6381" spans="1:38" x14ac:dyDescent="0.2">
      <c r="A6381" s="2" t="str">
        <f>HYPERLINK("https://www.compass.com/listing/416-west-52nd-street-unit-th214-manhattan-ny-10019/29389253448355057/","416 W 52nd St, Unit TH214")</f>
        <v>416 W 52nd St, Unit TH214</v>
      </c>
      <c r="B6381" s="2" t="str">
        <f t="shared" si="1037"/>
        <v>Nine52</v>
      </c>
      <c r="C6381" s="1" t="s">
        <v>90</v>
      </c>
      <c r="D6381" s="1" t="s">
        <v>41</v>
      </c>
      <c r="E6381" s="3">
        <v>1796000</v>
      </c>
      <c r="F6381" s="1">
        <v>1210.24258760107</v>
      </c>
      <c r="M6381" s="4">
        <v>1484</v>
      </c>
      <c r="Q6381" s="1" t="s">
        <v>42</v>
      </c>
      <c r="S6381" s="1" t="s">
        <v>42</v>
      </c>
      <c r="T6381" s="1" t="s">
        <v>273</v>
      </c>
      <c r="AA6381" s="1">
        <v>1796000</v>
      </c>
      <c r="AB6381" s="1" t="s">
        <v>4615</v>
      </c>
      <c r="AC6381" s="5">
        <v>42634</v>
      </c>
      <c r="AF6381" s="1">
        <v>10019</v>
      </c>
      <c r="AI6381" s="1" t="s">
        <v>48</v>
      </c>
      <c r="AJ6381" s="1">
        <v>1940</v>
      </c>
      <c r="AK6381" s="1" t="s">
        <v>55</v>
      </c>
      <c r="AL6381" s="1">
        <v>155</v>
      </c>
    </row>
    <row r="6382" spans="1:38" x14ac:dyDescent="0.2">
      <c r="A6382" s="2" t="str">
        <f>HYPERLINK("https://www.compass.com/listing/416-west-52nd-street-unit-th215-manhattan-ny-10019/29389253733625057/","416 W 52nd St, Unit TH215")</f>
        <v>416 W 52nd St, Unit TH215</v>
      </c>
      <c r="B6382" s="2" t="str">
        <f t="shared" si="1037"/>
        <v>Nine52</v>
      </c>
      <c r="C6382" s="1" t="s">
        <v>90</v>
      </c>
      <c r="D6382" s="1" t="s">
        <v>41</v>
      </c>
      <c r="E6382" s="3">
        <v>1499000</v>
      </c>
      <c r="F6382" s="1">
        <v>1239.8676592224899</v>
      </c>
      <c r="M6382" s="4">
        <v>1209</v>
      </c>
      <c r="Q6382" s="1" t="s">
        <v>42</v>
      </c>
      <c r="S6382" s="1" t="s">
        <v>42</v>
      </c>
      <c r="T6382" s="1" t="s">
        <v>273</v>
      </c>
      <c r="AA6382" s="1">
        <v>1499000</v>
      </c>
      <c r="AB6382" s="1" t="s">
        <v>4616</v>
      </c>
      <c r="AC6382" s="5">
        <v>42657</v>
      </c>
      <c r="AF6382" s="1">
        <v>10019</v>
      </c>
      <c r="AI6382" s="1" t="s">
        <v>48</v>
      </c>
      <c r="AJ6382" s="1">
        <v>1940</v>
      </c>
      <c r="AK6382" s="1" t="s">
        <v>55</v>
      </c>
      <c r="AL6382" s="1">
        <v>155</v>
      </c>
    </row>
    <row r="6383" spans="1:38" x14ac:dyDescent="0.2">
      <c r="A6383" s="2" t="str">
        <f>HYPERLINK("https://www.compass.com/listing/416-west-52nd-street-unit-620-manhattan-ny-10019/29389283555126945/","416 W 52nd St, Unit 620")</f>
        <v>416 W 52nd St, Unit 620</v>
      </c>
      <c r="B6383" s="2" t="str">
        <f t="shared" si="1037"/>
        <v>Nine52</v>
      </c>
      <c r="C6383" s="1" t="s">
        <v>90</v>
      </c>
      <c r="D6383" s="1" t="s">
        <v>41</v>
      </c>
      <c r="E6383" s="3">
        <v>1320000</v>
      </c>
      <c r="F6383" s="1">
        <v>1609.7560975609699</v>
      </c>
      <c r="M6383" s="1">
        <v>820</v>
      </c>
      <c r="Q6383" s="1" t="s">
        <v>42</v>
      </c>
      <c r="S6383" s="1" t="s">
        <v>42</v>
      </c>
      <c r="T6383" s="1" t="s">
        <v>273</v>
      </c>
      <c r="AA6383" s="1">
        <v>1320000</v>
      </c>
      <c r="AB6383" s="1" t="s">
        <v>4617</v>
      </c>
      <c r="AC6383" s="5">
        <v>42852</v>
      </c>
      <c r="AF6383" s="1">
        <v>10019</v>
      </c>
      <c r="AI6383" s="1" t="s">
        <v>48</v>
      </c>
      <c r="AJ6383" s="1">
        <v>1940</v>
      </c>
      <c r="AK6383" s="1" t="s">
        <v>55</v>
      </c>
      <c r="AL6383" s="1">
        <v>155</v>
      </c>
    </row>
    <row r="6384" spans="1:38" x14ac:dyDescent="0.2">
      <c r="A6384" s="2" t="str">
        <f>HYPERLINK("https://www.compass.com/listing/235-west-75th-street-unit-7f-manhattan-ny-10023/29395036202378625/","235 W 75th St, Unit 7F")</f>
        <v>235 W 75th St, Unit 7F</v>
      </c>
      <c r="B6384" s="2" t="str">
        <f t="shared" ref="B6384:B6412" si="1038">HYPERLINK("https://www.compass.com/building/the-astor-manhattan-ny/281958704155269925/","The Astor")</f>
        <v>The Astor</v>
      </c>
      <c r="C6384" s="1" t="s">
        <v>57</v>
      </c>
      <c r="D6384" s="1" t="s">
        <v>41</v>
      </c>
      <c r="E6384" s="3">
        <v>530000</v>
      </c>
      <c r="Q6384" s="1" t="s">
        <v>271</v>
      </c>
      <c r="S6384" s="1" t="s">
        <v>271</v>
      </c>
      <c r="T6384" s="1" t="s">
        <v>273</v>
      </c>
      <c r="AA6384" s="1">
        <v>530000</v>
      </c>
      <c r="AB6384" s="1" t="s">
        <v>4618</v>
      </c>
      <c r="AC6384" s="5">
        <v>38910</v>
      </c>
      <c r="AF6384" s="1">
        <v>10023</v>
      </c>
      <c r="AJ6384" s="1">
        <v>2018</v>
      </c>
      <c r="AK6384" s="1" t="s">
        <v>49</v>
      </c>
      <c r="AL6384" s="1">
        <v>98</v>
      </c>
    </row>
    <row r="6385" spans="1:38" x14ac:dyDescent="0.2">
      <c r="A6385" s="2" t="str">
        <f>HYPERLINK("https://www.compass.com/listing/235-west-75th-street-unit-203-manhattan-ny-10023/29395860307650161/","235 W 75th St, Unit 203")</f>
        <v>235 W 75th St, Unit 203</v>
      </c>
      <c r="B6385" s="2" t="str">
        <f t="shared" si="1038"/>
        <v>The Astor</v>
      </c>
      <c r="C6385" s="1" t="s">
        <v>57</v>
      </c>
      <c r="D6385" s="1" t="s">
        <v>41</v>
      </c>
      <c r="E6385" s="3">
        <v>685581</v>
      </c>
      <c r="F6385" s="1">
        <v>600.85998247151599</v>
      </c>
      <c r="M6385" s="4">
        <v>1141</v>
      </c>
      <c r="Q6385" s="1" t="s">
        <v>42</v>
      </c>
      <c r="S6385" s="1" t="s">
        <v>42</v>
      </c>
      <c r="T6385" s="1" t="s">
        <v>273</v>
      </c>
      <c r="AA6385" s="1">
        <v>685581.24</v>
      </c>
      <c r="AB6385" s="1" t="s">
        <v>4619</v>
      </c>
      <c r="AC6385" s="5">
        <v>43264</v>
      </c>
      <c r="AF6385" s="1">
        <v>10023</v>
      </c>
      <c r="AJ6385" s="1">
        <v>2018</v>
      </c>
      <c r="AK6385" s="1" t="s">
        <v>49</v>
      </c>
      <c r="AL6385" s="1">
        <v>98</v>
      </c>
    </row>
    <row r="6386" spans="1:38" x14ac:dyDescent="0.2">
      <c r="A6386" s="2" t="str">
        <f>HYPERLINK("https://www.compass.com/listing/235-west-75th-street-unit-206-manhattan-ny-10023/29395860618050065/","235 W 75th St, Unit 206")</f>
        <v>235 W 75th St, Unit 206</v>
      </c>
      <c r="B6386" s="2" t="str">
        <f t="shared" si="1038"/>
        <v>The Astor</v>
      </c>
      <c r="C6386" s="1" t="s">
        <v>57</v>
      </c>
      <c r="D6386" s="1" t="s">
        <v>41</v>
      </c>
      <c r="E6386" s="3">
        <v>506029</v>
      </c>
      <c r="F6386" s="1">
        <v>944.084626865671</v>
      </c>
      <c r="M6386" s="1">
        <v>536</v>
      </c>
      <c r="Q6386" s="1" t="s">
        <v>42</v>
      </c>
      <c r="S6386" s="1" t="s">
        <v>42</v>
      </c>
      <c r="T6386" s="1" t="s">
        <v>273</v>
      </c>
      <c r="AA6386" s="1">
        <v>506029.36</v>
      </c>
      <c r="AB6386" s="1" t="s">
        <v>4620</v>
      </c>
      <c r="AC6386" s="5">
        <v>42853</v>
      </c>
      <c r="AF6386" s="1">
        <v>10023</v>
      </c>
      <c r="AJ6386" s="1">
        <v>2018</v>
      </c>
      <c r="AK6386" s="1" t="s">
        <v>49</v>
      </c>
      <c r="AL6386" s="1">
        <v>98</v>
      </c>
    </row>
    <row r="6387" spans="1:38" x14ac:dyDescent="0.2">
      <c r="A6387" s="2" t="str">
        <f>HYPERLINK("https://www.compass.com/listing/235-west-75th-street-unit-207-manhattan-ny-10023/29395860961920753/","235 W 75th St, Unit 207")</f>
        <v>235 W 75th St, Unit 207</v>
      </c>
      <c r="B6387" s="2" t="str">
        <f t="shared" si="1038"/>
        <v>The Astor</v>
      </c>
      <c r="C6387" s="1" t="s">
        <v>57</v>
      </c>
      <c r="D6387" s="1" t="s">
        <v>41</v>
      </c>
      <c r="E6387" s="3">
        <v>3040944</v>
      </c>
      <c r="F6387" s="1">
        <v>1968.2485372168201</v>
      </c>
      <c r="M6387" s="4">
        <v>1545</v>
      </c>
      <c r="Q6387" s="1" t="s">
        <v>42</v>
      </c>
      <c r="S6387" s="1" t="s">
        <v>42</v>
      </c>
      <c r="T6387" s="1" t="s">
        <v>273</v>
      </c>
      <c r="AA6387" s="1">
        <v>3040943.99</v>
      </c>
      <c r="AB6387" s="1" t="s">
        <v>4621</v>
      </c>
      <c r="AC6387" s="5">
        <v>42726</v>
      </c>
      <c r="AF6387" s="1">
        <v>10023</v>
      </c>
      <c r="AJ6387" s="1">
        <v>2018</v>
      </c>
      <c r="AK6387" s="1" t="s">
        <v>49</v>
      </c>
      <c r="AL6387" s="1">
        <v>98</v>
      </c>
    </row>
    <row r="6388" spans="1:38" x14ac:dyDescent="0.2">
      <c r="A6388" s="2" t="str">
        <f>HYPERLINK("https://www.compass.com/listing/235-west-75th-street-unit-221-manhattan-ny-10023/29395861649848865/","235 W 75th St, Unit 221")</f>
        <v>235 W 75th St, Unit 221</v>
      </c>
      <c r="B6388" s="2" t="str">
        <f t="shared" si="1038"/>
        <v>The Astor</v>
      </c>
      <c r="C6388" s="1" t="s">
        <v>57</v>
      </c>
      <c r="D6388" s="1" t="s">
        <v>41</v>
      </c>
      <c r="E6388" s="3">
        <v>490968</v>
      </c>
      <c r="F6388" s="1">
        <v>504.07404517453699</v>
      </c>
      <c r="M6388" s="1">
        <v>974</v>
      </c>
      <c r="Q6388" s="1" t="s">
        <v>42</v>
      </c>
      <c r="S6388" s="1" t="s">
        <v>42</v>
      </c>
      <c r="T6388" s="1" t="s">
        <v>273</v>
      </c>
      <c r="AA6388" s="1">
        <v>490968.12</v>
      </c>
      <c r="AB6388" s="1" t="s">
        <v>4622</v>
      </c>
      <c r="AC6388" s="5">
        <v>43264</v>
      </c>
      <c r="AF6388" s="1">
        <v>10023</v>
      </c>
      <c r="AJ6388" s="1">
        <v>2018</v>
      </c>
      <c r="AK6388" s="1" t="s">
        <v>49</v>
      </c>
      <c r="AL6388" s="1">
        <v>98</v>
      </c>
    </row>
    <row r="6389" spans="1:38" x14ac:dyDescent="0.2">
      <c r="A6389" s="2" t="str">
        <f>HYPERLINK("https://www.compass.com/listing/235-west-75th-street-unit-225-manhattan-ny-10023/29395862832642609/","235 W 75th St, Unit 225")</f>
        <v>235 W 75th St, Unit 225</v>
      </c>
      <c r="B6389" s="2" t="str">
        <f t="shared" si="1038"/>
        <v>The Astor</v>
      </c>
      <c r="C6389" s="1" t="s">
        <v>57</v>
      </c>
      <c r="D6389" s="1" t="s">
        <v>41</v>
      </c>
      <c r="E6389" s="3">
        <v>452473</v>
      </c>
      <c r="F6389" s="1">
        <v>569.14901886792404</v>
      </c>
      <c r="M6389" s="1">
        <v>795</v>
      </c>
      <c r="Q6389" s="1" t="s">
        <v>42</v>
      </c>
      <c r="S6389" s="1" t="s">
        <v>42</v>
      </c>
      <c r="T6389" s="1" t="s">
        <v>273</v>
      </c>
      <c r="AA6389" s="1">
        <v>452473.47</v>
      </c>
      <c r="AB6389" s="1" t="s">
        <v>4623</v>
      </c>
      <c r="AC6389" s="5">
        <v>43264</v>
      </c>
      <c r="AF6389" s="1">
        <v>10023</v>
      </c>
      <c r="AJ6389" s="1">
        <v>2018</v>
      </c>
      <c r="AK6389" s="1" t="s">
        <v>49</v>
      </c>
      <c r="AL6389" s="1">
        <v>98</v>
      </c>
    </row>
    <row r="6390" spans="1:38" x14ac:dyDescent="0.2">
      <c r="A6390" s="2" t="str">
        <f>HYPERLINK("https://www.compass.com/listing/235-west-75th-street-unit-301-manhattan-ny-10023/29395863520487297/","235 W 75th St, Unit 301")</f>
        <v>235 W 75th St, Unit 301</v>
      </c>
      <c r="B6390" s="2" t="str">
        <f t="shared" si="1038"/>
        <v>The Astor</v>
      </c>
      <c r="C6390" s="1" t="s">
        <v>57</v>
      </c>
      <c r="D6390" s="1" t="s">
        <v>41</v>
      </c>
      <c r="E6390" s="3">
        <v>333387</v>
      </c>
      <c r="F6390" s="1">
        <v>638.67316091954001</v>
      </c>
      <c r="M6390" s="1">
        <v>522</v>
      </c>
      <c r="Q6390" s="1" t="s">
        <v>42</v>
      </c>
      <c r="S6390" s="1" t="s">
        <v>42</v>
      </c>
      <c r="T6390" s="1" t="s">
        <v>273</v>
      </c>
      <c r="AA6390" s="1">
        <v>333387.39</v>
      </c>
      <c r="AB6390" s="1" t="s">
        <v>4624</v>
      </c>
      <c r="AC6390" s="5">
        <v>43264</v>
      </c>
      <c r="AF6390" s="1">
        <v>10023</v>
      </c>
      <c r="AJ6390" s="1">
        <v>2018</v>
      </c>
      <c r="AK6390" s="1" t="s">
        <v>49</v>
      </c>
      <c r="AL6390" s="1">
        <v>98</v>
      </c>
    </row>
    <row r="6391" spans="1:38" x14ac:dyDescent="0.2">
      <c r="A6391" s="2" t="str">
        <f>HYPERLINK("https://www.compass.com/listing/235-west-75th-street-unit-303-manhattan-ny-10023/29395863805721153/","235 W 75th St, Unit 303")</f>
        <v>235 W 75th St, Unit 303</v>
      </c>
      <c r="B6391" s="2" t="str">
        <f t="shared" si="1038"/>
        <v>The Astor</v>
      </c>
      <c r="C6391" s="1" t="s">
        <v>57</v>
      </c>
      <c r="D6391" s="1" t="s">
        <v>41</v>
      </c>
      <c r="E6391" s="3">
        <v>467312</v>
      </c>
      <c r="F6391" s="1">
        <v>654.49893557422899</v>
      </c>
      <c r="M6391" s="1">
        <v>714</v>
      </c>
      <c r="Q6391" s="1" t="s">
        <v>42</v>
      </c>
      <c r="S6391" s="1" t="s">
        <v>42</v>
      </c>
      <c r="T6391" s="1" t="s">
        <v>273</v>
      </c>
      <c r="AA6391" s="1">
        <v>467312.24</v>
      </c>
      <c r="AB6391" s="1" t="s">
        <v>4625</v>
      </c>
      <c r="AC6391" s="5">
        <v>43264</v>
      </c>
      <c r="AF6391" s="1">
        <v>10023</v>
      </c>
      <c r="AJ6391" s="1">
        <v>2018</v>
      </c>
      <c r="AK6391" s="1" t="s">
        <v>49</v>
      </c>
      <c r="AL6391" s="1">
        <v>98</v>
      </c>
    </row>
    <row r="6392" spans="1:38" x14ac:dyDescent="0.2">
      <c r="A6392" s="2" t="str">
        <f>HYPERLINK("https://www.compass.com/listing/235-west-75th-street-unit-401-manhattan-ny-10023/29395866850723665/","235 W 75th St, Unit 401")</f>
        <v>235 W 75th St, Unit 401</v>
      </c>
      <c r="B6392" s="2" t="str">
        <f t="shared" si="1038"/>
        <v>The Astor</v>
      </c>
      <c r="C6392" s="1" t="s">
        <v>57</v>
      </c>
      <c r="D6392" s="1" t="s">
        <v>41</v>
      </c>
      <c r="E6392" s="3">
        <v>379785</v>
      </c>
      <c r="F6392" s="1">
        <v>730.35625000000005</v>
      </c>
      <c r="M6392" s="1">
        <v>520</v>
      </c>
      <c r="Q6392" s="1" t="s">
        <v>42</v>
      </c>
      <c r="S6392" s="1" t="s">
        <v>42</v>
      </c>
      <c r="T6392" s="1" t="s">
        <v>273</v>
      </c>
      <c r="AA6392" s="1">
        <v>379785.25</v>
      </c>
      <c r="AB6392" s="1" t="s">
        <v>4626</v>
      </c>
      <c r="AC6392" s="5">
        <v>43264</v>
      </c>
      <c r="AF6392" s="1">
        <v>10023</v>
      </c>
      <c r="AJ6392" s="1">
        <v>2018</v>
      </c>
      <c r="AK6392" s="1" t="s">
        <v>49</v>
      </c>
      <c r="AL6392" s="1">
        <v>98</v>
      </c>
    </row>
    <row r="6393" spans="1:38" x14ac:dyDescent="0.2">
      <c r="A6393" s="2" t="str">
        <f>HYPERLINK("https://www.compass.com/listing/235-west-75th-street-unit-405-manhattan-ny-10023/29395867505097345/","235 W 75th St, Unit 405")</f>
        <v>235 W 75th St, Unit 405</v>
      </c>
      <c r="B6393" s="2" t="str">
        <f t="shared" si="1038"/>
        <v>The Astor</v>
      </c>
      <c r="C6393" s="1" t="s">
        <v>57</v>
      </c>
      <c r="D6393" s="1" t="s">
        <v>41</v>
      </c>
      <c r="E6393" s="3">
        <v>814947</v>
      </c>
      <c r="F6393" s="1">
        <v>684.82936974789902</v>
      </c>
      <c r="M6393" s="4">
        <v>1190</v>
      </c>
      <c r="Q6393" s="1" t="s">
        <v>42</v>
      </c>
      <c r="S6393" s="1" t="s">
        <v>42</v>
      </c>
      <c r="T6393" s="1" t="s">
        <v>273</v>
      </c>
      <c r="AA6393" s="1">
        <v>814946.95</v>
      </c>
      <c r="AB6393" s="1" t="s">
        <v>4627</v>
      </c>
      <c r="AC6393" s="5">
        <v>43264</v>
      </c>
      <c r="AF6393" s="1">
        <v>10023</v>
      </c>
      <c r="AJ6393" s="1">
        <v>2018</v>
      </c>
      <c r="AK6393" s="1" t="s">
        <v>49</v>
      </c>
      <c r="AL6393" s="1">
        <v>98</v>
      </c>
    </row>
    <row r="6394" spans="1:38" x14ac:dyDescent="0.2">
      <c r="A6394" s="2" t="str">
        <f>HYPERLINK("https://www.compass.com/listing/235-west-75th-street-unit-407-manhattan-ny-10023/29395867857356641/","235 W 75th St, Unit 407")</f>
        <v>235 W 75th St, Unit 407</v>
      </c>
      <c r="B6394" s="2" t="str">
        <f t="shared" si="1038"/>
        <v>The Astor</v>
      </c>
      <c r="C6394" s="1" t="s">
        <v>57</v>
      </c>
      <c r="D6394" s="1" t="s">
        <v>41</v>
      </c>
      <c r="E6394" s="3">
        <v>334301</v>
      </c>
      <c r="F6394" s="1">
        <v>633.14640151515096</v>
      </c>
      <c r="M6394" s="1">
        <v>528</v>
      </c>
      <c r="Q6394" s="1" t="s">
        <v>42</v>
      </c>
      <c r="S6394" s="1" t="s">
        <v>42</v>
      </c>
      <c r="T6394" s="1" t="s">
        <v>273</v>
      </c>
      <c r="AA6394" s="1">
        <v>334301.3</v>
      </c>
      <c r="AB6394" s="1" t="s">
        <v>4628</v>
      </c>
      <c r="AC6394" s="5">
        <v>43264</v>
      </c>
      <c r="AF6394" s="1">
        <v>10023</v>
      </c>
      <c r="AJ6394" s="1">
        <v>2018</v>
      </c>
      <c r="AK6394" s="1" t="s">
        <v>49</v>
      </c>
      <c r="AL6394" s="1">
        <v>98</v>
      </c>
    </row>
    <row r="6395" spans="1:38" x14ac:dyDescent="0.2">
      <c r="A6395" s="2" t="str">
        <f>HYPERLINK("https://www.compass.com/listing/235-west-75th-street-unit-408-manhattan-ny-10023/29395868226496753/","235 W 75th St, Unit 408")</f>
        <v>235 W 75th St, Unit 408</v>
      </c>
      <c r="B6395" s="2" t="str">
        <f t="shared" si="1038"/>
        <v>The Astor</v>
      </c>
      <c r="C6395" s="1" t="s">
        <v>57</v>
      </c>
      <c r="D6395" s="1" t="s">
        <v>41</v>
      </c>
      <c r="E6395" s="3">
        <v>447366</v>
      </c>
      <c r="F6395" s="1">
        <v>581.75029908972601</v>
      </c>
      <c r="M6395" s="1">
        <v>769</v>
      </c>
      <c r="Q6395" s="1" t="s">
        <v>42</v>
      </c>
      <c r="S6395" s="1" t="s">
        <v>42</v>
      </c>
      <c r="T6395" s="1" t="s">
        <v>273</v>
      </c>
      <c r="AA6395" s="1">
        <v>447365.98</v>
      </c>
      <c r="AB6395" s="1" t="s">
        <v>4629</v>
      </c>
      <c r="AC6395" s="5">
        <v>43264</v>
      </c>
      <c r="AF6395" s="1">
        <v>10023</v>
      </c>
      <c r="AJ6395" s="1">
        <v>2018</v>
      </c>
      <c r="AK6395" s="1" t="s">
        <v>49</v>
      </c>
      <c r="AL6395" s="1">
        <v>98</v>
      </c>
    </row>
    <row r="6396" spans="1:38" x14ac:dyDescent="0.2">
      <c r="A6396" s="2" t="str">
        <f>HYPERLINK("https://www.compass.com/listing/235-west-75th-street-unit-420-manhattan-ny-10023/29395868528507537/","235 W 75th St, Unit 420")</f>
        <v>235 W 75th St, Unit 420</v>
      </c>
      <c r="B6396" s="2" t="str">
        <f t="shared" si="1038"/>
        <v>The Astor</v>
      </c>
      <c r="C6396" s="1" t="s">
        <v>57</v>
      </c>
      <c r="D6396" s="1" t="s">
        <v>41</v>
      </c>
      <c r="E6396" s="3">
        <v>486775</v>
      </c>
      <c r="F6396" s="1">
        <v>598.00312039311996</v>
      </c>
      <c r="M6396" s="1">
        <v>814</v>
      </c>
      <c r="Q6396" s="1" t="s">
        <v>42</v>
      </c>
      <c r="S6396" s="1" t="s">
        <v>42</v>
      </c>
      <c r="T6396" s="1" t="s">
        <v>273</v>
      </c>
      <c r="AA6396" s="1">
        <v>486774.54</v>
      </c>
      <c r="AB6396" s="1" t="s">
        <v>4630</v>
      </c>
      <c r="AC6396" s="5">
        <v>43264</v>
      </c>
      <c r="AF6396" s="1">
        <v>10023</v>
      </c>
      <c r="AJ6396" s="1">
        <v>2018</v>
      </c>
      <c r="AK6396" s="1" t="s">
        <v>49</v>
      </c>
      <c r="AL6396" s="1">
        <v>98</v>
      </c>
    </row>
    <row r="6397" spans="1:38" x14ac:dyDescent="0.2">
      <c r="A6397" s="2" t="str">
        <f>HYPERLINK("https://www.compass.com/listing/235-west-75th-street-unit-422-manhattan-ny-10023/29395868830435185/","235 W 75th St, Unit 422")</f>
        <v>235 W 75th St, Unit 422</v>
      </c>
      <c r="B6397" s="2" t="str">
        <f t="shared" si="1038"/>
        <v>The Astor</v>
      </c>
      <c r="C6397" s="1" t="s">
        <v>57</v>
      </c>
      <c r="D6397" s="1" t="s">
        <v>41</v>
      </c>
      <c r="E6397" s="3">
        <v>495592</v>
      </c>
      <c r="F6397" s="1">
        <v>562.53337116912599</v>
      </c>
      <c r="M6397" s="1">
        <v>881</v>
      </c>
      <c r="Q6397" s="1" t="s">
        <v>42</v>
      </c>
      <c r="S6397" s="1" t="s">
        <v>42</v>
      </c>
      <c r="T6397" s="1" t="s">
        <v>273</v>
      </c>
      <c r="AA6397" s="1">
        <v>495591.9</v>
      </c>
      <c r="AB6397" s="1" t="s">
        <v>4631</v>
      </c>
      <c r="AC6397" s="5">
        <v>43264</v>
      </c>
      <c r="AF6397" s="1">
        <v>10023</v>
      </c>
      <c r="AJ6397" s="1">
        <v>2018</v>
      </c>
      <c r="AK6397" s="1" t="s">
        <v>49</v>
      </c>
      <c r="AL6397" s="1">
        <v>98</v>
      </c>
    </row>
    <row r="6398" spans="1:38" x14ac:dyDescent="0.2">
      <c r="A6398" s="2" t="str">
        <f>HYPERLINK("https://www.compass.com/listing/235-west-75th-street-unit-503-manhattan-ny-10023/29395869719689889/","235 W 75th St, Unit 503")</f>
        <v>235 W 75th St, Unit 503</v>
      </c>
      <c r="B6398" s="2" t="str">
        <f t="shared" si="1038"/>
        <v>The Astor</v>
      </c>
      <c r="C6398" s="1" t="s">
        <v>57</v>
      </c>
      <c r="D6398" s="1" t="s">
        <v>41</v>
      </c>
      <c r="E6398" s="3">
        <v>488818</v>
      </c>
      <c r="F6398" s="1">
        <v>685.57897615708202</v>
      </c>
      <c r="M6398" s="1">
        <v>713</v>
      </c>
      <c r="Q6398" s="1" t="s">
        <v>42</v>
      </c>
      <c r="S6398" s="1" t="s">
        <v>42</v>
      </c>
      <c r="T6398" s="1" t="s">
        <v>273</v>
      </c>
      <c r="AA6398" s="1">
        <v>488817.81</v>
      </c>
      <c r="AB6398" s="1" t="s">
        <v>4632</v>
      </c>
      <c r="AC6398" s="5">
        <v>43264</v>
      </c>
      <c r="AF6398" s="1">
        <v>10023</v>
      </c>
      <c r="AJ6398" s="1">
        <v>2018</v>
      </c>
      <c r="AK6398" s="1" t="s">
        <v>49</v>
      </c>
      <c r="AL6398" s="1">
        <v>98</v>
      </c>
    </row>
    <row r="6399" spans="1:38" x14ac:dyDescent="0.2">
      <c r="A6399" s="2" t="str">
        <f>HYPERLINK("https://www.compass.com/listing/235-west-75th-street-unit-510-manhattan-ny-10023/29395870961203889/","235 W 75th St, Unit 510")</f>
        <v>235 W 75th St, Unit 510</v>
      </c>
      <c r="B6399" s="2" t="str">
        <f t="shared" si="1038"/>
        <v>The Astor</v>
      </c>
      <c r="C6399" s="1" t="s">
        <v>57</v>
      </c>
      <c r="D6399" s="1" t="s">
        <v>41</v>
      </c>
      <c r="E6399" s="3">
        <v>2773495</v>
      </c>
      <c r="F6399" s="1">
        <v>1951.7912385643899</v>
      </c>
      <c r="M6399" s="4">
        <v>1421</v>
      </c>
      <c r="Q6399" s="1" t="s">
        <v>42</v>
      </c>
      <c r="S6399" s="1" t="s">
        <v>42</v>
      </c>
      <c r="T6399" s="1" t="s">
        <v>273</v>
      </c>
      <c r="AA6399" s="1">
        <v>2773495.35</v>
      </c>
      <c r="AB6399" s="1" t="s">
        <v>4633</v>
      </c>
      <c r="AC6399" s="5">
        <v>42436</v>
      </c>
      <c r="AF6399" s="1">
        <v>10023</v>
      </c>
      <c r="AJ6399" s="1">
        <v>2018</v>
      </c>
      <c r="AK6399" s="1" t="s">
        <v>49</v>
      </c>
      <c r="AL6399" s="1">
        <v>98</v>
      </c>
    </row>
    <row r="6400" spans="1:38" x14ac:dyDescent="0.2">
      <c r="A6400" s="2" t="str">
        <f>HYPERLINK("https://www.compass.com/listing/235-west-75th-street-unit-512-manhattan-ny-10023/29395871984614081/","235 W 75th St, Unit 512")</f>
        <v>235 W 75th St, Unit 512</v>
      </c>
      <c r="B6400" s="2" t="str">
        <f t="shared" si="1038"/>
        <v>The Astor</v>
      </c>
      <c r="C6400" s="1" t="s">
        <v>57</v>
      </c>
      <c r="D6400" s="1" t="s">
        <v>41</v>
      </c>
      <c r="E6400" s="3">
        <v>644731</v>
      </c>
      <c r="F6400" s="1">
        <v>692.51460794844195</v>
      </c>
      <c r="M6400" s="1">
        <v>931</v>
      </c>
      <c r="Q6400" s="1" t="s">
        <v>42</v>
      </c>
      <c r="S6400" s="1" t="s">
        <v>42</v>
      </c>
      <c r="T6400" s="1" t="s">
        <v>273</v>
      </c>
      <c r="AA6400" s="1">
        <v>644731.1</v>
      </c>
      <c r="AB6400" s="1" t="s">
        <v>4634</v>
      </c>
      <c r="AC6400" s="5">
        <v>43264</v>
      </c>
      <c r="AF6400" s="1">
        <v>10023</v>
      </c>
      <c r="AJ6400" s="1">
        <v>2018</v>
      </c>
      <c r="AK6400" s="1" t="s">
        <v>49</v>
      </c>
      <c r="AL6400" s="1">
        <v>98</v>
      </c>
    </row>
    <row r="6401" spans="1:38" x14ac:dyDescent="0.2">
      <c r="A6401" s="2" t="str">
        <f>HYPERLINK("https://www.compass.com/listing/235-west-75th-street-unit-513-manhattan-ny-10023/29395872345262001/","235 W 75th St, Unit 513")</f>
        <v>235 W 75th St, Unit 513</v>
      </c>
      <c r="B6401" s="2" t="str">
        <f t="shared" si="1038"/>
        <v>The Astor</v>
      </c>
      <c r="C6401" s="1" t="s">
        <v>57</v>
      </c>
      <c r="D6401" s="1" t="s">
        <v>41</v>
      </c>
      <c r="E6401" s="3">
        <v>1866735</v>
      </c>
      <c r="F6401" s="1">
        <v>1900.9523930753501</v>
      </c>
      <c r="M6401" s="1">
        <v>982</v>
      </c>
      <c r="Q6401" s="1" t="s">
        <v>42</v>
      </c>
      <c r="S6401" s="1" t="s">
        <v>42</v>
      </c>
      <c r="T6401" s="1" t="s">
        <v>273</v>
      </c>
      <c r="AA6401" s="1">
        <v>1866735.25</v>
      </c>
      <c r="AB6401" s="1" t="s">
        <v>4635</v>
      </c>
      <c r="AC6401" s="5">
        <v>42670</v>
      </c>
      <c r="AF6401" s="1">
        <v>10023</v>
      </c>
      <c r="AJ6401" s="1">
        <v>2018</v>
      </c>
      <c r="AK6401" s="1" t="s">
        <v>49</v>
      </c>
      <c r="AL6401" s="1">
        <v>98</v>
      </c>
    </row>
    <row r="6402" spans="1:38" x14ac:dyDescent="0.2">
      <c r="A6402" s="2" t="str">
        <f>HYPERLINK("https://www.compass.com/listing/235-west-75th-street-unit-607-manhattan-ny-10023/29395873100298961/","235 W 75th St, Unit 607")</f>
        <v>235 W 75th St, Unit 607</v>
      </c>
      <c r="B6402" s="2" t="str">
        <f t="shared" si="1038"/>
        <v>The Astor</v>
      </c>
      <c r="C6402" s="1" t="s">
        <v>57</v>
      </c>
      <c r="D6402" s="1" t="s">
        <v>41</v>
      </c>
      <c r="E6402" s="3">
        <v>3437741</v>
      </c>
      <c r="F6402" s="1">
        <v>2217.8976516129001</v>
      </c>
      <c r="M6402" s="4">
        <v>1550</v>
      </c>
      <c r="Q6402" s="1" t="s">
        <v>42</v>
      </c>
      <c r="S6402" s="1" t="s">
        <v>42</v>
      </c>
      <c r="T6402" s="1" t="s">
        <v>273</v>
      </c>
      <c r="AA6402" s="1">
        <v>3437741.36</v>
      </c>
      <c r="AB6402" s="1" t="s">
        <v>4636</v>
      </c>
      <c r="AC6402" s="5">
        <v>42443</v>
      </c>
      <c r="AF6402" s="1">
        <v>10023</v>
      </c>
      <c r="AJ6402" s="1">
        <v>2018</v>
      </c>
      <c r="AK6402" s="1" t="s">
        <v>49</v>
      </c>
      <c r="AL6402" s="1">
        <v>98</v>
      </c>
    </row>
    <row r="6403" spans="1:38" x14ac:dyDescent="0.2">
      <c r="A6403" s="2" t="str">
        <f>HYPERLINK("https://www.compass.com/listing/235-west-75th-street-unit-622-manhattan-ny-10023/29395874299869921/","235 W 75th St, Unit 622")</f>
        <v>235 W 75th St, Unit 622</v>
      </c>
      <c r="B6403" s="2" t="str">
        <f t="shared" si="1038"/>
        <v>The Astor</v>
      </c>
      <c r="C6403" s="1" t="s">
        <v>57</v>
      </c>
      <c r="D6403" s="1" t="s">
        <v>41</v>
      </c>
      <c r="E6403" s="3">
        <v>1715003</v>
      </c>
      <c r="F6403" s="1">
        <v>1957.7663584474799</v>
      </c>
      <c r="M6403" s="1">
        <v>876</v>
      </c>
      <c r="Q6403" s="1" t="s">
        <v>42</v>
      </c>
      <c r="S6403" s="1" t="s">
        <v>42</v>
      </c>
      <c r="T6403" s="1" t="s">
        <v>273</v>
      </c>
      <c r="AA6403" s="1">
        <v>1715003.33</v>
      </c>
      <c r="AB6403" s="1" t="s">
        <v>4637</v>
      </c>
      <c r="AC6403" s="5">
        <v>42492</v>
      </c>
      <c r="AF6403" s="1">
        <v>10023</v>
      </c>
      <c r="AJ6403" s="1">
        <v>2018</v>
      </c>
      <c r="AK6403" s="1" t="s">
        <v>49</v>
      </c>
      <c r="AL6403" s="1">
        <v>98</v>
      </c>
    </row>
    <row r="6404" spans="1:38" x14ac:dyDescent="0.2">
      <c r="A6404" s="2" t="str">
        <f>HYPERLINK("https://www.compass.com/listing/235-west-75th-street-unit-707-manhattan-ny-10023/29395875792979953/","235 W 75th St, Unit 707")</f>
        <v>235 W 75th St, Unit 707</v>
      </c>
      <c r="B6404" s="2" t="str">
        <f t="shared" si="1038"/>
        <v>The Astor</v>
      </c>
      <c r="C6404" s="1" t="s">
        <v>57</v>
      </c>
      <c r="D6404" s="1" t="s">
        <v>41</v>
      </c>
      <c r="E6404" s="3">
        <v>3514639</v>
      </c>
      <c r="F6404" s="1">
        <v>2267.5089354838701</v>
      </c>
      <c r="M6404" s="4">
        <v>1550</v>
      </c>
      <c r="Q6404" s="1" t="s">
        <v>42</v>
      </c>
      <c r="S6404" s="1" t="s">
        <v>42</v>
      </c>
      <c r="T6404" s="1" t="s">
        <v>273</v>
      </c>
      <c r="AA6404" s="1">
        <v>3514638.85</v>
      </c>
      <c r="AB6404" s="1" t="s">
        <v>4638</v>
      </c>
      <c r="AC6404" s="5">
        <v>42489</v>
      </c>
      <c r="AF6404" s="1">
        <v>10023</v>
      </c>
      <c r="AJ6404" s="1">
        <v>2018</v>
      </c>
      <c r="AK6404" s="1" t="s">
        <v>49</v>
      </c>
      <c r="AL6404" s="1">
        <v>98</v>
      </c>
    </row>
    <row r="6405" spans="1:38" x14ac:dyDescent="0.2">
      <c r="A6405" s="2" t="str">
        <f>HYPERLINK("https://www.compass.com/listing/235-west-75th-street-unit-711-manhattan-ny-10023/29395876480908033/","235 W 75th St, Unit 711")</f>
        <v>235 W 75th St, Unit 711</v>
      </c>
      <c r="B6405" s="2" t="str">
        <f t="shared" si="1038"/>
        <v>The Astor</v>
      </c>
      <c r="C6405" s="1" t="s">
        <v>57</v>
      </c>
      <c r="D6405" s="1" t="s">
        <v>41</v>
      </c>
      <c r="E6405" s="3">
        <v>487528</v>
      </c>
      <c r="F6405" s="1">
        <v>636.45908616187899</v>
      </c>
      <c r="M6405" s="1">
        <v>766</v>
      </c>
      <c r="Q6405" s="1" t="s">
        <v>42</v>
      </c>
      <c r="S6405" s="1" t="s">
        <v>42</v>
      </c>
      <c r="T6405" s="1" t="s">
        <v>273</v>
      </c>
      <c r="AA6405" s="1">
        <v>487527.66</v>
      </c>
      <c r="AB6405" s="1" t="s">
        <v>4639</v>
      </c>
      <c r="AC6405" s="5">
        <v>43264</v>
      </c>
      <c r="AF6405" s="1">
        <v>10023</v>
      </c>
      <c r="AJ6405" s="1">
        <v>2018</v>
      </c>
      <c r="AK6405" s="1" t="s">
        <v>49</v>
      </c>
      <c r="AL6405" s="1">
        <v>98</v>
      </c>
    </row>
    <row r="6406" spans="1:38" x14ac:dyDescent="0.2">
      <c r="A6406" s="2" t="str">
        <f>HYPERLINK("https://www.compass.com/listing/235-west-75th-street-unit-807-manhattan-ny-10023/29395876824778753/","235 W 75th St, Unit 807")</f>
        <v>235 W 75th St, Unit 807</v>
      </c>
      <c r="B6406" s="2" t="str">
        <f t="shared" si="1038"/>
        <v>The Astor</v>
      </c>
      <c r="C6406" s="1" t="s">
        <v>57</v>
      </c>
      <c r="D6406" s="1" t="s">
        <v>41</v>
      </c>
      <c r="E6406" s="3">
        <v>490646</v>
      </c>
      <c r="F6406" s="1">
        <v>637.20297402597396</v>
      </c>
      <c r="M6406" s="1">
        <v>770</v>
      </c>
      <c r="Q6406" s="1" t="s">
        <v>42</v>
      </c>
      <c r="S6406" s="1" t="s">
        <v>42</v>
      </c>
      <c r="T6406" s="1" t="s">
        <v>273</v>
      </c>
      <c r="AA6406" s="1">
        <v>490646.29</v>
      </c>
      <c r="AB6406" s="1" t="s">
        <v>4640</v>
      </c>
      <c r="AC6406" s="5">
        <v>43264</v>
      </c>
      <c r="AF6406" s="1">
        <v>10023</v>
      </c>
      <c r="AJ6406" s="1">
        <v>2018</v>
      </c>
      <c r="AK6406" s="1" t="s">
        <v>49</v>
      </c>
      <c r="AL6406" s="1">
        <v>98</v>
      </c>
    </row>
    <row r="6407" spans="1:38" x14ac:dyDescent="0.2">
      <c r="A6407" s="2" t="str">
        <f>HYPERLINK("https://www.compass.com/listing/235-west-75th-street-unit-812-manhattan-ny-10023/29395877101644193/","235 W 75th St, Unit 812")</f>
        <v>235 W 75th St, Unit 812</v>
      </c>
      <c r="B6407" s="2" t="str">
        <f t="shared" si="1038"/>
        <v>The Astor</v>
      </c>
      <c r="C6407" s="1" t="s">
        <v>57</v>
      </c>
      <c r="D6407" s="1" t="s">
        <v>41</v>
      </c>
      <c r="E6407" s="3">
        <v>657742</v>
      </c>
      <c r="F6407" s="1">
        <v>711.84224025974004</v>
      </c>
      <c r="M6407" s="1">
        <v>924</v>
      </c>
      <c r="Q6407" s="1" t="s">
        <v>42</v>
      </c>
      <c r="S6407" s="1" t="s">
        <v>42</v>
      </c>
      <c r="T6407" s="1" t="s">
        <v>273</v>
      </c>
      <c r="AA6407" s="1">
        <v>657742.23</v>
      </c>
      <c r="AB6407" s="1" t="s">
        <v>4641</v>
      </c>
      <c r="AC6407" s="5">
        <v>43264</v>
      </c>
      <c r="AF6407" s="1">
        <v>10023</v>
      </c>
      <c r="AJ6407" s="1">
        <v>2018</v>
      </c>
      <c r="AK6407" s="1" t="s">
        <v>49</v>
      </c>
      <c r="AL6407" s="1">
        <v>98</v>
      </c>
    </row>
    <row r="6408" spans="1:38" x14ac:dyDescent="0.2">
      <c r="A6408" s="2" t="str">
        <f>HYPERLINK("https://www.compass.com/listing/235-west-75th-street-unit-923-manhattan-ny-10023/29395877797857297/","235 W 75th St, Unit 923")</f>
        <v>235 W 75th St, Unit 923</v>
      </c>
      <c r="B6408" s="2" t="str">
        <f t="shared" si="1038"/>
        <v>The Astor</v>
      </c>
      <c r="C6408" s="1" t="s">
        <v>57</v>
      </c>
      <c r="D6408" s="1" t="s">
        <v>41</v>
      </c>
      <c r="E6408" s="3">
        <v>399033</v>
      </c>
      <c r="F6408" s="1">
        <v>738.94920370370301</v>
      </c>
      <c r="M6408" s="1">
        <v>540</v>
      </c>
      <c r="Q6408" s="1" t="s">
        <v>42</v>
      </c>
      <c r="S6408" s="1" t="s">
        <v>42</v>
      </c>
      <c r="T6408" s="1" t="s">
        <v>273</v>
      </c>
      <c r="AA6408" s="1">
        <v>399032.57</v>
      </c>
      <c r="AB6408" s="1" t="s">
        <v>4642</v>
      </c>
      <c r="AC6408" s="5">
        <v>43264</v>
      </c>
      <c r="AF6408" s="1">
        <v>10023</v>
      </c>
      <c r="AJ6408" s="1">
        <v>2018</v>
      </c>
      <c r="AK6408" s="1" t="s">
        <v>49</v>
      </c>
      <c r="AL6408" s="1">
        <v>98</v>
      </c>
    </row>
    <row r="6409" spans="1:38" x14ac:dyDescent="0.2">
      <c r="A6409" s="2" t="str">
        <f>HYPERLINK("https://www.compass.com/listing/235-west-75th-street-unit-925-manhattan-ny-10023/29395878527728417/","235 W 75th St, Unit 925")</f>
        <v>235 W 75th St, Unit 925</v>
      </c>
      <c r="B6409" s="2" t="str">
        <f t="shared" si="1038"/>
        <v>The Astor</v>
      </c>
      <c r="C6409" s="1" t="s">
        <v>57</v>
      </c>
      <c r="D6409" s="1" t="s">
        <v>41</v>
      </c>
      <c r="E6409" s="3">
        <v>497097</v>
      </c>
      <c r="F6409" s="1">
        <v>637.30416666666599</v>
      </c>
      <c r="M6409" s="1">
        <v>780</v>
      </c>
      <c r="Q6409" s="1" t="s">
        <v>42</v>
      </c>
      <c r="S6409" s="1" t="s">
        <v>42</v>
      </c>
      <c r="T6409" s="1" t="s">
        <v>273</v>
      </c>
      <c r="AA6409" s="1">
        <v>497097.25</v>
      </c>
      <c r="AB6409" s="1" t="s">
        <v>4643</v>
      </c>
      <c r="AC6409" s="5">
        <v>43264</v>
      </c>
      <c r="AF6409" s="1">
        <v>10023</v>
      </c>
      <c r="AJ6409" s="1">
        <v>2018</v>
      </c>
      <c r="AK6409" s="1" t="s">
        <v>49</v>
      </c>
      <c r="AL6409" s="1">
        <v>98</v>
      </c>
    </row>
    <row r="6410" spans="1:38" x14ac:dyDescent="0.2">
      <c r="A6410" s="2" t="str">
        <f>HYPERLINK("https://www.compass.com/listing/235-west-75th-street-unit-926-manhattan-ny-10023/29395878871599137/","235 W 75th St, Unit 926")</f>
        <v>235 W 75th St, Unit 926</v>
      </c>
      <c r="B6410" s="2" t="str">
        <f t="shared" si="1038"/>
        <v>The Astor</v>
      </c>
      <c r="C6410" s="1" t="s">
        <v>57</v>
      </c>
      <c r="D6410" s="1" t="s">
        <v>41</v>
      </c>
      <c r="E6410" s="3">
        <v>669355</v>
      </c>
      <c r="F6410" s="1">
        <v>730.73698689956302</v>
      </c>
      <c r="M6410" s="1">
        <v>916</v>
      </c>
      <c r="Q6410" s="1" t="s">
        <v>42</v>
      </c>
      <c r="S6410" s="1" t="s">
        <v>42</v>
      </c>
      <c r="T6410" s="1" t="s">
        <v>273</v>
      </c>
      <c r="AA6410" s="1">
        <v>669355.07999999996</v>
      </c>
      <c r="AB6410" s="1" t="s">
        <v>4644</v>
      </c>
      <c r="AC6410" s="5">
        <v>43264</v>
      </c>
      <c r="AF6410" s="1">
        <v>10023</v>
      </c>
      <c r="AJ6410" s="1">
        <v>2018</v>
      </c>
      <c r="AK6410" s="1" t="s">
        <v>49</v>
      </c>
      <c r="AL6410" s="1">
        <v>98</v>
      </c>
    </row>
    <row r="6411" spans="1:38" x14ac:dyDescent="0.2">
      <c r="A6411" s="2" t="str">
        <f>HYPERLINK("https://www.compass.com/listing/235-west-75th-street-unit-1024-manhattan-ny-10023/29395880046004273/","235 W 75th St, Unit 1024")</f>
        <v>235 W 75th St, Unit 1024</v>
      </c>
      <c r="B6411" s="2" t="str">
        <f t="shared" si="1038"/>
        <v>The Astor</v>
      </c>
      <c r="C6411" s="1" t="s">
        <v>57</v>
      </c>
      <c r="D6411" s="1" t="s">
        <v>41</v>
      </c>
      <c r="E6411" s="3">
        <v>405377</v>
      </c>
      <c r="F6411" s="1">
        <v>753.48827137546402</v>
      </c>
      <c r="M6411" s="1">
        <v>538</v>
      </c>
      <c r="Q6411" s="1" t="s">
        <v>42</v>
      </c>
      <c r="S6411" s="1" t="s">
        <v>42</v>
      </c>
      <c r="T6411" s="1" t="s">
        <v>273</v>
      </c>
      <c r="AA6411" s="1">
        <v>405376.69</v>
      </c>
      <c r="AB6411" s="1" t="s">
        <v>4645</v>
      </c>
      <c r="AC6411" s="5">
        <v>43264</v>
      </c>
      <c r="AF6411" s="1">
        <v>10023</v>
      </c>
      <c r="AJ6411" s="1">
        <v>2018</v>
      </c>
      <c r="AK6411" s="1" t="s">
        <v>49</v>
      </c>
      <c r="AL6411" s="1">
        <v>98</v>
      </c>
    </row>
    <row r="6412" spans="1:38" x14ac:dyDescent="0.2">
      <c r="A6412" s="2" t="str">
        <f>HYPERLINK("https://www.compass.com/listing/235-west-75th-street-unit-1025-manhattan-ny-10023/29395880331258337/","235 W 75th St, Unit 1025")</f>
        <v>235 W 75th St, Unit 1025</v>
      </c>
      <c r="B6412" s="2" t="str">
        <f t="shared" si="1038"/>
        <v>The Astor</v>
      </c>
      <c r="C6412" s="1" t="s">
        <v>57</v>
      </c>
      <c r="D6412" s="1" t="s">
        <v>41</v>
      </c>
      <c r="E6412" s="3">
        <v>474194</v>
      </c>
      <c r="F6412" s="1">
        <v>607.94107692307603</v>
      </c>
      <c r="M6412" s="1">
        <v>780</v>
      </c>
      <c r="Q6412" s="1" t="s">
        <v>42</v>
      </c>
      <c r="S6412" s="1" t="s">
        <v>42</v>
      </c>
      <c r="T6412" s="1" t="s">
        <v>273</v>
      </c>
      <c r="AA6412" s="1">
        <v>474194.04</v>
      </c>
      <c r="AB6412" s="1" t="s">
        <v>4646</v>
      </c>
      <c r="AC6412" s="5">
        <v>43264</v>
      </c>
      <c r="AF6412" s="1">
        <v>10023</v>
      </c>
      <c r="AJ6412" s="1">
        <v>2018</v>
      </c>
      <c r="AK6412" s="1" t="s">
        <v>49</v>
      </c>
      <c r="AL6412" s="1">
        <v>98</v>
      </c>
    </row>
    <row r="6413" spans="1:38" x14ac:dyDescent="0.2">
      <c r="A6413" s="2" t="str">
        <f>HYPERLINK("https://www.compass.com/listing/221-west-77th-street-manhattan-ny-10024/29396065652412545/","221 W 77th St, Fl 14")</f>
        <v>221 W 77th St, Fl 14</v>
      </c>
      <c r="B6413" s="2" t="str">
        <f t="shared" ref="B6413:B6416" si="1039">HYPERLINK("https://www.compass.com/building/221-west-77th-street-manhattan-ny/292869344491294229/","221 West 77th Street")</f>
        <v>221 West 77th Street</v>
      </c>
      <c r="C6413" s="1" t="s">
        <v>57</v>
      </c>
      <c r="D6413" s="1" t="s">
        <v>41</v>
      </c>
      <c r="E6413" s="3">
        <v>12400000</v>
      </c>
      <c r="F6413" s="1">
        <v>3549.95705697108</v>
      </c>
      <c r="M6413" s="4">
        <v>3493</v>
      </c>
      <c r="Q6413" s="1" t="s">
        <v>42</v>
      </c>
      <c r="S6413" s="1" t="s">
        <v>42</v>
      </c>
      <c r="T6413" s="1" t="s">
        <v>273</v>
      </c>
      <c r="AA6413" s="1">
        <v>12400000</v>
      </c>
      <c r="AB6413" s="1" t="s">
        <v>4647</v>
      </c>
      <c r="AC6413" s="5">
        <v>42978</v>
      </c>
      <c r="AF6413" s="1">
        <v>10024</v>
      </c>
      <c r="AI6413" s="1" t="s">
        <v>48</v>
      </c>
      <c r="AJ6413" s="1">
        <v>2017</v>
      </c>
      <c r="AK6413" s="1" t="s">
        <v>55</v>
      </c>
      <c r="AL6413" s="1">
        <v>26</v>
      </c>
    </row>
    <row r="6414" spans="1:38" x14ac:dyDescent="0.2">
      <c r="A6414" s="2" t="str">
        <f>HYPERLINK("https://www.compass.com/listing/221-west-77th-street-manhattan-ny-10024/29396065987894753/","221 W 77th St, Fl 15")</f>
        <v>221 W 77th St, Fl 15</v>
      </c>
      <c r="B6414" s="2" t="str">
        <f t="shared" si="1039"/>
        <v>221 West 77th Street</v>
      </c>
      <c r="C6414" s="1" t="s">
        <v>57</v>
      </c>
      <c r="D6414" s="1" t="s">
        <v>41</v>
      </c>
      <c r="E6414" s="3">
        <v>10182500</v>
      </c>
      <c r="F6414" s="1">
        <v>2998.3804475853899</v>
      </c>
      <c r="M6414" s="4">
        <v>3396</v>
      </c>
      <c r="Q6414" s="1" t="s">
        <v>42</v>
      </c>
      <c r="S6414" s="1" t="s">
        <v>42</v>
      </c>
      <c r="T6414" s="1" t="s">
        <v>273</v>
      </c>
      <c r="AA6414" s="1">
        <v>10182500</v>
      </c>
      <c r="AB6414" s="1" t="s">
        <v>4648</v>
      </c>
      <c r="AC6414" s="5">
        <v>42961</v>
      </c>
      <c r="AF6414" s="1">
        <v>10024</v>
      </c>
      <c r="AI6414" s="1" t="s">
        <v>48</v>
      </c>
      <c r="AJ6414" s="1">
        <v>2017</v>
      </c>
      <c r="AK6414" s="1" t="s">
        <v>55</v>
      </c>
      <c r="AL6414" s="1">
        <v>26</v>
      </c>
    </row>
    <row r="6415" spans="1:38" x14ac:dyDescent="0.2">
      <c r="A6415" s="2" t="str">
        <f>HYPERLINK("https://www.compass.com/listing/221-west-77th-street-manhattan-ny-10024/29396066281537105/","221 W 77th St, Fl 16")</f>
        <v>221 W 77th St, Fl 16</v>
      </c>
      <c r="B6415" s="2" t="str">
        <f t="shared" si="1039"/>
        <v>221 West 77th Street</v>
      </c>
      <c r="C6415" s="1" t="s">
        <v>57</v>
      </c>
      <c r="D6415" s="1" t="s">
        <v>41</v>
      </c>
      <c r="E6415" s="3">
        <v>10000000</v>
      </c>
      <c r="F6415" s="1">
        <v>3030.30303030303</v>
      </c>
      <c r="M6415" s="4">
        <v>3300</v>
      </c>
      <c r="Q6415" s="1" t="s">
        <v>42</v>
      </c>
      <c r="S6415" s="1" t="s">
        <v>42</v>
      </c>
      <c r="T6415" s="1" t="s">
        <v>273</v>
      </c>
      <c r="AA6415" s="1">
        <v>10000000</v>
      </c>
      <c r="AB6415" s="1" t="s">
        <v>4649</v>
      </c>
      <c r="AC6415" s="5">
        <v>42979</v>
      </c>
      <c r="AF6415" s="1">
        <v>10024</v>
      </c>
      <c r="AI6415" s="1" t="s">
        <v>48</v>
      </c>
      <c r="AJ6415" s="1">
        <v>2017</v>
      </c>
      <c r="AK6415" s="1" t="s">
        <v>55</v>
      </c>
      <c r="AL6415" s="1">
        <v>26</v>
      </c>
    </row>
    <row r="6416" spans="1:38" x14ac:dyDescent="0.2">
      <c r="A6416" s="2" t="str">
        <f>HYPERLINK("https://www.compass.com/listing/221-west-77th-street-manhattan-ny-10024/29396066566770833/","221 W 77th St, Fl 17")</f>
        <v>221 W 77th St, Fl 17</v>
      </c>
      <c r="B6416" s="2" t="str">
        <f t="shared" si="1039"/>
        <v>221 West 77th Street</v>
      </c>
      <c r="C6416" s="1" t="s">
        <v>57</v>
      </c>
      <c r="D6416" s="1" t="s">
        <v>41</v>
      </c>
      <c r="E6416" s="3">
        <v>10500000</v>
      </c>
      <c r="F6416" s="1">
        <v>3561.7367706919899</v>
      </c>
      <c r="M6416" s="4">
        <v>2948</v>
      </c>
      <c r="Q6416" s="1" t="s">
        <v>42</v>
      </c>
      <c r="S6416" s="1" t="s">
        <v>42</v>
      </c>
      <c r="T6416" s="1" t="s">
        <v>273</v>
      </c>
      <c r="AA6416" s="1">
        <v>10500000</v>
      </c>
      <c r="AB6416" s="1" t="s">
        <v>4650</v>
      </c>
      <c r="AC6416" s="5">
        <v>42975</v>
      </c>
      <c r="AF6416" s="1">
        <v>10024</v>
      </c>
      <c r="AI6416" s="1" t="s">
        <v>48</v>
      </c>
      <c r="AJ6416" s="1">
        <v>2017</v>
      </c>
      <c r="AK6416" s="1" t="s">
        <v>55</v>
      </c>
      <c r="AL6416" s="1">
        <v>26</v>
      </c>
    </row>
    <row r="6417" spans="1:38" x14ac:dyDescent="0.2">
      <c r="A6417" s="2" t="str">
        <f>HYPERLINK("https://www.compass.com/listing/1-west-end-avenue-unit-39b-manhattan-ny-10069/29397337860231073/","1 W End Ave, Unit 39B")</f>
        <v>1 W End Ave, Unit 39B</v>
      </c>
      <c r="B6417" s="2" t="str">
        <f>HYPERLINK("https://www.compass.com/building/1-w-end-ave-manhattan-ny-10069/455676159137755317/","1 W End Ave")</f>
        <v>1 W End Ave</v>
      </c>
      <c r="C6417" s="1" t="s">
        <v>57</v>
      </c>
      <c r="D6417" s="1" t="s">
        <v>41</v>
      </c>
      <c r="E6417" s="3">
        <v>7224266</v>
      </c>
      <c r="F6417" s="1">
        <v>2566.3467140319699</v>
      </c>
      <c r="M6417" s="4">
        <v>2815</v>
      </c>
      <c r="Q6417" s="1" t="s">
        <v>42</v>
      </c>
      <c r="S6417" s="1" t="s">
        <v>42</v>
      </c>
      <c r="T6417" s="1" t="s">
        <v>273</v>
      </c>
      <c r="AA6417" s="1">
        <v>7224266</v>
      </c>
      <c r="AB6417" s="1" t="s">
        <v>4651</v>
      </c>
      <c r="AC6417" s="5">
        <v>43096</v>
      </c>
      <c r="AF6417" s="1">
        <v>10069</v>
      </c>
      <c r="AI6417" s="1" t="s">
        <v>76</v>
      </c>
      <c r="AJ6417" s="1">
        <v>2017</v>
      </c>
      <c r="AK6417" s="1" t="s">
        <v>55</v>
      </c>
      <c r="AL6417" s="1">
        <v>246</v>
      </c>
    </row>
    <row r="6418" spans="1:38" x14ac:dyDescent="0.2">
      <c r="A6418" s="2" t="str">
        <f>HYPERLINK("https://www.compass.com/listing/100-west-80th-street-unit-2f-manhattan-ny-10024/29399449407157665/","100 W 80th St, Unit 2F")</f>
        <v>100 W 80th St, Unit 2F</v>
      </c>
      <c r="B6418" s="2" t="str">
        <f>HYPERLINK("https://www.compass.com/building/the-orleans-manhattan-ny/281961359686577973/","The Orleans")</f>
        <v>The Orleans</v>
      </c>
      <c r="C6418" s="1" t="s">
        <v>57</v>
      </c>
      <c r="D6418" s="1" t="s">
        <v>41</v>
      </c>
      <c r="E6418" s="3">
        <v>1660900</v>
      </c>
      <c r="F6418" s="1">
        <v>1700</v>
      </c>
      <c r="M6418" s="1">
        <v>977</v>
      </c>
      <c r="Q6418" s="1" t="s">
        <v>42</v>
      </c>
      <c r="S6418" s="1" t="s">
        <v>42</v>
      </c>
      <c r="T6418" s="1" t="s">
        <v>273</v>
      </c>
      <c r="AA6418" s="1">
        <v>1660900</v>
      </c>
      <c r="AB6418" s="1" t="s">
        <v>4652</v>
      </c>
      <c r="AC6418" s="5">
        <v>42205</v>
      </c>
      <c r="AF6418" s="1">
        <v>10024</v>
      </c>
      <c r="AJ6418" s="1">
        <v>1900</v>
      </c>
      <c r="AK6418" s="1" t="s">
        <v>55</v>
      </c>
      <c r="AL6418" s="1">
        <v>24</v>
      </c>
    </row>
    <row r="6419" spans="1:38" x14ac:dyDescent="0.2">
      <c r="A6419" s="2" t="str">
        <f>HYPERLINK("https://www.compass.com/listing/300-east-64th-street-unit-5f-manhattan-ny-10065/29415710212057697/","300 E 64th St, Unit 5F")</f>
        <v>300 E 64th St, Unit 5F</v>
      </c>
      <c r="B6419" s="2" t="str">
        <f t="shared" ref="B6419:B6422" si="1040">HYPERLINK("https://www.compass.com/building/300-e-64th-st-manhattan-ny-10065/282038617012979925/","300 E 64th St")</f>
        <v>300 E 64th St</v>
      </c>
      <c r="C6419" s="1" t="s">
        <v>82</v>
      </c>
      <c r="D6419" s="1" t="s">
        <v>41</v>
      </c>
      <c r="E6419" s="3">
        <v>722958</v>
      </c>
      <c r="F6419" s="1">
        <v>1541.48720682302</v>
      </c>
      <c r="M6419" s="1">
        <v>469</v>
      </c>
      <c r="Q6419" s="1" t="s">
        <v>42</v>
      </c>
      <c r="S6419" s="1" t="s">
        <v>42</v>
      </c>
      <c r="T6419" s="1" t="s">
        <v>273</v>
      </c>
      <c r="AA6419" s="1">
        <v>722957.5</v>
      </c>
      <c r="AB6419" s="1" t="s">
        <v>4653</v>
      </c>
      <c r="AC6419" s="5">
        <v>42213</v>
      </c>
      <c r="AF6419" s="1">
        <v>10065</v>
      </c>
      <c r="AI6419" s="1" t="s">
        <v>83</v>
      </c>
      <c r="AJ6419" s="1">
        <v>1996</v>
      </c>
      <c r="AK6419" s="1" t="s">
        <v>49</v>
      </c>
      <c r="AL6419" s="1">
        <v>103</v>
      </c>
    </row>
    <row r="6420" spans="1:38" x14ac:dyDescent="0.2">
      <c r="A6420" s="2" t="str">
        <f>HYPERLINK("https://www.compass.com/listing/300-east-64th-street-unit-6d-manhattan-ny-10065/29415712233657265/","300 E 64th St, Unit 6D")</f>
        <v>300 E 64th St, Unit 6D</v>
      </c>
      <c r="B6420" s="2" t="str">
        <f t="shared" si="1040"/>
        <v>300 E 64th St</v>
      </c>
      <c r="C6420" s="1" t="s">
        <v>82</v>
      </c>
      <c r="D6420" s="1" t="s">
        <v>41</v>
      </c>
      <c r="E6420" s="3">
        <v>945000</v>
      </c>
      <c r="F6420" s="1">
        <v>1303.44827586206</v>
      </c>
      <c r="M6420" s="1">
        <v>725</v>
      </c>
      <c r="Q6420" s="1" t="s">
        <v>42</v>
      </c>
      <c r="S6420" s="1" t="s">
        <v>42</v>
      </c>
      <c r="T6420" s="1" t="s">
        <v>273</v>
      </c>
      <c r="AA6420" s="1">
        <v>945000</v>
      </c>
      <c r="AB6420" s="1" t="s">
        <v>4654</v>
      </c>
      <c r="AC6420" s="5">
        <v>42209</v>
      </c>
      <c r="AF6420" s="1">
        <v>10065</v>
      </c>
      <c r="AI6420" s="1" t="s">
        <v>83</v>
      </c>
      <c r="AJ6420" s="1">
        <v>1996</v>
      </c>
      <c r="AK6420" s="1" t="s">
        <v>49</v>
      </c>
      <c r="AL6420" s="1">
        <v>103</v>
      </c>
    </row>
    <row r="6421" spans="1:38" x14ac:dyDescent="0.2">
      <c r="A6421" s="2" t="str">
        <f>HYPERLINK("https://www.compass.com/listing/300-east-64th-street-unit-6h-manhattan-ny-10065/29415714188257969/","300 E 64th St, Unit 6H")</f>
        <v>300 E 64th St, Unit 6H</v>
      </c>
      <c r="B6421" s="2" t="str">
        <f t="shared" si="1040"/>
        <v>300 E 64th St</v>
      </c>
      <c r="C6421" s="1" t="s">
        <v>82</v>
      </c>
      <c r="D6421" s="1" t="s">
        <v>41</v>
      </c>
      <c r="E6421" s="3">
        <v>980000</v>
      </c>
      <c r="F6421" s="1">
        <v>1143.52392065344</v>
      </c>
      <c r="H6421" s="1">
        <v>1</v>
      </c>
      <c r="J6421" s="1">
        <v>1</v>
      </c>
      <c r="M6421" s="1">
        <v>857</v>
      </c>
      <c r="N6421" s="1">
        <v>947.33</v>
      </c>
      <c r="O6421" s="1">
        <v>1911.79</v>
      </c>
      <c r="P6421" s="1">
        <v>964.5</v>
      </c>
      <c r="Q6421" s="1" t="s">
        <v>42</v>
      </c>
      <c r="S6421" s="1" t="s">
        <v>42</v>
      </c>
      <c r="T6421" s="1" t="s">
        <v>273</v>
      </c>
      <c r="AA6421" s="1">
        <v>980000</v>
      </c>
      <c r="AB6421" s="1" t="s">
        <v>4655</v>
      </c>
      <c r="AC6421" s="5">
        <v>42185</v>
      </c>
      <c r="AF6421" s="1">
        <v>10065</v>
      </c>
      <c r="AI6421" s="1" t="s">
        <v>83</v>
      </c>
      <c r="AJ6421" s="1">
        <v>1996</v>
      </c>
      <c r="AK6421" s="1" t="s">
        <v>49</v>
      </c>
      <c r="AL6421" s="1">
        <v>103</v>
      </c>
    </row>
    <row r="6422" spans="1:38" x14ac:dyDescent="0.2">
      <c r="A6422" s="2" t="str">
        <f>HYPERLINK("https://www.compass.com/listing/300-east-64th-street-unit-pha-manhattan-ny-10065/29415752004048753/","300 E 64th St, Unit PHA")</f>
        <v>300 E 64th St, Unit PHA</v>
      </c>
      <c r="B6422" s="2" t="str">
        <f t="shared" si="1040"/>
        <v>300 E 64th St</v>
      </c>
      <c r="C6422" s="1" t="s">
        <v>82</v>
      </c>
      <c r="D6422" s="1" t="s">
        <v>41</v>
      </c>
      <c r="E6422" s="3">
        <v>1631700</v>
      </c>
      <c r="F6422" s="1">
        <v>1326.58536585365</v>
      </c>
      <c r="H6422" s="1">
        <v>2</v>
      </c>
      <c r="J6422" s="1">
        <v>2</v>
      </c>
      <c r="M6422" s="4">
        <v>1230</v>
      </c>
      <c r="N6422" s="1">
        <v>1359.6</v>
      </c>
      <c r="O6422" s="1">
        <v>2743.89</v>
      </c>
      <c r="P6422" s="1">
        <v>1384.25</v>
      </c>
      <c r="Q6422" s="1" t="s">
        <v>42</v>
      </c>
      <c r="S6422" s="1" t="s">
        <v>42</v>
      </c>
      <c r="T6422" s="1" t="s">
        <v>273</v>
      </c>
      <c r="AA6422" s="1">
        <v>1631700</v>
      </c>
      <c r="AB6422" s="1" t="s">
        <v>4656</v>
      </c>
      <c r="AC6422" s="5">
        <v>42901</v>
      </c>
      <c r="AF6422" s="1">
        <v>10065</v>
      </c>
      <c r="AI6422" s="1" t="s">
        <v>83</v>
      </c>
      <c r="AJ6422" s="1">
        <v>1996</v>
      </c>
      <c r="AK6422" s="1" t="s">
        <v>49</v>
      </c>
      <c r="AL6422" s="1">
        <v>103</v>
      </c>
    </row>
    <row r="6423" spans="1:38" x14ac:dyDescent="0.2">
      <c r="A6423" s="2" t="str">
        <f>HYPERLINK("https://www.compass.com/listing/12-east-88th-street-unit-8a-manhattan-ny-10128/29420046006643569/","12 E 88th St, Unit 8A")</f>
        <v>12 E 88th St, Unit 8A</v>
      </c>
      <c r="B6423" s="2" t="str">
        <f>HYPERLINK("https://www.compass.com/building/12-e-88th-st-manhattan-ny-10128/282046316798827461/","12 E 88th St")</f>
        <v>12 E 88th St</v>
      </c>
      <c r="C6423" s="1" t="s">
        <v>82</v>
      </c>
      <c r="D6423" s="1" t="s">
        <v>41</v>
      </c>
      <c r="E6423" s="3">
        <v>7366613</v>
      </c>
      <c r="F6423" s="1">
        <v>2472.0176174496601</v>
      </c>
      <c r="M6423" s="4">
        <v>2980</v>
      </c>
      <c r="Q6423" s="1" t="s">
        <v>42</v>
      </c>
      <c r="S6423" s="1" t="s">
        <v>42</v>
      </c>
      <c r="T6423" s="1" t="s">
        <v>273</v>
      </c>
      <c r="AA6423" s="1">
        <v>7366612.5</v>
      </c>
      <c r="AB6423" s="1" t="s">
        <v>4657</v>
      </c>
      <c r="AC6423" s="5">
        <v>42970</v>
      </c>
      <c r="AF6423" s="1">
        <v>10128</v>
      </c>
      <c r="AI6423" s="1" t="s">
        <v>177</v>
      </c>
      <c r="AJ6423" s="1">
        <v>1931</v>
      </c>
      <c r="AK6423" s="1" t="s">
        <v>49</v>
      </c>
      <c r="AL6423" s="1">
        <v>39</v>
      </c>
    </row>
    <row r="6424" spans="1:38" x14ac:dyDescent="0.2">
      <c r="A6424" s="2" t="str">
        <f>HYPERLINK("https://www.compass.com/listing/225-east-81st-street-unit-1-manhattan-ny-10028/29422589080280209/","225 E 81st St, Unit 1")</f>
        <v>225 E 81st St, Unit 1</v>
      </c>
      <c r="B6424" s="2" t="str">
        <f t="shared" ref="B6424:B6425" si="1041">HYPERLINK("https://www.compass.com/building/the-justin-manhattan-ny/282057109682552965/","The Justin")</f>
        <v>The Justin</v>
      </c>
      <c r="C6424" s="1" t="s">
        <v>82</v>
      </c>
      <c r="D6424" s="1" t="s">
        <v>41</v>
      </c>
      <c r="E6424" s="3">
        <v>5500000</v>
      </c>
      <c r="F6424" s="1">
        <v>1483.67952522255</v>
      </c>
      <c r="M6424" s="4">
        <v>3707</v>
      </c>
      <c r="Q6424" s="1" t="s">
        <v>42</v>
      </c>
      <c r="S6424" s="1" t="s">
        <v>42</v>
      </c>
      <c r="T6424" s="1" t="s">
        <v>273</v>
      </c>
      <c r="AA6424" s="1">
        <v>5500000</v>
      </c>
      <c r="AB6424" s="1" t="s">
        <v>4658</v>
      </c>
      <c r="AC6424" s="5">
        <v>42311</v>
      </c>
      <c r="AF6424" s="1">
        <v>10028</v>
      </c>
      <c r="AI6424" s="1" t="s">
        <v>52</v>
      </c>
      <c r="AJ6424" s="1">
        <v>1920</v>
      </c>
      <c r="AK6424" s="1" t="s">
        <v>73</v>
      </c>
      <c r="AL6424" s="1">
        <v>5</v>
      </c>
    </row>
    <row r="6425" spans="1:38" x14ac:dyDescent="0.2">
      <c r="A6425" s="2" t="str">
        <f>HYPERLINK("https://www.compass.com/listing/225-east-81st-street-unit-5-manhattan-ny-10028/29422590875509201/","225 E 81st St, Unit 5")</f>
        <v>225 E 81st St, Unit 5</v>
      </c>
      <c r="B6425" s="2" t="str">
        <f t="shared" si="1041"/>
        <v>The Justin</v>
      </c>
      <c r="C6425" s="1" t="s">
        <v>82</v>
      </c>
      <c r="D6425" s="1" t="s">
        <v>41</v>
      </c>
      <c r="E6425" s="3">
        <v>3300000</v>
      </c>
      <c r="F6425" s="1">
        <v>2088.6075949367</v>
      </c>
      <c r="M6425" s="4">
        <v>1580</v>
      </c>
      <c r="Q6425" s="1" t="s">
        <v>42</v>
      </c>
      <c r="S6425" s="1" t="s">
        <v>42</v>
      </c>
      <c r="T6425" s="1" t="s">
        <v>273</v>
      </c>
      <c r="AA6425" s="1">
        <v>3300000</v>
      </c>
      <c r="AB6425" s="1" t="s">
        <v>4659</v>
      </c>
      <c r="AC6425" s="5">
        <v>42649</v>
      </c>
      <c r="AF6425" s="1">
        <v>10028</v>
      </c>
      <c r="AI6425" s="1" t="s">
        <v>52</v>
      </c>
      <c r="AJ6425" s="1">
        <v>1920</v>
      </c>
      <c r="AK6425" s="1" t="s">
        <v>73</v>
      </c>
      <c r="AL6425" s="1">
        <v>5</v>
      </c>
    </row>
    <row r="6426" spans="1:38" x14ac:dyDescent="0.2">
      <c r="A6426" s="2" t="str">
        <f>HYPERLINK("https://www.compass.com/listing/200-east-94th-street-unit-118-manhattan-ny-10128/29423417631513601/","200 E 94th St, Unit 118")</f>
        <v>200 E 94th St, Unit 118</v>
      </c>
      <c r="B6426" s="2" t="str">
        <f t="shared" ref="B6426:B6619" si="1042">HYPERLINK("https://www.compass.com/building/carnegie-park-condominium-manhattan-ny/282049797358118613/","Carnegie Park Condominium")</f>
        <v>Carnegie Park Condominium</v>
      </c>
      <c r="C6426" s="1" t="s">
        <v>82</v>
      </c>
      <c r="D6426" s="1" t="s">
        <v>41</v>
      </c>
      <c r="E6426" s="3">
        <v>1451006</v>
      </c>
      <c r="F6426" s="1">
        <v>1169.22340854149</v>
      </c>
      <c r="M6426" s="4">
        <v>1241</v>
      </c>
      <c r="Q6426" s="1" t="s">
        <v>42</v>
      </c>
      <c r="S6426" s="1" t="s">
        <v>42</v>
      </c>
      <c r="T6426" s="1" t="s">
        <v>273</v>
      </c>
      <c r="AA6426" s="1">
        <v>1451006.25</v>
      </c>
      <c r="AB6426" s="1" t="s">
        <v>4660</v>
      </c>
      <c r="AC6426" s="5">
        <v>42550</v>
      </c>
      <c r="AF6426" s="1">
        <v>10128</v>
      </c>
      <c r="AI6426" s="1" t="s">
        <v>163</v>
      </c>
      <c r="AJ6426" s="1">
        <v>1986</v>
      </c>
      <c r="AK6426" s="1" t="s">
        <v>55</v>
      </c>
      <c r="AL6426" s="1">
        <v>287</v>
      </c>
    </row>
    <row r="6427" spans="1:38" x14ac:dyDescent="0.2">
      <c r="A6427" s="2" t="str">
        <f>HYPERLINK("https://www.compass.com/listing/200-east-94th-street-unit-120-manhattan-ny-10128/29423417958604833/","200 E 94th St, Unit 120")</f>
        <v>200 E 94th St, Unit 120</v>
      </c>
      <c r="B6427" s="2" t="str">
        <f t="shared" si="1042"/>
        <v>Carnegie Park Condominium</v>
      </c>
      <c r="C6427" s="1" t="s">
        <v>82</v>
      </c>
      <c r="D6427" s="1" t="s">
        <v>41</v>
      </c>
      <c r="E6427" s="3">
        <v>900642</v>
      </c>
      <c r="F6427" s="1">
        <v>1240.55371900826</v>
      </c>
      <c r="M6427" s="1">
        <v>726</v>
      </c>
      <c r="Q6427" s="1" t="s">
        <v>42</v>
      </c>
      <c r="S6427" s="1" t="s">
        <v>42</v>
      </c>
      <c r="T6427" s="1" t="s">
        <v>273</v>
      </c>
      <c r="AA6427" s="1">
        <v>900642</v>
      </c>
      <c r="AB6427" s="1" t="s">
        <v>4661</v>
      </c>
      <c r="AC6427" s="5">
        <v>42500</v>
      </c>
      <c r="AF6427" s="1">
        <v>10128</v>
      </c>
      <c r="AI6427" s="1" t="s">
        <v>163</v>
      </c>
      <c r="AJ6427" s="1">
        <v>1986</v>
      </c>
      <c r="AK6427" s="1" t="s">
        <v>55</v>
      </c>
      <c r="AL6427" s="1">
        <v>287</v>
      </c>
    </row>
    <row r="6428" spans="1:38" x14ac:dyDescent="0.2">
      <c r="A6428" s="2" t="str">
        <f>HYPERLINK("https://www.compass.com/listing/200-east-94th-street-unit-122-manhattan-ny-10128/29423418269038817/","200 E 94th St, Unit 122")</f>
        <v>200 E 94th St, Unit 122</v>
      </c>
      <c r="B6428" s="2" t="str">
        <f t="shared" si="1042"/>
        <v>Carnegie Park Condominium</v>
      </c>
      <c r="C6428" s="1" t="s">
        <v>82</v>
      </c>
      <c r="D6428" s="1" t="s">
        <v>41</v>
      </c>
      <c r="E6428" s="3">
        <v>1848283</v>
      </c>
      <c r="F6428" s="1">
        <v>1314.56833570412</v>
      </c>
      <c r="M6428" s="4">
        <v>1406</v>
      </c>
      <c r="Q6428" s="1" t="s">
        <v>42</v>
      </c>
      <c r="S6428" s="1" t="s">
        <v>42</v>
      </c>
      <c r="T6428" s="1" t="s">
        <v>273</v>
      </c>
      <c r="AA6428" s="1">
        <v>1848283.08</v>
      </c>
      <c r="AB6428" s="1" t="s">
        <v>4662</v>
      </c>
      <c r="AC6428" s="5">
        <v>42620</v>
      </c>
      <c r="AF6428" s="1">
        <v>10128</v>
      </c>
      <c r="AI6428" s="1" t="s">
        <v>163</v>
      </c>
      <c r="AJ6428" s="1">
        <v>1986</v>
      </c>
      <c r="AK6428" s="1" t="s">
        <v>55</v>
      </c>
      <c r="AL6428" s="1">
        <v>287</v>
      </c>
    </row>
    <row r="6429" spans="1:38" x14ac:dyDescent="0.2">
      <c r="A6429" s="2" t="str">
        <f>HYPERLINK("https://www.compass.com/listing/200-east-94th-street-unit-121-manhattan-ny-10128/29423419149842673/","200 E 94th St, Unit 121")</f>
        <v>200 E 94th St, Unit 121</v>
      </c>
      <c r="B6429" s="2" t="str">
        <f t="shared" si="1042"/>
        <v>Carnegie Park Condominium</v>
      </c>
      <c r="C6429" s="1" t="s">
        <v>82</v>
      </c>
      <c r="D6429" s="1" t="s">
        <v>41</v>
      </c>
      <c r="E6429" s="3">
        <v>1915909</v>
      </c>
      <c r="F6429" s="1">
        <v>1362.66618065433</v>
      </c>
      <c r="M6429" s="4">
        <v>1406</v>
      </c>
      <c r="Q6429" s="1" t="s">
        <v>42</v>
      </c>
      <c r="S6429" s="1" t="s">
        <v>42</v>
      </c>
      <c r="T6429" s="1" t="s">
        <v>273</v>
      </c>
      <c r="AA6429" s="1">
        <v>1915908.65</v>
      </c>
      <c r="AB6429" s="1" t="s">
        <v>4663</v>
      </c>
      <c r="AC6429" s="5">
        <v>42572</v>
      </c>
      <c r="AF6429" s="1">
        <v>10128</v>
      </c>
      <c r="AI6429" s="1" t="s">
        <v>163</v>
      </c>
      <c r="AJ6429" s="1">
        <v>1986</v>
      </c>
      <c r="AK6429" s="1" t="s">
        <v>55</v>
      </c>
      <c r="AL6429" s="1">
        <v>287</v>
      </c>
    </row>
    <row r="6430" spans="1:38" x14ac:dyDescent="0.2">
      <c r="A6430" s="2" t="str">
        <f>HYPERLINK("https://www.compass.com/listing/200-east-94th-street-unit-216-manhattan-ny-10128/29423419443452961/","200 E 94th St, Unit 216")</f>
        <v>200 E 94th St, Unit 216</v>
      </c>
      <c r="B6430" s="2" t="str">
        <f t="shared" si="1042"/>
        <v>Carnegie Park Condominium</v>
      </c>
      <c r="C6430" s="1" t="s">
        <v>82</v>
      </c>
      <c r="D6430" s="1" t="s">
        <v>41</v>
      </c>
      <c r="E6430" s="3">
        <v>1580163</v>
      </c>
      <c r="F6430" s="1">
        <v>1431.3070652173899</v>
      </c>
      <c r="M6430" s="4">
        <v>1104</v>
      </c>
      <c r="Q6430" s="1" t="s">
        <v>42</v>
      </c>
      <c r="S6430" s="1" t="s">
        <v>42</v>
      </c>
      <c r="T6430" s="1" t="s">
        <v>273</v>
      </c>
      <c r="AA6430" s="1">
        <v>1580163</v>
      </c>
      <c r="AB6430" s="1" t="s">
        <v>4664</v>
      </c>
      <c r="AC6430" s="5">
        <v>42558</v>
      </c>
      <c r="AF6430" s="1">
        <v>10128</v>
      </c>
      <c r="AI6430" s="1" t="s">
        <v>163</v>
      </c>
      <c r="AJ6430" s="1">
        <v>1986</v>
      </c>
      <c r="AK6430" s="1" t="s">
        <v>55</v>
      </c>
      <c r="AL6430" s="1">
        <v>287</v>
      </c>
    </row>
    <row r="6431" spans="1:38" x14ac:dyDescent="0.2">
      <c r="A6431" s="2" t="str">
        <f>HYPERLINK("https://www.compass.com/listing/200-east-94th-street-unit-218-manhattan-ny-10128/29423419762155601/","200 E 94th St, Unit 218")</f>
        <v>200 E 94th St, Unit 218</v>
      </c>
      <c r="B6431" s="2" t="str">
        <f t="shared" si="1042"/>
        <v>Carnegie Park Condominium</v>
      </c>
      <c r="C6431" s="1" t="s">
        <v>82</v>
      </c>
      <c r="D6431" s="1" t="s">
        <v>41</v>
      </c>
      <c r="E6431" s="3">
        <v>1446108</v>
      </c>
      <c r="F6431" s="1">
        <v>1302.8004234234199</v>
      </c>
      <c r="H6431" s="1">
        <v>2</v>
      </c>
      <c r="J6431" s="1">
        <v>2</v>
      </c>
      <c r="M6431" s="4">
        <v>1110</v>
      </c>
      <c r="N6431" s="1">
        <v>1200</v>
      </c>
      <c r="O6431" s="1">
        <v>2476</v>
      </c>
      <c r="P6431" s="1">
        <v>1276</v>
      </c>
      <c r="Q6431" s="1" t="s">
        <v>42</v>
      </c>
      <c r="S6431" s="1" t="s">
        <v>42</v>
      </c>
      <c r="T6431" s="1" t="s">
        <v>273</v>
      </c>
      <c r="AA6431" s="1">
        <v>1446108.47</v>
      </c>
      <c r="AB6431" s="1" t="s">
        <v>4665</v>
      </c>
      <c r="AC6431" s="5">
        <v>42443</v>
      </c>
      <c r="AF6431" s="1">
        <v>10128</v>
      </c>
      <c r="AI6431" s="1" t="s">
        <v>163</v>
      </c>
      <c r="AJ6431" s="1">
        <v>1986</v>
      </c>
      <c r="AK6431" s="1" t="s">
        <v>55</v>
      </c>
      <c r="AL6431" s="1">
        <v>287</v>
      </c>
    </row>
    <row r="6432" spans="1:38" x14ac:dyDescent="0.2">
      <c r="A6432" s="2" t="str">
        <f>HYPERLINK("https://www.compass.com/listing/200-east-94th-street-unit-225-manhattan-ny-10128/29423420785565809/","200 E 94th St, Unit 225")</f>
        <v>200 E 94th St, Unit 225</v>
      </c>
      <c r="B6432" s="2" t="str">
        <f t="shared" si="1042"/>
        <v>Carnegie Park Condominium</v>
      </c>
      <c r="C6432" s="1" t="s">
        <v>82</v>
      </c>
      <c r="D6432" s="1" t="s">
        <v>41</v>
      </c>
      <c r="E6432" s="3">
        <v>955432</v>
      </c>
      <c r="F6432" s="1">
        <v>1353.3032861189799</v>
      </c>
      <c r="H6432" s="1">
        <v>1</v>
      </c>
      <c r="J6432" s="1">
        <v>1</v>
      </c>
      <c r="M6432" s="1">
        <v>706</v>
      </c>
      <c r="N6432" s="1">
        <v>765</v>
      </c>
      <c r="O6432" s="1">
        <v>1578</v>
      </c>
      <c r="P6432" s="1">
        <v>813</v>
      </c>
      <c r="Q6432" s="1" t="s">
        <v>42</v>
      </c>
      <c r="S6432" s="1" t="s">
        <v>42</v>
      </c>
      <c r="T6432" s="1" t="s">
        <v>273</v>
      </c>
      <c r="AA6432" s="1">
        <v>955432.12</v>
      </c>
      <c r="AB6432" s="1" t="s">
        <v>4666</v>
      </c>
      <c r="AC6432" s="5">
        <v>42479</v>
      </c>
      <c r="AF6432" s="1">
        <v>10128</v>
      </c>
      <c r="AI6432" s="1" t="s">
        <v>163</v>
      </c>
      <c r="AJ6432" s="1">
        <v>1986</v>
      </c>
      <c r="AK6432" s="1" t="s">
        <v>55</v>
      </c>
      <c r="AL6432" s="1">
        <v>287</v>
      </c>
    </row>
    <row r="6433" spans="1:38" x14ac:dyDescent="0.2">
      <c r="A6433" s="2" t="str">
        <f>HYPERLINK("https://www.compass.com/listing/200-east-94th-street-unit-223-manhattan-ny-10128/29423421557382209/","200 E 94th St, Unit 223")</f>
        <v>200 E 94th St, Unit 223</v>
      </c>
      <c r="B6433" s="2" t="str">
        <f t="shared" si="1042"/>
        <v>Carnegie Park Condominium</v>
      </c>
      <c r="C6433" s="1" t="s">
        <v>82</v>
      </c>
      <c r="D6433" s="1" t="s">
        <v>41</v>
      </c>
      <c r="E6433" s="3">
        <v>731846</v>
      </c>
      <c r="F6433" s="1">
        <v>1062.1854862119001</v>
      </c>
      <c r="M6433" s="1">
        <v>689</v>
      </c>
      <c r="Q6433" s="1" t="s">
        <v>42</v>
      </c>
      <c r="S6433" s="1" t="s">
        <v>42</v>
      </c>
      <c r="T6433" s="1" t="s">
        <v>273</v>
      </c>
      <c r="AA6433" s="1">
        <v>731845.8</v>
      </c>
      <c r="AB6433" s="1" t="s">
        <v>4667</v>
      </c>
      <c r="AC6433" s="5">
        <v>42501</v>
      </c>
      <c r="AF6433" s="1">
        <v>10128</v>
      </c>
      <c r="AI6433" s="1" t="s">
        <v>163</v>
      </c>
      <c r="AJ6433" s="1">
        <v>1986</v>
      </c>
      <c r="AK6433" s="1" t="s">
        <v>55</v>
      </c>
      <c r="AL6433" s="1">
        <v>287</v>
      </c>
    </row>
    <row r="6434" spans="1:38" x14ac:dyDescent="0.2">
      <c r="A6434" s="2" t="str">
        <f>HYPERLINK("https://www.compass.com/listing/200-east-94th-street-unit-221-manhattan-ny-10128/29423421876084865/","200 E 94th St, Unit 221")</f>
        <v>200 E 94th St, Unit 221</v>
      </c>
      <c r="B6434" s="2" t="str">
        <f t="shared" si="1042"/>
        <v>Carnegie Park Condominium</v>
      </c>
      <c r="C6434" s="1" t="s">
        <v>82</v>
      </c>
      <c r="D6434" s="1" t="s">
        <v>41</v>
      </c>
      <c r="E6434" s="3">
        <v>991123</v>
      </c>
      <c r="F6434" s="1">
        <v>1382.3191073919099</v>
      </c>
      <c r="M6434" s="1">
        <v>717</v>
      </c>
      <c r="Q6434" s="1" t="s">
        <v>42</v>
      </c>
      <c r="S6434" s="1" t="s">
        <v>42</v>
      </c>
      <c r="T6434" s="1" t="s">
        <v>273</v>
      </c>
      <c r="AA6434" s="1">
        <v>991122.8</v>
      </c>
      <c r="AB6434" s="1" t="s">
        <v>4668</v>
      </c>
      <c r="AC6434" s="5">
        <v>42488</v>
      </c>
      <c r="AF6434" s="1">
        <v>10128</v>
      </c>
      <c r="AI6434" s="1" t="s">
        <v>163</v>
      </c>
      <c r="AJ6434" s="1">
        <v>1986</v>
      </c>
      <c r="AK6434" s="1" t="s">
        <v>55</v>
      </c>
      <c r="AL6434" s="1">
        <v>287</v>
      </c>
    </row>
    <row r="6435" spans="1:38" x14ac:dyDescent="0.2">
      <c r="A6435" s="2" t="str">
        <f>HYPERLINK("https://www.compass.com/listing/200-east-94th-street-unit-219-manhattan-ny-10128/29423422186518849/","200 E 94th St, Unit 219")</f>
        <v>200 E 94th St, Unit 219</v>
      </c>
      <c r="B6435" s="2" t="str">
        <f t="shared" si="1042"/>
        <v>Carnegie Park Condominium</v>
      </c>
      <c r="C6435" s="1" t="s">
        <v>82</v>
      </c>
      <c r="D6435" s="1" t="s">
        <v>41</v>
      </c>
      <c r="E6435" s="3">
        <v>991180</v>
      </c>
      <c r="F6435" s="1">
        <v>1359.64310013717</v>
      </c>
      <c r="M6435" s="1">
        <v>729</v>
      </c>
      <c r="Q6435" s="1" t="s">
        <v>42</v>
      </c>
      <c r="S6435" s="1" t="s">
        <v>42</v>
      </c>
      <c r="T6435" s="1" t="s">
        <v>273</v>
      </c>
      <c r="AA6435" s="1">
        <v>991179.82</v>
      </c>
      <c r="AB6435" s="1" t="s">
        <v>4669</v>
      </c>
      <c r="AC6435" s="5">
        <v>42458</v>
      </c>
      <c r="AF6435" s="1">
        <v>10128</v>
      </c>
      <c r="AI6435" s="1" t="s">
        <v>163</v>
      </c>
      <c r="AJ6435" s="1">
        <v>1986</v>
      </c>
      <c r="AK6435" s="1" t="s">
        <v>55</v>
      </c>
      <c r="AL6435" s="1">
        <v>287</v>
      </c>
    </row>
    <row r="6436" spans="1:38" x14ac:dyDescent="0.2">
      <c r="A6436" s="2" t="str">
        <f>HYPERLINK("https://www.compass.com/listing/200-east-94th-street-unit-318-manhattan-ny-10128/29423423511927905/","200 E 94th St, Unit 318")</f>
        <v>200 E 94th St, Unit 318</v>
      </c>
      <c r="B6436" s="2" t="str">
        <f t="shared" si="1042"/>
        <v>Carnegie Park Condominium</v>
      </c>
      <c r="C6436" s="1" t="s">
        <v>82</v>
      </c>
      <c r="D6436" s="1" t="s">
        <v>41</v>
      </c>
      <c r="E6436" s="3">
        <v>2171069</v>
      </c>
      <c r="F6436" s="1">
        <v>1424.58566272965</v>
      </c>
      <c r="M6436" s="4">
        <v>1524</v>
      </c>
      <c r="Q6436" s="1" t="s">
        <v>42</v>
      </c>
      <c r="S6436" s="1" t="s">
        <v>42</v>
      </c>
      <c r="T6436" s="1" t="s">
        <v>273</v>
      </c>
      <c r="AA6436" s="1">
        <v>2171068.5499999998</v>
      </c>
      <c r="AB6436" s="1" t="s">
        <v>4670</v>
      </c>
      <c r="AC6436" s="5">
        <v>42403</v>
      </c>
      <c r="AF6436" s="1">
        <v>10128</v>
      </c>
      <c r="AI6436" s="1" t="s">
        <v>163</v>
      </c>
      <c r="AJ6436" s="1">
        <v>1986</v>
      </c>
      <c r="AK6436" s="1" t="s">
        <v>55</v>
      </c>
      <c r="AL6436" s="1">
        <v>287</v>
      </c>
    </row>
    <row r="6437" spans="1:38" x14ac:dyDescent="0.2">
      <c r="A6437" s="2" t="str">
        <f>HYPERLINK("https://www.compass.com/listing/200-east-94th-street-unit-322-manhattan-ny-10128/29423423839019185/","200 E 94th St, Unit 322")</f>
        <v>200 E 94th St, Unit 322</v>
      </c>
      <c r="B6437" s="2" t="str">
        <f t="shared" si="1042"/>
        <v>Carnegie Park Condominium</v>
      </c>
      <c r="C6437" s="1" t="s">
        <v>82</v>
      </c>
      <c r="D6437" s="1" t="s">
        <v>41</v>
      </c>
      <c r="E6437" s="3">
        <v>1941403</v>
      </c>
      <c r="F6437" s="1">
        <v>1380.7984210526299</v>
      </c>
      <c r="M6437" s="4">
        <v>1406</v>
      </c>
      <c r="Q6437" s="1" t="s">
        <v>42</v>
      </c>
      <c r="S6437" s="1" t="s">
        <v>42</v>
      </c>
      <c r="T6437" s="1" t="s">
        <v>273</v>
      </c>
      <c r="AA6437" s="1">
        <v>1941402.58</v>
      </c>
      <c r="AB6437" s="1" t="s">
        <v>4671</v>
      </c>
      <c r="AC6437" s="5">
        <v>42515</v>
      </c>
      <c r="AF6437" s="1">
        <v>10128</v>
      </c>
      <c r="AI6437" s="1" t="s">
        <v>163</v>
      </c>
      <c r="AJ6437" s="1">
        <v>1986</v>
      </c>
      <c r="AK6437" s="1" t="s">
        <v>55</v>
      </c>
      <c r="AL6437" s="1">
        <v>287</v>
      </c>
    </row>
    <row r="6438" spans="1:38" x14ac:dyDescent="0.2">
      <c r="A6438" s="2" t="str">
        <f>HYPERLINK("https://www.compass.com/listing/200-east-94th-street-unit-326-manhattan-ny-10128/29423424174618993/","200 E 94th St, Unit 326")</f>
        <v>200 E 94th St, Unit 326</v>
      </c>
      <c r="B6438" s="2" t="str">
        <f t="shared" si="1042"/>
        <v>Carnegie Park Condominium</v>
      </c>
      <c r="C6438" s="1" t="s">
        <v>82</v>
      </c>
      <c r="D6438" s="1" t="s">
        <v>41</v>
      </c>
      <c r="E6438" s="3">
        <v>873972</v>
      </c>
      <c r="F6438" s="1">
        <v>1241.43767045454</v>
      </c>
      <c r="H6438" s="1">
        <v>1</v>
      </c>
      <c r="J6438" s="1">
        <v>1</v>
      </c>
      <c r="M6438" s="1">
        <v>704</v>
      </c>
      <c r="N6438" s="1">
        <v>765</v>
      </c>
      <c r="O6438" s="1">
        <v>1578</v>
      </c>
      <c r="P6438" s="1">
        <v>813</v>
      </c>
      <c r="Q6438" s="1" t="s">
        <v>42</v>
      </c>
      <c r="S6438" s="1" t="s">
        <v>42</v>
      </c>
      <c r="T6438" s="1" t="s">
        <v>273</v>
      </c>
      <c r="AA6438" s="1">
        <v>873972.12</v>
      </c>
      <c r="AB6438" s="1" t="s">
        <v>4672</v>
      </c>
      <c r="AC6438" s="5">
        <v>42460</v>
      </c>
      <c r="AF6438" s="1">
        <v>10128</v>
      </c>
      <c r="AI6438" s="1" t="s">
        <v>163</v>
      </c>
      <c r="AJ6438" s="1">
        <v>1986</v>
      </c>
      <c r="AK6438" s="1" t="s">
        <v>55</v>
      </c>
      <c r="AL6438" s="1">
        <v>287</v>
      </c>
    </row>
    <row r="6439" spans="1:38" x14ac:dyDescent="0.2">
      <c r="A6439" s="2" t="str">
        <f>HYPERLINK("https://www.compass.com/listing/200-east-94th-street-unit-325-manhattan-ny-10128/29423425340644465/","200 E 94th St, Unit 325")</f>
        <v>200 E 94th St, Unit 325</v>
      </c>
      <c r="B6439" s="2" t="str">
        <f t="shared" si="1042"/>
        <v>Carnegie Park Condominium</v>
      </c>
      <c r="C6439" s="1" t="s">
        <v>82</v>
      </c>
      <c r="D6439" s="1" t="s">
        <v>41</v>
      </c>
      <c r="E6439" s="3">
        <v>817978</v>
      </c>
      <c r="F6439" s="1">
        <v>1158.6084135977301</v>
      </c>
      <c r="M6439" s="1">
        <v>706</v>
      </c>
      <c r="Q6439" s="1" t="s">
        <v>42</v>
      </c>
      <c r="S6439" s="1" t="s">
        <v>42</v>
      </c>
      <c r="T6439" s="1" t="s">
        <v>273</v>
      </c>
      <c r="AA6439" s="1">
        <v>817977.54</v>
      </c>
      <c r="AB6439" s="1" t="s">
        <v>4673</v>
      </c>
      <c r="AC6439" s="5">
        <v>42514</v>
      </c>
      <c r="AF6439" s="1">
        <v>10128</v>
      </c>
      <c r="AI6439" s="1" t="s">
        <v>163</v>
      </c>
      <c r="AJ6439" s="1">
        <v>1986</v>
      </c>
      <c r="AK6439" s="1" t="s">
        <v>55</v>
      </c>
      <c r="AL6439" s="1">
        <v>287</v>
      </c>
    </row>
    <row r="6440" spans="1:38" x14ac:dyDescent="0.2">
      <c r="A6440" s="2" t="str">
        <f>HYPERLINK("https://www.compass.com/listing/200-east-94th-street-unit-317-manhattan-ny-10128/29423426011724177/","200 E 94th St, Unit 317")</f>
        <v>200 E 94th St, Unit 317</v>
      </c>
      <c r="B6440" s="2" t="str">
        <f t="shared" si="1042"/>
        <v>Carnegie Park Condominium</v>
      </c>
      <c r="C6440" s="1" t="s">
        <v>82</v>
      </c>
      <c r="D6440" s="1" t="s">
        <v>41</v>
      </c>
      <c r="E6440" s="3">
        <v>2902013</v>
      </c>
      <c r="F6440" s="1">
        <v>1614.9207011686101</v>
      </c>
      <c r="H6440" s="1">
        <v>3</v>
      </c>
      <c r="J6440" s="1">
        <v>4</v>
      </c>
      <c r="M6440" s="4">
        <v>1797</v>
      </c>
      <c r="N6440" s="1">
        <v>1943</v>
      </c>
      <c r="O6440" s="1">
        <v>4008</v>
      </c>
      <c r="P6440" s="1">
        <v>2065</v>
      </c>
      <c r="Q6440" s="1" t="s">
        <v>42</v>
      </c>
      <c r="S6440" s="1" t="s">
        <v>42</v>
      </c>
      <c r="T6440" s="1" t="s">
        <v>273</v>
      </c>
      <c r="AA6440" s="1">
        <v>2902012.5</v>
      </c>
      <c r="AB6440" s="1" t="s">
        <v>4674</v>
      </c>
      <c r="AC6440" s="5">
        <v>42874</v>
      </c>
      <c r="AF6440" s="1">
        <v>10128</v>
      </c>
      <c r="AI6440" s="1" t="s">
        <v>163</v>
      </c>
      <c r="AJ6440" s="1">
        <v>1986</v>
      </c>
      <c r="AK6440" s="1" t="s">
        <v>55</v>
      </c>
      <c r="AL6440" s="1">
        <v>287</v>
      </c>
    </row>
    <row r="6441" spans="1:38" x14ac:dyDescent="0.2">
      <c r="A6441" s="2" t="str">
        <f>HYPERLINK("https://www.compass.com/listing/200-east-94th-street-unit-311-manhattan-ny-10128/29423426682821761/","200 E 94th St, Unit 311")</f>
        <v>200 E 94th St, Unit 311</v>
      </c>
      <c r="B6441" s="2" t="str">
        <f t="shared" si="1042"/>
        <v>Carnegie Park Condominium</v>
      </c>
      <c r="C6441" s="1" t="s">
        <v>82</v>
      </c>
      <c r="D6441" s="1" t="s">
        <v>41</v>
      </c>
      <c r="E6441" s="3">
        <v>805952</v>
      </c>
      <c r="F6441" s="1">
        <v>943.73770491803202</v>
      </c>
      <c r="M6441" s="1">
        <v>854</v>
      </c>
      <c r="Q6441" s="1" t="s">
        <v>42</v>
      </c>
      <c r="S6441" s="1" t="s">
        <v>42</v>
      </c>
      <c r="T6441" s="1" t="s">
        <v>273</v>
      </c>
      <c r="AA6441" s="1">
        <v>805952</v>
      </c>
      <c r="AB6441" s="1" t="s">
        <v>4675</v>
      </c>
      <c r="AC6441" s="5">
        <v>42327</v>
      </c>
      <c r="AF6441" s="1">
        <v>10128</v>
      </c>
      <c r="AI6441" s="1" t="s">
        <v>163</v>
      </c>
      <c r="AJ6441" s="1">
        <v>1986</v>
      </c>
      <c r="AK6441" s="1" t="s">
        <v>55</v>
      </c>
      <c r="AL6441" s="1">
        <v>287</v>
      </c>
    </row>
    <row r="6442" spans="1:38" x14ac:dyDescent="0.2">
      <c r="A6442" s="2" t="str">
        <f>HYPERLINK("https://www.compass.com/listing/200-east-94th-street-unit-307-manhattan-ny-10128/29423427026690257/","200 E 94th St, Unit 307")</f>
        <v>200 E 94th St, Unit 307</v>
      </c>
      <c r="B6442" s="2" t="str">
        <f t="shared" si="1042"/>
        <v>Carnegie Park Condominium</v>
      </c>
      <c r="C6442" s="1" t="s">
        <v>82</v>
      </c>
      <c r="D6442" s="1" t="s">
        <v>41</v>
      </c>
      <c r="E6442" s="3">
        <v>1783181</v>
      </c>
      <c r="F6442" s="1">
        <v>1440.37272213247</v>
      </c>
      <c r="M6442" s="4">
        <v>1238</v>
      </c>
      <c r="Q6442" s="1" t="s">
        <v>42</v>
      </c>
      <c r="S6442" s="1" t="s">
        <v>42</v>
      </c>
      <c r="T6442" s="1" t="s">
        <v>273</v>
      </c>
      <c r="AA6442" s="1">
        <v>1783181.43</v>
      </c>
      <c r="AB6442" s="1" t="s">
        <v>4676</v>
      </c>
      <c r="AC6442" s="5">
        <v>42452</v>
      </c>
      <c r="AF6442" s="1">
        <v>10128</v>
      </c>
      <c r="AI6442" s="1" t="s">
        <v>163</v>
      </c>
      <c r="AJ6442" s="1">
        <v>1986</v>
      </c>
      <c r="AK6442" s="1" t="s">
        <v>55</v>
      </c>
      <c r="AL6442" s="1">
        <v>287</v>
      </c>
    </row>
    <row r="6443" spans="1:38" x14ac:dyDescent="0.2">
      <c r="A6443" s="2" t="str">
        <f>HYPERLINK("https://www.compass.com/listing/200-east-94th-street-unit-305-manhattan-ny-10128/29423427337124257/","200 E 94th St, Unit 305")</f>
        <v>200 E 94th St, Unit 305</v>
      </c>
      <c r="B6443" s="2" t="str">
        <f t="shared" si="1042"/>
        <v>Carnegie Park Condominium</v>
      </c>
      <c r="C6443" s="1" t="s">
        <v>82</v>
      </c>
      <c r="D6443" s="1" t="s">
        <v>41</v>
      </c>
      <c r="E6443" s="3">
        <v>613398</v>
      </c>
      <c r="F6443" s="1">
        <v>1202.74092156862</v>
      </c>
      <c r="M6443" s="1">
        <v>510</v>
      </c>
      <c r="Q6443" s="1" t="s">
        <v>42</v>
      </c>
      <c r="S6443" s="1" t="s">
        <v>42</v>
      </c>
      <c r="T6443" s="1" t="s">
        <v>273</v>
      </c>
      <c r="AA6443" s="1">
        <v>613397.87</v>
      </c>
      <c r="AB6443" s="1" t="s">
        <v>4677</v>
      </c>
      <c r="AC6443" s="5">
        <v>42514</v>
      </c>
      <c r="AF6443" s="1">
        <v>10128</v>
      </c>
      <c r="AI6443" s="1" t="s">
        <v>163</v>
      </c>
      <c r="AJ6443" s="1">
        <v>1986</v>
      </c>
      <c r="AK6443" s="1" t="s">
        <v>55</v>
      </c>
      <c r="AL6443" s="1">
        <v>287</v>
      </c>
    </row>
    <row r="6444" spans="1:38" x14ac:dyDescent="0.2">
      <c r="A6444" s="2" t="str">
        <f>HYPERLINK("https://www.compass.com/listing/200-east-94th-street-unit-303-manhattan-ny-10128/29423427647511697/","200 E 94th St, Unit 303")</f>
        <v>200 E 94th St, Unit 303</v>
      </c>
      <c r="B6444" s="2" t="str">
        <f t="shared" si="1042"/>
        <v>Carnegie Park Condominium</v>
      </c>
      <c r="C6444" s="1" t="s">
        <v>82</v>
      </c>
      <c r="D6444" s="1" t="s">
        <v>41</v>
      </c>
      <c r="E6444" s="3">
        <v>552284</v>
      </c>
      <c r="F6444" s="1">
        <v>1091.47055335968</v>
      </c>
      <c r="M6444" s="1">
        <v>506</v>
      </c>
      <c r="Q6444" s="1" t="s">
        <v>42</v>
      </c>
      <c r="S6444" s="1" t="s">
        <v>42</v>
      </c>
      <c r="T6444" s="1" t="s">
        <v>273</v>
      </c>
      <c r="AA6444" s="1">
        <v>552284.1</v>
      </c>
      <c r="AB6444" s="1" t="s">
        <v>4678</v>
      </c>
      <c r="AC6444" s="5">
        <v>42361</v>
      </c>
      <c r="AF6444" s="1">
        <v>10128</v>
      </c>
      <c r="AI6444" s="1" t="s">
        <v>163</v>
      </c>
      <c r="AJ6444" s="1">
        <v>1986</v>
      </c>
      <c r="AK6444" s="1" t="s">
        <v>55</v>
      </c>
      <c r="AL6444" s="1">
        <v>287</v>
      </c>
    </row>
    <row r="6445" spans="1:38" x14ac:dyDescent="0.2">
      <c r="A6445" s="2" t="str">
        <f>HYPERLINK("https://www.compass.com/listing/200-east-94th-street-unit-301-manhattan-ny-10128/29423427957825777/","200 E 94th St, Unit 301")</f>
        <v>200 E 94th St, Unit 301</v>
      </c>
      <c r="B6445" s="2" t="str">
        <f t="shared" si="1042"/>
        <v>Carnegie Park Condominium</v>
      </c>
      <c r="C6445" s="1" t="s">
        <v>82</v>
      </c>
      <c r="D6445" s="1" t="s">
        <v>41</v>
      </c>
      <c r="E6445" s="3">
        <v>1634201</v>
      </c>
      <c r="F6445" s="1">
        <v>1559.3517461832</v>
      </c>
      <c r="H6445" s="1">
        <v>2</v>
      </c>
      <c r="J6445" s="1">
        <v>2</v>
      </c>
      <c r="M6445" s="4">
        <v>1048</v>
      </c>
      <c r="N6445" s="1">
        <v>1136</v>
      </c>
      <c r="O6445" s="1">
        <v>2343</v>
      </c>
      <c r="P6445" s="1">
        <v>1207</v>
      </c>
      <c r="Q6445" s="1" t="s">
        <v>42</v>
      </c>
      <c r="S6445" s="1" t="s">
        <v>42</v>
      </c>
      <c r="T6445" s="1" t="s">
        <v>273</v>
      </c>
      <c r="AA6445" s="1">
        <v>1634200.63</v>
      </c>
      <c r="AB6445" s="1" t="s">
        <v>4679</v>
      </c>
      <c r="AC6445" s="5">
        <v>42537</v>
      </c>
      <c r="AF6445" s="1">
        <v>10128</v>
      </c>
      <c r="AI6445" s="1" t="s">
        <v>163</v>
      </c>
      <c r="AJ6445" s="1">
        <v>1986</v>
      </c>
      <c r="AK6445" s="1" t="s">
        <v>55</v>
      </c>
      <c r="AL6445" s="1">
        <v>287</v>
      </c>
    </row>
    <row r="6446" spans="1:38" x14ac:dyDescent="0.2">
      <c r="A6446" s="2" t="str">
        <f>HYPERLINK("https://www.compass.com/listing/200-east-94th-street-unit-302-manhattan-ny-10128/29423428318591425/","200 E 94th St, Unit 302")</f>
        <v>200 E 94th St, Unit 302</v>
      </c>
      <c r="B6446" s="2" t="str">
        <f t="shared" si="1042"/>
        <v>Carnegie Park Condominium</v>
      </c>
      <c r="C6446" s="1" t="s">
        <v>82</v>
      </c>
      <c r="D6446" s="1" t="s">
        <v>41</v>
      </c>
      <c r="E6446" s="3">
        <v>976125</v>
      </c>
      <c r="F6446" s="1">
        <v>1262.77490297542</v>
      </c>
      <c r="H6446" s="1">
        <v>1</v>
      </c>
      <c r="J6446" s="1">
        <v>1</v>
      </c>
      <c r="M6446" s="1">
        <v>773</v>
      </c>
      <c r="N6446" s="1">
        <v>839</v>
      </c>
      <c r="O6446" s="1">
        <v>1731</v>
      </c>
      <c r="P6446" s="1">
        <v>892</v>
      </c>
      <c r="Q6446" s="1" t="s">
        <v>42</v>
      </c>
      <c r="S6446" s="1" t="s">
        <v>42</v>
      </c>
      <c r="T6446" s="1" t="s">
        <v>273</v>
      </c>
      <c r="AA6446" s="1">
        <v>976125</v>
      </c>
      <c r="AB6446" s="1" t="s">
        <v>4680</v>
      </c>
      <c r="AC6446" s="5">
        <v>42473</v>
      </c>
      <c r="AF6446" s="1">
        <v>10128</v>
      </c>
      <c r="AI6446" s="1" t="s">
        <v>163</v>
      </c>
      <c r="AJ6446" s="1">
        <v>1986</v>
      </c>
      <c r="AK6446" s="1" t="s">
        <v>55</v>
      </c>
      <c r="AL6446" s="1">
        <v>287</v>
      </c>
    </row>
    <row r="6447" spans="1:38" x14ac:dyDescent="0.2">
      <c r="A6447" s="2" t="str">
        <f>HYPERLINK("https://www.compass.com/listing/200-east-94th-street-unit-304-manhattan-ny-10128/29423428687699105/","200 E 94th St, Unit 304")</f>
        <v>200 E 94th St, Unit 304</v>
      </c>
      <c r="B6447" s="2" t="str">
        <f t="shared" si="1042"/>
        <v>Carnegie Park Condominium</v>
      </c>
      <c r="C6447" s="1" t="s">
        <v>82</v>
      </c>
      <c r="D6447" s="1" t="s">
        <v>41</v>
      </c>
      <c r="E6447" s="3">
        <v>1966864</v>
      </c>
      <c r="F6447" s="1">
        <v>1397.91323383084</v>
      </c>
      <c r="M6447" s="4">
        <v>1407</v>
      </c>
      <c r="Q6447" s="1" t="s">
        <v>42</v>
      </c>
      <c r="S6447" s="1" t="s">
        <v>42</v>
      </c>
      <c r="T6447" s="1" t="s">
        <v>273</v>
      </c>
      <c r="AA6447" s="1">
        <v>1966863.92</v>
      </c>
      <c r="AB6447" s="1" t="s">
        <v>4681</v>
      </c>
      <c r="AC6447" s="5">
        <v>42556</v>
      </c>
      <c r="AF6447" s="1">
        <v>10128</v>
      </c>
      <c r="AI6447" s="1" t="s">
        <v>163</v>
      </c>
      <c r="AJ6447" s="1">
        <v>1986</v>
      </c>
      <c r="AK6447" s="1" t="s">
        <v>55</v>
      </c>
      <c r="AL6447" s="1">
        <v>287</v>
      </c>
    </row>
    <row r="6448" spans="1:38" x14ac:dyDescent="0.2">
      <c r="A6448" s="2" t="str">
        <f>HYPERLINK("https://www.compass.com/listing/200-east-94th-street-unit-312-manhattan-ny-10128/29423429358778833/","200 E 94th St, Unit 312")</f>
        <v>200 E 94th St, Unit 312</v>
      </c>
      <c r="B6448" s="2" t="str">
        <f t="shared" si="1042"/>
        <v>Carnegie Park Condominium</v>
      </c>
      <c r="C6448" s="1" t="s">
        <v>82</v>
      </c>
      <c r="D6448" s="1" t="s">
        <v>41</v>
      </c>
      <c r="E6448" s="3">
        <v>883651</v>
      </c>
      <c r="F6448" s="1">
        <v>1253.40509219858</v>
      </c>
      <c r="H6448" s="1">
        <v>2</v>
      </c>
      <c r="J6448" s="1">
        <v>2</v>
      </c>
      <c r="K6448" s="1">
        <v>2</v>
      </c>
      <c r="M6448" s="1">
        <v>705</v>
      </c>
      <c r="N6448" s="1">
        <v>780</v>
      </c>
      <c r="O6448" s="1">
        <v>1244.5</v>
      </c>
      <c r="P6448" s="1">
        <v>464.5</v>
      </c>
      <c r="Q6448" s="1" t="s">
        <v>42</v>
      </c>
      <c r="S6448" s="1" t="s">
        <v>42</v>
      </c>
      <c r="T6448" s="1" t="s">
        <v>273</v>
      </c>
      <c r="AA6448" s="1">
        <v>883650.59</v>
      </c>
      <c r="AB6448" s="1" t="s">
        <v>4682</v>
      </c>
      <c r="AC6448" s="5">
        <v>42496</v>
      </c>
      <c r="AF6448" s="1">
        <v>10128</v>
      </c>
      <c r="AI6448" s="1" t="s">
        <v>163</v>
      </c>
      <c r="AJ6448" s="1">
        <v>1986</v>
      </c>
      <c r="AK6448" s="1" t="s">
        <v>55</v>
      </c>
      <c r="AL6448" s="1">
        <v>287</v>
      </c>
    </row>
    <row r="6449" spans="1:38" x14ac:dyDescent="0.2">
      <c r="A6449" s="2" t="str">
        <f>HYPERLINK("https://www.compass.com/listing/200-east-94th-street-unit-415-manhattan-ny-10128/29423430088532257/","200 E 94th St, Unit 415")</f>
        <v>200 E 94th St, Unit 415</v>
      </c>
      <c r="B6449" s="2" t="str">
        <f t="shared" si="1042"/>
        <v>Carnegie Park Condominium</v>
      </c>
      <c r="C6449" s="1" t="s">
        <v>82</v>
      </c>
      <c r="D6449" s="1" t="s">
        <v>41</v>
      </c>
      <c r="E6449" s="3">
        <v>1563066</v>
      </c>
      <c r="F6449" s="1">
        <v>1452.66327137546</v>
      </c>
      <c r="H6449" s="1">
        <v>2</v>
      </c>
      <c r="J6449" s="1">
        <v>2</v>
      </c>
      <c r="M6449" s="4">
        <v>1076</v>
      </c>
      <c r="N6449" s="1">
        <v>1168</v>
      </c>
      <c r="O6449" s="1">
        <v>2409</v>
      </c>
      <c r="P6449" s="1">
        <v>1241</v>
      </c>
      <c r="Q6449" s="1" t="s">
        <v>42</v>
      </c>
      <c r="S6449" s="1" t="s">
        <v>42</v>
      </c>
      <c r="T6449" s="1" t="s">
        <v>273</v>
      </c>
      <c r="AA6449" s="1">
        <v>1563065.68</v>
      </c>
      <c r="AB6449" s="1" t="s">
        <v>4683</v>
      </c>
      <c r="AC6449" s="5">
        <v>42459</v>
      </c>
      <c r="AF6449" s="1">
        <v>10128</v>
      </c>
      <c r="AI6449" s="1" t="s">
        <v>163</v>
      </c>
      <c r="AJ6449" s="1">
        <v>1986</v>
      </c>
      <c r="AK6449" s="1" t="s">
        <v>55</v>
      </c>
      <c r="AL6449" s="1">
        <v>287</v>
      </c>
    </row>
    <row r="6450" spans="1:38" x14ac:dyDescent="0.2">
      <c r="A6450" s="2" t="str">
        <f>HYPERLINK("https://www.compass.com/listing/200-east-94th-street-unit-416-manhattan-ny-10128/29423430566738401/","200 E 94th St, Unit 416")</f>
        <v>200 E 94th St, Unit 416</v>
      </c>
      <c r="B6450" s="2" t="str">
        <f t="shared" si="1042"/>
        <v>Carnegie Park Condominium</v>
      </c>
      <c r="C6450" s="1" t="s">
        <v>82</v>
      </c>
      <c r="D6450" s="1" t="s">
        <v>41</v>
      </c>
      <c r="E6450" s="3">
        <v>823069</v>
      </c>
      <c r="F6450" s="1">
        <v>1169.13180397727</v>
      </c>
      <c r="M6450" s="1">
        <v>704</v>
      </c>
      <c r="Q6450" s="1" t="s">
        <v>42</v>
      </c>
      <c r="S6450" s="1" t="s">
        <v>42</v>
      </c>
      <c r="T6450" s="1" t="s">
        <v>273</v>
      </c>
      <c r="AA6450" s="1">
        <v>823068.79</v>
      </c>
      <c r="AB6450" s="1" t="s">
        <v>4684</v>
      </c>
      <c r="AC6450" s="5">
        <v>42489</v>
      </c>
      <c r="AF6450" s="1">
        <v>10128</v>
      </c>
      <c r="AI6450" s="1" t="s">
        <v>163</v>
      </c>
      <c r="AJ6450" s="1">
        <v>1986</v>
      </c>
      <c r="AK6450" s="1" t="s">
        <v>55</v>
      </c>
      <c r="AL6450" s="1">
        <v>287</v>
      </c>
    </row>
    <row r="6451" spans="1:38" x14ac:dyDescent="0.2">
      <c r="A6451" s="2" t="str">
        <f>HYPERLINK("https://www.compass.com/listing/200-east-94th-street-unit-418-manhattan-ny-10128/29423430860348609/","200 E 94th St, Unit 418")</f>
        <v>200 E 94th St, Unit 418</v>
      </c>
      <c r="B6451" s="2" t="str">
        <f t="shared" si="1042"/>
        <v>Carnegie Park Condominium</v>
      </c>
      <c r="C6451" s="1" t="s">
        <v>82</v>
      </c>
      <c r="D6451" s="1" t="s">
        <v>41</v>
      </c>
      <c r="E6451" s="3">
        <v>808241</v>
      </c>
      <c r="F6451" s="1">
        <v>1012.83388471177</v>
      </c>
      <c r="M6451" s="1">
        <v>798</v>
      </c>
      <c r="Q6451" s="1" t="s">
        <v>42</v>
      </c>
      <c r="S6451" s="1" t="s">
        <v>42</v>
      </c>
      <c r="T6451" s="1" t="s">
        <v>273</v>
      </c>
      <c r="AA6451" s="1">
        <v>808241.44</v>
      </c>
      <c r="AB6451" s="1" t="s">
        <v>4685</v>
      </c>
      <c r="AC6451" s="5">
        <v>42382</v>
      </c>
      <c r="AF6451" s="1">
        <v>10128</v>
      </c>
      <c r="AI6451" s="1" t="s">
        <v>163</v>
      </c>
      <c r="AJ6451" s="1">
        <v>1986</v>
      </c>
      <c r="AK6451" s="1" t="s">
        <v>55</v>
      </c>
      <c r="AL6451" s="1">
        <v>287</v>
      </c>
    </row>
    <row r="6452" spans="1:38" x14ac:dyDescent="0.2">
      <c r="A6452" s="2" t="str">
        <f>HYPERLINK("https://www.compass.com/listing/200-east-94th-street-unit-420-manhattan-ny-10128/29423431187439937/","200 E 94th St, Unit 420")</f>
        <v>200 E 94th St, Unit 420</v>
      </c>
      <c r="B6452" s="2" t="str">
        <f t="shared" si="1042"/>
        <v>Carnegie Park Condominium</v>
      </c>
      <c r="C6452" s="1" t="s">
        <v>82</v>
      </c>
      <c r="D6452" s="1" t="s">
        <v>41</v>
      </c>
      <c r="E6452" s="3">
        <v>879177</v>
      </c>
      <c r="F6452" s="1">
        <v>708.44265914585003</v>
      </c>
      <c r="H6452" s="1">
        <v>1</v>
      </c>
      <c r="J6452" s="1">
        <v>1</v>
      </c>
      <c r="M6452" s="4">
        <v>1241</v>
      </c>
      <c r="N6452" s="1">
        <v>791</v>
      </c>
      <c r="O6452" s="1">
        <v>1631</v>
      </c>
      <c r="P6452" s="1">
        <v>840</v>
      </c>
      <c r="Q6452" s="1" t="s">
        <v>42</v>
      </c>
      <c r="S6452" s="1" t="s">
        <v>42</v>
      </c>
      <c r="T6452" s="1" t="s">
        <v>273</v>
      </c>
      <c r="AA6452" s="1">
        <v>879177.34</v>
      </c>
      <c r="AB6452" s="1" t="s">
        <v>4686</v>
      </c>
      <c r="AC6452" s="5">
        <v>42396</v>
      </c>
      <c r="AF6452" s="1">
        <v>10128</v>
      </c>
      <c r="AI6452" s="1" t="s">
        <v>163</v>
      </c>
      <c r="AJ6452" s="1">
        <v>1986</v>
      </c>
      <c r="AK6452" s="1" t="s">
        <v>55</v>
      </c>
      <c r="AL6452" s="1">
        <v>287</v>
      </c>
    </row>
    <row r="6453" spans="1:38" x14ac:dyDescent="0.2">
      <c r="A6453" s="2" t="str">
        <f>HYPERLINK("https://www.compass.com/listing/200-east-94th-street-unit-422-manhattan-ny-10128/29423431573371377/","200 E 94th St, Unit 422")</f>
        <v>200 E 94th St, Unit 422</v>
      </c>
      <c r="B6453" s="2" t="str">
        <f t="shared" si="1042"/>
        <v>Carnegie Park Condominium</v>
      </c>
      <c r="C6453" s="1" t="s">
        <v>82</v>
      </c>
      <c r="D6453" s="1" t="s">
        <v>41</v>
      </c>
      <c r="E6453" s="3">
        <v>853673</v>
      </c>
      <c r="F6453" s="1">
        <v>1192.28115921787</v>
      </c>
      <c r="M6453" s="1">
        <v>716</v>
      </c>
      <c r="Q6453" s="1" t="s">
        <v>42</v>
      </c>
      <c r="S6453" s="1" t="s">
        <v>42</v>
      </c>
      <c r="T6453" s="1" t="s">
        <v>273</v>
      </c>
      <c r="AA6453" s="1">
        <v>853673.31</v>
      </c>
      <c r="AB6453" s="1" t="s">
        <v>4687</v>
      </c>
      <c r="AC6453" s="5">
        <v>42480</v>
      </c>
      <c r="AF6453" s="1">
        <v>10128</v>
      </c>
      <c r="AI6453" s="1" t="s">
        <v>163</v>
      </c>
      <c r="AJ6453" s="1">
        <v>1986</v>
      </c>
      <c r="AK6453" s="1" t="s">
        <v>55</v>
      </c>
      <c r="AL6453" s="1">
        <v>287</v>
      </c>
    </row>
    <row r="6454" spans="1:38" x14ac:dyDescent="0.2">
      <c r="A6454" s="2" t="str">
        <f>HYPERLINK("https://www.compass.com/listing/200-east-94th-street-unit-424-manhattan-ny-10128/29423431858592977/","200 E 94th St, Unit 424")</f>
        <v>200 E 94th St, Unit 424</v>
      </c>
      <c r="B6454" s="2" t="str">
        <f t="shared" si="1042"/>
        <v>Carnegie Park Condominium</v>
      </c>
      <c r="C6454" s="1" t="s">
        <v>82</v>
      </c>
      <c r="D6454" s="1" t="s">
        <v>41</v>
      </c>
      <c r="E6454" s="3">
        <v>817912</v>
      </c>
      <c r="F6454" s="1">
        <v>1185.3790579710101</v>
      </c>
      <c r="M6454" s="1">
        <v>690</v>
      </c>
      <c r="Q6454" s="1" t="s">
        <v>42</v>
      </c>
      <c r="S6454" s="1" t="s">
        <v>42</v>
      </c>
      <c r="T6454" s="1" t="s">
        <v>273</v>
      </c>
      <c r="AA6454" s="1">
        <v>817911.55</v>
      </c>
      <c r="AB6454" s="1" t="s">
        <v>4688</v>
      </c>
      <c r="AC6454" s="5">
        <v>42423</v>
      </c>
      <c r="AF6454" s="1">
        <v>10128</v>
      </c>
      <c r="AI6454" s="1" t="s">
        <v>163</v>
      </c>
      <c r="AJ6454" s="1">
        <v>1986</v>
      </c>
      <c r="AK6454" s="1" t="s">
        <v>55</v>
      </c>
      <c r="AL6454" s="1">
        <v>287</v>
      </c>
    </row>
    <row r="6455" spans="1:38" x14ac:dyDescent="0.2">
      <c r="A6455" s="2" t="str">
        <f>HYPERLINK("https://www.compass.com/listing/200-east-94th-street-unit-426-manhattan-ny-10128/29423432210850145/","200 E 94th St, Unit 426")</f>
        <v>200 E 94th St, Unit 426</v>
      </c>
      <c r="B6455" s="2" t="str">
        <f t="shared" si="1042"/>
        <v>Carnegie Park Condominium</v>
      </c>
      <c r="C6455" s="1" t="s">
        <v>82</v>
      </c>
      <c r="D6455" s="1" t="s">
        <v>41</v>
      </c>
      <c r="E6455" s="3">
        <v>879073</v>
      </c>
      <c r="F6455" s="1">
        <v>1248.68319602272</v>
      </c>
      <c r="H6455" s="1">
        <v>1</v>
      </c>
      <c r="J6455" s="1">
        <v>1</v>
      </c>
      <c r="M6455" s="1">
        <v>704</v>
      </c>
      <c r="N6455" s="1">
        <v>767</v>
      </c>
      <c r="O6455" s="1">
        <v>1582</v>
      </c>
      <c r="P6455" s="1">
        <v>815</v>
      </c>
      <c r="Q6455" s="1" t="s">
        <v>42</v>
      </c>
      <c r="S6455" s="1" t="s">
        <v>42</v>
      </c>
      <c r="T6455" s="1" t="s">
        <v>273</v>
      </c>
      <c r="AA6455" s="1">
        <v>879072.97</v>
      </c>
      <c r="AB6455" s="1" t="s">
        <v>4689</v>
      </c>
      <c r="AC6455" s="5">
        <v>42405</v>
      </c>
      <c r="AF6455" s="1">
        <v>10128</v>
      </c>
      <c r="AI6455" s="1" t="s">
        <v>163</v>
      </c>
      <c r="AJ6455" s="1">
        <v>1986</v>
      </c>
      <c r="AK6455" s="1" t="s">
        <v>55</v>
      </c>
      <c r="AL6455" s="1">
        <v>287</v>
      </c>
    </row>
    <row r="6456" spans="1:38" x14ac:dyDescent="0.2">
      <c r="A6456" s="2" t="str">
        <f>HYPERLINK("https://www.compass.com/listing/200-east-94th-street-unit-425-manhattan-ny-10128/29423432571615745/","200 E 94th St, Unit 425")</f>
        <v>200 E 94th St, Unit 425</v>
      </c>
      <c r="B6456" s="2" t="str">
        <f t="shared" si="1042"/>
        <v>Carnegie Park Condominium</v>
      </c>
      <c r="C6456" s="1" t="s">
        <v>82</v>
      </c>
      <c r="D6456" s="1" t="s">
        <v>41</v>
      </c>
      <c r="E6456" s="3">
        <v>823079</v>
      </c>
      <c r="F6456" s="1">
        <v>1165.83385269121</v>
      </c>
      <c r="M6456" s="1">
        <v>706</v>
      </c>
      <c r="Q6456" s="1" t="s">
        <v>42</v>
      </c>
      <c r="S6456" s="1" t="s">
        <v>42</v>
      </c>
      <c r="T6456" s="1" t="s">
        <v>273</v>
      </c>
      <c r="AA6456" s="1">
        <v>823078.7</v>
      </c>
      <c r="AB6456" s="1" t="s">
        <v>4690</v>
      </c>
      <c r="AC6456" s="5">
        <v>42432</v>
      </c>
      <c r="AF6456" s="1">
        <v>10128</v>
      </c>
      <c r="AI6456" s="1" t="s">
        <v>163</v>
      </c>
      <c r="AJ6456" s="1">
        <v>1986</v>
      </c>
      <c r="AK6456" s="1" t="s">
        <v>55</v>
      </c>
      <c r="AL6456" s="1">
        <v>287</v>
      </c>
    </row>
    <row r="6457" spans="1:38" x14ac:dyDescent="0.2">
      <c r="A6457" s="2" t="str">
        <f>HYPERLINK("https://www.compass.com/listing/200-east-94th-street-unit-421-manhattan-ny-10128/29423432882003169/","200 E 94th St, Unit 421")</f>
        <v>200 E 94th St, Unit 421</v>
      </c>
      <c r="B6457" s="2" t="str">
        <f t="shared" si="1042"/>
        <v>Carnegie Park Condominium</v>
      </c>
      <c r="C6457" s="1" t="s">
        <v>82</v>
      </c>
      <c r="D6457" s="1" t="s">
        <v>41</v>
      </c>
      <c r="E6457" s="3">
        <v>1747916</v>
      </c>
      <c r="F6457" s="1">
        <v>1243.1833072546201</v>
      </c>
      <c r="M6457" s="4">
        <v>1406</v>
      </c>
      <c r="Q6457" s="1" t="s">
        <v>42</v>
      </c>
      <c r="S6457" s="1" t="s">
        <v>42</v>
      </c>
      <c r="T6457" s="1" t="s">
        <v>273</v>
      </c>
      <c r="AA6457" s="1">
        <v>1747915.73</v>
      </c>
      <c r="AB6457" s="1" t="s">
        <v>4691</v>
      </c>
      <c r="AC6457" s="5">
        <v>42459</v>
      </c>
      <c r="AF6457" s="1">
        <v>10128</v>
      </c>
      <c r="AI6457" s="1" t="s">
        <v>163</v>
      </c>
      <c r="AJ6457" s="1">
        <v>1986</v>
      </c>
      <c r="AK6457" s="1" t="s">
        <v>55</v>
      </c>
      <c r="AL6457" s="1">
        <v>287</v>
      </c>
    </row>
    <row r="6458" spans="1:38" x14ac:dyDescent="0.2">
      <c r="A6458" s="2" t="str">
        <f>HYPERLINK("https://www.compass.com/listing/200-east-94th-street-unit-411-manhattan-ny-10128/29423433553082913/","200 E 94th St, Unit 411")</f>
        <v>200 E 94th St, Unit 411</v>
      </c>
      <c r="B6458" s="2" t="str">
        <f t="shared" si="1042"/>
        <v>Carnegie Park Condominium</v>
      </c>
      <c r="C6458" s="1" t="s">
        <v>82</v>
      </c>
      <c r="D6458" s="1" t="s">
        <v>41</v>
      </c>
      <c r="E6458" s="3">
        <v>1139016</v>
      </c>
      <c r="F6458" s="1">
        <v>1333.74238875878</v>
      </c>
      <c r="H6458" s="1">
        <v>1</v>
      </c>
      <c r="J6458" s="1">
        <v>1</v>
      </c>
      <c r="M6458" s="1">
        <v>854</v>
      </c>
      <c r="N6458" s="1">
        <v>929</v>
      </c>
      <c r="O6458" s="1">
        <v>1916</v>
      </c>
      <c r="P6458" s="1">
        <v>987</v>
      </c>
      <c r="Q6458" s="1" t="s">
        <v>42</v>
      </c>
      <c r="S6458" s="1" t="s">
        <v>42</v>
      </c>
      <c r="T6458" s="1" t="s">
        <v>273</v>
      </c>
      <c r="AA6458" s="1">
        <v>1139016</v>
      </c>
      <c r="AB6458" s="1" t="s">
        <v>4692</v>
      </c>
      <c r="AC6458" s="5">
        <v>42453</v>
      </c>
      <c r="AF6458" s="1">
        <v>10128</v>
      </c>
      <c r="AI6458" s="1" t="s">
        <v>163</v>
      </c>
      <c r="AJ6458" s="1">
        <v>1986</v>
      </c>
      <c r="AK6458" s="1" t="s">
        <v>55</v>
      </c>
      <c r="AL6458" s="1">
        <v>287</v>
      </c>
    </row>
    <row r="6459" spans="1:38" x14ac:dyDescent="0.2">
      <c r="A6459" s="2" t="str">
        <f>HYPERLINK("https://www.compass.com/listing/200-east-94th-street-unit-409-manhattan-ny-10128/29423433922190577/","200 E 94th St, Unit 409")</f>
        <v>200 E 94th St, Unit 409</v>
      </c>
      <c r="B6459" s="2" t="str">
        <f t="shared" si="1042"/>
        <v>Carnegie Park Condominium</v>
      </c>
      <c r="C6459" s="1" t="s">
        <v>82</v>
      </c>
      <c r="D6459" s="1" t="s">
        <v>41</v>
      </c>
      <c r="E6459" s="3">
        <v>623609</v>
      </c>
      <c r="F6459" s="1">
        <v>1213.2468482490201</v>
      </c>
      <c r="M6459" s="1">
        <v>514</v>
      </c>
      <c r="Q6459" s="1" t="s">
        <v>42</v>
      </c>
      <c r="S6459" s="1" t="s">
        <v>42</v>
      </c>
      <c r="T6459" s="1" t="s">
        <v>273</v>
      </c>
      <c r="AA6459" s="1">
        <v>623608.88</v>
      </c>
      <c r="AB6459" s="1" t="s">
        <v>4693</v>
      </c>
      <c r="AC6459" s="5">
        <v>42458</v>
      </c>
      <c r="AF6459" s="1">
        <v>10128</v>
      </c>
      <c r="AI6459" s="1" t="s">
        <v>163</v>
      </c>
      <c r="AJ6459" s="1">
        <v>1986</v>
      </c>
      <c r="AK6459" s="1" t="s">
        <v>55</v>
      </c>
      <c r="AL6459" s="1">
        <v>287</v>
      </c>
    </row>
    <row r="6460" spans="1:38" x14ac:dyDescent="0.2">
      <c r="A6460" s="2" t="str">
        <f>HYPERLINK("https://www.compass.com/listing/200-east-94th-street-unit-407-manhattan-ny-10128/29423434249281937/","200 E 94th St, Unit 407")</f>
        <v>200 E 94th St, Unit 407</v>
      </c>
      <c r="B6460" s="2" t="str">
        <f t="shared" si="1042"/>
        <v>Carnegie Park Condominium</v>
      </c>
      <c r="C6460" s="1" t="s">
        <v>82</v>
      </c>
      <c r="D6460" s="1" t="s">
        <v>41</v>
      </c>
      <c r="E6460" s="3">
        <v>996267</v>
      </c>
      <c r="F6460" s="1">
        <v>1376.058839779</v>
      </c>
      <c r="M6460" s="1">
        <v>724</v>
      </c>
      <c r="Q6460" s="1" t="s">
        <v>42</v>
      </c>
      <c r="S6460" s="1" t="s">
        <v>42</v>
      </c>
      <c r="T6460" s="1" t="s">
        <v>273</v>
      </c>
      <c r="AA6460" s="1">
        <v>996266.6</v>
      </c>
      <c r="AB6460" s="1" t="s">
        <v>4694</v>
      </c>
      <c r="AC6460" s="5">
        <v>42430</v>
      </c>
      <c r="AF6460" s="1">
        <v>10128</v>
      </c>
      <c r="AI6460" s="1" t="s">
        <v>163</v>
      </c>
      <c r="AJ6460" s="1">
        <v>1986</v>
      </c>
      <c r="AK6460" s="1" t="s">
        <v>55</v>
      </c>
      <c r="AL6460" s="1">
        <v>287</v>
      </c>
    </row>
    <row r="6461" spans="1:38" x14ac:dyDescent="0.2">
      <c r="A6461" s="2" t="str">
        <f>HYPERLINK("https://www.compass.com/listing/200-east-94th-street-unit-405-manhattan-ny-10128/29423434551327281/","200 E 94th St, Unit 405")</f>
        <v>200 E 94th St, Unit 405</v>
      </c>
      <c r="B6461" s="2" t="str">
        <f t="shared" si="1042"/>
        <v>Carnegie Park Condominium</v>
      </c>
      <c r="C6461" s="1" t="s">
        <v>82</v>
      </c>
      <c r="D6461" s="1" t="s">
        <v>41</v>
      </c>
      <c r="E6461" s="3">
        <v>618499</v>
      </c>
      <c r="F6461" s="1">
        <v>1212.74278431372</v>
      </c>
      <c r="M6461" s="1">
        <v>510</v>
      </c>
      <c r="Q6461" s="1" t="s">
        <v>42</v>
      </c>
      <c r="S6461" s="1" t="s">
        <v>42</v>
      </c>
      <c r="T6461" s="1" t="s">
        <v>273</v>
      </c>
      <c r="AA6461" s="1">
        <v>618498.81999999995</v>
      </c>
      <c r="AB6461" s="1" t="s">
        <v>4695</v>
      </c>
      <c r="AC6461" s="5">
        <v>42398</v>
      </c>
      <c r="AF6461" s="1">
        <v>10128</v>
      </c>
      <c r="AI6461" s="1" t="s">
        <v>163</v>
      </c>
      <c r="AJ6461" s="1">
        <v>1986</v>
      </c>
      <c r="AK6461" s="1" t="s">
        <v>55</v>
      </c>
      <c r="AL6461" s="1">
        <v>287</v>
      </c>
    </row>
    <row r="6462" spans="1:38" x14ac:dyDescent="0.2">
      <c r="A6462" s="2" t="str">
        <f>HYPERLINK("https://www.compass.com/listing/200-east-94th-street-unit-401-manhattan-ny-10128/29423434861714705/","200 E 94th St, Unit 401")</f>
        <v>200 E 94th St, Unit 401</v>
      </c>
      <c r="B6462" s="2" t="str">
        <f t="shared" si="1042"/>
        <v>Carnegie Park Condominium</v>
      </c>
      <c r="C6462" s="1" t="s">
        <v>82</v>
      </c>
      <c r="D6462" s="1" t="s">
        <v>41</v>
      </c>
      <c r="E6462" s="3">
        <v>2553074</v>
      </c>
      <c r="F6462" s="1">
        <v>1642.90444015444</v>
      </c>
      <c r="H6462" s="1">
        <v>3</v>
      </c>
      <c r="J6462" s="1">
        <v>2</v>
      </c>
      <c r="M6462" s="4">
        <v>1554</v>
      </c>
      <c r="N6462" s="1">
        <v>1692</v>
      </c>
      <c r="O6462" s="1">
        <v>3490</v>
      </c>
      <c r="P6462" s="1">
        <v>1798</v>
      </c>
      <c r="Q6462" s="1" t="s">
        <v>42</v>
      </c>
      <c r="S6462" s="1" t="s">
        <v>42</v>
      </c>
      <c r="T6462" s="1" t="s">
        <v>273</v>
      </c>
      <c r="AA6462" s="1">
        <v>2553073.5</v>
      </c>
      <c r="AB6462" s="1" t="s">
        <v>4696</v>
      </c>
      <c r="AC6462" s="5">
        <v>42447</v>
      </c>
      <c r="AF6462" s="1">
        <v>10128</v>
      </c>
      <c r="AI6462" s="1" t="s">
        <v>163</v>
      </c>
      <c r="AJ6462" s="1">
        <v>1986</v>
      </c>
      <c r="AK6462" s="1" t="s">
        <v>55</v>
      </c>
      <c r="AL6462" s="1">
        <v>287</v>
      </c>
    </row>
    <row r="6463" spans="1:38" x14ac:dyDescent="0.2">
      <c r="A6463" s="2" t="str">
        <f>HYPERLINK("https://www.compass.com/listing/200-east-94th-street-unit-404-manhattan-ny-10128/29423435557960257/","200 E 94th St, Unit 404")</f>
        <v>200 E 94th St, Unit 404</v>
      </c>
      <c r="B6463" s="2" t="str">
        <f t="shared" si="1042"/>
        <v>Carnegie Park Condominium</v>
      </c>
      <c r="C6463" s="1" t="s">
        <v>82</v>
      </c>
      <c r="D6463" s="1" t="s">
        <v>41</v>
      </c>
      <c r="E6463" s="3">
        <v>2043251</v>
      </c>
      <c r="F6463" s="1">
        <v>1452.2041151385899</v>
      </c>
      <c r="M6463" s="4">
        <v>1407</v>
      </c>
      <c r="Q6463" s="1" t="s">
        <v>42</v>
      </c>
      <c r="S6463" s="1" t="s">
        <v>42</v>
      </c>
      <c r="T6463" s="1" t="s">
        <v>273</v>
      </c>
      <c r="AA6463" s="1">
        <v>2043251.19</v>
      </c>
      <c r="AB6463" s="1" t="s">
        <v>4697</v>
      </c>
      <c r="AC6463" s="5">
        <v>42541</v>
      </c>
      <c r="AF6463" s="1">
        <v>10128</v>
      </c>
      <c r="AI6463" s="1" t="s">
        <v>163</v>
      </c>
      <c r="AJ6463" s="1">
        <v>1986</v>
      </c>
      <c r="AK6463" s="1" t="s">
        <v>55</v>
      </c>
      <c r="AL6463" s="1">
        <v>287</v>
      </c>
    </row>
    <row r="6464" spans="1:38" x14ac:dyDescent="0.2">
      <c r="A6464" s="2" t="str">
        <f>HYPERLINK("https://www.compass.com/listing/200-east-94th-street-unit-408-manhattan-ny-10128/29423435868347697/","200 E 94th St, Unit 408")</f>
        <v>200 E 94th St, Unit 408</v>
      </c>
      <c r="B6464" s="2" t="str">
        <f t="shared" si="1042"/>
        <v>Carnegie Park Condominium</v>
      </c>
      <c r="C6464" s="1" t="s">
        <v>82</v>
      </c>
      <c r="D6464" s="1" t="s">
        <v>41</v>
      </c>
      <c r="E6464" s="3">
        <v>1026804</v>
      </c>
      <c r="F6464" s="1">
        <v>1422.16664819944</v>
      </c>
      <c r="H6464" s="1">
        <v>1</v>
      </c>
      <c r="J6464" s="1">
        <v>1</v>
      </c>
      <c r="M6464" s="1">
        <v>722</v>
      </c>
      <c r="N6464" s="1">
        <v>790</v>
      </c>
      <c r="O6464" s="1">
        <v>1626</v>
      </c>
      <c r="P6464" s="1">
        <v>836</v>
      </c>
      <c r="Q6464" s="1" t="s">
        <v>42</v>
      </c>
      <c r="S6464" s="1" t="s">
        <v>42</v>
      </c>
      <c r="T6464" s="1" t="s">
        <v>273</v>
      </c>
      <c r="AA6464" s="1">
        <v>1026804.32</v>
      </c>
      <c r="AB6464" s="1" t="s">
        <v>4698</v>
      </c>
      <c r="AC6464" s="5">
        <v>42467</v>
      </c>
      <c r="AF6464" s="1">
        <v>10128</v>
      </c>
      <c r="AI6464" s="1" t="s">
        <v>163</v>
      </c>
      <c r="AJ6464" s="1">
        <v>1986</v>
      </c>
      <c r="AK6464" s="1" t="s">
        <v>55</v>
      </c>
      <c r="AL6464" s="1">
        <v>287</v>
      </c>
    </row>
    <row r="6465" spans="1:38" x14ac:dyDescent="0.2">
      <c r="A6465" s="2" t="str">
        <f>HYPERLINK("https://www.compass.com/listing/200-east-94th-street-unit-410-manhattan-ny-10128/29423436279325105/","200 E 94th St, Unit 410")</f>
        <v>200 E 94th St, Unit 410</v>
      </c>
      <c r="B6465" s="2" t="str">
        <f t="shared" si="1042"/>
        <v>Carnegie Park Condominium</v>
      </c>
      <c r="C6465" s="1" t="s">
        <v>82</v>
      </c>
      <c r="D6465" s="1" t="s">
        <v>41</v>
      </c>
      <c r="E6465" s="3">
        <v>547754</v>
      </c>
      <c r="F6465" s="1">
        <v>1063.6003300970799</v>
      </c>
      <c r="M6465" s="1">
        <v>515</v>
      </c>
      <c r="Q6465" s="1" t="s">
        <v>42</v>
      </c>
      <c r="S6465" s="1" t="s">
        <v>42</v>
      </c>
      <c r="T6465" s="1" t="s">
        <v>273</v>
      </c>
      <c r="AA6465" s="1">
        <v>547754.17000000004</v>
      </c>
      <c r="AB6465" s="1" t="s">
        <v>4699</v>
      </c>
      <c r="AC6465" s="5">
        <v>42354</v>
      </c>
      <c r="AF6465" s="1">
        <v>10128</v>
      </c>
      <c r="AI6465" s="1" t="s">
        <v>163</v>
      </c>
      <c r="AJ6465" s="1">
        <v>1986</v>
      </c>
      <c r="AK6465" s="1" t="s">
        <v>55</v>
      </c>
      <c r="AL6465" s="1">
        <v>287</v>
      </c>
    </row>
    <row r="6466" spans="1:38" x14ac:dyDescent="0.2">
      <c r="A6466" s="2" t="str">
        <f>HYPERLINK("https://www.compass.com/listing/200-east-94th-street-unit-414-manhattan-ny-10128/29423436866592065/","200 E 94th St, Unit 414")</f>
        <v>200 E 94th St, Unit 414</v>
      </c>
      <c r="B6466" s="2" t="str">
        <f t="shared" si="1042"/>
        <v>Carnegie Park Condominium</v>
      </c>
      <c r="C6466" s="1" t="s">
        <v>82</v>
      </c>
      <c r="D6466" s="1" t="s">
        <v>41</v>
      </c>
      <c r="E6466" s="3">
        <v>1440823</v>
      </c>
      <c r="F6466" s="1">
        <v>1352.8856150234701</v>
      </c>
      <c r="M6466" s="4">
        <v>1065</v>
      </c>
      <c r="Q6466" s="1" t="s">
        <v>42</v>
      </c>
      <c r="S6466" s="1" t="s">
        <v>42</v>
      </c>
      <c r="T6466" s="1" t="s">
        <v>273</v>
      </c>
      <c r="AA6466" s="1">
        <v>1440823.18</v>
      </c>
      <c r="AB6466" s="1" t="s">
        <v>4700</v>
      </c>
      <c r="AC6466" s="5">
        <v>42346</v>
      </c>
      <c r="AF6466" s="1">
        <v>10128</v>
      </c>
      <c r="AI6466" s="1" t="s">
        <v>163</v>
      </c>
      <c r="AJ6466" s="1">
        <v>1986</v>
      </c>
      <c r="AK6466" s="1" t="s">
        <v>55</v>
      </c>
      <c r="AL6466" s="1">
        <v>287</v>
      </c>
    </row>
    <row r="6467" spans="1:38" x14ac:dyDescent="0.2">
      <c r="A6467" s="2" t="str">
        <f>HYPERLINK("https://www.compass.com/listing/200-east-94th-street-unit-516-manhattan-ny-10128/29423437176906177/","200 E 94th St, Unit 516")</f>
        <v>200 E 94th St, Unit 516</v>
      </c>
      <c r="B6467" s="2" t="str">
        <f t="shared" si="1042"/>
        <v>Carnegie Park Condominium</v>
      </c>
      <c r="C6467" s="1" t="s">
        <v>82</v>
      </c>
      <c r="D6467" s="1" t="s">
        <v>41</v>
      </c>
      <c r="E6467" s="3">
        <v>933327</v>
      </c>
      <c r="F6467" s="1">
        <v>1325.74857954545</v>
      </c>
      <c r="M6467" s="1">
        <v>704</v>
      </c>
      <c r="Q6467" s="1" t="s">
        <v>42</v>
      </c>
      <c r="S6467" s="1" t="s">
        <v>42</v>
      </c>
      <c r="T6467" s="1" t="s">
        <v>273</v>
      </c>
      <c r="AA6467" s="1">
        <v>933327</v>
      </c>
      <c r="AB6467" s="1" t="s">
        <v>4701</v>
      </c>
      <c r="AC6467" s="5">
        <v>42632</v>
      </c>
      <c r="AF6467" s="1">
        <v>10128</v>
      </c>
      <c r="AI6467" s="1" t="s">
        <v>163</v>
      </c>
      <c r="AJ6467" s="1">
        <v>1986</v>
      </c>
      <c r="AK6467" s="1" t="s">
        <v>55</v>
      </c>
      <c r="AL6467" s="1">
        <v>287</v>
      </c>
    </row>
    <row r="6468" spans="1:38" x14ac:dyDescent="0.2">
      <c r="A6468" s="2" t="str">
        <f>HYPERLINK("https://www.compass.com/listing/200-east-94th-street-unit-518-manhattan-ny-10128/29423437470562913/","200 E 94th St, Unit 518")</f>
        <v>200 E 94th St, Unit 518</v>
      </c>
      <c r="B6468" s="2" t="str">
        <f t="shared" si="1042"/>
        <v>Carnegie Park Condominium</v>
      </c>
      <c r="C6468" s="1" t="s">
        <v>82</v>
      </c>
      <c r="D6468" s="1" t="s">
        <v>41</v>
      </c>
      <c r="E6468" s="3">
        <v>2107194</v>
      </c>
      <c r="F6468" s="1">
        <v>1382.6732086614099</v>
      </c>
      <c r="M6468" s="4">
        <v>1524</v>
      </c>
      <c r="Q6468" s="1" t="s">
        <v>42</v>
      </c>
      <c r="S6468" s="1" t="s">
        <v>42</v>
      </c>
      <c r="T6468" s="1" t="s">
        <v>273</v>
      </c>
      <c r="AA6468" s="1">
        <v>2107193.9700000002</v>
      </c>
      <c r="AB6468" s="1" t="s">
        <v>4702</v>
      </c>
      <c r="AC6468" s="5">
        <v>42397</v>
      </c>
      <c r="AF6468" s="1">
        <v>10128</v>
      </c>
      <c r="AI6468" s="1" t="s">
        <v>163</v>
      </c>
      <c r="AJ6468" s="1">
        <v>1986</v>
      </c>
      <c r="AK6468" s="1" t="s">
        <v>55</v>
      </c>
      <c r="AL6468" s="1">
        <v>287</v>
      </c>
    </row>
    <row r="6469" spans="1:38" x14ac:dyDescent="0.2">
      <c r="A6469" s="2" t="str">
        <f>HYPERLINK("https://www.compass.com/listing/200-east-94th-street-unit-521-manhattan-ny-10128/29423439039177201/","200 E 94th St, Unit 521")</f>
        <v>200 E 94th St, Unit 521</v>
      </c>
      <c r="B6469" s="2" t="str">
        <f t="shared" si="1042"/>
        <v>Carnegie Park Condominium</v>
      </c>
      <c r="C6469" s="1" t="s">
        <v>82</v>
      </c>
      <c r="D6469" s="1" t="s">
        <v>41</v>
      </c>
      <c r="E6469" s="3">
        <v>1839615</v>
      </c>
      <c r="F6469" s="1">
        <v>1308.4035775248899</v>
      </c>
      <c r="M6469" s="4">
        <v>1406</v>
      </c>
      <c r="Q6469" s="1" t="s">
        <v>42</v>
      </c>
      <c r="S6469" s="1" t="s">
        <v>42</v>
      </c>
      <c r="T6469" s="1" t="s">
        <v>273</v>
      </c>
      <c r="AA6469" s="1">
        <v>1839615.43</v>
      </c>
      <c r="AB6469" s="1" t="s">
        <v>4703</v>
      </c>
      <c r="AC6469" s="5">
        <v>42340</v>
      </c>
      <c r="AF6469" s="1">
        <v>10128</v>
      </c>
      <c r="AI6469" s="1" t="s">
        <v>163</v>
      </c>
      <c r="AJ6469" s="1">
        <v>1986</v>
      </c>
      <c r="AK6469" s="1" t="s">
        <v>55</v>
      </c>
      <c r="AL6469" s="1">
        <v>287</v>
      </c>
    </row>
    <row r="6470" spans="1:38" x14ac:dyDescent="0.2">
      <c r="A6470" s="2" t="str">
        <f>HYPERLINK("https://www.compass.com/listing/200-east-94th-street-unit-505-manhattan-ny-10128/29423441849425361/","200 E 94th St, Unit 505")</f>
        <v>200 E 94th St, Unit 505</v>
      </c>
      <c r="B6470" s="2" t="str">
        <f t="shared" si="1042"/>
        <v>Carnegie Park Condominium</v>
      </c>
      <c r="C6470" s="1" t="s">
        <v>82</v>
      </c>
      <c r="D6470" s="1" t="s">
        <v>41</v>
      </c>
      <c r="E6470" s="3">
        <v>715242</v>
      </c>
      <c r="F6470" s="1">
        <v>1402.4354117646999</v>
      </c>
      <c r="H6470" s="1" t="s">
        <v>99</v>
      </c>
      <c r="J6470" s="1">
        <v>1</v>
      </c>
      <c r="M6470" s="1">
        <v>510</v>
      </c>
      <c r="N6470" s="1">
        <v>560</v>
      </c>
      <c r="O6470" s="1">
        <v>1155</v>
      </c>
      <c r="P6470" s="1">
        <v>595</v>
      </c>
      <c r="Q6470" s="1" t="s">
        <v>42</v>
      </c>
      <c r="S6470" s="1" t="s">
        <v>42</v>
      </c>
      <c r="T6470" s="1" t="s">
        <v>273</v>
      </c>
      <c r="AA6470" s="1">
        <v>715242.06</v>
      </c>
      <c r="AB6470" s="1" t="s">
        <v>4704</v>
      </c>
      <c r="AC6470" s="5">
        <v>42418</v>
      </c>
      <c r="AF6470" s="1">
        <v>10128</v>
      </c>
      <c r="AI6470" s="1" t="s">
        <v>163</v>
      </c>
      <c r="AJ6470" s="1">
        <v>1986</v>
      </c>
      <c r="AK6470" s="1" t="s">
        <v>55</v>
      </c>
      <c r="AL6470" s="1">
        <v>287</v>
      </c>
    </row>
    <row r="6471" spans="1:38" x14ac:dyDescent="0.2">
      <c r="A6471" s="2" t="str">
        <f>HYPERLINK("https://www.compass.com/listing/200-east-94th-street-unit-504-manhattan-ny-10128/29423442646334193/","200 E 94th St, Unit 504")</f>
        <v>200 E 94th St, Unit 504</v>
      </c>
      <c r="B6471" s="2" t="str">
        <f t="shared" si="1042"/>
        <v>Carnegie Park Condominium</v>
      </c>
      <c r="C6471" s="1" t="s">
        <v>82</v>
      </c>
      <c r="D6471" s="1" t="s">
        <v>41</v>
      </c>
      <c r="E6471" s="3">
        <v>2237027</v>
      </c>
      <c r="F6471" s="1">
        <v>1523.8603746593999</v>
      </c>
      <c r="M6471" s="4">
        <v>1468</v>
      </c>
      <c r="Q6471" s="1" t="s">
        <v>42</v>
      </c>
      <c r="S6471" s="1" t="s">
        <v>42</v>
      </c>
      <c r="T6471" s="1" t="s">
        <v>273</v>
      </c>
      <c r="AA6471" s="1">
        <v>2237027.0299999998</v>
      </c>
      <c r="AB6471" s="1" t="s">
        <v>4705</v>
      </c>
      <c r="AC6471" s="5">
        <v>42578</v>
      </c>
      <c r="AF6471" s="1">
        <v>10128</v>
      </c>
      <c r="AI6471" s="1" t="s">
        <v>163</v>
      </c>
      <c r="AJ6471" s="1">
        <v>1986</v>
      </c>
      <c r="AK6471" s="1" t="s">
        <v>55</v>
      </c>
      <c r="AL6471" s="1">
        <v>287</v>
      </c>
    </row>
    <row r="6472" spans="1:38" x14ac:dyDescent="0.2">
      <c r="A6472" s="2" t="str">
        <f>HYPERLINK("https://www.compass.com/listing/200-east-94th-street-unit-512-manhattan-ny-10128/29423443636189953/","200 E 94th St, Unit 512")</f>
        <v>200 E 94th St, Unit 512</v>
      </c>
      <c r="B6472" s="2" t="str">
        <f t="shared" si="1042"/>
        <v>Carnegie Park Condominium</v>
      </c>
      <c r="C6472" s="1" t="s">
        <v>82</v>
      </c>
      <c r="D6472" s="1" t="s">
        <v>41</v>
      </c>
      <c r="E6472" s="3">
        <v>848539</v>
      </c>
      <c r="F6472" s="1">
        <v>1203.6018297872299</v>
      </c>
      <c r="M6472" s="1">
        <v>705</v>
      </c>
      <c r="Q6472" s="1" t="s">
        <v>42</v>
      </c>
      <c r="S6472" s="1" t="s">
        <v>42</v>
      </c>
      <c r="T6472" s="1" t="s">
        <v>273</v>
      </c>
      <c r="AA6472" s="1">
        <v>848539.29</v>
      </c>
      <c r="AB6472" s="1" t="s">
        <v>4706</v>
      </c>
      <c r="AC6472" s="5">
        <v>42460</v>
      </c>
      <c r="AF6472" s="1">
        <v>10128</v>
      </c>
      <c r="AI6472" s="1" t="s">
        <v>163</v>
      </c>
      <c r="AJ6472" s="1">
        <v>1986</v>
      </c>
      <c r="AK6472" s="1" t="s">
        <v>55</v>
      </c>
      <c r="AL6472" s="1">
        <v>287</v>
      </c>
    </row>
    <row r="6473" spans="1:38" x14ac:dyDescent="0.2">
      <c r="A6473" s="2" t="str">
        <f>HYPERLINK("https://www.compass.com/listing/200-east-94th-street-unit-514-manhattan-ny-10128/29423443929800177/","200 E 94th St, Unit 514")</f>
        <v>200 E 94th St, Unit 514</v>
      </c>
      <c r="B6473" s="2" t="str">
        <f t="shared" si="1042"/>
        <v>Carnegie Park Condominium</v>
      </c>
      <c r="C6473" s="1" t="s">
        <v>82</v>
      </c>
      <c r="D6473" s="1" t="s">
        <v>41</v>
      </c>
      <c r="E6473" s="3">
        <v>1430650</v>
      </c>
      <c r="F6473" s="1">
        <v>1343.3334835680701</v>
      </c>
      <c r="M6473" s="4">
        <v>1065</v>
      </c>
      <c r="Q6473" s="1" t="s">
        <v>42</v>
      </c>
      <c r="S6473" s="1" t="s">
        <v>42</v>
      </c>
      <c r="T6473" s="1" t="s">
        <v>273</v>
      </c>
      <c r="AA6473" s="1">
        <v>1430650.16</v>
      </c>
      <c r="AB6473" s="1" t="s">
        <v>4707</v>
      </c>
      <c r="AC6473" s="5">
        <v>42390</v>
      </c>
      <c r="AF6473" s="1">
        <v>10128</v>
      </c>
      <c r="AI6473" s="1" t="s">
        <v>163</v>
      </c>
      <c r="AJ6473" s="1">
        <v>1986</v>
      </c>
      <c r="AK6473" s="1" t="s">
        <v>55</v>
      </c>
      <c r="AL6473" s="1">
        <v>287</v>
      </c>
    </row>
    <row r="6474" spans="1:38" x14ac:dyDescent="0.2">
      <c r="A6474" s="2" t="str">
        <f>HYPERLINK("https://www.compass.com/listing/200-east-94th-street-unit-615-manhattan-ny-10128/29423444265280145/","200 E 94th St, Unit 615")</f>
        <v>200 E 94th St, Unit 615</v>
      </c>
      <c r="B6474" s="2" t="str">
        <f t="shared" si="1042"/>
        <v>Carnegie Park Condominium</v>
      </c>
      <c r="C6474" s="1" t="s">
        <v>82</v>
      </c>
      <c r="D6474" s="1" t="s">
        <v>41</v>
      </c>
      <c r="E6474" s="3">
        <v>1685274</v>
      </c>
      <c r="F6474" s="1">
        <v>1566.24010223048</v>
      </c>
      <c r="H6474" s="1">
        <v>2</v>
      </c>
      <c r="J6474" s="1">
        <v>2</v>
      </c>
      <c r="M6474" s="4">
        <v>1076</v>
      </c>
      <c r="N6474" s="1">
        <v>1172</v>
      </c>
      <c r="O6474" s="1">
        <v>2418</v>
      </c>
      <c r="P6474" s="1">
        <v>1246</v>
      </c>
      <c r="Q6474" s="1" t="s">
        <v>42</v>
      </c>
      <c r="S6474" s="1" t="s">
        <v>42</v>
      </c>
      <c r="T6474" s="1" t="s">
        <v>273</v>
      </c>
      <c r="AA6474" s="1">
        <v>1685274.35</v>
      </c>
      <c r="AB6474" s="1" t="s">
        <v>4708</v>
      </c>
      <c r="AC6474" s="5">
        <v>42368</v>
      </c>
      <c r="AF6474" s="1">
        <v>10128</v>
      </c>
      <c r="AI6474" s="1" t="s">
        <v>163</v>
      </c>
      <c r="AJ6474" s="1">
        <v>1986</v>
      </c>
      <c r="AK6474" s="1" t="s">
        <v>55</v>
      </c>
      <c r="AL6474" s="1">
        <v>287</v>
      </c>
    </row>
    <row r="6475" spans="1:38" x14ac:dyDescent="0.2">
      <c r="A6475" s="2" t="str">
        <f>HYPERLINK("https://www.compass.com/listing/200-east-94th-street-unit-616-manhattan-ny-10128/29423444617657105/","200 E 94th St, Unit 616")</f>
        <v>200 E 94th St, Unit 616</v>
      </c>
      <c r="B6475" s="2" t="str">
        <f t="shared" si="1042"/>
        <v>Carnegie Park Condominium</v>
      </c>
      <c r="C6475" s="1" t="s">
        <v>82</v>
      </c>
      <c r="D6475" s="1" t="s">
        <v>41</v>
      </c>
      <c r="E6475" s="3">
        <v>736537</v>
      </c>
      <c r="F6475" s="1">
        <v>1046.2172443181801</v>
      </c>
      <c r="M6475" s="1">
        <v>704</v>
      </c>
      <c r="Q6475" s="1" t="s">
        <v>42</v>
      </c>
      <c r="S6475" s="1" t="s">
        <v>42</v>
      </c>
      <c r="T6475" s="1" t="s">
        <v>273</v>
      </c>
      <c r="AA6475" s="1">
        <v>736536.94</v>
      </c>
      <c r="AB6475" s="1" t="s">
        <v>4709</v>
      </c>
      <c r="AC6475" s="5">
        <v>42367</v>
      </c>
      <c r="AF6475" s="1">
        <v>10128</v>
      </c>
      <c r="AI6475" s="1" t="s">
        <v>163</v>
      </c>
      <c r="AJ6475" s="1">
        <v>1986</v>
      </c>
      <c r="AK6475" s="1" t="s">
        <v>55</v>
      </c>
      <c r="AL6475" s="1">
        <v>287</v>
      </c>
    </row>
    <row r="6476" spans="1:38" x14ac:dyDescent="0.2">
      <c r="A6476" s="2" t="str">
        <f>HYPERLINK("https://www.compass.com/listing/200-east-94th-street-unit-618-manhattan-ny-10128/29423444919655937/","200 E 94th St, Unit 618")</f>
        <v>200 E 94th St, Unit 618</v>
      </c>
      <c r="B6476" s="2" t="str">
        <f t="shared" si="1042"/>
        <v>Carnegie Park Condominium</v>
      </c>
      <c r="C6476" s="1" t="s">
        <v>82</v>
      </c>
      <c r="D6476" s="1" t="s">
        <v>41</v>
      </c>
      <c r="E6476" s="3">
        <v>2349319</v>
      </c>
      <c r="F6476" s="1">
        <v>1541.54805774278</v>
      </c>
      <c r="M6476" s="4">
        <v>1524</v>
      </c>
      <c r="Q6476" s="1" t="s">
        <v>42</v>
      </c>
      <c r="S6476" s="1" t="s">
        <v>42</v>
      </c>
      <c r="T6476" s="1" t="s">
        <v>273</v>
      </c>
      <c r="AA6476" s="1">
        <v>2349319.2400000002</v>
      </c>
      <c r="AB6476" s="1" t="s">
        <v>4710</v>
      </c>
      <c r="AC6476" s="5">
        <v>42430</v>
      </c>
      <c r="AF6476" s="1">
        <v>10128</v>
      </c>
      <c r="AI6476" s="1" t="s">
        <v>163</v>
      </c>
      <c r="AJ6476" s="1">
        <v>1986</v>
      </c>
      <c r="AK6476" s="1" t="s">
        <v>55</v>
      </c>
      <c r="AL6476" s="1">
        <v>287</v>
      </c>
    </row>
    <row r="6477" spans="1:38" x14ac:dyDescent="0.2">
      <c r="A6477" s="2" t="str">
        <f>HYPERLINK("https://www.compass.com/listing/200-east-94th-street-unit-622-manhattan-ny-10128/29423445246747297/","200 E 94th St, Unit 622")</f>
        <v>200 E 94th St, Unit 622</v>
      </c>
      <c r="B6477" s="2" t="str">
        <f t="shared" si="1042"/>
        <v>Carnegie Park Condominium</v>
      </c>
      <c r="C6477" s="1" t="s">
        <v>82</v>
      </c>
      <c r="D6477" s="1" t="s">
        <v>41</v>
      </c>
      <c r="E6477" s="3">
        <v>1910912</v>
      </c>
      <c r="F6477" s="1">
        <v>1359.11231152204</v>
      </c>
      <c r="M6477" s="4">
        <v>1406</v>
      </c>
      <c r="Q6477" s="1" t="s">
        <v>42</v>
      </c>
      <c r="S6477" s="1" t="s">
        <v>42</v>
      </c>
      <c r="T6477" s="1" t="s">
        <v>273</v>
      </c>
      <c r="AA6477" s="1">
        <v>1910911.91</v>
      </c>
      <c r="AB6477" s="1" t="s">
        <v>4711</v>
      </c>
      <c r="AC6477" s="5">
        <v>42431</v>
      </c>
      <c r="AF6477" s="1">
        <v>10128</v>
      </c>
      <c r="AI6477" s="1" t="s">
        <v>163</v>
      </c>
      <c r="AJ6477" s="1">
        <v>1986</v>
      </c>
      <c r="AK6477" s="1" t="s">
        <v>55</v>
      </c>
      <c r="AL6477" s="1">
        <v>287</v>
      </c>
    </row>
    <row r="6478" spans="1:38" x14ac:dyDescent="0.2">
      <c r="A6478" s="2" t="str">
        <f>HYPERLINK("https://www.compass.com/listing/200-east-94th-street-unit-626-manhattan-ny-10128/29423445548792609/","200 E 94th St, Unit 626")</f>
        <v>200 E 94th St, Unit 626</v>
      </c>
      <c r="B6478" s="2" t="str">
        <f t="shared" si="1042"/>
        <v>Carnegie Park Condominium</v>
      </c>
      <c r="C6478" s="1" t="s">
        <v>82</v>
      </c>
      <c r="D6478" s="1" t="s">
        <v>41</v>
      </c>
      <c r="E6478" s="3">
        <v>914731</v>
      </c>
      <c r="F6478" s="1">
        <v>1299.3333664772699</v>
      </c>
      <c r="M6478" s="1">
        <v>704</v>
      </c>
      <c r="Q6478" s="1" t="s">
        <v>42</v>
      </c>
      <c r="S6478" s="1" t="s">
        <v>42</v>
      </c>
      <c r="T6478" s="1" t="s">
        <v>273</v>
      </c>
      <c r="AA6478" s="1">
        <v>914730.69</v>
      </c>
      <c r="AB6478" s="1" t="s">
        <v>4712</v>
      </c>
      <c r="AC6478" s="5">
        <v>42356</v>
      </c>
      <c r="AF6478" s="1">
        <v>10128</v>
      </c>
      <c r="AI6478" s="1" t="s">
        <v>163</v>
      </c>
      <c r="AJ6478" s="1">
        <v>1986</v>
      </c>
      <c r="AK6478" s="1" t="s">
        <v>55</v>
      </c>
      <c r="AL6478" s="1">
        <v>287</v>
      </c>
    </row>
    <row r="6479" spans="1:38" x14ac:dyDescent="0.2">
      <c r="A6479" s="2" t="str">
        <f>HYPERLINK("https://www.compass.com/listing/200-east-94th-street-unit-625-manhattan-ny-10128/29423445901123105/","200 E 94th St, Unit 625")</f>
        <v>200 E 94th St, Unit 625</v>
      </c>
      <c r="B6479" s="2" t="str">
        <f t="shared" si="1042"/>
        <v>Carnegie Park Condominium</v>
      </c>
      <c r="C6479" s="1" t="s">
        <v>82</v>
      </c>
      <c r="D6479" s="1" t="s">
        <v>41</v>
      </c>
      <c r="E6479" s="3">
        <v>924923</v>
      </c>
      <c r="F6479" s="1">
        <v>1310.0887818696799</v>
      </c>
      <c r="H6479" s="1">
        <v>1</v>
      </c>
      <c r="J6479" s="1">
        <v>1</v>
      </c>
      <c r="M6479" s="1">
        <v>706</v>
      </c>
      <c r="N6479" s="1">
        <v>774</v>
      </c>
      <c r="O6479" s="1">
        <v>1596</v>
      </c>
      <c r="P6479" s="1">
        <v>822</v>
      </c>
      <c r="Q6479" s="1" t="s">
        <v>42</v>
      </c>
      <c r="S6479" s="1" t="s">
        <v>42</v>
      </c>
      <c r="T6479" s="1" t="s">
        <v>273</v>
      </c>
      <c r="AA6479" s="1">
        <v>924922.68</v>
      </c>
      <c r="AB6479" s="1" t="s">
        <v>4713</v>
      </c>
      <c r="AC6479" s="5">
        <v>42383</v>
      </c>
      <c r="AF6479" s="1">
        <v>10128</v>
      </c>
      <c r="AI6479" s="1" t="s">
        <v>163</v>
      </c>
      <c r="AJ6479" s="1">
        <v>1986</v>
      </c>
      <c r="AK6479" s="1" t="s">
        <v>55</v>
      </c>
      <c r="AL6479" s="1">
        <v>287</v>
      </c>
    </row>
    <row r="6480" spans="1:38" x14ac:dyDescent="0.2">
      <c r="A6480" s="2" t="str">
        <f>HYPERLINK("https://www.compass.com/listing/200-east-94th-street-unit-621-manhattan-ny-10128/29423446312100529/","200 E 94th St, Unit 621")</f>
        <v>200 E 94th St, Unit 621</v>
      </c>
      <c r="B6480" s="2" t="str">
        <f t="shared" si="1042"/>
        <v>Carnegie Park Condominium</v>
      </c>
      <c r="C6480" s="1" t="s">
        <v>82</v>
      </c>
      <c r="D6480" s="1" t="s">
        <v>41</v>
      </c>
      <c r="E6480" s="3">
        <v>2038193</v>
      </c>
      <c r="F6480" s="1">
        <v>1449.63951635846</v>
      </c>
      <c r="M6480" s="4">
        <v>1406</v>
      </c>
      <c r="Q6480" s="1" t="s">
        <v>42</v>
      </c>
      <c r="S6480" s="1" t="s">
        <v>42</v>
      </c>
      <c r="T6480" s="1" t="s">
        <v>273</v>
      </c>
      <c r="AA6480" s="1">
        <v>2038193.16</v>
      </c>
      <c r="AB6480" s="1" t="s">
        <v>4714</v>
      </c>
      <c r="AC6480" s="5">
        <v>42383</v>
      </c>
      <c r="AF6480" s="1">
        <v>10128</v>
      </c>
      <c r="AI6480" s="1" t="s">
        <v>163</v>
      </c>
      <c r="AJ6480" s="1">
        <v>1986</v>
      </c>
      <c r="AK6480" s="1" t="s">
        <v>55</v>
      </c>
      <c r="AL6480" s="1">
        <v>287</v>
      </c>
    </row>
    <row r="6481" spans="1:38" x14ac:dyDescent="0.2">
      <c r="A6481" s="2" t="str">
        <f>HYPERLINK("https://www.compass.com/listing/200-east-94th-street-unit-619-manhattan-ny-10128/29423446622534449/","200 E 94th St, Unit 619")</f>
        <v>200 E 94th St, Unit 619</v>
      </c>
      <c r="B6481" s="2" t="str">
        <f t="shared" si="1042"/>
        <v>Carnegie Park Condominium</v>
      </c>
      <c r="C6481" s="1" t="s">
        <v>82</v>
      </c>
      <c r="D6481" s="1" t="s">
        <v>41</v>
      </c>
      <c r="E6481" s="3">
        <v>754985</v>
      </c>
      <c r="F6481" s="1">
        <v>1219.6842003231</v>
      </c>
      <c r="M6481" s="1">
        <v>619</v>
      </c>
      <c r="Q6481" s="1" t="s">
        <v>42</v>
      </c>
      <c r="S6481" s="1" t="s">
        <v>42</v>
      </c>
      <c r="T6481" s="1" t="s">
        <v>273</v>
      </c>
      <c r="AA6481" s="1">
        <v>754984.52</v>
      </c>
      <c r="AB6481" s="1" t="s">
        <v>4715</v>
      </c>
      <c r="AC6481" s="5">
        <v>42439</v>
      </c>
      <c r="AF6481" s="1">
        <v>10128</v>
      </c>
      <c r="AI6481" s="1" t="s">
        <v>163</v>
      </c>
      <c r="AJ6481" s="1">
        <v>1986</v>
      </c>
      <c r="AK6481" s="1" t="s">
        <v>55</v>
      </c>
      <c r="AL6481" s="1">
        <v>287</v>
      </c>
    </row>
    <row r="6482" spans="1:38" x14ac:dyDescent="0.2">
      <c r="A6482" s="2" t="str">
        <f>HYPERLINK("https://www.compass.com/listing/200-east-94th-street-unit-617-manhattan-ny-10128/29423446958087729/","200 E 94th St, Unit 617")</f>
        <v>200 E 94th St, Unit 617</v>
      </c>
      <c r="B6482" s="2" t="str">
        <f t="shared" si="1042"/>
        <v>Carnegie Park Condominium</v>
      </c>
      <c r="C6482" s="1" t="s">
        <v>82</v>
      </c>
      <c r="D6482" s="1" t="s">
        <v>41</v>
      </c>
      <c r="E6482" s="3">
        <v>1296524</v>
      </c>
      <c r="F6482" s="1">
        <v>2101.33580226904</v>
      </c>
      <c r="M6482" s="1">
        <v>617</v>
      </c>
      <c r="Q6482" s="1" t="s">
        <v>42</v>
      </c>
      <c r="S6482" s="1" t="s">
        <v>42</v>
      </c>
      <c r="T6482" s="1" t="s">
        <v>273</v>
      </c>
      <c r="AA6482" s="1">
        <v>1296524.19</v>
      </c>
      <c r="AB6482" s="1" t="s">
        <v>4716</v>
      </c>
      <c r="AC6482" s="5">
        <v>42444</v>
      </c>
      <c r="AF6482" s="1">
        <v>10128</v>
      </c>
      <c r="AI6482" s="1" t="s">
        <v>163</v>
      </c>
      <c r="AJ6482" s="1">
        <v>1986</v>
      </c>
      <c r="AK6482" s="1" t="s">
        <v>55</v>
      </c>
      <c r="AL6482" s="1">
        <v>287</v>
      </c>
    </row>
    <row r="6483" spans="1:38" x14ac:dyDescent="0.2">
      <c r="A6483" s="2" t="str">
        <f>HYPERLINK("https://www.compass.com/listing/200-east-94th-street-unit-611-manhattan-ny-10128/29423447268401857/","200 E 94th St, Unit 611")</f>
        <v>200 E 94th St, Unit 611</v>
      </c>
      <c r="B6483" s="2" t="str">
        <f t="shared" si="1042"/>
        <v>Carnegie Park Condominium</v>
      </c>
      <c r="C6483" s="1" t="s">
        <v>82</v>
      </c>
      <c r="D6483" s="1" t="s">
        <v>41</v>
      </c>
      <c r="E6483" s="3">
        <v>910351</v>
      </c>
      <c r="F6483" s="1">
        <v>1489.9363338788801</v>
      </c>
      <c r="M6483" s="1">
        <v>611</v>
      </c>
      <c r="Q6483" s="1" t="s">
        <v>42</v>
      </c>
      <c r="S6483" s="1" t="s">
        <v>42</v>
      </c>
      <c r="T6483" s="1" t="s">
        <v>273</v>
      </c>
      <c r="AA6483" s="1">
        <v>910351.1</v>
      </c>
      <c r="AB6483" s="1" t="s">
        <v>4717</v>
      </c>
      <c r="AC6483" s="5">
        <v>42331</v>
      </c>
      <c r="AF6483" s="1">
        <v>10128</v>
      </c>
      <c r="AI6483" s="1" t="s">
        <v>163</v>
      </c>
      <c r="AJ6483" s="1">
        <v>1986</v>
      </c>
      <c r="AK6483" s="1" t="s">
        <v>55</v>
      </c>
      <c r="AL6483" s="1">
        <v>287</v>
      </c>
    </row>
    <row r="6484" spans="1:38" x14ac:dyDescent="0.2">
      <c r="A6484" s="2" t="str">
        <f>HYPERLINK("https://www.compass.com/listing/200-east-94th-street-unit-609-manhattan-ny-10128/29423447578835777/","200 E 94th St, Unit 609")</f>
        <v>200 E 94th St, Unit 609</v>
      </c>
      <c r="B6484" s="2" t="str">
        <f t="shared" si="1042"/>
        <v>Carnegie Park Condominium</v>
      </c>
      <c r="C6484" s="1" t="s">
        <v>82</v>
      </c>
      <c r="D6484" s="1" t="s">
        <v>41</v>
      </c>
      <c r="E6484" s="3">
        <v>618537</v>
      </c>
      <c r="F6484" s="1">
        <v>1203.37894941634</v>
      </c>
      <c r="M6484" s="1">
        <v>514</v>
      </c>
      <c r="Q6484" s="1" t="s">
        <v>42</v>
      </c>
      <c r="S6484" s="1" t="s">
        <v>42</v>
      </c>
      <c r="T6484" s="1" t="s">
        <v>273</v>
      </c>
      <c r="AA6484" s="1">
        <v>618536.78</v>
      </c>
      <c r="AB6484" s="1" t="s">
        <v>4718</v>
      </c>
      <c r="AC6484" s="5">
        <v>42383</v>
      </c>
      <c r="AF6484" s="1">
        <v>10128</v>
      </c>
      <c r="AI6484" s="1" t="s">
        <v>163</v>
      </c>
      <c r="AJ6484" s="1">
        <v>1986</v>
      </c>
      <c r="AK6484" s="1" t="s">
        <v>55</v>
      </c>
      <c r="AL6484" s="1">
        <v>287</v>
      </c>
    </row>
    <row r="6485" spans="1:38" x14ac:dyDescent="0.2">
      <c r="A6485" s="2" t="str">
        <f>HYPERLINK("https://www.compass.com/listing/200-east-94th-street-unit-607-manhattan-ny-10128/29423447864057425/","200 E 94th St, Unit 607")</f>
        <v>200 E 94th St, Unit 607</v>
      </c>
      <c r="B6485" s="2" t="str">
        <f t="shared" si="1042"/>
        <v>Carnegie Park Condominium</v>
      </c>
      <c r="C6485" s="1" t="s">
        <v>82</v>
      </c>
      <c r="D6485" s="1" t="s">
        <v>41</v>
      </c>
      <c r="E6485" s="3">
        <v>975921</v>
      </c>
      <c r="F6485" s="1">
        <v>1607.7769028006501</v>
      </c>
      <c r="H6485" s="1">
        <v>1</v>
      </c>
      <c r="J6485" s="1">
        <v>1</v>
      </c>
      <c r="M6485" s="1">
        <v>607</v>
      </c>
      <c r="N6485" s="1">
        <v>793</v>
      </c>
      <c r="O6485" s="1">
        <v>1636</v>
      </c>
      <c r="P6485" s="1">
        <v>843</v>
      </c>
      <c r="Q6485" s="1" t="s">
        <v>42</v>
      </c>
      <c r="S6485" s="1" t="s">
        <v>42</v>
      </c>
      <c r="T6485" s="1" t="s">
        <v>273</v>
      </c>
      <c r="AA6485" s="1">
        <v>975920.58</v>
      </c>
      <c r="AB6485" s="1" t="s">
        <v>4719</v>
      </c>
      <c r="AC6485" s="5">
        <v>42426</v>
      </c>
      <c r="AF6485" s="1">
        <v>10128</v>
      </c>
      <c r="AI6485" s="1" t="s">
        <v>163</v>
      </c>
      <c r="AJ6485" s="1">
        <v>1986</v>
      </c>
      <c r="AK6485" s="1" t="s">
        <v>55</v>
      </c>
      <c r="AL6485" s="1">
        <v>287</v>
      </c>
    </row>
    <row r="6486" spans="1:38" x14ac:dyDescent="0.2">
      <c r="A6486" s="2" t="str">
        <f>HYPERLINK("https://www.compass.com/listing/200-east-94th-street-unit-603-manhattan-ny-10128/29423448585468753/","200 E 94th St, Unit 603")</f>
        <v>200 E 94th St, Unit 603</v>
      </c>
      <c r="B6486" s="2" t="str">
        <f t="shared" si="1042"/>
        <v>Carnegie Park Condominium</v>
      </c>
      <c r="C6486" s="1" t="s">
        <v>82</v>
      </c>
      <c r="D6486" s="1" t="s">
        <v>41</v>
      </c>
      <c r="E6486" s="3">
        <v>521002</v>
      </c>
      <c r="F6486" s="1">
        <v>1029.64796442687</v>
      </c>
      <c r="M6486" s="1">
        <v>506</v>
      </c>
      <c r="Q6486" s="1" t="s">
        <v>42</v>
      </c>
      <c r="S6486" s="1" t="s">
        <v>42</v>
      </c>
      <c r="T6486" s="1" t="s">
        <v>273</v>
      </c>
      <c r="AA6486" s="1">
        <v>521001.87</v>
      </c>
      <c r="AB6486" s="1" t="s">
        <v>4720</v>
      </c>
      <c r="AC6486" s="5">
        <v>42563</v>
      </c>
      <c r="AF6486" s="1">
        <v>10128</v>
      </c>
      <c r="AI6486" s="1" t="s">
        <v>163</v>
      </c>
      <c r="AJ6486" s="1">
        <v>1986</v>
      </c>
      <c r="AK6486" s="1" t="s">
        <v>55</v>
      </c>
      <c r="AL6486" s="1">
        <v>287</v>
      </c>
    </row>
    <row r="6487" spans="1:38" x14ac:dyDescent="0.2">
      <c r="A6487" s="2" t="str">
        <f>HYPERLINK("https://www.compass.com/listing/200-east-94th-street-unit-604-manhattan-ny-10128/29423449575324513/","200 E 94th St, Unit 604")</f>
        <v>200 E 94th St, Unit 604</v>
      </c>
      <c r="B6487" s="2" t="str">
        <f t="shared" si="1042"/>
        <v>Carnegie Park Condominium</v>
      </c>
      <c r="C6487" s="1" t="s">
        <v>82</v>
      </c>
      <c r="D6487" s="1" t="s">
        <v>41</v>
      </c>
      <c r="E6487" s="3">
        <v>843410</v>
      </c>
      <c r="F6487" s="1">
        <v>1213.54010071942</v>
      </c>
      <c r="M6487" s="1">
        <v>695</v>
      </c>
      <c r="Q6487" s="1" t="s">
        <v>42</v>
      </c>
      <c r="S6487" s="1" t="s">
        <v>42</v>
      </c>
      <c r="T6487" s="1" t="s">
        <v>273</v>
      </c>
      <c r="AA6487" s="1">
        <v>843410.37</v>
      </c>
      <c r="AB6487" s="1" t="s">
        <v>4721</v>
      </c>
      <c r="AC6487" s="5">
        <v>42478</v>
      </c>
      <c r="AF6487" s="1">
        <v>10128</v>
      </c>
      <c r="AI6487" s="1" t="s">
        <v>163</v>
      </c>
      <c r="AJ6487" s="1">
        <v>1986</v>
      </c>
      <c r="AK6487" s="1" t="s">
        <v>55</v>
      </c>
      <c r="AL6487" s="1">
        <v>287</v>
      </c>
    </row>
    <row r="6488" spans="1:38" x14ac:dyDescent="0.2">
      <c r="A6488" s="2" t="str">
        <f>HYPERLINK("https://www.compass.com/listing/200-east-94th-street-unit-614-manhattan-ny-10128/29423450909122225/","200 E 94th St, Unit 614")</f>
        <v>200 E 94th St, Unit 614</v>
      </c>
      <c r="B6488" s="2" t="str">
        <f t="shared" si="1042"/>
        <v>Carnegie Park Condominium</v>
      </c>
      <c r="C6488" s="1" t="s">
        <v>82</v>
      </c>
      <c r="D6488" s="1" t="s">
        <v>41</v>
      </c>
      <c r="E6488" s="3">
        <v>1731043</v>
      </c>
      <c r="F6488" s="1">
        <v>1625.39286384976</v>
      </c>
      <c r="H6488" s="1">
        <v>2</v>
      </c>
      <c r="J6488" s="1">
        <v>2</v>
      </c>
      <c r="M6488" s="4">
        <v>1065</v>
      </c>
      <c r="N6488" s="1">
        <v>1161</v>
      </c>
      <c r="O6488" s="1">
        <v>2394</v>
      </c>
      <c r="P6488" s="1">
        <v>1233</v>
      </c>
      <c r="Q6488" s="1" t="s">
        <v>42</v>
      </c>
      <c r="S6488" s="1" t="s">
        <v>42</v>
      </c>
      <c r="T6488" s="1" t="s">
        <v>273</v>
      </c>
      <c r="AA6488" s="1">
        <v>1731043.4</v>
      </c>
      <c r="AB6488" s="1" t="s">
        <v>4722</v>
      </c>
      <c r="AC6488" s="5">
        <v>42409</v>
      </c>
      <c r="AF6488" s="1">
        <v>10128</v>
      </c>
      <c r="AI6488" s="1" t="s">
        <v>163</v>
      </c>
      <c r="AJ6488" s="1">
        <v>1986</v>
      </c>
      <c r="AK6488" s="1" t="s">
        <v>55</v>
      </c>
      <c r="AL6488" s="1">
        <v>287</v>
      </c>
    </row>
    <row r="6489" spans="1:38" x14ac:dyDescent="0.2">
      <c r="A6489" s="2" t="str">
        <f>HYPERLINK("https://www.compass.com/listing/200-east-94th-street-unit-715-manhattan-ny-10128/29423451278156561/","200 E 94th St, Unit 715")</f>
        <v>200 E 94th St, Unit 715</v>
      </c>
      <c r="B6489" s="2" t="str">
        <f t="shared" si="1042"/>
        <v>Carnegie Park Condominium</v>
      </c>
      <c r="C6489" s="1" t="s">
        <v>82</v>
      </c>
      <c r="D6489" s="1" t="s">
        <v>41</v>
      </c>
      <c r="E6489" s="3">
        <v>1675227</v>
      </c>
      <c r="F6489" s="1">
        <v>2342.97513286713</v>
      </c>
      <c r="M6489" s="1">
        <v>715</v>
      </c>
      <c r="Q6489" s="1" t="s">
        <v>42</v>
      </c>
      <c r="S6489" s="1" t="s">
        <v>42</v>
      </c>
      <c r="T6489" s="1" t="s">
        <v>273</v>
      </c>
      <c r="AA6489" s="1">
        <v>1675227.22</v>
      </c>
      <c r="AB6489" s="1" t="s">
        <v>4723</v>
      </c>
      <c r="AC6489" s="5">
        <v>42625</v>
      </c>
      <c r="AF6489" s="1">
        <v>10128</v>
      </c>
      <c r="AI6489" s="1" t="s">
        <v>163</v>
      </c>
      <c r="AJ6489" s="1">
        <v>1986</v>
      </c>
      <c r="AK6489" s="1" t="s">
        <v>55</v>
      </c>
      <c r="AL6489" s="1">
        <v>287</v>
      </c>
    </row>
    <row r="6490" spans="1:38" x14ac:dyDescent="0.2">
      <c r="A6490" s="2" t="str">
        <f>HYPERLINK("https://www.compass.com/listing/200-east-94th-street-unit-716-manhattan-ny-10128/29423451571813249/","200 E 94th St, Unit 716")</f>
        <v>200 E 94th St, Unit 716</v>
      </c>
      <c r="B6490" s="2" t="str">
        <f t="shared" si="1042"/>
        <v>Carnegie Park Condominium</v>
      </c>
      <c r="C6490" s="1" t="s">
        <v>82</v>
      </c>
      <c r="D6490" s="1" t="s">
        <v>41</v>
      </c>
      <c r="E6490" s="3">
        <v>982227</v>
      </c>
      <c r="F6490" s="1">
        <v>791.48007252215905</v>
      </c>
      <c r="M6490" s="4">
        <v>1241</v>
      </c>
      <c r="Q6490" s="1" t="s">
        <v>42</v>
      </c>
      <c r="S6490" s="1" t="s">
        <v>42</v>
      </c>
      <c r="T6490" s="1" t="s">
        <v>273</v>
      </c>
      <c r="AA6490" s="1">
        <v>982226.77</v>
      </c>
      <c r="AB6490" s="1" t="s">
        <v>4724</v>
      </c>
      <c r="AC6490" s="5">
        <v>42569</v>
      </c>
      <c r="AF6490" s="1">
        <v>10128</v>
      </c>
      <c r="AI6490" s="1" t="s">
        <v>163</v>
      </c>
      <c r="AJ6490" s="1">
        <v>1986</v>
      </c>
      <c r="AK6490" s="1" t="s">
        <v>55</v>
      </c>
      <c r="AL6490" s="1">
        <v>287</v>
      </c>
    </row>
    <row r="6491" spans="1:38" x14ac:dyDescent="0.2">
      <c r="A6491" s="2" t="str">
        <f>HYPERLINK("https://www.compass.com/listing/200-east-94th-street-unit-722-manhattan-ny-10128/29423452184126241/","200 E 94th St, Unit 722")</f>
        <v>200 E 94th St, Unit 722</v>
      </c>
      <c r="B6491" s="2" t="str">
        <f t="shared" si="1042"/>
        <v>Carnegie Park Condominium</v>
      </c>
      <c r="C6491" s="1" t="s">
        <v>82</v>
      </c>
      <c r="D6491" s="1" t="s">
        <v>41</v>
      </c>
      <c r="E6491" s="3">
        <v>2026174</v>
      </c>
      <c r="F6491" s="1">
        <v>1441.0907254623</v>
      </c>
      <c r="M6491" s="4">
        <v>1406</v>
      </c>
      <c r="Q6491" s="1" t="s">
        <v>42</v>
      </c>
      <c r="S6491" s="1" t="s">
        <v>42</v>
      </c>
      <c r="T6491" s="1" t="s">
        <v>273</v>
      </c>
      <c r="AA6491" s="1">
        <v>2026173.56</v>
      </c>
      <c r="AB6491" s="1" t="s">
        <v>4725</v>
      </c>
      <c r="AC6491" s="5">
        <v>42418</v>
      </c>
      <c r="AF6491" s="1">
        <v>10128</v>
      </c>
      <c r="AI6491" s="1" t="s">
        <v>163</v>
      </c>
      <c r="AJ6491" s="1">
        <v>1986</v>
      </c>
      <c r="AK6491" s="1" t="s">
        <v>55</v>
      </c>
      <c r="AL6491" s="1">
        <v>287</v>
      </c>
    </row>
    <row r="6492" spans="1:38" x14ac:dyDescent="0.2">
      <c r="A6492" s="2" t="str">
        <f>HYPERLINK("https://www.compass.com/listing/200-east-94th-street-unit-726-manhattan-ny-10128/29423452486171537/","200 E 94th St, Unit 726")</f>
        <v>200 E 94th St, Unit 726</v>
      </c>
      <c r="B6492" s="2" t="str">
        <f t="shared" si="1042"/>
        <v>Carnegie Park Condominium</v>
      </c>
      <c r="C6492" s="1" t="s">
        <v>82</v>
      </c>
      <c r="D6492" s="1" t="s">
        <v>41</v>
      </c>
      <c r="E6492" s="3">
        <v>894375</v>
      </c>
      <c r="F6492" s="1">
        <v>1270.41875</v>
      </c>
      <c r="M6492" s="1">
        <v>704</v>
      </c>
      <c r="Q6492" s="1" t="s">
        <v>42</v>
      </c>
      <c r="S6492" s="1" t="s">
        <v>42</v>
      </c>
      <c r="T6492" s="1" t="s">
        <v>273</v>
      </c>
      <c r="AA6492" s="1">
        <v>894374.8</v>
      </c>
      <c r="AB6492" s="1" t="s">
        <v>4726</v>
      </c>
      <c r="AC6492" s="5">
        <v>42446</v>
      </c>
      <c r="AF6492" s="1">
        <v>10128</v>
      </c>
      <c r="AI6492" s="1" t="s">
        <v>163</v>
      </c>
      <c r="AJ6492" s="1">
        <v>1986</v>
      </c>
      <c r="AK6492" s="1" t="s">
        <v>55</v>
      </c>
      <c r="AL6492" s="1">
        <v>287</v>
      </c>
    </row>
    <row r="6493" spans="1:38" x14ac:dyDescent="0.2">
      <c r="A6493" s="2" t="str">
        <f>HYPERLINK("https://www.compass.com/listing/200-east-94th-street-unit-725-manhattan-ny-10128/29423452771393233/","200 E 94th St, Unit 725")</f>
        <v>200 E 94th St, Unit 725</v>
      </c>
      <c r="B6493" s="2" t="str">
        <f t="shared" si="1042"/>
        <v>Carnegie Park Condominium</v>
      </c>
      <c r="C6493" s="1" t="s">
        <v>82</v>
      </c>
      <c r="D6493" s="1" t="s">
        <v>41</v>
      </c>
      <c r="E6493" s="3">
        <v>1042031</v>
      </c>
      <c r="F6493" s="1">
        <v>1475.9649150141599</v>
      </c>
      <c r="M6493" s="1">
        <v>706</v>
      </c>
      <c r="Q6493" s="1" t="s">
        <v>42</v>
      </c>
      <c r="S6493" s="1" t="s">
        <v>42</v>
      </c>
      <c r="T6493" s="1" t="s">
        <v>273</v>
      </c>
      <c r="AA6493" s="1">
        <v>1042031.23</v>
      </c>
      <c r="AB6493" s="1" t="s">
        <v>4727</v>
      </c>
      <c r="AC6493" s="5">
        <v>42438</v>
      </c>
      <c r="AF6493" s="1">
        <v>10128</v>
      </c>
      <c r="AI6493" s="1" t="s">
        <v>163</v>
      </c>
      <c r="AJ6493" s="1">
        <v>1986</v>
      </c>
      <c r="AK6493" s="1" t="s">
        <v>55</v>
      </c>
      <c r="AL6493" s="1">
        <v>287</v>
      </c>
    </row>
    <row r="6494" spans="1:38" x14ac:dyDescent="0.2">
      <c r="A6494" s="2" t="str">
        <f>HYPERLINK("https://www.compass.com/listing/200-east-94th-street-unit-721-manhattan-ny-10128/29423453056541489/","200 E 94th St, Unit 721")</f>
        <v>200 E 94th St, Unit 721</v>
      </c>
      <c r="B6494" s="2" t="str">
        <f t="shared" si="1042"/>
        <v>Carnegie Park Condominium</v>
      </c>
      <c r="C6494" s="1" t="s">
        <v>82</v>
      </c>
      <c r="D6494" s="1" t="s">
        <v>41</v>
      </c>
      <c r="E6494" s="3">
        <v>2192706</v>
      </c>
      <c r="F6494" s="1">
        <v>1559.5346088193401</v>
      </c>
      <c r="M6494" s="4">
        <v>1406</v>
      </c>
      <c r="Q6494" s="1" t="s">
        <v>42</v>
      </c>
      <c r="S6494" s="1" t="s">
        <v>42</v>
      </c>
      <c r="T6494" s="1" t="s">
        <v>273</v>
      </c>
      <c r="AA6494" s="1">
        <v>2192705.66</v>
      </c>
      <c r="AB6494" s="1" t="s">
        <v>4728</v>
      </c>
      <c r="AC6494" s="5">
        <v>42522</v>
      </c>
      <c r="AF6494" s="1">
        <v>10128</v>
      </c>
      <c r="AI6494" s="1" t="s">
        <v>163</v>
      </c>
      <c r="AJ6494" s="1">
        <v>1986</v>
      </c>
      <c r="AK6494" s="1" t="s">
        <v>55</v>
      </c>
      <c r="AL6494" s="1">
        <v>287</v>
      </c>
    </row>
    <row r="6495" spans="1:38" x14ac:dyDescent="0.2">
      <c r="A6495" s="2" t="str">
        <f>HYPERLINK("https://www.compass.com/listing/200-east-94th-street-unit-719-manhattan-ny-10128/29423453366975393/","200 E 94th St, Unit 719")</f>
        <v>200 E 94th St, Unit 719</v>
      </c>
      <c r="B6495" s="2" t="str">
        <f t="shared" si="1042"/>
        <v>Carnegie Park Condominium</v>
      </c>
      <c r="C6495" s="1" t="s">
        <v>82</v>
      </c>
      <c r="D6495" s="1" t="s">
        <v>41</v>
      </c>
      <c r="E6495" s="3">
        <v>1057414</v>
      </c>
      <c r="F6495" s="1">
        <v>1450.4992181069899</v>
      </c>
      <c r="M6495" s="1">
        <v>729</v>
      </c>
      <c r="Q6495" s="1" t="s">
        <v>42</v>
      </c>
      <c r="S6495" s="1" t="s">
        <v>42</v>
      </c>
      <c r="T6495" s="1" t="s">
        <v>273</v>
      </c>
      <c r="AA6495" s="1">
        <v>1057413.93</v>
      </c>
      <c r="AB6495" s="1" t="s">
        <v>4729</v>
      </c>
      <c r="AC6495" s="5">
        <v>42451</v>
      </c>
      <c r="AF6495" s="1">
        <v>10128</v>
      </c>
      <c r="AI6495" s="1" t="s">
        <v>163</v>
      </c>
      <c r="AJ6495" s="1">
        <v>1986</v>
      </c>
      <c r="AK6495" s="1" t="s">
        <v>55</v>
      </c>
      <c r="AL6495" s="1">
        <v>287</v>
      </c>
    </row>
    <row r="6496" spans="1:38" x14ac:dyDescent="0.2">
      <c r="A6496" s="2" t="str">
        <f>HYPERLINK("https://www.compass.com/listing/200-east-94th-street-unit-711-manhattan-ny-10128/29423454121894721/","200 E 94th St, Unit 711")</f>
        <v>200 E 94th St, Unit 711</v>
      </c>
      <c r="B6496" s="2" t="str">
        <f t="shared" si="1042"/>
        <v>Carnegie Park Condominium</v>
      </c>
      <c r="C6496" s="1" t="s">
        <v>82</v>
      </c>
      <c r="D6496" s="1" t="s">
        <v>41</v>
      </c>
      <c r="E6496" s="3">
        <v>872194</v>
      </c>
      <c r="F6496" s="1">
        <v>1021.30444964871</v>
      </c>
      <c r="M6496" s="1">
        <v>854</v>
      </c>
      <c r="Q6496" s="1" t="s">
        <v>42</v>
      </c>
      <c r="S6496" s="1" t="s">
        <v>42</v>
      </c>
      <c r="T6496" s="1" t="s">
        <v>273</v>
      </c>
      <c r="AA6496" s="1">
        <v>872194</v>
      </c>
      <c r="AB6496" s="1" t="s">
        <v>4730</v>
      </c>
      <c r="AC6496" s="5">
        <v>42578</v>
      </c>
      <c r="AF6496" s="1">
        <v>10128</v>
      </c>
      <c r="AI6496" s="1" t="s">
        <v>163</v>
      </c>
      <c r="AJ6496" s="1">
        <v>1986</v>
      </c>
      <c r="AK6496" s="1" t="s">
        <v>55</v>
      </c>
      <c r="AL6496" s="1">
        <v>287</v>
      </c>
    </row>
    <row r="6497" spans="1:38" x14ac:dyDescent="0.2">
      <c r="A6497" s="2" t="str">
        <f>HYPERLINK("https://www.compass.com/listing/200-east-94th-street-unit-707-manhattan-ny-10128/29423454465883057/","200 E 94th St, Unit 707")</f>
        <v>200 E 94th St, Unit 707</v>
      </c>
      <c r="B6497" s="2" t="str">
        <f t="shared" si="1042"/>
        <v>Carnegie Park Condominium</v>
      </c>
      <c r="C6497" s="1" t="s">
        <v>82</v>
      </c>
      <c r="D6497" s="1" t="s">
        <v>41</v>
      </c>
      <c r="E6497" s="3">
        <v>1518036</v>
      </c>
      <c r="F6497" s="1">
        <v>1226.2006623586401</v>
      </c>
      <c r="M6497" s="4">
        <v>1238</v>
      </c>
      <c r="Q6497" s="1" t="s">
        <v>42</v>
      </c>
      <c r="S6497" s="1" t="s">
        <v>42</v>
      </c>
      <c r="T6497" s="1" t="s">
        <v>273</v>
      </c>
      <c r="AA6497" s="1">
        <v>1518036.42</v>
      </c>
      <c r="AB6497" s="1" t="s">
        <v>4731</v>
      </c>
      <c r="AC6497" s="5">
        <v>42346</v>
      </c>
      <c r="AF6497" s="1">
        <v>10128</v>
      </c>
      <c r="AI6497" s="1" t="s">
        <v>163</v>
      </c>
      <c r="AJ6497" s="1">
        <v>1986</v>
      </c>
      <c r="AK6497" s="1" t="s">
        <v>55</v>
      </c>
      <c r="AL6497" s="1">
        <v>287</v>
      </c>
    </row>
    <row r="6498" spans="1:38" x14ac:dyDescent="0.2">
      <c r="A6498" s="2" t="str">
        <f>HYPERLINK("https://www.compass.com/listing/200-east-94th-street-unit-705-manhattan-ny-10128/29423454742716161/","200 E 94th St, Unit 705")</f>
        <v>200 E 94th St, Unit 705</v>
      </c>
      <c r="B6498" s="2" t="str">
        <f t="shared" si="1042"/>
        <v>Carnegie Park Condominium</v>
      </c>
      <c r="C6498" s="1" t="s">
        <v>82</v>
      </c>
      <c r="D6498" s="1" t="s">
        <v>41</v>
      </c>
      <c r="E6498" s="3">
        <v>679622</v>
      </c>
      <c r="F6498" s="1">
        <v>1332.59176470588</v>
      </c>
      <c r="M6498" s="1">
        <v>510</v>
      </c>
      <c r="Q6498" s="1" t="s">
        <v>42</v>
      </c>
      <c r="S6498" s="1" t="s">
        <v>42</v>
      </c>
      <c r="T6498" s="1" t="s">
        <v>273</v>
      </c>
      <c r="AA6498" s="1">
        <v>679621.8</v>
      </c>
      <c r="AB6498" s="1" t="s">
        <v>4732</v>
      </c>
      <c r="AC6498" s="5">
        <v>42466</v>
      </c>
      <c r="AF6498" s="1">
        <v>10128</v>
      </c>
      <c r="AI6498" s="1" t="s">
        <v>163</v>
      </c>
      <c r="AJ6498" s="1">
        <v>1986</v>
      </c>
      <c r="AK6498" s="1" t="s">
        <v>55</v>
      </c>
      <c r="AL6498" s="1">
        <v>287</v>
      </c>
    </row>
    <row r="6499" spans="1:38" x14ac:dyDescent="0.2">
      <c r="A6499" s="2" t="str">
        <f>HYPERLINK("https://www.compass.com/listing/200-east-94th-street-unit-703-manhattan-ny-10128/29423455044641617/","200 E 94th St, Unit 703")</f>
        <v>200 E 94th St, Unit 703</v>
      </c>
      <c r="B6499" s="2" t="str">
        <f t="shared" si="1042"/>
        <v>Carnegie Park Condominium</v>
      </c>
      <c r="C6499" s="1" t="s">
        <v>82</v>
      </c>
      <c r="D6499" s="1" t="s">
        <v>41</v>
      </c>
      <c r="E6499" s="3">
        <v>633782</v>
      </c>
      <c r="F6499" s="1">
        <v>1252.53403162055</v>
      </c>
      <c r="M6499" s="1">
        <v>506</v>
      </c>
      <c r="Q6499" s="1" t="s">
        <v>42</v>
      </c>
      <c r="S6499" s="1" t="s">
        <v>42</v>
      </c>
      <c r="T6499" s="1" t="s">
        <v>273</v>
      </c>
      <c r="AA6499" s="1">
        <v>633782.22</v>
      </c>
      <c r="AB6499" s="1" t="s">
        <v>4733</v>
      </c>
      <c r="AC6499" s="5">
        <v>42451</v>
      </c>
      <c r="AF6499" s="1">
        <v>10128</v>
      </c>
      <c r="AI6499" s="1" t="s">
        <v>163</v>
      </c>
      <c r="AJ6499" s="1">
        <v>1986</v>
      </c>
      <c r="AK6499" s="1" t="s">
        <v>55</v>
      </c>
      <c r="AL6499" s="1">
        <v>287</v>
      </c>
    </row>
    <row r="6500" spans="1:38" x14ac:dyDescent="0.2">
      <c r="A6500" s="2" t="str">
        <f>HYPERLINK("https://www.compass.com/listing/200-east-94th-street-unit-701-manhattan-ny-10128/29423455338298305/","200 E 94th St, Unit 701")</f>
        <v>200 E 94th St, Unit 701</v>
      </c>
      <c r="B6500" s="2" t="str">
        <f t="shared" si="1042"/>
        <v>Carnegie Park Condominium</v>
      </c>
      <c r="C6500" s="1" t="s">
        <v>82</v>
      </c>
      <c r="D6500" s="1" t="s">
        <v>41</v>
      </c>
      <c r="E6500" s="3">
        <v>1440824</v>
      </c>
      <c r="F6500" s="1">
        <v>1374.8318225190801</v>
      </c>
      <c r="M6500" s="4">
        <v>1048</v>
      </c>
      <c r="Q6500" s="1" t="s">
        <v>42</v>
      </c>
      <c r="S6500" s="1" t="s">
        <v>42</v>
      </c>
      <c r="T6500" s="1" t="s">
        <v>273</v>
      </c>
      <c r="AA6500" s="1">
        <v>1440823.75</v>
      </c>
      <c r="AB6500" s="1" t="s">
        <v>4734</v>
      </c>
      <c r="AC6500" s="5">
        <v>42321</v>
      </c>
      <c r="AF6500" s="1">
        <v>10128</v>
      </c>
      <c r="AI6500" s="1" t="s">
        <v>163</v>
      </c>
      <c r="AJ6500" s="1">
        <v>1986</v>
      </c>
      <c r="AK6500" s="1" t="s">
        <v>55</v>
      </c>
      <c r="AL6500" s="1">
        <v>287</v>
      </c>
    </row>
    <row r="6501" spans="1:38" x14ac:dyDescent="0.2">
      <c r="A6501" s="2" t="str">
        <f>HYPERLINK("https://www.compass.com/listing/200-east-94th-street-unit-704-manhattan-ny-10128/29423456084829025/","200 E 94th St, Unit 704")</f>
        <v>200 E 94th St, Unit 704</v>
      </c>
      <c r="B6501" s="2" t="str">
        <f t="shared" si="1042"/>
        <v>Carnegie Park Condominium</v>
      </c>
      <c r="C6501" s="1" t="s">
        <v>82</v>
      </c>
      <c r="D6501" s="1" t="s">
        <v>41</v>
      </c>
      <c r="E6501" s="3">
        <v>745668</v>
      </c>
      <c r="F6501" s="1">
        <v>1072.90358273381</v>
      </c>
      <c r="M6501" s="1">
        <v>695</v>
      </c>
      <c r="Q6501" s="1" t="s">
        <v>42</v>
      </c>
      <c r="S6501" s="1" t="s">
        <v>42</v>
      </c>
      <c r="T6501" s="1" t="s">
        <v>273</v>
      </c>
      <c r="AA6501" s="1">
        <v>745667.99</v>
      </c>
      <c r="AB6501" s="1" t="s">
        <v>4735</v>
      </c>
      <c r="AC6501" s="5">
        <v>42381</v>
      </c>
      <c r="AF6501" s="1">
        <v>10128</v>
      </c>
      <c r="AI6501" s="1" t="s">
        <v>163</v>
      </c>
      <c r="AJ6501" s="1">
        <v>1986</v>
      </c>
      <c r="AK6501" s="1" t="s">
        <v>55</v>
      </c>
      <c r="AL6501" s="1">
        <v>287</v>
      </c>
    </row>
    <row r="6502" spans="1:38" x14ac:dyDescent="0.2">
      <c r="A6502" s="2" t="str">
        <f>HYPERLINK("https://www.compass.com/listing/200-east-94th-street-unit-708-manhattan-ny-10128/29423456680484657/","200 E 94th St, Unit 708")</f>
        <v>200 E 94th St, Unit 708</v>
      </c>
      <c r="B6502" s="2" t="str">
        <f t="shared" si="1042"/>
        <v>Carnegie Park Condominium</v>
      </c>
      <c r="C6502" s="1" t="s">
        <v>82</v>
      </c>
      <c r="D6502" s="1" t="s">
        <v>41</v>
      </c>
      <c r="E6502" s="3">
        <v>1533310</v>
      </c>
      <c r="F6502" s="1">
        <v>1239.5393451899699</v>
      </c>
      <c r="M6502" s="4">
        <v>1237</v>
      </c>
      <c r="Q6502" s="1" t="s">
        <v>42</v>
      </c>
      <c r="S6502" s="1" t="s">
        <v>42</v>
      </c>
      <c r="T6502" s="1" t="s">
        <v>273</v>
      </c>
      <c r="AA6502" s="1">
        <v>1533310.17</v>
      </c>
      <c r="AB6502" s="1" t="s">
        <v>4736</v>
      </c>
      <c r="AC6502" s="5">
        <v>42384</v>
      </c>
      <c r="AF6502" s="1">
        <v>10128</v>
      </c>
      <c r="AI6502" s="1" t="s">
        <v>163</v>
      </c>
      <c r="AJ6502" s="1">
        <v>1986</v>
      </c>
      <c r="AK6502" s="1" t="s">
        <v>55</v>
      </c>
      <c r="AL6502" s="1">
        <v>287</v>
      </c>
    </row>
    <row r="6503" spans="1:38" x14ac:dyDescent="0.2">
      <c r="A6503" s="2" t="str">
        <f>HYPERLINK("https://www.compass.com/listing/200-east-94th-street-unit-712-manhattan-ny-10128/29423457015964529/","200 E 94th St, Unit 712")</f>
        <v>200 E 94th St, Unit 712</v>
      </c>
      <c r="B6503" s="2" t="str">
        <f t="shared" si="1042"/>
        <v>Carnegie Park Condominium</v>
      </c>
      <c r="C6503" s="1" t="s">
        <v>82</v>
      </c>
      <c r="D6503" s="1" t="s">
        <v>41</v>
      </c>
      <c r="E6503" s="3">
        <v>919836</v>
      </c>
      <c r="F6503" s="1">
        <v>1304.7321134751701</v>
      </c>
      <c r="M6503" s="1">
        <v>705</v>
      </c>
      <c r="Q6503" s="1" t="s">
        <v>42</v>
      </c>
      <c r="S6503" s="1" t="s">
        <v>42</v>
      </c>
      <c r="T6503" s="1" t="s">
        <v>273</v>
      </c>
      <c r="AA6503" s="1">
        <v>919836.14</v>
      </c>
      <c r="AB6503" s="1" t="s">
        <v>4737</v>
      </c>
      <c r="AC6503" s="5">
        <v>42598</v>
      </c>
      <c r="AF6503" s="1">
        <v>10128</v>
      </c>
      <c r="AI6503" s="1" t="s">
        <v>163</v>
      </c>
      <c r="AJ6503" s="1">
        <v>1986</v>
      </c>
      <c r="AK6503" s="1" t="s">
        <v>55</v>
      </c>
      <c r="AL6503" s="1">
        <v>287</v>
      </c>
    </row>
    <row r="6504" spans="1:38" x14ac:dyDescent="0.2">
      <c r="A6504" s="2" t="str">
        <f>HYPERLINK("https://www.compass.com/listing/200-east-94th-street-unit-714-manhattan-ny-10128/29423457284455409/","200 E 94th St, Unit 714")</f>
        <v>200 E 94th St, Unit 714</v>
      </c>
      <c r="B6504" s="2" t="str">
        <f t="shared" si="1042"/>
        <v>Carnegie Park Condominium</v>
      </c>
      <c r="C6504" s="1" t="s">
        <v>82</v>
      </c>
      <c r="D6504" s="1" t="s">
        <v>41</v>
      </c>
      <c r="E6504" s="3">
        <v>1633577</v>
      </c>
      <c r="F6504" s="1">
        <v>1533.8751173708899</v>
      </c>
      <c r="M6504" s="4">
        <v>1065</v>
      </c>
      <c r="Q6504" s="1" t="s">
        <v>42</v>
      </c>
      <c r="S6504" s="1" t="s">
        <v>42</v>
      </c>
      <c r="T6504" s="1" t="s">
        <v>273</v>
      </c>
      <c r="AA6504" s="1">
        <v>1633577</v>
      </c>
      <c r="AB6504" s="1" t="s">
        <v>4738</v>
      </c>
      <c r="AC6504" s="5">
        <v>42702</v>
      </c>
      <c r="AF6504" s="1">
        <v>10128</v>
      </c>
      <c r="AI6504" s="1" t="s">
        <v>163</v>
      </c>
      <c r="AJ6504" s="1">
        <v>1986</v>
      </c>
      <c r="AK6504" s="1" t="s">
        <v>55</v>
      </c>
      <c r="AL6504" s="1">
        <v>287</v>
      </c>
    </row>
    <row r="6505" spans="1:38" x14ac:dyDescent="0.2">
      <c r="A6505" s="2" t="str">
        <f>HYPERLINK("https://www.compass.com/listing/200-east-94th-street-unit-815-manhattan-ny-10128/29423457620008769/","200 E 94th St, Unit 815")</f>
        <v>200 E 94th St, Unit 815</v>
      </c>
      <c r="B6505" s="2" t="str">
        <f t="shared" si="1042"/>
        <v>Carnegie Park Condominium</v>
      </c>
      <c r="C6505" s="1" t="s">
        <v>82</v>
      </c>
      <c r="D6505" s="1" t="s">
        <v>41</v>
      </c>
      <c r="E6505" s="3">
        <v>1665088</v>
      </c>
      <c r="F6505" s="1">
        <v>1547.47955390334</v>
      </c>
      <c r="M6505" s="4">
        <v>1076</v>
      </c>
      <c r="Q6505" s="1" t="s">
        <v>42</v>
      </c>
      <c r="S6505" s="1" t="s">
        <v>42</v>
      </c>
      <c r="T6505" s="1" t="s">
        <v>273</v>
      </c>
      <c r="AA6505" s="1">
        <v>1665088</v>
      </c>
      <c r="AB6505" s="1" t="s">
        <v>4739</v>
      </c>
      <c r="AC6505" s="5">
        <v>42544</v>
      </c>
      <c r="AF6505" s="1">
        <v>10128</v>
      </c>
      <c r="AI6505" s="1" t="s">
        <v>163</v>
      </c>
      <c r="AJ6505" s="1">
        <v>1986</v>
      </c>
      <c r="AK6505" s="1" t="s">
        <v>55</v>
      </c>
      <c r="AL6505" s="1">
        <v>287</v>
      </c>
    </row>
    <row r="6506" spans="1:38" x14ac:dyDescent="0.2">
      <c r="A6506" s="2" t="str">
        <f>HYPERLINK("https://www.compass.com/listing/200-east-94th-street-unit-816-manhattan-ny-10128/29423457938711425/","200 E 94th St, Unit 816")</f>
        <v>200 E 94th St, Unit 816</v>
      </c>
      <c r="B6506" s="2" t="str">
        <f t="shared" si="1042"/>
        <v>Carnegie Park Condominium</v>
      </c>
      <c r="C6506" s="1" t="s">
        <v>82</v>
      </c>
      <c r="D6506" s="1" t="s">
        <v>41</v>
      </c>
      <c r="E6506" s="3">
        <v>2507498</v>
      </c>
      <c r="F6506" s="1">
        <v>1020.5527065527</v>
      </c>
      <c r="M6506" s="4">
        <v>2457</v>
      </c>
      <c r="Q6506" s="1" t="s">
        <v>42</v>
      </c>
      <c r="S6506" s="1" t="s">
        <v>42</v>
      </c>
      <c r="T6506" s="1" t="s">
        <v>273</v>
      </c>
      <c r="AA6506" s="1">
        <v>2507498</v>
      </c>
      <c r="AB6506" s="1" t="s">
        <v>4740</v>
      </c>
      <c r="AC6506" s="5">
        <v>42565</v>
      </c>
      <c r="AF6506" s="1">
        <v>10128</v>
      </c>
      <c r="AI6506" s="1" t="s">
        <v>163</v>
      </c>
      <c r="AJ6506" s="1">
        <v>1986</v>
      </c>
      <c r="AK6506" s="1" t="s">
        <v>55</v>
      </c>
      <c r="AL6506" s="1">
        <v>287</v>
      </c>
    </row>
    <row r="6507" spans="1:38" x14ac:dyDescent="0.2">
      <c r="A6507" s="2" t="str">
        <f>HYPERLINK("https://www.compass.com/listing/200-east-94th-street-unit-811-manhattan-ny-10128/29423458551144273/","200 E 94th St, Unit 811")</f>
        <v>200 E 94th St, Unit 811</v>
      </c>
      <c r="B6507" s="2" t="str">
        <f t="shared" si="1042"/>
        <v>Carnegie Park Condominium</v>
      </c>
      <c r="C6507" s="1" t="s">
        <v>82</v>
      </c>
      <c r="D6507" s="1" t="s">
        <v>41</v>
      </c>
      <c r="E6507" s="3">
        <v>940918</v>
      </c>
      <c r="F6507" s="1">
        <v>1101.7770257611201</v>
      </c>
      <c r="M6507" s="1">
        <v>854</v>
      </c>
      <c r="Q6507" s="1" t="s">
        <v>42</v>
      </c>
      <c r="S6507" s="1" t="s">
        <v>42</v>
      </c>
      <c r="T6507" s="1" t="s">
        <v>273</v>
      </c>
      <c r="AA6507" s="1">
        <v>940917.58</v>
      </c>
      <c r="AB6507" s="1" t="s">
        <v>4741</v>
      </c>
      <c r="AC6507" s="5">
        <v>42401</v>
      </c>
      <c r="AF6507" s="1">
        <v>10128</v>
      </c>
      <c r="AI6507" s="1" t="s">
        <v>163</v>
      </c>
      <c r="AJ6507" s="1">
        <v>1986</v>
      </c>
      <c r="AK6507" s="1" t="s">
        <v>55</v>
      </c>
      <c r="AL6507" s="1">
        <v>287</v>
      </c>
    </row>
    <row r="6508" spans="1:38" x14ac:dyDescent="0.2">
      <c r="A6508" s="2" t="str">
        <f>HYPERLINK("https://www.compass.com/listing/200-east-94th-street-unit-807-manhattan-ny-10128/29423458878235537/","200 E 94th St, Unit 807")</f>
        <v>200 E 94th St, Unit 807</v>
      </c>
      <c r="B6508" s="2" t="str">
        <f t="shared" si="1042"/>
        <v>Carnegie Park Condominium</v>
      </c>
      <c r="C6508" s="1" t="s">
        <v>82</v>
      </c>
      <c r="D6508" s="1" t="s">
        <v>41</v>
      </c>
      <c r="E6508" s="3">
        <v>1525838</v>
      </c>
      <c r="F6508" s="1">
        <v>1232.5025121163101</v>
      </c>
      <c r="M6508" s="4">
        <v>1238</v>
      </c>
      <c r="Q6508" s="1" t="s">
        <v>42</v>
      </c>
      <c r="S6508" s="1" t="s">
        <v>42</v>
      </c>
      <c r="T6508" s="1" t="s">
        <v>273</v>
      </c>
      <c r="AA6508" s="1">
        <v>1525838.11</v>
      </c>
      <c r="AB6508" s="1" t="s">
        <v>4742</v>
      </c>
      <c r="AC6508" s="5">
        <v>42353</v>
      </c>
      <c r="AF6508" s="1">
        <v>10128</v>
      </c>
      <c r="AI6508" s="1" t="s">
        <v>163</v>
      </c>
      <c r="AJ6508" s="1">
        <v>1986</v>
      </c>
      <c r="AK6508" s="1" t="s">
        <v>55</v>
      </c>
      <c r="AL6508" s="1">
        <v>287</v>
      </c>
    </row>
    <row r="6509" spans="1:38" x14ac:dyDescent="0.2">
      <c r="A6509" s="2" t="str">
        <f>HYPERLINK("https://www.compass.com/listing/200-east-94th-street-unit-805-manhattan-ny-10128/29423459322887185/","200 E 94th St, Unit 805")</f>
        <v>200 E 94th St, Unit 805</v>
      </c>
      <c r="B6509" s="2" t="str">
        <f t="shared" si="1042"/>
        <v>Carnegie Park Condominium</v>
      </c>
      <c r="C6509" s="1" t="s">
        <v>82</v>
      </c>
      <c r="D6509" s="1" t="s">
        <v>41</v>
      </c>
      <c r="E6509" s="3">
        <v>638902</v>
      </c>
      <c r="F6509" s="1">
        <v>1252.7485882352901</v>
      </c>
      <c r="M6509" s="1">
        <v>510</v>
      </c>
      <c r="Q6509" s="1" t="s">
        <v>42</v>
      </c>
      <c r="S6509" s="1" t="s">
        <v>42</v>
      </c>
      <c r="T6509" s="1" t="s">
        <v>273</v>
      </c>
      <c r="AA6509" s="1">
        <v>638901.78</v>
      </c>
      <c r="AB6509" s="1" t="s">
        <v>4743</v>
      </c>
      <c r="AC6509" s="5">
        <v>42339</v>
      </c>
      <c r="AF6509" s="1">
        <v>10128</v>
      </c>
      <c r="AI6509" s="1" t="s">
        <v>163</v>
      </c>
      <c r="AJ6509" s="1">
        <v>1986</v>
      </c>
      <c r="AK6509" s="1" t="s">
        <v>55</v>
      </c>
      <c r="AL6509" s="1">
        <v>287</v>
      </c>
    </row>
    <row r="6510" spans="1:38" x14ac:dyDescent="0.2">
      <c r="A6510" s="2" t="str">
        <f>HYPERLINK("https://www.compass.com/listing/200-east-94th-street-unit-801-manhattan-ny-10128/29423459641663329/","200 E 94th St, Unit 801")</f>
        <v>200 E 94th St, Unit 801</v>
      </c>
      <c r="B6510" s="2" t="str">
        <f t="shared" si="1042"/>
        <v>Carnegie Park Condominium</v>
      </c>
      <c r="C6510" s="1" t="s">
        <v>82</v>
      </c>
      <c r="D6510" s="1" t="s">
        <v>41</v>
      </c>
      <c r="E6510" s="3">
        <v>2056458</v>
      </c>
      <c r="F6510" s="1">
        <v>1323.33185328185</v>
      </c>
      <c r="M6510" s="4">
        <v>1554</v>
      </c>
      <c r="Q6510" s="1" t="s">
        <v>42</v>
      </c>
      <c r="S6510" s="1" t="s">
        <v>42</v>
      </c>
      <c r="T6510" s="1" t="s">
        <v>273</v>
      </c>
      <c r="AA6510" s="1">
        <v>2056457.7</v>
      </c>
      <c r="AB6510" s="1" t="s">
        <v>4744</v>
      </c>
      <c r="AC6510" s="5">
        <v>42438</v>
      </c>
      <c r="AF6510" s="1">
        <v>10128</v>
      </c>
      <c r="AI6510" s="1" t="s">
        <v>163</v>
      </c>
      <c r="AJ6510" s="1">
        <v>1986</v>
      </c>
      <c r="AK6510" s="1" t="s">
        <v>55</v>
      </c>
      <c r="AL6510" s="1">
        <v>287</v>
      </c>
    </row>
    <row r="6511" spans="1:38" x14ac:dyDescent="0.2">
      <c r="A6511" s="2" t="str">
        <f>HYPERLINK("https://www.compass.com/listing/200-east-94th-street-unit-802-manhattan-ny-10128/29423459943588769/","200 E 94th St, Unit 802")</f>
        <v>200 E 94th St, Unit 802</v>
      </c>
      <c r="B6511" s="2" t="str">
        <f t="shared" si="1042"/>
        <v>Carnegie Park Condominium</v>
      </c>
      <c r="C6511" s="1" t="s">
        <v>82</v>
      </c>
      <c r="D6511" s="1" t="s">
        <v>41</v>
      </c>
      <c r="E6511" s="3">
        <v>2267632</v>
      </c>
      <c r="F6511" s="1">
        <v>1544.70811307901</v>
      </c>
      <c r="M6511" s="4">
        <v>1468</v>
      </c>
      <c r="Q6511" s="1" t="s">
        <v>42</v>
      </c>
      <c r="S6511" s="1" t="s">
        <v>42</v>
      </c>
      <c r="T6511" s="1" t="s">
        <v>273</v>
      </c>
      <c r="AA6511" s="1">
        <v>2267631.5099999998</v>
      </c>
      <c r="AB6511" s="1" t="s">
        <v>4745</v>
      </c>
      <c r="AC6511" s="5">
        <v>42438</v>
      </c>
      <c r="AF6511" s="1">
        <v>10128</v>
      </c>
      <c r="AI6511" s="1" t="s">
        <v>163</v>
      </c>
      <c r="AJ6511" s="1">
        <v>1986</v>
      </c>
      <c r="AK6511" s="1" t="s">
        <v>55</v>
      </c>
      <c r="AL6511" s="1">
        <v>287</v>
      </c>
    </row>
    <row r="6512" spans="1:38" x14ac:dyDescent="0.2">
      <c r="A6512" s="2" t="str">
        <f>HYPERLINK("https://www.compass.com/listing/200-east-94th-street-unit-806-manhattan-ny-10128/29423460212079649/","200 E 94th St, Unit 806")</f>
        <v>200 E 94th St, Unit 806</v>
      </c>
      <c r="B6512" s="2" t="str">
        <f t="shared" si="1042"/>
        <v>Carnegie Park Condominium</v>
      </c>
      <c r="C6512" s="1" t="s">
        <v>82</v>
      </c>
      <c r="D6512" s="1" t="s">
        <v>41</v>
      </c>
      <c r="E6512" s="3">
        <v>848601</v>
      </c>
      <c r="F6512" s="1">
        <v>1191.85587078651</v>
      </c>
      <c r="M6512" s="1">
        <v>712</v>
      </c>
      <c r="Q6512" s="1" t="s">
        <v>42</v>
      </c>
      <c r="S6512" s="1" t="s">
        <v>42</v>
      </c>
      <c r="T6512" s="1" t="s">
        <v>273</v>
      </c>
      <c r="AA6512" s="1">
        <v>848601.38</v>
      </c>
      <c r="AB6512" s="1" t="s">
        <v>4746</v>
      </c>
      <c r="AC6512" s="5">
        <v>42380</v>
      </c>
      <c r="AF6512" s="1">
        <v>10128</v>
      </c>
      <c r="AI6512" s="1" t="s">
        <v>163</v>
      </c>
      <c r="AJ6512" s="1">
        <v>1986</v>
      </c>
      <c r="AK6512" s="1" t="s">
        <v>55</v>
      </c>
      <c r="AL6512" s="1">
        <v>287</v>
      </c>
    </row>
    <row r="6513" spans="1:38" x14ac:dyDescent="0.2">
      <c r="A6513" s="2" t="str">
        <f>HYPERLINK("https://www.compass.com/listing/200-east-94th-street-unit-812-manhattan-ny-10128/29423460975387585/","200 E 94th St, Unit 812")</f>
        <v>200 E 94th St, Unit 812</v>
      </c>
      <c r="B6513" s="2" t="str">
        <f t="shared" si="1042"/>
        <v>Carnegie Park Condominium</v>
      </c>
      <c r="C6513" s="1" t="s">
        <v>82</v>
      </c>
      <c r="D6513" s="1" t="s">
        <v>41</v>
      </c>
      <c r="E6513" s="3">
        <v>853659</v>
      </c>
      <c r="F6513" s="1">
        <v>1210.86442553191</v>
      </c>
      <c r="H6513" s="1">
        <v>1</v>
      </c>
      <c r="J6513" s="1">
        <v>1</v>
      </c>
      <c r="M6513" s="1">
        <v>705</v>
      </c>
      <c r="N6513" s="1">
        <v>784</v>
      </c>
      <c r="O6513" s="1">
        <v>1616</v>
      </c>
      <c r="P6513" s="1">
        <v>832</v>
      </c>
      <c r="Q6513" s="1" t="s">
        <v>42</v>
      </c>
      <c r="S6513" s="1" t="s">
        <v>42</v>
      </c>
      <c r="T6513" s="1" t="s">
        <v>273</v>
      </c>
      <c r="AA6513" s="1">
        <v>853659.42</v>
      </c>
      <c r="AB6513" s="1" t="s">
        <v>4747</v>
      </c>
      <c r="AC6513" s="5">
        <v>42354</v>
      </c>
      <c r="AF6513" s="1">
        <v>10128</v>
      </c>
      <c r="AI6513" s="1" t="s">
        <v>163</v>
      </c>
      <c r="AJ6513" s="1">
        <v>1986</v>
      </c>
      <c r="AK6513" s="1" t="s">
        <v>55</v>
      </c>
      <c r="AL6513" s="1">
        <v>287</v>
      </c>
    </row>
    <row r="6514" spans="1:38" x14ac:dyDescent="0.2">
      <c r="A6514" s="2" t="str">
        <f>HYPERLINK("https://www.compass.com/listing/200-east-94th-street-unit-814-manhattan-ny-10128/29423461352930353/","200 E 94th St, Unit 814")</f>
        <v>200 E 94th St, Unit 814</v>
      </c>
      <c r="B6514" s="2" t="str">
        <f t="shared" si="1042"/>
        <v>Carnegie Park Condominium</v>
      </c>
      <c r="C6514" s="1" t="s">
        <v>82</v>
      </c>
      <c r="D6514" s="1" t="s">
        <v>41</v>
      </c>
      <c r="E6514" s="3">
        <v>1481591</v>
      </c>
      <c r="F6514" s="1">
        <v>1391.16538028169</v>
      </c>
      <c r="M6514" s="4">
        <v>1065</v>
      </c>
      <c r="Q6514" s="1" t="s">
        <v>42</v>
      </c>
      <c r="S6514" s="1" t="s">
        <v>42</v>
      </c>
      <c r="T6514" s="1" t="s">
        <v>273</v>
      </c>
      <c r="AA6514" s="1">
        <v>1481591.13</v>
      </c>
      <c r="AB6514" s="1" t="s">
        <v>4748</v>
      </c>
      <c r="AC6514" s="5">
        <v>42348</v>
      </c>
      <c r="AF6514" s="1">
        <v>10128</v>
      </c>
      <c r="AI6514" s="1" t="s">
        <v>163</v>
      </c>
      <c r="AJ6514" s="1">
        <v>1986</v>
      </c>
      <c r="AK6514" s="1" t="s">
        <v>55</v>
      </c>
      <c r="AL6514" s="1">
        <v>287</v>
      </c>
    </row>
    <row r="6515" spans="1:38" x14ac:dyDescent="0.2">
      <c r="A6515" s="2" t="str">
        <f>HYPERLINK("https://www.compass.com/listing/200-east-94th-street-unit-917-manhattan-ny-10128/29423462292454481/","200 E 94th St, Unit 917")</f>
        <v>200 E 94th St, Unit 917</v>
      </c>
      <c r="B6515" s="2" t="str">
        <f t="shared" si="1042"/>
        <v>Carnegie Park Condominium</v>
      </c>
      <c r="C6515" s="1" t="s">
        <v>82</v>
      </c>
      <c r="D6515" s="1" t="s">
        <v>41</v>
      </c>
      <c r="E6515" s="3">
        <v>2983494</v>
      </c>
      <c r="F6515" s="1">
        <v>3253.5375354416501</v>
      </c>
      <c r="H6515" s="1">
        <v>4</v>
      </c>
      <c r="J6515" s="1">
        <v>3</v>
      </c>
      <c r="M6515" s="1">
        <v>917</v>
      </c>
      <c r="N6515" s="1">
        <v>1964</v>
      </c>
      <c r="O6515" s="1">
        <v>4550</v>
      </c>
      <c r="P6515" s="1">
        <v>2586</v>
      </c>
      <c r="Q6515" s="1" t="s">
        <v>42</v>
      </c>
      <c r="S6515" s="1" t="s">
        <v>42</v>
      </c>
      <c r="T6515" s="1" t="s">
        <v>273</v>
      </c>
      <c r="AA6515" s="1">
        <v>2983493.92</v>
      </c>
      <c r="AB6515" s="1" t="s">
        <v>4749</v>
      </c>
      <c r="AC6515" s="5">
        <v>42422</v>
      </c>
      <c r="AF6515" s="1">
        <v>10128</v>
      </c>
      <c r="AI6515" s="1" t="s">
        <v>163</v>
      </c>
      <c r="AJ6515" s="1">
        <v>1986</v>
      </c>
      <c r="AK6515" s="1" t="s">
        <v>55</v>
      </c>
      <c r="AL6515" s="1">
        <v>287</v>
      </c>
    </row>
    <row r="6516" spans="1:38" x14ac:dyDescent="0.2">
      <c r="A6516" s="2" t="str">
        <f>HYPERLINK("https://www.compass.com/listing/200-east-94th-street-unit-911-manhattan-ny-10128/29423462636396433/","200 E 94th St, Unit 911")</f>
        <v>200 E 94th St, Unit 911</v>
      </c>
      <c r="B6516" s="2" t="str">
        <f t="shared" si="1042"/>
        <v>Carnegie Park Condominium</v>
      </c>
      <c r="C6516" s="1" t="s">
        <v>82</v>
      </c>
      <c r="D6516" s="1" t="s">
        <v>41</v>
      </c>
      <c r="E6516" s="3">
        <v>925653</v>
      </c>
      <c r="F6516" s="1">
        <v>1083.9031850117001</v>
      </c>
      <c r="M6516" s="1">
        <v>854</v>
      </c>
      <c r="Q6516" s="1" t="s">
        <v>42</v>
      </c>
      <c r="S6516" s="1" t="s">
        <v>42</v>
      </c>
      <c r="T6516" s="1" t="s">
        <v>273</v>
      </c>
      <c r="AA6516" s="1">
        <v>925653.32</v>
      </c>
      <c r="AB6516" s="1" t="s">
        <v>4750</v>
      </c>
      <c r="AC6516" s="5">
        <v>42326</v>
      </c>
      <c r="AF6516" s="1">
        <v>10128</v>
      </c>
      <c r="AI6516" s="1" t="s">
        <v>163</v>
      </c>
      <c r="AJ6516" s="1">
        <v>1986</v>
      </c>
      <c r="AK6516" s="1" t="s">
        <v>55</v>
      </c>
      <c r="AL6516" s="1">
        <v>287</v>
      </c>
    </row>
    <row r="6517" spans="1:38" x14ac:dyDescent="0.2">
      <c r="A6517" s="2" t="str">
        <f>HYPERLINK("https://www.compass.com/listing/200-east-94th-street-unit-907-manhattan-ny-10128/29423462980264945/","200 E 94th St, Unit 907")</f>
        <v>200 E 94th St, Unit 907</v>
      </c>
      <c r="B6517" s="2" t="str">
        <f t="shared" si="1042"/>
        <v>Carnegie Park Condominium</v>
      </c>
      <c r="C6517" s="1" t="s">
        <v>82</v>
      </c>
      <c r="D6517" s="1" t="s">
        <v>41</v>
      </c>
      <c r="E6517" s="3">
        <v>1553694</v>
      </c>
      <c r="F6517" s="1">
        <v>1255.0033521809301</v>
      </c>
      <c r="M6517" s="4">
        <v>1238</v>
      </c>
      <c r="Q6517" s="1" t="s">
        <v>42</v>
      </c>
      <c r="S6517" s="1" t="s">
        <v>42</v>
      </c>
      <c r="T6517" s="1" t="s">
        <v>273</v>
      </c>
      <c r="AA6517" s="1">
        <v>1553694.15</v>
      </c>
      <c r="AB6517" s="1" t="s">
        <v>4751</v>
      </c>
      <c r="AC6517" s="5">
        <v>42347</v>
      </c>
      <c r="AF6517" s="1">
        <v>10128</v>
      </c>
      <c r="AI6517" s="1" t="s">
        <v>163</v>
      </c>
      <c r="AJ6517" s="1">
        <v>1986</v>
      </c>
      <c r="AK6517" s="1" t="s">
        <v>55</v>
      </c>
      <c r="AL6517" s="1">
        <v>287</v>
      </c>
    </row>
    <row r="6518" spans="1:38" x14ac:dyDescent="0.2">
      <c r="A6518" s="2" t="str">
        <f>HYPERLINK("https://www.compass.com/listing/200-east-94th-street-unit-903-manhattan-ny-10128/29423463710138273/","200 E 94th St, Unit 903")</f>
        <v>200 E 94th St, Unit 903</v>
      </c>
      <c r="B6518" s="2" t="str">
        <f t="shared" si="1042"/>
        <v>Carnegie Park Condominium</v>
      </c>
      <c r="C6518" s="1" t="s">
        <v>82</v>
      </c>
      <c r="D6518" s="1" t="s">
        <v>41</v>
      </c>
      <c r="E6518" s="3">
        <v>613541</v>
      </c>
      <c r="F6518" s="1">
        <v>1212.53162055335</v>
      </c>
      <c r="M6518" s="1">
        <v>506</v>
      </c>
      <c r="Q6518" s="1" t="s">
        <v>42</v>
      </c>
      <c r="S6518" s="1" t="s">
        <v>42</v>
      </c>
      <c r="T6518" s="1" t="s">
        <v>273</v>
      </c>
      <c r="AA6518" s="1">
        <v>613541</v>
      </c>
      <c r="AB6518" s="1" t="s">
        <v>4752</v>
      </c>
      <c r="AC6518" s="5">
        <v>42559</v>
      </c>
      <c r="AF6518" s="1">
        <v>10128</v>
      </c>
      <c r="AI6518" s="1" t="s">
        <v>163</v>
      </c>
      <c r="AJ6518" s="1">
        <v>1986</v>
      </c>
      <c r="AK6518" s="1" t="s">
        <v>55</v>
      </c>
      <c r="AL6518" s="1">
        <v>287</v>
      </c>
    </row>
    <row r="6519" spans="1:38" x14ac:dyDescent="0.2">
      <c r="A6519" s="2" t="str">
        <f>HYPERLINK("https://www.compass.com/listing/200-east-94th-street-unit-902-manhattan-ny-10128/29423464406383729/","200 E 94th St, Unit 902")</f>
        <v>200 E 94th St, Unit 902</v>
      </c>
      <c r="B6519" s="2" t="str">
        <f t="shared" si="1042"/>
        <v>Carnegie Park Condominium</v>
      </c>
      <c r="C6519" s="1" t="s">
        <v>82</v>
      </c>
      <c r="D6519" s="1" t="s">
        <v>41</v>
      </c>
      <c r="E6519" s="3">
        <v>1021087</v>
      </c>
      <c r="F6519" s="1">
        <v>1320.94028460543</v>
      </c>
      <c r="M6519" s="1">
        <v>773</v>
      </c>
      <c r="Q6519" s="1" t="s">
        <v>42</v>
      </c>
      <c r="S6519" s="1" t="s">
        <v>42</v>
      </c>
      <c r="T6519" s="1" t="s">
        <v>273</v>
      </c>
      <c r="AA6519" s="1">
        <v>1021086.84</v>
      </c>
      <c r="AB6519" s="1" t="s">
        <v>4753</v>
      </c>
      <c r="AC6519" s="5">
        <v>42488</v>
      </c>
      <c r="AF6519" s="1">
        <v>10128</v>
      </c>
      <c r="AI6519" s="1" t="s">
        <v>163</v>
      </c>
      <c r="AJ6519" s="1">
        <v>1986</v>
      </c>
      <c r="AK6519" s="1" t="s">
        <v>55</v>
      </c>
      <c r="AL6519" s="1">
        <v>287</v>
      </c>
    </row>
    <row r="6520" spans="1:38" x14ac:dyDescent="0.2">
      <c r="A6520" s="2" t="str">
        <f>HYPERLINK("https://www.compass.com/listing/200-east-94th-street-unit-908-manhattan-ny-10128/29423465043862561/","200 E 94th St, Unit 908")</f>
        <v>200 E 94th St, Unit 908</v>
      </c>
      <c r="B6520" s="2" t="str">
        <f t="shared" si="1042"/>
        <v>Carnegie Park Condominium</v>
      </c>
      <c r="C6520" s="1" t="s">
        <v>82</v>
      </c>
      <c r="D6520" s="1" t="s">
        <v>41</v>
      </c>
      <c r="E6520" s="3">
        <v>1864345</v>
      </c>
      <c r="F6520" s="1">
        <v>1507.1507599029901</v>
      </c>
      <c r="M6520" s="4">
        <v>1237</v>
      </c>
      <c r="Q6520" s="1" t="s">
        <v>42</v>
      </c>
      <c r="S6520" s="1" t="s">
        <v>42</v>
      </c>
      <c r="T6520" s="1" t="s">
        <v>273</v>
      </c>
      <c r="AA6520" s="1">
        <v>1864345.49</v>
      </c>
      <c r="AB6520" s="1" t="s">
        <v>4754</v>
      </c>
      <c r="AC6520" s="5">
        <v>42516</v>
      </c>
      <c r="AF6520" s="1">
        <v>10128</v>
      </c>
      <c r="AI6520" s="1" t="s">
        <v>163</v>
      </c>
      <c r="AJ6520" s="1">
        <v>1986</v>
      </c>
      <c r="AK6520" s="1" t="s">
        <v>55</v>
      </c>
      <c r="AL6520" s="1">
        <v>287</v>
      </c>
    </row>
    <row r="6521" spans="1:38" x14ac:dyDescent="0.2">
      <c r="A6521" s="2" t="str">
        <f>HYPERLINK("https://www.compass.com/listing/200-east-94th-street-unit-914-manhattan-ny-10128/29423466167936049/","200 E 94th St, Unit 914")</f>
        <v>200 E 94th St, Unit 914</v>
      </c>
      <c r="B6521" s="2" t="str">
        <f t="shared" si="1042"/>
        <v>Carnegie Park Condominium</v>
      </c>
      <c r="C6521" s="1" t="s">
        <v>82</v>
      </c>
      <c r="D6521" s="1" t="s">
        <v>41</v>
      </c>
      <c r="E6521" s="3">
        <v>1761619</v>
      </c>
      <c r="F6521" s="1">
        <v>1654.10269483568</v>
      </c>
      <c r="M6521" s="4">
        <v>1065</v>
      </c>
      <c r="Q6521" s="1" t="s">
        <v>42</v>
      </c>
      <c r="S6521" s="1" t="s">
        <v>42</v>
      </c>
      <c r="T6521" s="1" t="s">
        <v>273</v>
      </c>
      <c r="AA6521" s="1">
        <v>1761619.37</v>
      </c>
      <c r="AB6521" s="1" t="s">
        <v>4755</v>
      </c>
      <c r="AC6521" s="5">
        <v>42419</v>
      </c>
      <c r="AF6521" s="1">
        <v>10128</v>
      </c>
      <c r="AI6521" s="1" t="s">
        <v>163</v>
      </c>
      <c r="AJ6521" s="1">
        <v>1986</v>
      </c>
      <c r="AK6521" s="1" t="s">
        <v>55</v>
      </c>
      <c r="AL6521" s="1">
        <v>287</v>
      </c>
    </row>
    <row r="6522" spans="1:38" x14ac:dyDescent="0.2">
      <c r="A6522" s="2" t="str">
        <f>HYPERLINK("https://www.compass.com/listing/200-east-94th-street-unit-1016-manhattan-ny-10128/29423466788757489/","200 E 94th St, Unit 1016")</f>
        <v>200 E 94th St, Unit 1016</v>
      </c>
      <c r="B6522" s="2" t="str">
        <f t="shared" si="1042"/>
        <v>Carnegie Park Condominium</v>
      </c>
      <c r="C6522" s="1" t="s">
        <v>82</v>
      </c>
      <c r="D6522" s="1" t="s">
        <v>41</v>
      </c>
      <c r="E6522" s="3">
        <v>935134</v>
      </c>
      <c r="F6522" s="1">
        <v>1328.3148437499999</v>
      </c>
      <c r="M6522" s="1">
        <v>704</v>
      </c>
      <c r="Q6522" s="1" t="s">
        <v>42</v>
      </c>
      <c r="S6522" s="1" t="s">
        <v>42</v>
      </c>
      <c r="T6522" s="1" t="s">
        <v>273</v>
      </c>
      <c r="AA6522" s="1">
        <v>935133.65</v>
      </c>
      <c r="AB6522" s="1" t="s">
        <v>4756</v>
      </c>
      <c r="AC6522" s="5">
        <v>42374</v>
      </c>
      <c r="AF6522" s="1">
        <v>10128</v>
      </c>
      <c r="AI6522" s="1" t="s">
        <v>163</v>
      </c>
      <c r="AJ6522" s="1">
        <v>1986</v>
      </c>
      <c r="AK6522" s="1" t="s">
        <v>55</v>
      </c>
      <c r="AL6522" s="1">
        <v>287</v>
      </c>
    </row>
    <row r="6523" spans="1:38" x14ac:dyDescent="0.2">
      <c r="A6523" s="2" t="str">
        <f>HYPERLINK("https://www.compass.com/listing/200-east-94th-street-unit-1017-manhattan-ny-10128/29423467132625985/","200 E 94th St, Unit 1017")</f>
        <v>200 E 94th St, Unit 1017</v>
      </c>
      <c r="B6523" s="2" t="str">
        <f t="shared" si="1042"/>
        <v>Carnegie Park Condominium</v>
      </c>
      <c r="C6523" s="1" t="s">
        <v>82</v>
      </c>
      <c r="D6523" s="1" t="s">
        <v>41</v>
      </c>
      <c r="E6523" s="3">
        <v>3190609</v>
      </c>
      <c r="F6523" s="1">
        <v>1697.13244148936</v>
      </c>
      <c r="M6523" s="4">
        <v>1880</v>
      </c>
      <c r="Q6523" s="1" t="s">
        <v>42</v>
      </c>
      <c r="S6523" s="1" t="s">
        <v>42</v>
      </c>
      <c r="T6523" s="1" t="s">
        <v>273</v>
      </c>
      <c r="AA6523" s="1">
        <v>3190608.99</v>
      </c>
      <c r="AB6523" s="1" t="s">
        <v>4757</v>
      </c>
      <c r="AC6523" s="5">
        <v>42807</v>
      </c>
      <c r="AF6523" s="1">
        <v>10128</v>
      </c>
      <c r="AI6523" s="1" t="s">
        <v>163</v>
      </c>
      <c r="AJ6523" s="1">
        <v>1986</v>
      </c>
      <c r="AK6523" s="1" t="s">
        <v>55</v>
      </c>
      <c r="AL6523" s="1">
        <v>287</v>
      </c>
    </row>
    <row r="6524" spans="1:38" x14ac:dyDescent="0.2">
      <c r="A6524" s="2" t="str">
        <f>HYPERLINK("https://www.compass.com/listing/200-east-94th-street-unit-1011-manhattan-ny-10128/29423467434671297/","200 E 94th St, Unit 1011")</f>
        <v>200 E 94th St, Unit 1011</v>
      </c>
      <c r="B6524" s="2" t="str">
        <f t="shared" si="1042"/>
        <v>Carnegie Park Condominium</v>
      </c>
      <c r="C6524" s="1" t="s">
        <v>82</v>
      </c>
      <c r="D6524" s="1" t="s">
        <v>41</v>
      </c>
      <c r="E6524" s="3">
        <v>1195499</v>
      </c>
      <c r="F6524" s="1">
        <v>1399.88179156908</v>
      </c>
      <c r="M6524" s="1">
        <v>854</v>
      </c>
      <c r="Q6524" s="1" t="s">
        <v>42</v>
      </c>
      <c r="S6524" s="1" t="s">
        <v>42</v>
      </c>
      <c r="T6524" s="1" t="s">
        <v>273</v>
      </c>
      <c r="AA6524" s="1">
        <v>1195499.05</v>
      </c>
      <c r="AB6524" s="1" t="s">
        <v>4758</v>
      </c>
      <c r="AC6524" s="5">
        <v>42333</v>
      </c>
      <c r="AF6524" s="1">
        <v>10128</v>
      </c>
      <c r="AI6524" s="1" t="s">
        <v>163</v>
      </c>
      <c r="AJ6524" s="1">
        <v>1986</v>
      </c>
      <c r="AK6524" s="1" t="s">
        <v>55</v>
      </c>
      <c r="AL6524" s="1">
        <v>287</v>
      </c>
    </row>
    <row r="6525" spans="1:38" x14ac:dyDescent="0.2">
      <c r="A6525" s="2" t="str">
        <f>HYPERLINK("https://www.compass.com/listing/200-east-94th-street-unit-1009-manhattan-ny-10128/29423467711504385/","200 E 94th St, Unit 1009")</f>
        <v>200 E 94th St, Unit 1009</v>
      </c>
      <c r="B6525" s="2" t="str">
        <f t="shared" si="1042"/>
        <v>Carnegie Park Condominium</v>
      </c>
      <c r="C6525" s="1" t="s">
        <v>82</v>
      </c>
      <c r="D6525" s="1" t="s">
        <v>41</v>
      </c>
      <c r="E6525" s="3">
        <v>2330854</v>
      </c>
      <c r="F6525" s="1">
        <v>1070.1808953167999</v>
      </c>
      <c r="M6525" s="4">
        <v>2178</v>
      </c>
      <c r="Q6525" s="1" t="s">
        <v>42</v>
      </c>
      <c r="S6525" s="1" t="s">
        <v>42</v>
      </c>
      <c r="T6525" s="1" t="s">
        <v>273</v>
      </c>
      <c r="AA6525" s="1">
        <v>2330853.9900000002</v>
      </c>
      <c r="AB6525" s="1" t="s">
        <v>4759</v>
      </c>
      <c r="AC6525" s="5">
        <v>42338</v>
      </c>
      <c r="AF6525" s="1">
        <v>10128</v>
      </c>
      <c r="AI6525" s="1" t="s">
        <v>163</v>
      </c>
      <c r="AJ6525" s="1">
        <v>1986</v>
      </c>
      <c r="AK6525" s="1" t="s">
        <v>55</v>
      </c>
      <c r="AL6525" s="1">
        <v>287</v>
      </c>
    </row>
    <row r="6526" spans="1:38" x14ac:dyDescent="0.2">
      <c r="A6526" s="2" t="str">
        <f>HYPERLINK("https://www.compass.com/listing/200-east-94th-street-unit-1012-manhattan-ny-10128/29423468046984273/","200 E 94th St, Unit 1012")</f>
        <v>200 E 94th St, Unit 1012</v>
      </c>
      <c r="B6526" s="2" t="str">
        <f t="shared" si="1042"/>
        <v>Carnegie Park Condominium</v>
      </c>
      <c r="C6526" s="1" t="s">
        <v>82</v>
      </c>
      <c r="D6526" s="1" t="s">
        <v>41</v>
      </c>
      <c r="E6526" s="3">
        <v>1042055</v>
      </c>
      <c r="F6526" s="1">
        <v>1478.09170212765</v>
      </c>
      <c r="M6526" s="1">
        <v>705</v>
      </c>
      <c r="Q6526" s="1" t="s">
        <v>42</v>
      </c>
      <c r="S6526" s="1" t="s">
        <v>42</v>
      </c>
      <c r="T6526" s="1" t="s">
        <v>273</v>
      </c>
      <c r="AA6526" s="1">
        <v>1042054.65</v>
      </c>
      <c r="AB6526" s="1" t="s">
        <v>4760</v>
      </c>
      <c r="AC6526" s="5">
        <v>42482</v>
      </c>
      <c r="AF6526" s="1">
        <v>10128</v>
      </c>
      <c r="AI6526" s="1" t="s">
        <v>163</v>
      </c>
      <c r="AJ6526" s="1">
        <v>1986</v>
      </c>
      <c r="AK6526" s="1" t="s">
        <v>55</v>
      </c>
      <c r="AL6526" s="1">
        <v>287</v>
      </c>
    </row>
    <row r="6527" spans="1:38" x14ac:dyDescent="0.2">
      <c r="A6527" s="2" t="str">
        <f>HYPERLINK("https://www.compass.com/listing/200-east-94th-street-unit-1014-manhattan-ny-10128/29423468323863761/","200 E 94th St, Unit 1014")</f>
        <v>200 E 94th St, Unit 1014</v>
      </c>
      <c r="B6527" s="2" t="str">
        <f t="shared" si="1042"/>
        <v>Carnegie Park Condominium</v>
      </c>
      <c r="C6527" s="1" t="s">
        <v>82</v>
      </c>
      <c r="D6527" s="1" t="s">
        <v>41</v>
      </c>
      <c r="E6527" s="3">
        <v>1695443</v>
      </c>
      <c r="F6527" s="1">
        <v>1591.9648920187699</v>
      </c>
      <c r="M6527" s="4">
        <v>1065</v>
      </c>
      <c r="Q6527" s="1" t="s">
        <v>42</v>
      </c>
      <c r="S6527" s="1" t="s">
        <v>42</v>
      </c>
      <c r="T6527" s="1" t="s">
        <v>273</v>
      </c>
      <c r="AA6527" s="1">
        <v>1695442.61</v>
      </c>
      <c r="AB6527" s="1" t="s">
        <v>4761</v>
      </c>
      <c r="AC6527" s="5">
        <v>42345</v>
      </c>
      <c r="AF6527" s="1">
        <v>10128</v>
      </c>
      <c r="AI6527" s="1" t="s">
        <v>163</v>
      </c>
      <c r="AJ6527" s="1">
        <v>1986</v>
      </c>
      <c r="AK6527" s="1" t="s">
        <v>55</v>
      </c>
      <c r="AL6527" s="1">
        <v>287</v>
      </c>
    </row>
    <row r="6528" spans="1:38" x14ac:dyDescent="0.2">
      <c r="A6528" s="2" t="str">
        <f>HYPERLINK("https://www.compass.com/listing/200-east-94th-street-unit-1115-manhattan-ny-10128/29423468617474065/","200 E 94th St, Unit 1115")</f>
        <v>200 E 94th St, Unit 1115</v>
      </c>
      <c r="B6528" s="2" t="str">
        <f t="shared" si="1042"/>
        <v>Carnegie Park Condominium</v>
      </c>
      <c r="C6528" s="1" t="s">
        <v>82</v>
      </c>
      <c r="D6528" s="1" t="s">
        <v>41</v>
      </c>
      <c r="E6528" s="3">
        <v>1710732</v>
      </c>
      <c r="F6528" s="1">
        <v>1589.8999070631901</v>
      </c>
      <c r="M6528" s="4">
        <v>1076</v>
      </c>
      <c r="Q6528" s="1" t="s">
        <v>42</v>
      </c>
      <c r="S6528" s="1" t="s">
        <v>42</v>
      </c>
      <c r="T6528" s="1" t="s">
        <v>273</v>
      </c>
      <c r="AA6528" s="1">
        <v>1710732.3</v>
      </c>
      <c r="AB6528" s="1" t="s">
        <v>4762</v>
      </c>
      <c r="AC6528" s="5">
        <v>42495</v>
      </c>
      <c r="AF6528" s="1">
        <v>10128</v>
      </c>
      <c r="AI6528" s="1" t="s">
        <v>163</v>
      </c>
      <c r="AJ6528" s="1">
        <v>1986</v>
      </c>
      <c r="AK6528" s="1" t="s">
        <v>55</v>
      </c>
      <c r="AL6528" s="1">
        <v>287</v>
      </c>
    </row>
    <row r="6529" spans="1:38" x14ac:dyDescent="0.2">
      <c r="A6529" s="2" t="str">
        <f>HYPERLINK("https://www.compass.com/listing/200-east-94th-street-unit-1117-manhattan-ny-10128/29423469749936161/","200 E 94th St, Unit 1117")</f>
        <v>200 E 94th St, Unit 1117</v>
      </c>
      <c r="B6529" s="2" t="str">
        <f t="shared" si="1042"/>
        <v>Carnegie Park Condominium</v>
      </c>
      <c r="C6529" s="1" t="s">
        <v>82</v>
      </c>
      <c r="D6529" s="1" t="s">
        <v>41</v>
      </c>
      <c r="E6529" s="3">
        <v>3353536</v>
      </c>
      <c r="F6529" s="1">
        <v>1783.79574468085</v>
      </c>
      <c r="M6529" s="4">
        <v>1880</v>
      </c>
      <c r="Q6529" s="1" t="s">
        <v>42</v>
      </c>
      <c r="S6529" s="1" t="s">
        <v>42</v>
      </c>
      <c r="T6529" s="1" t="s">
        <v>273</v>
      </c>
      <c r="AA6529" s="1">
        <v>3353536</v>
      </c>
      <c r="AB6529" s="1" t="s">
        <v>4763</v>
      </c>
      <c r="AC6529" s="5">
        <v>42473</v>
      </c>
      <c r="AF6529" s="1">
        <v>10128</v>
      </c>
      <c r="AI6529" s="1" t="s">
        <v>163</v>
      </c>
      <c r="AJ6529" s="1">
        <v>1986</v>
      </c>
      <c r="AK6529" s="1" t="s">
        <v>55</v>
      </c>
      <c r="AL6529" s="1">
        <v>287</v>
      </c>
    </row>
    <row r="6530" spans="1:38" x14ac:dyDescent="0.2">
      <c r="A6530" s="2" t="str">
        <f>HYPERLINK("https://www.compass.com/listing/200-east-94th-street-unit-1215-manhattan-ny-10128/29423473021493313/","200 E 94th St, Unit 1215")</f>
        <v>200 E 94th St, Unit 1215</v>
      </c>
      <c r="B6530" s="2" t="str">
        <f t="shared" si="1042"/>
        <v>Carnegie Park Condominium</v>
      </c>
      <c r="C6530" s="1" t="s">
        <v>82</v>
      </c>
      <c r="D6530" s="1" t="s">
        <v>41</v>
      </c>
      <c r="E6530" s="3">
        <v>1644601</v>
      </c>
      <c r="F6530" s="1">
        <v>1528.4398513011099</v>
      </c>
      <c r="M6530" s="4">
        <v>1076</v>
      </c>
      <c r="Q6530" s="1" t="s">
        <v>42</v>
      </c>
      <c r="S6530" s="1" t="s">
        <v>42</v>
      </c>
      <c r="T6530" s="1" t="s">
        <v>273</v>
      </c>
      <c r="AA6530" s="1">
        <v>1644601.28</v>
      </c>
      <c r="AB6530" s="1" t="s">
        <v>4764</v>
      </c>
      <c r="AC6530" s="5">
        <v>42402</v>
      </c>
      <c r="AF6530" s="1">
        <v>10128</v>
      </c>
      <c r="AI6530" s="1" t="s">
        <v>163</v>
      </c>
      <c r="AJ6530" s="1">
        <v>1986</v>
      </c>
      <c r="AK6530" s="1" t="s">
        <v>55</v>
      </c>
      <c r="AL6530" s="1">
        <v>287</v>
      </c>
    </row>
    <row r="6531" spans="1:38" x14ac:dyDescent="0.2">
      <c r="A6531" s="2" t="str">
        <f>HYPERLINK("https://www.compass.com/listing/200-east-94th-street-unit-1217-manhattan-ny-10128/29423473340196033/","200 E 94th St, Unit 1217")</f>
        <v>200 E 94th St, Unit 1217</v>
      </c>
      <c r="B6531" s="2" t="str">
        <f t="shared" si="1042"/>
        <v>Carnegie Park Condominium</v>
      </c>
      <c r="C6531" s="1" t="s">
        <v>82</v>
      </c>
      <c r="D6531" s="1" t="s">
        <v>41</v>
      </c>
      <c r="E6531" s="3">
        <v>4283723</v>
      </c>
      <c r="F6531" s="1">
        <v>1657.1463172147</v>
      </c>
      <c r="M6531" s="4">
        <v>2585</v>
      </c>
      <c r="Q6531" s="1" t="s">
        <v>42</v>
      </c>
      <c r="S6531" s="1" t="s">
        <v>42</v>
      </c>
      <c r="T6531" s="1" t="s">
        <v>273</v>
      </c>
      <c r="AA6531" s="1">
        <v>4283723.2300000004</v>
      </c>
      <c r="AB6531" s="1" t="s">
        <v>4765</v>
      </c>
      <c r="AC6531" s="5">
        <v>42429</v>
      </c>
      <c r="AF6531" s="1">
        <v>10128</v>
      </c>
      <c r="AI6531" s="1" t="s">
        <v>163</v>
      </c>
      <c r="AJ6531" s="1">
        <v>1986</v>
      </c>
      <c r="AK6531" s="1" t="s">
        <v>55</v>
      </c>
      <c r="AL6531" s="1">
        <v>287</v>
      </c>
    </row>
    <row r="6532" spans="1:38" x14ac:dyDescent="0.2">
      <c r="A6532" s="2" t="str">
        <f>HYPERLINK("https://www.compass.com/listing/200-east-94th-street-unit-1211-manhattan-ny-10128/29423473642241329/","200 E 94th St, Unit 1211")</f>
        <v>200 E 94th St, Unit 1211</v>
      </c>
      <c r="B6532" s="2" t="str">
        <f t="shared" si="1042"/>
        <v>Carnegie Park Condominium</v>
      </c>
      <c r="C6532" s="1" t="s">
        <v>82</v>
      </c>
      <c r="D6532" s="1" t="s">
        <v>41</v>
      </c>
      <c r="E6532" s="3">
        <v>976594</v>
      </c>
      <c r="F6532" s="1">
        <v>1143.5530210772799</v>
      </c>
      <c r="M6532" s="1">
        <v>854</v>
      </c>
      <c r="Q6532" s="1" t="s">
        <v>42</v>
      </c>
      <c r="S6532" s="1" t="s">
        <v>42</v>
      </c>
      <c r="T6532" s="1" t="s">
        <v>273</v>
      </c>
      <c r="AA6532" s="1">
        <v>976594.28</v>
      </c>
      <c r="AB6532" s="1" t="s">
        <v>4766</v>
      </c>
      <c r="AC6532" s="5">
        <v>42338</v>
      </c>
      <c r="AF6532" s="1">
        <v>10128</v>
      </c>
      <c r="AI6532" s="1" t="s">
        <v>163</v>
      </c>
      <c r="AJ6532" s="1">
        <v>1986</v>
      </c>
      <c r="AK6532" s="1" t="s">
        <v>55</v>
      </c>
      <c r="AL6532" s="1">
        <v>287</v>
      </c>
    </row>
    <row r="6533" spans="1:38" x14ac:dyDescent="0.2">
      <c r="A6533" s="2" t="str">
        <f>HYPERLINK("https://www.compass.com/listing/200-east-94th-street-unit-1209-manhattan-ny-10128/29423473969406033/","200 E 94th St, Unit 1209")</f>
        <v>200 E 94th St, Unit 1209</v>
      </c>
      <c r="B6533" s="2" t="str">
        <f t="shared" si="1042"/>
        <v>Carnegie Park Condominium</v>
      </c>
      <c r="C6533" s="1" t="s">
        <v>82</v>
      </c>
      <c r="D6533" s="1" t="s">
        <v>41</v>
      </c>
      <c r="E6533" s="3">
        <v>2552960</v>
      </c>
      <c r="F6533" s="1">
        <v>1619.8983185279101</v>
      </c>
      <c r="M6533" s="4">
        <v>1576</v>
      </c>
      <c r="Q6533" s="1" t="s">
        <v>42</v>
      </c>
      <c r="S6533" s="1" t="s">
        <v>42</v>
      </c>
      <c r="T6533" s="1" t="s">
        <v>273</v>
      </c>
      <c r="AA6533" s="1">
        <v>2552959.75</v>
      </c>
      <c r="AB6533" s="1" t="s">
        <v>4767</v>
      </c>
      <c r="AC6533" s="5">
        <v>42345</v>
      </c>
      <c r="AF6533" s="1">
        <v>10128</v>
      </c>
      <c r="AI6533" s="1" t="s">
        <v>163</v>
      </c>
      <c r="AJ6533" s="1">
        <v>1986</v>
      </c>
      <c r="AK6533" s="1" t="s">
        <v>55</v>
      </c>
      <c r="AL6533" s="1">
        <v>287</v>
      </c>
    </row>
    <row r="6534" spans="1:38" x14ac:dyDescent="0.2">
      <c r="A6534" s="2" t="str">
        <f>HYPERLINK("https://www.compass.com/listing/200-east-94th-street-unit-1214-manhattan-ny-10128/29423474632097089/","200 E 94th St, Unit 1214")</f>
        <v>200 E 94th St, Unit 1214</v>
      </c>
      <c r="B6534" s="2" t="str">
        <f t="shared" si="1042"/>
        <v>Carnegie Park Condominium</v>
      </c>
      <c r="C6534" s="1" t="s">
        <v>82</v>
      </c>
      <c r="D6534" s="1" t="s">
        <v>41</v>
      </c>
      <c r="E6534" s="3">
        <v>1680188</v>
      </c>
      <c r="F6534" s="1">
        <v>1577.6411549295699</v>
      </c>
      <c r="M6534" s="4">
        <v>1065</v>
      </c>
      <c r="Q6534" s="1" t="s">
        <v>42</v>
      </c>
      <c r="S6534" s="1" t="s">
        <v>42</v>
      </c>
      <c r="T6534" s="1" t="s">
        <v>273</v>
      </c>
      <c r="AA6534" s="1">
        <v>1680187.83</v>
      </c>
      <c r="AB6534" s="1" t="s">
        <v>4768</v>
      </c>
      <c r="AC6534" s="5">
        <v>42377</v>
      </c>
      <c r="AF6534" s="1">
        <v>10128</v>
      </c>
      <c r="AI6534" s="1" t="s">
        <v>163</v>
      </c>
      <c r="AJ6534" s="1">
        <v>1986</v>
      </c>
      <c r="AK6534" s="1" t="s">
        <v>55</v>
      </c>
      <c r="AL6534" s="1">
        <v>287</v>
      </c>
    </row>
    <row r="6535" spans="1:38" x14ac:dyDescent="0.2">
      <c r="A6535" s="2" t="str">
        <f>HYPERLINK("https://www.compass.com/listing/200-east-94th-street-unit-1416-manhattan-ny-10128/29423475395405041/","200 E 94th St, Unit 1416")</f>
        <v>200 E 94th St, Unit 1416</v>
      </c>
      <c r="B6535" s="2" t="str">
        <f t="shared" si="1042"/>
        <v>Carnegie Park Condominium</v>
      </c>
      <c r="C6535" s="1" t="s">
        <v>82</v>
      </c>
      <c r="D6535" s="1" t="s">
        <v>41</v>
      </c>
      <c r="E6535" s="3">
        <v>950436</v>
      </c>
      <c r="F6535" s="1">
        <v>1350.0509374999999</v>
      </c>
      <c r="H6535" s="1">
        <v>1</v>
      </c>
      <c r="J6535" s="1">
        <v>1</v>
      </c>
      <c r="M6535" s="1">
        <v>704</v>
      </c>
      <c r="N6535" s="1">
        <v>787</v>
      </c>
      <c r="O6535" s="1">
        <v>1623</v>
      </c>
      <c r="P6535" s="1">
        <v>836</v>
      </c>
      <c r="Q6535" s="1" t="s">
        <v>42</v>
      </c>
      <c r="S6535" s="1" t="s">
        <v>42</v>
      </c>
      <c r="T6535" s="1" t="s">
        <v>273</v>
      </c>
      <c r="AA6535" s="1">
        <v>950435.86</v>
      </c>
      <c r="AB6535" s="1" t="s">
        <v>4769</v>
      </c>
      <c r="AC6535" s="5">
        <v>42402</v>
      </c>
      <c r="AF6535" s="1">
        <v>10128</v>
      </c>
      <c r="AI6535" s="1" t="s">
        <v>163</v>
      </c>
      <c r="AJ6535" s="1">
        <v>1986</v>
      </c>
      <c r="AK6535" s="1" t="s">
        <v>55</v>
      </c>
      <c r="AL6535" s="1">
        <v>287</v>
      </c>
    </row>
    <row r="6536" spans="1:38" x14ac:dyDescent="0.2">
      <c r="A6536" s="2" t="str">
        <f>HYPERLINK("https://www.compass.com/listing/200-east-94th-street-unit-1411-manhattan-ny-10128/29423476133666945/","200 E 94th St, Unit 1411")</f>
        <v>200 E 94th St, Unit 1411</v>
      </c>
      <c r="B6536" s="2" t="str">
        <f t="shared" si="1042"/>
        <v>Carnegie Park Condominium</v>
      </c>
      <c r="C6536" s="1" t="s">
        <v>82</v>
      </c>
      <c r="D6536" s="1" t="s">
        <v>41</v>
      </c>
      <c r="E6536" s="3">
        <v>1093703</v>
      </c>
      <c r="F6536" s="1">
        <v>1280.68210772833</v>
      </c>
      <c r="M6536" s="1">
        <v>854</v>
      </c>
      <c r="Q6536" s="1" t="s">
        <v>42</v>
      </c>
      <c r="S6536" s="1" t="s">
        <v>42</v>
      </c>
      <c r="T6536" s="1" t="s">
        <v>273</v>
      </c>
      <c r="AA6536" s="1">
        <v>1093702.52</v>
      </c>
      <c r="AB6536" s="1" t="s">
        <v>4770</v>
      </c>
      <c r="AC6536" s="5">
        <v>42333</v>
      </c>
      <c r="AF6536" s="1">
        <v>10128</v>
      </c>
      <c r="AI6536" s="1" t="s">
        <v>163</v>
      </c>
      <c r="AJ6536" s="1">
        <v>1986</v>
      </c>
      <c r="AK6536" s="1" t="s">
        <v>55</v>
      </c>
      <c r="AL6536" s="1">
        <v>287</v>
      </c>
    </row>
    <row r="6537" spans="1:38" x14ac:dyDescent="0.2">
      <c r="A6537" s="2" t="str">
        <f>HYPERLINK("https://www.compass.com/listing/200-east-94th-street-unit-1409-manhattan-ny-10128/29423476477535489/","200 E 94th St, Unit 1409")</f>
        <v>200 E 94th St, Unit 1409</v>
      </c>
      <c r="B6537" s="2" t="str">
        <f t="shared" si="1042"/>
        <v>Carnegie Park Condominium</v>
      </c>
      <c r="C6537" s="1" t="s">
        <v>82</v>
      </c>
      <c r="D6537" s="1" t="s">
        <v>41</v>
      </c>
      <c r="E6537" s="3">
        <v>2125314</v>
      </c>
      <c r="F6537" s="1">
        <v>1348.5493654822301</v>
      </c>
      <c r="M6537" s="4">
        <v>1576</v>
      </c>
      <c r="Q6537" s="1" t="s">
        <v>42</v>
      </c>
      <c r="S6537" s="1" t="s">
        <v>42</v>
      </c>
      <c r="T6537" s="1" t="s">
        <v>273</v>
      </c>
      <c r="AA6537" s="1">
        <v>2125313.7999999998</v>
      </c>
      <c r="AB6537" s="1" t="s">
        <v>4771</v>
      </c>
      <c r="AC6537" s="5">
        <v>42437</v>
      </c>
      <c r="AF6537" s="1">
        <v>10128</v>
      </c>
      <c r="AI6537" s="1" t="s">
        <v>163</v>
      </c>
      <c r="AJ6537" s="1">
        <v>1986</v>
      </c>
      <c r="AK6537" s="1" t="s">
        <v>55</v>
      </c>
      <c r="AL6537" s="1">
        <v>287</v>
      </c>
    </row>
    <row r="6538" spans="1:38" x14ac:dyDescent="0.2">
      <c r="A6538" s="2" t="str">
        <f>HYPERLINK("https://www.compass.com/listing/200-east-94th-street-unit-1412-manhattan-ny-10128/29423476771192177/","200 E 94th St, Unit 1412")</f>
        <v>200 E 94th St, Unit 1412</v>
      </c>
      <c r="B6538" s="2" t="str">
        <f t="shared" si="1042"/>
        <v>Carnegie Park Condominium</v>
      </c>
      <c r="C6538" s="1" t="s">
        <v>82</v>
      </c>
      <c r="D6538" s="1" t="s">
        <v>41</v>
      </c>
      <c r="E6538" s="3">
        <v>868981</v>
      </c>
      <c r="F6538" s="1">
        <v>1232.59668085106</v>
      </c>
      <c r="M6538" s="1">
        <v>705</v>
      </c>
      <c r="Q6538" s="1" t="s">
        <v>42</v>
      </c>
      <c r="S6538" s="1" t="s">
        <v>42</v>
      </c>
      <c r="T6538" s="1" t="s">
        <v>273</v>
      </c>
      <c r="AA6538" s="1">
        <v>868980.66</v>
      </c>
      <c r="AB6538" s="1" t="s">
        <v>4772</v>
      </c>
      <c r="AC6538" s="5">
        <v>42471</v>
      </c>
      <c r="AF6538" s="1">
        <v>10128</v>
      </c>
      <c r="AI6538" s="1" t="s">
        <v>163</v>
      </c>
      <c r="AJ6538" s="1">
        <v>1986</v>
      </c>
      <c r="AK6538" s="1" t="s">
        <v>55</v>
      </c>
      <c r="AL6538" s="1">
        <v>287</v>
      </c>
    </row>
    <row r="6539" spans="1:38" x14ac:dyDescent="0.2">
      <c r="A6539" s="2" t="str">
        <f>HYPERLINK("https://www.compass.com/listing/200-east-94th-street-unit-1515-manhattan-ny-10128/29423477375116561/","200 E 94th St, Unit 1515")</f>
        <v>200 E 94th St, Unit 1515</v>
      </c>
      <c r="B6539" s="2" t="str">
        <f t="shared" si="1042"/>
        <v>Carnegie Park Condominium</v>
      </c>
      <c r="C6539" s="1" t="s">
        <v>82</v>
      </c>
      <c r="D6539" s="1" t="s">
        <v>41</v>
      </c>
      <c r="E6539" s="3">
        <v>1379875</v>
      </c>
      <c r="F6539" s="1">
        <v>1282.4119423791799</v>
      </c>
      <c r="M6539" s="4">
        <v>1076</v>
      </c>
      <c r="Q6539" s="1" t="s">
        <v>42</v>
      </c>
      <c r="S6539" s="1" t="s">
        <v>42</v>
      </c>
      <c r="T6539" s="1" t="s">
        <v>273</v>
      </c>
      <c r="AA6539" s="1">
        <v>1379875.25</v>
      </c>
      <c r="AB6539" s="1" t="s">
        <v>4773</v>
      </c>
      <c r="AC6539" s="5">
        <v>42338</v>
      </c>
      <c r="AF6539" s="1">
        <v>10128</v>
      </c>
      <c r="AI6539" s="1" t="s">
        <v>163</v>
      </c>
      <c r="AJ6539" s="1">
        <v>1986</v>
      </c>
      <c r="AK6539" s="1" t="s">
        <v>55</v>
      </c>
      <c r="AL6539" s="1">
        <v>287</v>
      </c>
    </row>
    <row r="6540" spans="1:38" x14ac:dyDescent="0.2">
      <c r="A6540" s="2" t="str">
        <f>HYPERLINK("https://www.compass.com/listing/200-east-94th-street-unit-1516-manhattan-ny-10128/29423477660384641/","200 E 94th St, Unit 1516")</f>
        <v>200 E 94th St, Unit 1516</v>
      </c>
      <c r="B6540" s="2" t="str">
        <f t="shared" si="1042"/>
        <v>Carnegie Park Condominium</v>
      </c>
      <c r="C6540" s="1" t="s">
        <v>82</v>
      </c>
      <c r="D6540" s="1" t="s">
        <v>41</v>
      </c>
      <c r="E6540" s="3">
        <v>940263</v>
      </c>
      <c r="F6540" s="1">
        <v>1335.6006392045399</v>
      </c>
      <c r="M6540" s="1">
        <v>704</v>
      </c>
      <c r="Q6540" s="1" t="s">
        <v>42</v>
      </c>
      <c r="S6540" s="1" t="s">
        <v>42</v>
      </c>
      <c r="T6540" s="1" t="s">
        <v>273</v>
      </c>
      <c r="AA6540" s="1">
        <v>940262.85</v>
      </c>
      <c r="AB6540" s="1" t="s">
        <v>4774</v>
      </c>
      <c r="AC6540" s="5">
        <v>42328</v>
      </c>
      <c r="AF6540" s="1">
        <v>10128</v>
      </c>
      <c r="AI6540" s="1" t="s">
        <v>163</v>
      </c>
      <c r="AJ6540" s="1">
        <v>1986</v>
      </c>
      <c r="AK6540" s="1" t="s">
        <v>55</v>
      </c>
      <c r="AL6540" s="1">
        <v>287</v>
      </c>
    </row>
    <row r="6541" spans="1:38" x14ac:dyDescent="0.2">
      <c r="A6541" s="2" t="str">
        <f>HYPERLINK("https://www.compass.com/listing/200-east-94th-street-unit-1518-manhattan-ny-10128/29423477962383521/","200 E 94th St, Unit 1518")</f>
        <v>200 E 94th St, Unit 1518</v>
      </c>
      <c r="B6541" s="2" t="str">
        <f t="shared" si="1042"/>
        <v>Carnegie Park Condominium</v>
      </c>
      <c r="C6541" s="1" t="s">
        <v>82</v>
      </c>
      <c r="D6541" s="1" t="s">
        <v>41</v>
      </c>
      <c r="E6541" s="3">
        <v>690977</v>
      </c>
      <c r="F6541" s="1">
        <v>929.98201884253001</v>
      </c>
      <c r="M6541" s="1">
        <v>743</v>
      </c>
      <c r="Q6541" s="1" t="s">
        <v>42</v>
      </c>
      <c r="S6541" s="1" t="s">
        <v>42</v>
      </c>
      <c r="T6541" s="1" t="s">
        <v>273</v>
      </c>
      <c r="AA6541" s="1">
        <v>690976.64</v>
      </c>
      <c r="AB6541" s="1" t="s">
        <v>4775</v>
      </c>
      <c r="AC6541" s="5">
        <v>42376</v>
      </c>
      <c r="AF6541" s="1">
        <v>10128</v>
      </c>
      <c r="AI6541" s="1" t="s">
        <v>163</v>
      </c>
      <c r="AJ6541" s="1">
        <v>1986</v>
      </c>
      <c r="AK6541" s="1" t="s">
        <v>55</v>
      </c>
      <c r="AL6541" s="1">
        <v>287</v>
      </c>
    </row>
    <row r="6542" spans="1:38" x14ac:dyDescent="0.2">
      <c r="A6542" s="2" t="str">
        <f>HYPERLINK("https://www.compass.com/listing/200-east-94th-street-unit-1517-manhattan-ny-10128/29423478289474849/","200 E 94th St, Unit 1517")</f>
        <v>200 E 94th St, Unit 1517</v>
      </c>
      <c r="B6542" s="2" t="str">
        <f t="shared" si="1042"/>
        <v>Carnegie Park Condominium</v>
      </c>
      <c r="C6542" s="1" t="s">
        <v>82</v>
      </c>
      <c r="D6542" s="1" t="s">
        <v>41</v>
      </c>
      <c r="E6542" s="3">
        <v>1301832</v>
      </c>
      <c r="F6542" s="1">
        <v>1245.7722966507099</v>
      </c>
      <c r="M6542" s="4">
        <v>1045</v>
      </c>
      <c r="Q6542" s="1" t="s">
        <v>42</v>
      </c>
      <c r="S6542" s="1" t="s">
        <v>42</v>
      </c>
      <c r="T6542" s="1" t="s">
        <v>273</v>
      </c>
      <c r="AA6542" s="1">
        <v>1301832.05</v>
      </c>
      <c r="AB6542" s="1" t="s">
        <v>4776</v>
      </c>
      <c r="AC6542" s="5">
        <v>42349</v>
      </c>
      <c r="AF6542" s="1">
        <v>10128</v>
      </c>
      <c r="AI6542" s="1" t="s">
        <v>163</v>
      </c>
      <c r="AJ6542" s="1">
        <v>1986</v>
      </c>
      <c r="AK6542" s="1" t="s">
        <v>55</v>
      </c>
      <c r="AL6542" s="1">
        <v>287</v>
      </c>
    </row>
    <row r="6543" spans="1:38" x14ac:dyDescent="0.2">
      <c r="A6543" s="2" t="str">
        <f>HYPERLINK("https://www.compass.com/listing/200-east-94th-street-unit-1509-manhattan-ny-10128/29423478935462065/","200 E 94th St, Unit 1509")</f>
        <v>200 E 94th St, Unit 1509</v>
      </c>
      <c r="B6543" s="2" t="str">
        <f t="shared" si="1042"/>
        <v>Carnegie Park Condominium</v>
      </c>
      <c r="C6543" s="1" t="s">
        <v>82</v>
      </c>
      <c r="D6543" s="1" t="s">
        <v>41</v>
      </c>
      <c r="E6543" s="3">
        <v>3727330</v>
      </c>
      <c r="F6543" s="1">
        <v>1632.64562417871</v>
      </c>
      <c r="M6543" s="4">
        <v>2283</v>
      </c>
      <c r="Q6543" s="1" t="s">
        <v>42</v>
      </c>
      <c r="S6543" s="1" t="s">
        <v>42</v>
      </c>
      <c r="T6543" s="1" t="s">
        <v>273</v>
      </c>
      <c r="AA6543" s="1">
        <v>3727329.96</v>
      </c>
      <c r="AB6543" s="1" t="s">
        <v>4777</v>
      </c>
      <c r="AC6543" s="5">
        <v>42377</v>
      </c>
      <c r="AF6543" s="1">
        <v>10128</v>
      </c>
      <c r="AI6543" s="1" t="s">
        <v>163</v>
      </c>
      <c r="AJ6543" s="1">
        <v>1986</v>
      </c>
      <c r="AK6543" s="1" t="s">
        <v>55</v>
      </c>
      <c r="AL6543" s="1">
        <v>287</v>
      </c>
    </row>
    <row r="6544" spans="1:38" x14ac:dyDescent="0.2">
      <c r="A6544" s="2" t="str">
        <f>HYPERLINK("https://www.compass.com/listing/200-east-94th-street-unit-1514-manhattan-ny-10128/29423479228998961/","200 E 94th St, Unit 1514")</f>
        <v>200 E 94th St, Unit 1514</v>
      </c>
      <c r="B6544" s="2" t="str">
        <f t="shared" si="1042"/>
        <v>Carnegie Park Condominium</v>
      </c>
      <c r="C6544" s="1" t="s">
        <v>82</v>
      </c>
      <c r="D6544" s="1" t="s">
        <v>41</v>
      </c>
      <c r="E6544" s="3">
        <v>1552926</v>
      </c>
      <c r="F6544" s="1">
        <v>1458.14606572769</v>
      </c>
      <c r="M6544" s="4">
        <v>1065</v>
      </c>
      <c r="Q6544" s="1" t="s">
        <v>42</v>
      </c>
      <c r="S6544" s="1" t="s">
        <v>42</v>
      </c>
      <c r="T6544" s="1" t="s">
        <v>273</v>
      </c>
      <c r="AA6544" s="1">
        <v>1552925.56</v>
      </c>
      <c r="AB6544" s="1" t="s">
        <v>4778</v>
      </c>
      <c r="AC6544" s="5">
        <v>42397</v>
      </c>
      <c r="AF6544" s="1">
        <v>10128</v>
      </c>
      <c r="AI6544" s="1" t="s">
        <v>163</v>
      </c>
      <c r="AJ6544" s="1">
        <v>1986</v>
      </c>
      <c r="AK6544" s="1" t="s">
        <v>55</v>
      </c>
      <c r="AL6544" s="1">
        <v>287</v>
      </c>
    </row>
    <row r="6545" spans="1:38" x14ac:dyDescent="0.2">
      <c r="A6545" s="2" t="str">
        <f>HYPERLINK("https://www.compass.com/listing/200-east-94th-street-unit-1617-manhattan-ny-10128/29423479522655649/","200 E 94th St, Unit 1617")</f>
        <v>200 E 94th St, Unit 1617</v>
      </c>
      <c r="B6545" s="2" t="str">
        <f t="shared" si="1042"/>
        <v>Carnegie Park Condominium</v>
      </c>
      <c r="C6545" s="1" t="s">
        <v>82</v>
      </c>
      <c r="D6545" s="1" t="s">
        <v>41</v>
      </c>
      <c r="E6545" s="3">
        <v>1173279</v>
      </c>
      <c r="F6545" s="1">
        <v>453.87952030947702</v>
      </c>
      <c r="M6545" s="4">
        <v>2585</v>
      </c>
      <c r="Q6545" s="1" t="s">
        <v>42</v>
      </c>
      <c r="S6545" s="1" t="s">
        <v>42</v>
      </c>
      <c r="T6545" s="1" t="s">
        <v>273</v>
      </c>
      <c r="AA6545" s="1">
        <v>1173278.56</v>
      </c>
      <c r="AB6545" s="1" t="s">
        <v>4779</v>
      </c>
      <c r="AC6545" s="5">
        <v>43231</v>
      </c>
      <c r="AF6545" s="1">
        <v>10128</v>
      </c>
      <c r="AI6545" s="1" t="s">
        <v>163</v>
      </c>
      <c r="AJ6545" s="1">
        <v>1986</v>
      </c>
      <c r="AK6545" s="1" t="s">
        <v>55</v>
      </c>
      <c r="AL6545" s="1">
        <v>287</v>
      </c>
    </row>
    <row r="6546" spans="1:38" x14ac:dyDescent="0.2">
      <c r="A6546" s="2" t="str">
        <f>HYPERLINK("https://www.compass.com/listing/200-east-94th-street-unit-1612-manhattan-ny-10128/29423480168523073/","200 E 94th St, Unit 1612")</f>
        <v>200 E 94th St, Unit 1612</v>
      </c>
      <c r="B6546" s="2" t="str">
        <f t="shared" si="1042"/>
        <v>Carnegie Park Condominium</v>
      </c>
      <c r="C6546" s="1" t="s">
        <v>82</v>
      </c>
      <c r="D6546" s="1" t="s">
        <v>41</v>
      </c>
      <c r="E6546" s="3">
        <v>975916</v>
      </c>
      <c r="F6546" s="1">
        <v>1384.27778723404</v>
      </c>
      <c r="M6546" s="1">
        <v>705</v>
      </c>
      <c r="Q6546" s="1" t="s">
        <v>42</v>
      </c>
      <c r="S6546" s="1" t="s">
        <v>42</v>
      </c>
      <c r="T6546" s="1" t="s">
        <v>273</v>
      </c>
      <c r="AA6546" s="1">
        <v>975915.84</v>
      </c>
      <c r="AB6546" s="1" t="s">
        <v>4780</v>
      </c>
      <c r="AC6546" s="5">
        <v>42352</v>
      </c>
      <c r="AF6546" s="1">
        <v>10128</v>
      </c>
      <c r="AI6546" s="1" t="s">
        <v>163</v>
      </c>
      <c r="AJ6546" s="1">
        <v>1986</v>
      </c>
      <c r="AK6546" s="1" t="s">
        <v>55</v>
      </c>
      <c r="AL6546" s="1">
        <v>287</v>
      </c>
    </row>
    <row r="6547" spans="1:38" x14ac:dyDescent="0.2">
      <c r="A6547" s="2" t="str">
        <f>HYPERLINK("https://www.compass.com/listing/200-east-94th-street-unit-1715-manhattan-ny-10128/29423480806121697/","200 E 94th St, Unit 1715")</f>
        <v>200 E 94th St, Unit 1715</v>
      </c>
      <c r="B6547" s="2" t="str">
        <f t="shared" si="1042"/>
        <v>Carnegie Park Condominium</v>
      </c>
      <c r="C6547" s="1" t="s">
        <v>82</v>
      </c>
      <c r="D6547" s="1" t="s">
        <v>41</v>
      </c>
      <c r="E6547" s="3">
        <v>1736282</v>
      </c>
      <c r="F6547" s="1">
        <v>1613.64473048327</v>
      </c>
      <c r="H6547" s="1">
        <v>2</v>
      </c>
      <c r="J6547" s="1">
        <v>2</v>
      </c>
      <c r="M6547" s="4">
        <v>1076</v>
      </c>
      <c r="N6547" s="1">
        <v>1269</v>
      </c>
      <c r="O6547" s="1">
        <v>2463</v>
      </c>
      <c r="P6547" s="1">
        <v>1194</v>
      </c>
      <c r="Q6547" s="1" t="s">
        <v>42</v>
      </c>
      <c r="S6547" s="1" t="s">
        <v>42</v>
      </c>
      <c r="T6547" s="1" t="s">
        <v>273</v>
      </c>
      <c r="AA6547" s="1">
        <v>1736281.73</v>
      </c>
      <c r="AB6547" s="1" t="s">
        <v>4781</v>
      </c>
      <c r="AC6547" s="5">
        <v>42342</v>
      </c>
      <c r="AF6547" s="1">
        <v>10128</v>
      </c>
      <c r="AI6547" s="1" t="s">
        <v>163</v>
      </c>
      <c r="AJ6547" s="1">
        <v>1986</v>
      </c>
      <c r="AK6547" s="1" t="s">
        <v>55</v>
      </c>
      <c r="AL6547" s="1">
        <v>287</v>
      </c>
    </row>
    <row r="6548" spans="1:38" x14ac:dyDescent="0.2">
      <c r="A6548" s="2" t="str">
        <f>HYPERLINK("https://www.compass.com/listing/200-east-94th-street-unit-1717-manhattan-ny-10128/29423481208710481/","200 E 94th St, Unit 1717")</f>
        <v>200 E 94th St, Unit 1717</v>
      </c>
      <c r="B6548" s="2" t="str">
        <f t="shared" si="1042"/>
        <v>Carnegie Park Condominium</v>
      </c>
      <c r="C6548" s="1" t="s">
        <v>82</v>
      </c>
      <c r="D6548" s="1" t="s">
        <v>41</v>
      </c>
      <c r="E6548" s="3">
        <v>4416209</v>
      </c>
      <c r="F6548" s="1">
        <v>1708.3981856866501</v>
      </c>
      <c r="M6548" s="4">
        <v>2585</v>
      </c>
      <c r="Q6548" s="1" t="s">
        <v>42</v>
      </c>
      <c r="S6548" s="1" t="s">
        <v>42</v>
      </c>
      <c r="T6548" s="1" t="s">
        <v>273</v>
      </c>
      <c r="AA6548" s="1">
        <v>4416209.3099999996</v>
      </c>
      <c r="AB6548" s="1" t="s">
        <v>4782</v>
      </c>
      <c r="AC6548" s="5">
        <v>42650</v>
      </c>
      <c r="AF6548" s="1">
        <v>10128</v>
      </c>
      <c r="AI6548" s="1" t="s">
        <v>163</v>
      </c>
      <c r="AJ6548" s="1">
        <v>1986</v>
      </c>
      <c r="AK6548" s="1" t="s">
        <v>55</v>
      </c>
      <c r="AL6548" s="1">
        <v>287</v>
      </c>
    </row>
    <row r="6549" spans="1:38" x14ac:dyDescent="0.2">
      <c r="A6549" s="2" t="str">
        <f>HYPERLINK("https://www.compass.com/listing/200-east-94th-street-unit-1709-manhattan-ny-10128/29423481795977457/","200 E 94th St, Unit 1709")</f>
        <v>200 E 94th St, Unit 1709</v>
      </c>
      <c r="B6549" s="2" t="str">
        <f t="shared" si="1042"/>
        <v>Carnegie Park Condominium</v>
      </c>
      <c r="C6549" s="1" t="s">
        <v>82</v>
      </c>
      <c r="D6549" s="1" t="s">
        <v>41</v>
      </c>
      <c r="E6549" s="3">
        <v>2542853</v>
      </c>
      <c r="F6549" s="1">
        <v>1613.4855076142101</v>
      </c>
      <c r="M6549" s="4">
        <v>1576</v>
      </c>
      <c r="Q6549" s="1" t="s">
        <v>42</v>
      </c>
      <c r="S6549" s="1" t="s">
        <v>42</v>
      </c>
      <c r="T6549" s="1" t="s">
        <v>273</v>
      </c>
      <c r="AA6549" s="1">
        <v>2542853.16</v>
      </c>
      <c r="AB6549" s="1" t="s">
        <v>4783</v>
      </c>
      <c r="AC6549" s="5">
        <v>42352</v>
      </c>
      <c r="AF6549" s="1">
        <v>10128</v>
      </c>
      <c r="AI6549" s="1" t="s">
        <v>163</v>
      </c>
      <c r="AJ6549" s="1">
        <v>1986</v>
      </c>
      <c r="AK6549" s="1" t="s">
        <v>55</v>
      </c>
      <c r="AL6549" s="1">
        <v>287</v>
      </c>
    </row>
    <row r="6550" spans="1:38" x14ac:dyDescent="0.2">
      <c r="A6550" s="2" t="str">
        <f>HYPERLINK("https://www.compass.com/listing/200-east-94th-street-unit-1712-manhattan-ny-10128/29423482106291553/","200 E 94th St, Unit 1712")</f>
        <v>200 E 94th St, Unit 1712</v>
      </c>
      <c r="B6550" s="2" t="str">
        <f t="shared" si="1042"/>
        <v>Carnegie Park Condominium</v>
      </c>
      <c r="C6550" s="1" t="s">
        <v>82</v>
      </c>
      <c r="D6550" s="1" t="s">
        <v>41</v>
      </c>
      <c r="E6550" s="3">
        <v>1108298</v>
      </c>
      <c r="F6550" s="1">
        <v>1572.0537872340401</v>
      </c>
      <c r="M6550" s="1">
        <v>705</v>
      </c>
      <c r="Q6550" s="1" t="s">
        <v>42</v>
      </c>
      <c r="S6550" s="1" t="s">
        <v>42</v>
      </c>
      <c r="T6550" s="1" t="s">
        <v>273</v>
      </c>
      <c r="AA6550" s="1">
        <v>1108297.92</v>
      </c>
      <c r="AB6550" s="1" t="s">
        <v>4784</v>
      </c>
      <c r="AC6550" s="5">
        <v>42454</v>
      </c>
      <c r="AF6550" s="1">
        <v>10128</v>
      </c>
      <c r="AI6550" s="1" t="s">
        <v>163</v>
      </c>
      <c r="AJ6550" s="1">
        <v>1986</v>
      </c>
      <c r="AK6550" s="1" t="s">
        <v>55</v>
      </c>
      <c r="AL6550" s="1">
        <v>287</v>
      </c>
    </row>
    <row r="6551" spans="1:38" x14ac:dyDescent="0.2">
      <c r="A6551" s="2" t="str">
        <f>HYPERLINK("https://www.compass.com/listing/200-east-94th-street-unit-1714-manhattan-ny-10128/29423482391559665/","200 E 94th St, Unit 1714")</f>
        <v>200 E 94th St, Unit 1714</v>
      </c>
      <c r="B6551" s="2" t="str">
        <f t="shared" si="1042"/>
        <v>Carnegie Park Condominium</v>
      </c>
      <c r="C6551" s="1" t="s">
        <v>82</v>
      </c>
      <c r="D6551" s="1" t="s">
        <v>41</v>
      </c>
      <c r="E6551" s="3">
        <v>1756595</v>
      </c>
      <c r="F6551" s="1">
        <v>1649.38454460093</v>
      </c>
      <c r="H6551" s="1">
        <v>2</v>
      </c>
      <c r="J6551" s="1">
        <v>2</v>
      </c>
      <c r="M6551" s="4">
        <v>1065</v>
      </c>
      <c r="N6551" s="1">
        <v>1182</v>
      </c>
      <c r="O6551" s="1">
        <v>2438</v>
      </c>
      <c r="P6551" s="1">
        <v>1256</v>
      </c>
      <c r="Q6551" s="1" t="s">
        <v>42</v>
      </c>
      <c r="S6551" s="1" t="s">
        <v>42</v>
      </c>
      <c r="T6551" s="1" t="s">
        <v>273</v>
      </c>
      <c r="AA6551" s="1">
        <v>1756594.54</v>
      </c>
      <c r="AB6551" s="1" t="s">
        <v>4785</v>
      </c>
      <c r="AC6551" s="5">
        <v>42339</v>
      </c>
      <c r="AF6551" s="1">
        <v>10128</v>
      </c>
      <c r="AI6551" s="1" t="s">
        <v>163</v>
      </c>
      <c r="AJ6551" s="1">
        <v>1986</v>
      </c>
      <c r="AK6551" s="1" t="s">
        <v>55</v>
      </c>
      <c r="AL6551" s="1">
        <v>287</v>
      </c>
    </row>
    <row r="6552" spans="1:38" x14ac:dyDescent="0.2">
      <c r="A6552" s="2" t="str">
        <f>HYPERLINK("https://www.compass.com/listing/200-east-94th-street-unit-1815-manhattan-ny-10128/29423482743890177/","200 E 94th St, Unit 1815")</f>
        <v>200 E 94th St, Unit 1815</v>
      </c>
      <c r="B6552" s="2" t="str">
        <f t="shared" si="1042"/>
        <v>Carnegie Park Condominium</v>
      </c>
      <c r="C6552" s="1" t="s">
        <v>82</v>
      </c>
      <c r="D6552" s="1" t="s">
        <v>41</v>
      </c>
      <c r="E6552" s="3">
        <v>1563189</v>
      </c>
      <c r="F6552" s="1">
        <v>1452.77762081784</v>
      </c>
      <c r="M6552" s="4">
        <v>1076</v>
      </c>
      <c r="Q6552" s="1" t="s">
        <v>42</v>
      </c>
      <c r="S6552" s="1" t="s">
        <v>42</v>
      </c>
      <c r="T6552" s="1" t="s">
        <v>273</v>
      </c>
      <c r="AA6552" s="1">
        <v>1563188.72</v>
      </c>
      <c r="AB6552" s="1" t="s">
        <v>4786</v>
      </c>
      <c r="AC6552" s="5">
        <v>42348</v>
      </c>
      <c r="AF6552" s="1">
        <v>10128</v>
      </c>
      <c r="AI6552" s="1" t="s">
        <v>163</v>
      </c>
      <c r="AJ6552" s="1">
        <v>1986</v>
      </c>
      <c r="AK6552" s="1" t="s">
        <v>55</v>
      </c>
      <c r="AL6552" s="1">
        <v>287</v>
      </c>
    </row>
    <row r="6553" spans="1:38" x14ac:dyDescent="0.2">
      <c r="A6553" s="2" t="str">
        <f>HYPERLINK("https://www.compass.com/listing/200-east-94th-street-unit-1816-manhattan-ny-10128/29423483054204273/","200 E 94th St, Unit 1816")</f>
        <v>200 E 94th St, Unit 1816</v>
      </c>
      <c r="B6553" s="2" t="str">
        <f t="shared" si="1042"/>
        <v>Carnegie Park Condominium</v>
      </c>
      <c r="C6553" s="1" t="s">
        <v>82</v>
      </c>
      <c r="D6553" s="1" t="s">
        <v>41</v>
      </c>
      <c r="E6553" s="3">
        <v>904653</v>
      </c>
      <c r="F6553" s="1">
        <v>1285.0184801136299</v>
      </c>
      <c r="M6553" s="1">
        <v>704</v>
      </c>
      <c r="Q6553" s="1" t="s">
        <v>42</v>
      </c>
      <c r="S6553" s="1" t="s">
        <v>42</v>
      </c>
      <c r="T6553" s="1" t="s">
        <v>273</v>
      </c>
      <c r="AA6553" s="1">
        <v>904653.01</v>
      </c>
      <c r="AB6553" s="1" t="s">
        <v>4787</v>
      </c>
      <c r="AC6553" s="5">
        <v>42478</v>
      </c>
      <c r="AF6553" s="1">
        <v>10128</v>
      </c>
      <c r="AI6553" s="1" t="s">
        <v>163</v>
      </c>
      <c r="AJ6553" s="1">
        <v>1986</v>
      </c>
      <c r="AK6553" s="1" t="s">
        <v>55</v>
      </c>
      <c r="AL6553" s="1">
        <v>287</v>
      </c>
    </row>
    <row r="6554" spans="1:38" x14ac:dyDescent="0.2">
      <c r="A6554" s="2" t="str">
        <f>HYPERLINK("https://www.compass.com/listing/200-east-94th-street-unit-1817-manhattan-ny-10128/29423483322695185/","200 E 94th St, Unit 1817")</f>
        <v>200 E 94th St, Unit 1817</v>
      </c>
      <c r="B6554" s="2" t="str">
        <f t="shared" si="1042"/>
        <v>Carnegie Park Condominium</v>
      </c>
      <c r="C6554" s="1" t="s">
        <v>82</v>
      </c>
      <c r="D6554" s="1" t="s">
        <v>41</v>
      </c>
      <c r="E6554" s="3">
        <v>3567428</v>
      </c>
      <c r="F6554" s="1">
        <v>1897.56805319148</v>
      </c>
      <c r="H6554" s="1">
        <v>4</v>
      </c>
      <c r="J6554" s="1">
        <v>3</v>
      </c>
      <c r="M6554" s="4">
        <v>1880</v>
      </c>
      <c r="N6554" s="1">
        <v>1963</v>
      </c>
      <c r="O6554" s="1">
        <v>4049</v>
      </c>
      <c r="P6554" s="1">
        <v>2086</v>
      </c>
      <c r="Q6554" s="1" t="s">
        <v>42</v>
      </c>
      <c r="S6554" s="1" t="s">
        <v>42</v>
      </c>
      <c r="T6554" s="1" t="s">
        <v>273</v>
      </c>
      <c r="AA6554" s="1">
        <v>3567427.94</v>
      </c>
      <c r="AB6554" s="1" t="s">
        <v>4788</v>
      </c>
      <c r="AC6554" s="5">
        <v>42409</v>
      </c>
      <c r="AF6554" s="1">
        <v>10128</v>
      </c>
      <c r="AI6554" s="1" t="s">
        <v>163</v>
      </c>
      <c r="AJ6554" s="1">
        <v>1986</v>
      </c>
      <c r="AK6554" s="1" t="s">
        <v>55</v>
      </c>
      <c r="AL6554" s="1">
        <v>287</v>
      </c>
    </row>
    <row r="6555" spans="1:38" x14ac:dyDescent="0.2">
      <c r="A6555" s="2" t="str">
        <f>HYPERLINK("https://www.compass.com/listing/200-east-94th-street-unit-1811-manhattan-ny-10128/29423483675025681/","200 E 94th St, Unit 1811")</f>
        <v>200 E 94th St, Unit 1811</v>
      </c>
      <c r="B6555" s="2" t="str">
        <f t="shared" si="1042"/>
        <v>Carnegie Park Condominium</v>
      </c>
      <c r="C6555" s="1" t="s">
        <v>82</v>
      </c>
      <c r="D6555" s="1" t="s">
        <v>41</v>
      </c>
      <c r="E6555" s="3">
        <v>971550</v>
      </c>
      <c r="F6555" s="1">
        <v>1137.6469203746999</v>
      </c>
      <c r="M6555" s="1">
        <v>854</v>
      </c>
      <c r="Q6555" s="1" t="s">
        <v>42</v>
      </c>
      <c r="S6555" s="1" t="s">
        <v>42</v>
      </c>
      <c r="T6555" s="1" t="s">
        <v>273</v>
      </c>
      <c r="AA6555" s="1">
        <v>971550.47</v>
      </c>
      <c r="AB6555" s="1" t="s">
        <v>4789</v>
      </c>
      <c r="AC6555" s="5">
        <v>42348</v>
      </c>
      <c r="AF6555" s="1">
        <v>10128</v>
      </c>
      <c r="AI6555" s="1" t="s">
        <v>163</v>
      </c>
      <c r="AJ6555" s="1">
        <v>1986</v>
      </c>
      <c r="AK6555" s="1" t="s">
        <v>55</v>
      </c>
      <c r="AL6555" s="1">
        <v>287</v>
      </c>
    </row>
    <row r="6556" spans="1:38" x14ac:dyDescent="0.2">
      <c r="A6556" s="2" t="str">
        <f>HYPERLINK("https://www.compass.com/listing/200-east-94th-street-unit-1809-manhattan-ny-10128/29423484010505601/","200 E 94th St, Unit 1809")</f>
        <v>200 E 94th St, Unit 1809</v>
      </c>
      <c r="B6556" s="2" t="str">
        <f t="shared" si="1042"/>
        <v>Carnegie Park Condominium</v>
      </c>
      <c r="C6556" s="1" t="s">
        <v>82</v>
      </c>
      <c r="D6556" s="1" t="s">
        <v>41</v>
      </c>
      <c r="E6556" s="3">
        <v>4007406</v>
      </c>
      <c r="F6556" s="1">
        <v>1755.3244196232999</v>
      </c>
      <c r="M6556" s="4">
        <v>2283</v>
      </c>
      <c r="Q6556" s="1" t="s">
        <v>42</v>
      </c>
      <c r="S6556" s="1" t="s">
        <v>42</v>
      </c>
      <c r="T6556" s="1" t="s">
        <v>273</v>
      </c>
      <c r="AA6556" s="1">
        <v>4007405.65</v>
      </c>
      <c r="AB6556" s="1" t="s">
        <v>4790</v>
      </c>
      <c r="AC6556" s="5">
        <v>42423</v>
      </c>
      <c r="AF6556" s="1">
        <v>10128</v>
      </c>
      <c r="AI6556" s="1" t="s">
        <v>163</v>
      </c>
      <c r="AJ6556" s="1">
        <v>1986</v>
      </c>
      <c r="AK6556" s="1" t="s">
        <v>55</v>
      </c>
      <c r="AL6556" s="1">
        <v>287</v>
      </c>
    </row>
    <row r="6557" spans="1:38" x14ac:dyDescent="0.2">
      <c r="A6557" s="2" t="str">
        <f>HYPERLINK("https://www.compass.com/listing/200-east-94th-street-unit-1814-manhattan-ny-10128/29423484320939553/","200 E 94th St, Unit 1814")</f>
        <v>200 E 94th St, Unit 1814</v>
      </c>
      <c r="B6557" s="2" t="str">
        <f t="shared" si="1042"/>
        <v>Carnegie Park Condominium</v>
      </c>
      <c r="C6557" s="1" t="s">
        <v>82</v>
      </c>
      <c r="D6557" s="1" t="s">
        <v>41</v>
      </c>
      <c r="E6557" s="3">
        <v>1573319</v>
      </c>
      <c r="F6557" s="1">
        <v>1477.2948638497601</v>
      </c>
      <c r="M6557" s="4">
        <v>1065</v>
      </c>
      <c r="Q6557" s="1" t="s">
        <v>42</v>
      </c>
      <c r="S6557" s="1" t="s">
        <v>42</v>
      </c>
      <c r="T6557" s="1" t="s">
        <v>273</v>
      </c>
      <c r="AA6557" s="1">
        <v>1573319.03</v>
      </c>
      <c r="AB6557" s="1" t="s">
        <v>4791</v>
      </c>
      <c r="AC6557" s="5">
        <v>42353</v>
      </c>
      <c r="AF6557" s="1">
        <v>10128</v>
      </c>
      <c r="AI6557" s="1" t="s">
        <v>163</v>
      </c>
      <c r="AJ6557" s="1">
        <v>1986</v>
      </c>
      <c r="AK6557" s="1" t="s">
        <v>55</v>
      </c>
      <c r="AL6557" s="1">
        <v>287</v>
      </c>
    </row>
    <row r="6558" spans="1:38" x14ac:dyDescent="0.2">
      <c r="A6558" s="2" t="str">
        <f>HYPERLINK("https://www.compass.com/listing/200-east-94th-street-unit-1915-manhattan-ny-10128/29423484631327009/","200 E 94th St, Unit 1915")</f>
        <v>200 E 94th St, Unit 1915</v>
      </c>
      <c r="B6558" s="2" t="str">
        <f t="shared" si="1042"/>
        <v>Carnegie Park Condominium</v>
      </c>
      <c r="C6558" s="1" t="s">
        <v>82</v>
      </c>
      <c r="D6558" s="1" t="s">
        <v>41</v>
      </c>
      <c r="E6558" s="3">
        <v>1756666</v>
      </c>
      <c r="F6558" s="1">
        <v>1632.5888011152399</v>
      </c>
      <c r="M6558" s="4">
        <v>1076</v>
      </c>
      <c r="Q6558" s="1" t="s">
        <v>42</v>
      </c>
      <c r="S6558" s="1" t="s">
        <v>42</v>
      </c>
      <c r="T6558" s="1" t="s">
        <v>273</v>
      </c>
      <c r="AA6558" s="1">
        <v>1756665.55</v>
      </c>
      <c r="AB6558" s="1" t="s">
        <v>4792</v>
      </c>
      <c r="AC6558" s="5">
        <v>42481</v>
      </c>
      <c r="AF6558" s="1">
        <v>10128</v>
      </c>
      <c r="AI6558" s="1" t="s">
        <v>163</v>
      </c>
      <c r="AJ6558" s="1">
        <v>1986</v>
      </c>
      <c r="AK6558" s="1" t="s">
        <v>55</v>
      </c>
      <c r="AL6558" s="1">
        <v>287</v>
      </c>
    </row>
    <row r="6559" spans="1:38" x14ac:dyDescent="0.2">
      <c r="A6559" s="2" t="str">
        <f>HYPERLINK("https://www.compass.com/listing/200-east-94th-street-unit-1916-manhattan-ny-10128/29423484958418321/","200 E 94th St, Unit 1916")</f>
        <v>200 E 94th St, Unit 1916</v>
      </c>
      <c r="B6559" s="2" t="str">
        <f t="shared" si="1042"/>
        <v>Carnegie Park Condominium</v>
      </c>
      <c r="C6559" s="1" t="s">
        <v>82</v>
      </c>
      <c r="D6559" s="1" t="s">
        <v>41</v>
      </c>
      <c r="E6559" s="3">
        <v>1028651</v>
      </c>
      <c r="F6559" s="1">
        <v>1461.15190340909</v>
      </c>
      <c r="M6559" s="1">
        <v>704</v>
      </c>
      <c r="Q6559" s="1" t="s">
        <v>42</v>
      </c>
      <c r="S6559" s="1" t="s">
        <v>42</v>
      </c>
      <c r="T6559" s="1" t="s">
        <v>273</v>
      </c>
      <c r="AA6559" s="1">
        <v>1028650.94</v>
      </c>
      <c r="AB6559" s="1" t="s">
        <v>4793</v>
      </c>
      <c r="AC6559" s="5">
        <v>42404</v>
      </c>
      <c r="AF6559" s="1">
        <v>10128</v>
      </c>
      <c r="AI6559" s="1" t="s">
        <v>163</v>
      </c>
      <c r="AJ6559" s="1">
        <v>1986</v>
      </c>
      <c r="AK6559" s="1" t="s">
        <v>55</v>
      </c>
      <c r="AL6559" s="1">
        <v>287</v>
      </c>
    </row>
    <row r="6560" spans="1:38" x14ac:dyDescent="0.2">
      <c r="A6560" s="2" t="str">
        <f>HYPERLINK("https://www.compass.com/listing/200-east-94th-street-unit-1917-manhattan-ny-10128/29423485243686449/","200 E 94th St, Unit 1917")</f>
        <v>200 E 94th St, Unit 1917</v>
      </c>
      <c r="B6560" s="2" t="str">
        <f t="shared" si="1042"/>
        <v>Carnegie Park Condominium</v>
      </c>
      <c r="C6560" s="1" t="s">
        <v>82</v>
      </c>
      <c r="D6560" s="1" t="s">
        <v>41</v>
      </c>
      <c r="E6560" s="3">
        <v>3405028</v>
      </c>
      <c r="F6560" s="1">
        <v>1811.1851063829699</v>
      </c>
      <c r="M6560" s="4">
        <v>1880</v>
      </c>
      <c r="Q6560" s="1" t="s">
        <v>42</v>
      </c>
      <c r="S6560" s="1" t="s">
        <v>42</v>
      </c>
      <c r="T6560" s="1" t="s">
        <v>273</v>
      </c>
      <c r="AA6560" s="1">
        <v>3405028</v>
      </c>
      <c r="AB6560" s="1" t="s">
        <v>4794</v>
      </c>
      <c r="AC6560" s="5">
        <v>42736</v>
      </c>
      <c r="AF6560" s="1">
        <v>10128</v>
      </c>
      <c r="AI6560" s="1" t="s">
        <v>163</v>
      </c>
      <c r="AJ6560" s="1">
        <v>1986</v>
      </c>
      <c r="AK6560" s="1" t="s">
        <v>55</v>
      </c>
      <c r="AL6560" s="1">
        <v>287</v>
      </c>
    </row>
    <row r="6561" spans="1:38" x14ac:dyDescent="0.2">
      <c r="A6561" s="2" t="str">
        <f>HYPERLINK("https://www.compass.com/listing/200-east-94th-street-unit-1911-manhattan-ny-10128/29423485537296689/","200 E 94th St, Unit 1911")</f>
        <v>200 E 94th St, Unit 1911</v>
      </c>
      <c r="B6561" s="2" t="str">
        <f t="shared" si="1042"/>
        <v>Carnegie Park Condominium</v>
      </c>
      <c r="C6561" s="1" t="s">
        <v>82</v>
      </c>
      <c r="D6561" s="1" t="s">
        <v>41</v>
      </c>
      <c r="E6561" s="3">
        <v>1261761</v>
      </c>
      <c r="F6561" s="1">
        <v>1477.4724004683801</v>
      </c>
      <c r="M6561" s="1">
        <v>854</v>
      </c>
      <c r="Q6561" s="1" t="s">
        <v>42</v>
      </c>
      <c r="S6561" s="1" t="s">
        <v>42</v>
      </c>
      <c r="T6561" s="1" t="s">
        <v>273</v>
      </c>
      <c r="AA6561" s="1">
        <v>1261761.43</v>
      </c>
      <c r="AB6561" s="1" t="s">
        <v>4795</v>
      </c>
      <c r="AC6561" s="5">
        <v>42536</v>
      </c>
      <c r="AF6561" s="1">
        <v>10128</v>
      </c>
      <c r="AI6561" s="1" t="s">
        <v>163</v>
      </c>
      <c r="AJ6561" s="1">
        <v>1986</v>
      </c>
      <c r="AK6561" s="1" t="s">
        <v>55</v>
      </c>
      <c r="AL6561" s="1">
        <v>287</v>
      </c>
    </row>
    <row r="6562" spans="1:38" x14ac:dyDescent="0.2">
      <c r="A6562" s="2" t="str">
        <f>HYPERLINK("https://www.compass.com/listing/200-east-94th-street-unit-1912-manhattan-ny-10128/29423486199987777/","200 E 94th St, Unit 1912")</f>
        <v>200 E 94th St, Unit 1912</v>
      </c>
      <c r="B6562" s="2" t="str">
        <f t="shared" si="1042"/>
        <v>Carnegie Park Condominium</v>
      </c>
      <c r="C6562" s="1" t="s">
        <v>82</v>
      </c>
      <c r="D6562" s="1" t="s">
        <v>41</v>
      </c>
      <c r="E6562" s="3">
        <v>1184686</v>
      </c>
      <c r="F6562" s="1">
        <v>1680.4050496453899</v>
      </c>
      <c r="M6562" s="1">
        <v>705</v>
      </c>
      <c r="Q6562" s="1" t="s">
        <v>42</v>
      </c>
      <c r="S6562" s="1" t="s">
        <v>42</v>
      </c>
      <c r="T6562" s="1" t="s">
        <v>273</v>
      </c>
      <c r="AA6562" s="1">
        <v>1184685.56</v>
      </c>
      <c r="AB6562" s="1" t="s">
        <v>4796</v>
      </c>
      <c r="AC6562" s="5">
        <v>42431</v>
      </c>
      <c r="AF6562" s="1">
        <v>10128</v>
      </c>
      <c r="AI6562" s="1" t="s">
        <v>163</v>
      </c>
      <c r="AJ6562" s="1">
        <v>1986</v>
      </c>
      <c r="AK6562" s="1" t="s">
        <v>55</v>
      </c>
      <c r="AL6562" s="1">
        <v>287</v>
      </c>
    </row>
    <row r="6563" spans="1:38" x14ac:dyDescent="0.2">
      <c r="A6563" s="2" t="str">
        <f>HYPERLINK("https://www.compass.com/listing/200-east-94th-street-unit-2016-manhattan-ny-10128/29423487122734673/","200 E 94th St, Unit 2016")</f>
        <v>200 E 94th St, Unit 2016</v>
      </c>
      <c r="B6563" s="2" t="str">
        <f t="shared" si="1042"/>
        <v>Carnegie Park Condominium</v>
      </c>
      <c r="C6563" s="1" t="s">
        <v>82</v>
      </c>
      <c r="D6563" s="1" t="s">
        <v>41</v>
      </c>
      <c r="E6563" s="3">
        <v>981040</v>
      </c>
      <c r="F6563" s="1">
        <v>1393.5231534090899</v>
      </c>
      <c r="M6563" s="1">
        <v>704</v>
      </c>
      <c r="Q6563" s="1" t="s">
        <v>42</v>
      </c>
      <c r="S6563" s="1" t="s">
        <v>42</v>
      </c>
      <c r="T6563" s="1" t="s">
        <v>273</v>
      </c>
      <c r="AA6563" s="1">
        <v>981040.3</v>
      </c>
      <c r="AB6563" s="1" t="s">
        <v>4797</v>
      </c>
      <c r="AC6563" s="5">
        <v>42332</v>
      </c>
      <c r="AF6563" s="1">
        <v>10128</v>
      </c>
      <c r="AI6563" s="1" t="s">
        <v>163</v>
      </c>
      <c r="AJ6563" s="1">
        <v>1986</v>
      </c>
      <c r="AK6563" s="1" t="s">
        <v>55</v>
      </c>
      <c r="AL6563" s="1">
        <v>287</v>
      </c>
    </row>
    <row r="6564" spans="1:38" x14ac:dyDescent="0.2">
      <c r="A6564" s="2" t="str">
        <f>HYPERLINK("https://www.compass.com/listing/200-east-94th-street-unit-2017-manhattan-ny-10128/29423487433122129/","200 E 94th St, Unit 2017")</f>
        <v>200 E 94th St, Unit 2017</v>
      </c>
      <c r="B6564" s="2" t="str">
        <f t="shared" si="1042"/>
        <v>Carnegie Park Condominium</v>
      </c>
      <c r="C6564" s="1" t="s">
        <v>82</v>
      </c>
      <c r="D6564" s="1" t="s">
        <v>41</v>
      </c>
      <c r="E6564" s="3">
        <v>2891830</v>
      </c>
      <c r="F6564" s="1">
        <v>1538.20744680851</v>
      </c>
      <c r="M6564" s="4">
        <v>1880</v>
      </c>
      <c r="Q6564" s="1" t="s">
        <v>42</v>
      </c>
      <c r="S6564" s="1" t="s">
        <v>42</v>
      </c>
      <c r="T6564" s="1" t="s">
        <v>273</v>
      </c>
      <c r="AA6564" s="1">
        <v>2891830</v>
      </c>
      <c r="AB6564" s="1" t="s">
        <v>4798</v>
      </c>
      <c r="AC6564" s="5">
        <v>42359</v>
      </c>
      <c r="AF6564" s="1">
        <v>10128</v>
      </c>
      <c r="AI6564" s="1" t="s">
        <v>163</v>
      </c>
      <c r="AJ6564" s="1">
        <v>1986</v>
      </c>
      <c r="AK6564" s="1" t="s">
        <v>55</v>
      </c>
      <c r="AL6564" s="1">
        <v>287</v>
      </c>
    </row>
    <row r="6565" spans="1:38" x14ac:dyDescent="0.2">
      <c r="A6565" s="2" t="str">
        <f>HYPERLINK("https://www.compass.com/listing/200-east-94th-street-unit-2011-manhattan-ny-10128/29423487768602049/","200 E 94th St, Unit 2011")</f>
        <v>200 E 94th St, Unit 2011</v>
      </c>
      <c r="B6565" s="2" t="str">
        <f t="shared" si="1042"/>
        <v>Carnegie Park Condominium</v>
      </c>
      <c r="C6565" s="1" t="s">
        <v>82</v>
      </c>
      <c r="D6565" s="1" t="s">
        <v>41</v>
      </c>
      <c r="E6565" s="3">
        <v>1139581</v>
      </c>
      <c r="F6565" s="1">
        <v>1334.4036299765801</v>
      </c>
      <c r="M6565" s="1">
        <v>854</v>
      </c>
      <c r="Q6565" s="1" t="s">
        <v>42</v>
      </c>
      <c r="S6565" s="1" t="s">
        <v>42</v>
      </c>
      <c r="T6565" s="1" t="s">
        <v>273</v>
      </c>
      <c r="AA6565" s="1">
        <v>1139580.7</v>
      </c>
      <c r="AB6565" s="1" t="s">
        <v>4799</v>
      </c>
      <c r="AC6565" s="5">
        <v>42338</v>
      </c>
      <c r="AF6565" s="1">
        <v>10128</v>
      </c>
      <c r="AI6565" s="1" t="s">
        <v>163</v>
      </c>
      <c r="AJ6565" s="1">
        <v>1986</v>
      </c>
      <c r="AK6565" s="1" t="s">
        <v>55</v>
      </c>
      <c r="AL6565" s="1">
        <v>287</v>
      </c>
    </row>
    <row r="6566" spans="1:38" x14ac:dyDescent="0.2">
      <c r="A6566" s="2" t="str">
        <f>HYPERLINK("https://www.compass.com/listing/200-east-94th-street-unit-2009-manhattan-ny-10128/29423488053870177/","200 E 94th St, Unit 2009")</f>
        <v>200 E 94th St, Unit 2009</v>
      </c>
      <c r="B6566" s="2" t="str">
        <f t="shared" si="1042"/>
        <v>Carnegie Park Condominium</v>
      </c>
      <c r="C6566" s="1" t="s">
        <v>82</v>
      </c>
      <c r="D6566" s="1" t="s">
        <v>41</v>
      </c>
      <c r="E6566" s="3">
        <v>2237625</v>
      </c>
      <c r="F6566" s="1">
        <v>1419.8127284263901</v>
      </c>
      <c r="M6566" s="4">
        <v>1576</v>
      </c>
      <c r="Q6566" s="1" t="s">
        <v>42</v>
      </c>
      <c r="S6566" s="1" t="s">
        <v>42</v>
      </c>
      <c r="T6566" s="1" t="s">
        <v>273</v>
      </c>
      <c r="AA6566" s="1">
        <v>2237624.86</v>
      </c>
      <c r="AB6566" s="1" t="s">
        <v>4800</v>
      </c>
      <c r="AC6566" s="5">
        <v>42419</v>
      </c>
      <c r="AF6566" s="1">
        <v>10128</v>
      </c>
      <c r="AI6566" s="1" t="s">
        <v>163</v>
      </c>
      <c r="AJ6566" s="1">
        <v>1986</v>
      </c>
      <c r="AK6566" s="1" t="s">
        <v>55</v>
      </c>
      <c r="AL6566" s="1">
        <v>287</v>
      </c>
    </row>
    <row r="6567" spans="1:38" x14ac:dyDescent="0.2">
      <c r="A6567" s="2" t="str">
        <f>HYPERLINK("https://www.compass.com/listing/200-east-94th-street-unit-2012-manhattan-ny-10128/29423488347480417/","200 E 94th St, Unit 2012")</f>
        <v>200 E 94th St, Unit 2012</v>
      </c>
      <c r="B6567" s="2" t="str">
        <f t="shared" si="1042"/>
        <v>Carnegie Park Condominium</v>
      </c>
      <c r="C6567" s="1" t="s">
        <v>82</v>
      </c>
      <c r="D6567" s="1" t="s">
        <v>41</v>
      </c>
      <c r="E6567" s="3">
        <v>930133</v>
      </c>
      <c r="F6567" s="1">
        <v>1319.33713475177</v>
      </c>
      <c r="M6567" s="1">
        <v>705</v>
      </c>
      <c r="Q6567" s="1" t="s">
        <v>42</v>
      </c>
      <c r="S6567" s="1" t="s">
        <v>42</v>
      </c>
      <c r="T6567" s="1" t="s">
        <v>273</v>
      </c>
      <c r="AA6567" s="1">
        <v>930132.68</v>
      </c>
      <c r="AB6567" s="1" t="s">
        <v>4801</v>
      </c>
      <c r="AC6567" s="5">
        <v>42460</v>
      </c>
      <c r="AF6567" s="1">
        <v>10128</v>
      </c>
      <c r="AI6567" s="1" t="s">
        <v>163</v>
      </c>
      <c r="AJ6567" s="1">
        <v>1986</v>
      </c>
      <c r="AK6567" s="1" t="s">
        <v>55</v>
      </c>
      <c r="AL6567" s="1">
        <v>287</v>
      </c>
    </row>
    <row r="6568" spans="1:38" x14ac:dyDescent="0.2">
      <c r="A6568" s="2" t="str">
        <f>HYPERLINK("https://www.compass.com/listing/200-east-94th-street-unit-2115-manhattan-ny-10128/29423489052114561/","200 E 94th St, Unit 2115")</f>
        <v>200 E 94th St, Unit 2115</v>
      </c>
      <c r="B6568" s="2" t="str">
        <f t="shared" si="1042"/>
        <v>Carnegie Park Condominium</v>
      </c>
      <c r="C6568" s="1" t="s">
        <v>82</v>
      </c>
      <c r="D6568" s="1" t="s">
        <v>41</v>
      </c>
      <c r="E6568" s="3">
        <v>1715955</v>
      </c>
      <c r="F6568" s="1">
        <v>1594.7534293680201</v>
      </c>
      <c r="H6568" s="1">
        <v>2</v>
      </c>
      <c r="J6568" s="1">
        <v>2</v>
      </c>
      <c r="M6568" s="4">
        <v>1076</v>
      </c>
      <c r="N6568" s="1">
        <v>1203</v>
      </c>
      <c r="O6568" s="1">
        <v>2481</v>
      </c>
      <c r="P6568" s="1">
        <v>1278</v>
      </c>
      <c r="Q6568" s="1" t="s">
        <v>42</v>
      </c>
      <c r="S6568" s="1" t="s">
        <v>42</v>
      </c>
      <c r="T6568" s="1" t="s">
        <v>273</v>
      </c>
      <c r="AA6568" s="1">
        <v>1715954.69</v>
      </c>
      <c r="AB6568" s="1" t="s">
        <v>4802</v>
      </c>
      <c r="AC6568" s="5">
        <v>42384</v>
      </c>
      <c r="AF6568" s="1">
        <v>10128</v>
      </c>
      <c r="AI6568" s="1" t="s">
        <v>163</v>
      </c>
      <c r="AJ6568" s="1">
        <v>1986</v>
      </c>
      <c r="AK6568" s="1" t="s">
        <v>55</v>
      </c>
      <c r="AL6568" s="1">
        <v>287</v>
      </c>
    </row>
    <row r="6569" spans="1:38" x14ac:dyDescent="0.2">
      <c r="A6569" s="2" t="str">
        <f>HYPERLINK("https://www.compass.com/listing/200-east-94th-street-unit-2117-manhattan-ny-10128/29423489781868017/","200 E 94th St, Unit 2117")</f>
        <v>200 E 94th St, Unit 2117</v>
      </c>
      <c r="B6569" s="2" t="str">
        <f t="shared" si="1042"/>
        <v>Carnegie Park Condominium</v>
      </c>
      <c r="C6569" s="1" t="s">
        <v>82</v>
      </c>
      <c r="D6569" s="1" t="s">
        <v>41</v>
      </c>
      <c r="E6569" s="3">
        <v>2967125</v>
      </c>
      <c r="F6569" s="1">
        <v>1578.2581808510599</v>
      </c>
      <c r="M6569" s="4">
        <v>1880</v>
      </c>
      <c r="Q6569" s="1" t="s">
        <v>42</v>
      </c>
      <c r="S6569" s="1" t="s">
        <v>42</v>
      </c>
      <c r="T6569" s="1" t="s">
        <v>273</v>
      </c>
      <c r="AA6569" s="1">
        <v>2967125.38</v>
      </c>
      <c r="AB6569" s="1" t="s">
        <v>4803</v>
      </c>
      <c r="AC6569" s="5">
        <v>42389</v>
      </c>
      <c r="AF6569" s="1">
        <v>10128</v>
      </c>
      <c r="AI6569" s="1" t="s">
        <v>163</v>
      </c>
      <c r="AJ6569" s="1">
        <v>1986</v>
      </c>
      <c r="AK6569" s="1" t="s">
        <v>55</v>
      </c>
      <c r="AL6569" s="1">
        <v>287</v>
      </c>
    </row>
    <row r="6570" spans="1:38" x14ac:dyDescent="0.2">
      <c r="A6570" s="2" t="str">
        <f>HYPERLINK("https://www.compass.com/listing/200-east-94th-street-unit-2111-manhattan-ny-10128/29423490100690593/","200 E 94th St, Unit 2111")</f>
        <v>200 E 94th St, Unit 2111</v>
      </c>
      <c r="B6570" s="2" t="str">
        <f t="shared" si="1042"/>
        <v>Carnegie Park Condominium</v>
      </c>
      <c r="C6570" s="1" t="s">
        <v>82</v>
      </c>
      <c r="D6570" s="1" t="s">
        <v>41</v>
      </c>
      <c r="E6570" s="3">
        <v>1246506</v>
      </c>
      <c r="F6570" s="1">
        <v>1459.6094145198999</v>
      </c>
      <c r="H6570" s="1">
        <v>1</v>
      </c>
      <c r="J6570" s="1">
        <v>1</v>
      </c>
      <c r="M6570" s="1">
        <v>854</v>
      </c>
      <c r="N6570" s="1">
        <v>963</v>
      </c>
      <c r="O6570" s="1">
        <v>1987</v>
      </c>
      <c r="P6570" s="1">
        <v>1024</v>
      </c>
      <c r="Q6570" s="1" t="s">
        <v>42</v>
      </c>
      <c r="S6570" s="1" t="s">
        <v>42</v>
      </c>
      <c r="T6570" s="1" t="s">
        <v>273</v>
      </c>
      <c r="AA6570" s="1">
        <v>1246506.44</v>
      </c>
      <c r="AB6570" s="1" t="s">
        <v>4804</v>
      </c>
      <c r="AC6570" s="5">
        <v>42341</v>
      </c>
      <c r="AF6570" s="1">
        <v>10128</v>
      </c>
      <c r="AI6570" s="1" t="s">
        <v>163</v>
      </c>
      <c r="AJ6570" s="1">
        <v>1986</v>
      </c>
      <c r="AK6570" s="1" t="s">
        <v>55</v>
      </c>
      <c r="AL6570" s="1">
        <v>287</v>
      </c>
    </row>
    <row r="6571" spans="1:38" x14ac:dyDescent="0.2">
      <c r="A6571" s="2" t="str">
        <f>HYPERLINK("https://www.compass.com/listing/200-east-94th-street-unit-2109-manhattan-ny-10128/29423490427855249/","200 E 94th St, Unit 2109")</f>
        <v>200 E 94th St, Unit 2109</v>
      </c>
      <c r="B6571" s="2" t="str">
        <f t="shared" si="1042"/>
        <v>Carnegie Park Condominium</v>
      </c>
      <c r="C6571" s="1" t="s">
        <v>82</v>
      </c>
      <c r="D6571" s="1" t="s">
        <v>41</v>
      </c>
      <c r="E6571" s="3">
        <v>2436013</v>
      </c>
      <c r="F6571" s="1">
        <v>1545.69341370558</v>
      </c>
      <c r="M6571" s="4">
        <v>1576</v>
      </c>
      <c r="Q6571" s="1" t="s">
        <v>42</v>
      </c>
      <c r="S6571" s="1" t="s">
        <v>42</v>
      </c>
      <c r="T6571" s="1" t="s">
        <v>273</v>
      </c>
      <c r="AA6571" s="1">
        <v>2436012.8199999998</v>
      </c>
      <c r="AB6571" s="1" t="s">
        <v>4805</v>
      </c>
      <c r="AC6571" s="5">
        <v>42376</v>
      </c>
      <c r="AF6571" s="1">
        <v>10128</v>
      </c>
      <c r="AI6571" s="1" t="s">
        <v>163</v>
      </c>
      <c r="AJ6571" s="1">
        <v>1986</v>
      </c>
      <c r="AK6571" s="1" t="s">
        <v>55</v>
      </c>
      <c r="AL6571" s="1">
        <v>287</v>
      </c>
    </row>
    <row r="6572" spans="1:38" x14ac:dyDescent="0.2">
      <c r="A6572" s="2" t="str">
        <f>HYPERLINK("https://www.compass.com/listing/200-east-94th-street-unit-2112-manhattan-ny-10128/29423490746557953/","200 E 94th St, Unit 2112")</f>
        <v>200 E 94th St, Unit 2112</v>
      </c>
      <c r="B6572" s="2" t="str">
        <f t="shared" si="1042"/>
        <v>Carnegie Park Condominium</v>
      </c>
      <c r="C6572" s="1" t="s">
        <v>82</v>
      </c>
      <c r="D6572" s="1" t="s">
        <v>41</v>
      </c>
      <c r="E6572" s="3">
        <v>1016693</v>
      </c>
      <c r="F6572" s="1">
        <v>1442.1181276595701</v>
      </c>
      <c r="M6572" s="1">
        <v>705</v>
      </c>
      <c r="Q6572" s="1" t="s">
        <v>42</v>
      </c>
      <c r="S6572" s="1" t="s">
        <v>42</v>
      </c>
      <c r="T6572" s="1" t="s">
        <v>273</v>
      </c>
      <c r="AA6572" s="1">
        <v>1016693.28</v>
      </c>
      <c r="AB6572" s="1" t="s">
        <v>4806</v>
      </c>
      <c r="AC6572" s="5">
        <v>42360</v>
      </c>
      <c r="AF6572" s="1">
        <v>10128</v>
      </c>
      <c r="AI6572" s="1" t="s">
        <v>163</v>
      </c>
      <c r="AJ6572" s="1">
        <v>1986</v>
      </c>
      <c r="AK6572" s="1" t="s">
        <v>55</v>
      </c>
      <c r="AL6572" s="1">
        <v>287</v>
      </c>
    </row>
    <row r="6573" spans="1:38" x14ac:dyDescent="0.2">
      <c r="A6573" s="2" t="str">
        <f>HYPERLINK("https://www.compass.com/listing/200-east-94th-street-unit-2114-manhattan-ny-10128/29423491040214705/","200 E 94th St, Unit 2114")</f>
        <v>200 E 94th St, Unit 2114</v>
      </c>
      <c r="B6573" s="2" t="str">
        <f t="shared" si="1042"/>
        <v>Carnegie Park Condominium</v>
      </c>
      <c r="C6573" s="1" t="s">
        <v>82</v>
      </c>
      <c r="D6573" s="1" t="s">
        <v>41</v>
      </c>
      <c r="E6573" s="3">
        <v>1593712</v>
      </c>
      <c r="F6573" s="1">
        <v>1496.44365258215</v>
      </c>
      <c r="M6573" s="4">
        <v>1065</v>
      </c>
      <c r="Q6573" s="1" t="s">
        <v>42</v>
      </c>
      <c r="S6573" s="1" t="s">
        <v>42</v>
      </c>
      <c r="T6573" s="1" t="s">
        <v>273</v>
      </c>
      <c r="AA6573" s="1">
        <v>1593712.49</v>
      </c>
      <c r="AB6573" s="1" t="s">
        <v>4807</v>
      </c>
      <c r="AC6573" s="5">
        <v>42339</v>
      </c>
      <c r="AF6573" s="1">
        <v>10128</v>
      </c>
      <c r="AI6573" s="1" t="s">
        <v>163</v>
      </c>
      <c r="AJ6573" s="1">
        <v>1986</v>
      </c>
      <c r="AK6573" s="1" t="s">
        <v>55</v>
      </c>
      <c r="AL6573" s="1">
        <v>287</v>
      </c>
    </row>
    <row r="6574" spans="1:38" x14ac:dyDescent="0.2">
      <c r="A6574" s="2" t="str">
        <f>HYPERLINK("https://www.compass.com/listing/200-east-94th-street-unit-2215-manhattan-ny-10128/29423491317047713/","200 E 94th St, Unit 2215")</f>
        <v>200 E 94th St, Unit 2215</v>
      </c>
      <c r="B6574" s="2" t="str">
        <f t="shared" si="1042"/>
        <v>Carnegie Park Condominium</v>
      </c>
      <c r="C6574" s="1" t="s">
        <v>82</v>
      </c>
      <c r="D6574" s="1" t="s">
        <v>41</v>
      </c>
      <c r="E6574" s="3">
        <v>1675234</v>
      </c>
      <c r="F6574" s="1">
        <v>1556.9090799256501</v>
      </c>
      <c r="M6574" s="4">
        <v>1076</v>
      </c>
      <c r="Q6574" s="1" t="s">
        <v>42</v>
      </c>
      <c r="S6574" s="1" t="s">
        <v>42</v>
      </c>
      <c r="T6574" s="1" t="s">
        <v>273</v>
      </c>
      <c r="AA6574" s="1">
        <v>1675234.17</v>
      </c>
      <c r="AB6574" s="1" t="s">
        <v>4808</v>
      </c>
      <c r="AC6574" s="5">
        <v>42342</v>
      </c>
      <c r="AF6574" s="1">
        <v>10128</v>
      </c>
      <c r="AI6574" s="1" t="s">
        <v>163</v>
      </c>
      <c r="AJ6574" s="1">
        <v>1986</v>
      </c>
      <c r="AK6574" s="1" t="s">
        <v>55</v>
      </c>
      <c r="AL6574" s="1">
        <v>287</v>
      </c>
    </row>
    <row r="6575" spans="1:38" x14ac:dyDescent="0.2">
      <c r="A6575" s="2" t="str">
        <f>HYPERLINK("https://www.compass.com/listing/200-east-94th-street-unit-2209-manhattan-ny-10128/29423492902485729/","200 E 94th St, Unit 2209")</f>
        <v>200 E 94th St, Unit 2209</v>
      </c>
      <c r="B6575" s="2" t="str">
        <f t="shared" si="1042"/>
        <v>Carnegie Park Condominium</v>
      </c>
      <c r="C6575" s="1" t="s">
        <v>82</v>
      </c>
      <c r="D6575" s="1" t="s">
        <v>41</v>
      </c>
      <c r="E6575" s="3">
        <v>842305</v>
      </c>
      <c r="F6575" s="1">
        <v>1117.1158753315599</v>
      </c>
      <c r="M6575" s="1">
        <v>754</v>
      </c>
      <c r="Q6575" s="1" t="s">
        <v>42</v>
      </c>
      <c r="S6575" s="1" t="s">
        <v>42</v>
      </c>
      <c r="T6575" s="1" t="s">
        <v>273</v>
      </c>
      <c r="AA6575" s="1">
        <v>842305.37</v>
      </c>
      <c r="AB6575" s="1" t="s">
        <v>4809</v>
      </c>
      <c r="AC6575" s="5">
        <v>42354</v>
      </c>
      <c r="AF6575" s="1">
        <v>10128</v>
      </c>
      <c r="AI6575" s="1" t="s">
        <v>163</v>
      </c>
      <c r="AJ6575" s="1">
        <v>1986</v>
      </c>
      <c r="AK6575" s="1" t="s">
        <v>55</v>
      </c>
      <c r="AL6575" s="1">
        <v>287</v>
      </c>
    </row>
    <row r="6576" spans="1:38" x14ac:dyDescent="0.2">
      <c r="A6576" s="2" t="str">
        <f>HYPERLINK("https://www.compass.com/listing/200-east-94th-street-unit-2210-manhattan-ny-10128/29423493196095969/","200 E 94th St, Unit 2210")</f>
        <v>200 E 94th St, Unit 2210</v>
      </c>
      <c r="B6576" s="2" t="str">
        <f t="shared" si="1042"/>
        <v>Carnegie Park Condominium</v>
      </c>
      <c r="C6576" s="1" t="s">
        <v>82</v>
      </c>
      <c r="D6576" s="1" t="s">
        <v>41</v>
      </c>
      <c r="E6576" s="3">
        <v>1126745</v>
      </c>
      <c r="F6576" s="1">
        <v>1514.44286290322</v>
      </c>
      <c r="H6576" s="1">
        <v>1</v>
      </c>
      <c r="J6576" s="1">
        <v>1</v>
      </c>
      <c r="M6576" s="1">
        <v>744</v>
      </c>
      <c r="N6576" s="1">
        <v>847</v>
      </c>
      <c r="O6576" s="1">
        <v>1747</v>
      </c>
      <c r="P6576" s="1">
        <v>900</v>
      </c>
      <c r="Q6576" s="1" t="s">
        <v>42</v>
      </c>
      <c r="S6576" s="1" t="s">
        <v>42</v>
      </c>
      <c r="T6576" s="1" t="s">
        <v>273</v>
      </c>
      <c r="AA6576" s="1">
        <v>1126745.49</v>
      </c>
      <c r="AB6576" s="1" t="s">
        <v>4810</v>
      </c>
      <c r="AC6576" s="5">
        <v>42381</v>
      </c>
      <c r="AF6576" s="1">
        <v>10128</v>
      </c>
      <c r="AI6576" s="1" t="s">
        <v>163</v>
      </c>
      <c r="AJ6576" s="1">
        <v>1986</v>
      </c>
      <c r="AK6576" s="1" t="s">
        <v>55</v>
      </c>
      <c r="AL6576" s="1">
        <v>287</v>
      </c>
    </row>
    <row r="6577" spans="1:38" x14ac:dyDescent="0.2">
      <c r="A6577" s="2" t="str">
        <f>HYPERLINK("https://www.compass.com/listing/200-east-94th-street-unit-2212-manhattan-ny-10128/29423493607073329/","200 E 94th St, Unit 2212")</f>
        <v>200 E 94th St, Unit 2212</v>
      </c>
      <c r="B6577" s="2" t="str">
        <f t="shared" si="1042"/>
        <v>Carnegie Park Condominium</v>
      </c>
      <c r="C6577" s="1" t="s">
        <v>82</v>
      </c>
      <c r="D6577" s="1" t="s">
        <v>41</v>
      </c>
      <c r="E6577" s="3">
        <v>2638736</v>
      </c>
      <c r="F6577" s="1">
        <v>1490.81157627118</v>
      </c>
      <c r="M6577" s="4">
        <v>1770</v>
      </c>
      <c r="Q6577" s="1" t="s">
        <v>42</v>
      </c>
      <c r="S6577" s="1" t="s">
        <v>42</v>
      </c>
      <c r="T6577" s="1" t="s">
        <v>273</v>
      </c>
      <c r="AA6577" s="1">
        <v>2638736.4900000002</v>
      </c>
      <c r="AB6577" s="1" t="s">
        <v>4811</v>
      </c>
      <c r="AC6577" s="5">
        <v>42359</v>
      </c>
      <c r="AF6577" s="1">
        <v>10128</v>
      </c>
      <c r="AI6577" s="1" t="s">
        <v>163</v>
      </c>
      <c r="AJ6577" s="1">
        <v>1986</v>
      </c>
      <c r="AK6577" s="1" t="s">
        <v>55</v>
      </c>
      <c r="AL6577" s="1">
        <v>287</v>
      </c>
    </row>
    <row r="6578" spans="1:38" x14ac:dyDescent="0.2">
      <c r="A6578" s="2" t="str">
        <f>HYPERLINK("https://www.compass.com/listing/200-east-94th-street-unit-2318-manhattan-ny-10128/29423494613706305/","200 E 94th St, Unit 2318")</f>
        <v>200 E 94th St, Unit 2318</v>
      </c>
      <c r="B6578" s="2" t="str">
        <f t="shared" si="1042"/>
        <v>Carnegie Park Condominium</v>
      </c>
      <c r="C6578" s="1" t="s">
        <v>82</v>
      </c>
      <c r="D6578" s="1" t="s">
        <v>41</v>
      </c>
      <c r="E6578" s="3">
        <v>833098</v>
      </c>
      <c r="F6578" s="1">
        <v>1121.2630148048399</v>
      </c>
      <c r="M6578" s="1">
        <v>743</v>
      </c>
      <c r="Q6578" s="1" t="s">
        <v>42</v>
      </c>
      <c r="S6578" s="1" t="s">
        <v>42</v>
      </c>
      <c r="T6578" s="1" t="s">
        <v>273</v>
      </c>
      <c r="AA6578" s="1">
        <v>833098.42</v>
      </c>
      <c r="AB6578" s="1" t="s">
        <v>4812</v>
      </c>
      <c r="AC6578" s="5">
        <v>42391</v>
      </c>
      <c r="AF6578" s="1">
        <v>10128</v>
      </c>
      <c r="AI6578" s="1" t="s">
        <v>163</v>
      </c>
      <c r="AJ6578" s="1">
        <v>1986</v>
      </c>
      <c r="AK6578" s="1" t="s">
        <v>55</v>
      </c>
      <c r="AL6578" s="1">
        <v>287</v>
      </c>
    </row>
    <row r="6579" spans="1:38" x14ac:dyDescent="0.2">
      <c r="A6579" s="2" t="str">
        <f>HYPERLINK("https://www.compass.com/listing/200-east-94th-street-unit-2309-manhattan-ny-10128/29423495544841809/","200 E 94th St, Unit 2309")</f>
        <v>200 E 94th St, Unit 2309</v>
      </c>
      <c r="B6579" s="2" t="str">
        <f t="shared" si="1042"/>
        <v>Carnegie Park Condominium</v>
      </c>
      <c r="C6579" s="1" t="s">
        <v>82</v>
      </c>
      <c r="D6579" s="1" t="s">
        <v>41</v>
      </c>
      <c r="E6579" s="3">
        <v>1118770</v>
      </c>
      <c r="F6579" s="1">
        <v>1483.77949602122</v>
      </c>
      <c r="M6579" s="1">
        <v>754</v>
      </c>
      <c r="Q6579" s="1" t="s">
        <v>42</v>
      </c>
      <c r="S6579" s="1" t="s">
        <v>42</v>
      </c>
      <c r="T6579" s="1" t="s">
        <v>273</v>
      </c>
      <c r="AA6579" s="1">
        <v>1118769.74</v>
      </c>
      <c r="AB6579" s="1" t="s">
        <v>4813</v>
      </c>
      <c r="AC6579" s="5">
        <v>42328</v>
      </c>
      <c r="AF6579" s="1">
        <v>10128</v>
      </c>
      <c r="AI6579" s="1" t="s">
        <v>163</v>
      </c>
      <c r="AJ6579" s="1">
        <v>1986</v>
      </c>
      <c r="AK6579" s="1" t="s">
        <v>55</v>
      </c>
      <c r="AL6579" s="1">
        <v>287</v>
      </c>
    </row>
    <row r="6580" spans="1:38" x14ac:dyDescent="0.2">
      <c r="A6580" s="2" t="str">
        <f>HYPERLINK("https://www.compass.com/listing/200-east-94th-street-unit-2310-manhattan-ny-10128/29423495846887201/","200 E 94th St, Unit 2310")</f>
        <v>200 E 94th St, Unit 2310</v>
      </c>
      <c r="B6580" s="2" t="str">
        <f t="shared" si="1042"/>
        <v>Carnegie Park Condominium</v>
      </c>
      <c r="C6580" s="1" t="s">
        <v>82</v>
      </c>
      <c r="D6580" s="1" t="s">
        <v>41</v>
      </c>
      <c r="E6580" s="3">
        <v>846850</v>
      </c>
      <c r="F6580" s="1">
        <v>1138.2386290322499</v>
      </c>
      <c r="M6580" s="1">
        <v>744</v>
      </c>
      <c r="Q6580" s="1" t="s">
        <v>42</v>
      </c>
      <c r="S6580" s="1" t="s">
        <v>42</v>
      </c>
      <c r="T6580" s="1" t="s">
        <v>273</v>
      </c>
      <c r="AA6580" s="1">
        <v>846849.54</v>
      </c>
      <c r="AB6580" s="1" t="s">
        <v>4814</v>
      </c>
      <c r="AC6580" s="5">
        <v>42340</v>
      </c>
      <c r="AF6580" s="1">
        <v>10128</v>
      </c>
      <c r="AI6580" s="1" t="s">
        <v>163</v>
      </c>
      <c r="AJ6580" s="1">
        <v>1986</v>
      </c>
      <c r="AK6580" s="1" t="s">
        <v>55</v>
      </c>
      <c r="AL6580" s="1">
        <v>287</v>
      </c>
    </row>
    <row r="6581" spans="1:38" x14ac:dyDescent="0.2">
      <c r="A6581" s="2" t="str">
        <f>HYPERLINK("https://www.compass.com/listing/200-east-94th-street-unit-2416-manhattan-ny-10128/29423496719302449/","200 E 94th St, Unit 2416")</f>
        <v>200 E 94th St, Unit 2416</v>
      </c>
      <c r="B6581" s="2" t="str">
        <f t="shared" si="1042"/>
        <v>Carnegie Park Condominium</v>
      </c>
      <c r="C6581" s="1" t="s">
        <v>82</v>
      </c>
      <c r="D6581" s="1" t="s">
        <v>41</v>
      </c>
      <c r="E6581" s="3">
        <v>828341</v>
      </c>
      <c r="F6581" s="1">
        <v>1176.62038352272</v>
      </c>
      <c r="M6581" s="1">
        <v>704</v>
      </c>
      <c r="Q6581" s="1" t="s">
        <v>42</v>
      </c>
      <c r="S6581" s="1" t="s">
        <v>42</v>
      </c>
      <c r="T6581" s="1" t="s">
        <v>273</v>
      </c>
      <c r="AA6581" s="1">
        <v>828340.75</v>
      </c>
      <c r="AB6581" s="1" t="s">
        <v>4815</v>
      </c>
      <c r="AC6581" s="5">
        <v>42341</v>
      </c>
      <c r="AF6581" s="1">
        <v>10128</v>
      </c>
      <c r="AI6581" s="1" t="s">
        <v>163</v>
      </c>
      <c r="AJ6581" s="1">
        <v>1986</v>
      </c>
      <c r="AK6581" s="1" t="s">
        <v>55</v>
      </c>
      <c r="AL6581" s="1">
        <v>287</v>
      </c>
    </row>
    <row r="6582" spans="1:38" x14ac:dyDescent="0.2">
      <c r="A6582" s="2" t="str">
        <f>HYPERLINK("https://www.compass.com/listing/200-east-94th-street-unit-2411-manhattan-ny-10128/29423497381946993/","200 E 94th St, Unit 2411")</f>
        <v>200 E 94th St, Unit 2411</v>
      </c>
      <c r="B6582" s="2" t="str">
        <f t="shared" si="1042"/>
        <v>Carnegie Park Condominium</v>
      </c>
      <c r="C6582" s="1" t="s">
        <v>82</v>
      </c>
      <c r="D6582" s="1" t="s">
        <v>41</v>
      </c>
      <c r="E6582" s="3">
        <v>1053067</v>
      </c>
      <c r="F6582" s="1">
        <v>1233.1000117096</v>
      </c>
      <c r="M6582" s="1">
        <v>854</v>
      </c>
      <c r="Q6582" s="1" t="s">
        <v>42</v>
      </c>
      <c r="S6582" s="1" t="s">
        <v>42</v>
      </c>
      <c r="T6582" s="1" t="s">
        <v>273</v>
      </c>
      <c r="AA6582" s="1">
        <v>1053067.4099999999</v>
      </c>
      <c r="AB6582" s="1" t="s">
        <v>4816</v>
      </c>
      <c r="AC6582" s="5">
        <v>42360</v>
      </c>
      <c r="AF6582" s="1">
        <v>10128</v>
      </c>
      <c r="AI6582" s="1" t="s">
        <v>163</v>
      </c>
      <c r="AJ6582" s="1">
        <v>1986</v>
      </c>
      <c r="AK6582" s="1" t="s">
        <v>55</v>
      </c>
      <c r="AL6582" s="1">
        <v>287</v>
      </c>
    </row>
    <row r="6583" spans="1:38" x14ac:dyDescent="0.2">
      <c r="A6583" s="2" t="str">
        <f>HYPERLINK("https://www.compass.com/listing/200-east-94th-street-unit-2409-manhattan-ny-10128/29423497667215169/","200 E 94th St, Unit 2409")</f>
        <v>200 E 94th St, Unit 2409</v>
      </c>
      <c r="B6583" s="2" t="str">
        <f t="shared" si="1042"/>
        <v>Carnegie Park Condominium</v>
      </c>
      <c r="C6583" s="1" t="s">
        <v>82</v>
      </c>
      <c r="D6583" s="1" t="s">
        <v>41</v>
      </c>
      <c r="E6583" s="3">
        <v>4135019</v>
      </c>
      <c r="F6583" s="1">
        <v>1811.2216381953499</v>
      </c>
      <c r="M6583" s="4">
        <v>2283</v>
      </c>
      <c r="Q6583" s="1" t="s">
        <v>42</v>
      </c>
      <c r="S6583" s="1" t="s">
        <v>42</v>
      </c>
      <c r="T6583" s="1" t="s">
        <v>273</v>
      </c>
      <c r="AA6583" s="1">
        <v>4135019</v>
      </c>
      <c r="AB6583" s="1" t="s">
        <v>4817</v>
      </c>
      <c r="AC6583" s="5">
        <v>42422</v>
      </c>
      <c r="AF6583" s="1">
        <v>10128</v>
      </c>
      <c r="AI6583" s="1" t="s">
        <v>163</v>
      </c>
      <c r="AJ6583" s="1">
        <v>1986</v>
      </c>
      <c r="AK6583" s="1" t="s">
        <v>55</v>
      </c>
      <c r="AL6583" s="1">
        <v>287</v>
      </c>
    </row>
    <row r="6584" spans="1:38" x14ac:dyDescent="0.2">
      <c r="A6584" s="2" t="str">
        <f>HYPERLINK("https://www.compass.com/listing/200-east-94th-street-unit-2414-manhattan-ny-10128/29423497960825393/","200 E 94th St, Unit 2414")</f>
        <v>200 E 94th St, Unit 2414</v>
      </c>
      <c r="B6584" s="2" t="str">
        <f t="shared" si="1042"/>
        <v>Carnegie Park Condominium</v>
      </c>
      <c r="C6584" s="1" t="s">
        <v>82</v>
      </c>
      <c r="D6584" s="1" t="s">
        <v>41</v>
      </c>
      <c r="E6584" s="3">
        <v>1827938</v>
      </c>
      <c r="F6584" s="1">
        <v>1716.3741408450701</v>
      </c>
      <c r="M6584" s="4">
        <v>1065</v>
      </c>
      <c r="Q6584" s="1" t="s">
        <v>42</v>
      </c>
      <c r="S6584" s="1" t="s">
        <v>42</v>
      </c>
      <c r="T6584" s="1" t="s">
        <v>273</v>
      </c>
      <c r="AA6584" s="1">
        <v>1827938.46</v>
      </c>
      <c r="AB6584" s="1" t="s">
        <v>4818</v>
      </c>
      <c r="AC6584" s="5">
        <v>42341</v>
      </c>
      <c r="AF6584" s="1">
        <v>10128</v>
      </c>
      <c r="AI6584" s="1" t="s">
        <v>163</v>
      </c>
      <c r="AJ6584" s="1">
        <v>1986</v>
      </c>
      <c r="AK6584" s="1" t="s">
        <v>55</v>
      </c>
      <c r="AL6584" s="1">
        <v>287</v>
      </c>
    </row>
    <row r="6585" spans="1:38" x14ac:dyDescent="0.2">
      <c r="A6585" s="2" t="str">
        <f>HYPERLINK("https://www.compass.com/listing/200-east-94th-street-unit-2515-manhattan-ny-10128/29423498388579985/","200 E 94th St, Unit 2515")</f>
        <v>200 E 94th St, Unit 2515</v>
      </c>
      <c r="B6585" s="2" t="str">
        <f t="shared" si="1042"/>
        <v>Carnegie Park Condominium</v>
      </c>
      <c r="C6585" s="1" t="s">
        <v>82</v>
      </c>
      <c r="D6585" s="1" t="s">
        <v>41</v>
      </c>
      <c r="E6585" s="3">
        <v>1766905</v>
      </c>
      <c r="F6585" s="1">
        <v>1642.1051486988799</v>
      </c>
      <c r="H6585" s="1">
        <v>2</v>
      </c>
      <c r="J6585" s="1">
        <v>2</v>
      </c>
      <c r="M6585" s="4">
        <v>1076</v>
      </c>
      <c r="N6585" s="1">
        <v>1211</v>
      </c>
      <c r="O6585" s="1">
        <v>2498</v>
      </c>
      <c r="P6585" s="1">
        <v>1287</v>
      </c>
      <c r="Q6585" s="1" t="s">
        <v>42</v>
      </c>
      <c r="S6585" s="1" t="s">
        <v>42</v>
      </c>
      <c r="T6585" s="1" t="s">
        <v>273</v>
      </c>
      <c r="AA6585" s="1">
        <v>1766905.14</v>
      </c>
      <c r="AB6585" s="1" t="s">
        <v>4819</v>
      </c>
      <c r="AC6585" s="5">
        <v>42355</v>
      </c>
      <c r="AF6585" s="1">
        <v>10128</v>
      </c>
      <c r="AI6585" s="1" t="s">
        <v>163</v>
      </c>
      <c r="AJ6585" s="1">
        <v>1986</v>
      </c>
      <c r="AK6585" s="1" t="s">
        <v>55</v>
      </c>
      <c r="AL6585" s="1">
        <v>287</v>
      </c>
    </row>
    <row r="6586" spans="1:38" x14ac:dyDescent="0.2">
      <c r="A6586" s="2" t="str">
        <f>HYPERLINK("https://www.compass.com/listing/200-east-94th-street-unit-2517-manhattan-ny-10128/29423498858397521/","200 E 94th St, Unit 2517")</f>
        <v>200 E 94th St, Unit 2517</v>
      </c>
      <c r="B6586" s="2" t="str">
        <f t="shared" si="1042"/>
        <v>Carnegie Park Condominium</v>
      </c>
      <c r="C6586" s="1" t="s">
        <v>82</v>
      </c>
      <c r="D6586" s="1" t="s">
        <v>41</v>
      </c>
      <c r="E6586" s="3">
        <v>3805492</v>
      </c>
      <c r="F6586" s="1">
        <v>1471.0059876304599</v>
      </c>
      <c r="M6586" s="4">
        <v>2587</v>
      </c>
      <c r="Q6586" s="1" t="s">
        <v>42</v>
      </c>
      <c r="S6586" s="1" t="s">
        <v>42</v>
      </c>
      <c r="T6586" s="1" t="s">
        <v>273</v>
      </c>
      <c r="AA6586" s="1">
        <v>3805492.49</v>
      </c>
      <c r="AB6586" s="1" t="s">
        <v>4820</v>
      </c>
      <c r="AC6586" s="5">
        <v>42725</v>
      </c>
      <c r="AF6586" s="1">
        <v>10128</v>
      </c>
      <c r="AI6586" s="1" t="s">
        <v>163</v>
      </c>
      <c r="AJ6586" s="1">
        <v>1986</v>
      </c>
      <c r="AK6586" s="1" t="s">
        <v>55</v>
      </c>
      <c r="AL6586" s="1">
        <v>287</v>
      </c>
    </row>
    <row r="6587" spans="1:38" x14ac:dyDescent="0.2">
      <c r="A6587" s="2" t="str">
        <f>HYPERLINK("https://www.compass.com/listing/200-east-94th-street-unit-2511-manhattan-ny-10128/29423499177173569/","200 E 94th St, Unit 2511")</f>
        <v>200 E 94th St, Unit 2511</v>
      </c>
      <c r="B6587" s="2" t="str">
        <f t="shared" si="1042"/>
        <v>Carnegie Park Condominium</v>
      </c>
      <c r="C6587" s="1" t="s">
        <v>82</v>
      </c>
      <c r="D6587" s="1" t="s">
        <v>41</v>
      </c>
      <c r="E6587" s="3">
        <v>1277092</v>
      </c>
      <c r="F6587" s="1">
        <v>1495.4241217798501</v>
      </c>
      <c r="M6587" s="1">
        <v>854</v>
      </c>
      <c r="Q6587" s="1" t="s">
        <v>42</v>
      </c>
      <c r="S6587" s="1" t="s">
        <v>42</v>
      </c>
      <c r="T6587" s="1" t="s">
        <v>273</v>
      </c>
      <c r="AA6587" s="1">
        <v>1277092.2</v>
      </c>
      <c r="AB6587" s="1" t="s">
        <v>4821</v>
      </c>
      <c r="AC6587" s="5">
        <v>42531</v>
      </c>
      <c r="AF6587" s="1">
        <v>10128</v>
      </c>
      <c r="AI6587" s="1" t="s">
        <v>163</v>
      </c>
      <c r="AJ6587" s="1">
        <v>1986</v>
      </c>
      <c r="AK6587" s="1" t="s">
        <v>55</v>
      </c>
      <c r="AL6587" s="1">
        <v>287</v>
      </c>
    </row>
    <row r="6588" spans="1:38" x14ac:dyDescent="0.2">
      <c r="A6588" s="2" t="str">
        <f>HYPERLINK("https://www.compass.com/listing/200-east-94th-street-unit-2512-manhattan-ny-10128/29423499865030497/","200 E 94th St, Unit 2512")</f>
        <v>200 E 94th St, Unit 2512</v>
      </c>
      <c r="B6588" s="2" t="str">
        <f t="shared" si="1042"/>
        <v>Carnegie Park Condominium</v>
      </c>
      <c r="C6588" s="1" t="s">
        <v>82</v>
      </c>
      <c r="D6588" s="1" t="s">
        <v>41</v>
      </c>
      <c r="E6588" s="3">
        <v>935271</v>
      </c>
      <c r="F6588" s="1">
        <v>1326.6261276595701</v>
      </c>
      <c r="M6588" s="1">
        <v>705</v>
      </c>
      <c r="Q6588" s="1" t="s">
        <v>42</v>
      </c>
      <c r="S6588" s="1" t="s">
        <v>42</v>
      </c>
      <c r="T6588" s="1" t="s">
        <v>273</v>
      </c>
      <c r="AA6588" s="1">
        <v>935271.42</v>
      </c>
      <c r="AB6588" s="1" t="s">
        <v>4822</v>
      </c>
      <c r="AC6588" s="5">
        <v>42327</v>
      </c>
      <c r="AF6588" s="1">
        <v>10128</v>
      </c>
      <c r="AI6588" s="1" t="s">
        <v>163</v>
      </c>
      <c r="AJ6588" s="1">
        <v>1986</v>
      </c>
      <c r="AK6588" s="1" t="s">
        <v>55</v>
      </c>
      <c r="AL6588" s="1">
        <v>287</v>
      </c>
    </row>
    <row r="6589" spans="1:38" x14ac:dyDescent="0.2">
      <c r="A6589" s="2" t="str">
        <f>HYPERLINK("https://www.compass.com/listing/200-east-94th-street-unit-2514-manhattan-ny-10128/29423500167029329/","200 E 94th St, Unit 2514")</f>
        <v>200 E 94th St, Unit 2514</v>
      </c>
      <c r="B6589" s="2" t="str">
        <f t="shared" si="1042"/>
        <v>Carnegie Park Condominium</v>
      </c>
      <c r="C6589" s="1" t="s">
        <v>82</v>
      </c>
      <c r="D6589" s="1" t="s">
        <v>41</v>
      </c>
      <c r="E6589" s="3">
        <v>1914499</v>
      </c>
      <c r="F6589" s="1">
        <v>1797.65183098591</v>
      </c>
      <c r="M6589" s="4">
        <v>1065</v>
      </c>
      <c r="Q6589" s="1" t="s">
        <v>42</v>
      </c>
      <c r="S6589" s="1" t="s">
        <v>42</v>
      </c>
      <c r="T6589" s="1" t="s">
        <v>273</v>
      </c>
      <c r="AA6589" s="1">
        <v>1914499.2</v>
      </c>
      <c r="AB6589" s="1" t="s">
        <v>4823</v>
      </c>
      <c r="AC6589" s="5">
        <v>42391</v>
      </c>
      <c r="AF6589" s="1">
        <v>10128</v>
      </c>
      <c r="AI6589" s="1" t="s">
        <v>163</v>
      </c>
      <c r="AJ6589" s="1">
        <v>1986</v>
      </c>
      <c r="AK6589" s="1" t="s">
        <v>55</v>
      </c>
      <c r="AL6589" s="1">
        <v>287</v>
      </c>
    </row>
    <row r="6590" spans="1:38" x14ac:dyDescent="0.2">
      <c r="A6590" s="2" t="str">
        <f>HYPERLINK("https://www.compass.com/listing/200-east-94th-street-unit-2615-manhattan-ny-10128/29423500485732017/","200 E 94th St, Unit 2615")</f>
        <v>200 E 94th St, Unit 2615</v>
      </c>
      <c r="B6590" s="2" t="str">
        <f t="shared" si="1042"/>
        <v>Carnegie Park Condominium</v>
      </c>
      <c r="C6590" s="1" t="s">
        <v>82</v>
      </c>
      <c r="D6590" s="1" t="s">
        <v>41</v>
      </c>
      <c r="E6590" s="3">
        <v>1777097</v>
      </c>
      <c r="F6590" s="1">
        <v>1651.57725836431</v>
      </c>
      <c r="M6590" s="4">
        <v>1076</v>
      </c>
      <c r="Q6590" s="1" t="s">
        <v>42</v>
      </c>
      <c r="S6590" s="1" t="s">
        <v>42</v>
      </c>
      <c r="T6590" s="1" t="s">
        <v>273</v>
      </c>
      <c r="AA6590" s="1">
        <v>1777097.13</v>
      </c>
      <c r="AB6590" s="1" t="s">
        <v>4824</v>
      </c>
      <c r="AC6590" s="5">
        <v>42328</v>
      </c>
      <c r="AF6590" s="1">
        <v>10128</v>
      </c>
      <c r="AI6590" s="1" t="s">
        <v>163</v>
      </c>
      <c r="AJ6590" s="1">
        <v>1986</v>
      </c>
      <c r="AK6590" s="1" t="s">
        <v>55</v>
      </c>
      <c r="AL6590" s="1">
        <v>287</v>
      </c>
    </row>
    <row r="6591" spans="1:38" x14ac:dyDescent="0.2">
      <c r="A6591" s="2" t="str">
        <f>HYPERLINK("https://www.compass.com/listing/200-east-94th-street-unit-2616-manhattan-ny-10128/29423500804554609/","200 E 94th St, Unit 2616")</f>
        <v>200 E 94th St, Unit 2616</v>
      </c>
      <c r="B6591" s="2" t="str">
        <f t="shared" si="1042"/>
        <v>Carnegie Park Condominium</v>
      </c>
      <c r="C6591" s="1" t="s">
        <v>82</v>
      </c>
      <c r="D6591" s="1" t="s">
        <v>41</v>
      </c>
      <c r="E6591" s="3">
        <v>1052375</v>
      </c>
      <c r="F6591" s="1">
        <v>1494.8504687499999</v>
      </c>
      <c r="M6591" s="1">
        <v>704</v>
      </c>
      <c r="Q6591" s="1" t="s">
        <v>42</v>
      </c>
      <c r="S6591" s="1" t="s">
        <v>42</v>
      </c>
      <c r="T6591" s="1" t="s">
        <v>273</v>
      </c>
      <c r="AA6591" s="1">
        <v>1052374.73</v>
      </c>
      <c r="AB6591" s="1" t="s">
        <v>4825</v>
      </c>
      <c r="AC6591" s="5">
        <v>42382</v>
      </c>
      <c r="AF6591" s="1">
        <v>10128</v>
      </c>
      <c r="AI6591" s="1" t="s">
        <v>163</v>
      </c>
      <c r="AJ6591" s="1">
        <v>1986</v>
      </c>
      <c r="AK6591" s="1" t="s">
        <v>55</v>
      </c>
      <c r="AL6591" s="1">
        <v>287</v>
      </c>
    </row>
    <row r="6592" spans="1:38" x14ac:dyDescent="0.2">
      <c r="A6592" s="2" t="str">
        <f>HYPERLINK("https://www.compass.com/listing/200-east-94th-street-unit-2617-manhattan-ny-10128/29423501098164833/","200 E 94th St, Unit 2617")</f>
        <v>200 E 94th St, Unit 2617</v>
      </c>
      <c r="B6592" s="2" t="str">
        <f t="shared" si="1042"/>
        <v>Carnegie Park Condominium</v>
      </c>
      <c r="C6592" s="1" t="s">
        <v>82</v>
      </c>
      <c r="D6592" s="1" t="s">
        <v>41</v>
      </c>
      <c r="E6592" s="3">
        <v>2992629</v>
      </c>
      <c r="F6592" s="1">
        <v>1591.82397340425</v>
      </c>
      <c r="M6592" s="4">
        <v>1880</v>
      </c>
      <c r="Q6592" s="1" t="s">
        <v>42</v>
      </c>
      <c r="S6592" s="1" t="s">
        <v>42</v>
      </c>
      <c r="T6592" s="1" t="s">
        <v>273</v>
      </c>
      <c r="AA6592" s="1">
        <v>2992629.07</v>
      </c>
      <c r="AB6592" s="1" t="s">
        <v>4826</v>
      </c>
      <c r="AC6592" s="5">
        <v>42429</v>
      </c>
      <c r="AF6592" s="1">
        <v>10128</v>
      </c>
      <c r="AI6592" s="1" t="s">
        <v>163</v>
      </c>
      <c r="AJ6592" s="1">
        <v>1986</v>
      </c>
      <c r="AK6592" s="1" t="s">
        <v>55</v>
      </c>
      <c r="AL6592" s="1">
        <v>287</v>
      </c>
    </row>
    <row r="6593" spans="1:38" x14ac:dyDescent="0.2">
      <c r="A6593" s="2" t="str">
        <f>HYPERLINK("https://www.compass.com/listing/200-east-94th-street-unit-2611-manhattan-ny-10128/29423501383313089/","200 E 94th St, Unit 2611")</f>
        <v>200 E 94th St, Unit 2611</v>
      </c>
      <c r="B6593" s="2" t="str">
        <f t="shared" si="1042"/>
        <v>Carnegie Park Condominium</v>
      </c>
      <c r="C6593" s="1" t="s">
        <v>82</v>
      </c>
      <c r="D6593" s="1" t="s">
        <v>41</v>
      </c>
      <c r="E6593" s="3">
        <v>1134546</v>
      </c>
      <c r="F6593" s="1">
        <v>1328.50864168618</v>
      </c>
      <c r="M6593" s="1">
        <v>854</v>
      </c>
      <c r="Q6593" s="1" t="s">
        <v>42</v>
      </c>
      <c r="S6593" s="1" t="s">
        <v>42</v>
      </c>
      <c r="T6593" s="1" t="s">
        <v>273</v>
      </c>
      <c r="AA6593" s="1">
        <v>1134546.3799999999</v>
      </c>
      <c r="AB6593" s="1" t="s">
        <v>4827</v>
      </c>
      <c r="AC6593" s="5">
        <v>42340</v>
      </c>
      <c r="AF6593" s="1">
        <v>10128</v>
      </c>
      <c r="AI6593" s="1" t="s">
        <v>163</v>
      </c>
      <c r="AJ6593" s="1">
        <v>1986</v>
      </c>
      <c r="AK6593" s="1" t="s">
        <v>55</v>
      </c>
      <c r="AL6593" s="1">
        <v>287</v>
      </c>
    </row>
    <row r="6594" spans="1:38" x14ac:dyDescent="0.2">
      <c r="A6594" s="2" t="str">
        <f>HYPERLINK("https://www.compass.com/listing/200-east-94th-street-unit-2610-manhattan-ny-10128/29423502079631985/","200 E 94th St, Unit 2610")</f>
        <v>200 E 94th St, Unit 2610</v>
      </c>
      <c r="B6594" s="2" t="str">
        <f t="shared" si="1042"/>
        <v>Carnegie Park Condominium</v>
      </c>
      <c r="C6594" s="1" t="s">
        <v>82</v>
      </c>
      <c r="D6594" s="1" t="s">
        <v>41</v>
      </c>
      <c r="E6594" s="3">
        <v>2354178</v>
      </c>
      <c r="F6594" s="1">
        <v>1624.69151828847</v>
      </c>
      <c r="M6594" s="4">
        <v>1449</v>
      </c>
      <c r="Q6594" s="1" t="s">
        <v>42</v>
      </c>
      <c r="S6594" s="1" t="s">
        <v>42</v>
      </c>
      <c r="T6594" s="1" t="s">
        <v>273</v>
      </c>
      <c r="AA6594" s="1">
        <v>2354178.0099999998</v>
      </c>
      <c r="AB6594" s="1" t="s">
        <v>4828</v>
      </c>
      <c r="AC6594" s="5">
        <v>42403</v>
      </c>
      <c r="AF6594" s="1">
        <v>10128</v>
      </c>
      <c r="AI6594" s="1" t="s">
        <v>163</v>
      </c>
      <c r="AJ6594" s="1">
        <v>1986</v>
      </c>
      <c r="AK6594" s="1" t="s">
        <v>55</v>
      </c>
      <c r="AL6594" s="1">
        <v>287</v>
      </c>
    </row>
    <row r="6595" spans="1:38" x14ac:dyDescent="0.2">
      <c r="A6595" s="2" t="str">
        <f>HYPERLINK("https://www.compass.com/listing/200-east-94th-street-unit-2614-manhattan-ny-10128/29423502415111889/","200 E 94th St, Unit 2614")</f>
        <v>200 E 94th St, Unit 2614</v>
      </c>
      <c r="B6595" s="2" t="str">
        <f t="shared" si="1042"/>
        <v>Carnegie Park Condominium</v>
      </c>
      <c r="C6595" s="1" t="s">
        <v>82</v>
      </c>
      <c r="D6595" s="1" t="s">
        <v>41</v>
      </c>
      <c r="E6595" s="3">
        <v>1480734</v>
      </c>
      <c r="F6595" s="1">
        <v>1390.3607417840301</v>
      </c>
      <c r="M6595" s="4">
        <v>1065</v>
      </c>
      <c r="Q6595" s="1" t="s">
        <v>42</v>
      </c>
      <c r="S6595" s="1" t="s">
        <v>42</v>
      </c>
      <c r="T6595" s="1" t="s">
        <v>273</v>
      </c>
      <c r="AA6595" s="1">
        <v>1480734.19</v>
      </c>
      <c r="AB6595" s="1" t="s">
        <v>4829</v>
      </c>
      <c r="AC6595" s="5">
        <v>42341</v>
      </c>
      <c r="AF6595" s="1">
        <v>10128</v>
      </c>
      <c r="AI6595" s="1" t="s">
        <v>163</v>
      </c>
      <c r="AJ6595" s="1">
        <v>1986</v>
      </c>
      <c r="AK6595" s="1" t="s">
        <v>55</v>
      </c>
      <c r="AL6595" s="1">
        <v>287</v>
      </c>
    </row>
    <row r="6596" spans="1:38" x14ac:dyDescent="0.2">
      <c r="A6596" s="2" t="str">
        <f>HYPERLINK("https://www.compass.com/listing/200-east-94th-street-unit-2715-manhattan-ny-10128/29423502708768657/","200 E 94th St, Unit 2715")</f>
        <v>200 E 94th St, Unit 2715</v>
      </c>
      <c r="B6596" s="2" t="str">
        <f t="shared" si="1042"/>
        <v>Carnegie Park Condominium</v>
      </c>
      <c r="C6596" s="1" t="s">
        <v>82</v>
      </c>
      <c r="D6596" s="1" t="s">
        <v>41</v>
      </c>
      <c r="E6596" s="3">
        <v>1859865</v>
      </c>
      <c r="F6596" s="1">
        <v>1728.4987732341999</v>
      </c>
      <c r="M6596" s="4">
        <v>1076</v>
      </c>
      <c r="Q6596" s="1" t="s">
        <v>42</v>
      </c>
      <c r="S6596" s="1" t="s">
        <v>42</v>
      </c>
      <c r="T6596" s="1" t="s">
        <v>273</v>
      </c>
      <c r="AA6596" s="1">
        <v>1859864.68</v>
      </c>
      <c r="AB6596" s="1" t="s">
        <v>4830</v>
      </c>
      <c r="AC6596" s="5">
        <v>42404</v>
      </c>
      <c r="AF6596" s="1">
        <v>10128</v>
      </c>
      <c r="AI6596" s="1" t="s">
        <v>163</v>
      </c>
      <c r="AJ6596" s="1">
        <v>1986</v>
      </c>
      <c r="AK6596" s="1" t="s">
        <v>55</v>
      </c>
      <c r="AL6596" s="1">
        <v>287</v>
      </c>
    </row>
    <row r="6597" spans="1:38" x14ac:dyDescent="0.2">
      <c r="A6597" s="2" t="str">
        <f>HYPERLINK("https://www.compass.com/listing/200-east-94th-street-unit-2717-manhattan-ny-10128/29423503077876369/","200 E 94th St, Unit 2717")</f>
        <v>200 E 94th St, Unit 2717</v>
      </c>
      <c r="B6597" s="2" t="str">
        <f t="shared" si="1042"/>
        <v>Carnegie Park Condominium</v>
      </c>
      <c r="C6597" s="1" t="s">
        <v>82</v>
      </c>
      <c r="D6597" s="1" t="s">
        <v>41</v>
      </c>
      <c r="E6597" s="3">
        <v>5088539</v>
      </c>
      <c r="F6597" s="1">
        <v>1968.4872030947699</v>
      </c>
      <c r="H6597" s="1">
        <v>5</v>
      </c>
      <c r="J6597" s="1">
        <v>4</v>
      </c>
      <c r="M6597" s="4">
        <v>2585</v>
      </c>
      <c r="N6597" s="1">
        <v>2854</v>
      </c>
      <c r="O6597" s="1">
        <v>5886</v>
      </c>
      <c r="P6597" s="1">
        <v>3032</v>
      </c>
      <c r="Q6597" s="1" t="s">
        <v>42</v>
      </c>
      <c r="S6597" s="1" t="s">
        <v>42</v>
      </c>
      <c r="T6597" s="1" t="s">
        <v>273</v>
      </c>
      <c r="AA6597" s="1">
        <v>5088539.42</v>
      </c>
      <c r="AB6597" s="1" t="s">
        <v>4831</v>
      </c>
      <c r="AC6597" s="5">
        <v>42649</v>
      </c>
      <c r="AF6597" s="1">
        <v>10128</v>
      </c>
      <c r="AI6597" s="1" t="s">
        <v>163</v>
      </c>
      <c r="AJ6597" s="1">
        <v>1986</v>
      </c>
      <c r="AK6597" s="1" t="s">
        <v>55</v>
      </c>
      <c r="AL6597" s="1">
        <v>287</v>
      </c>
    </row>
    <row r="6598" spans="1:38" x14ac:dyDescent="0.2">
      <c r="A6598" s="2" t="str">
        <f>HYPERLINK("https://www.compass.com/listing/200-east-94th-street-unit-2711-manhattan-ny-10128/29423503472076513/","200 E 94th St, Unit 2711")</f>
        <v>200 E 94th St, Unit 2711</v>
      </c>
      <c r="B6598" s="2" t="str">
        <f t="shared" si="1042"/>
        <v>Carnegie Park Condominium</v>
      </c>
      <c r="C6598" s="1" t="s">
        <v>82</v>
      </c>
      <c r="D6598" s="1" t="s">
        <v>41</v>
      </c>
      <c r="E6598" s="3">
        <v>1279221</v>
      </c>
      <c r="F6598" s="1">
        <v>1497.9168618266899</v>
      </c>
      <c r="M6598" s="1">
        <v>854</v>
      </c>
      <c r="Q6598" s="1" t="s">
        <v>42</v>
      </c>
      <c r="S6598" s="1" t="s">
        <v>42</v>
      </c>
      <c r="T6598" s="1" t="s">
        <v>273</v>
      </c>
      <c r="AA6598" s="1">
        <v>1279221</v>
      </c>
      <c r="AB6598" s="1" t="s">
        <v>4832</v>
      </c>
      <c r="AC6598" s="5">
        <v>42500</v>
      </c>
      <c r="AF6598" s="1">
        <v>10128</v>
      </c>
      <c r="AI6598" s="1" t="s">
        <v>163</v>
      </c>
      <c r="AJ6598" s="1">
        <v>1986</v>
      </c>
      <c r="AK6598" s="1" t="s">
        <v>55</v>
      </c>
      <c r="AL6598" s="1">
        <v>287</v>
      </c>
    </row>
    <row r="6599" spans="1:38" x14ac:dyDescent="0.2">
      <c r="A6599" s="2" t="str">
        <f>HYPERLINK("https://www.compass.com/listing/200-east-94th-street-unit-2709-manhattan-ny-10128/29423503774121889/","200 E 94th St, Unit 2709")</f>
        <v>200 E 94th St, Unit 2709</v>
      </c>
      <c r="B6599" s="2" t="str">
        <f t="shared" si="1042"/>
        <v>Carnegie Park Condominium</v>
      </c>
      <c r="C6599" s="1" t="s">
        <v>82</v>
      </c>
      <c r="D6599" s="1" t="s">
        <v>41</v>
      </c>
      <c r="E6599" s="3">
        <v>2324243</v>
      </c>
      <c r="F6599" s="1">
        <v>1474.77317893401</v>
      </c>
      <c r="M6599" s="4">
        <v>1576</v>
      </c>
      <c r="Q6599" s="1" t="s">
        <v>42</v>
      </c>
      <c r="S6599" s="1" t="s">
        <v>42</v>
      </c>
      <c r="T6599" s="1" t="s">
        <v>273</v>
      </c>
      <c r="AA6599" s="1">
        <v>2324242.5299999998</v>
      </c>
      <c r="AB6599" s="1" t="s">
        <v>4833</v>
      </c>
      <c r="AC6599" s="5">
        <v>42394</v>
      </c>
      <c r="AF6599" s="1">
        <v>10128</v>
      </c>
      <c r="AI6599" s="1" t="s">
        <v>163</v>
      </c>
      <c r="AJ6599" s="1">
        <v>1986</v>
      </c>
      <c r="AK6599" s="1" t="s">
        <v>55</v>
      </c>
      <c r="AL6599" s="1">
        <v>287</v>
      </c>
    </row>
    <row r="6600" spans="1:38" x14ac:dyDescent="0.2">
      <c r="A6600" s="2" t="str">
        <f>HYPERLINK("https://www.compass.com/listing/200-east-94th-street-unit-2712-manhattan-ny-10128/29423504067732129/","200 E 94th St, Unit 2712")</f>
        <v>200 E 94th St, Unit 2712</v>
      </c>
      <c r="B6600" s="2" t="str">
        <f t="shared" si="1042"/>
        <v>Carnegie Park Condominium</v>
      </c>
      <c r="C6600" s="1" t="s">
        <v>82</v>
      </c>
      <c r="D6600" s="1" t="s">
        <v>41</v>
      </c>
      <c r="E6600" s="3">
        <v>3003489</v>
      </c>
      <c r="F6600" s="1">
        <v>1696.8864406779601</v>
      </c>
      <c r="M6600" s="4">
        <v>1770</v>
      </c>
      <c r="Q6600" s="1" t="s">
        <v>42</v>
      </c>
      <c r="S6600" s="1" t="s">
        <v>42</v>
      </c>
      <c r="T6600" s="1" t="s">
        <v>273</v>
      </c>
      <c r="AA6600" s="1">
        <v>3003489</v>
      </c>
      <c r="AB6600" s="1" t="s">
        <v>4834</v>
      </c>
      <c r="AC6600" s="5">
        <v>42585</v>
      </c>
      <c r="AF6600" s="1">
        <v>10128</v>
      </c>
      <c r="AI6600" s="1" t="s">
        <v>163</v>
      </c>
      <c r="AJ6600" s="1">
        <v>1986</v>
      </c>
      <c r="AK6600" s="1" t="s">
        <v>55</v>
      </c>
      <c r="AL6600" s="1">
        <v>287</v>
      </c>
    </row>
    <row r="6601" spans="1:38" x14ac:dyDescent="0.2">
      <c r="A6601" s="2" t="str">
        <f>HYPERLINK("https://www.compass.com/listing/200-east-94th-street-unit-2815-manhattan-ny-10128/29423504403212017/","200 E 94th St, Unit 2815")</f>
        <v>200 E 94th St, Unit 2815</v>
      </c>
      <c r="B6601" s="2" t="str">
        <f t="shared" si="1042"/>
        <v>Carnegie Park Condominium</v>
      </c>
      <c r="C6601" s="1" t="s">
        <v>82</v>
      </c>
      <c r="D6601" s="1" t="s">
        <v>41</v>
      </c>
      <c r="E6601" s="3">
        <v>2721319</v>
      </c>
      <c r="F6601" s="1">
        <v>1528.8309662921299</v>
      </c>
      <c r="M6601" s="4">
        <v>1780</v>
      </c>
      <c r="Q6601" s="1" t="s">
        <v>42</v>
      </c>
      <c r="S6601" s="1" t="s">
        <v>42</v>
      </c>
      <c r="T6601" s="1" t="s">
        <v>273</v>
      </c>
      <c r="AA6601" s="1">
        <v>2721319.12</v>
      </c>
      <c r="AB6601" s="1" t="s">
        <v>4835</v>
      </c>
      <c r="AC6601" s="5">
        <v>42331</v>
      </c>
      <c r="AF6601" s="1">
        <v>10128</v>
      </c>
      <c r="AI6601" s="1" t="s">
        <v>163</v>
      </c>
      <c r="AJ6601" s="1">
        <v>1986</v>
      </c>
      <c r="AK6601" s="1" t="s">
        <v>55</v>
      </c>
      <c r="AL6601" s="1">
        <v>287</v>
      </c>
    </row>
    <row r="6602" spans="1:38" x14ac:dyDescent="0.2">
      <c r="A6602" s="2" t="str">
        <f>HYPERLINK("https://www.compass.com/listing/200-east-94th-street-unit-2817-manhattan-ny-10128/29423504680091569/","200 E 94th St, Unit 2817")</f>
        <v>200 E 94th St, Unit 2817</v>
      </c>
      <c r="B6602" s="2" t="str">
        <f t="shared" si="1042"/>
        <v>Carnegie Park Condominium</v>
      </c>
      <c r="C6602" s="1" t="s">
        <v>82</v>
      </c>
      <c r="D6602" s="1" t="s">
        <v>41</v>
      </c>
      <c r="E6602" s="3">
        <v>3636465</v>
      </c>
      <c r="F6602" s="1">
        <v>2033.81694071588</v>
      </c>
      <c r="M6602" s="4">
        <v>1788</v>
      </c>
      <c r="Q6602" s="1" t="s">
        <v>42</v>
      </c>
      <c r="S6602" s="1" t="s">
        <v>42</v>
      </c>
      <c r="T6602" s="1" t="s">
        <v>273</v>
      </c>
      <c r="AA6602" s="1">
        <v>3636464.69</v>
      </c>
      <c r="AB6602" s="1" t="s">
        <v>4836</v>
      </c>
      <c r="AC6602" s="5">
        <v>42577</v>
      </c>
      <c r="AF6602" s="1">
        <v>10128</v>
      </c>
      <c r="AI6602" s="1" t="s">
        <v>163</v>
      </c>
      <c r="AJ6602" s="1">
        <v>1986</v>
      </c>
      <c r="AK6602" s="1" t="s">
        <v>55</v>
      </c>
      <c r="AL6602" s="1">
        <v>287</v>
      </c>
    </row>
    <row r="6603" spans="1:38" x14ac:dyDescent="0.2">
      <c r="A6603" s="2" t="str">
        <f>HYPERLINK("https://www.compass.com/listing/200-east-94th-street-unit-2811-manhattan-ny-10128/29423505032422065/","200 E 94th St, Unit 2811")</f>
        <v>200 E 94th St, Unit 2811</v>
      </c>
      <c r="B6603" s="2" t="str">
        <f t="shared" si="1042"/>
        <v>Carnegie Park Condominium</v>
      </c>
      <c r="C6603" s="1" t="s">
        <v>82</v>
      </c>
      <c r="D6603" s="1" t="s">
        <v>41</v>
      </c>
      <c r="E6603" s="3">
        <v>920733</v>
      </c>
      <c r="F6603" s="1">
        <v>1078.1415222482401</v>
      </c>
      <c r="M6603" s="1">
        <v>854</v>
      </c>
      <c r="Q6603" s="1" t="s">
        <v>42</v>
      </c>
      <c r="S6603" s="1" t="s">
        <v>42</v>
      </c>
      <c r="T6603" s="1" t="s">
        <v>273</v>
      </c>
      <c r="AA6603" s="1">
        <v>920732.86</v>
      </c>
      <c r="AB6603" s="1" t="s">
        <v>4837</v>
      </c>
      <c r="AC6603" s="5">
        <v>42380</v>
      </c>
      <c r="AF6603" s="1">
        <v>10128</v>
      </c>
      <c r="AI6603" s="1" t="s">
        <v>163</v>
      </c>
      <c r="AJ6603" s="1">
        <v>1986</v>
      </c>
      <c r="AK6603" s="1" t="s">
        <v>55</v>
      </c>
      <c r="AL6603" s="1">
        <v>287</v>
      </c>
    </row>
    <row r="6604" spans="1:38" x14ac:dyDescent="0.2">
      <c r="A6604" s="2" t="str">
        <f>HYPERLINK("https://www.compass.com/listing/200-east-94th-street-unit-2809-manhattan-ny-10128/29423505359513345/","200 E 94th St, Unit 2809")</f>
        <v>200 E 94th St, Unit 2809</v>
      </c>
      <c r="B6604" s="2" t="str">
        <f t="shared" si="1042"/>
        <v>Carnegie Park Condominium</v>
      </c>
      <c r="C6604" s="1" t="s">
        <v>82</v>
      </c>
      <c r="D6604" s="1" t="s">
        <v>41</v>
      </c>
      <c r="E6604" s="3">
        <v>2995570</v>
      </c>
      <c r="F6604" s="1">
        <v>1900.7426459390799</v>
      </c>
      <c r="M6604" s="4">
        <v>1576</v>
      </c>
      <c r="Q6604" s="1" t="s">
        <v>42</v>
      </c>
      <c r="S6604" s="1" t="s">
        <v>42</v>
      </c>
      <c r="T6604" s="1" t="s">
        <v>273</v>
      </c>
      <c r="AA6604" s="1">
        <v>2995570.41</v>
      </c>
      <c r="AB6604" s="1" t="s">
        <v>4838</v>
      </c>
      <c r="AC6604" s="5">
        <v>42474</v>
      </c>
      <c r="AF6604" s="1">
        <v>10128</v>
      </c>
      <c r="AI6604" s="1" t="s">
        <v>163</v>
      </c>
      <c r="AJ6604" s="1">
        <v>1986</v>
      </c>
      <c r="AK6604" s="1" t="s">
        <v>55</v>
      </c>
      <c r="AL6604" s="1">
        <v>287</v>
      </c>
    </row>
    <row r="6605" spans="1:38" x14ac:dyDescent="0.2">
      <c r="A6605" s="2" t="str">
        <f>HYPERLINK("https://www.compass.com/listing/200-east-94th-street-unit-2812-manhattan-ny-10128/29423505628004289/","200 E 94th St, Unit 2812")</f>
        <v>200 E 94th St, Unit 2812</v>
      </c>
      <c r="B6605" s="2" t="str">
        <f t="shared" si="1042"/>
        <v>Carnegie Park Condominium</v>
      </c>
      <c r="C6605" s="1" t="s">
        <v>82</v>
      </c>
      <c r="D6605" s="1" t="s">
        <v>41</v>
      </c>
      <c r="E6605" s="3">
        <v>960756</v>
      </c>
      <c r="F6605" s="1">
        <v>1362.7743971631201</v>
      </c>
      <c r="M6605" s="1">
        <v>705</v>
      </c>
      <c r="Q6605" s="1" t="s">
        <v>42</v>
      </c>
      <c r="S6605" s="1" t="s">
        <v>42</v>
      </c>
      <c r="T6605" s="1" t="s">
        <v>273</v>
      </c>
      <c r="AA6605" s="1">
        <v>960755.95</v>
      </c>
      <c r="AB6605" s="1" t="s">
        <v>4839</v>
      </c>
      <c r="AC6605" s="5">
        <v>42342</v>
      </c>
      <c r="AF6605" s="1">
        <v>10128</v>
      </c>
      <c r="AI6605" s="1" t="s">
        <v>163</v>
      </c>
      <c r="AJ6605" s="1">
        <v>1986</v>
      </c>
      <c r="AK6605" s="1" t="s">
        <v>55</v>
      </c>
      <c r="AL6605" s="1">
        <v>287</v>
      </c>
    </row>
    <row r="6606" spans="1:38" x14ac:dyDescent="0.2">
      <c r="A6606" s="2" t="str">
        <f>HYPERLINK("https://www.compass.com/listing/200-east-94th-street-unit-2814-manhattan-ny-10128/29423505896448705/","200 E 94th St, Unit 2814")</f>
        <v>200 E 94th St, Unit 2814</v>
      </c>
      <c r="B6606" s="2" t="str">
        <f t="shared" si="1042"/>
        <v>Carnegie Park Condominium</v>
      </c>
      <c r="C6606" s="1" t="s">
        <v>82</v>
      </c>
      <c r="D6606" s="1" t="s">
        <v>41</v>
      </c>
      <c r="E6606" s="3">
        <v>1499082</v>
      </c>
      <c r="F6606" s="1">
        <v>1407.58841314553</v>
      </c>
      <c r="M6606" s="4">
        <v>1065</v>
      </c>
      <c r="Q6606" s="1" t="s">
        <v>42</v>
      </c>
      <c r="S6606" s="1" t="s">
        <v>42</v>
      </c>
      <c r="T6606" s="1" t="s">
        <v>273</v>
      </c>
      <c r="AA6606" s="1">
        <v>1499081.66</v>
      </c>
      <c r="AB6606" s="1" t="s">
        <v>4840</v>
      </c>
      <c r="AC6606" s="5">
        <v>42342</v>
      </c>
      <c r="AF6606" s="1">
        <v>10128</v>
      </c>
      <c r="AI6606" s="1" t="s">
        <v>163</v>
      </c>
      <c r="AJ6606" s="1">
        <v>1986</v>
      </c>
      <c r="AK6606" s="1" t="s">
        <v>55</v>
      </c>
      <c r="AL6606" s="1">
        <v>287</v>
      </c>
    </row>
    <row r="6607" spans="1:38" x14ac:dyDescent="0.2">
      <c r="A6607" s="2" t="str">
        <f>HYPERLINK("https://www.compass.com/listing/200-east-94th-street-unit-2915-manhattan-ny-10128/29423506206762769/","200 E 94th St, Unit 2915")</f>
        <v>200 E 94th St, Unit 2915</v>
      </c>
      <c r="B6607" s="2" t="str">
        <f t="shared" si="1042"/>
        <v>Carnegie Park Condominium</v>
      </c>
      <c r="C6607" s="1" t="s">
        <v>82</v>
      </c>
      <c r="D6607" s="1" t="s">
        <v>41</v>
      </c>
      <c r="E6607" s="3">
        <v>1899145</v>
      </c>
      <c r="F6607" s="1">
        <v>1765.0044609665399</v>
      </c>
      <c r="M6607" s="4">
        <v>1076</v>
      </c>
      <c r="Q6607" s="1" t="s">
        <v>42</v>
      </c>
      <c r="S6607" s="1" t="s">
        <v>42</v>
      </c>
      <c r="T6607" s="1" t="s">
        <v>273</v>
      </c>
      <c r="AA6607" s="1">
        <v>1899144.8</v>
      </c>
      <c r="AB6607" s="1" t="s">
        <v>4841</v>
      </c>
      <c r="AC6607" s="5">
        <v>42389</v>
      </c>
      <c r="AF6607" s="1">
        <v>10128</v>
      </c>
      <c r="AI6607" s="1" t="s">
        <v>163</v>
      </c>
      <c r="AJ6607" s="1">
        <v>1986</v>
      </c>
      <c r="AK6607" s="1" t="s">
        <v>55</v>
      </c>
      <c r="AL6607" s="1">
        <v>287</v>
      </c>
    </row>
    <row r="6608" spans="1:38" x14ac:dyDescent="0.2">
      <c r="A6608" s="2" t="str">
        <f>HYPERLINK("https://www.compass.com/listing/200-east-94th-street-unit-2916-manhattan-ny-10128/29423506483642321/","200 E 94th St, Unit 2916")</f>
        <v>200 E 94th St, Unit 2916</v>
      </c>
      <c r="B6608" s="2" t="str">
        <f t="shared" si="1042"/>
        <v>Carnegie Park Condominium</v>
      </c>
      <c r="C6608" s="1" t="s">
        <v>82</v>
      </c>
      <c r="D6608" s="1" t="s">
        <v>41</v>
      </c>
      <c r="E6608" s="3">
        <v>945487</v>
      </c>
      <c r="F6608" s="1">
        <v>1343.0212215909</v>
      </c>
      <c r="M6608" s="1">
        <v>704</v>
      </c>
      <c r="Q6608" s="1" t="s">
        <v>42</v>
      </c>
      <c r="S6608" s="1" t="s">
        <v>42</v>
      </c>
      <c r="T6608" s="1" t="s">
        <v>273</v>
      </c>
      <c r="AA6608" s="1">
        <v>945486.94</v>
      </c>
      <c r="AB6608" s="1" t="s">
        <v>4842</v>
      </c>
      <c r="AC6608" s="5">
        <v>42355</v>
      </c>
      <c r="AF6608" s="1">
        <v>10128</v>
      </c>
      <c r="AI6608" s="1" t="s">
        <v>163</v>
      </c>
      <c r="AJ6608" s="1">
        <v>1986</v>
      </c>
      <c r="AK6608" s="1" t="s">
        <v>55</v>
      </c>
      <c r="AL6608" s="1">
        <v>287</v>
      </c>
    </row>
    <row r="6609" spans="1:38" x14ac:dyDescent="0.2">
      <c r="A6609" s="2" t="str">
        <f>HYPERLINK("https://www.compass.com/listing/200-east-94th-street-unit-2917-manhattan-ny-10128/29423506794029777/","200 E 94th St, Unit 2917")</f>
        <v>200 E 94th St, Unit 2917</v>
      </c>
      <c r="B6609" s="2" t="str">
        <f t="shared" si="1042"/>
        <v>Carnegie Park Condominium</v>
      </c>
      <c r="C6609" s="1" t="s">
        <v>82</v>
      </c>
      <c r="D6609" s="1" t="s">
        <v>41</v>
      </c>
      <c r="E6609" s="3">
        <v>3069026</v>
      </c>
      <c r="F6609" s="1">
        <v>1632.46079255319</v>
      </c>
      <c r="M6609" s="4">
        <v>1880</v>
      </c>
      <c r="Q6609" s="1" t="s">
        <v>42</v>
      </c>
      <c r="S6609" s="1" t="s">
        <v>42</v>
      </c>
      <c r="T6609" s="1" t="s">
        <v>273</v>
      </c>
      <c r="AA6609" s="1">
        <v>3069026.29</v>
      </c>
      <c r="AB6609" s="1" t="s">
        <v>4843</v>
      </c>
      <c r="AC6609" s="5">
        <v>42356</v>
      </c>
      <c r="AF6609" s="1">
        <v>10128</v>
      </c>
      <c r="AI6609" s="1" t="s">
        <v>163</v>
      </c>
      <c r="AJ6609" s="1">
        <v>1986</v>
      </c>
      <c r="AK6609" s="1" t="s">
        <v>55</v>
      </c>
      <c r="AL6609" s="1">
        <v>287</v>
      </c>
    </row>
    <row r="6610" spans="1:38" x14ac:dyDescent="0.2">
      <c r="A6610" s="2" t="str">
        <f>HYPERLINK("https://www.compass.com/listing/200-east-94th-street-unit-2909-manhattan-ny-10128/29423507431555041/","200 E 94th St, Unit 2909")</f>
        <v>200 E 94th St, Unit 2909</v>
      </c>
      <c r="B6610" s="2" t="str">
        <f t="shared" si="1042"/>
        <v>Carnegie Park Condominium</v>
      </c>
      <c r="C6610" s="1" t="s">
        <v>82</v>
      </c>
      <c r="D6610" s="1" t="s">
        <v>41</v>
      </c>
      <c r="E6610" s="3">
        <v>1169739</v>
      </c>
      <c r="F6610" s="1">
        <v>1551.3782095490701</v>
      </c>
      <c r="M6610" s="1">
        <v>754</v>
      </c>
      <c r="Q6610" s="1" t="s">
        <v>42</v>
      </c>
      <c r="S6610" s="1" t="s">
        <v>42</v>
      </c>
      <c r="T6610" s="1" t="s">
        <v>273</v>
      </c>
      <c r="AA6610" s="1">
        <v>1169739.17</v>
      </c>
      <c r="AB6610" s="1" t="s">
        <v>4844</v>
      </c>
      <c r="AC6610" s="5">
        <v>42398</v>
      </c>
      <c r="AF6610" s="1">
        <v>10128</v>
      </c>
      <c r="AI6610" s="1" t="s">
        <v>163</v>
      </c>
      <c r="AJ6610" s="1">
        <v>1986</v>
      </c>
      <c r="AK6610" s="1" t="s">
        <v>55</v>
      </c>
      <c r="AL6610" s="1">
        <v>287</v>
      </c>
    </row>
    <row r="6611" spans="1:38" x14ac:dyDescent="0.2">
      <c r="A6611" s="2" t="str">
        <f>HYPERLINK("https://www.compass.com/listing/200-east-94th-street-unit-2912-manhattan-ny-10128/29423508572405745/","200 E 94th St, Unit 2912")</f>
        <v>200 E 94th St, Unit 2912</v>
      </c>
      <c r="B6611" s="2" t="str">
        <f t="shared" si="1042"/>
        <v>Carnegie Park Condominium</v>
      </c>
      <c r="C6611" s="1" t="s">
        <v>82</v>
      </c>
      <c r="D6611" s="1" t="s">
        <v>41</v>
      </c>
      <c r="E6611" s="3">
        <v>956636</v>
      </c>
      <c r="F6611" s="1">
        <v>1356.9309645389999</v>
      </c>
      <c r="M6611" s="1">
        <v>705</v>
      </c>
      <c r="Q6611" s="1" t="s">
        <v>42</v>
      </c>
      <c r="S6611" s="1" t="s">
        <v>42</v>
      </c>
      <c r="T6611" s="1" t="s">
        <v>273</v>
      </c>
      <c r="AA6611" s="1">
        <v>956636.33</v>
      </c>
      <c r="AB6611" s="1" t="s">
        <v>4845</v>
      </c>
      <c r="AC6611" s="5">
        <v>42331</v>
      </c>
      <c r="AF6611" s="1">
        <v>10128</v>
      </c>
      <c r="AI6611" s="1" t="s">
        <v>163</v>
      </c>
      <c r="AJ6611" s="1">
        <v>1986</v>
      </c>
      <c r="AK6611" s="1" t="s">
        <v>55</v>
      </c>
      <c r="AL6611" s="1">
        <v>287</v>
      </c>
    </row>
    <row r="6612" spans="1:38" x14ac:dyDescent="0.2">
      <c r="A6612" s="2" t="str">
        <f>HYPERLINK("https://www.compass.com/listing/200-east-94th-street-unit-2914-manhattan-ny-10128/29423508849238801/","200 E 94th St, Unit 2914")</f>
        <v>200 E 94th St, Unit 2914</v>
      </c>
      <c r="B6612" s="2" t="str">
        <f t="shared" si="1042"/>
        <v>Carnegie Park Condominium</v>
      </c>
      <c r="C6612" s="1" t="s">
        <v>82</v>
      </c>
      <c r="D6612" s="1" t="s">
        <v>41</v>
      </c>
      <c r="E6612" s="3">
        <v>1694909</v>
      </c>
      <c r="F6612" s="1">
        <v>1591.46429107981</v>
      </c>
      <c r="M6612" s="4">
        <v>1065</v>
      </c>
      <c r="Q6612" s="1" t="s">
        <v>42</v>
      </c>
      <c r="S6612" s="1" t="s">
        <v>42</v>
      </c>
      <c r="T6612" s="1" t="s">
        <v>273</v>
      </c>
      <c r="AA6612" s="1">
        <v>1694909.47</v>
      </c>
      <c r="AB6612" s="1" t="s">
        <v>4846</v>
      </c>
      <c r="AC6612" s="5">
        <v>42381</v>
      </c>
      <c r="AF6612" s="1">
        <v>10128</v>
      </c>
      <c r="AI6612" s="1" t="s">
        <v>163</v>
      </c>
      <c r="AJ6612" s="1">
        <v>1986</v>
      </c>
      <c r="AK6612" s="1" t="s">
        <v>55</v>
      </c>
      <c r="AL6612" s="1">
        <v>287</v>
      </c>
    </row>
    <row r="6613" spans="1:38" x14ac:dyDescent="0.2">
      <c r="A6613" s="2" t="str">
        <f>HYPERLINK("https://www.compass.com/listing/200-east-94th-street-unit-3016-manhattan-ny-10128/29423509503541249/","200 E 94th St, Unit 3016")</f>
        <v>200 E 94th St, Unit 3016</v>
      </c>
      <c r="B6613" s="2" t="str">
        <f t="shared" si="1042"/>
        <v>Carnegie Park Condominium</v>
      </c>
      <c r="C6613" s="1" t="s">
        <v>82</v>
      </c>
      <c r="D6613" s="1" t="s">
        <v>41</v>
      </c>
      <c r="E6613" s="3">
        <v>1072778</v>
      </c>
      <c r="F6613" s="1">
        <v>1523.83193181818</v>
      </c>
      <c r="M6613" s="1">
        <v>704</v>
      </c>
      <c r="Q6613" s="1" t="s">
        <v>42</v>
      </c>
      <c r="S6613" s="1" t="s">
        <v>42</v>
      </c>
      <c r="T6613" s="1" t="s">
        <v>273</v>
      </c>
      <c r="AA6613" s="1">
        <v>1072777.68</v>
      </c>
      <c r="AB6613" s="1" t="s">
        <v>4847</v>
      </c>
      <c r="AC6613" s="5">
        <v>42382</v>
      </c>
      <c r="AF6613" s="1">
        <v>10128</v>
      </c>
      <c r="AI6613" s="1" t="s">
        <v>163</v>
      </c>
      <c r="AJ6613" s="1">
        <v>1986</v>
      </c>
      <c r="AK6613" s="1" t="s">
        <v>55</v>
      </c>
      <c r="AL6613" s="1">
        <v>287</v>
      </c>
    </row>
    <row r="6614" spans="1:38" x14ac:dyDescent="0.2">
      <c r="A6614" s="2" t="str">
        <f>HYPERLINK("https://www.compass.com/listing/200-east-94th-street-unit-3018-manhattan-ny-10128/29423509813928737/","200 E 94th St, Unit 3018")</f>
        <v>200 E 94th St, Unit 3018</v>
      </c>
      <c r="B6614" s="2" t="str">
        <f t="shared" si="1042"/>
        <v>Carnegie Park Condominium</v>
      </c>
      <c r="C6614" s="1" t="s">
        <v>82</v>
      </c>
      <c r="D6614" s="1" t="s">
        <v>41</v>
      </c>
      <c r="E6614" s="3">
        <v>865240</v>
      </c>
      <c r="F6614" s="1">
        <v>1164.5218169582699</v>
      </c>
      <c r="M6614" s="1">
        <v>743</v>
      </c>
      <c r="Q6614" s="1" t="s">
        <v>42</v>
      </c>
      <c r="S6614" s="1" t="s">
        <v>42</v>
      </c>
      <c r="T6614" s="1" t="s">
        <v>273</v>
      </c>
      <c r="AA6614" s="1">
        <v>865239.71</v>
      </c>
      <c r="AB6614" s="1" t="s">
        <v>4848</v>
      </c>
      <c r="AC6614" s="5">
        <v>42325</v>
      </c>
      <c r="AF6614" s="1">
        <v>10128</v>
      </c>
      <c r="AI6614" s="1" t="s">
        <v>163</v>
      </c>
      <c r="AJ6614" s="1">
        <v>1986</v>
      </c>
      <c r="AK6614" s="1" t="s">
        <v>55</v>
      </c>
      <c r="AL6614" s="1">
        <v>287</v>
      </c>
    </row>
    <row r="6615" spans="1:38" x14ac:dyDescent="0.2">
      <c r="A6615" s="2" t="str">
        <f>HYPERLINK("https://www.compass.com/listing/200-east-94th-street-unit-3017-manhattan-ny-10128/29423510132631409/","200 E 94th St, Unit 3017")</f>
        <v>200 E 94th St, Unit 3017</v>
      </c>
      <c r="B6615" s="2" t="str">
        <f t="shared" si="1042"/>
        <v>Carnegie Park Condominium</v>
      </c>
      <c r="C6615" s="1" t="s">
        <v>82</v>
      </c>
      <c r="D6615" s="1" t="s">
        <v>41</v>
      </c>
      <c r="E6615" s="3">
        <v>1832992</v>
      </c>
      <c r="F6615" s="1">
        <v>1754.0591004784601</v>
      </c>
      <c r="M6615" s="4">
        <v>1045</v>
      </c>
      <c r="Q6615" s="1" t="s">
        <v>42</v>
      </c>
      <c r="S6615" s="1" t="s">
        <v>42</v>
      </c>
      <c r="T6615" s="1" t="s">
        <v>273</v>
      </c>
      <c r="AA6615" s="1">
        <v>1832991.76</v>
      </c>
      <c r="AB6615" s="1" t="s">
        <v>4849</v>
      </c>
      <c r="AC6615" s="5">
        <v>42396</v>
      </c>
      <c r="AF6615" s="1">
        <v>10128</v>
      </c>
      <c r="AI6615" s="1" t="s">
        <v>163</v>
      </c>
      <c r="AJ6615" s="1">
        <v>1986</v>
      </c>
      <c r="AK6615" s="1" t="s">
        <v>55</v>
      </c>
      <c r="AL6615" s="1">
        <v>287</v>
      </c>
    </row>
    <row r="6616" spans="1:38" x14ac:dyDescent="0.2">
      <c r="A6616" s="2" t="str">
        <f>HYPERLINK("https://www.compass.com/listing/200-east-94th-street-unit-3011-manhattan-ny-10128/29423510426288145/","200 E 94th St, Unit 3011")</f>
        <v>200 E 94th St, Unit 3011</v>
      </c>
      <c r="B6616" s="2" t="str">
        <f t="shared" si="1042"/>
        <v>Carnegie Park Condominium</v>
      </c>
      <c r="C6616" s="1" t="s">
        <v>82</v>
      </c>
      <c r="D6616" s="1" t="s">
        <v>41</v>
      </c>
      <c r="E6616" s="3">
        <v>1053124</v>
      </c>
      <c r="F6616" s="1">
        <v>1233.1666744730601</v>
      </c>
      <c r="M6616" s="1">
        <v>854</v>
      </c>
      <c r="Q6616" s="1" t="s">
        <v>42</v>
      </c>
      <c r="S6616" s="1" t="s">
        <v>42</v>
      </c>
      <c r="T6616" s="1" t="s">
        <v>273</v>
      </c>
      <c r="AA6616" s="1">
        <v>1053124.3400000001</v>
      </c>
      <c r="AB6616" s="1" t="s">
        <v>4850</v>
      </c>
      <c r="AC6616" s="5">
        <v>42395</v>
      </c>
      <c r="AF6616" s="1">
        <v>10128</v>
      </c>
      <c r="AI6616" s="1" t="s">
        <v>163</v>
      </c>
      <c r="AJ6616" s="1">
        <v>1986</v>
      </c>
      <c r="AK6616" s="1" t="s">
        <v>55</v>
      </c>
      <c r="AL6616" s="1">
        <v>287</v>
      </c>
    </row>
    <row r="6617" spans="1:38" x14ac:dyDescent="0.2">
      <c r="A6617" s="2" t="str">
        <f>HYPERLINK("https://www.compass.com/listing/200-east-94th-street-unit-3012-manhattan-ny-10128/29423511172818817/","200 E 94th St, Unit 3012")</f>
        <v>200 E 94th St, Unit 3012</v>
      </c>
      <c r="B6617" s="2" t="str">
        <f t="shared" si="1042"/>
        <v>Carnegie Park Condominium</v>
      </c>
      <c r="C6617" s="1" t="s">
        <v>82</v>
      </c>
      <c r="D6617" s="1" t="s">
        <v>41</v>
      </c>
      <c r="E6617" s="3">
        <v>3001555</v>
      </c>
      <c r="F6617" s="1">
        <v>1695.7937853107301</v>
      </c>
      <c r="M6617" s="4">
        <v>1770</v>
      </c>
      <c r="Q6617" s="1" t="s">
        <v>42</v>
      </c>
      <c r="S6617" s="1" t="s">
        <v>42</v>
      </c>
      <c r="T6617" s="1" t="s">
        <v>273</v>
      </c>
      <c r="AA6617" s="1">
        <v>3001555</v>
      </c>
      <c r="AB6617" s="1" t="s">
        <v>4851</v>
      </c>
      <c r="AC6617" s="5">
        <v>42620</v>
      </c>
      <c r="AF6617" s="1">
        <v>10128</v>
      </c>
      <c r="AI6617" s="1" t="s">
        <v>163</v>
      </c>
      <c r="AJ6617" s="1">
        <v>1986</v>
      </c>
      <c r="AK6617" s="1" t="s">
        <v>55</v>
      </c>
      <c r="AL6617" s="1">
        <v>287</v>
      </c>
    </row>
    <row r="6618" spans="1:38" x14ac:dyDescent="0.2">
      <c r="A6618" s="2" t="str">
        <f>HYPERLINK("https://www.compass.com/listing/200-east-94th-street-unit-phw-manhattan-ny-10128/29423511491641377/","200 E 94th St, Unit PHW")</f>
        <v>200 E 94th St, Unit PHW</v>
      </c>
      <c r="B6618" s="2" t="str">
        <f t="shared" si="1042"/>
        <v>Carnegie Park Condominium</v>
      </c>
      <c r="C6618" s="1" t="s">
        <v>82</v>
      </c>
      <c r="D6618" s="1" t="s">
        <v>41</v>
      </c>
      <c r="E6618" s="3">
        <v>1527375</v>
      </c>
      <c r="F6618" s="1">
        <v>711.39962738705105</v>
      </c>
      <c r="M6618" s="4">
        <v>2147</v>
      </c>
      <c r="Q6618" s="1" t="s">
        <v>42</v>
      </c>
      <c r="S6618" s="1" t="s">
        <v>42</v>
      </c>
      <c r="T6618" s="1" t="s">
        <v>273</v>
      </c>
      <c r="AA6618" s="1">
        <v>1527375</v>
      </c>
      <c r="AB6618" s="1" t="s">
        <v>4852</v>
      </c>
      <c r="AC6618" s="5">
        <v>42873</v>
      </c>
      <c r="AF6618" s="1">
        <v>10128</v>
      </c>
      <c r="AI6618" s="1" t="s">
        <v>163</v>
      </c>
      <c r="AJ6618" s="1">
        <v>1986</v>
      </c>
      <c r="AK6618" s="1" t="s">
        <v>55</v>
      </c>
      <c r="AL6618" s="1">
        <v>287</v>
      </c>
    </row>
    <row r="6619" spans="1:38" x14ac:dyDescent="0.2">
      <c r="A6619" s="2" t="str">
        <f>HYPERLINK("https://www.compass.com/listing/200-east-94th-street-unit-phs-manhattan-ny-10128/29423512254949265/","200 E 94th St, Unit PHS")</f>
        <v>200 E 94th St, Unit PHS</v>
      </c>
      <c r="B6619" s="2" t="str">
        <f t="shared" si="1042"/>
        <v>Carnegie Park Condominium</v>
      </c>
      <c r="C6619" s="1" t="s">
        <v>82</v>
      </c>
      <c r="D6619" s="1" t="s">
        <v>41</v>
      </c>
      <c r="E6619" s="3">
        <v>6665152</v>
      </c>
      <c r="F6619" s="1">
        <v>2080.90914767405</v>
      </c>
      <c r="M6619" s="4">
        <v>3203</v>
      </c>
      <c r="Q6619" s="1" t="s">
        <v>42</v>
      </c>
      <c r="S6619" s="1" t="s">
        <v>42</v>
      </c>
      <c r="T6619" s="1" t="s">
        <v>273</v>
      </c>
      <c r="AA6619" s="1">
        <v>6665152</v>
      </c>
      <c r="AB6619" s="1" t="s">
        <v>4853</v>
      </c>
      <c r="AC6619" s="5">
        <v>42829</v>
      </c>
      <c r="AF6619" s="1">
        <v>10128</v>
      </c>
      <c r="AI6619" s="1" t="s">
        <v>163</v>
      </c>
      <c r="AJ6619" s="1">
        <v>1986</v>
      </c>
      <c r="AK6619" s="1" t="s">
        <v>55</v>
      </c>
      <c r="AL6619" s="1">
        <v>287</v>
      </c>
    </row>
    <row r="6620" spans="1:38" x14ac:dyDescent="0.2">
      <c r="A6620" s="2" t="str">
        <f>HYPERLINK("https://www.compass.com/listing/360-east-89th-street-unit-16c-manhattan-ny-10128/29424458313868481/","360 E 89th St, Unit 16C")</f>
        <v>360 E 89th St, Unit 16C</v>
      </c>
      <c r="B6620" s="2" t="str">
        <f>HYPERLINK("https://www.compass.com/building/citizen360-manhattan-ny/282052027553444853/","Citizen360")</f>
        <v>Citizen360</v>
      </c>
      <c r="C6620" s="1" t="s">
        <v>82</v>
      </c>
      <c r="D6620" s="1" t="s">
        <v>41</v>
      </c>
      <c r="E6620" s="3">
        <v>2940000</v>
      </c>
      <c r="F6620" s="1">
        <v>1750</v>
      </c>
      <c r="G6620" s="1">
        <v>4.5</v>
      </c>
      <c r="H6620" s="1">
        <v>2</v>
      </c>
      <c r="I6620" s="1">
        <v>2</v>
      </c>
      <c r="J6620" s="1">
        <v>2.5</v>
      </c>
      <c r="K6620" s="1">
        <v>2</v>
      </c>
      <c r="L6620" s="1">
        <v>1</v>
      </c>
      <c r="M6620" s="4">
        <v>1680</v>
      </c>
      <c r="N6620" s="1">
        <v>1651</v>
      </c>
      <c r="O6620" s="1">
        <v>3571</v>
      </c>
      <c r="P6620" s="1">
        <v>1920</v>
      </c>
      <c r="Q6620" s="1" t="s">
        <v>42</v>
      </c>
      <c r="S6620" s="1" t="s">
        <v>42</v>
      </c>
      <c r="T6620" s="1" t="s">
        <v>273</v>
      </c>
      <c r="V6620" s="5">
        <v>43641</v>
      </c>
      <c r="W6620" s="5">
        <v>43007</v>
      </c>
      <c r="X6620" s="1">
        <v>2955000</v>
      </c>
      <c r="Y6620" s="1">
        <v>2955000</v>
      </c>
      <c r="Z6620" s="5">
        <v>43007</v>
      </c>
      <c r="AA6620" s="1">
        <v>2940000</v>
      </c>
      <c r="AB6620" s="1" t="s">
        <v>4854</v>
      </c>
      <c r="AC6620" s="5">
        <v>43199</v>
      </c>
      <c r="AF6620" s="1">
        <v>10128</v>
      </c>
      <c r="AJ6620" s="1">
        <v>2017</v>
      </c>
      <c r="AK6620" s="1" t="s">
        <v>108</v>
      </c>
      <c r="AL6620" s="1">
        <v>82</v>
      </c>
    </row>
    <row r="6621" spans="1:38" x14ac:dyDescent="0.2">
      <c r="A6621" s="2" t="str">
        <f>HYPERLINK("https://www.compass.com/listing/77-east-110th-street-unit-2b-manhattan-ny-10029/29427497129068081/","77 E 110th St, Unit 2B")</f>
        <v>77 E 110th St, Unit 2B</v>
      </c>
      <c r="B6621" s="2" t="str">
        <f t="shared" ref="B6621:B6622" si="1043">HYPERLINK("https://www.compass.com/building/77-condominiums-manhattan-ny/281992190891244549/","77 Condominiums")</f>
        <v>77 Condominiums</v>
      </c>
      <c r="C6621" s="1" t="s">
        <v>85</v>
      </c>
      <c r="D6621" s="1" t="s">
        <v>41</v>
      </c>
      <c r="E6621" s="3">
        <v>173394</v>
      </c>
      <c r="F6621" s="1">
        <v>199.07462686567101</v>
      </c>
      <c r="M6621" s="1">
        <v>871</v>
      </c>
      <c r="Q6621" s="1" t="s">
        <v>42</v>
      </c>
      <c r="S6621" s="1" t="s">
        <v>42</v>
      </c>
      <c r="T6621" s="1" t="s">
        <v>273</v>
      </c>
      <c r="AA6621" s="1">
        <v>173394</v>
      </c>
      <c r="AB6621" s="1" t="s">
        <v>4855</v>
      </c>
      <c r="AC6621" s="5">
        <v>42640</v>
      </c>
      <c r="AF6621" s="1">
        <v>10029</v>
      </c>
      <c r="AI6621" s="1" t="s">
        <v>48</v>
      </c>
      <c r="AJ6621" s="1">
        <v>2013</v>
      </c>
      <c r="AL6621" s="1">
        <v>20</v>
      </c>
    </row>
    <row r="6622" spans="1:38" x14ac:dyDescent="0.2">
      <c r="A6622" s="2" t="str">
        <f>HYPERLINK("https://www.compass.com/listing/77-east-110th-street-unit-3c-manhattan-ny-10029/29427498035037761/","77 E 110th St, Unit 3C")</f>
        <v>77 E 110th St, Unit 3C</v>
      </c>
      <c r="B6622" s="2" t="str">
        <f t="shared" si="1043"/>
        <v>77 Condominiums</v>
      </c>
      <c r="C6622" s="1" t="s">
        <v>85</v>
      </c>
      <c r="D6622" s="1" t="s">
        <v>41</v>
      </c>
      <c r="E6622" s="3">
        <v>173394</v>
      </c>
      <c r="F6622" s="1">
        <v>188.67682263329701</v>
      </c>
      <c r="M6622" s="1">
        <v>919</v>
      </c>
      <c r="Q6622" s="1" t="s">
        <v>42</v>
      </c>
      <c r="S6622" s="1" t="s">
        <v>42</v>
      </c>
      <c r="T6622" s="1" t="s">
        <v>273</v>
      </c>
      <c r="AA6622" s="1">
        <v>173394</v>
      </c>
      <c r="AB6622" s="1" t="s">
        <v>4856</v>
      </c>
      <c r="AC6622" s="5">
        <v>42674</v>
      </c>
      <c r="AF6622" s="1">
        <v>10029</v>
      </c>
      <c r="AI6622" s="1" t="s">
        <v>48</v>
      </c>
      <c r="AJ6622" s="1">
        <v>2013</v>
      </c>
      <c r="AL6622" s="1">
        <v>20</v>
      </c>
    </row>
    <row r="6623" spans="1:38" x14ac:dyDescent="0.2">
      <c r="A6623" s="2" t="str">
        <f>HYPERLINK("https://www.compass.com/listing/48-east-132nd-street-unit-1c-manhattan-ny-10037/29428816036307617/","48 E 132nd St, Unit 1C")</f>
        <v>48 E 132nd St, Unit 1C</v>
      </c>
      <c r="B6623" s="2" t="str">
        <f t="shared" ref="B6623:B6634" si="1044">HYPERLINK("https://www.compass.com/building/48-e-132nd-st-manhattan-ny-10037/282028625274876293/","48 E 132nd St")</f>
        <v>48 E 132nd St</v>
      </c>
      <c r="C6623" s="1" t="s">
        <v>84</v>
      </c>
      <c r="D6623" s="1" t="s">
        <v>41</v>
      </c>
      <c r="E6623" s="3">
        <v>867848</v>
      </c>
      <c r="F6623" s="1">
        <v>828.88968481375298</v>
      </c>
      <c r="M6623" s="4">
        <v>1047</v>
      </c>
      <c r="Q6623" s="1" t="s">
        <v>42</v>
      </c>
      <c r="S6623" s="1" t="s">
        <v>42</v>
      </c>
      <c r="T6623" s="1" t="s">
        <v>273</v>
      </c>
      <c r="AA6623" s="1">
        <v>867847.5</v>
      </c>
      <c r="AB6623" s="1" t="s">
        <v>4857</v>
      </c>
      <c r="AC6623" s="5">
        <v>43250</v>
      </c>
      <c r="AF6623" s="1">
        <v>10037</v>
      </c>
      <c r="AI6623" s="1" t="s">
        <v>80</v>
      </c>
      <c r="AJ6623" s="1">
        <v>2016</v>
      </c>
      <c r="AL6623" s="1">
        <v>19</v>
      </c>
    </row>
    <row r="6624" spans="1:38" x14ac:dyDescent="0.2">
      <c r="A6624" s="2" t="str">
        <f>HYPERLINK("https://www.compass.com/listing/48-east-132nd-street-unit-2c-manhattan-ny-10037/29428816346699617/","48 E 132nd St, Unit 2C")</f>
        <v>48 E 132nd St, Unit 2C</v>
      </c>
      <c r="B6624" s="2" t="str">
        <f t="shared" si="1044"/>
        <v>48 E 132nd St</v>
      </c>
      <c r="C6624" s="1" t="s">
        <v>84</v>
      </c>
      <c r="D6624" s="1" t="s">
        <v>41</v>
      </c>
      <c r="E6624" s="3">
        <v>390390</v>
      </c>
      <c r="F6624" s="1">
        <v>975.97500000000002</v>
      </c>
      <c r="M6624" s="1">
        <v>400</v>
      </c>
      <c r="Q6624" s="1" t="s">
        <v>42</v>
      </c>
      <c r="S6624" s="1" t="s">
        <v>42</v>
      </c>
      <c r="T6624" s="1" t="s">
        <v>273</v>
      </c>
      <c r="AA6624" s="1">
        <v>390390</v>
      </c>
      <c r="AB6624" s="1" t="s">
        <v>4858</v>
      </c>
      <c r="AC6624" s="5">
        <v>42927</v>
      </c>
      <c r="AF6624" s="1">
        <v>10037</v>
      </c>
      <c r="AI6624" s="1" t="s">
        <v>80</v>
      </c>
      <c r="AJ6624" s="1">
        <v>2016</v>
      </c>
      <c r="AL6624" s="1">
        <v>19</v>
      </c>
    </row>
    <row r="6625" spans="1:38" x14ac:dyDescent="0.2">
      <c r="A6625" s="2" t="str">
        <f>HYPERLINK("https://www.compass.com/listing/48-east-132nd-street-unit-2d-manhattan-ny-10037/29428816657010705/","48 E 132nd St, Unit 2D")</f>
        <v>48 E 132nd St, Unit 2D</v>
      </c>
      <c r="B6625" s="2" t="str">
        <f t="shared" si="1044"/>
        <v>48 E 132nd St</v>
      </c>
      <c r="C6625" s="1" t="s">
        <v>84</v>
      </c>
      <c r="D6625" s="1" t="s">
        <v>41</v>
      </c>
      <c r="E6625" s="3">
        <v>396474</v>
      </c>
      <c r="F6625" s="1">
        <v>932.88</v>
      </c>
      <c r="M6625" s="1">
        <v>425</v>
      </c>
      <c r="Q6625" s="1" t="s">
        <v>42</v>
      </c>
      <c r="S6625" s="1" t="s">
        <v>42</v>
      </c>
      <c r="T6625" s="1" t="s">
        <v>273</v>
      </c>
      <c r="AA6625" s="1">
        <v>396474</v>
      </c>
      <c r="AB6625" s="1" t="s">
        <v>4859</v>
      </c>
      <c r="AC6625" s="5">
        <v>42930</v>
      </c>
      <c r="AF6625" s="1">
        <v>10037</v>
      </c>
      <c r="AI6625" s="1" t="s">
        <v>80</v>
      </c>
      <c r="AJ6625" s="1">
        <v>2016</v>
      </c>
      <c r="AL6625" s="1">
        <v>19</v>
      </c>
    </row>
    <row r="6626" spans="1:38" x14ac:dyDescent="0.2">
      <c r="A6626" s="2" t="str">
        <f>HYPERLINK("https://www.compass.com/listing/48-east-132nd-street-unit-2e-manhattan-ny-10037/29428816959054513/","48 E 132nd St, Unit 2E")</f>
        <v>48 E 132nd St, Unit 2E</v>
      </c>
      <c r="B6626" s="2" t="str">
        <f t="shared" si="1044"/>
        <v>48 E 132nd St</v>
      </c>
      <c r="C6626" s="1" t="s">
        <v>84</v>
      </c>
      <c r="D6626" s="1" t="s">
        <v>41</v>
      </c>
      <c r="E6626" s="3">
        <v>423852</v>
      </c>
      <c r="F6626" s="1">
        <v>954.62162162162099</v>
      </c>
      <c r="M6626" s="1">
        <v>444</v>
      </c>
      <c r="Q6626" s="1" t="s">
        <v>42</v>
      </c>
      <c r="S6626" s="1" t="s">
        <v>42</v>
      </c>
      <c r="T6626" s="1" t="s">
        <v>273</v>
      </c>
      <c r="AA6626" s="1">
        <v>423852</v>
      </c>
      <c r="AB6626" s="1" t="s">
        <v>4860</v>
      </c>
      <c r="AC6626" s="5">
        <v>42948</v>
      </c>
      <c r="AF6626" s="1">
        <v>10037</v>
      </c>
      <c r="AI6626" s="1" t="s">
        <v>80</v>
      </c>
      <c r="AJ6626" s="1">
        <v>2016</v>
      </c>
      <c r="AL6626" s="1">
        <v>19</v>
      </c>
    </row>
    <row r="6627" spans="1:38" x14ac:dyDescent="0.2">
      <c r="A6627" s="2" t="str">
        <f>HYPERLINK("https://www.compass.com/listing/48-east-132nd-street-unit-2f-manhattan-ny-10037/29428817336555377/","48 E 132nd St, Unit 2F")</f>
        <v>48 E 132nd St, Unit 2F</v>
      </c>
      <c r="B6627" s="2" t="str">
        <f t="shared" si="1044"/>
        <v>48 E 132nd St</v>
      </c>
      <c r="C6627" s="1" t="s">
        <v>84</v>
      </c>
      <c r="D6627" s="1" t="s">
        <v>41</v>
      </c>
      <c r="E6627" s="3">
        <v>429733</v>
      </c>
      <c r="F6627" s="1">
        <v>934.20260869565197</v>
      </c>
      <c r="M6627" s="1">
        <v>460</v>
      </c>
      <c r="Q6627" s="1" t="s">
        <v>42</v>
      </c>
      <c r="S6627" s="1" t="s">
        <v>42</v>
      </c>
      <c r="T6627" s="1" t="s">
        <v>273</v>
      </c>
      <c r="AA6627" s="1">
        <v>429733.2</v>
      </c>
      <c r="AB6627" s="1" t="s">
        <v>4861</v>
      </c>
      <c r="AC6627" s="5">
        <v>42928</v>
      </c>
      <c r="AF6627" s="1">
        <v>10037</v>
      </c>
      <c r="AI6627" s="1" t="s">
        <v>80</v>
      </c>
      <c r="AJ6627" s="1">
        <v>2016</v>
      </c>
      <c r="AL6627" s="1">
        <v>19</v>
      </c>
    </row>
    <row r="6628" spans="1:38" x14ac:dyDescent="0.2">
      <c r="A6628" s="2" t="str">
        <f>HYPERLINK("https://www.compass.com/listing/48-east-132nd-street-unit-3e-manhattan-ny-10037/29428818284468097/","48 E 132nd St, Unit 3E")</f>
        <v>48 E 132nd St, Unit 3E</v>
      </c>
      <c r="B6628" s="2" t="str">
        <f t="shared" si="1044"/>
        <v>48 E 132nd St</v>
      </c>
      <c r="C6628" s="1" t="s">
        <v>84</v>
      </c>
      <c r="D6628" s="1" t="s">
        <v>41</v>
      </c>
      <c r="E6628" s="3">
        <v>414726</v>
      </c>
      <c r="F6628" s="1">
        <v>934.06756756756704</v>
      </c>
      <c r="M6628" s="1">
        <v>444</v>
      </c>
      <c r="Q6628" s="1" t="s">
        <v>42</v>
      </c>
      <c r="S6628" s="1" t="s">
        <v>42</v>
      </c>
      <c r="T6628" s="1" t="s">
        <v>273</v>
      </c>
      <c r="AA6628" s="1">
        <v>414726</v>
      </c>
      <c r="AB6628" s="1" t="s">
        <v>4862</v>
      </c>
      <c r="AC6628" s="5">
        <v>42921</v>
      </c>
      <c r="AF6628" s="1">
        <v>10037</v>
      </c>
      <c r="AI6628" s="1" t="s">
        <v>80</v>
      </c>
      <c r="AJ6628" s="1">
        <v>2016</v>
      </c>
      <c r="AL6628" s="1">
        <v>19</v>
      </c>
    </row>
    <row r="6629" spans="1:38" x14ac:dyDescent="0.2">
      <c r="A6629" s="2" t="str">
        <f>HYPERLINK("https://www.compass.com/listing/48-east-132nd-street-unit-4c-manhattan-ny-10037/29428818594779185/","48 E 132nd St, Unit 4C")</f>
        <v>48 E 132nd St, Unit 4C</v>
      </c>
      <c r="B6629" s="2" t="str">
        <f t="shared" si="1044"/>
        <v>48 E 132nd St</v>
      </c>
      <c r="C6629" s="1" t="s">
        <v>84</v>
      </c>
      <c r="D6629" s="1" t="s">
        <v>41</v>
      </c>
      <c r="E6629" s="3">
        <v>840813</v>
      </c>
      <c r="F6629" s="1">
        <v>979.96882284382195</v>
      </c>
      <c r="M6629" s="1">
        <v>858</v>
      </c>
      <c r="Q6629" s="1" t="s">
        <v>42</v>
      </c>
      <c r="S6629" s="1" t="s">
        <v>42</v>
      </c>
      <c r="T6629" s="1" t="s">
        <v>273</v>
      </c>
      <c r="AA6629" s="1">
        <v>840813.25</v>
      </c>
      <c r="AB6629" s="1" t="s">
        <v>4863</v>
      </c>
      <c r="AC6629" s="5">
        <v>42961</v>
      </c>
      <c r="AF6629" s="1">
        <v>10037</v>
      </c>
      <c r="AI6629" s="1" t="s">
        <v>80</v>
      </c>
      <c r="AJ6629" s="1">
        <v>2016</v>
      </c>
      <c r="AL6629" s="1">
        <v>19</v>
      </c>
    </row>
    <row r="6630" spans="1:38" x14ac:dyDescent="0.2">
      <c r="A6630" s="2" t="str">
        <f>HYPERLINK("https://www.compass.com/listing/48-east-132nd-street-unit-5c-manhattan-ny-10037/29428819215603601/","48 E 132nd St, Unit 5C")</f>
        <v>48 E 132nd St, Unit 5C</v>
      </c>
      <c r="B6630" s="2" t="str">
        <f t="shared" si="1044"/>
        <v>48 E 132nd St</v>
      </c>
      <c r="C6630" s="1" t="s">
        <v>84</v>
      </c>
      <c r="D6630" s="1" t="s">
        <v>41</v>
      </c>
      <c r="E6630" s="3">
        <v>842115</v>
      </c>
      <c r="F6630" s="1">
        <v>981.48580419580401</v>
      </c>
      <c r="M6630" s="1">
        <v>858</v>
      </c>
      <c r="Q6630" s="1" t="s">
        <v>42</v>
      </c>
      <c r="S6630" s="1" t="s">
        <v>42</v>
      </c>
      <c r="T6630" s="1" t="s">
        <v>273</v>
      </c>
      <c r="AA6630" s="1">
        <v>842114.82</v>
      </c>
      <c r="AB6630" s="1" t="s">
        <v>4864</v>
      </c>
      <c r="AC6630" s="5">
        <v>43161</v>
      </c>
      <c r="AF6630" s="1">
        <v>10037</v>
      </c>
      <c r="AI6630" s="1" t="s">
        <v>80</v>
      </c>
      <c r="AJ6630" s="1">
        <v>2016</v>
      </c>
      <c r="AL6630" s="1">
        <v>19</v>
      </c>
    </row>
    <row r="6631" spans="1:38" x14ac:dyDescent="0.2">
      <c r="A6631" s="2" t="str">
        <f>HYPERLINK("https://www.compass.com/listing/48-east-132nd-street-unit-5d-manhattan-ny-10037/29428819542691905/","48 E 132nd St, Unit 5D")</f>
        <v>48 E 132nd St, Unit 5D</v>
      </c>
      <c r="B6631" s="2" t="str">
        <f t="shared" si="1044"/>
        <v>48 E 132nd St</v>
      </c>
      <c r="C6631" s="1" t="s">
        <v>84</v>
      </c>
      <c r="D6631" s="1" t="s">
        <v>41</v>
      </c>
      <c r="E6631" s="3">
        <v>401592</v>
      </c>
      <c r="F6631" s="1">
        <v>942.70328638497597</v>
      </c>
      <c r="M6631" s="1">
        <v>426</v>
      </c>
      <c r="Q6631" s="1" t="s">
        <v>42</v>
      </c>
      <c r="S6631" s="1" t="s">
        <v>42</v>
      </c>
      <c r="T6631" s="1" t="s">
        <v>273</v>
      </c>
      <c r="AA6631" s="1">
        <v>401591.6</v>
      </c>
      <c r="AB6631" s="1" t="s">
        <v>4865</v>
      </c>
      <c r="AC6631" s="5">
        <v>42914</v>
      </c>
      <c r="AF6631" s="1">
        <v>10037</v>
      </c>
      <c r="AI6631" s="1" t="s">
        <v>80</v>
      </c>
      <c r="AJ6631" s="1">
        <v>2016</v>
      </c>
      <c r="AL6631" s="1">
        <v>19</v>
      </c>
    </row>
    <row r="6632" spans="1:38" x14ac:dyDescent="0.2">
      <c r="A6632" s="2" t="str">
        <f>HYPERLINK("https://www.compass.com/listing/48-east-132nd-street-unit-5e-manhattan-ny-10037/29428819869901537/","48 E 132nd St, Unit 5E")</f>
        <v>48 E 132nd St, Unit 5E</v>
      </c>
      <c r="B6632" s="2" t="str">
        <f t="shared" si="1044"/>
        <v>48 E 132nd St</v>
      </c>
      <c r="C6632" s="1" t="s">
        <v>84</v>
      </c>
      <c r="D6632" s="1" t="s">
        <v>41</v>
      </c>
      <c r="E6632" s="3">
        <v>432861</v>
      </c>
      <c r="F6632" s="1">
        <v>977.11286681715501</v>
      </c>
      <c r="M6632" s="1">
        <v>443</v>
      </c>
      <c r="Q6632" s="1" t="s">
        <v>42</v>
      </c>
      <c r="S6632" s="1" t="s">
        <v>42</v>
      </c>
      <c r="T6632" s="1" t="s">
        <v>273</v>
      </c>
      <c r="AA6632" s="1">
        <v>432861</v>
      </c>
      <c r="AB6632" s="1" t="s">
        <v>4866</v>
      </c>
      <c r="AC6632" s="5">
        <v>42937</v>
      </c>
      <c r="AF6632" s="1">
        <v>10037</v>
      </c>
      <c r="AI6632" s="1" t="s">
        <v>80</v>
      </c>
      <c r="AJ6632" s="1">
        <v>2016</v>
      </c>
      <c r="AL6632" s="1">
        <v>19</v>
      </c>
    </row>
    <row r="6633" spans="1:38" x14ac:dyDescent="0.2">
      <c r="A6633" s="2" t="str">
        <f>HYPERLINK("https://www.compass.com/listing/48-east-132nd-street-unit-phd-manhattan-ny-10037/29428820155127713/","48 E 132nd St, Unit PHD")</f>
        <v>48 E 132nd St, Unit PHD</v>
      </c>
      <c r="B6633" s="2" t="str">
        <f t="shared" si="1044"/>
        <v>48 E 132nd St</v>
      </c>
      <c r="C6633" s="1" t="s">
        <v>84</v>
      </c>
      <c r="D6633" s="1" t="s">
        <v>41</v>
      </c>
      <c r="E6633" s="3">
        <v>870875</v>
      </c>
      <c r="F6633" s="1">
        <v>1016.19019836639</v>
      </c>
      <c r="M6633" s="1">
        <v>857</v>
      </c>
      <c r="Q6633" s="1" t="s">
        <v>42</v>
      </c>
      <c r="S6633" s="1" t="s">
        <v>42</v>
      </c>
      <c r="T6633" s="1" t="s">
        <v>273</v>
      </c>
      <c r="AA6633" s="1">
        <v>870875</v>
      </c>
      <c r="AB6633" s="1" t="s">
        <v>4867</v>
      </c>
      <c r="AC6633" s="5">
        <v>42935</v>
      </c>
      <c r="AF6633" s="1">
        <v>10037</v>
      </c>
      <c r="AI6633" s="1" t="s">
        <v>80</v>
      </c>
      <c r="AJ6633" s="1">
        <v>2016</v>
      </c>
      <c r="AL6633" s="1">
        <v>19</v>
      </c>
    </row>
    <row r="6634" spans="1:38" x14ac:dyDescent="0.2">
      <c r="A6634" s="2" t="str">
        <f>HYPERLINK("https://www.compass.com/listing/48-east-132nd-street-unit-phf-manhattan-ny-10037/29428820465438801/","48 E 132nd St, Unit PHF")</f>
        <v>48 E 132nd St, Unit PHF</v>
      </c>
      <c r="B6634" s="2" t="str">
        <f t="shared" si="1044"/>
        <v>48 E 132nd St</v>
      </c>
      <c r="C6634" s="1" t="s">
        <v>84</v>
      </c>
      <c r="D6634" s="1" t="s">
        <v>41</v>
      </c>
      <c r="E6634" s="3">
        <v>634693</v>
      </c>
      <c r="F6634" s="1">
        <v>1175.3565740740701</v>
      </c>
      <c r="M6634" s="1">
        <v>540</v>
      </c>
      <c r="Q6634" s="1" t="s">
        <v>42</v>
      </c>
      <c r="S6634" s="1" t="s">
        <v>42</v>
      </c>
      <c r="T6634" s="1" t="s">
        <v>273</v>
      </c>
      <c r="AA6634" s="1">
        <v>634692.55000000005</v>
      </c>
      <c r="AB6634" s="1" t="s">
        <v>4868</v>
      </c>
      <c r="AC6634" s="5">
        <v>42923</v>
      </c>
      <c r="AF6634" s="1">
        <v>10037</v>
      </c>
      <c r="AI6634" s="1" t="s">
        <v>80</v>
      </c>
      <c r="AJ6634" s="1">
        <v>2016</v>
      </c>
      <c r="AL6634" s="1">
        <v>19</v>
      </c>
    </row>
    <row r="6635" spans="1:38" x14ac:dyDescent="0.2">
      <c r="A6635" s="2" t="str">
        <f>HYPERLINK("https://www.compass.com/listing/270-riverside-drive-unit-2c-manhattan-ny-10025/29431398083390577/","270 Riverside Dr, Unit 2C")</f>
        <v>270 Riverside Dr, Unit 2C</v>
      </c>
      <c r="B6635" s="2" t="str">
        <f t="shared" ref="B6635:B6637" si="1045">HYPERLINK("https://www.compass.com/building/270-riverside-dr-manhattan-ny-10025/281970283991095285/","270 Riverside Dr")</f>
        <v>270 Riverside Dr</v>
      </c>
      <c r="C6635" s="1" t="s">
        <v>57</v>
      </c>
      <c r="D6635" s="1" t="s">
        <v>41</v>
      </c>
      <c r="E6635" s="3">
        <v>2202500</v>
      </c>
      <c r="F6635" s="1">
        <v>919.62421711899697</v>
      </c>
      <c r="M6635" s="4">
        <v>2395</v>
      </c>
      <c r="Q6635" s="1" t="s">
        <v>42</v>
      </c>
      <c r="S6635" s="1" t="s">
        <v>42</v>
      </c>
      <c r="T6635" s="1" t="s">
        <v>273</v>
      </c>
      <c r="AA6635" s="1">
        <v>2202500</v>
      </c>
      <c r="AB6635" s="1" t="s">
        <v>4869</v>
      </c>
      <c r="AC6635" s="5">
        <v>42857</v>
      </c>
      <c r="AF6635" s="1">
        <v>10025</v>
      </c>
      <c r="AJ6635" s="1">
        <v>1920</v>
      </c>
      <c r="AK6635" s="1" t="s">
        <v>70</v>
      </c>
      <c r="AL6635" s="1">
        <v>57</v>
      </c>
    </row>
    <row r="6636" spans="1:38" x14ac:dyDescent="0.2">
      <c r="A6636" s="2" t="str">
        <f>HYPERLINK("https://www.compass.com/listing/270-riverside-drive-unit-6d-manhattan-ny-10025/29431402051268513/","270 Riverside Dr, Unit 6D")</f>
        <v>270 Riverside Dr, Unit 6D</v>
      </c>
      <c r="B6636" s="2" t="str">
        <f t="shared" si="1045"/>
        <v>270 Riverside Dr</v>
      </c>
      <c r="C6636" s="1" t="s">
        <v>57</v>
      </c>
      <c r="D6636" s="1" t="s">
        <v>41</v>
      </c>
      <c r="E6636" s="3">
        <v>1154547</v>
      </c>
      <c r="F6636" s="1">
        <v>574.40149253731295</v>
      </c>
      <c r="M6636" s="4">
        <v>2010</v>
      </c>
      <c r="Q6636" s="1" t="s">
        <v>42</v>
      </c>
      <c r="S6636" s="1" t="s">
        <v>42</v>
      </c>
      <c r="T6636" s="1" t="s">
        <v>273</v>
      </c>
      <c r="AA6636" s="1">
        <v>1154547</v>
      </c>
      <c r="AB6636" s="1" t="s">
        <v>4870</v>
      </c>
      <c r="AC6636" s="5">
        <v>42675</v>
      </c>
      <c r="AF6636" s="1">
        <v>10025</v>
      </c>
      <c r="AJ6636" s="1">
        <v>1920</v>
      </c>
      <c r="AK6636" s="1" t="s">
        <v>70</v>
      </c>
      <c r="AL6636" s="1">
        <v>57</v>
      </c>
    </row>
    <row r="6637" spans="1:38" x14ac:dyDescent="0.2">
      <c r="A6637" s="2" t="str">
        <f>HYPERLINK("https://www.compass.com/listing/270-riverside-drive-unit-12b-manhattan-ny-10025/29431405297593617/","270 Riverside Dr, Unit 12B")</f>
        <v>270 Riverside Dr, Unit 12B</v>
      </c>
      <c r="B6637" s="2" t="str">
        <f t="shared" si="1045"/>
        <v>270 Riverside Dr</v>
      </c>
      <c r="C6637" s="1" t="s">
        <v>57</v>
      </c>
      <c r="D6637" s="1" t="s">
        <v>41</v>
      </c>
      <c r="E6637" s="3">
        <v>2087413</v>
      </c>
      <c r="F6637" s="1">
        <v>936.89968581687594</v>
      </c>
      <c r="M6637" s="4">
        <v>2228</v>
      </c>
      <c r="Q6637" s="1" t="s">
        <v>42</v>
      </c>
      <c r="S6637" s="1" t="s">
        <v>42</v>
      </c>
      <c r="T6637" s="1" t="s">
        <v>273</v>
      </c>
      <c r="AA6637" s="1">
        <v>2087412.5</v>
      </c>
      <c r="AB6637" s="1" t="s">
        <v>4871</v>
      </c>
      <c r="AC6637" s="5">
        <v>42656</v>
      </c>
      <c r="AF6637" s="1">
        <v>10025</v>
      </c>
      <c r="AJ6637" s="1">
        <v>1920</v>
      </c>
      <c r="AK6637" s="1" t="s">
        <v>70</v>
      </c>
      <c r="AL6637" s="1">
        <v>57</v>
      </c>
    </row>
    <row r="6638" spans="1:38" x14ac:dyDescent="0.2">
      <c r="A6638" s="2" t="str">
        <f>HYPERLINK("https://www.compass.com/listing/371-west-126th-street-unit-1a-manhattan-ny-10027/29432968539848897/","371 W 126th St, Unit 1A")</f>
        <v>371 W 126th St, Unit 1A</v>
      </c>
      <c r="B6638" s="2" t="str">
        <f>HYPERLINK("https://www.compass.com/building/371-w-126th-st-manhattan-ny-10027/281982301896805285/","371 W 126th St")</f>
        <v>371 W 126th St</v>
      </c>
      <c r="C6638" s="1" t="s">
        <v>3491</v>
      </c>
      <c r="D6638" s="1" t="s">
        <v>41</v>
      </c>
      <c r="E6638" s="3">
        <v>334620</v>
      </c>
      <c r="F6638" s="1">
        <v>671.92771084337301</v>
      </c>
      <c r="M6638" s="1">
        <v>498</v>
      </c>
      <c r="Q6638" s="1" t="s">
        <v>42</v>
      </c>
      <c r="S6638" s="1" t="s">
        <v>42</v>
      </c>
      <c r="T6638" s="1" t="s">
        <v>273</v>
      </c>
      <c r="AA6638" s="1">
        <v>334620</v>
      </c>
      <c r="AB6638" s="1" t="s">
        <v>4872</v>
      </c>
      <c r="AC6638" s="5">
        <v>42935</v>
      </c>
      <c r="AF6638" s="1">
        <v>10027</v>
      </c>
      <c r="AJ6638" s="1">
        <v>2008</v>
      </c>
      <c r="AL6638" s="1">
        <v>12</v>
      </c>
    </row>
    <row r="6639" spans="1:38" x14ac:dyDescent="0.2">
      <c r="A6639" s="2" t="str">
        <f>HYPERLINK("https://www.compass.com/listing/565-broome-street-unit-n8d-manhattan-ny-10013/29514991484822961/","565 Broome St, Unit N8D")</f>
        <v>565 Broome St, Unit N8D</v>
      </c>
      <c r="B6639" s="2" t="str">
        <f>HYPERLINK("https://www.compass.com/building/565-broome-soho-manhattan-ny/292813251698267109/","565 Broome Soho")</f>
        <v>565 Broome Soho</v>
      </c>
      <c r="C6639" s="1" t="s">
        <v>53</v>
      </c>
      <c r="D6639" s="1" t="s">
        <v>41</v>
      </c>
      <c r="E6639" s="3">
        <v>2223058</v>
      </c>
      <c r="F6639" s="1">
        <v>2429.5715846994499</v>
      </c>
      <c r="G6639" s="1">
        <v>3</v>
      </c>
      <c r="H6639" s="1">
        <v>1</v>
      </c>
      <c r="I6639" s="1">
        <v>2</v>
      </c>
      <c r="J6639" s="1">
        <v>1.5</v>
      </c>
      <c r="K6639" s="1">
        <v>1</v>
      </c>
      <c r="L6639" s="1">
        <v>1</v>
      </c>
      <c r="M6639" s="1">
        <v>915</v>
      </c>
      <c r="N6639" s="1">
        <v>1349</v>
      </c>
      <c r="O6639" s="1">
        <v>2837</v>
      </c>
      <c r="P6639" s="1">
        <v>1488</v>
      </c>
      <c r="Q6639" s="1" t="s">
        <v>42</v>
      </c>
      <c r="S6639" s="1" t="s">
        <v>42</v>
      </c>
      <c r="T6639" s="1" t="s">
        <v>273</v>
      </c>
      <c r="V6639" s="5">
        <v>44334</v>
      </c>
      <c r="W6639" s="5">
        <v>42677</v>
      </c>
      <c r="X6639" s="1">
        <v>2170000</v>
      </c>
      <c r="Y6639" s="1">
        <v>2170000</v>
      </c>
      <c r="Z6639" s="5">
        <v>42677</v>
      </c>
      <c r="AA6639" s="1">
        <v>2223058</v>
      </c>
      <c r="AB6639" s="1" t="s">
        <v>2240</v>
      </c>
      <c r="AC6639" s="5">
        <v>43567</v>
      </c>
      <c r="AF6639" s="1">
        <v>10013</v>
      </c>
      <c r="AI6639" s="1" t="s">
        <v>242</v>
      </c>
      <c r="AJ6639" s="1">
        <v>2019</v>
      </c>
      <c r="AK6639" s="1" t="s">
        <v>46</v>
      </c>
      <c r="AL6639" s="1">
        <v>115</v>
      </c>
    </row>
    <row r="6640" spans="1:38" x14ac:dyDescent="0.2">
      <c r="A6640" s="2" t="str">
        <f>HYPERLINK("https://www.compass.com/listing/220-central-park-south-unit-villa-ph16-manhattan-ny-10019/298515052445202689/","220 Central Park S, Unit VILLA PH16")</f>
        <v>220 Central Park S, Unit VILLA PH16</v>
      </c>
      <c r="B6640" s="2" t="str">
        <f>HYPERLINK("https://www.compass.com/building/220-central-park-south-manhattan-ny/281944232648828453/","220 Central Park South")</f>
        <v>220 Central Park South</v>
      </c>
      <c r="C6640" s="1" t="s">
        <v>260</v>
      </c>
      <c r="D6640" s="1" t="s">
        <v>41</v>
      </c>
      <c r="E6640" s="3">
        <v>65750000</v>
      </c>
      <c r="F6640" s="1">
        <v>11322.541759944799</v>
      </c>
      <c r="G6640" s="1">
        <v>5</v>
      </c>
      <c r="H6640" s="1">
        <v>3</v>
      </c>
      <c r="I6640" s="1">
        <v>6</v>
      </c>
      <c r="J6640" s="1">
        <v>5</v>
      </c>
      <c r="K6640" s="1">
        <v>4</v>
      </c>
      <c r="L6640" s="1">
        <v>2</v>
      </c>
      <c r="M6640" s="4">
        <v>5807</v>
      </c>
      <c r="N6640" s="1">
        <v>12494</v>
      </c>
      <c r="O6640" s="1">
        <v>27933</v>
      </c>
      <c r="P6640" s="1">
        <v>15439</v>
      </c>
      <c r="Q6640" s="1" t="s">
        <v>42</v>
      </c>
      <c r="S6640" s="1" t="s">
        <v>42</v>
      </c>
      <c r="T6640" s="1" t="s">
        <v>273</v>
      </c>
      <c r="U6640" s="1">
        <v>1135</v>
      </c>
      <c r="V6640" s="5">
        <v>43741</v>
      </c>
      <c r="W6640" s="5">
        <v>42527</v>
      </c>
      <c r="X6640" s="1">
        <v>70000000</v>
      </c>
      <c r="Y6640" s="1">
        <v>70000000</v>
      </c>
      <c r="AA6640" s="1">
        <v>65750000</v>
      </c>
      <c r="AB6640" s="1" t="s">
        <v>4873</v>
      </c>
      <c r="AC6640" s="5">
        <v>43662</v>
      </c>
      <c r="AF6640" s="1">
        <v>10019</v>
      </c>
      <c r="AI6640" s="1" t="s">
        <v>3873</v>
      </c>
      <c r="AJ6640" s="1">
        <v>2018</v>
      </c>
      <c r="AK6640" s="1" t="s">
        <v>46</v>
      </c>
      <c r="AL6640" s="1">
        <v>117</v>
      </c>
    </row>
    <row r="6641" spans="1:38" x14ac:dyDescent="0.2">
      <c r="A6641" s="2" t="str">
        <f>HYPERLINK("https://www.compass.com/listing/15-hudson-yards-unit-70d-manhattan-ny-10001/299128629216563569/","15 Hudson Yards, Unit 70D")</f>
        <v>15 Hudson Yards, Unit 70D</v>
      </c>
      <c r="B6641" s="2" t="str">
        <f t="shared" ref="B6641:B6643" si="1046">HYPERLINK("https://www.compass.com/building/fifteen-hudson-yards-manhattan-ny/282058587512011909/","Fifteen Hudson Yards")</f>
        <v>Fifteen Hudson Yards</v>
      </c>
      <c r="C6641" s="1" t="s">
        <v>77</v>
      </c>
      <c r="D6641" s="1" t="s">
        <v>41</v>
      </c>
      <c r="E6641" s="3">
        <v>5515000</v>
      </c>
      <c r="F6641" s="1">
        <v>3100.0562113546898</v>
      </c>
      <c r="G6641" s="1">
        <v>4</v>
      </c>
      <c r="H6641" s="1">
        <v>2</v>
      </c>
      <c r="I6641" s="1">
        <v>3</v>
      </c>
      <c r="J6641" s="1">
        <v>2.5</v>
      </c>
      <c r="K6641" s="1">
        <v>2</v>
      </c>
      <c r="L6641" s="1">
        <v>1</v>
      </c>
      <c r="M6641" s="4">
        <v>1779</v>
      </c>
      <c r="N6641" s="1">
        <v>4080</v>
      </c>
      <c r="O6641" s="1">
        <v>4137</v>
      </c>
      <c r="P6641" s="1">
        <v>57</v>
      </c>
      <c r="Q6641" s="1" t="s">
        <v>42</v>
      </c>
      <c r="S6641" s="1" t="s">
        <v>42</v>
      </c>
      <c r="T6641" s="1" t="s">
        <v>273</v>
      </c>
      <c r="U6641" s="1">
        <v>1011</v>
      </c>
      <c r="V6641" s="5">
        <v>43665</v>
      </c>
      <c r="W6641" s="5">
        <v>42650</v>
      </c>
      <c r="X6641" s="1">
        <v>5515000</v>
      </c>
      <c r="Y6641" s="1">
        <v>5515000</v>
      </c>
      <c r="AA6641" s="1">
        <v>5515000</v>
      </c>
      <c r="AB6641" s="1" t="s">
        <v>275</v>
      </c>
      <c r="AC6641" s="5">
        <v>43661</v>
      </c>
      <c r="AF6641" s="1">
        <v>10001</v>
      </c>
      <c r="AJ6641" s="1">
        <v>2018</v>
      </c>
      <c r="AK6641" s="1" t="s">
        <v>46</v>
      </c>
      <c r="AL6641" s="1">
        <v>285</v>
      </c>
    </row>
    <row r="6642" spans="1:38" x14ac:dyDescent="0.2">
      <c r="A6642" s="2" t="str">
        <f>HYPERLINK("https://www.compass.com/listing/15-hudson-yards-unit-63a-manhattan-ny-10001/313710858727033121/","15 Hudson Yards, Unit 63A")</f>
        <v>15 Hudson Yards, Unit 63A</v>
      </c>
      <c r="B6642" s="2" t="str">
        <f t="shared" si="1046"/>
        <v>Fifteen Hudson Yards</v>
      </c>
      <c r="C6642" s="1" t="s">
        <v>77</v>
      </c>
      <c r="D6642" s="1" t="s">
        <v>41</v>
      </c>
      <c r="E6642" s="3">
        <v>6875000</v>
      </c>
      <c r="F6642" s="1">
        <v>3294.2022041207401</v>
      </c>
      <c r="G6642" s="1">
        <v>4</v>
      </c>
      <c r="H6642" s="1">
        <v>2</v>
      </c>
      <c r="I6642" s="1">
        <v>3</v>
      </c>
      <c r="J6642" s="1">
        <v>2.5</v>
      </c>
      <c r="K6642" s="1">
        <v>2</v>
      </c>
      <c r="L6642" s="1">
        <v>1</v>
      </c>
      <c r="M6642" s="4">
        <v>2087</v>
      </c>
      <c r="N6642" s="1">
        <v>4837</v>
      </c>
      <c r="O6642" s="1">
        <v>4904</v>
      </c>
      <c r="P6642" s="1">
        <v>67</v>
      </c>
      <c r="Q6642" s="1" t="s">
        <v>42</v>
      </c>
      <c r="S6642" s="1" t="s">
        <v>42</v>
      </c>
      <c r="T6642" s="1" t="s">
        <v>273</v>
      </c>
      <c r="U6642" s="1">
        <v>985</v>
      </c>
      <c r="V6642" s="5">
        <v>43685</v>
      </c>
      <c r="W6642" s="5">
        <v>42697</v>
      </c>
      <c r="X6642" s="1">
        <v>6875000</v>
      </c>
      <c r="Y6642" s="1">
        <v>6875000</v>
      </c>
      <c r="AA6642" s="1">
        <v>6875000</v>
      </c>
      <c r="AB6642" s="1" t="s">
        <v>275</v>
      </c>
      <c r="AC6642" s="5">
        <v>43683</v>
      </c>
      <c r="AF6642" s="1">
        <v>10001</v>
      </c>
      <c r="AJ6642" s="1">
        <v>2018</v>
      </c>
      <c r="AK6642" s="1" t="s">
        <v>46</v>
      </c>
      <c r="AL6642" s="1">
        <v>285</v>
      </c>
    </row>
    <row r="6643" spans="1:38" x14ac:dyDescent="0.2">
      <c r="A6643" s="2" t="str">
        <f>HYPERLINK("https://www.compass.com/listing/15-hudson-yards-unit-27e-manhattan-ny-10001/315123540873072385/","15 Hudson Yards, Unit 27E")</f>
        <v>15 Hudson Yards, Unit 27E</v>
      </c>
      <c r="B6643" s="2" t="str">
        <f t="shared" si="1046"/>
        <v>Fifteen Hudson Yards</v>
      </c>
      <c r="C6643" s="1" t="s">
        <v>77</v>
      </c>
      <c r="D6643" s="1" t="s">
        <v>41</v>
      </c>
      <c r="E6643" s="3">
        <v>2295000</v>
      </c>
      <c r="F6643" s="1">
        <v>2315.8425832492399</v>
      </c>
      <c r="G6643" s="1">
        <v>3</v>
      </c>
      <c r="H6643" s="1">
        <v>1</v>
      </c>
      <c r="I6643" s="1">
        <v>2</v>
      </c>
      <c r="J6643" s="1">
        <v>1.5</v>
      </c>
      <c r="K6643" s="1">
        <v>1</v>
      </c>
      <c r="L6643" s="1">
        <v>1</v>
      </c>
      <c r="M6643" s="1">
        <v>991</v>
      </c>
      <c r="N6643" s="1">
        <v>2146</v>
      </c>
      <c r="O6643" s="1">
        <v>2176</v>
      </c>
      <c r="P6643" s="1">
        <v>30</v>
      </c>
      <c r="Q6643" s="1" t="s">
        <v>42</v>
      </c>
      <c r="S6643" s="1" t="s">
        <v>42</v>
      </c>
      <c r="T6643" s="1" t="s">
        <v>273</v>
      </c>
      <c r="U6643" s="1">
        <v>1016</v>
      </c>
      <c r="V6643" s="5">
        <v>43687</v>
      </c>
      <c r="W6643" s="5">
        <v>42669</v>
      </c>
      <c r="X6643" s="1">
        <v>2295000</v>
      </c>
      <c r="Y6643" s="1">
        <v>2295000</v>
      </c>
      <c r="AA6643" s="1">
        <v>2295000</v>
      </c>
      <c r="AB6643" s="1" t="s">
        <v>275</v>
      </c>
      <c r="AC6643" s="5">
        <v>43685</v>
      </c>
      <c r="AF6643" s="1">
        <v>10001</v>
      </c>
      <c r="AJ6643" s="1">
        <v>2018</v>
      </c>
      <c r="AK6643" s="1" t="s">
        <v>46</v>
      </c>
      <c r="AL6643" s="1">
        <v>285</v>
      </c>
    </row>
    <row r="6644" spans="1:38" x14ac:dyDescent="0.2">
      <c r="A6644" s="2" t="str">
        <f>HYPERLINK("https://www.compass.com/listing/160-leroy-street-unit-10cs-manhattan-ny-10014/31540966984907889/","160 Leroy St, Unit 10CS")</f>
        <v>160 Leroy St, Unit 10CS</v>
      </c>
      <c r="B6644" s="2" t="str">
        <f>HYPERLINK("https://www.compass.com/building/160-leroy-st-manhattan-ny-10014/293418469918017093/","160 Leroy St")</f>
        <v>160 Leroy St</v>
      </c>
      <c r="C6644" s="1" t="s">
        <v>67</v>
      </c>
      <c r="D6644" s="1" t="s">
        <v>41</v>
      </c>
      <c r="E6644" s="3">
        <v>5450000</v>
      </c>
      <c r="F6644" s="1">
        <v>3315.08515815085</v>
      </c>
      <c r="M6644" s="4">
        <v>1644</v>
      </c>
      <c r="Q6644" s="1" t="s">
        <v>42</v>
      </c>
      <c r="S6644" s="1" t="s">
        <v>42</v>
      </c>
      <c r="T6644" s="1" t="s">
        <v>273</v>
      </c>
      <c r="AA6644" s="1">
        <v>5450000</v>
      </c>
      <c r="AB6644" s="1" t="s">
        <v>4874</v>
      </c>
      <c r="AC6644" s="5">
        <v>43290</v>
      </c>
      <c r="AF6644" s="1">
        <v>10014</v>
      </c>
      <c r="AI6644" s="1" t="s">
        <v>65</v>
      </c>
      <c r="AJ6644" s="1">
        <v>2017</v>
      </c>
      <c r="AK6644" s="1" t="s">
        <v>202</v>
      </c>
      <c r="AL6644" s="1">
        <v>57</v>
      </c>
    </row>
    <row r="6645" spans="1:38" x14ac:dyDescent="0.2">
      <c r="A6645" s="2" t="str">
        <f>HYPERLINK("https://www.compass.com/listing/235-west-75th-street-unit-621-manhattan-ny-10023/31572274972793137/","235 W 75th St, Unit 621")</f>
        <v>235 W 75th St, Unit 621</v>
      </c>
      <c r="B6645" s="2" t="str">
        <f t="shared" ref="B6645:B6646" si="1047">HYPERLINK("https://www.compass.com/building/the-astor-manhattan-ny/281958704155269925/","The Astor")</f>
        <v>The Astor</v>
      </c>
      <c r="C6645" s="1" t="s">
        <v>57</v>
      </c>
      <c r="D6645" s="1" t="s">
        <v>41</v>
      </c>
      <c r="E6645" s="3">
        <v>486238</v>
      </c>
      <c r="F6645" s="1">
        <v>500.759536560247</v>
      </c>
      <c r="M6645" s="1">
        <v>971</v>
      </c>
      <c r="Q6645" s="1" t="s">
        <v>42</v>
      </c>
      <c r="S6645" s="1" t="s">
        <v>42</v>
      </c>
      <c r="T6645" s="1" t="s">
        <v>273</v>
      </c>
      <c r="AA6645" s="1">
        <v>486237.51</v>
      </c>
      <c r="AB6645" s="1" t="s">
        <v>4875</v>
      </c>
      <c r="AC6645" s="5">
        <v>43264</v>
      </c>
      <c r="AF6645" s="1">
        <v>10023</v>
      </c>
      <c r="AJ6645" s="1">
        <v>2018</v>
      </c>
      <c r="AK6645" s="1" t="s">
        <v>49</v>
      </c>
      <c r="AL6645" s="1">
        <v>98</v>
      </c>
    </row>
    <row r="6646" spans="1:38" x14ac:dyDescent="0.2">
      <c r="A6646" s="2" t="str">
        <f>HYPERLINK("https://www.compass.com/listing/235-west-75th-street-unit-1126-manhattan-ny-10023/31572281423674961/","235 W 75th St, Unit 1126")</f>
        <v>235 W 75th St, Unit 1126</v>
      </c>
      <c r="B6646" s="2" t="str">
        <f t="shared" si="1047"/>
        <v>The Astor</v>
      </c>
      <c r="C6646" s="1" t="s">
        <v>57</v>
      </c>
      <c r="D6646" s="1" t="s">
        <v>41</v>
      </c>
      <c r="E6646" s="3">
        <v>720376</v>
      </c>
      <c r="F6646" s="1">
        <v>786.43698689956295</v>
      </c>
      <c r="M6646" s="1">
        <v>916</v>
      </c>
      <c r="Q6646" s="1" t="s">
        <v>42</v>
      </c>
      <c r="S6646" s="1" t="s">
        <v>42</v>
      </c>
      <c r="T6646" s="1" t="s">
        <v>273</v>
      </c>
      <c r="AA6646" s="1">
        <v>720376.28</v>
      </c>
      <c r="AB6646" s="1" t="s">
        <v>4876</v>
      </c>
      <c r="AC6646" s="5">
        <v>43264</v>
      </c>
      <c r="AF6646" s="1">
        <v>10023</v>
      </c>
      <c r="AJ6646" s="1">
        <v>2018</v>
      </c>
      <c r="AK6646" s="1" t="s">
        <v>49</v>
      </c>
      <c r="AL6646" s="1">
        <v>98</v>
      </c>
    </row>
    <row r="6647" spans="1:38" x14ac:dyDescent="0.2">
      <c r="A6647" s="2" t="str">
        <f>HYPERLINK("https://www.compass.com/listing/252-south-street-unit-30e-manhattan-ny-10002/317775254679839761/","252 South St, Unit 30E")</f>
        <v>252 South St, Unit 30E</v>
      </c>
      <c r="B6647" s="2" t="str">
        <f t="shared" ref="B6647:B6648" si="1048">HYPERLINK("https://www.compass.com/building/one-manhattan-square-manhattan-ny/294844950218926165/","One Manhattan Square")</f>
        <v>One Manhattan Square</v>
      </c>
      <c r="C6647" s="1" t="s">
        <v>47</v>
      </c>
      <c r="D6647" s="1" t="s">
        <v>41</v>
      </c>
      <c r="E6647" s="3">
        <v>2464907</v>
      </c>
      <c r="F6647" s="1">
        <v>2194.9308993766599</v>
      </c>
      <c r="M6647" s="4">
        <v>1123</v>
      </c>
      <c r="Q6647" s="1" t="s">
        <v>42</v>
      </c>
      <c r="S6647" s="1" t="s">
        <v>42</v>
      </c>
      <c r="T6647" s="1" t="s">
        <v>273</v>
      </c>
      <c r="AA6647" s="1">
        <v>2464907.4</v>
      </c>
      <c r="AB6647" s="1" t="s">
        <v>4877</v>
      </c>
      <c r="AC6647" s="5">
        <v>43641</v>
      </c>
      <c r="AF6647" s="1">
        <v>10002</v>
      </c>
      <c r="AI6647" s="1" t="s">
        <v>66</v>
      </c>
      <c r="AJ6647" s="1">
        <v>2019</v>
      </c>
      <c r="AK6647" s="1" t="s">
        <v>49</v>
      </c>
      <c r="AL6647" s="1">
        <v>787</v>
      </c>
    </row>
    <row r="6648" spans="1:38" x14ac:dyDescent="0.2">
      <c r="A6648" s="2" t="str">
        <f>HYPERLINK("https://www.compass.com/listing/252-south-street-unit-38m-manhattan-ny-10002/317775260333777505/","252 South St, Unit 38M")</f>
        <v>252 South St, Unit 38M</v>
      </c>
      <c r="B6648" s="2" t="str">
        <f t="shared" si="1048"/>
        <v>One Manhattan Square</v>
      </c>
      <c r="C6648" s="1" t="s">
        <v>47</v>
      </c>
      <c r="D6648" s="1" t="s">
        <v>41</v>
      </c>
      <c r="E6648" s="3">
        <v>1366923</v>
      </c>
      <c r="F6648" s="1">
        <v>1966.7950359712199</v>
      </c>
      <c r="M6648" s="1">
        <v>695</v>
      </c>
      <c r="Q6648" s="1" t="s">
        <v>42</v>
      </c>
      <c r="S6648" s="1" t="s">
        <v>42</v>
      </c>
      <c r="T6648" s="1" t="s">
        <v>273</v>
      </c>
      <c r="AA6648" s="1">
        <v>1366922.55</v>
      </c>
      <c r="AB6648" s="1" t="s">
        <v>4878</v>
      </c>
      <c r="AC6648" s="5">
        <v>43679</v>
      </c>
      <c r="AF6648" s="1">
        <v>10002</v>
      </c>
      <c r="AI6648" s="1" t="s">
        <v>66</v>
      </c>
      <c r="AJ6648" s="1">
        <v>2019</v>
      </c>
      <c r="AK6648" s="1" t="s">
        <v>49</v>
      </c>
      <c r="AL6648" s="1">
        <v>787</v>
      </c>
    </row>
    <row r="6649" spans="1:38" x14ac:dyDescent="0.2">
      <c r="A6649" s="2" t="str">
        <f>HYPERLINK("https://www.compass.com/listing/200-east-94th-street-unit-2414-manhattan-ny-10128/317781205206063905/","200 E 94th St, Unit 2414")</f>
        <v>200 E 94th St, Unit 2414</v>
      </c>
      <c r="B6649" s="2" t="str">
        <f>HYPERLINK("https://www.compass.com/building/carnegie-park-condominium-manhattan-ny/282049797358118613/","Carnegie Park Condominium")</f>
        <v>Carnegie Park Condominium</v>
      </c>
      <c r="C6649" s="1" t="s">
        <v>82</v>
      </c>
      <c r="D6649" s="1" t="s">
        <v>41</v>
      </c>
      <c r="E6649" s="3">
        <v>1899374</v>
      </c>
      <c r="F6649" s="1">
        <v>1783.449342723</v>
      </c>
      <c r="M6649" s="4">
        <v>1065</v>
      </c>
      <c r="Q6649" s="1" t="s">
        <v>42</v>
      </c>
      <c r="S6649" s="1" t="s">
        <v>42</v>
      </c>
      <c r="T6649" s="1" t="s">
        <v>273</v>
      </c>
      <c r="AA6649" s="1">
        <v>1899373.55</v>
      </c>
      <c r="AB6649" s="1" t="s">
        <v>4879</v>
      </c>
      <c r="AC6649" s="5">
        <v>43677</v>
      </c>
      <c r="AF6649" s="1">
        <v>10128</v>
      </c>
      <c r="AI6649" s="1" t="s">
        <v>163</v>
      </c>
      <c r="AJ6649" s="1">
        <v>1986</v>
      </c>
      <c r="AK6649" s="1" t="s">
        <v>55</v>
      </c>
      <c r="AL6649" s="1">
        <v>287</v>
      </c>
    </row>
    <row r="6650" spans="1:38" x14ac:dyDescent="0.2">
      <c r="A6650" s="2" t="str">
        <f>HYPERLINK("https://www.compass.com/listing/252-south-street-unit-25d-manhattan-ny-10002/319949619563479089/","252 South St, Unit 25D")</f>
        <v>252 South St, Unit 25D</v>
      </c>
      <c r="B6650" s="2" t="str">
        <f>HYPERLINK("https://www.compass.com/building/one-manhattan-square-manhattan-ny/294844950218926165/","One Manhattan Square")</f>
        <v>One Manhattan Square</v>
      </c>
      <c r="C6650" s="1" t="s">
        <v>47</v>
      </c>
      <c r="D6650" s="1" t="s">
        <v>41</v>
      </c>
      <c r="E6650" s="3">
        <v>2511339</v>
      </c>
      <c r="F6650" s="1">
        <v>2236.2771148708798</v>
      </c>
      <c r="M6650" s="4">
        <v>1123</v>
      </c>
      <c r="Q6650" s="1" t="s">
        <v>42</v>
      </c>
      <c r="S6650" s="1" t="s">
        <v>42</v>
      </c>
      <c r="T6650" s="1" t="s">
        <v>273</v>
      </c>
      <c r="AA6650" s="1">
        <v>2511339.2000000002</v>
      </c>
      <c r="AB6650" s="1" t="s">
        <v>4880</v>
      </c>
      <c r="AC6650" s="5">
        <v>43643</v>
      </c>
      <c r="AF6650" s="1">
        <v>10002</v>
      </c>
      <c r="AI6650" s="1" t="s">
        <v>66</v>
      </c>
      <c r="AJ6650" s="1">
        <v>2019</v>
      </c>
      <c r="AK6650" s="1" t="s">
        <v>49</v>
      </c>
      <c r="AL6650" s="1">
        <v>787</v>
      </c>
    </row>
    <row r="6651" spans="1:38" x14ac:dyDescent="0.2">
      <c r="A6651" s="2" t="str">
        <f>HYPERLINK("https://www.compass.com/listing/15-hudson-yards-unit-29b-manhattan-ny-10001/322266340844521969/","15 Hudson Yards, Unit 29B")</f>
        <v>15 Hudson Yards, Unit 29B</v>
      </c>
      <c r="B6651" s="2" t="str">
        <f>HYPERLINK("https://www.compass.com/building/fifteen-hudson-yards-manhattan-ny/282058587512011909/","Fifteen Hudson Yards")</f>
        <v>Fifteen Hudson Yards</v>
      </c>
      <c r="C6651" s="1" t="s">
        <v>77</v>
      </c>
      <c r="D6651" s="1" t="s">
        <v>41</v>
      </c>
      <c r="E6651" s="3">
        <v>2245000</v>
      </c>
      <c r="F6651" s="1">
        <v>2638.0728554641501</v>
      </c>
      <c r="G6651" s="1">
        <v>3</v>
      </c>
      <c r="H6651" s="1">
        <v>1</v>
      </c>
      <c r="I6651" s="1">
        <v>1</v>
      </c>
      <c r="J6651" s="1">
        <v>1</v>
      </c>
      <c r="K6651" s="1">
        <v>1</v>
      </c>
      <c r="M6651" s="1">
        <v>851</v>
      </c>
      <c r="N6651" s="1">
        <v>1878</v>
      </c>
      <c r="O6651" s="1">
        <v>1904</v>
      </c>
      <c r="P6651" s="1">
        <v>26</v>
      </c>
      <c r="Q6651" s="1" t="s">
        <v>42</v>
      </c>
      <c r="S6651" s="1" t="s">
        <v>42</v>
      </c>
      <c r="T6651" s="1" t="s">
        <v>273</v>
      </c>
      <c r="U6651" s="1">
        <v>63</v>
      </c>
      <c r="V6651" s="5">
        <v>43697</v>
      </c>
      <c r="W6651" s="5">
        <v>43630</v>
      </c>
      <c r="X6651" s="1">
        <v>2245000</v>
      </c>
      <c r="Y6651" s="1">
        <v>2245000</v>
      </c>
      <c r="AA6651" s="1">
        <v>2245000</v>
      </c>
      <c r="AB6651" s="1" t="s">
        <v>275</v>
      </c>
      <c r="AC6651" s="5">
        <v>43693</v>
      </c>
      <c r="AF6651" s="1">
        <v>10001</v>
      </c>
      <c r="AJ6651" s="1">
        <v>2018</v>
      </c>
      <c r="AK6651" s="1" t="s">
        <v>49</v>
      </c>
      <c r="AL6651" s="1">
        <v>285</v>
      </c>
    </row>
    <row r="6652" spans="1:38" x14ac:dyDescent="0.2">
      <c r="A6652" s="2" t="str">
        <f>HYPERLINK("https://www.compass.com/listing/252-south-street-unit-23d-manhattan-ny-10002/322848413997290337/","252 South St, Unit 23D")</f>
        <v>252 South St, Unit 23D</v>
      </c>
      <c r="B6652" s="2" t="str">
        <f t="shared" ref="B6652:B6654" si="1049">HYPERLINK("https://www.compass.com/building/one-manhattan-square-manhattan-ny/294844950218926165/","One Manhattan Square")</f>
        <v>One Manhattan Square</v>
      </c>
      <c r="C6652" s="1" t="s">
        <v>47</v>
      </c>
      <c r="D6652" s="1" t="s">
        <v>41</v>
      </c>
      <c r="E6652" s="3">
        <v>2519355</v>
      </c>
      <c r="F6652" s="1">
        <v>2243.4152983080999</v>
      </c>
      <c r="M6652" s="4">
        <v>1123</v>
      </c>
      <c r="Q6652" s="1" t="s">
        <v>42</v>
      </c>
      <c r="S6652" s="1" t="s">
        <v>42</v>
      </c>
      <c r="T6652" s="1" t="s">
        <v>273</v>
      </c>
      <c r="AA6652" s="1">
        <v>2519355.38</v>
      </c>
      <c r="AB6652" s="1" t="s">
        <v>4881</v>
      </c>
      <c r="AC6652" s="5">
        <v>43670</v>
      </c>
      <c r="AF6652" s="1">
        <v>10002</v>
      </c>
      <c r="AI6652" s="1" t="s">
        <v>66</v>
      </c>
      <c r="AJ6652" s="1">
        <v>2019</v>
      </c>
      <c r="AK6652" s="1" t="s">
        <v>49</v>
      </c>
      <c r="AL6652" s="1">
        <v>787</v>
      </c>
    </row>
    <row r="6653" spans="1:38" x14ac:dyDescent="0.2">
      <c r="A6653" s="2" t="str">
        <f>HYPERLINK("https://www.compass.com/listing/252-south-street-unit-24c-manhattan-ny-10002/322848416983634881/","252 South St, Unit 24C")</f>
        <v>252 South St, Unit 24C</v>
      </c>
      <c r="B6653" s="2" t="str">
        <f t="shared" si="1049"/>
        <v>One Manhattan Square</v>
      </c>
      <c r="C6653" s="1" t="s">
        <v>47</v>
      </c>
      <c r="D6653" s="1" t="s">
        <v>41</v>
      </c>
      <c r="E6653" s="3">
        <v>1431001</v>
      </c>
      <c r="F6653" s="1">
        <v>2058.9940719424399</v>
      </c>
      <c r="M6653" s="1">
        <v>695</v>
      </c>
      <c r="Q6653" s="1" t="s">
        <v>42</v>
      </c>
      <c r="S6653" s="1" t="s">
        <v>42</v>
      </c>
      <c r="T6653" s="1" t="s">
        <v>273</v>
      </c>
      <c r="AA6653" s="1">
        <v>1431000.88</v>
      </c>
      <c r="AB6653" s="1" t="s">
        <v>4882</v>
      </c>
      <c r="AC6653" s="5">
        <v>43623</v>
      </c>
      <c r="AF6653" s="1">
        <v>10002</v>
      </c>
      <c r="AI6653" s="1" t="s">
        <v>66</v>
      </c>
      <c r="AJ6653" s="1">
        <v>2019</v>
      </c>
      <c r="AK6653" s="1" t="s">
        <v>49</v>
      </c>
      <c r="AL6653" s="1">
        <v>787</v>
      </c>
    </row>
    <row r="6654" spans="1:38" x14ac:dyDescent="0.2">
      <c r="A6654" s="2" t="str">
        <f>HYPERLINK("https://www.compass.com/listing/252-south-street-unit-53k-manhattan-ny-10002/322848445916051313/","252 South St, Unit 53K")</f>
        <v>252 South St, Unit 53K</v>
      </c>
      <c r="B6654" s="2" t="str">
        <f t="shared" si="1049"/>
        <v>One Manhattan Square</v>
      </c>
      <c r="C6654" s="1" t="s">
        <v>47</v>
      </c>
      <c r="D6654" s="1" t="s">
        <v>41</v>
      </c>
      <c r="E6654" s="3">
        <v>2363774</v>
      </c>
      <c r="F6654" s="1">
        <v>2104.8745235974998</v>
      </c>
      <c r="M6654" s="4">
        <v>1123</v>
      </c>
      <c r="Q6654" s="1" t="s">
        <v>42</v>
      </c>
      <c r="S6654" s="1" t="s">
        <v>42</v>
      </c>
      <c r="T6654" s="1" t="s">
        <v>273</v>
      </c>
      <c r="AA6654" s="1">
        <v>2363774.09</v>
      </c>
      <c r="AB6654" s="1" t="s">
        <v>4883</v>
      </c>
      <c r="AC6654" s="5">
        <v>43685</v>
      </c>
      <c r="AF6654" s="1">
        <v>10002</v>
      </c>
      <c r="AI6654" s="1" t="s">
        <v>66</v>
      </c>
      <c r="AJ6654" s="1">
        <v>2019</v>
      </c>
      <c r="AK6654" s="1" t="s">
        <v>49</v>
      </c>
      <c r="AL6654" s="1">
        <v>787</v>
      </c>
    </row>
    <row r="6655" spans="1:38" x14ac:dyDescent="0.2">
      <c r="A6655" s="2" t="str">
        <f>HYPERLINK("https://www.compass.com/listing/15-hudson-yards-unit-78d-manhattan-ny-10001/323226272544861617/","15 Hudson Yards, Unit 78D")</f>
        <v>15 Hudson Yards, Unit 78D</v>
      </c>
      <c r="B6655" s="2" t="str">
        <f t="shared" ref="B6655:B6656" si="1050">HYPERLINK("https://www.compass.com/building/fifteen-hudson-yards-manhattan-ny/282058587512011909/","Fifteen Hudson Yards")</f>
        <v>Fifteen Hudson Yards</v>
      </c>
      <c r="C6655" s="1" t="s">
        <v>77</v>
      </c>
      <c r="D6655" s="1" t="s">
        <v>41</v>
      </c>
      <c r="E6655" s="3">
        <v>5675000</v>
      </c>
      <c r="F6655" s="1">
        <v>3270.8933717579198</v>
      </c>
      <c r="G6655" s="1">
        <v>4</v>
      </c>
      <c r="H6655" s="1">
        <v>2</v>
      </c>
      <c r="I6655" s="1">
        <v>3</v>
      </c>
      <c r="J6655" s="1">
        <v>2.5</v>
      </c>
      <c r="K6655" s="1">
        <v>2</v>
      </c>
      <c r="L6655" s="1">
        <v>1</v>
      </c>
      <c r="M6655" s="4">
        <v>1735</v>
      </c>
      <c r="N6655" s="1">
        <v>4055</v>
      </c>
      <c r="O6655" s="1">
        <v>4111</v>
      </c>
      <c r="P6655" s="1">
        <v>56</v>
      </c>
      <c r="Q6655" s="1" t="s">
        <v>42</v>
      </c>
      <c r="S6655" s="1" t="s">
        <v>42</v>
      </c>
      <c r="T6655" s="1" t="s">
        <v>273</v>
      </c>
      <c r="U6655" s="1">
        <v>1035</v>
      </c>
      <c r="V6655" s="5">
        <v>43698</v>
      </c>
      <c r="W6655" s="5">
        <v>42662</v>
      </c>
      <c r="X6655" s="1">
        <v>5675000</v>
      </c>
      <c r="Y6655" s="1">
        <v>5675000</v>
      </c>
      <c r="AA6655" s="1">
        <v>5675000</v>
      </c>
      <c r="AB6655" s="1" t="s">
        <v>275</v>
      </c>
      <c r="AC6655" s="5">
        <v>43697</v>
      </c>
      <c r="AF6655" s="1">
        <v>10001</v>
      </c>
      <c r="AJ6655" s="1">
        <v>2018</v>
      </c>
      <c r="AK6655" s="1" t="s">
        <v>49</v>
      </c>
      <c r="AL6655" s="1">
        <v>285</v>
      </c>
    </row>
    <row r="6656" spans="1:38" x14ac:dyDescent="0.2">
      <c r="A6656" s="2" t="str">
        <f>HYPERLINK("https://www.compass.com/listing/15-hudson-yards-unit-73f-manhattan-ny-10001/324441911775212129/","15 Hudson Yards, Unit 73F")</f>
        <v>15 Hudson Yards, Unit 73F</v>
      </c>
      <c r="B6656" s="2" t="str">
        <f t="shared" si="1050"/>
        <v>Fifteen Hudson Yards</v>
      </c>
      <c r="C6656" s="1" t="s">
        <v>77</v>
      </c>
      <c r="D6656" s="1" t="s">
        <v>41</v>
      </c>
      <c r="E6656" s="3">
        <v>5000000</v>
      </c>
      <c r="F6656" s="1">
        <v>2923.9766081871298</v>
      </c>
      <c r="G6656" s="1">
        <v>4</v>
      </c>
      <c r="H6656" s="1">
        <v>2</v>
      </c>
      <c r="I6656" s="1">
        <v>3</v>
      </c>
      <c r="J6656" s="1">
        <v>2.5</v>
      </c>
      <c r="K6656" s="1">
        <v>2</v>
      </c>
      <c r="L6656" s="1">
        <v>1</v>
      </c>
      <c r="M6656" s="4">
        <v>1710</v>
      </c>
      <c r="N6656" s="1">
        <v>3873</v>
      </c>
      <c r="O6656" s="1">
        <v>3927</v>
      </c>
      <c r="P6656" s="1">
        <v>54</v>
      </c>
      <c r="Q6656" s="1" t="s">
        <v>42</v>
      </c>
      <c r="S6656" s="1" t="s">
        <v>42</v>
      </c>
      <c r="T6656" s="1" t="s">
        <v>273</v>
      </c>
      <c r="U6656" s="1">
        <v>462</v>
      </c>
      <c r="V6656" s="5">
        <v>43700</v>
      </c>
      <c r="W6656" s="5">
        <v>43236</v>
      </c>
      <c r="AA6656" s="1">
        <v>5000000</v>
      </c>
      <c r="AB6656" s="1" t="s">
        <v>275</v>
      </c>
      <c r="AC6656" s="5">
        <v>43698</v>
      </c>
      <c r="AF6656" s="1">
        <v>10001</v>
      </c>
      <c r="AJ6656" s="1">
        <v>2018</v>
      </c>
      <c r="AK6656" s="1" t="s">
        <v>49</v>
      </c>
      <c r="AL6656" s="1">
        <v>285</v>
      </c>
    </row>
    <row r="6657" spans="1:38" x14ac:dyDescent="0.2">
      <c r="A6657" s="2" t="str">
        <f>HYPERLINK("https://www.compass.com/listing/111-murray-street-unit-8w-manhattan-ny-10007/324758766511504657/","111 Murray St, Unit 8W")</f>
        <v>111 Murray St, Unit 8W</v>
      </c>
      <c r="B6657" s="2" t="str">
        <f t="shared" ref="B6657:B6669" si="1051">HYPERLINK("https://www.compass.com/building/111-murray-st-manhattan-ny-10007/281896511862746053/","111 Murray St")</f>
        <v>111 Murray St</v>
      </c>
      <c r="C6657" s="1" t="s">
        <v>50</v>
      </c>
      <c r="D6657" s="1" t="s">
        <v>41</v>
      </c>
      <c r="E6657" s="3">
        <v>4650000</v>
      </c>
      <c r="F6657" s="1">
        <v>2097.4289580514201</v>
      </c>
      <c r="M6657" s="4">
        <v>2217</v>
      </c>
      <c r="Q6657" s="1" t="s">
        <v>42</v>
      </c>
      <c r="S6657" s="1" t="s">
        <v>42</v>
      </c>
      <c r="T6657" s="1" t="s">
        <v>273</v>
      </c>
      <c r="AA6657" s="1">
        <v>4650000</v>
      </c>
      <c r="AB6657" s="1" t="s">
        <v>4884</v>
      </c>
      <c r="AC6657" s="5">
        <v>43640</v>
      </c>
      <c r="AF6657" s="1">
        <v>10007</v>
      </c>
      <c r="AI6657" s="1" t="s">
        <v>80</v>
      </c>
      <c r="AJ6657" s="1">
        <v>2018</v>
      </c>
      <c r="AK6657" s="1" t="s">
        <v>49</v>
      </c>
      <c r="AL6657" s="1">
        <v>157</v>
      </c>
    </row>
    <row r="6658" spans="1:38" x14ac:dyDescent="0.2">
      <c r="A6658" s="2" t="str">
        <f>HYPERLINK("https://www.compass.com/listing/111-murray-street-unit-9c-manhattan-ny-10007/324758781141238417/","111 Murray St, Unit 9C")</f>
        <v>111 Murray St, Unit 9C</v>
      </c>
      <c r="B6658" s="2" t="str">
        <f t="shared" si="1051"/>
        <v>111 Murray St</v>
      </c>
      <c r="C6658" s="1" t="s">
        <v>50</v>
      </c>
      <c r="D6658" s="1" t="s">
        <v>41</v>
      </c>
      <c r="E6658" s="3">
        <v>2138325</v>
      </c>
      <c r="F6658" s="1">
        <v>2591.9090909090901</v>
      </c>
      <c r="M6658" s="1">
        <v>825</v>
      </c>
      <c r="Q6658" s="1" t="s">
        <v>42</v>
      </c>
      <c r="S6658" s="1" t="s">
        <v>42</v>
      </c>
      <c r="T6658" s="1" t="s">
        <v>273</v>
      </c>
      <c r="AA6658" s="1">
        <v>2138325</v>
      </c>
      <c r="AB6658" s="1" t="s">
        <v>4885</v>
      </c>
      <c r="AC6658" s="5">
        <v>43643</v>
      </c>
      <c r="AF6658" s="1">
        <v>10007</v>
      </c>
      <c r="AI6658" s="1" t="s">
        <v>80</v>
      </c>
      <c r="AJ6658" s="1">
        <v>2018</v>
      </c>
      <c r="AK6658" s="1" t="s">
        <v>49</v>
      </c>
      <c r="AL6658" s="1">
        <v>157</v>
      </c>
    </row>
    <row r="6659" spans="1:38" x14ac:dyDescent="0.2">
      <c r="A6659" s="2" t="str">
        <f>HYPERLINK("https://www.compass.com/listing/111-murray-street-unit-15d-manhattan-ny-10007/324758897650405521/","111 Murray St, Unit 15D")</f>
        <v>111 Murray St, Unit 15D</v>
      </c>
      <c r="B6659" s="2" t="str">
        <f t="shared" si="1051"/>
        <v>111 Murray St</v>
      </c>
      <c r="C6659" s="1" t="s">
        <v>50</v>
      </c>
      <c r="D6659" s="1" t="s">
        <v>41</v>
      </c>
      <c r="E6659" s="3">
        <v>995000</v>
      </c>
      <c r="F6659" s="1">
        <v>1307.4901445466401</v>
      </c>
      <c r="M6659" s="1">
        <v>761</v>
      </c>
      <c r="Q6659" s="1" t="s">
        <v>42</v>
      </c>
      <c r="S6659" s="1" t="s">
        <v>42</v>
      </c>
      <c r="T6659" s="1" t="s">
        <v>273</v>
      </c>
      <c r="AA6659" s="1">
        <v>995000</v>
      </c>
      <c r="AB6659" s="1" t="s">
        <v>4886</v>
      </c>
      <c r="AC6659" s="5">
        <v>43642</v>
      </c>
      <c r="AF6659" s="1">
        <v>10007</v>
      </c>
      <c r="AI6659" s="1" t="s">
        <v>80</v>
      </c>
      <c r="AJ6659" s="1">
        <v>2018</v>
      </c>
      <c r="AK6659" s="1" t="s">
        <v>49</v>
      </c>
      <c r="AL6659" s="1">
        <v>157</v>
      </c>
    </row>
    <row r="6660" spans="1:38" x14ac:dyDescent="0.2">
      <c r="A6660" s="2" t="str">
        <f>HYPERLINK("https://www.compass.com/listing/111-murray-street-unit-38a-manhattan-ny-10007/324759136843194321/","111 Murray St, Unit 38A")</f>
        <v>111 Murray St, Unit 38A</v>
      </c>
      <c r="B6660" s="2" t="str">
        <f t="shared" si="1051"/>
        <v>111 Murray St</v>
      </c>
      <c r="C6660" s="1" t="s">
        <v>50</v>
      </c>
      <c r="D6660" s="1" t="s">
        <v>41</v>
      </c>
      <c r="E6660" s="3">
        <v>5666375</v>
      </c>
      <c r="F6660" s="1">
        <v>2942.04309449636</v>
      </c>
      <c r="M6660" s="4">
        <v>1926</v>
      </c>
      <c r="Q6660" s="1" t="s">
        <v>42</v>
      </c>
      <c r="S6660" s="1" t="s">
        <v>42</v>
      </c>
      <c r="T6660" s="1" t="s">
        <v>273</v>
      </c>
      <c r="AA6660" s="1">
        <v>5666375</v>
      </c>
      <c r="AB6660" s="1" t="s">
        <v>4887</v>
      </c>
      <c r="AC6660" s="5">
        <v>43644</v>
      </c>
      <c r="AF6660" s="1">
        <v>10007</v>
      </c>
      <c r="AI6660" s="1" t="s">
        <v>80</v>
      </c>
      <c r="AJ6660" s="1">
        <v>2018</v>
      </c>
      <c r="AK6660" s="1" t="s">
        <v>49</v>
      </c>
      <c r="AL6660" s="1">
        <v>157</v>
      </c>
    </row>
    <row r="6661" spans="1:38" x14ac:dyDescent="0.2">
      <c r="A6661" s="2" t="str">
        <f>HYPERLINK("https://www.compass.com/listing/111-murray-street-unit-39a-manhattan-ny-10007/324759138671958961/","111 Murray St, Unit 39A")</f>
        <v>111 Murray St, Unit 39A</v>
      </c>
      <c r="B6661" s="2" t="str">
        <f t="shared" si="1051"/>
        <v>111 Murray St</v>
      </c>
      <c r="C6661" s="1" t="s">
        <v>50</v>
      </c>
      <c r="D6661" s="1" t="s">
        <v>41</v>
      </c>
      <c r="E6661" s="3">
        <v>6058588</v>
      </c>
      <c r="F6661" s="1">
        <v>3145.6840602284501</v>
      </c>
      <c r="M6661" s="4">
        <v>1926</v>
      </c>
      <c r="Q6661" s="1" t="s">
        <v>42</v>
      </c>
      <c r="S6661" s="1" t="s">
        <v>42</v>
      </c>
      <c r="T6661" s="1" t="s">
        <v>273</v>
      </c>
      <c r="AA6661" s="1">
        <v>6058587.5</v>
      </c>
      <c r="AB6661" s="1" t="s">
        <v>4888</v>
      </c>
      <c r="AC6661" s="5">
        <v>41438</v>
      </c>
      <c r="AF6661" s="1">
        <v>10007</v>
      </c>
      <c r="AI6661" s="1" t="s">
        <v>80</v>
      </c>
      <c r="AJ6661" s="1">
        <v>2018</v>
      </c>
      <c r="AK6661" s="1" t="s">
        <v>49</v>
      </c>
      <c r="AL6661" s="1">
        <v>157</v>
      </c>
    </row>
    <row r="6662" spans="1:38" x14ac:dyDescent="0.2">
      <c r="A6662" s="2" t="str">
        <f>HYPERLINK("https://www.compass.com/listing/111-murray-street-unit-43a-manhattan-ny-10007/324759180078131777/","111 Murray St, Unit 43A")</f>
        <v>111 Murray St, Unit 43A</v>
      </c>
      <c r="B6662" s="2" t="str">
        <f t="shared" si="1051"/>
        <v>111 Murray St</v>
      </c>
      <c r="C6662" s="1" t="s">
        <v>50</v>
      </c>
      <c r="D6662" s="1" t="s">
        <v>41</v>
      </c>
      <c r="E6662" s="3">
        <v>6368000</v>
      </c>
      <c r="F6662" s="1">
        <v>3306.3343717549301</v>
      </c>
      <c r="M6662" s="4">
        <v>1926</v>
      </c>
      <c r="Q6662" s="1" t="s">
        <v>42</v>
      </c>
      <c r="S6662" s="1" t="s">
        <v>42</v>
      </c>
      <c r="T6662" s="1" t="s">
        <v>273</v>
      </c>
      <c r="AA6662" s="1">
        <v>6368000</v>
      </c>
      <c r="AB6662" s="1" t="s">
        <v>4889</v>
      </c>
      <c r="AC6662" s="5">
        <v>43621</v>
      </c>
      <c r="AF6662" s="1">
        <v>10007</v>
      </c>
      <c r="AI6662" s="1" t="s">
        <v>80</v>
      </c>
      <c r="AJ6662" s="1">
        <v>2018</v>
      </c>
      <c r="AK6662" s="1" t="s">
        <v>49</v>
      </c>
      <c r="AL6662" s="1">
        <v>157</v>
      </c>
    </row>
    <row r="6663" spans="1:38" x14ac:dyDescent="0.2">
      <c r="A6663" s="2" t="str">
        <f>HYPERLINK("https://www.compass.com/listing/111-murray-street-unit-46e-manhattan-ny-10007/324759207416607569/","111 Murray St, Unit 46E")</f>
        <v>111 Murray St, Unit 46E</v>
      </c>
      <c r="B6663" s="2" t="str">
        <f t="shared" si="1051"/>
        <v>111 Murray St</v>
      </c>
      <c r="C6663" s="1" t="s">
        <v>50</v>
      </c>
      <c r="D6663" s="1" t="s">
        <v>41</v>
      </c>
      <c r="E6663" s="3">
        <v>8904596</v>
      </c>
      <c r="F6663" s="1">
        <v>3143.16846099541</v>
      </c>
      <c r="M6663" s="4">
        <v>2833</v>
      </c>
      <c r="Q6663" s="1" t="s">
        <v>42</v>
      </c>
      <c r="S6663" s="1" t="s">
        <v>42</v>
      </c>
      <c r="T6663" s="1" t="s">
        <v>273</v>
      </c>
      <c r="AA6663" s="1">
        <v>8904596.25</v>
      </c>
      <c r="AB6663" s="1" t="s">
        <v>4890</v>
      </c>
      <c r="AC6663" s="5">
        <v>43643</v>
      </c>
      <c r="AF6663" s="1">
        <v>10007</v>
      </c>
      <c r="AI6663" s="1" t="s">
        <v>80</v>
      </c>
      <c r="AJ6663" s="1">
        <v>2018</v>
      </c>
      <c r="AK6663" s="1" t="s">
        <v>49</v>
      </c>
      <c r="AL6663" s="1">
        <v>157</v>
      </c>
    </row>
    <row r="6664" spans="1:38" x14ac:dyDescent="0.2">
      <c r="A6664" s="2" t="str">
        <f>HYPERLINK("https://www.compass.com/listing/111-murray-street-unit-47e-manhattan-ny-10007/324759220813166433/","111 Murray St, Unit 47E")</f>
        <v>111 Murray St, Unit 47E</v>
      </c>
      <c r="B6664" s="2" t="str">
        <f t="shared" si="1051"/>
        <v>111 Murray St</v>
      </c>
      <c r="C6664" s="1" t="s">
        <v>50</v>
      </c>
      <c r="D6664" s="1" t="s">
        <v>41</v>
      </c>
      <c r="E6664" s="3">
        <v>9062425</v>
      </c>
      <c r="F6664" s="1">
        <v>3177.56837307152</v>
      </c>
      <c r="M6664" s="4">
        <v>2852</v>
      </c>
      <c r="Q6664" s="1" t="s">
        <v>42</v>
      </c>
      <c r="S6664" s="1" t="s">
        <v>42</v>
      </c>
      <c r="T6664" s="1" t="s">
        <v>273</v>
      </c>
      <c r="AA6664" s="1">
        <v>9062425</v>
      </c>
      <c r="AB6664" s="1" t="s">
        <v>4891</v>
      </c>
      <c r="AC6664" s="5">
        <v>43629</v>
      </c>
      <c r="AF6664" s="1">
        <v>10007</v>
      </c>
      <c r="AI6664" s="1" t="s">
        <v>80</v>
      </c>
      <c r="AJ6664" s="1">
        <v>2018</v>
      </c>
      <c r="AK6664" s="1" t="s">
        <v>49</v>
      </c>
      <c r="AL6664" s="1">
        <v>157</v>
      </c>
    </row>
    <row r="6665" spans="1:38" x14ac:dyDescent="0.2">
      <c r="A6665" s="2" t="str">
        <f>HYPERLINK("https://www.compass.com/listing/111-murray-street-unit-48e-manhattan-ny-10007/324759225284515553/","111 Murray St, Unit 48E")</f>
        <v>111 Murray St, Unit 48E</v>
      </c>
      <c r="B6665" s="2" t="str">
        <f t="shared" si="1051"/>
        <v>111 Murray St</v>
      </c>
      <c r="C6665" s="1" t="s">
        <v>50</v>
      </c>
      <c r="D6665" s="1" t="s">
        <v>41</v>
      </c>
      <c r="E6665" s="3">
        <v>9344368</v>
      </c>
      <c r="F6665" s="1">
        <v>3249.0846662030599</v>
      </c>
      <c r="M6665" s="4">
        <v>2876</v>
      </c>
      <c r="Q6665" s="1" t="s">
        <v>42</v>
      </c>
      <c r="S6665" s="1" t="s">
        <v>42</v>
      </c>
      <c r="T6665" s="1" t="s">
        <v>273</v>
      </c>
      <c r="AA6665" s="1">
        <v>9344367.5</v>
      </c>
      <c r="AB6665" s="1" t="s">
        <v>4892</v>
      </c>
      <c r="AC6665" s="5">
        <v>43640</v>
      </c>
      <c r="AF6665" s="1">
        <v>10007</v>
      </c>
      <c r="AI6665" s="1" t="s">
        <v>80</v>
      </c>
      <c r="AJ6665" s="1">
        <v>2018</v>
      </c>
      <c r="AK6665" s="1" t="s">
        <v>49</v>
      </c>
      <c r="AL6665" s="1">
        <v>157</v>
      </c>
    </row>
    <row r="6666" spans="1:38" x14ac:dyDescent="0.2">
      <c r="A6666" s="2" t="str">
        <f>HYPERLINK("https://www.compass.com/listing/111-murray-street-unit-49e-manhattan-ny-10007/324759235048684833/","111 Murray St, Unit 49E")</f>
        <v>111 Murray St, Unit 49E</v>
      </c>
      <c r="B6666" s="2" t="str">
        <f t="shared" si="1051"/>
        <v>111 Murray St</v>
      </c>
      <c r="C6666" s="1" t="s">
        <v>50</v>
      </c>
      <c r="D6666" s="1" t="s">
        <v>41</v>
      </c>
      <c r="E6666" s="3">
        <v>9255000</v>
      </c>
      <c r="F6666" s="1">
        <v>3191.3793103448202</v>
      </c>
      <c r="M6666" s="4">
        <v>2900</v>
      </c>
      <c r="Q6666" s="1" t="s">
        <v>42</v>
      </c>
      <c r="S6666" s="1" t="s">
        <v>42</v>
      </c>
      <c r="T6666" s="1" t="s">
        <v>273</v>
      </c>
      <c r="AA6666" s="1">
        <v>9255000</v>
      </c>
      <c r="AB6666" s="1" t="s">
        <v>4893</v>
      </c>
      <c r="AC6666" s="5">
        <v>43640</v>
      </c>
      <c r="AF6666" s="1">
        <v>10007</v>
      </c>
      <c r="AI6666" s="1" t="s">
        <v>80</v>
      </c>
      <c r="AJ6666" s="1">
        <v>2018</v>
      </c>
      <c r="AK6666" s="1" t="s">
        <v>49</v>
      </c>
      <c r="AL6666" s="1">
        <v>157</v>
      </c>
    </row>
    <row r="6667" spans="1:38" x14ac:dyDescent="0.2">
      <c r="A6667" s="2" t="str">
        <f>HYPERLINK("https://www.compass.com/listing/111-murray-street-unit-50e-manhattan-ny-10007/324759247681879761/","111 Murray St, Unit 50E")</f>
        <v>111 Murray St, Unit 50E</v>
      </c>
      <c r="B6667" s="2" t="str">
        <f t="shared" si="1051"/>
        <v>111 Murray St</v>
      </c>
      <c r="C6667" s="1" t="s">
        <v>50</v>
      </c>
      <c r="D6667" s="1" t="s">
        <v>41</v>
      </c>
      <c r="E6667" s="3">
        <v>9300000</v>
      </c>
      <c r="F6667" s="1">
        <v>3175.1451007169599</v>
      </c>
      <c r="M6667" s="4">
        <v>2929</v>
      </c>
      <c r="Q6667" s="1" t="s">
        <v>42</v>
      </c>
      <c r="S6667" s="1" t="s">
        <v>42</v>
      </c>
      <c r="T6667" s="1" t="s">
        <v>273</v>
      </c>
      <c r="AA6667" s="1">
        <v>9300000</v>
      </c>
      <c r="AB6667" s="1" t="s">
        <v>4894</v>
      </c>
      <c r="AC6667" s="5">
        <v>43641</v>
      </c>
      <c r="AF6667" s="1">
        <v>10007</v>
      </c>
      <c r="AI6667" s="1" t="s">
        <v>80</v>
      </c>
      <c r="AJ6667" s="1">
        <v>2018</v>
      </c>
      <c r="AK6667" s="1" t="s">
        <v>49</v>
      </c>
      <c r="AL6667" s="1">
        <v>157</v>
      </c>
    </row>
    <row r="6668" spans="1:38" x14ac:dyDescent="0.2">
      <c r="A6668" s="2" t="str">
        <f>HYPERLINK("https://www.compass.com/listing/111-murray-street-unit-51e-manhattan-ny-10007/324759252891428129/","111 Murray St, Unit 51E")</f>
        <v>111 Murray St, Unit 51E</v>
      </c>
      <c r="B6668" s="2" t="str">
        <f t="shared" si="1051"/>
        <v>111 Murray St</v>
      </c>
      <c r="C6668" s="1" t="s">
        <v>50</v>
      </c>
      <c r="D6668" s="1" t="s">
        <v>41</v>
      </c>
      <c r="E6668" s="3">
        <v>9625000</v>
      </c>
      <c r="F6668" s="1">
        <v>3249.49358541526</v>
      </c>
      <c r="M6668" s="4">
        <v>2962</v>
      </c>
      <c r="Q6668" s="1" t="s">
        <v>42</v>
      </c>
      <c r="S6668" s="1" t="s">
        <v>42</v>
      </c>
      <c r="T6668" s="1" t="s">
        <v>273</v>
      </c>
      <c r="AA6668" s="1">
        <v>9625000</v>
      </c>
      <c r="AB6668" s="1" t="s">
        <v>4895</v>
      </c>
      <c r="AC6668" s="5">
        <v>43643</v>
      </c>
      <c r="AF6668" s="1">
        <v>10007</v>
      </c>
      <c r="AI6668" s="1" t="s">
        <v>80</v>
      </c>
      <c r="AJ6668" s="1">
        <v>2018</v>
      </c>
      <c r="AK6668" s="1" t="s">
        <v>49</v>
      </c>
      <c r="AL6668" s="1">
        <v>157</v>
      </c>
    </row>
    <row r="6669" spans="1:38" x14ac:dyDescent="0.2">
      <c r="A6669" s="2" t="str">
        <f>HYPERLINK("https://www.compass.com/listing/111-murray-street-unit-52w-manhattan-ny-10007/324759261741056721/","111 Murray St, Unit 52W")</f>
        <v>111 Murray St, Unit 52W</v>
      </c>
      <c r="B6669" s="2" t="str">
        <f t="shared" si="1051"/>
        <v>111 Murray St</v>
      </c>
      <c r="C6669" s="1" t="s">
        <v>50</v>
      </c>
      <c r="D6669" s="1" t="s">
        <v>41</v>
      </c>
      <c r="E6669" s="3">
        <v>14450000</v>
      </c>
      <c r="F6669" s="1">
        <v>4373.4866828087097</v>
      </c>
      <c r="M6669" s="4">
        <v>3304</v>
      </c>
      <c r="Q6669" s="1" t="s">
        <v>42</v>
      </c>
      <c r="S6669" s="1" t="s">
        <v>42</v>
      </c>
      <c r="T6669" s="1" t="s">
        <v>273</v>
      </c>
      <c r="AA6669" s="1">
        <v>14450000</v>
      </c>
      <c r="AB6669" s="1" t="s">
        <v>4896</v>
      </c>
      <c r="AC6669" s="5">
        <v>43644</v>
      </c>
      <c r="AF6669" s="1">
        <v>10007</v>
      </c>
      <c r="AI6669" s="1" t="s">
        <v>80</v>
      </c>
      <c r="AJ6669" s="1">
        <v>2018</v>
      </c>
      <c r="AK6669" s="1" t="s">
        <v>49</v>
      </c>
      <c r="AL6669" s="1">
        <v>157</v>
      </c>
    </row>
    <row r="6670" spans="1:38" x14ac:dyDescent="0.2">
      <c r="A6670" s="2" t="str">
        <f>HYPERLINK("https://www.compass.com/listing/252-south-street-unit-16c-manhattan-ny-10002/324786757333497521/","252 South St, Unit 16C")</f>
        <v>252 South St, Unit 16C</v>
      </c>
      <c r="B6670" s="2" t="str">
        <f t="shared" ref="B6670:B6689" si="1052">HYPERLINK("https://www.compass.com/building/one-manhattan-square-manhattan-ny/294844950218926165/","One Manhattan Square")</f>
        <v>One Manhattan Square</v>
      </c>
      <c r="C6670" s="1" t="s">
        <v>47</v>
      </c>
      <c r="D6670" s="1" t="s">
        <v>41</v>
      </c>
      <c r="E6670" s="3">
        <v>1307973</v>
      </c>
      <c r="F6670" s="1">
        <v>1881.9748920863301</v>
      </c>
      <c r="M6670" s="1">
        <v>695</v>
      </c>
      <c r="Q6670" s="1" t="s">
        <v>42</v>
      </c>
      <c r="S6670" s="1" t="s">
        <v>42</v>
      </c>
      <c r="T6670" s="1" t="s">
        <v>273</v>
      </c>
      <c r="AA6670" s="1">
        <v>1307972.55</v>
      </c>
      <c r="AB6670" s="1" t="s">
        <v>4897</v>
      </c>
      <c r="AC6670" s="5">
        <v>43560</v>
      </c>
      <c r="AF6670" s="1">
        <v>10002</v>
      </c>
      <c r="AI6670" s="1" t="s">
        <v>66</v>
      </c>
      <c r="AJ6670" s="1">
        <v>2019</v>
      </c>
      <c r="AK6670" s="1" t="s">
        <v>49</v>
      </c>
      <c r="AL6670" s="1">
        <v>787</v>
      </c>
    </row>
    <row r="6671" spans="1:38" x14ac:dyDescent="0.2">
      <c r="A6671" s="2" t="str">
        <f>HYPERLINK("https://www.compass.com/listing/252-south-street-unit-17b-manhattan-ny-10002/324786776710932129/","252 South St, Unit 17B")</f>
        <v>252 South St, Unit 17B</v>
      </c>
      <c r="B6671" s="2" t="str">
        <f t="shared" si="1052"/>
        <v>One Manhattan Square</v>
      </c>
      <c r="C6671" s="1" t="s">
        <v>47</v>
      </c>
      <c r="D6671" s="1" t="s">
        <v>41</v>
      </c>
      <c r="E6671" s="3">
        <v>1381846</v>
      </c>
      <c r="F6671" s="1">
        <v>1985.4114798850501</v>
      </c>
      <c r="M6671" s="1">
        <v>696</v>
      </c>
      <c r="Q6671" s="1" t="s">
        <v>42</v>
      </c>
      <c r="S6671" s="1" t="s">
        <v>42</v>
      </c>
      <c r="T6671" s="1" t="s">
        <v>273</v>
      </c>
      <c r="AA6671" s="1">
        <v>1381846.39</v>
      </c>
      <c r="AB6671" s="1" t="s">
        <v>4898</v>
      </c>
      <c r="AC6671" s="5">
        <v>43643</v>
      </c>
      <c r="AF6671" s="1">
        <v>10002</v>
      </c>
      <c r="AI6671" s="1" t="s">
        <v>66</v>
      </c>
      <c r="AJ6671" s="1">
        <v>2019</v>
      </c>
      <c r="AK6671" s="1" t="s">
        <v>49</v>
      </c>
      <c r="AL6671" s="1">
        <v>787</v>
      </c>
    </row>
    <row r="6672" spans="1:38" x14ac:dyDescent="0.2">
      <c r="A6672" s="2" t="str">
        <f>HYPERLINK("https://www.compass.com/listing/252-south-street-unit-25c-manhattan-ny-10002/324786939349283281/","252 South St, Unit 25C")</f>
        <v>252 South St, Unit 25C</v>
      </c>
      <c r="B6672" s="2" t="str">
        <f t="shared" si="1052"/>
        <v>One Manhattan Square</v>
      </c>
      <c r="C6672" s="1" t="s">
        <v>47</v>
      </c>
      <c r="D6672" s="1" t="s">
        <v>41</v>
      </c>
      <c r="E6672" s="3">
        <v>1426954</v>
      </c>
      <c r="F6672" s="1">
        <v>2053.1707338129399</v>
      </c>
      <c r="M6672" s="1">
        <v>695</v>
      </c>
      <c r="Q6672" s="1" t="s">
        <v>42</v>
      </c>
      <c r="S6672" s="1" t="s">
        <v>42</v>
      </c>
      <c r="T6672" s="1" t="s">
        <v>273</v>
      </c>
      <c r="AA6672" s="1">
        <v>1426953.66</v>
      </c>
      <c r="AB6672" s="1" t="s">
        <v>4899</v>
      </c>
      <c r="AC6672" s="5">
        <v>43630</v>
      </c>
      <c r="AF6672" s="1">
        <v>10002</v>
      </c>
      <c r="AI6672" s="1" t="s">
        <v>66</v>
      </c>
      <c r="AJ6672" s="1">
        <v>2019</v>
      </c>
      <c r="AK6672" s="1" t="s">
        <v>49</v>
      </c>
      <c r="AL6672" s="1">
        <v>787</v>
      </c>
    </row>
    <row r="6673" spans="1:38" x14ac:dyDescent="0.2">
      <c r="A6673" s="2" t="str">
        <f>HYPERLINK("https://www.compass.com/listing/252-south-street-unit-26c-manhattan-ny-10002/324787001894749153/","252 South St, Unit 26C")</f>
        <v>252 South St, Unit 26C</v>
      </c>
      <c r="B6673" s="2" t="str">
        <f t="shared" si="1052"/>
        <v>One Manhattan Square</v>
      </c>
      <c r="C6673" s="1" t="s">
        <v>47</v>
      </c>
      <c r="D6673" s="1" t="s">
        <v>41</v>
      </c>
      <c r="E6673" s="3">
        <v>1426954</v>
      </c>
      <c r="F6673" s="1">
        <v>2053.1707338129399</v>
      </c>
      <c r="M6673" s="1">
        <v>695</v>
      </c>
      <c r="Q6673" s="1" t="s">
        <v>42</v>
      </c>
      <c r="S6673" s="1" t="s">
        <v>42</v>
      </c>
      <c r="T6673" s="1" t="s">
        <v>273</v>
      </c>
      <c r="AA6673" s="1">
        <v>1426953.66</v>
      </c>
      <c r="AB6673" s="1" t="s">
        <v>4900</v>
      </c>
      <c r="AC6673" s="5">
        <v>43627</v>
      </c>
      <c r="AF6673" s="1">
        <v>10002</v>
      </c>
      <c r="AI6673" s="1" t="s">
        <v>66</v>
      </c>
      <c r="AJ6673" s="1">
        <v>2019</v>
      </c>
      <c r="AK6673" s="1" t="s">
        <v>49</v>
      </c>
      <c r="AL6673" s="1">
        <v>787</v>
      </c>
    </row>
    <row r="6674" spans="1:38" x14ac:dyDescent="0.2">
      <c r="A6674" s="2" t="str">
        <f>HYPERLINK("https://www.compass.com/listing/252-south-street-unit-26d-manhattan-ny-10002/324787002683371169/","252 South St, Unit 26D")</f>
        <v>252 South St, Unit 26D</v>
      </c>
      <c r="B6674" s="2" t="str">
        <f t="shared" si="1052"/>
        <v>One Manhattan Square</v>
      </c>
      <c r="C6674" s="1" t="s">
        <v>47</v>
      </c>
      <c r="D6674" s="1" t="s">
        <v>41</v>
      </c>
      <c r="E6674" s="3">
        <v>2511339</v>
      </c>
      <c r="F6674" s="1">
        <v>2236.2771148708798</v>
      </c>
      <c r="M6674" s="4">
        <v>1123</v>
      </c>
      <c r="Q6674" s="1" t="s">
        <v>42</v>
      </c>
      <c r="S6674" s="1" t="s">
        <v>42</v>
      </c>
      <c r="T6674" s="1" t="s">
        <v>273</v>
      </c>
      <c r="AA6674" s="1">
        <v>2511339.2000000002</v>
      </c>
      <c r="AB6674" s="1" t="s">
        <v>4901</v>
      </c>
      <c r="AC6674" s="5">
        <v>43642</v>
      </c>
      <c r="AF6674" s="1">
        <v>10002</v>
      </c>
      <c r="AI6674" s="1" t="s">
        <v>66</v>
      </c>
      <c r="AJ6674" s="1">
        <v>2019</v>
      </c>
      <c r="AK6674" s="1" t="s">
        <v>49</v>
      </c>
      <c r="AL6674" s="1">
        <v>787</v>
      </c>
    </row>
    <row r="6675" spans="1:38" x14ac:dyDescent="0.2">
      <c r="A6675" s="2" t="str">
        <f>HYPERLINK("https://www.compass.com/listing/252-south-street-unit-27k-manhattan-ny-10002/324787057595203809/","252 South St, Unit 27K")</f>
        <v>252 South St, Unit 27K</v>
      </c>
      <c r="B6675" s="2" t="str">
        <f t="shared" si="1052"/>
        <v>One Manhattan Square</v>
      </c>
      <c r="C6675" s="1" t="s">
        <v>47</v>
      </c>
      <c r="D6675" s="1" t="s">
        <v>41</v>
      </c>
      <c r="E6675" s="3">
        <v>1278952</v>
      </c>
      <c r="F6675" s="1">
        <v>1840.2193237409999</v>
      </c>
      <c r="M6675" s="1">
        <v>695</v>
      </c>
      <c r="Q6675" s="1" t="s">
        <v>42</v>
      </c>
      <c r="S6675" s="1" t="s">
        <v>42</v>
      </c>
      <c r="T6675" s="1" t="s">
        <v>273</v>
      </c>
      <c r="AA6675" s="1">
        <v>1278952.43</v>
      </c>
      <c r="AB6675" s="1" t="s">
        <v>4902</v>
      </c>
      <c r="AC6675" s="5">
        <v>43620</v>
      </c>
      <c r="AF6675" s="1">
        <v>10002</v>
      </c>
      <c r="AI6675" s="1" t="s">
        <v>66</v>
      </c>
      <c r="AJ6675" s="1">
        <v>2019</v>
      </c>
      <c r="AK6675" s="1" t="s">
        <v>49</v>
      </c>
      <c r="AL6675" s="1">
        <v>787</v>
      </c>
    </row>
    <row r="6676" spans="1:38" x14ac:dyDescent="0.2">
      <c r="A6676" s="2" t="str">
        <f>HYPERLINK("https://www.compass.com/listing/252-south-street-unit-27n-manhattan-ny-10002/324787058425835601/","252 South St, Unit 27N")</f>
        <v>252 South St, Unit 27N</v>
      </c>
      <c r="B6676" s="2" t="str">
        <f t="shared" si="1052"/>
        <v>One Manhattan Square</v>
      </c>
      <c r="C6676" s="1" t="s">
        <v>47</v>
      </c>
      <c r="D6676" s="1" t="s">
        <v>41</v>
      </c>
      <c r="E6676" s="3">
        <v>1374719</v>
      </c>
      <c r="F6676" s="1">
        <v>1978.0124316546701</v>
      </c>
      <c r="M6676" s="1">
        <v>695</v>
      </c>
      <c r="Q6676" s="1" t="s">
        <v>42</v>
      </c>
      <c r="S6676" s="1" t="s">
        <v>42</v>
      </c>
      <c r="T6676" s="1" t="s">
        <v>273</v>
      </c>
      <c r="AA6676" s="1">
        <v>1374718.64</v>
      </c>
      <c r="AB6676" s="1" t="s">
        <v>4903</v>
      </c>
      <c r="AC6676" s="5">
        <v>43642</v>
      </c>
      <c r="AF6676" s="1">
        <v>10002</v>
      </c>
      <c r="AI6676" s="1" t="s">
        <v>66</v>
      </c>
      <c r="AJ6676" s="1">
        <v>2019</v>
      </c>
      <c r="AK6676" s="1" t="s">
        <v>49</v>
      </c>
      <c r="AL6676" s="1">
        <v>787</v>
      </c>
    </row>
    <row r="6677" spans="1:38" x14ac:dyDescent="0.2">
      <c r="A6677" s="2" t="str">
        <f>HYPERLINK("https://www.compass.com/listing/252-south-street-unit-28j-manhattan-ny-10002/324787092860914097/","252 South St, Unit 28J")</f>
        <v>252 South St, Unit 28J</v>
      </c>
      <c r="B6677" s="2" t="str">
        <f t="shared" si="1052"/>
        <v>One Manhattan Square</v>
      </c>
      <c r="C6677" s="1" t="s">
        <v>47</v>
      </c>
      <c r="D6677" s="1" t="s">
        <v>41</v>
      </c>
      <c r="E6677" s="3">
        <v>1285723</v>
      </c>
      <c r="F6677" s="1">
        <v>1847.30343390804</v>
      </c>
      <c r="M6677" s="1">
        <v>696</v>
      </c>
      <c r="Q6677" s="1" t="s">
        <v>42</v>
      </c>
      <c r="S6677" s="1" t="s">
        <v>42</v>
      </c>
      <c r="T6677" s="1" t="s">
        <v>273</v>
      </c>
      <c r="AA6677" s="1">
        <v>1285723.19</v>
      </c>
      <c r="AB6677" s="1" t="s">
        <v>4904</v>
      </c>
      <c r="AC6677" s="5">
        <v>43627</v>
      </c>
      <c r="AF6677" s="1">
        <v>10002</v>
      </c>
      <c r="AI6677" s="1" t="s">
        <v>66</v>
      </c>
      <c r="AJ6677" s="1">
        <v>2019</v>
      </c>
      <c r="AK6677" s="1" t="s">
        <v>49</v>
      </c>
      <c r="AL6677" s="1">
        <v>787</v>
      </c>
    </row>
    <row r="6678" spans="1:38" x14ac:dyDescent="0.2">
      <c r="A6678" s="2" t="str">
        <f>HYPERLINK("https://www.compass.com/listing/252-south-street-unit-29g-manhattan-ny-10002/324787139115607361/","252 South St, Unit 29G")</f>
        <v>252 South St, Unit 29G</v>
      </c>
      <c r="B6678" s="2" t="str">
        <f t="shared" si="1052"/>
        <v>One Manhattan Square</v>
      </c>
      <c r="C6678" s="1" t="s">
        <v>47</v>
      </c>
      <c r="D6678" s="1" t="s">
        <v>41</v>
      </c>
      <c r="E6678" s="3">
        <v>1200745</v>
      </c>
      <c r="F6678" s="1">
        <v>1660.78139695712</v>
      </c>
      <c r="M6678" s="1">
        <v>723</v>
      </c>
      <c r="Q6678" s="1" t="s">
        <v>42</v>
      </c>
      <c r="S6678" s="1" t="s">
        <v>42</v>
      </c>
      <c r="T6678" s="1" t="s">
        <v>273</v>
      </c>
      <c r="AA6678" s="1">
        <v>1200744.95</v>
      </c>
      <c r="AB6678" s="1" t="s">
        <v>4905</v>
      </c>
      <c r="AC6678" s="5">
        <v>43643</v>
      </c>
      <c r="AF6678" s="1">
        <v>10002</v>
      </c>
      <c r="AI6678" s="1" t="s">
        <v>66</v>
      </c>
      <c r="AJ6678" s="1">
        <v>2019</v>
      </c>
      <c r="AK6678" s="1" t="s">
        <v>49</v>
      </c>
      <c r="AL6678" s="1">
        <v>787</v>
      </c>
    </row>
    <row r="6679" spans="1:38" x14ac:dyDescent="0.2">
      <c r="A6679" s="2" t="str">
        <f>HYPERLINK("https://www.compass.com/listing/252-south-street-unit-29p-manhattan-ny-10002/324787158552106337/","252 South St, Unit 29P")</f>
        <v>252 South St, Unit 29P</v>
      </c>
      <c r="B6679" s="2" t="str">
        <f t="shared" si="1052"/>
        <v>One Manhattan Square</v>
      </c>
      <c r="C6679" s="1" t="s">
        <v>47</v>
      </c>
      <c r="D6679" s="1" t="s">
        <v>41</v>
      </c>
      <c r="E6679" s="3">
        <v>1294725</v>
      </c>
      <c r="F6679" s="1">
        <v>1790.7678561549101</v>
      </c>
      <c r="M6679" s="1">
        <v>723</v>
      </c>
      <c r="Q6679" s="1" t="s">
        <v>42</v>
      </c>
      <c r="S6679" s="1" t="s">
        <v>42</v>
      </c>
      <c r="T6679" s="1" t="s">
        <v>273</v>
      </c>
      <c r="AA6679" s="1">
        <v>1294725.1599999999</v>
      </c>
      <c r="AB6679" s="1" t="s">
        <v>4906</v>
      </c>
      <c r="AC6679" s="5">
        <v>43629</v>
      </c>
      <c r="AF6679" s="1">
        <v>10002</v>
      </c>
      <c r="AI6679" s="1" t="s">
        <v>66</v>
      </c>
      <c r="AJ6679" s="1">
        <v>2019</v>
      </c>
      <c r="AK6679" s="1" t="s">
        <v>49</v>
      </c>
      <c r="AL6679" s="1">
        <v>787</v>
      </c>
    </row>
    <row r="6680" spans="1:38" x14ac:dyDescent="0.2">
      <c r="A6680" s="2" t="str">
        <f>HYPERLINK("https://www.compass.com/listing/252-south-street-unit-35m-manhattan-ny-10002/324787224755164097/","252 South St, Unit 35M")</f>
        <v>252 South St, Unit 35M</v>
      </c>
      <c r="B6680" s="2" t="str">
        <f t="shared" si="1052"/>
        <v>One Manhattan Square</v>
      </c>
      <c r="C6680" s="1" t="s">
        <v>47</v>
      </c>
      <c r="D6680" s="1" t="s">
        <v>41</v>
      </c>
      <c r="E6680" s="3">
        <v>1381082</v>
      </c>
      <c r="F6680" s="1">
        <v>1987.16791366906</v>
      </c>
      <c r="M6680" s="1">
        <v>695</v>
      </c>
      <c r="Q6680" s="1" t="s">
        <v>42</v>
      </c>
      <c r="S6680" s="1" t="s">
        <v>42</v>
      </c>
      <c r="T6680" s="1" t="s">
        <v>273</v>
      </c>
      <c r="AA6680" s="1">
        <v>1381081.7</v>
      </c>
      <c r="AB6680" s="1" t="s">
        <v>4907</v>
      </c>
      <c r="AC6680" s="5">
        <v>43642</v>
      </c>
      <c r="AF6680" s="1">
        <v>10002</v>
      </c>
      <c r="AI6680" s="1" t="s">
        <v>66</v>
      </c>
      <c r="AJ6680" s="1">
        <v>2019</v>
      </c>
      <c r="AK6680" s="1" t="s">
        <v>49</v>
      </c>
      <c r="AL6680" s="1">
        <v>787</v>
      </c>
    </row>
    <row r="6681" spans="1:38" x14ac:dyDescent="0.2">
      <c r="A6681" s="2" t="str">
        <f>HYPERLINK("https://www.compass.com/listing/252-south-street-unit-36m-manhattan-ny-10002/324787257789503537/","252 South St, Unit 36M")</f>
        <v>252 South St, Unit 36M</v>
      </c>
      <c r="B6681" s="2" t="str">
        <f t="shared" si="1052"/>
        <v>One Manhattan Square</v>
      </c>
      <c r="C6681" s="1" t="s">
        <v>47</v>
      </c>
      <c r="D6681" s="1" t="s">
        <v>41</v>
      </c>
      <c r="E6681" s="3">
        <v>1405842</v>
      </c>
      <c r="F6681" s="1">
        <v>2022.79402877697</v>
      </c>
      <c r="M6681" s="1">
        <v>695</v>
      </c>
      <c r="Q6681" s="1" t="s">
        <v>42</v>
      </c>
      <c r="S6681" s="1" t="s">
        <v>42</v>
      </c>
      <c r="T6681" s="1" t="s">
        <v>273</v>
      </c>
      <c r="AA6681" s="1">
        <v>1405841.85</v>
      </c>
      <c r="AB6681" s="1" t="s">
        <v>4908</v>
      </c>
      <c r="AC6681" s="5">
        <v>43641</v>
      </c>
      <c r="AF6681" s="1">
        <v>10002</v>
      </c>
      <c r="AI6681" s="1" t="s">
        <v>66</v>
      </c>
      <c r="AJ6681" s="1">
        <v>2019</v>
      </c>
      <c r="AK6681" s="1" t="s">
        <v>49</v>
      </c>
      <c r="AL6681" s="1">
        <v>787</v>
      </c>
    </row>
    <row r="6682" spans="1:38" x14ac:dyDescent="0.2">
      <c r="A6682" s="2" t="str">
        <f>HYPERLINK("https://www.compass.com/listing/252-south-street-unit-36n-manhattan-ny-10002/324787269432638545/","252 South St, Unit 36N")</f>
        <v>252 South St, Unit 36N</v>
      </c>
      <c r="B6682" s="2" t="str">
        <f t="shared" si="1052"/>
        <v>One Manhattan Square</v>
      </c>
      <c r="C6682" s="1" t="s">
        <v>47</v>
      </c>
      <c r="D6682" s="1" t="s">
        <v>41</v>
      </c>
      <c r="E6682" s="3">
        <v>1361293</v>
      </c>
      <c r="F6682" s="1">
        <v>1882.8392807745499</v>
      </c>
      <c r="M6682" s="1">
        <v>723</v>
      </c>
      <c r="Q6682" s="1" t="s">
        <v>42</v>
      </c>
      <c r="S6682" s="1" t="s">
        <v>42</v>
      </c>
      <c r="T6682" s="1" t="s">
        <v>273</v>
      </c>
      <c r="AA6682" s="1">
        <v>1361292.8</v>
      </c>
      <c r="AB6682" s="1" t="s">
        <v>4909</v>
      </c>
      <c r="AC6682" s="5">
        <v>43641</v>
      </c>
      <c r="AF6682" s="1">
        <v>10002</v>
      </c>
      <c r="AI6682" s="1" t="s">
        <v>66</v>
      </c>
      <c r="AJ6682" s="1">
        <v>2019</v>
      </c>
      <c r="AK6682" s="1" t="s">
        <v>49</v>
      </c>
      <c r="AL6682" s="1">
        <v>787</v>
      </c>
    </row>
    <row r="6683" spans="1:38" x14ac:dyDescent="0.2">
      <c r="A6683" s="2" t="str">
        <f>HYPERLINK("https://www.compass.com/listing/252-south-street-unit-37m-manhattan-ny-10002/324787270657629057/","252 South St, Unit 37M")</f>
        <v>252 South St, Unit 37M</v>
      </c>
      <c r="B6683" s="2" t="str">
        <f t="shared" si="1052"/>
        <v>One Manhattan Square</v>
      </c>
      <c r="C6683" s="1" t="s">
        <v>47</v>
      </c>
      <c r="D6683" s="1" t="s">
        <v>41</v>
      </c>
      <c r="E6683" s="3">
        <v>1389514</v>
      </c>
      <c r="F6683" s="1">
        <v>1999.30027338129</v>
      </c>
      <c r="M6683" s="1">
        <v>695</v>
      </c>
      <c r="Q6683" s="1" t="s">
        <v>42</v>
      </c>
      <c r="S6683" s="1" t="s">
        <v>42</v>
      </c>
      <c r="T6683" s="1" t="s">
        <v>273</v>
      </c>
      <c r="AA6683" s="1">
        <v>1389513.69</v>
      </c>
      <c r="AB6683" s="1" t="s">
        <v>4910</v>
      </c>
      <c r="AC6683" s="5">
        <v>43648</v>
      </c>
      <c r="AF6683" s="1">
        <v>10002</v>
      </c>
      <c r="AI6683" s="1" t="s">
        <v>66</v>
      </c>
      <c r="AJ6683" s="1">
        <v>2019</v>
      </c>
      <c r="AK6683" s="1" t="s">
        <v>49</v>
      </c>
      <c r="AL6683" s="1">
        <v>787</v>
      </c>
    </row>
    <row r="6684" spans="1:38" x14ac:dyDescent="0.2">
      <c r="A6684" s="2" t="str">
        <f>HYPERLINK("https://www.compass.com/listing/252-south-street-unit-38c-manhattan-ny-10002/324787285580963441/","252 South St, Unit 38C")</f>
        <v>252 South St, Unit 38C</v>
      </c>
      <c r="B6684" s="2" t="str">
        <f t="shared" si="1052"/>
        <v>One Manhattan Square</v>
      </c>
      <c r="C6684" s="1" t="s">
        <v>47</v>
      </c>
      <c r="D6684" s="1" t="s">
        <v>41</v>
      </c>
      <c r="E6684" s="3">
        <v>3645059</v>
      </c>
      <c r="F6684" s="1">
        <v>2451.28389374579</v>
      </c>
      <c r="M6684" s="4">
        <v>1487</v>
      </c>
      <c r="Q6684" s="1" t="s">
        <v>42</v>
      </c>
      <c r="S6684" s="1" t="s">
        <v>42</v>
      </c>
      <c r="T6684" s="1" t="s">
        <v>273</v>
      </c>
      <c r="AA6684" s="1">
        <v>3645059.15</v>
      </c>
      <c r="AB6684" s="1" t="s">
        <v>4911</v>
      </c>
      <c r="AC6684" s="5">
        <v>43637</v>
      </c>
      <c r="AF6684" s="1">
        <v>10002</v>
      </c>
      <c r="AI6684" s="1" t="s">
        <v>66</v>
      </c>
      <c r="AJ6684" s="1">
        <v>2019</v>
      </c>
      <c r="AK6684" s="1" t="s">
        <v>49</v>
      </c>
      <c r="AL6684" s="1">
        <v>787</v>
      </c>
    </row>
    <row r="6685" spans="1:38" x14ac:dyDescent="0.2">
      <c r="A6685" s="2" t="str">
        <f>HYPERLINK("https://www.compass.com/listing/252-south-street-unit-43j-manhattan-ny-10002/324787365893345409/","252 South St, Unit 43J")</f>
        <v>252 South St, Unit 43J</v>
      </c>
      <c r="B6685" s="2" t="str">
        <f t="shared" si="1052"/>
        <v>One Manhattan Square</v>
      </c>
      <c r="C6685" s="1" t="s">
        <v>47</v>
      </c>
      <c r="D6685" s="1" t="s">
        <v>41</v>
      </c>
      <c r="E6685" s="3">
        <v>1408511</v>
      </c>
      <c r="F6685" s="1">
        <v>2026.63388489208</v>
      </c>
      <c r="M6685" s="1">
        <v>695</v>
      </c>
      <c r="Q6685" s="1" t="s">
        <v>42</v>
      </c>
      <c r="S6685" s="1" t="s">
        <v>42</v>
      </c>
      <c r="T6685" s="1" t="s">
        <v>273</v>
      </c>
      <c r="AA6685" s="1">
        <v>1408510.55</v>
      </c>
      <c r="AB6685" s="1" t="s">
        <v>4912</v>
      </c>
      <c r="AC6685" s="5">
        <v>43622</v>
      </c>
      <c r="AF6685" s="1">
        <v>10002</v>
      </c>
      <c r="AI6685" s="1" t="s">
        <v>66</v>
      </c>
      <c r="AJ6685" s="1">
        <v>2019</v>
      </c>
      <c r="AK6685" s="1" t="s">
        <v>49</v>
      </c>
      <c r="AL6685" s="1">
        <v>787</v>
      </c>
    </row>
    <row r="6686" spans="1:38" x14ac:dyDescent="0.2">
      <c r="A6686" s="2" t="str">
        <f>HYPERLINK("https://www.compass.com/listing/252-south-street-unit-46f-manhattan-ny-10002/324787384784265873/","252 South St, Unit 46F")</f>
        <v>252 South St, Unit 46F</v>
      </c>
      <c r="B6686" s="2" t="str">
        <f t="shared" si="1052"/>
        <v>One Manhattan Square</v>
      </c>
      <c r="C6686" s="1" t="s">
        <v>47</v>
      </c>
      <c r="D6686" s="1" t="s">
        <v>41</v>
      </c>
      <c r="E6686" s="3">
        <v>1336025</v>
      </c>
      <c r="F6686" s="1">
        <v>1850.4503324099701</v>
      </c>
      <c r="M6686" s="1">
        <v>722</v>
      </c>
      <c r="Q6686" s="1" t="s">
        <v>42</v>
      </c>
      <c r="S6686" s="1" t="s">
        <v>42</v>
      </c>
      <c r="T6686" s="1" t="s">
        <v>273</v>
      </c>
      <c r="AA6686" s="1">
        <v>1336025.1399999999</v>
      </c>
      <c r="AB6686" s="1" t="s">
        <v>4913</v>
      </c>
      <c r="AC6686" s="5">
        <v>43668</v>
      </c>
      <c r="AF6686" s="1">
        <v>10002</v>
      </c>
      <c r="AI6686" s="1" t="s">
        <v>66</v>
      </c>
      <c r="AJ6686" s="1">
        <v>2019</v>
      </c>
      <c r="AK6686" s="1" t="s">
        <v>49</v>
      </c>
      <c r="AL6686" s="1">
        <v>787</v>
      </c>
    </row>
    <row r="6687" spans="1:38" x14ac:dyDescent="0.2">
      <c r="A6687" s="2" t="str">
        <f>HYPERLINK("https://www.compass.com/listing/252-south-street-unit-48a-manhattan-ny-10002/324787408960236065/","252 South St, Unit 48A")</f>
        <v>252 South St, Unit 48A</v>
      </c>
      <c r="B6687" s="2" t="str">
        <f t="shared" si="1052"/>
        <v>One Manhattan Square</v>
      </c>
      <c r="C6687" s="1" t="s">
        <v>47</v>
      </c>
      <c r="D6687" s="1" t="s">
        <v>41</v>
      </c>
      <c r="E6687" s="3">
        <v>2661278</v>
      </c>
      <c r="F6687" s="1">
        <v>2288.2867669819402</v>
      </c>
      <c r="M6687" s="4">
        <v>1163</v>
      </c>
      <c r="Q6687" s="1" t="s">
        <v>42</v>
      </c>
      <c r="S6687" s="1" t="s">
        <v>42</v>
      </c>
      <c r="T6687" s="1" t="s">
        <v>273</v>
      </c>
      <c r="AA6687" s="1">
        <v>2661277.5099999998</v>
      </c>
      <c r="AB6687" s="1" t="s">
        <v>4914</v>
      </c>
      <c r="AC6687" s="5">
        <v>43656</v>
      </c>
      <c r="AF6687" s="1">
        <v>10002</v>
      </c>
      <c r="AI6687" s="1" t="s">
        <v>66</v>
      </c>
      <c r="AJ6687" s="1">
        <v>2019</v>
      </c>
      <c r="AK6687" s="1" t="s">
        <v>49</v>
      </c>
      <c r="AL6687" s="1">
        <v>787</v>
      </c>
    </row>
    <row r="6688" spans="1:38" x14ac:dyDescent="0.2">
      <c r="A6688" s="2" t="str">
        <f>HYPERLINK("https://www.compass.com/listing/252-south-street-unit-48m-manhattan-ny-10002/324787432247013777/","252 South St, Unit 48M")</f>
        <v>252 South St, Unit 48M</v>
      </c>
      <c r="B6688" s="2" t="str">
        <f t="shared" si="1052"/>
        <v>One Manhattan Square</v>
      </c>
      <c r="C6688" s="1" t="s">
        <v>47</v>
      </c>
      <c r="D6688" s="1" t="s">
        <v>41</v>
      </c>
      <c r="E6688" s="3">
        <v>1526590</v>
      </c>
      <c r="F6688" s="1">
        <v>2196.5324172661799</v>
      </c>
      <c r="M6688" s="1">
        <v>695</v>
      </c>
      <c r="Q6688" s="1" t="s">
        <v>42</v>
      </c>
      <c r="S6688" s="1" t="s">
        <v>42</v>
      </c>
      <c r="T6688" s="1" t="s">
        <v>273</v>
      </c>
      <c r="AA6688" s="1">
        <v>1526590.03</v>
      </c>
      <c r="AB6688" s="1" t="s">
        <v>4915</v>
      </c>
      <c r="AC6688" s="5">
        <v>43656</v>
      </c>
      <c r="AF6688" s="1">
        <v>10002</v>
      </c>
      <c r="AI6688" s="1" t="s">
        <v>66</v>
      </c>
      <c r="AJ6688" s="1">
        <v>2019</v>
      </c>
      <c r="AK6688" s="1" t="s">
        <v>49</v>
      </c>
      <c r="AL6688" s="1">
        <v>787</v>
      </c>
    </row>
    <row r="6689" spans="1:38" x14ac:dyDescent="0.2">
      <c r="A6689" s="2" t="str">
        <f>HYPERLINK("https://www.compass.com/listing/252-south-street-unit-50m-manhattan-ny-10002/324787455491848273/","252 South St, Unit 50M")</f>
        <v>252 South St, Unit 50M</v>
      </c>
      <c r="B6689" s="2" t="str">
        <f t="shared" si="1052"/>
        <v>One Manhattan Square</v>
      </c>
      <c r="C6689" s="1" t="s">
        <v>47</v>
      </c>
      <c r="D6689" s="1" t="s">
        <v>41</v>
      </c>
      <c r="E6689" s="3">
        <v>1433542</v>
      </c>
      <c r="F6689" s="1">
        <v>2062.6501582733799</v>
      </c>
      <c r="M6689" s="1">
        <v>695</v>
      </c>
      <c r="Q6689" s="1" t="s">
        <v>42</v>
      </c>
      <c r="S6689" s="1" t="s">
        <v>42</v>
      </c>
      <c r="T6689" s="1" t="s">
        <v>273</v>
      </c>
      <c r="AA6689" s="1">
        <v>1433541.86</v>
      </c>
      <c r="AB6689" s="1" t="s">
        <v>4916</v>
      </c>
      <c r="AC6689" s="5">
        <v>43642</v>
      </c>
      <c r="AF6689" s="1">
        <v>10002</v>
      </c>
      <c r="AI6689" s="1" t="s">
        <v>66</v>
      </c>
      <c r="AJ6689" s="1">
        <v>2019</v>
      </c>
      <c r="AK6689" s="1" t="s">
        <v>49</v>
      </c>
      <c r="AL6689" s="1">
        <v>787</v>
      </c>
    </row>
    <row r="6690" spans="1:38" x14ac:dyDescent="0.2">
      <c r="A6690" s="2" t="str">
        <f>HYPERLINK("https://www.compass.com/listing/150-wooster-street-unit-6-manhattan-ny-10012/324821212987213985/","150 Wooster St, Unit 6")</f>
        <v>150 Wooster St, Unit 6</v>
      </c>
      <c r="B6690" s="2" t="str">
        <f>HYPERLINK("https://www.compass.com/building/150-wooster-st-manhattan-ny-10012/282065972817334901/","150 Wooster St")</f>
        <v>150 Wooster St</v>
      </c>
      <c r="C6690" s="1" t="s">
        <v>298</v>
      </c>
      <c r="D6690" s="1" t="s">
        <v>41</v>
      </c>
      <c r="E6690" s="3">
        <v>16325000</v>
      </c>
      <c r="F6690" s="1">
        <v>3822.2898618590398</v>
      </c>
      <c r="M6690" s="4">
        <v>4271</v>
      </c>
      <c r="Q6690" s="1" t="s">
        <v>42</v>
      </c>
      <c r="S6690" s="1" t="s">
        <v>42</v>
      </c>
      <c r="T6690" s="1" t="s">
        <v>273</v>
      </c>
      <c r="AA6690" s="1">
        <v>16325000</v>
      </c>
      <c r="AB6690" s="1" t="s">
        <v>4917</v>
      </c>
      <c r="AC6690" s="5">
        <v>43644</v>
      </c>
      <c r="AF6690" s="1">
        <v>10012</v>
      </c>
      <c r="AJ6690" s="1">
        <v>2017</v>
      </c>
      <c r="AK6690" s="1" t="s">
        <v>55</v>
      </c>
      <c r="AL6690" s="1">
        <v>6</v>
      </c>
    </row>
    <row r="6691" spans="1:38" x14ac:dyDescent="0.2">
      <c r="A6691" s="2" t="str">
        <f>HYPERLINK("https://www.compass.com/listing/200-east-94th-street-unit-304-manhattan-ny-10128/324931571097937569/","200 E 94th St, Unit 304")</f>
        <v>200 E 94th St, Unit 304</v>
      </c>
      <c r="B6691" s="2" t="str">
        <f t="shared" ref="B6691:B6693" si="1053">HYPERLINK("https://www.compass.com/building/carnegie-park-condominium-manhattan-ny/282049797358118613/","Carnegie Park Condominium")</f>
        <v>Carnegie Park Condominium</v>
      </c>
      <c r="C6691" s="1" t="s">
        <v>82</v>
      </c>
      <c r="D6691" s="1" t="s">
        <v>41</v>
      </c>
      <c r="E6691" s="3">
        <v>1900000</v>
      </c>
      <c r="F6691" s="1">
        <v>1350.3909026296999</v>
      </c>
      <c r="M6691" s="4">
        <v>1407</v>
      </c>
      <c r="Q6691" s="1" t="s">
        <v>42</v>
      </c>
      <c r="S6691" s="1" t="s">
        <v>42</v>
      </c>
      <c r="T6691" s="1" t="s">
        <v>273</v>
      </c>
      <c r="AA6691" s="1">
        <v>1900000</v>
      </c>
      <c r="AB6691" s="1" t="s">
        <v>4918</v>
      </c>
      <c r="AC6691" s="5">
        <v>43630</v>
      </c>
      <c r="AF6691" s="1">
        <v>10128</v>
      </c>
      <c r="AI6691" s="1" t="s">
        <v>163</v>
      </c>
      <c r="AJ6691" s="1">
        <v>1986</v>
      </c>
      <c r="AK6691" s="1" t="s">
        <v>55</v>
      </c>
      <c r="AL6691" s="1">
        <v>287</v>
      </c>
    </row>
    <row r="6692" spans="1:38" x14ac:dyDescent="0.2">
      <c r="A6692" s="2" t="str">
        <f>HYPERLINK("https://www.compass.com/listing/200-east-94th-street-unit-1012-manhattan-ny-10128/324931656904972081/","200 E 94th St, Unit 1012")</f>
        <v>200 E 94th St, Unit 1012</v>
      </c>
      <c r="B6692" s="2" t="str">
        <f t="shared" si="1053"/>
        <v>Carnegie Park Condominium</v>
      </c>
      <c r="C6692" s="1" t="s">
        <v>82</v>
      </c>
      <c r="D6692" s="1" t="s">
        <v>41</v>
      </c>
      <c r="E6692" s="3">
        <v>1089349</v>
      </c>
      <c r="F6692" s="1">
        <v>1545.17563120567</v>
      </c>
      <c r="M6692" s="1">
        <v>705</v>
      </c>
      <c r="Q6692" s="1" t="s">
        <v>42</v>
      </c>
      <c r="S6692" s="1" t="s">
        <v>42</v>
      </c>
      <c r="T6692" s="1" t="s">
        <v>273</v>
      </c>
      <c r="AA6692" s="1">
        <v>1089348.82</v>
      </c>
      <c r="AB6692" s="1" t="s">
        <v>4919</v>
      </c>
      <c r="AC6692" s="5">
        <v>43664</v>
      </c>
      <c r="AF6692" s="1">
        <v>10128</v>
      </c>
      <c r="AI6692" s="1" t="s">
        <v>163</v>
      </c>
      <c r="AJ6692" s="1">
        <v>1986</v>
      </c>
      <c r="AK6692" s="1" t="s">
        <v>55</v>
      </c>
      <c r="AL6692" s="1">
        <v>287</v>
      </c>
    </row>
    <row r="6693" spans="1:38" x14ac:dyDescent="0.2">
      <c r="A6693" s="2" t="str">
        <f>HYPERLINK("https://www.compass.com/listing/200-east-94th-street-unit-2117-manhattan-ny-10128/324931706523701105/","200 E 94th St, Unit 2117")</f>
        <v>200 E 94th St, Unit 2117</v>
      </c>
      <c r="B6693" s="2" t="str">
        <f t="shared" si="1053"/>
        <v>Carnegie Park Condominium</v>
      </c>
      <c r="C6693" s="1" t="s">
        <v>82</v>
      </c>
      <c r="D6693" s="1" t="s">
        <v>41</v>
      </c>
      <c r="E6693" s="3">
        <v>3075517</v>
      </c>
      <c r="F6693" s="1">
        <v>1635.91346276595</v>
      </c>
      <c r="M6693" s="4">
        <v>1880</v>
      </c>
      <c r="Q6693" s="1" t="s">
        <v>42</v>
      </c>
      <c r="S6693" s="1" t="s">
        <v>42</v>
      </c>
      <c r="T6693" s="1" t="s">
        <v>273</v>
      </c>
      <c r="AA6693" s="1">
        <v>3075517.31</v>
      </c>
      <c r="AB6693" s="1" t="s">
        <v>4920</v>
      </c>
      <c r="AC6693" s="5">
        <v>43640</v>
      </c>
      <c r="AF6693" s="1">
        <v>10128</v>
      </c>
      <c r="AI6693" s="1" t="s">
        <v>163</v>
      </c>
      <c r="AJ6693" s="1">
        <v>1986</v>
      </c>
      <c r="AK6693" s="1" t="s">
        <v>55</v>
      </c>
      <c r="AL6693" s="1">
        <v>287</v>
      </c>
    </row>
    <row r="6694" spans="1:38" x14ac:dyDescent="0.2">
      <c r="A6694" s="2" t="str">
        <f>HYPERLINK("https://www.compass.com/listing/252-south-street-unit-19g-manhattan-ny-10002/328425722456277457/","252 South St, Unit 19G")</f>
        <v>252 South St, Unit 19G</v>
      </c>
      <c r="B6694" s="2" t="str">
        <f t="shared" ref="B6694:B6696" si="1054">HYPERLINK("https://www.compass.com/building/one-manhattan-square-manhattan-ny/294844950218926165/","One Manhattan Square")</f>
        <v>One Manhattan Square</v>
      </c>
      <c r="C6694" s="1" t="s">
        <v>47</v>
      </c>
      <c r="D6694" s="1" t="s">
        <v>41</v>
      </c>
      <c r="E6694" s="3">
        <v>1149531</v>
      </c>
      <c r="F6694" s="1">
        <v>1589.9464038727499</v>
      </c>
      <c r="M6694" s="1">
        <v>723</v>
      </c>
      <c r="Q6694" s="1" t="s">
        <v>42</v>
      </c>
      <c r="S6694" s="1" t="s">
        <v>42</v>
      </c>
      <c r="T6694" s="1" t="s">
        <v>273</v>
      </c>
      <c r="AA6694" s="1">
        <v>1149531.25</v>
      </c>
      <c r="AB6694" s="1" t="s">
        <v>4921</v>
      </c>
      <c r="AC6694" s="5">
        <v>43682</v>
      </c>
      <c r="AF6694" s="1">
        <v>10002</v>
      </c>
      <c r="AI6694" s="1" t="s">
        <v>66</v>
      </c>
      <c r="AJ6694" s="1">
        <v>2019</v>
      </c>
      <c r="AK6694" s="1" t="s">
        <v>49</v>
      </c>
      <c r="AL6694" s="1">
        <v>787</v>
      </c>
    </row>
    <row r="6695" spans="1:38" x14ac:dyDescent="0.2">
      <c r="A6695" s="2" t="str">
        <f>HYPERLINK("https://www.compass.com/listing/252-south-street-unit-22b-manhattan-ny-10002/328425727824834097/","252 South St, Unit 22B")</f>
        <v>252 South St, Unit 22B</v>
      </c>
      <c r="B6695" s="2" t="str">
        <f t="shared" si="1054"/>
        <v>One Manhattan Square</v>
      </c>
      <c r="C6695" s="1" t="s">
        <v>47</v>
      </c>
      <c r="D6695" s="1" t="s">
        <v>41</v>
      </c>
      <c r="E6695" s="3">
        <v>1416313</v>
      </c>
      <c r="F6695" s="1">
        <v>2034.9321120689599</v>
      </c>
      <c r="M6695" s="1">
        <v>696</v>
      </c>
      <c r="Q6695" s="1" t="s">
        <v>42</v>
      </c>
      <c r="S6695" s="1" t="s">
        <v>42</v>
      </c>
      <c r="T6695" s="1" t="s">
        <v>273</v>
      </c>
      <c r="AA6695" s="1">
        <v>1416312.75</v>
      </c>
      <c r="AB6695" s="1" t="s">
        <v>4922</v>
      </c>
      <c r="AC6695" s="5">
        <v>43643</v>
      </c>
      <c r="AF6695" s="1">
        <v>10002</v>
      </c>
      <c r="AI6695" s="1" t="s">
        <v>66</v>
      </c>
      <c r="AJ6695" s="1">
        <v>2019</v>
      </c>
      <c r="AK6695" s="1" t="s">
        <v>49</v>
      </c>
      <c r="AL6695" s="1">
        <v>787</v>
      </c>
    </row>
    <row r="6696" spans="1:38" x14ac:dyDescent="0.2">
      <c r="A6696" s="2" t="str">
        <f>HYPERLINK("https://www.compass.com/listing/252-south-street-unit-22c-manhattan-ny-10002/328425728294749441/","252 South St, Unit 22C")</f>
        <v>252 South St, Unit 22C</v>
      </c>
      <c r="B6696" s="2" t="str">
        <f t="shared" si="1054"/>
        <v>One Manhattan Square</v>
      </c>
      <c r="C6696" s="1" t="s">
        <v>47</v>
      </c>
      <c r="D6696" s="1" t="s">
        <v>41</v>
      </c>
      <c r="E6696" s="3">
        <v>1414380</v>
      </c>
      <c r="F6696" s="1">
        <v>2035.0786762589901</v>
      </c>
      <c r="M6696" s="1">
        <v>695</v>
      </c>
      <c r="Q6696" s="1" t="s">
        <v>42</v>
      </c>
      <c r="S6696" s="1" t="s">
        <v>42</v>
      </c>
      <c r="T6696" s="1" t="s">
        <v>273</v>
      </c>
      <c r="AA6696" s="1">
        <v>1414379.68</v>
      </c>
      <c r="AB6696" s="1" t="s">
        <v>4923</v>
      </c>
      <c r="AC6696" s="5">
        <v>43635</v>
      </c>
      <c r="AF6696" s="1">
        <v>10002</v>
      </c>
      <c r="AI6696" s="1" t="s">
        <v>66</v>
      </c>
      <c r="AJ6696" s="1">
        <v>2019</v>
      </c>
      <c r="AK6696" s="1" t="s">
        <v>49</v>
      </c>
      <c r="AL6696" s="1">
        <v>787</v>
      </c>
    </row>
    <row r="6697" spans="1:38" x14ac:dyDescent="0.2">
      <c r="A6697" s="2" t="str">
        <f>HYPERLINK("https://www.compass.com/listing/160-leroy-street-unit-7a-s-manhattan-ny-10014/328441148804530465/","160 Leroy St, Unit 7A S")</f>
        <v>160 Leroy St, Unit 7A S</v>
      </c>
      <c r="B6697" s="2" t="str">
        <f>HYPERLINK("https://www.compass.com/building/160-leroy-st-manhattan-ny-10014/293418469918017093/","160 Leroy St")</f>
        <v>160 Leroy St</v>
      </c>
      <c r="C6697" s="1" t="s">
        <v>67</v>
      </c>
      <c r="D6697" s="1" t="s">
        <v>41</v>
      </c>
      <c r="E6697" s="3">
        <v>2800000</v>
      </c>
      <c r="F6697" s="1">
        <v>2554.7445255474399</v>
      </c>
      <c r="M6697" s="4">
        <v>1096</v>
      </c>
      <c r="Q6697" s="1" t="s">
        <v>42</v>
      </c>
      <c r="S6697" s="1" t="s">
        <v>42</v>
      </c>
      <c r="T6697" s="1" t="s">
        <v>273</v>
      </c>
      <c r="AA6697" s="1">
        <v>2800000</v>
      </c>
      <c r="AB6697" s="1" t="s">
        <v>4924</v>
      </c>
      <c r="AC6697" s="5">
        <v>43693</v>
      </c>
      <c r="AF6697" s="1">
        <v>10014</v>
      </c>
      <c r="AI6697" s="1" t="s">
        <v>65</v>
      </c>
      <c r="AJ6697" s="1">
        <v>2017</v>
      </c>
      <c r="AK6697" s="1" t="s">
        <v>202</v>
      </c>
      <c r="AL6697" s="1">
        <v>57</v>
      </c>
    </row>
    <row r="6698" spans="1:38" x14ac:dyDescent="0.2">
      <c r="A6698" s="2" t="str">
        <f>HYPERLINK("https://www.compass.com/listing/527-west-27th-street-unit-5s-manhattan-ny-10001/328446770060811473/","527 W 27th St, Unit 5S")</f>
        <v>527 W 27th St, Unit 5S</v>
      </c>
      <c r="B6698" s="2" t="str">
        <f t="shared" ref="B6698:B6699" si="1055">HYPERLINK("https://www.compass.com/building/jardim-manhattan-ny/282062246220171157/","Jardim")</f>
        <v>Jardim</v>
      </c>
      <c r="C6698" s="1" t="s">
        <v>62</v>
      </c>
      <c r="D6698" s="1" t="s">
        <v>41</v>
      </c>
      <c r="E6698" s="3">
        <v>5165028</v>
      </c>
      <c r="F6698" s="1">
        <v>2582.5137500000001</v>
      </c>
      <c r="M6698" s="4">
        <v>2000</v>
      </c>
      <c r="Q6698" s="1" t="s">
        <v>42</v>
      </c>
      <c r="S6698" s="1" t="s">
        <v>42</v>
      </c>
      <c r="T6698" s="1" t="s">
        <v>273</v>
      </c>
      <c r="AA6698" s="1">
        <v>5165027.5</v>
      </c>
      <c r="AB6698" s="1" t="s">
        <v>4925</v>
      </c>
      <c r="AC6698" s="5">
        <v>43683</v>
      </c>
      <c r="AF6698" s="1">
        <v>10001</v>
      </c>
      <c r="AI6698" s="1" t="s">
        <v>65</v>
      </c>
      <c r="AJ6698" s="1">
        <v>2017</v>
      </c>
      <c r="AK6698" s="1" t="s">
        <v>202</v>
      </c>
      <c r="AL6698" s="1">
        <v>36</v>
      </c>
    </row>
    <row r="6699" spans="1:38" x14ac:dyDescent="0.2">
      <c r="A6699" s="2" t="str">
        <f>HYPERLINK("https://www.compass.com/listing/527-west-27th-street-unit-7s-manhattan-ny-10001/328446770429960193/","527 W 27th St, Unit 7S")</f>
        <v>527 W 27th St, Unit 7S</v>
      </c>
      <c r="B6699" s="2" t="str">
        <f t="shared" si="1055"/>
        <v>Jardim</v>
      </c>
      <c r="C6699" s="1" t="s">
        <v>62</v>
      </c>
      <c r="D6699" s="1" t="s">
        <v>41</v>
      </c>
      <c r="E6699" s="3">
        <v>5400000</v>
      </c>
      <c r="F6699" s="1">
        <v>2700</v>
      </c>
      <c r="M6699" s="4">
        <v>2000</v>
      </c>
      <c r="Q6699" s="1" t="s">
        <v>42</v>
      </c>
      <c r="S6699" s="1" t="s">
        <v>42</v>
      </c>
      <c r="T6699" s="1" t="s">
        <v>273</v>
      </c>
      <c r="AA6699" s="1">
        <v>5400000</v>
      </c>
      <c r="AB6699" s="1" t="s">
        <v>4926</v>
      </c>
      <c r="AC6699" s="5">
        <v>43685</v>
      </c>
      <c r="AF6699" s="1">
        <v>10001</v>
      </c>
      <c r="AI6699" s="1" t="s">
        <v>65</v>
      </c>
      <c r="AJ6699" s="1">
        <v>2017</v>
      </c>
      <c r="AK6699" s="1" t="s">
        <v>202</v>
      </c>
      <c r="AL6699" s="1">
        <v>36</v>
      </c>
    </row>
    <row r="6700" spans="1:38" x14ac:dyDescent="0.2">
      <c r="A6700" s="2" t="str">
        <f>HYPERLINK("https://www.compass.com/listing/111-murray-street-unit-10w-manhattan-ny-10007/334597940517177073/","111 Murray St, Unit 10W")</f>
        <v>111 Murray St, Unit 10W</v>
      </c>
      <c r="B6700" s="2" t="str">
        <f>HYPERLINK("https://www.compass.com/building/111-murray-st-manhattan-ny-10007/281896511862746053/","111 Murray St")</f>
        <v>111 Murray St</v>
      </c>
      <c r="C6700" s="1" t="s">
        <v>50</v>
      </c>
      <c r="D6700" s="1" t="s">
        <v>41</v>
      </c>
      <c r="E6700" s="3">
        <v>5000000</v>
      </c>
      <c r="F6700" s="1">
        <v>2255.2999548940002</v>
      </c>
      <c r="M6700" s="4">
        <v>2217</v>
      </c>
      <c r="Q6700" s="1" t="s">
        <v>42</v>
      </c>
      <c r="S6700" s="1" t="s">
        <v>42</v>
      </c>
      <c r="T6700" s="1" t="s">
        <v>273</v>
      </c>
      <c r="AA6700" s="1">
        <v>5000000</v>
      </c>
      <c r="AB6700" s="1" t="s">
        <v>4927</v>
      </c>
      <c r="AC6700" s="5">
        <v>43704</v>
      </c>
      <c r="AF6700" s="1">
        <v>10007</v>
      </c>
      <c r="AI6700" s="1" t="s">
        <v>80</v>
      </c>
      <c r="AJ6700" s="1">
        <v>2018</v>
      </c>
      <c r="AK6700" s="1" t="s">
        <v>49</v>
      </c>
      <c r="AL6700" s="1">
        <v>157</v>
      </c>
    </row>
    <row r="6701" spans="1:38" x14ac:dyDescent="0.2">
      <c r="A6701" s="2" t="str">
        <f>HYPERLINK("https://www.compass.com/listing/108-leonard-street-unit-4a-manhattan-ny-10013/334599295336075377/","108 Leonard St, Unit 4A")</f>
        <v>108 Leonard St, Unit 4A</v>
      </c>
      <c r="B6701" s="2" t="str">
        <f>HYPERLINK("https://www.compass.com/building/108-leonard-st-manhattan-ny-10013/307456049610778277/","108 Leonard St")</f>
        <v>108 Leonard St</v>
      </c>
      <c r="C6701" s="1" t="s">
        <v>113</v>
      </c>
      <c r="D6701" s="1" t="s">
        <v>41</v>
      </c>
      <c r="E6701" s="3">
        <v>3688436</v>
      </c>
      <c r="F6701" s="1">
        <v>2067.5088004484301</v>
      </c>
      <c r="M6701" s="4">
        <v>1784</v>
      </c>
      <c r="Q6701" s="1" t="s">
        <v>42</v>
      </c>
      <c r="S6701" s="1" t="s">
        <v>42</v>
      </c>
      <c r="T6701" s="1" t="s">
        <v>273</v>
      </c>
      <c r="AA6701" s="1">
        <v>3688435.7</v>
      </c>
      <c r="AB6701" s="1" t="s">
        <v>4928</v>
      </c>
      <c r="AC6701" s="5">
        <v>43704</v>
      </c>
      <c r="AF6701" s="1">
        <v>10013</v>
      </c>
      <c r="AI6701" s="1" t="s">
        <v>78</v>
      </c>
      <c r="AJ6701" s="1">
        <v>1899</v>
      </c>
      <c r="AK6701" s="1" t="s">
        <v>55</v>
      </c>
      <c r="AL6701" s="1">
        <v>167</v>
      </c>
    </row>
    <row r="6702" spans="1:38" x14ac:dyDescent="0.2">
      <c r="A6702" s="2" t="str">
        <f>HYPERLINK("https://www.compass.com/listing/252-south-street-unit-54a-manhattan-ny-10002/334603764190679457/","252 South St, Unit 54A")</f>
        <v>252 South St, Unit 54A</v>
      </c>
      <c r="B6702" s="2" t="str">
        <f>HYPERLINK("https://www.compass.com/building/one-manhattan-square-manhattan-ny/294844950218926165/","One Manhattan Square")</f>
        <v>One Manhattan Square</v>
      </c>
      <c r="C6702" s="1" t="s">
        <v>47</v>
      </c>
      <c r="D6702" s="1" t="s">
        <v>41</v>
      </c>
      <c r="E6702" s="3">
        <v>2827822</v>
      </c>
      <c r="F6702" s="1">
        <v>2431.4894582974998</v>
      </c>
      <c r="M6702" s="4">
        <v>1163</v>
      </c>
      <c r="Q6702" s="1" t="s">
        <v>42</v>
      </c>
      <c r="S6702" s="1" t="s">
        <v>42</v>
      </c>
      <c r="T6702" s="1" t="s">
        <v>273</v>
      </c>
      <c r="AA6702" s="1">
        <v>2827822.24</v>
      </c>
      <c r="AB6702" s="1" t="s">
        <v>4929</v>
      </c>
      <c r="AC6702" s="5">
        <v>43689</v>
      </c>
      <c r="AF6702" s="1">
        <v>10002</v>
      </c>
      <c r="AI6702" s="1" t="s">
        <v>66</v>
      </c>
      <c r="AJ6702" s="1">
        <v>2019</v>
      </c>
      <c r="AK6702" s="1" t="s">
        <v>49</v>
      </c>
      <c r="AL6702" s="1">
        <v>787</v>
      </c>
    </row>
    <row r="6703" spans="1:38" x14ac:dyDescent="0.2">
      <c r="A6703" s="2" t="str">
        <f>HYPERLINK("https://www.compass.com/listing/235-west-75th-street-unit-825-manhattan-ny-10023/33745137439909953/","235 W 75th St, Unit 825")</f>
        <v>235 W 75th St, Unit 825</v>
      </c>
      <c r="B6703" s="2" t="str">
        <f>HYPERLINK("https://www.compass.com/building/the-astor-manhattan-ny/281958704155269925/","The Astor")</f>
        <v>The Astor</v>
      </c>
      <c r="C6703" s="1" t="s">
        <v>57</v>
      </c>
      <c r="D6703" s="1" t="s">
        <v>41</v>
      </c>
      <c r="E6703" s="3">
        <v>490377</v>
      </c>
      <c r="F6703" s="1">
        <v>628.68861538461499</v>
      </c>
      <c r="M6703" s="1">
        <v>780</v>
      </c>
      <c r="Q6703" s="1" t="s">
        <v>42</v>
      </c>
      <c r="S6703" s="1" t="s">
        <v>42</v>
      </c>
      <c r="T6703" s="1" t="s">
        <v>273</v>
      </c>
      <c r="AA6703" s="1">
        <v>490377.12</v>
      </c>
      <c r="AB6703" s="1" t="s">
        <v>4930</v>
      </c>
      <c r="AC6703" s="5">
        <v>43264</v>
      </c>
      <c r="AF6703" s="1">
        <v>10023</v>
      </c>
      <c r="AJ6703" s="1">
        <v>2018</v>
      </c>
      <c r="AK6703" s="1" t="s">
        <v>49</v>
      </c>
      <c r="AL6703" s="1">
        <v>98</v>
      </c>
    </row>
    <row r="6704" spans="1:38" x14ac:dyDescent="0.2">
      <c r="A6704" s="2" t="str">
        <f>HYPERLINK("https://www.compass.com/listing/252-south-street-unit-25b-manhattan-ny-10002/338041464545786561/","252 South St, Unit 25B")</f>
        <v>252 South St, Unit 25B</v>
      </c>
      <c r="B6704" s="2" t="str">
        <f t="shared" ref="B6704:B6710" si="1056">HYPERLINK("https://www.compass.com/building/one-manhattan-square-manhattan-ny/294844950218926165/","One Manhattan Square")</f>
        <v>One Manhattan Square</v>
      </c>
      <c r="C6704" s="1" t="s">
        <v>47</v>
      </c>
      <c r="D6704" s="1" t="s">
        <v>41</v>
      </c>
      <c r="E6704" s="3">
        <v>1428889</v>
      </c>
      <c r="F6704" s="1">
        <v>2053.0010632183898</v>
      </c>
      <c r="M6704" s="1">
        <v>696</v>
      </c>
      <c r="Q6704" s="1" t="s">
        <v>42</v>
      </c>
      <c r="S6704" s="1" t="s">
        <v>42</v>
      </c>
      <c r="T6704" s="1" t="s">
        <v>273</v>
      </c>
      <c r="AA6704" s="1">
        <v>1428888.74</v>
      </c>
      <c r="AB6704" s="1" t="s">
        <v>4931</v>
      </c>
      <c r="AC6704" s="5">
        <v>43629</v>
      </c>
      <c r="AF6704" s="1">
        <v>10002</v>
      </c>
      <c r="AI6704" s="1" t="s">
        <v>66</v>
      </c>
      <c r="AJ6704" s="1">
        <v>2019</v>
      </c>
      <c r="AK6704" s="1" t="s">
        <v>49</v>
      </c>
      <c r="AL6704" s="1">
        <v>787</v>
      </c>
    </row>
    <row r="6705" spans="1:38" x14ac:dyDescent="0.2">
      <c r="A6705" s="2" t="str">
        <f>HYPERLINK("https://www.compass.com/listing/252-south-street-unit-28b-manhattan-ny-10002/338041625137312449/","252 South St, Unit 28B")</f>
        <v>252 South St, Unit 28B</v>
      </c>
      <c r="B6705" s="2" t="str">
        <f t="shared" si="1056"/>
        <v>One Manhattan Square</v>
      </c>
      <c r="C6705" s="1" t="s">
        <v>47</v>
      </c>
      <c r="D6705" s="1" t="s">
        <v>41</v>
      </c>
      <c r="E6705" s="3">
        <v>1539521</v>
      </c>
      <c r="F6705" s="1">
        <v>2211.9554597701099</v>
      </c>
      <c r="M6705" s="1">
        <v>696</v>
      </c>
      <c r="Q6705" s="1" t="s">
        <v>42</v>
      </c>
      <c r="S6705" s="1" t="s">
        <v>42</v>
      </c>
      <c r="T6705" s="1" t="s">
        <v>273</v>
      </c>
      <c r="AA6705" s="1">
        <v>1539521</v>
      </c>
      <c r="AB6705" s="1" t="s">
        <v>4932</v>
      </c>
      <c r="AC6705" s="5">
        <v>43678</v>
      </c>
      <c r="AF6705" s="1">
        <v>10002</v>
      </c>
      <c r="AI6705" s="1" t="s">
        <v>66</v>
      </c>
      <c r="AJ6705" s="1">
        <v>2019</v>
      </c>
      <c r="AK6705" s="1" t="s">
        <v>49</v>
      </c>
      <c r="AL6705" s="1">
        <v>787</v>
      </c>
    </row>
    <row r="6706" spans="1:38" x14ac:dyDescent="0.2">
      <c r="A6706" s="2" t="str">
        <f>HYPERLINK("https://www.compass.com/listing/252-south-street-unit-30a-manhattan-ny-10002/338041720952180225/","252 South St, Unit 30A")</f>
        <v>252 South St, Unit 30A</v>
      </c>
      <c r="B6706" s="2" t="str">
        <f t="shared" si="1056"/>
        <v>One Manhattan Square</v>
      </c>
      <c r="C6706" s="1" t="s">
        <v>47</v>
      </c>
      <c r="D6706" s="1" t="s">
        <v>41</v>
      </c>
      <c r="E6706" s="3">
        <v>2533634</v>
      </c>
      <c r="F6706" s="1">
        <v>2180.4080895008601</v>
      </c>
      <c r="M6706" s="4">
        <v>1162</v>
      </c>
      <c r="Q6706" s="1" t="s">
        <v>42</v>
      </c>
      <c r="S6706" s="1" t="s">
        <v>42</v>
      </c>
      <c r="T6706" s="1" t="s">
        <v>273</v>
      </c>
      <c r="AA6706" s="1">
        <v>2533634.2000000002</v>
      </c>
      <c r="AB6706" s="1" t="s">
        <v>4933</v>
      </c>
      <c r="AC6706" s="5">
        <v>43671</v>
      </c>
      <c r="AF6706" s="1">
        <v>10002</v>
      </c>
      <c r="AI6706" s="1" t="s">
        <v>66</v>
      </c>
      <c r="AJ6706" s="1">
        <v>2019</v>
      </c>
      <c r="AK6706" s="1" t="s">
        <v>49</v>
      </c>
      <c r="AL6706" s="1">
        <v>787</v>
      </c>
    </row>
    <row r="6707" spans="1:38" x14ac:dyDescent="0.2">
      <c r="A6707" s="2" t="str">
        <f>HYPERLINK("https://www.compass.com/listing/252-south-street-unit-38n-manhattan-ny-10002/338041942411273281/","252 South St, Unit 38N")</f>
        <v>252 South St, Unit 38N</v>
      </c>
      <c r="B6707" s="2" t="str">
        <f t="shared" si="1056"/>
        <v>One Manhattan Square</v>
      </c>
      <c r="C6707" s="1" t="s">
        <v>47</v>
      </c>
      <c r="D6707" s="1" t="s">
        <v>41</v>
      </c>
      <c r="E6707" s="3">
        <v>1323611</v>
      </c>
      <c r="F6707" s="1">
        <v>1830.7212033195001</v>
      </c>
      <c r="M6707" s="1">
        <v>723</v>
      </c>
      <c r="Q6707" s="1" t="s">
        <v>42</v>
      </c>
      <c r="S6707" s="1" t="s">
        <v>42</v>
      </c>
      <c r="T6707" s="1" t="s">
        <v>273</v>
      </c>
      <c r="AA6707" s="1">
        <v>1323611.43</v>
      </c>
      <c r="AB6707" s="1" t="s">
        <v>4934</v>
      </c>
      <c r="AC6707" s="5">
        <v>43676</v>
      </c>
      <c r="AF6707" s="1">
        <v>10002</v>
      </c>
      <c r="AI6707" s="1" t="s">
        <v>66</v>
      </c>
      <c r="AJ6707" s="1">
        <v>2019</v>
      </c>
      <c r="AK6707" s="1" t="s">
        <v>49</v>
      </c>
      <c r="AL6707" s="1">
        <v>787</v>
      </c>
    </row>
    <row r="6708" spans="1:38" x14ac:dyDescent="0.2">
      <c r="A6708" s="2" t="str">
        <f>HYPERLINK("https://www.compass.com/listing/252-south-street-unit-50f-manhattan-ny-10002/338042070505096273/","252 South St, Unit 50F")</f>
        <v>252 South St, Unit 50F</v>
      </c>
      <c r="B6708" s="2" t="str">
        <f t="shared" si="1056"/>
        <v>One Manhattan Square</v>
      </c>
      <c r="C6708" s="1" t="s">
        <v>47</v>
      </c>
      <c r="D6708" s="1" t="s">
        <v>41</v>
      </c>
      <c r="E6708" s="3">
        <v>1360208</v>
      </c>
      <c r="F6708" s="1">
        <v>1883.9440166204899</v>
      </c>
      <c r="M6708" s="1">
        <v>722</v>
      </c>
      <c r="Q6708" s="1" t="s">
        <v>42</v>
      </c>
      <c r="S6708" s="1" t="s">
        <v>42</v>
      </c>
      <c r="T6708" s="1" t="s">
        <v>273</v>
      </c>
      <c r="AA6708" s="1">
        <v>1360207.58</v>
      </c>
      <c r="AB6708" s="1" t="s">
        <v>4935</v>
      </c>
      <c r="AC6708" s="5">
        <v>43686</v>
      </c>
      <c r="AF6708" s="1">
        <v>10002</v>
      </c>
      <c r="AI6708" s="1" t="s">
        <v>66</v>
      </c>
      <c r="AJ6708" s="1">
        <v>2019</v>
      </c>
      <c r="AK6708" s="1" t="s">
        <v>49</v>
      </c>
      <c r="AL6708" s="1">
        <v>787</v>
      </c>
    </row>
    <row r="6709" spans="1:38" x14ac:dyDescent="0.2">
      <c r="A6709" s="2" t="str">
        <f>HYPERLINK("https://www.compass.com/listing/252-south-street-unit-52m-manhattan-ny-10002/338042126264178113/","252 South St, Unit 52M")</f>
        <v>252 South St, Unit 52M</v>
      </c>
      <c r="B6709" s="2" t="str">
        <f t="shared" si="1056"/>
        <v>One Manhattan Square</v>
      </c>
      <c r="C6709" s="1" t="s">
        <v>47</v>
      </c>
      <c r="D6709" s="1" t="s">
        <v>41</v>
      </c>
      <c r="E6709" s="3">
        <v>1433542</v>
      </c>
      <c r="F6709" s="1">
        <v>2062.6501582733799</v>
      </c>
      <c r="M6709" s="1">
        <v>695</v>
      </c>
      <c r="Q6709" s="1" t="s">
        <v>42</v>
      </c>
      <c r="S6709" s="1" t="s">
        <v>42</v>
      </c>
      <c r="T6709" s="1" t="s">
        <v>273</v>
      </c>
      <c r="AA6709" s="1">
        <v>1433541.86</v>
      </c>
      <c r="AB6709" s="1" t="s">
        <v>4936</v>
      </c>
      <c r="AC6709" s="5">
        <v>43686</v>
      </c>
      <c r="AF6709" s="1">
        <v>10002</v>
      </c>
      <c r="AI6709" s="1" t="s">
        <v>66</v>
      </c>
      <c r="AJ6709" s="1">
        <v>2019</v>
      </c>
      <c r="AK6709" s="1" t="s">
        <v>49</v>
      </c>
      <c r="AL6709" s="1">
        <v>787</v>
      </c>
    </row>
    <row r="6710" spans="1:38" x14ac:dyDescent="0.2">
      <c r="A6710" s="2" t="str">
        <f>HYPERLINK("https://www.compass.com/listing/252-south-street-unit-54k-manhattan-ny-10002/338042162159034897/","252 South St, Unit 54K")</f>
        <v>252 South St, Unit 54K</v>
      </c>
      <c r="B6710" s="2" t="str">
        <f t="shared" si="1056"/>
        <v>One Manhattan Square</v>
      </c>
      <c r="C6710" s="1" t="s">
        <v>47</v>
      </c>
      <c r="D6710" s="1" t="s">
        <v>41</v>
      </c>
      <c r="E6710" s="3">
        <v>2546010</v>
      </c>
      <c r="F6710" s="1">
        <v>2267.1508548530701</v>
      </c>
      <c r="M6710" s="4">
        <v>1123</v>
      </c>
      <c r="Q6710" s="1" t="s">
        <v>42</v>
      </c>
      <c r="S6710" s="1" t="s">
        <v>42</v>
      </c>
      <c r="T6710" s="1" t="s">
        <v>273</v>
      </c>
      <c r="AA6710" s="1">
        <v>2546010.41</v>
      </c>
      <c r="AB6710" s="1" t="s">
        <v>4937</v>
      </c>
      <c r="AC6710" s="5">
        <v>43685</v>
      </c>
      <c r="AF6710" s="1">
        <v>10002</v>
      </c>
      <c r="AI6710" s="1" t="s">
        <v>66</v>
      </c>
      <c r="AJ6710" s="1">
        <v>2019</v>
      </c>
      <c r="AK6710" s="1" t="s">
        <v>49</v>
      </c>
      <c r="AL6710" s="1">
        <v>787</v>
      </c>
    </row>
    <row r="6711" spans="1:38" x14ac:dyDescent="0.2">
      <c r="A6711" s="2" t="str">
        <f>HYPERLINK("https://www.compass.com/listing/108-leonard-street-unit-5e-manhattan-ny-10013/339051332312292753/","108 Leonard St, Unit 5E")</f>
        <v>108 Leonard St, Unit 5E</v>
      </c>
      <c r="B6711" s="2" t="str">
        <f>HYPERLINK("https://www.compass.com/building/108-leonard-st-manhattan-ny-10013/307456049610778277/","108 Leonard St")</f>
        <v>108 Leonard St</v>
      </c>
      <c r="C6711" s="1" t="s">
        <v>113</v>
      </c>
      <c r="D6711" s="1" t="s">
        <v>41</v>
      </c>
      <c r="E6711" s="3">
        <v>2471991</v>
      </c>
      <c r="F6711" s="1">
        <v>1897.1534612432799</v>
      </c>
      <c r="M6711" s="4">
        <v>1303</v>
      </c>
      <c r="Q6711" s="1" t="s">
        <v>42</v>
      </c>
      <c r="S6711" s="1" t="s">
        <v>42</v>
      </c>
      <c r="T6711" s="1" t="s">
        <v>273</v>
      </c>
      <c r="AA6711" s="1">
        <v>2471990.96</v>
      </c>
      <c r="AB6711" s="1" t="s">
        <v>4938</v>
      </c>
      <c r="AC6711" s="5">
        <v>43703</v>
      </c>
      <c r="AF6711" s="1">
        <v>10013</v>
      </c>
      <c r="AI6711" s="1" t="s">
        <v>78</v>
      </c>
      <c r="AJ6711" s="1">
        <v>1899</v>
      </c>
      <c r="AK6711" s="1" t="s">
        <v>55</v>
      </c>
      <c r="AL6711" s="1">
        <v>167</v>
      </c>
    </row>
    <row r="6712" spans="1:38" x14ac:dyDescent="0.2">
      <c r="A6712" s="2" t="str">
        <f>HYPERLINK("https://www.compass.com/listing/15-hudson-yards-unit-76a-manhattan-ny-10001/339657058579989921/","15 Hudson Yards, Unit 76A")</f>
        <v>15 Hudson Yards, Unit 76A</v>
      </c>
      <c r="B6712" s="2" t="str">
        <f t="shared" ref="B6712:B6713" si="1057">HYPERLINK("https://www.compass.com/building/fifteen-hudson-yards-manhattan-ny/282058587512011909/","Fifteen Hudson Yards")</f>
        <v>Fifteen Hudson Yards</v>
      </c>
      <c r="C6712" s="1" t="s">
        <v>77</v>
      </c>
      <c r="D6712" s="1" t="s">
        <v>41</v>
      </c>
      <c r="E6712" s="3">
        <v>8636284</v>
      </c>
      <c r="F6712" s="1">
        <v>3644.0016877637099</v>
      </c>
      <c r="G6712" s="1">
        <v>5</v>
      </c>
      <c r="H6712" s="1">
        <v>3</v>
      </c>
      <c r="I6712" s="1">
        <v>4</v>
      </c>
      <c r="J6712" s="1">
        <v>3.5</v>
      </c>
      <c r="K6712" s="1">
        <v>3</v>
      </c>
      <c r="L6712" s="1">
        <v>1</v>
      </c>
      <c r="M6712" s="4">
        <v>2370</v>
      </c>
      <c r="N6712" s="1">
        <v>5849</v>
      </c>
      <c r="O6712" s="1">
        <v>5930</v>
      </c>
      <c r="P6712" s="1">
        <v>81</v>
      </c>
      <c r="Q6712" s="1" t="s">
        <v>42</v>
      </c>
      <c r="S6712" s="1" t="s">
        <v>42</v>
      </c>
      <c r="T6712" s="1" t="s">
        <v>273</v>
      </c>
      <c r="U6712" s="1">
        <v>1015</v>
      </c>
      <c r="V6712" s="5">
        <v>43721</v>
      </c>
      <c r="W6712" s="5">
        <v>42702</v>
      </c>
      <c r="AA6712" s="1">
        <v>8636284</v>
      </c>
      <c r="AB6712" s="1" t="s">
        <v>275</v>
      </c>
      <c r="AC6712" s="5">
        <v>43718</v>
      </c>
      <c r="AF6712" s="1">
        <v>10001</v>
      </c>
      <c r="AJ6712" s="1">
        <v>2018</v>
      </c>
      <c r="AK6712" s="1" t="s">
        <v>49</v>
      </c>
      <c r="AL6712" s="1">
        <v>285</v>
      </c>
    </row>
    <row r="6713" spans="1:38" x14ac:dyDescent="0.2">
      <c r="A6713" s="2" t="str">
        <f>HYPERLINK("https://www.compass.com/listing/15-hudson-yards-unit-33a-manhattan-ny-10001/339657060693675185/","15 Hudson Yards, Unit 33A")</f>
        <v>15 Hudson Yards, Unit 33A</v>
      </c>
      <c r="B6713" s="2" t="str">
        <f t="shared" si="1057"/>
        <v>Fifteen Hudson Yards</v>
      </c>
      <c r="C6713" s="1" t="s">
        <v>77</v>
      </c>
      <c r="D6713" s="1" t="s">
        <v>41</v>
      </c>
      <c r="E6713" s="3">
        <v>4953750</v>
      </c>
      <c r="F6713" s="1">
        <v>2784.5699831365901</v>
      </c>
      <c r="G6713" s="1">
        <v>4</v>
      </c>
      <c r="H6713" s="1">
        <v>2</v>
      </c>
      <c r="I6713" s="1">
        <v>3</v>
      </c>
      <c r="J6713" s="1">
        <v>2.5</v>
      </c>
      <c r="K6713" s="1">
        <v>2</v>
      </c>
      <c r="L6713" s="1">
        <v>1</v>
      </c>
      <c r="M6713" s="4">
        <v>1779</v>
      </c>
      <c r="N6713" s="1">
        <v>3980</v>
      </c>
      <c r="O6713" s="1">
        <v>4035</v>
      </c>
      <c r="P6713" s="1">
        <v>55</v>
      </c>
      <c r="Q6713" s="1" t="s">
        <v>42</v>
      </c>
      <c r="S6713" s="1" t="s">
        <v>42</v>
      </c>
      <c r="T6713" s="1" t="s">
        <v>273</v>
      </c>
      <c r="U6713" s="1">
        <v>166</v>
      </c>
      <c r="V6713" s="5">
        <v>43721</v>
      </c>
      <c r="W6713" s="5">
        <v>43553</v>
      </c>
      <c r="AA6713" s="1">
        <v>4953750</v>
      </c>
      <c r="AB6713" s="1" t="s">
        <v>4939</v>
      </c>
      <c r="AC6713" s="5">
        <v>43719</v>
      </c>
      <c r="AF6713" s="1">
        <v>10001</v>
      </c>
      <c r="AJ6713" s="1">
        <v>2018</v>
      </c>
      <c r="AK6713" s="1" t="s">
        <v>49</v>
      </c>
      <c r="AL6713" s="1">
        <v>285</v>
      </c>
    </row>
    <row r="6714" spans="1:38" x14ac:dyDescent="0.2">
      <c r="A6714" s="2" t="str">
        <f>HYPERLINK("https://www.compass.com/listing/108-leonard-street-unit-5a-manhattan-ny-10013/343152845255233233/","108 Leonard St, Unit 5A")</f>
        <v>108 Leonard St, Unit 5A</v>
      </c>
      <c r="B6714" s="2" t="str">
        <f>HYPERLINK("https://www.compass.com/building/108-leonard-st-manhattan-ny-10013/307456049610778277/","108 Leonard St")</f>
        <v>108 Leonard St</v>
      </c>
      <c r="C6714" s="1" t="s">
        <v>113</v>
      </c>
      <c r="D6714" s="1" t="s">
        <v>41</v>
      </c>
      <c r="E6714" s="3">
        <v>3744526</v>
      </c>
      <c r="F6714" s="1">
        <v>2125.1567820658302</v>
      </c>
      <c r="M6714" s="4">
        <v>1762</v>
      </c>
      <c r="Q6714" s="1" t="s">
        <v>42</v>
      </c>
      <c r="S6714" s="1" t="s">
        <v>42</v>
      </c>
      <c r="T6714" s="1" t="s">
        <v>273</v>
      </c>
      <c r="AA6714" s="1">
        <v>3744526.25</v>
      </c>
      <c r="AB6714" s="1" t="s">
        <v>4940</v>
      </c>
      <c r="AC6714" s="5">
        <v>43705</v>
      </c>
      <c r="AF6714" s="1">
        <v>10013</v>
      </c>
      <c r="AI6714" s="1" t="s">
        <v>78</v>
      </c>
      <c r="AJ6714" s="1">
        <v>1899</v>
      </c>
      <c r="AK6714" s="1" t="s">
        <v>55</v>
      </c>
      <c r="AL6714" s="1">
        <v>167</v>
      </c>
    </row>
    <row r="6715" spans="1:38" x14ac:dyDescent="0.2">
      <c r="A6715" s="2" t="str">
        <f>HYPERLINK("https://www.compass.com/listing/527-west-27th-street-unit-2a-manhattan-ny-10001/345330989082490497/","527 W 27th St, Unit 2A")</f>
        <v>527 W 27th St, Unit 2A</v>
      </c>
      <c r="B6715" s="2" t="str">
        <f>HYPERLINK("https://www.compass.com/building/jardim-manhattan-ny/282062246220171157/","Jardim")</f>
        <v>Jardim</v>
      </c>
      <c r="C6715" s="1" t="s">
        <v>62</v>
      </c>
      <c r="D6715" s="1" t="s">
        <v>41</v>
      </c>
      <c r="E6715" s="3">
        <v>6100000</v>
      </c>
      <c r="F6715" s="1">
        <v>2384.6755277560501</v>
      </c>
      <c r="M6715" s="4">
        <v>2558</v>
      </c>
      <c r="Q6715" s="1" t="s">
        <v>42</v>
      </c>
      <c r="S6715" s="1" t="s">
        <v>42</v>
      </c>
      <c r="T6715" s="1" t="s">
        <v>273</v>
      </c>
      <c r="AA6715" s="1">
        <v>6100000</v>
      </c>
      <c r="AB6715" s="1" t="s">
        <v>4941</v>
      </c>
      <c r="AC6715" s="5">
        <v>43718</v>
      </c>
      <c r="AF6715" s="1">
        <v>10001</v>
      </c>
      <c r="AI6715" s="1" t="s">
        <v>65</v>
      </c>
      <c r="AJ6715" s="1">
        <v>2017</v>
      </c>
      <c r="AK6715" s="1" t="s">
        <v>202</v>
      </c>
      <c r="AL6715" s="1">
        <v>36</v>
      </c>
    </row>
    <row r="6716" spans="1:38" x14ac:dyDescent="0.2">
      <c r="A6716" s="2" t="str">
        <f>HYPERLINK("https://www.compass.com/listing/121-east-22nd-street-unit-n408-manhattan-ny-10010/345332847528291345/","121 E 22nd St, Unit N408")</f>
        <v>121 E 22nd St, Unit N408</v>
      </c>
      <c r="B6716" s="2" t="str">
        <f>HYPERLINK("https://www.compass.com/building/121-e-22nd-manhattan-ny/292795784653461493/","121 E 22nd")</f>
        <v>121 E 22nd</v>
      </c>
      <c r="C6716" s="1" t="s">
        <v>64</v>
      </c>
      <c r="D6716" s="1" t="s">
        <v>41</v>
      </c>
      <c r="E6716" s="3">
        <v>3151484</v>
      </c>
      <c r="F6716" s="1">
        <v>1846.2119214997001</v>
      </c>
      <c r="M6716" s="4">
        <v>1707</v>
      </c>
      <c r="Q6716" s="1" t="s">
        <v>42</v>
      </c>
      <c r="S6716" s="1" t="s">
        <v>42</v>
      </c>
      <c r="T6716" s="1" t="s">
        <v>273</v>
      </c>
      <c r="AA6716" s="1">
        <v>3151483.75</v>
      </c>
      <c r="AB6716" s="1" t="s">
        <v>4942</v>
      </c>
      <c r="AC6716" s="5">
        <v>43693</v>
      </c>
      <c r="AF6716" s="1">
        <v>10010</v>
      </c>
      <c r="AI6716" s="1" t="s">
        <v>66</v>
      </c>
      <c r="AJ6716" s="1">
        <v>2016</v>
      </c>
      <c r="AK6716" s="1" t="s">
        <v>55</v>
      </c>
      <c r="AL6716" s="1">
        <v>140</v>
      </c>
    </row>
    <row r="6717" spans="1:38" x14ac:dyDescent="0.2">
      <c r="A6717" s="2" t="str">
        <f>HYPERLINK("https://www.compass.com/listing/220-central-park-south-unit-54a-manhattan-ny-10019/348415975170606145/","220 Central Park S, Unit 54A")</f>
        <v>220 Central Park S, Unit 54A</v>
      </c>
      <c r="B6717" s="2" t="str">
        <f>HYPERLINK("https://www.compass.com/building/220-central-park-south-manhattan-ny/281944232648828453/","220 Central Park South")</f>
        <v>220 Central Park South</v>
      </c>
      <c r="C6717" s="1" t="s">
        <v>260</v>
      </c>
      <c r="D6717" s="1" t="s">
        <v>41</v>
      </c>
      <c r="E6717" s="3">
        <v>38184375</v>
      </c>
      <c r="F6717" s="1">
        <v>7931.94329040299</v>
      </c>
      <c r="G6717" s="1">
        <v>7</v>
      </c>
      <c r="H6717" s="1">
        <v>4</v>
      </c>
      <c r="I6717" s="1">
        <v>5</v>
      </c>
      <c r="J6717" s="1">
        <v>4.5</v>
      </c>
      <c r="K6717" s="1">
        <v>4</v>
      </c>
      <c r="L6717" s="1">
        <v>1</v>
      </c>
      <c r="M6717" s="4">
        <v>4814</v>
      </c>
      <c r="N6717" s="1">
        <v>10015</v>
      </c>
      <c r="O6717" s="1">
        <v>18601</v>
      </c>
      <c r="P6717" s="1">
        <v>8586</v>
      </c>
      <c r="Q6717" s="1" t="s">
        <v>42</v>
      </c>
      <c r="S6717" s="1" t="s">
        <v>42</v>
      </c>
      <c r="T6717" s="1" t="s">
        <v>273</v>
      </c>
      <c r="U6717" s="1">
        <v>1633</v>
      </c>
      <c r="V6717" s="5">
        <v>43777</v>
      </c>
      <c r="W6717" s="5">
        <v>42094</v>
      </c>
      <c r="X6717" s="1">
        <v>37500000</v>
      </c>
      <c r="Y6717" s="1">
        <v>37500000</v>
      </c>
      <c r="AA6717" s="1">
        <v>38184375</v>
      </c>
      <c r="AB6717" s="1" t="s">
        <v>4943</v>
      </c>
      <c r="AC6717" s="5">
        <v>43727</v>
      </c>
      <c r="AF6717" s="1">
        <v>10019</v>
      </c>
      <c r="AI6717" s="1" t="s">
        <v>101</v>
      </c>
      <c r="AJ6717" s="1">
        <v>2018</v>
      </c>
      <c r="AK6717" s="1" t="s">
        <v>46</v>
      </c>
      <c r="AL6717" s="1">
        <v>117</v>
      </c>
    </row>
    <row r="6718" spans="1:38" x14ac:dyDescent="0.2">
      <c r="A6718" s="2" t="str">
        <f>HYPERLINK("https://www.compass.com/listing/252-south-street-unit-24d-manhattan-ny-10002/350399187100139681/","252 South St, Unit 24D")</f>
        <v>252 South St, Unit 24D</v>
      </c>
      <c r="B6718" s="2" t="str">
        <f>HYPERLINK("https://www.compass.com/building/one-manhattan-square-manhattan-ny/294844950218926165/","One Manhattan Square")</f>
        <v>One Manhattan Square</v>
      </c>
      <c r="C6718" s="1" t="s">
        <v>47</v>
      </c>
      <c r="D6718" s="1" t="s">
        <v>41</v>
      </c>
      <c r="E6718" s="3">
        <v>2490057</v>
      </c>
      <c r="F6718" s="1">
        <v>2217.3262511130802</v>
      </c>
      <c r="M6718" s="4">
        <v>1123</v>
      </c>
      <c r="Q6718" s="1" t="s">
        <v>42</v>
      </c>
      <c r="S6718" s="1" t="s">
        <v>42</v>
      </c>
      <c r="T6718" s="1" t="s">
        <v>273</v>
      </c>
      <c r="AA6718" s="1">
        <v>2490057.38</v>
      </c>
      <c r="AB6718" s="1" t="s">
        <v>4944</v>
      </c>
      <c r="AC6718" s="5">
        <v>43725</v>
      </c>
      <c r="AF6718" s="1">
        <v>10002</v>
      </c>
      <c r="AI6718" s="1" t="s">
        <v>66</v>
      </c>
      <c r="AJ6718" s="1">
        <v>2019</v>
      </c>
      <c r="AK6718" s="1" t="s">
        <v>49</v>
      </c>
      <c r="AL6718" s="1">
        <v>787</v>
      </c>
    </row>
    <row r="6719" spans="1:38" x14ac:dyDescent="0.2">
      <c r="A6719" s="2" t="str">
        <f>HYPERLINK("https://www.compass.com/listing/160-leroy-street-unit-11an-manhattan-ny-10014/35168857014431297/","160 Leroy St, Unit 11AN")</f>
        <v>160 Leroy St, Unit 11AN</v>
      </c>
      <c r="B6719" s="2" t="str">
        <f>HYPERLINK("https://www.compass.com/building/160-leroy-st-manhattan-ny-10014/293418469918017093/","160 Leroy St")</f>
        <v>160 Leroy St</v>
      </c>
      <c r="C6719" s="1" t="s">
        <v>67</v>
      </c>
      <c r="D6719" s="1" t="s">
        <v>41</v>
      </c>
      <c r="E6719" s="3">
        <v>7168038</v>
      </c>
      <c r="Q6719" s="1" t="s">
        <v>42</v>
      </c>
      <c r="S6719" s="1" t="s">
        <v>42</v>
      </c>
      <c r="T6719" s="1" t="s">
        <v>273</v>
      </c>
      <c r="AA6719" s="1">
        <v>7168037.5</v>
      </c>
      <c r="AB6719" s="1" t="s">
        <v>4945</v>
      </c>
      <c r="AC6719" s="5">
        <v>43292</v>
      </c>
      <c r="AF6719" s="1">
        <v>10014</v>
      </c>
      <c r="AI6719" s="1" t="s">
        <v>65</v>
      </c>
      <c r="AJ6719" s="1">
        <v>2017</v>
      </c>
      <c r="AK6719" s="1" t="s">
        <v>202</v>
      </c>
      <c r="AL6719" s="1">
        <v>57</v>
      </c>
    </row>
    <row r="6720" spans="1:38" x14ac:dyDescent="0.2">
      <c r="A6720" s="2" t="str">
        <f>HYPERLINK("https://www.compass.com/listing/220-central-park-south-unit-47-manhattan-ny-10019/353613566518858817/","220 Central Park S, Unit 47")</f>
        <v>220 Central Park S, Unit 47</v>
      </c>
      <c r="B6720" s="2" t="str">
        <f>HYPERLINK("https://www.compass.com/building/220-central-park-south-manhattan-ny/281944232648828453/","220 Central Park South")</f>
        <v>220 Central Park South</v>
      </c>
      <c r="C6720" s="1" t="s">
        <v>260</v>
      </c>
      <c r="D6720" s="1" t="s">
        <v>41</v>
      </c>
      <c r="E6720" s="3">
        <v>61000000</v>
      </c>
      <c r="F6720" s="1">
        <v>9255.0447580033306</v>
      </c>
      <c r="G6720" s="1">
        <v>8</v>
      </c>
      <c r="H6720" s="1">
        <v>5</v>
      </c>
      <c r="I6720" s="1">
        <v>8</v>
      </c>
      <c r="J6720" s="1">
        <v>7</v>
      </c>
      <c r="K6720" s="1">
        <v>6</v>
      </c>
      <c r="L6720" s="1">
        <v>2</v>
      </c>
      <c r="M6720" s="4">
        <v>6591</v>
      </c>
      <c r="N6720" s="1">
        <v>13895</v>
      </c>
      <c r="O6720" s="1">
        <v>25807</v>
      </c>
      <c r="P6720" s="1">
        <v>11912</v>
      </c>
      <c r="Q6720" s="1" t="s">
        <v>42</v>
      </c>
      <c r="S6720" s="1" t="s">
        <v>42</v>
      </c>
      <c r="T6720" s="1" t="s">
        <v>273</v>
      </c>
      <c r="U6720" s="1">
        <v>1016</v>
      </c>
      <c r="V6720" s="5">
        <v>43777</v>
      </c>
      <c r="W6720" s="5">
        <v>42717</v>
      </c>
      <c r="X6720" s="1">
        <v>63000000</v>
      </c>
      <c r="Y6720" s="1">
        <v>63000000</v>
      </c>
      <c r="AA6720" s="1">
        <v>61000000</v>
      </c>
      <c r="AB6720" s="1" t="s">
        <v>4946</v>
      </c>
      <c r="AC6720" s="5">
        <v>43734</v>
      </c>
      <c r="AF6720" s="1">
        <v>10019</v>
      </c>
      <c r="AI6720" s="1" t="s">
        <v>101</v>
      </c>
      <c r="AJ6720" s="1">
        <v>2018</v>
      </c>
      <c r="AK6720" s="1" t="s">
        <v>46</v>
      </c>
      <c r="AL6720" s="1">
        <v>117</v>
      </c>
    </row>
    <row r="6721" spans="1:38" x14ac:dyDescent="0.2">
      <c r="A6721" s="2" t="str">
        <f>HYPERLINK("https://www.compass.com/listing/15-hudson-yards-unit-79f-manhattan-ny-10001/357904814055949105/","15 Hudson Yards, Unit 79F")</f>
        <v>15 Hudson Yards, Unit 79F</v>
      </c>
      <c r="B6721" s="2" t="str">
        <f>HYPERLINK("https://www.compass.com/building/fifteen-hudson-yards-manhattan-ny/282058587512011909/","Fifteen Hudson Yards")</f>
        <v>Fifteen Hudson Yards</v>
      </c>
      <c r="C6721" s="1" t="s">
        <v>77</v>
      </c>
      <c r="D6721" s="1" t="s">
        <v>41</v>
      </c>
      <c r="E6721" s="3">
        <v>5033750</v>
      </c>
      <c r="F6721" s="1">
        <v>3058.1713244228399</v>
      </c>
      <c r="G6721" s="1">
        <v>4</v>
      </c>
      <c r="H6721" s="1">
        <v>2</v>
      </c>
      <c r="I6721" s="1">
        <v>2</v>
      </c>
      <c r="J6721" s="1">
        <v>1.5</v>
      </c>
      <c r="K6721" s="1">
        <v>1</v>
      </c>
      <c r="L6721" s="1">
        <v>1</v>
      </c>
      <c r="M6721" s="4">
        <v>1646</v>
      </c>
      <c r="N6721" s="1">
        <v>3810</v>
      </c>
      <c r="O6721" s="1">
        <v>3863</v>
      </c>
      <c r="P6721" s="1">
        <v>53</v>
      </c>
      <c r="Q6721" s="1" t="s">
        <v>42</v>
      </c>
      <c r="S6721" s="1" t="s">
        <v>42</v>
      </c>
      <c r="T6721" s="1" t="s">
        <v>273</v>
      </c>
      <c r="U6721" s="1">
        <v>491</v>
      </c>
      <c r="V6721" s="5">
        <v>43775</v>
      </c>
      <c r="W6721" s="5">
        <v>43236</v>
      </c>
      <c r="AA6721" s="1">
        <v>5033750</v>
      </c>
      <c r="AB6721" s="1" t="s">
        <v>275</v>
      </c>
      <c r="AC6721" s="5">
        <v>43727</v>
      </c>
      <c r="AF6721" s="1">
        <v>10001</v>
      </c>
      <c r="AJ6721" s="1">
        <v>2018</v>
      </c>
      <c r="AK6721" s="1" t="s">
        <v>49</v>
      </c>
      <c r="AL6721" s="1">
        <v>285</v>
      </c>
    </row>
    <row r="6722" spans="1:38" x14ac:dyDescent="0.2">
      <c r="A6722" s="2" t="str">
        <f>HYPERLINK("https://www.compass.com/listing/355-east-19th-street-unit-1-manhattan-ny-10003/35906675923774161/","355 E 19th St, Unit 1")</f>
        <v>355 E 19th St, Unit 1</v>
      </c>
      <c r="B6722" s="2" t="str">
        <f>HYPERLINK("https://www.compass.com/building/355-e-19th-st-manhattan-ny-10003/281893275755879157/","355 E 19th St")</f>
        <v>355 E 19th St</v>
      </c>
      <c r="C6722" s="1" t="s">
        <v>64</v>
      </c>
      <c r="D6722" s="1" t="s">
        <v>41</v>
      </c>
      <c r="E6722" s="3">
        <v>3279656</v>
      </c>
      <c r="F6722" s="1">
        <v>1231.5644949305199</v>
      </c>
      <c r="M6722" s="4">
        <v>2663</v>
      </c>
      <c r="Q6722" s="1" t="s">
        <v>42</v>
      </c>
      <c r="S6722" s="1" t="s">
        <v>42</v>
      </c>
      <c r="T6722" s="1" t="s">
        <v>273</v>
      </c>
      <c r="AA6722" s="1">
        <v>3279656.25</v>
      </c>
      <c r="AB6722" s="1" t="s">
        <v>4947</v>
      </c>
      <c r="AC6722" s="5">
        <v>43280</v>
      </c>
      <c r="AF6722" s="1">
        <v>10003</v>
      </c>
      <c r="AI6722" s="1" t="s">
        <v>140</v>
      </c>
      <c r="AJ6722" s="1">
        <v>2015</v>
      </c>
      <c r="AL6722" s="1">
        <v>7</v>
      </c>
    </row>
    <row r="6723" spans="1:38" x14ac:dyDescent="0.2">
      <c r="A6723" s="2" t="str">
        <f>HYPERLINK("https://www.compass.com/listing/15-hudson-yards-unit-68f-manhattan-ny-10001/359163168001111057/","15 Hudson Yards, Unit 68F")</f>
        <v>15 Hudson Yards, Unit 68F</v>
      </c>
      <c r="B6723" s="2" t="str">
        <f>HYPERLINK("https://www.compass.com/building/fifteen-hudson-yards-manhattan-ny/282058587512011909/","Fifteen Hudson Yards")</f>
        <v>Fifteen Hudson Yards</v>
      </c>
      <c r="C6723" s="1" t="s">
        <v>77</v>
      </c>
      <c r="D6723" s="1" t="s">
        <v>41</v>
      </c>
      <c r="E6723" s="3">
        <v>5044087</v>
      </c>
      <c r="F6723" s="1">
        <v>2800.7146029983301</v>
      </c>
      <c r="G6723" s="1">
        <v>4</v>
      </c>
      <c r="H6723" s="1">
        <v>2</v>
      </c>
      <c r="I6723" s="1">
        <v>3</v>
      </c>
      <c r="J6723" s="1">
        <v>2.5</v>
      </c>
      <c r="K6723" s="1">
        <v>2</v>
      </c>
      <c r="L6723" s="1">
        <v>1</v>
      </c>
      <c r="M6723" s="4">
        <v>1801</v>
      </c>
      <c r="N6723" s="1">
        <v>655</v>
      </c>
      <c r="O6723" s="1">
        <v>710</v>
      </c>
      <c r="P6723" s="1">
        <v>55</v>
      </c>
      <c r="Q6723" s="1" t="s">
        <v>42</v>
      </c>
      <c r="S6723" s="1" t="s">
        <v>42</v>
      </c>
      <c r="T6723" s="1" t="s">
        <v>273</v>
      </c>
      <c r="U6723" s="1">
        <v>972</v>
      </c>
      <c r="V6723" s="5">
        <v>43747</v>
      </c>
      <c r="W6723" s="5">
        <v>42740</v>
      </c>
      <c r="X6723" s="1">
        <v>4950000</v>
      </c>
      <c r="Y6723" s="1">
        <v>4950000</v>
      </c>
      <c r="AA6723" s="1">
        <v>5044087</v>
      </c>
      <c r="AB6723" s="1" t="s">
        <v>275</v>
      </c>
      <c r="AC6723" s="5">
        <v>43713</v>
      </c>
      <c r="AF6723" s="1">
        <v>10001</v>
      </c>
      <c r="AJ6723" s="1">
        <v>2018</v>
      </c>
      <c r="AK6723" s="1" t="s">
        <v>49</v>
      </c>
      <c r="AL6723" s="1">
        <v>285</v>
      </c>
    </row>
    <row r="6724" spans="1:38" x14ac:dyDescent="0.2">
      <c r="A6724" s="2" t="str">
        <f>HYPERLINK("https://www.compass.com/listing/108-leonard-street-unit-6e-manhattan-ny-10013/360547085008132609/","108 Leonard St, Unit 6E")</f>
        <v>108 Leonard St, Unit 6E</v>
      </c>
      <c r="B6724" s="2" t="str">
        <f>HYPERLINK("https://www.compass.com/building/108-leonard-st-manhattan-ny-10013/307456049610778277/","108 Leonard St")</f>
        <v>108 Leonard St</v>
      </c>
      <c r="C6724" s="1" t="s">
        <v>113</v>
      </c>
      <c r="D6724" s="1" t="s">
        <v>41</v>
      </c>
      <c r="E6724" s="3">
        <v>2458159</v>
      </c>
      <c r="F6724" s="1">
        <v>1889.4379784780899</v>
      </c>
      <c r="M6724" s="4">
        <v>1301</v>
      </c>
      <c r="Q6724" s="1" t="s">
        <v>42</v>
      </c>
      <c r="S6724" s="1" t="s">
        <v>42</v>
      </c>
      <c r="T6724" s="1" t="s">
        <v>273</v>
      </c>
      <c r="AA6724" s="1">
        <v>2458158.81</v>
      </c>
      <c r="AB6724" s="1" t="s">
        <v>4948</v>
      </c>
      <c r="AC6724" s="5">
        <v>43734</v>
      </c>
      <c r="AF6724" s="1">
        <v>10013</v>
      </c>
      <c r="AI6724" s="1" t="s">
        <v>78</v>
      </c>
      <c r="AJ6724" s="1">
        <v>1899</v>
      </c>
      <c r="AK6724" s="1" t="s">
        <v>55</v>
      </c>
      <c r="AL6724" s="1">
        <v>167</v>
      </c>
    </row>
    <row r="6725" spans="1:38" x14ac:dyDescent="0.2">
      <c r="A6725" s="2" t="str">
        <f>HYPERLINK("https://www.compass.com/listing/70-west-139th-street-unit-1i-manhattan-ny-10037/360563746746393985/","70 W 139th St, Unit 1I")</f>
        <v>70 W 139th St, Unit 1I</v>
      </c>
      <c r="B6725" s="2" t="str">
        <f t="shared" ref="B6725:B6727" si="1058">HYPERLINK("https://www.compass.com/building/70-w-139th-st-manhattan-ny-10037/292920118235647477/","70 W 139th St")</f>
        <v>70 W 139th St</v>
      </c>
      <c r="C6725" s="1" t="s">
        <v>84</v>
      </c>
      <c r="D6725" s="1" t="s">
        <v>41</v>
      </c>
      <c r="E6725" s="3">
        <v>465381</v>
      </c>
      <c r="F6725" s="1">
        <v>694.59850746268603</v>
      </c>
      <c r="M6725" s="1">
        <v>670</v>
      </c>
      <c r="Q6725" s="1" t="s">
        <v>42</v>
      </c>
      <c r="S6725" s="1" t="s">
        <v>42</v>
      </c>
      <c r="T6725" s="1" t="s">
        <v>273</v>
      </c>
      <c r="AA6725" s="1">
        <v>465381</v>
      </c>
      <c r="AB6725" s="1" t="s">
        <v>4949</v>
      </c>
      <c r="AC6725" s="5">
        <v>43734</v>
      </c>
      <c r="AF6725" s="1">
        <v>10037</v>
      </c>
      <c r="AI6725" s="1" t="s">
        <v>48</v>
      </c>
      <c r="AJ6725" s="1">
        <v>2018</v>
      </c>
      <c r="AL6725" s="1">
        <v>64</v>
      </c>
    </row>
    <row r="6726" spans="1:38" x14ac:dyDescent="0.2">
      <c r="A6726" s="2" t="str">
        <f>HYPERLINK("https://www.compass.com/listing/70-west-139th-street-unit-3e-manhattan-ny-10037/360563751066383377/","70 W 139th St, Unit 3E")</f>
        <v>70 W 139th St, Unit 3E</v>
      </c>
      <c r="B6726" s="2" t="str">
        <f t="shared" si="1058"/>
        <v>70 W 139th St</v>
      </c>
      <c r="C6726" s="1" t="s">
        <v>84</v>
      </c>
      <c r="D6726" s="1" t="s">
        <v>41</v>
      </c>
      <c r="E6726" s="3">
        <v>533786</v>
      </c>
      <c r="F6726" s="1">
        <v>568.46219382321601</v>
      </c>
      <c r="M6726" s="1">
        <v>939</v>
      </c>
      <c r="Q6726" s="1" t="s">
        <v>42</v>
      </c>
      <c r="S6726" s="1" t="s">
        <v>42</v>
      </c>
      <c r="T6726" s="1" t="s">
        <v>273</v>
      </c>
      <c r="AA6726" s="1">
        <v>533786</v>
      </c>
      <c r="AB6726" s="1" t="s">
        <v>4950</v>
      </c>
      <c r="AC6726" s="5">
        <v>43735</v>
      </c>
      <c r="AF6726" s="1">
        <v>10037</v>
      </c>
      <c r="AI6726" s="1" t="s">
        <v>48</v>
      </c>
      <c r="AJ6726" s="1">
        <v>2018</v>
      </c>
      <c r="AL6726" s="1">
        <v>64</v>
      </c>
    </row>
    <row r="6727" spans="1:38" x14ac:dyDescent="0.2">
      <c r="A6727" s="2" t="str">
        <f>HYPERLINK("https://www.compass.com/listing/70-west-139th-street-unit-5f-manhattan-ny-10037/360563757794048385/","70 W 139th St, Unit 5F")</f>
        <v>70 W 139th St, Unit 5F</v>
      </c>
      <c r="B6727" s="2" t="str">
        <f t="shared" si="1058"/>
        <v>70 W 139th St</v>
      </c>
      <c r="C6727" s="1" t="s">
        <v>84</v>
      </c>
      <c r="D6727" s="1" t="s">
        <v>41</v>
      </c>
      <c r="E6727" s="3">
        <v>533786</v>
      </c>
      <c r="F6727" s="1">
        <v>567.25398512221</v>
      </c>
      <c r="M6727" s="1">
        <v>941</v>
      </c>
      <c r="Q6727" s="1" t="s">
        <v>42</v>
      </c>
      <c r="S6727" s="1" t="s">
        <v>42</v>
      </c>
      <c r="T6727" s="1" t="s">
        <v>273</v>
      </c>
      <c r="AA6727" s="1">
        <v>533786</v>
      </c>
      <c r="AB6727" s="1" t="s">
        <v>4951</v>
      </c>
      <c r="AC6727" s="5">
        <v>43739</v>
      </c>
      <c r="AF6727" s="1">
        <v>10037</v>
      </c>
      <c r="AI6727" s="1" t="s">
        <v>48</v>
      </c>
      <c r="AJ6727" s="1">
        <v>2018</v>
      </c>
      <c r="AL6727" s="1">
        <v>64</v>
      </c>
    </row>
    <row r="6728" spans="1:38" x14ac:dyDescent="0.2">
      <c r="A6728" s="2" t="str">
        <f>HYPERLINK("https://www.compass.com/listing/108-leonard-street-unit-6i-manhattan-ny-10013/363446353280466321/","108 Leonard St, Unit 6I")</f>
        <v>108 Leonard St, Unit 6I</v>
      </c>
      <c r="B6728" s="2" t="str">
        <f>HYPERLINK("https://www.compass.com/building/108-leonard-st-manhattan-ny-10013/307456049610778277/","108 Leonard St")</f>
        <v>108 Leonard St</v>
      </c>
      <c r="C6728" s="1" t="s">
        <v>113</v>
      </c>
      <c r="D6728" s="1" t="s">
        <v>41</v>
      </c>
      <c r="E6728" s="3">
        <v>1988410</v>
      </c>
      <c r="F6728" s="1">
        <v>1748.8210378188201</v>
      </c>
      <c r="M6728" s="4">
        <v>1137</v>
      </c>
      <c r="Q6728" s="1" t="s">
        <v>42</v>
      </c>
      <c r="S6728" s="1" t="s">
        <v>42</v>
      </c>
      <c r="T6728" s="1" t="s">
        <v>273</v>
      </c>
      <c r="AA6728" s="1">
        <v>1988409.52</v>
      </c>
      <c r="AB6728" s="1" t="s">
        <v>4952</v>
      </c>
      <c r="AC6728" s="5">
        <v>43735</v>
      </c>
      <c r="AF6728" s="1">
        <v>10013</v>
      </c>
      <c r="AI6728" s="1" t="s">
        <v>78</v>
      </c>
      <c r="AJ6728" s="1">
        <v>1899</v>
      </c>
      <c r="AK6728" s="1" t="s">
        <v>55</v>
      </c>
      <c r="AL6728" s="1">
        <v>167</v>
      </c>
    </row>
    <row r="6729" spans="1:38" x14ac:dyDescent="0.2">
      <c r="A6729" s="2" t="str">
        <f>HYPERLINK("https://www.compass.com/listing/70-west-139th-street-unit-5a-manhattan-ny-10037/363464186303456257/","70 W 139th St, Unit 5A")</f>
        <v>70 W 139th St, Unit 5A</v>
      </c>
      <c r="B6729" s="2" t="str">
        <f>HYPERLINK("https://www.compass.com/building/70-w-139th-st-manhattan-ny-10037/292920118235647477/","70 W 139th St")</f>
        <v>70 W 139th St</v>
      </c>
      <c r="C6729" s="1" t="s">
        <v>84</v>
      </c>
      <c r="D6729" s="1" t="s">
        <v>41</v>
      </c>
      <c r="E6729" s="3">
        <v>464381</v>
      </c>
      <c r="F6729" s="1">
        <v>725.59531249999998</v>
      </c>
      <c r="M6729" s="1">
        <v>640</v>
      </c>
      <c r="Q6729" s="1" t="s">
        <v>42</v>
      </c>
      <c r="S6729" s="1" t="s">
        <v>42</v>
      </c>
      <c r="T6729" s="1" t="s">
        <v>273</v>
      </c>
      <c r="AA6729" s="1">
        <v>464381</v>
      </c>
      <c r="AB6729" s="1" t="s">
        <v>4953</v>
      </c>
      <c r="AC6729" s="5">
        <v>43738</v>
      </c>
      <c r="AF6729" s="1">
        <v>10037</v>
      </c>
      <c r="AI6729" s="1" t="s">
        <v>48</v>
      </c>
      <c r="AJ6729" s="1">
        <v>2018</v>
      </c>
      <c r="AL6729" s="1">
        <v>64</v>
      </c>
    </row>
    <row r="6730" spans="1:38" x14ac:dyDescent="0.2">
      <c r="A6730" s="2" t="str">
        <f>HYPERLINK("https://www.compass.com/listing/15-hudson-yards-unit-31c-manhattan-ny-10001/363888054401609489/","15 Hudson Yards, Unit 31C")</f>
        <v>15 Hudson Yards, Unit 31C</v>
      </c>
      <c r="B6730" s="2" t="str">
        <f>HYPERLINK("https://www.compass.com/building/fifteen-hudson-yards-manhattan-ny/282058587512011909/","Fifteen Hudson Yards")</f>
        <v>Fifteen Hudson Yards</v>
      </c>
      <c r="C6730" s="1" t="s">
        <v>77</v>
      </c>
      <c r="D6730" s="1" t="s">
        <v>41</v>
      </c>
      <c r="E6730" s="3">
        <v>4675000</v>
      </c>
      <c r="F6730" s="1">
        <v>2817.9626280892098</v>
      </c>
      <c r="G6730" s="1">
        <v>4</v>
      </c>
      <c r="H6730" s="1">
        <v>2</v>
      </c>
      <c r="I6730" s="1">
        <v>3</v>
      </c>
      <c r="J6730" s="1">
        <v>2.5</v>
      </c>
      <c r="K6730" s="1">
        <v>2</v>
      </c>
      <c r="L6730" s="1">
        <v>1</v>
      </c>
      <c r="M6730" s="4">
        <v>1659</v>
      </c>
      <c r="N6730" s="1">
        <v>3707</v>
      </c>
      <c r="O6730" s="1">
        <v>3759</v>
      </c>
      <c r="P6730" s="1">
        <v>52</v>
      </c>
      <c r="Q6730" s="1" t="s">
        <v>42</v>
      </c>
      <c r="S6730" s="1" t="s">
        <v>42</v>
      </c>
      <c r="T6730" s="1" t="s">
        <v>273</v>
      </c>
      <c r="U6730" s="1">
        <v>1041</v>
      </c>
      <c r="V6730" s="5">
        <v>43754</v>
      </c>
      <c r="W6730" s="5">
        <v>42711</v>
      </c>
      <c r="X6730" s="1">
        <v>4675000</v>
      </c>
      <c r="Y6730" s="1">
        <v>4675000</v>
      </c>
      <c r="AA6730" s="1">
        <v>4675000</v>
      </c>
      <c r="AB6730" s="1" t="s">
        <v>275</v>
      </c>
      <c r="AC6730" s="5">
        <v>43753</v>
      </c>
      <c r="AF6730" s="1">
        <v>10001</v>
      </c>
      <c r="AJ6730" s="1">
        <v>2018</v>
      </c>
      <c r="AK6730" s="1" t="s">
        <v>49</v>
      </c>
      <c r="AL6730" s="1">
        <v>285</v>
      </c>
    </row>
    <row r="6731" spans="1:38" x14ac:dyDescent="0.2">
      <c r="A6731" s="2" t="str">
        <f>HYPERLINK("https://www.compass.com/listing/108-leonard-street-unit-5d-manhattan-ny-10013/364077622564340833/","108 Leonard St, Unit 5D")</f>
        <v>108 Leonard St, Unit 5D</v>
      </c>
      <c r="B6731" s="2" t="str">
        <f>HYPERLINK("https://www.compass.com/building/108-leonard-st-manhattan-ny-10013/307456049610778277/","108 Leonard St")</f>
        <v>108 Leonard St</v>
      </c>
      <c r="C6731" s="1" t="s">
        <v>113</v>
      </c>
      <c r="D6731" s="1" t="s">
        <v>41</v>
      </c>
      <c r="E6731" s="3">
        <v>1646870</v>
      </c>
      <c r="F6731" s="1">
        <v>1761.3584598930399</v>
      </c>
      <c r="M6731" s="1">
        <v>935</v>
      </c>
      <c r="Q6731" s="1" t="s">
        <v>42</v>
      </c>
      <c r="S6731" s="1" t="s">
        <v>42</v>
      </c>
      <c r="T6731" s="1" t="s">
        <v>273</v>
      </c>
      <c r="AA6731" s="1">
        <v>1646870.16</v>
      </c>
      <c r="AB6731" s="1" t="s">
        <v>4954</v>
      </c>
      <c r="AC6731" s="5">
        <v>43728</v>
      </c>
      <c r="AF6731" s="1">
        <v>10013</v>
      </c>
      <c r="AI6731" s="1" t="s">
        <v>78</v>
      </c>
      <c r="AJ6731" s="1">
        <v>1899</v>
      </c>
      <c r="AK6731" s="1" t="s">
        <v>55</v>
      </c>
      <c r="AL6731" s="1">
        <v>167</v>
      </c>
    </row>
    <row r="6732" spans="1:38" x14ac:dyDescent="0.2">
      <c r="A6732" s="2" t="str">
        <f>HYPERLINK("https://www.compass.com/listing/160-leroy-street-unit-11bn-manhattan-ny-10014/36614055519172849/","160 Leroy St, Unit 11BN")</f>
        <v>160 Leroy St, Unit 11BN</v>
      </c>
      <c r="B6732" s="2" t="str">
        <f>HYPERLINK("https://www.compass.com/building/160-leroy-st-manhattan-ny-10014/293418469918017093/","160 Leroy St")</f>
        <v>160 Leroy St</v>
      </c>
      <c r="C6732" s="1" t="s">
        <v>67</v>
      </c>
      <c r="D6732" s="1" t="s">
        <v>41</v>
      </c>
      <c r="E6732" s="3">
        <v>10750000</v>
      </c>
      <c r="F6732" s="1">
        <v>3850.2865329512802</v>
      </c>
      <c r="M6732" s="4">
        <v>2792</v>
      </c>
      <c r="Q6732" s="1" t="s">
        <v>42</v>
      </c>
      <c r="S6732" s="1" t="s">
        <v>42</v>
      </c>
      <c r="T6732" s="1" t="s">
        <v>273</v>
      </c>
      <c r="AA6732" s="1">
        <v>10750000</v>
      </c>
      <c r="AB6732" s="1" t="s">
        <v>4955</v>
      </c>
      <c r="AC6732" s="5">
        <v>43298</v>
      </c>
      <c r="AF6732" s="1">
        <v>10014</v>
      </c>
      <c r="AI6732" s="1" t="s">
        <v>65</v>
      </c>
      <c r="AJ6732" s="1">
        <v>2017</v>
      </c>
      <c r="AK6732" s="1" t="s">
        <v>202</v>
      </c>
      <c r="AL6732" s="1">
        <v>57</v>
      </c>
    </row>
    <row r="6733" spans="1:38" x14ac:dyDescent="0.2">
      <c r="A6733" s="2" t="str">
        <f>HYPERLINK("https://www.compass.com/listing/15-hudson-yards-unit-32c-manhattan-ny-10001/368002163360680193/","15 Hudson Yards, Unit 32C")</f>
        <v>15 Hudson Yards, Unit 32C</v>
      </c>
      <c r="B6733" s="2" t="str">
        <f>HYPERLINK("https://www.compass.com/building/fifteen-hudson-yards-manhattan-ny/282058587512011909/","Fifteen Hudson Yards")</f>
        <v>Fifteen Hudson Yards</v>
      </c>
      <c r="C6733" s="1" t="s">
        <v>77</v>
      </c>
      <c r="D6733" s="1" t="s">
        <v>41</v>
      </c>
      <c r="E6733" s="3">
        <v>4789525</v>
      </c>
      <c r="F6733" s="1">
        <v>2886.9951778179602</v>
      </c>
      <c r="G6733" s="1">
        <v>4</v>
      </c>
      <c r="H6733" s="1">
        <v>2</v>
      </c>
      <c r="I6733" s="1">
        <v>3</v>
      </c>
      <c r="J6733" s="1">
        <v>2.5</v>
      </c>
      <c r="K6733" s="1">
        <v>2</v>
      </c>
      <c r="L6733" s="1">
        <v>1</v>
      </c>
      <c r="M6733" s="4">
        <v>1659</v>
      </c>
      <c r="N6733" s="1">
        <v>3713</v>
      </c>
      <c r="O6733" s="1">
        <v>3765</v>
      </c>
      <c r="P6733" s="1">
        <v>52</v>
      </c>
      <c r="Q6733" s="1" t="s">
        <v>42</v>
      </c>
      <c r="S6733" s="1" t="s">
        <v>42</v>
      </c>
      <c r="T6733" s="1" t="s">
        <v>273</v>
      </c>
      <c r="U6733" s="1">
        <v>971</v>
      </c>
      <c r="V6733" s="5">
        <v>43868</v>
      </c>
      <c r="W6733" s="5">
        <v>42783</v>
      </c>
      <c r="AA6733" s="1">
        <v>4789525</v>
      </c>
      <c r="AB6733" s="1" t="s">
        <v>275</v>
      </c>
      <c r="AC6733" s="5">
        <v>43755</v>
      </c>
      <c r="AF6733" s="1">
        <v>10001</v>
      </c>
      <c r="AJ6733" s="1">
        <v>2018</v>
      </c>
      <c r="AK6733" s="1" t="s">
        <v>46</v>
      </c>
      <c r="AL6733" s="1">
        <v>285</v>
      </c>
    </row>
    <row r="6734" spans="1:38" x14ac:dyDescent="0.2">
      <c r="A6734" s="2" t="str">
        <f>HYPERLINK("https://www.compass.com/listing/50-west-street-unit-31b-manhattan-ny-10006/368008060687009057/","50 West St, Unit 31B")</f>
        <v>50 West St, Unit 31B</v>
      </c>
      <c r="B6734" s="2" t="str">
        <f>HYPERLINK("https://www.compass.com/building/50-west-st-manhattan-ny-10006/281896342152815429/","50 West St")</f>
        <v>50 West St</v>
      </c>
      <c r="C6734" s="1" t="s">
        <v>96</v>
      </c>
      <c r="D6734" s="1" t="s">
        <v>41</v>
      </c>
      <c r="E6734" s="3">
        <v>1532466</v>
      </c>
      <c r="F6734" s="1">
        <v>1409.8125574977</v>
      </c>
      <c r="M6734" s="4">
        <v>1087</v>
      </c>
      <c r="Q6734" s="1" t="s">
        <v>42</v>
      </c>
      <c r="S6734" s="1" t="s">
        <v>42</v>
      </c>
      <c r="T6734" s="1" t="s">
        <v>273</v>
      </c>
      <c r="AA6734" s="1">
        <v>1532466.25</v>
      </c>
      <c r="AB6734" s="1" t="s">
        <v>4956</v>
      </c>
      <c r="AC6734" s="5">
        <v>43745</v>
      </c>
      <c r="AF6734" s="1">
        <v>10006</v>
      </c>
      <c r="AI6734" s="1" t="s">
        <v>97</v>
      </c>
      <c r="AJ6734" s="1">
        <v>2016</v>
      </c>
      <c r="AK6734" s="1" t="s">
        <v>49</v>
      </c>
      <c r="AL6734" s="1">
        <v>186</v>
      </c>
    </row>
    <row r="6735" spans="1:38" x14ac:dyDescent="0.2">
      <c r="A6735" s="2" t="str">
        <f>HYPERLINK("https://www.compass.com/listing/111-murray-street-unit-28a-manhattan-ny-10007/368008876476917505/","111 Murray St, Unit 28A")</f>
        <v>111 Murray St, Unit 28A</v>
      </c>
      <c r="B6735" s="2" t="str">
        <f>HYPERLINK("https://www.compass.com/building/111-murray-st-manhattan-ny-10007/281896511862746053/","111 Murray St")</f>
        <v>111 Murray St</v>
      </c>
      <c r="C6735" s="1" t="s">
        <v>50</v>
      </c>
      <c r="D6735" s="1" t="s">
        <v>41</v>
      </c>
      <c r="E6735" s="3">
        <v>4100000</v>
      </c>
      <c r="F6735" s="1">
        <v>2573.7602008788399</v>
      </c>
      <c r="H6735" s="1">
        <v>2</v>
      </c>
      <c r="J6735" s="1">
        <v>2.5</v>
      </c>
      <c r="M6735" s="4">
        <v>1593</v>
      </c>
      <c r="N6735" s="1">
        <v>1815</v>
      </c>
      <c r="O6735" s="1">
        <v>4363</v>
      </c>
      <c r="P6735" s="1">
        <v>2548</v>
      </c>
      <c r="Q6735" s="1" t="s">
        <v>42</v>
      </c>
      <c r="S6735" s="1" t="s">
        <v>42</v>
      </c>
      <c r="T6735" s="1" t="s">
        <v>273</v>
      </c>
      <c r="AA6735" s="1">
        <v>4100000</v>
      </c>
      <c r="AB6735" s="1" t="s">
        <v>4957</v>
      </c>
      <c r="AC6735" s="5">
        <v>43735</v>
      </c>
      <c r="AF6735" s="1">
        <v>10007</v>
      </c>
      <c r="AI6735" s="1" t="s">
        <v>80</v>
      </c>
      <c r="AJ6735" s="1">
        <v>2018</v>
      </c>
      <c r="AK6735" s="1" t="s">
        <v>49</v>
      </c>
      <c r="AL6735" s="1">
        <v>157</v>
      </c>
    </row>
    <row r="6736" spans="1:38" x14ac:dyDescent="0.2">
      <c r="A6736" s="2" t="str">
        <f>HYPERLINK("https://www.compass.com/listing/108-leonard-street-unit-6k-manhattan-ny-10013/368008995454161521/","108 Leonard St, Unit 6K")</f>
        <v>108 Leonard St, Unit 6K</v>
      </c>
      <c r="B6736" s="2" t="str">
        <f t="shared" ref="B6736:B6737" si="1059">HYPERLINK("https://www.compass.com/building/108-leonard-st-manhattan-ny-10013/307456049610778277/","108 Leonard St")</f>
        <v>108 Leonard St</v>
      </c>
      <c r="C6736" s="1" t="s">
        <v>113</v>
      </c>
      <c r="D6736" s="1" t="s">
        <v>41</v>
      </c>
      <c r="E6736" s="3">
        <v>1781960</v>
      </c>
      <c r="F6736" s="1">
        <v>1893.6874176408</v>
      </c>
      <c r="M6736" s="1">
        <v>941</v>
      </c>
      <c r="Q6736" s="1" t="s">
        <v>42</v>
      </c>
      <c r="S6736" s="1" t="s">
        <v>42</v>
      </c>
      <c r="T6736" s="1" t="s">
        <v>273</v>
      </c>
      <c r="AA6736" s="1">
        <v>1781959.86</v>
      </c>
      <c r="AB6736" s="1" t="s">
        <v>4958</v>
      </c>
      <c r="AC6736" s="5">
        <v>43735</v>
      </c>
      <c r="AF6736" s="1">
        <v>10013</v>
      </c>
      <c r="AI6736" s="1" t="s">
        <v>78</v>
      </c>
      <c r="AJ6736" s="1">
        <v>1899</v>
      </c>
      <c r="AK6736" s="1" t="s">
        <v>55</v>
      </c>
      <c r="AL6736" s="1">
        <v>167</v>
      </c>
    </row>
    <row r="6737" spans="1:38" x14ac:dyDescent="0.2">
      <c r="A6737" s="2" t="str">
        <f>HYPERLINK("https://www.compass.com/listing/108-leonard-street-unit-7a-manhattan-ny-10013/368008996066948961/","108 Leonard St, Unit 7A")</f>
        <v>108 Leonard St, Unit 7A</v>
      </c>
      <c r="B6737" s="2" t="str">
        <f t="shared" si="1059"/>
        <v>108 Leonard St</v>
      </c>
      <c r="C6737" s="1" t="s">
        <v>113</v>
      </c>
      <c r="D6737" s="1" t="s">
        <v>41</v>
      </c>
      <c r="E6737" s="3">
        <v>3785717</v>
      </c>
      <c r="F6737" s="1">
        <v>2157.1039145299101</v>
      </c>
      <c r="M6737" s="4">
        <v>1755</v>
      </c>
      <c r="Q6737" s="1" t="s">
        <v>42</v>
      </c>
      <c r="S6737" s="1" t="s">
        <v>42</v>
      </c>
      <c r="T6737" s="1" t="s">
        <v>273</v>
      </c>
      <c r="AA6737" s="1">
        <v>3785717.37</v>
      </c>
      <c r="AB6737" s="1" t="s">
        <v>4959</v>
      </c>
      <c r="AC6737" s="5">
        <v>43726</v>
      </c>
      <c r="AF6737" s="1">
        <v>10013</v>
      </c>
      <c r="AI6737" s="1" t="s">
        <v>78</v>
      </c>
      <c r="AJ6737" s="1">
        <v>1899</v>
      </c>
      <c r="AK6737" s="1" t="s">
        <v>55</v>
      </c>
      <c r="AL6737" s="1">
        <v>167</v>
      </c>
    </row>
    <row r="6738" spans="1:38" x14ac:dyDescent="0.2">
      <c r="A6738" s="2" t="str">
        <f>HYPERLINK("https://www.compass.com/listing/220-central-park-south-unit-18g-manhattan-ny-10019/368016818535853745/","220 Central Park S, Unit 18G")</f>
        <v>220 Central Park S, Unit 18G</v>
      </c>
      <c r="B6738" s="2" t="str">
        <f>HYPERLINK("https://www.compass.com/building/220-central-park-south-manhattan-ny/281944232648828453/","220 Central Park South")</f>
        <v>220 Central Park South</v>
      </c>
      <c r="C6738" s="1" t="s">
        <v>260</v>
      </c>
      <c r="D6738" s="1" t="s">
        <v>41</v>
      </c>
      <c r="E6738" s="3">
        <v>1787029</v>
      </c>
      <c r="F6738" s="1">
        <v>3552.7410536779298</v>
      </c>
      <c r="G6738" s="1">
        <v>2</v>
      </c>
      <c r="H6738" s="1" t="s">
        <v>99</v>
      </c>
      <c r="I6738" s="1">
        <v>1</v>
      </c>
      <c r="J6738" s="1">
        <v>1</v>
      </c>
      <c r="K6738" s="1">
        <v>1</v>
      </c>
      <c r="M6738" s="1">
        <v>503</v>
      </c>
      <c r="N6738" s="1">
        <v>899</v>
      </c>
      <c r="O6738" s="1">
        <v>1670</v>
      </c>
      <c r="P6738" s="1">
        <v>771</v>
      </c>
      <c r="Q6738" s="1" t="s">
        <v>42</v>
      </c>
      <c r="S6738" s="1" t="s">
        <v>42</v>
      </c>
      <c r="T6738" s="1" t="s">
        <v>273</v>
      </c>
      <c r="U6738" s="1">
        <v>426</v>
      </c>
      <c r="V6738" s="5">
        <v>43804</v>
      </c>
      <c r="W6738" s="5">
        <v>43314</v>
      </c>
      <c r="X6738" s="1">
        <v>1755000</v>
      </c>
      <c r="Y6738" s="1">
        <v>1755000</v>
      </c>
      <c r="AA6738" s="1">
        <v>1787028.75</v>
      </c>
      <c r="AB6738" s="1" t="s">
        <v>4960</v>
      </c>
      <c r="AC6738" s="5">
        <v>43740</v>
      </c>
      <c r="AF6738" s="1">
        <v>10019</v>
      </c>
      <c r="AI6738" s="1" t="s">
        <v>101</v>
      </c>
      <c r="AJ6738" s="1">
        <v>2018</v>
      </c>
      <c r="AK6738" s="1" t="s">
        <v>46</v>
      </c>
      <c r="AL6738" s="1">
        <v>117</v>
      </c>
    </row>
    <row r="6739" spans="1:38" x14ac:dyDescent="0.2">
      <c r="A6739" s="2" t="str">
        <f>HYPERLINK("https://www.compass.com/listing/70-west-139th-street-unit-3c-manhattan-ny-10037/368026941933574977/","70 W 139th St, Unit 3C")</f>
        <v>70 W 139th St, Unit 3C</v>
      </c>
      <c r="B6739" s="2" t="str">
        <f t="shared" ref="B6739:B6740" si="1060">HYPERLINK("https://www.compass.com/building/70-w-139th-st-manhattan-ny-10037/292920118235647477/","70 W 139th St")</f>
        <v>70 W 139th St</v>
      </c>
      <c r="C6739" s="1" t="s">
        <v>84</v>
      </c>
      <c r="D6739" s="1" t="s">
        <v>41</v>
      </c>
      <c r="E6739" s="3">
        <v>533786</v>
      </c>
      <c r="F6739" s="1">
        <v>565.45127118643995</v>
      </c>
      <c r="M6739" s="1">
        <v>944</v>
      </c>
      <c r="Q6739" s="1" t="s">
        <v>42</v>
      </c>
      <c r="S6739" s="1" t="s">
        <v>42</v>
      </c>
      <c r="T6739" s="1" t="s">
        <v>273</v>
      </c>
      <c r="AA6739" s="1">
        <v>533786</v>
      </c>
      <c r="AB6739" s="1" t="s">
        <v>4961</v>
      </c>
      <c r="AC6739" s="5">
        <v>43747</v>
      </c>
      <c r="AF6739" s="1">
        <v>10037</v>
      </c>
      <c r="AI6739" s="1" t="s">
        <v>48</v>
      </c>
      <c r="AJ6739" s="1">
        <v>2018</v>
      </c>
      <c r="AL6739" s="1">
        <v>64</v>
      </c>
    </row>
    <row r="6740" spans="1:38" x14ac:dyDescent="0.2">
      <c r="A6740" s="2" t="str">
        <f>HYPERLINK("https://www.compass.com/listing/70-west-139th-street-unit-6f-manhattan-ny-10037/368026952838765409/","70 W 139th St, Unit 6F")</f>
        <v>70 W 139th St, Unit 6F</v>
      </c>
      <c r="B6740" s="2" t="str">
        <f t="shared" si="1060"/>
        <v>70 W 139th St</v>
      </c>
      <c r="C6740" s="1" t="s">
        <v>84</v>
      </c>
      <c r="D6740" s="1" t="s">
        <v>41</v>
      </c>
      <c r="E6740" s="3">
        <v>533786</v>
      </c>
      <c r="F6740" s="1">
        <v>567.25398512221</v>
      </c>
      <c r="M6740" s="1">
        <v>941</v>
      </c>
      <c r="Q6740" s="1" t="s">
        <v>42</v>
      </c>
      <c r="S6740" s="1" t="s">
        <v>42</v>
      </c>
      <c r="T6740" s="1" t="s">
        <v>273</v>
      </c>
      <c r="AA6740" s="1">
        <v>533786</v>
      </c>
      <c r="AB6740" s="1" t="s">
        <v>4962</v>
      </c>
      <c r="AC6740" s="5">
        <v>43745</v>
      </c>
      <c r="AF6740" s="1">
        <v>10037</v>
      </c>
      <c r="AI6740" s="1" t="s">
        <v>48</v>
      </c>
      <c r="AJ6740" s="1">
        <v>2018</v>
      </c>
      <c r="AL6740" s="1">
        <v>64</v>
      </c>
    </row>
    <row r="6741" spans="1:38" x14ac:dyDescent="0.2">
      <c r="A6741" s="2" t="str">
        <f>HYPERLINK("https://www.compass.com/listing/21-east-12th-street-unit-phc-manhattan-ny-10003/369422587871924433/","21 E 12th St, Unit PHC")</f>
        <v>21 E 12th St, Unit PHC</v>
      </c>
      <c r="B6741" s="2" t="str">
        <f>HYPERLINK("https://www.compass.com/building/21-east-12th-street-manhattan-ny/292779727154847925/","21 East 12th Street")</f>
        <v>21 East 12th Street</v>
      </c>
      <c r="C6741" s="1" t="s">
        <v>277</v>
      </c>
      <c r="D6741" s="1" t="s">
        <v>41</v>
      </c>
      <c r="E6741" s="3">
        <v>17281288</v>
      </c>
      <c r="F6741" s="1">
        <v>3336.8000791658601</v>
      </c>
      <c r="M6741" s="4">
        <v>5179</v>
      </c>
      <c r="Q6741" s="1" t="s">
        <v>42</v>
      </c>
      <c r="S6741" s="1" t="s">
        <v>42</v>
      </c>
      <c r="T6741" s="1" t="s">
        <v>273</v>
      </c>
      <c r="AA6741" s="1">
        <v>17281287.609999999</v>
      </c>
      <c r="AB6741" s="1" t="s">
        <v>4963</v>
      </c>
      <c r="AC6741" s="5">
        <v>43745</v>
      </c>
      <c r="AF6741" s="1">
        <v>10003</v>
      </c>
      <c r="AI6741" s="1" t="s">
        <v>80</v>
      </c>
      <c r="AJ6741" s="1">
        <v>2018</v>
      </c>
      <c r="AK6741" s="1" t="s">
        <v>202</v>
      </c>
      <c r="AL6741" s="1">
        <v>52</v>
      </c>
    </row>
    <row r="6742" spans="1:38" x14ac:dyDescent="0.2">
      <c r="A6742" s="2" t="str">
        <f>HYPERLINK("https://www.compass.com/listing/135-west-52nd-street-unit-8c-manhattan-ny-10019/369427681788365441/","135 W 52nd St, Unit 8C")</f>
        <v>135 W 52nd St, Unit 8C</v>
      </c>
      <c r="B6742" s="2" t="str">
        <f>HYPERLINK("https://www.compass.com/building/135-w-52nd-st-manhattan-ny-10019/281943802548121109/","135 W 52nd St")</f>
        <v>135 W 52nd St</v>
      </c>
      <c r="C6742" s="1" t="s">
        <v>219</v>
      </c>
      <c r="D6742" s="1" t="s">
        <v>41</v>
      </c>
      <c r="E6742" s="3">
        <v>1661784</v>
      </c>
      <c r="F6742" s="1">
        <v>1491.7271095152601</v>
      </c>
      <c r="M6742" s="4">
        <v>1114</v>
      </c>
      <c r="Q6742" s="1" t="s">
        <v>42</v>
      </c>
      <c r="S6742" s="1" t="s">
        <v>42</v>
      </c>
      <c r="T6742" s="1" t="s">
        <v>273</v>
      </c>
      <c r="AA6742" s="1">
        <v>1661784</v>
      </c>
      <c r="AB6742" s="1" t="s">
        <v>4964</v>
      </c>
      <c r="AC6742" s="5">
        <v>43753</v>
      </c>
      <c r="AF6742" s="1">
        <v>10019</v>
      </c>
      <c r="AJ6742" s="1">
        <v>2016</v>
      </c>
      <c r="AK6742" s="1" t="s">
        <v>49</v>
      </c>
      <c r="AL6742" s="1">
        <v>109</v>
      </c>
    </row>
    <row r="6743" spans="1:38" x14ac:dyDescent="0.2">
      <c r="A6743" s="2" t="str">
        <f>HYPERLINK("https://www.compass.com/listing/70-west-139th-street-unit-3d-manhattan-ny-10037/369438753407446881/","70 W 139th St, Unit 3D")</f>
        <v>70 W 139th St, Unit 3D</v>
      </c>
      <c r="B6743" s="2" t="str">
        <f>HYPERLINK("https://www.compass.com/building/70-w-139th-st-manhattan-ny-10037/292920118235647477/","70 W 139th St")</f>
        <v>70 W 139th St</v>
      </c>
      <c r="C6743" s="1" t="s">
        <v>84</v>
      </c>
      <c r="D6743" s="1" t="s">
        <v>41</v>
      </c>
      <c r="E6743" s="3">
        <v>533786</v>
      </c>
      <c r="F6743" s="1">
        <v>603.14802259887006</v>
      </c>
      <c r="M6743" s="1">
        <v>885</v>
      </c>
      <c r="Q6743" s="1" t="s">
        <v>42</v>
      </c>
      <c r="S6743" s="1" t="s">
        <v>42</v>
      </c>
      <c r="T6743" s="1" t="s">
        <v>273</v>
      </c>
      <c r="AA6743" s="1">
        <v>533786</v>
      </c>
      <c r="AB6743" s="1" t="s">
        <v>4965</v>
      </c>
      <c r="AC6743" s="5">
        <v>43747</v>
      </c>
      <c r="AF6743" s="1">
        <v>10037</v>
      </c>
      <c r="AI6743" s="1" t="s">
        <v>48</v>
      </c>
      <c r="AJ6743" s="1">
        <v>2018</v>
      </c>
      <c r="AL6743" s="1">
        <v>64</v>
      </c>
    </row>
    <row r="6744" spans="1:38" x14ac:dyDescent="0.2">
      <c r="A6744" s="2" t="str">
        <f>HYPERLINK("https://www.compass.com/listing/21-east-12th-street-unit-4c-manhattan-ny-10003/370699780905520017/","21 E 12th St, Unit 4C")</f>
        <v>21 E 12th St, Unit 4C</v>
      </c>
      <c r="B6744" s="2" t="str">
        <f>HYPERLINK("https://www.compass.com/building/21-east-12th-street-manhattan-ny/292779727154847925/","21 East 12th Street")</f>
        <v>21 East 12th Street</v>
      </c>
      <c r="C6744" s="1" t="s">
        <v>277</v>
      </c>
      <c r="D6744" s="1" t="s">
        <v>41</v>
      </c>
      <c r="E6744" s="3">
        <v>2265606</v>
      </c>
      <c r="F6744" s="1">
        <v>2545.625</v>
      </c>
      <c r="M6744" s="1">
        <v>890</v>
      </c>
      <c r="Q6744" s="1" t="s">
        <v>42</v>
      </c>
      <c r="S6744" s="1" t="s">
        <v>42</v>
      </c>
      <c r="T6744" s="1" t="s">
        <v>273</v>
      </c>
      <c r="AA6744" s="1">
        <v>2265606.25</v>
      </c>
      <c r="AB6744" s="1" t="s">
        <v>4966</v>
      </c>
      <c r="AC6744" s="5">
        <v>43749</v>
      </c>
      <c r="AF6744" s="1">
        <v>10003</v>
      </c>
      <c r="AI6744" s="1" t="s">
        <v>80</v>
      </c>
      <c r="AJ6744" s="1">
        <v>2018</v>
      </c>
      <c r="AK6744" s="1" t="s">
        <v>202</v>
      </c>
      <c r="AL6744" s="1">
        <v>52</v>
      </c>
    </row>
    <row r="6745" spans="1:38" x14ac:dyDescent="0.2">
      <c r="A6745" s="2" t="str">
        <f>HYPERLINK("https://www.compass.com/listing/220-central-park-south-unit-45-manhattan-ny-10019/370897982498256065/","220 Central Park S, Unit 45")</f>
        <v>220 Central Park S, Unit 45</v>
      </c>
      <c r="B6745" s="2" t="str">
        <f>HYPERLINK("https://www.compass.com/building/220-central-park-south-manhattan-ny/281944232648828453/","220 Central Park South")</f>
        <v>220 Central Park South</v>
      </c>
      <c r="C6745" s="1" t="s">
        <v>260</v>
      </c>
      <c r="D6745" s="1" t="s">
        <v>41</v>
      </c>
      <c r="E6745" s="3">
        <v>55494625</v>
      </c>
      <c r="F6745" s="1">
        <v>8419.7580033378799</v>
      </c>
      <c r="G6745" s="1">
        <v>8</v>
      </c>
      <c r="H6745" s="1">
        <v>5</v>
      </c>
      <c r="I6745" s="1">
        <v>8</v>
      </c>
      <c r="J6745" s="1">
        <v>7</v>
      </c>
      <c r="K6745" s="1">
        <v>6</v>
      </c>
      <c r="L6745" s="1">
        <v>2</v>
      </c>
      <c r="M6745" s="4">
        <v>6591</v>
      </c>
      <c r="N6745" s="1">
        <v>12573</v>
      </c>
      <c r="O6745" s="1">
        <v>23352</v>
      </c>
      <c r="P6745" s="1">
        <v>10779</v>
      </c>
      <c r="Q6745" s="1" t="s">
        <v>42</v>
      </c>
      <c r="S6745" s="1" t="s">
        <v>42</v>
      </c>
      <c r="T6745" s="1" t="s">
        <v>273</v>
      </c>
      <c r="U6745" s="1">
        <v>1434</v>
      </c>
      <c r="V6745" s="5">
        <v>43777</v>
      </c>
      <c r="W6745" s="5">
        <v>42320</v>
      </c>
      <c r="X6745" s="1">
        <v>58000000</v>
      </c>
      <c r="Y6745" s="1">
        <v>58000000</v>
      </c>
      <c r="AA6745" s="1">
        <v>55494625</v>
      </c>
      <c r="AB6745" s="1" t="s">
        <v>4967</v>
      </c>
      <c r="AC6745" s="5">
        <v>43755</v>
      </c>
      <c r="AF6745" s="1">
        <v>10019</v>
      </c>
      <c r="AI6745" s="1" t="s">
        <v>101</v>
      </c>
      <c r="AJ6745" s="1">
        <v>2018</v>
      </c>
      <c r="AK6745" s="1" t="s">
        <v>46</v>
      </c>
      <c r="AL6745" s="1">
        <v>117</v>
      </c>
    </row>
    <row r="6746" spans="1:38" x14ac:dyDescent="0.2">
      <c r="A6746" s="2" t="str">
        <f>HYPERLINK("https://www.compass.com/listing/15-hudson-yards-unit-80e-manhattan-ny-10001/373167651053458337/","15 Hudson Yards, Unit 80E")</f>
        <v>15 Hudson Yards, Unit 80E</v>
      </c>
      <c r="B6746" s="2" t="str">
        <f>HYPERLINK("https://www.compass.com/building/fifteen-hudson-yards-manhattan-ny/282058587512011909/","Fifteen Hudson Yards")</f>
        <v>Fifteen Hudson Yards</v>
      </c>
      <c r="C6746" s="1" t="s">
        <v>77</v>
      </c>
      <c r="D6746" s="1" t="s">
        <v>41</v>
      </c>
      <c r="E6746" s="3">
        <v>7522750</v>
      </c>
      <c r="F6746" s="1">
        <v>3382.5314748201399</v>
      </c>
      <c r="G6746" s="1">
        <v>5</v>
      </c>
      <c r="H6746" s="1">
        <v>3</v>
      </c>
      <c r="I6746" s="1">
        <v>4</v>
      </c>
      <c r="J6746" s="1">
        <v>3.5</v>
      </c>
      <c r="K6746" s="1">
        <v>3</v>
      </c>
      <c r="L6746" s="1">
        <v>1</v>
      </c>
      <c r="M6746" s="4">
        <v>2224</v>
      </c>
      <c r="N6746" s="1">
        <v>5248</v>
      </c>
      <c r="O6746" s="1">
        <v>5321</v>
      </c>
      <c r="P6746" s="1">
        <v>73</v>
      </c>
      <c r="Q6746" s="1" t="s">
        <v>42</v>
      </c>
      <c r="S6746" s="1" t="s">
        <v>42</v>
      </c>
      <c r="T6746" s="1" t="s">
        <v>273</v>
      </c>
      <c r="U6746" s="1">
        <v>729</v>
      </c>
      <c r="V6746" s="5">
        <v>43791</v>
      </c>
      <c r="W6746" s="5">
        <v>43034</v>
      </c>
      <c r="AA6746" s="1">
        <v>7522750</v>
      </c>
      <c r="AB6746" s="1" t="s">
        <v>4968</v>
      </c>
      <c r="AC6746" s="5">
        <v>43763</v>
      </c>
      <c r="AF6746" s="1">
        <v>10001</v>
      </c>
      <c r="AJ6746" s="1">
        <v>2018</v>
      </c>
      <c r="AK6746" s="1" t="s">
        <v>49</v>
      </c>
      <c r="AL6746" s="1">
        <v>285</v>
      </c>
    </row>
    <row r="6747" spans="1:38" x14ac:dyDescent="0.2">
      <c r="A6747" s="2" t="str">
        <f>HYPERLINK("https://www.compass.com/listing/70-west-139th-street-unit-4c-manhattan-ny-10037/373614204019181089/","70 W 139th St, Unit 4C")</f>
        <v>70 W 139th St, Unit 4C</v>
      </c>
      <c r="B6747" s="2" t="str">
        <f t="shared" ref="B6747:B6748" si="1061">HYPERLINK("https://www.compass.com/building/70-w-139th-st-manhattan-ny-10037/292920118235647477/","70 W 139th St")</f>
        <v>70 W 139th St</v>
      </c>
      <c r="C6747" s="1" t="s">
        <v>84</v>
      </c>
      <c r="D6747" s="1" t="s">
        <v>41</v>
      </c>
      <c r="E6747" s="3">
        <v>533786</v>
      </c>
      <c r="F6747" s="1">
        <v>565.45127118643995</v>
      </c>
      <c r="M6747" s="1">
        <v>944</v>
      </c>
      <c r="Q6747" s="1" t="s">
        <v>42</v>
      </c>
      <c r="S6747" s="1" t="s">
        <v>42</v>
      </c>
      <c r="T6747" s="1" t="s">
        <v>273</v>
      </c>
      <c r="AA6747" s="1">
        <v>533786</v>
      </c>
      <c r="AB6747" s="1" t="s">
        <v>4969</v>
      </c>
      <c r="AC6747" s="5">
        <v>43759</v>
      </c>
      <c r="AF6747" s="1">
        <v>10037</v>
      </c>
      <c r="AI6747" s="1" t="s">
        <v>48</v>
      </c>
      <c r="AJ6747" s="1">
        <v>2018</v>
      </c>
      <c r="AL6747" s="1">
        <v>64</v>
      </c>
    </row>
    <row r="6748" spans="1:38" x14ac:dyDescent="0.2">
      <c r="A6748" s="2" t="str">
        <f>HYPERLINK("https://www.compass.com/listing/70-west-139th-street-unit-5c-manhattan-ny-10037/373614207552395473/","70 W 139th St, Unit 5C")</f>
        <v>70 W 139th St, Unit 5C</v>
      </c>
      <c r="B6748" s="2" t="str">
        <f t="shared" si="1061"/>
        <v>70 W 139th St</v>
      </c>
      <c r="C6748" s="1" t="s">
        <v>84</v>
      </c>
      <c r="D6748" s="1" t="s">
        <v>41</v>
      </c>
      <c r="E6748" s="3">
        <v>533786</v>
      </c>
      <c r="F6748" s="1">
        <v>565.45127118643995</v>
      </c>
      <c r="M6748" s="1">
        <v>944</v>
      </c>
      <c r="Q6748" s="1" t="s">
        <v>42</v>
      </c>
      <c r="S6748" s="1" t="s">
        <v>42</v>
      </c>
      <c r="T6748" s="1" t="s">
        <v>273</v>
      </c>
      <c r="AA6748" s="1">
        <v>533786</v>
      </c>
      <c r="AB6748" s="1" t="s">
        <v>4970</v>
      </c>
      <c r="AC6748" s="5">
        <v>43754</v>
      </c>
      <c r="AF6748" s="1">
        <v>10037</v>
      </c>
      <c r="AI6748" s="1" t="s">
        <v>48</v>
      </c>
      <c r="AJ6748" s="1">
        <v>2018</v>
      </c>
      <c r="AL6748" s="1">
        <v>64</v>
      </c>
    </row>
    <row r="6749" spans="1:38" x14ac:dyDescent="0.2">
      <c r="A6749" s="2" t="str">
        <f>HYPERLINK("https://www.compass.com/listing/15-hudson-yards-unit-32a-manhattan-ny-10001/374435916231310897/","15 Hudson Yards, Unit 32A")</f>
        <v>15 Hudson Yards, Unit 32A</v>
      </c>
      <c r="B6749" s="2" t="str">
        <f t="shared" ref="B6749:B6751" si="1062">HYPERLINK("https://www.compass.com/building/fifteen-hudson-yards-manhattan-ny/282058587512011909/","Fifteen Hudson Yards")</f>
        <v>Fifteen Hudson Yards</v>
      </c>
      <c r="C6749" s="1" t="s">
        <v>77</v>
      </c>
      <c r="D6749" s="1" t="s">
        <v>41</v>
      </c>
      <c r="E6749" s="3">
        <v>4869400</v>
      </c>
      <c r="F6749" s="1">
        <v>2735.6179775280898</v>
      </c>
      <c r="G6749" s="1">
        <v>4</v>
      </c>
      <c r="H6749" s="1">
        <v>2</v>
      </c>
      <c r="I6749" s="1">
        <v>3</v>
      </c>
      <c r="J6749" s="1">
        <v>2.5</v>
      </c>
      <c r="K6749" s="1">
        <v>2</v>
      </c>
      <c r="L6749" s="1">
        <v>1</v>
      </c>
      <c r="M6749" s="4">
        <v>1780</v>
      </c>
      <c r="N6749" s="1">
        <v>3976</v>
      </c>
      <c r="O6749" s="1">
        <v>4031</v>
      </c>
      <c r="P6749" s="1">
        <v>55</v>
      </c>
      <c r="Q6749" s="1" t="s">
        <v>42</v>
      </c>
      <c r="S6749" s="1" t="s">
        <v>42</v>
      </c>
      <c r="T6749" s="1" t="s">
        <v>273</v>
      </c>
      <c r="U6749" s="1">
        <v>39</v>
      </c>
      <c r="V6749" s="5">
        <v>43769</v>
      </c>
      <c r="W6749" s="5">
        <v>43728</v>
      </c>
      <c r="AA6749" s="1">
        <v>4869400</v>
      </c>
      <c r="AB6749" s="1" t="s">
        <v>275</v>
      </c>
      <c r="AC6749" s="5">
        <v>43767</v>
      </c>
      <c r="AF6749" s="1">
        <v>10001</v>
      </c>
      <c r="AJ6749" s="1">
        <v>2018</v>
      </c>
      <c r="AK6749" s="1" t="s">
        <v>49</v>
      </c>
      <c r="AL6749" s="1">
        <v>285</v>
      </c>
    </row>
    <row r="6750" spans="1:38" x14ac:dyDescent="0.2">
      <c r="A6750" s="2" t="str">
        <f>HYPERLINK("https://www.compass.com/listing/15-hudson-yards-unit-26c-manhattan-ny-10001/375188238315589393/","15 Hudson Yards, Unit 26C")</f>
        <v>15 Hudson Yards, Unit 26C</v>
      </c>
      <c r="B6750" s="2" t="str">
        <f t="shared" si="1062"/>
        <v>Fifteen Hudson Yards</v>
      </c>
      <c r="C6750" s="1" t="s">
        <v>77</v>
      </c>
      <c r="D6750" s="1" t="s">
        <v>41</v>
      </c>
      <c r="E6750" s="3">
        <v>4550000</v>
      </c>
      <c r="F6750" s="1">
        <v>2732.7327327327298</v>
      </c>
      <c r="G6750" s="1">
        <v>4</v>
      </c>
      <c r="H6750" s="1">
        <v>2</v>
      </c>
      <c r="I6750" s="1">
        <v>2</v>
      </c>
      <c r="J6750" s="1">
        <v>1.5</v>
      </c>
      <c r="K6750" s="1">
        <v>1</v>
      </c>
      <c r="L6750" s="1">
        <v>1</v>
      </c>
      <c r="M6750" s="4">
        <v>1665</v>
      </c>
      <c r="N6750" s="1">
        <v>3686</v>
      </c>
      <c r="O6750" s="1">
        <v>3737</v>
      </c>
      <c r="P6750" s="1">
        <v>51</v>
      </c>
      <c r="Q6750" s="1" t="s">
        <v>42</v>
      </c>
      <c r="S6750" s="1" t="s">
        <v>42</v>
      </c>
      <c r="T6750" s="1" t="s">
        <v>273</v>
      </c>
      <c r="U6750" s="1">
        <v>1113</v>
      </c>
      <c r="V6750" s="5">
        <v>44072</v>
      </c>
      <c r="W6750" s="5">
        <v>42655</v>
      </c>
      <c r="AB6750" s="1" t="s">
        <v>275</v>
      </c>
      <c r="AC6750" s="5">
        <v>43768</v>
      </c>
      <c r="AF6750" s="1">
        <v>10001</v>
      </c>
      <c r="AJ6750" s="1">
        <v>2018</v>
      </c>
      <c r="AK6750" s="1" t="s">
        <v>46</v>
      </c>
      <c r="AL6750" s="1">
        <v>285</v>
      </c>
    </row>
    <row r="6751" spans="1:38" x14ac:dyDescent="0.2">
      <c r="A6751" s="2" t="str">
        <f>HYPERLINK("https://www.compass.com/listing/15-hudson-yards-unit-24j-manhattan-ny-10001/375203333211475665/","15 Hudson Yards, Unit 24J")</f>
        <v>15 Hudson Yards, Unit 24J</v>
      </c>
      <c r="B6751" s="2" t="str">
        <f t="shared" si="1062"/>
        <v>Fifteen Hudson Yards</v>
      </c>
      <c r="C6751" s="1" t="s">
        <v>77</v>
      </c>
      <c r="D6751" s="1" t="s">
        <v>41</v>
      </c>
      <c r="E6751" s="3">
        <v>2750000</v>
      </c>
      <c r="F6751" s="1">
        <v>2358.4905660377299</v>
      </c>
      <c r="G6751" s="1">
        <v>3</v>
      </c>
      <c r="H6751" s="1">
        <v>1</v>
      </c>
      <c r="I6751" s="1">
        <v>2</v>
      </c>
      <c r="J6751" s="1">
        <v>1.5</v>
      </c>
      <c r="K6751" s="1">
        <v>1</v>
      </c>
      <c r="L6751" s="1">
        <v>1</v>
      </c>
      <c r="M6751" s="4">
        <v>1166</v>
      </c>
      <c r="N6751" s="1">
        <v>2499</v>
      </c>
      <c r="O6751" s="1">
        <v>2534</v>
      </c>
      <c r="P6751" s="1">
        <v>35</v>
      </c>
      <c r="Q6751" s="1" t="s">
        <v>42</v>
      </c>
      <c r="S6751" s="1" t="s">
        <v>42</v>
      </c>
      <c r="T6751" s="1" t="s">
        <v>273</v>
      </c>
      <c r="U6751" s="1">
        <v>627</v>
      </c>
      <c r="V6751" s="5">
        <v>43770</v>
      </c>
      <c r="W6751" s="5">
        <v>43140</v>
      </c>
      <c r="AA6751" s="1">
        <v>2750000</v>
      </c>
      <c r="AB6751" s="1" t="s">
        <v>275</v>
      </c>
      <c r="AC6751" s="5">
        <v>43768</v>
      </c>
      <c r="AF6751" s="1">
        <v>10001</v>
      </c>
      <c r="AJ6751" s="1">
        <v>2018</v>
      </c>
      <c r="AK6751" s="1" t="s">
        <v>49</v>
      </c>
      <c r="AL6751" s="1">
        <v>285</v>
      </c>
    </row>
    <row r="6752" spans="1:38" x14ac:dyDescent="0.2">
      <c r="A6752" s="2" t="str">
        <f>HYPERLINK("https://www.compass.com/listing/49-chambers-street-unit-15e-manhattan-ny-10007/375768175777278305/","49 Chambers St, Unit 15E")</f>
        <v>49 Chambers St, Unit 15E</v>
      </c>
      <c r="B6752" s="2" t="str">
        <f>HYPERLINK("https://www.compass.com/building/49-chambers-manhattan-ny/282058733280852725/","49 Chambers")</f>
        <v>49 Chambers</v>
      </c>
      <c r="C6752" s="1" t="s">
        <v>113</v>
      </c>
      <c r="D6752" s="1" t="s">
        <v>41</v>
      </c>
      <c r="E6752" s="3">
        <v>7100000</v>
      </c>
      <c r="F6752" s="1">
        <v>1800.65939639868</v>
      </c>
      <c r="M6752" s="4">
        <v>3943</v>
      </c>
      <c r="Q6752" s="1" t="s">
        <v>42</v>
      </c>
      <c r="S6752" s="1" t="s">
        <v>42</v>
      </c>
      <c r="T6752" s="1" t="s">
        <v>273</v>
      </c>
      <c r="AA6752" s="1">
        <v>7100000</v>
      </c>
      <c r="AB6752" s="1" t="s">
        <v>4971</v>
      </c>
      <c r="AC6752" s="5">
        <v>43745</v>
      </c>
      <c r="AF6752" s="1">
        <v>10007</v>
      </c>
      <c r="AI6752" s="1" t="s">
        <v>78</v>
      </c>
      <c r="AJ6752" s="1">
        <v>1910</v>
      </c>
      <c r="AK6752" s="1" t="s">
        <v>202</v>
      </c>
      <c r="AL6752" s="1">
        <v>99</v>
      </c>
    </row>
    <row r="6753" spans="1:38" x14ac:dyDescent="0.2">
      <c r="A6753" s="2" t="str">
        <f>HYPERLINK("https://www.compass.com/listing/15-hudson-yards-unit-29c-manhattan-ny-10001/378154498289023537/","15 Hudson Yards, Unit 29C")</f>
        <v>15 Hudson Yards, Unit 29C</v>
      </c>
      <c r="B6753" s="2" t="str">
        <f t="shared" ref="B6753:B6754" si="1063">HYPERLINK("https://www.compass.com/building/fifteen-hudson-yards-manhattan-ny/282058587512011909/","Fifteen Hudson Yards")</f>
        <v>Fifteen Hudson Yards</v>
      </c>
      <c r="C6753" s="1" t="s">
        <v>77</v>
      </c>
      <c r="D6753" s="1" t="s">
        <v>41</v>
      </c>
      <c r="E6753" s="3">
        <v>4625000</v>
      </c>
      <c r="F6753" s="1">
        <v>2784.4671884406898</v>
      </c>
      <c r="G6753" s="1">
        <v>4</v>
      </c>
      <c r="H6753" s="1">
        <v>2</v>
      </c>
      <c r="I6753" s="1">
        <v>3</v>
      </c>
      <c r="J6753" s="1">
        <v>2.5</v>
      </c>
      <c r="K6753" s="1">
        <v>2</v>
      </c>
      <c r="L6753" s="1">
        <v>1</v>
      </c>
      <c r="M6753" s="4">
        <v>1661</v>
      </c>
      <c r="N6753" s="1">
        <v>3709</v>
      </c>
      <c r="O6753" s="1">
        <v>3761</v>
      </c>
      <c r="P6753" s="1">
        <v>52</v>
      </c>
      <c r="Q6753" s="1" t="s">
        <v>42</v>
      </c>
      <c r="S6753" s="1" t="s">
        <v>42</v>
      </c>
      <c r="T6753" s="1" t="s">
        <v>273</v>
      </c>
      <c r="U6753" s="1">
        <v>933</v>
      </c>
      <c r="V6753" s="5">
        <v>43774</v>
      </c>
      <c r="W6753" s="5">
        <v>42837</v>
      </c>
      <c r="AA6753" s="1">
        <v>4625000</v>
      </c>
      <c r="AB6753" s="1" t="s">
        <v>275</v>
      </c>
      <c r="AC6753" s="5">
        <v>43770</v>
      </c>
      <c r="AF6753" s="1">
        <v>10001</v>
      </c>
      <c r="AJ6753" s="1">
        <v>2018</v>
      </c>
      <c r="AK6753" s="1" t="s">
        <v>49</v>
      </c>
      <c r="AL6753" s="1">
        <v>285</v>
      </c>
    </row>
    <row r="6754" spans="1:38" x14ac:dyDescent="0.2">
      <c r="A6754" s="2" t="str">
        <f>HYPERLINK("https://www.compass.com/listing/15-hudson-yards-unit-69d-manhattan-ny-10001/378860358900086657/","15 Hudson Yards, Unit 69D")</f>
        <v>15 Hudson Yards, Unit 69D</v>
      </c>
      <c r="B6754" s="2" t="str">
        <f t="shared" si="1063"/>
        <v>Fifteen Hudson Yards</v>
      </c>
      <c r="C6754" s="1" t="s">
        <v>77</v>
      </c>
      <c r="D6754" s="1" t="s">
        <v>41</v>
      </c>
      <c r="E6754" s="3">
        <v>5600034</v>
      </c>
      <c r="F6754" s="1">
        <v>3140.7929052159202</v>
      </c>
      <c r="G6754" s="1">
        <v>4</v>
      </c>
      <c r="H6754" s="1">
        <v>2</v>
      </c>
      <c r="I6754" s="1">
        <v>3</v>
      </c>
      <c r="J6754" s="1">
        <v>2.5</v>
      </c>
      <c r="K6754" s="1">
        <v>2</v>
      </c>
      <c r="L6754" s="1">
        <v>1</v>
      </c>
      <c r="M6754" s="4">
        <v>1783</v>
      </c>
      <c r="N6754" s="1">
        <v>4081</v>
      </c>
      <c r="O6754" s="1">
        <v>4138</v>
      </c>
      <c r="P6754" s="1">
        <v>57</v>
      </c>
      <c r="Q6754" s="1" t="s">
        <v>42</v>
      </c>
      <c r="S6754" s="1" t="s">
        <v>42</v>
      </c>
      <c r="T6754" s="1" t="s">
        <v>273</v>
      </c>
      <c r="U6754" s="1">
        <v>993</v>
      </c>
      <c r="V6754" s="5">
        <v>43775</v>
      </c>
      <c r="W6754" s="5">
        <v>42662</v>
      </c>
      <c r="X6754" s="1">
        <v>5600033</v>
      </c>
      <c r="Y6754" s="1">
        <v>5600033</v>
      </c>
      <c r="AA6754" s="1">
        <v>5600033.75</v>
      </c>
      <c r="AB6754" s="1" t="s">
        <v>4972</v>
      </c>
      <c r="AC6754" s="5">
        <v>43655</v>
      </c>
      <c r="AF6754" s="1">
        <v>10001</v>
      </c>
      <c r="AJ6754" s="1">
        <v>2018</v>
      </c>
      <c r="AK6754" s="1" t="s">
        <v>46</v>
      </c>
      <c r="AL6754" s="1">
        <v>285</v>
      </c>
    </row>
    <row r="6755" spans="1:38" x14ac:dyDescent="0.2">
      <c r="A6755" s="2" t="str">
        <f>HYPERLINK("https://www.compass.com/listing/26-avenue-b-unit-6-manhattan-ny-10009/380656776583497841/","26 Avenue B, Unit 6")</f>
        <v>26 Avenue B, Unit 6</v>
      </c>
      <c r="B6755" s="2" t="str">
        <f>HYPERLINK("https://www.compass.com/building/poppy-lofts-manhattan-ny/281899115527288709/","Poppy Lofts")</f>
        <v>Poppy Lofts</v>
      </c>
      <c r="C6755" s="1" t="s">
        <v>71</v>
      </c>
      <c r="D6755" s="1" t="s">
        <v>41</v>
      </c>
      <c r="E6755" s="3">
        <v>2138325</v>
      </c>
      <c r="F6755" s="1">
        <v>1832.3264781491</v>
      </c>
      <c r="M6755" s="4">
        <v>1167</v>
      </c>
      <c r="Q6755" s="1" t="s">
        <v>42</v>
      </c>
      <c r="S6755" s="1" t="s">
        <v>42</v>
      </c>
      <c r="T6755" s="1" t="s">
        <v>273</v>
      </c>
      <c r="AA6755" s="1">
        <v>2138325</v>
      </c>
      <c r="AB6755" s="1" t="s">
        <v>4973</v>
      </c>
      <c r="AC6755" s="5">
        <v>43070</v>
      </c>
      <c r="AF6755" s="1">
        <v>10009</v>
      </c>
      <c r="AI6755" s="1" t="s">
        <v>78</v>
      </c>
      <c r="AL6755" s="1">
        <v>5</v>
      </c>
    </row>
    <row r="6756" spans="1:38" x14ac:dyDescent="0.2">
      <c r="A6756" s="2" t="str">
        <f>HYPERLINK("https://www.compass.com/listing/196-orchard-street-unit-5b-manhattan-ny-10002/380657521082852273/","196 Orchard St, Unit 5B")</f>
        <v>196 Orchard St, Unit 5B</v>
      </c>
      <c r="B6756" s="2" t="str">
        <f>HYPERLINK("https://www.compass.com/building/196-orchard-st-manhattan-ny-10002/281886194713760485/","196 Orchard St")</f>
        <v>196 Orchard St</v>
      </c>
      <c r="C6756" s="1" t="s">
        <v>47</v>
      </c>
      <c r="D6756" s="1" t="s">
        <v>41</v>
      </c>
      <c r="E6756" s="3">
        <v>1295000</v>
      </c>
      <c r="F6756" s="1">
        <v>64750</v>
      </c>
      <c r="M6756" s="1">
        <v>20</v>
      </c>
      <c r="Q6756" s="1" t="s">
        <v>42</v>
      </c>
      <c r="S6756" s="1" t="s">
        <v>42</v>
      </c>
      <c r="T6756" s="1" t="s">
        <v>273</v>
      </c>
      <c r="AA6756" s="1">
        <v>1295000</v>
      </c>
      <c r="AB6756" s="1" t="s">
        <v>4974</v>
      </c>
      <c r="AC6756" s="5">
        <v>43500</v>
      </c>
      <c r="AF6756" s="1">
        <v>10002</v>
      </c>
      <c r="AI6756" s="1" t="s">
        <v>165</v>
      </c>
      <c r="AJ6756" s="1">
        <v>2018</v>
      </c>
      <c r="AK6756" s="1" t="s">
        <v>202</v>
      </c>
      <c r="AL6756" s="1">
        <v>89</v>
      </c>
    </row>
    <row r="6757" spans="1:38" x14ac:dyDescent="0.2">
      <c r="A6757" s="2" t="str">
        <f>HYPERLINK("https://www.compass.com/listing/63-greene-street-unit-4c-manhattan-ny-10012/380662129355825761/","63 Greene St, Unit 4C")</f>
        <v>63 Greene St, Unit 4C</v>
      </c>
      <c r="B6757" s="2" t="str">
        <f>HYPERLINK("https://www.compass.com/building/63-greene-street-manhattan-ny/292812252044627637/","63 Greene Street")</f>
        <v>63 Greene Street</v>
      </c>
      <c r="C6757" s="1" t="s">
        <v>298</v>
      </c>
      <c r="D6757" s="1" t="s">
        <v>41</v>
      </c>
      <c r="E6757" s="3">
        <v>6000000</v>
      </c>
      <c r="F6757" s="1">
        <v>3696.8576709796598</v>
      </c>
      <c r="M6757" s="4">
        <v>1623</v>
      </c>
      <c r="Q6757" s="1" t="s">
        <v>42</v>
      </c>
      <c r="S6757" s="1" t="s">
        <v>42</v>
      </c>
      <c r="T6757" s="1" t="s">
        <v>273</v>
      </c>
      <c r="AA6757" s="1">
        <v>6000000</v>
      </c>
      <c r="AB6757" s="1" t="s">
        <v>4975</v>
      </c>
      <c r="AC6757" s="5">
        <v>42970</v>
      </c>
      <c r="AF6757" s="1">
        <v>10012</v>
      </c>
      <c r="AI6757" s="1" t="s">
        <v>140</v>
      </c>
      <c r="AJ6757" s="1">
        <v>1877</v>
      </c>
      <c r="AK6757" s="1" t="s">
        <v>239</v>
      </c>
      <c r="AL6757" s="1">
        <v>23</v>
      </c>
    </row>
    <row r="6758" spans="1:38" x14ac:dyDescent="0.2">
      <c r="A6758" s="2" t="str">
        <f>HYPERLINK("https://www.compass.com/listing/155-west-18th-street-unit-ph2-manhattan-ny-10011/380686479228747297/","155 W 18th St, Unit PH2")</f>
        <v>155 W 18th St, Unit PH2</v>
      </c>
      <c r="B6758" s="2" t="str">
        <f t="shared" ref="B6758:B6762" si="1064">HYPERLINK("https://www.compass.com/building/the-flynn-manhattan-ny/281905793161251925/","The Flynn")</f>
        <v>The Flynn</v>
      </c>
      <c r="C6758" s="1" t="s">
        <v>62</v>
      </c>
      <c r="D6758" s="1" t="s">
        <v>41</v>
      </c>
      <c r="E6758" s="3">
        <v>7835000</v>
      </c>
      <c r="F6758" s="1">
        <v>2732.8217649110502</v>
      </c>
      <c r="M6758" s="4">
        <v>2867</v>
      </c>
      <c r="Q6758" s="1" t="s">
        <v>42</v>
      </c>
      <c r="S6758" s="1" t="s">
        <v>42</v>
      </c>
      <c r="T6758" s="1" t="s">
        <v>273</v>
      </c>
      <c r="AA6758" s="1">
        <v>7835000</v>
      </c>
      <c r="AB6758" s="1" t="s">
        <v>4976</v>
      </c>
      <c r="AC6758" s="5">
        <v>42734</v>
      </c>
      <c r="AF6758" s="1">
        <v>10011</v>
      </c>
      <c r="AI6758" s="1" t="s">
        <v>78</v>
      </c>
      <c r="AJ6758" s="1">
        <v>2016</v>
      </c>
      <c r="AK6758" s="1" t="s">
        <v>55</v>
      </c>
      <c r="AL6758" s="1">
        <v>30</v>
      </c>
    </row>
    <row r="6759" spans="1:38" x14ac:dyDescent="0.2">
      <c r="A6759" s="2" t="str">
        <f>HYPERLINK("https://www.compass.com/listing/155-west-18th-street-unit-502-manhattan-ny-10011/380686480193557793/","155 W 18th St, Unit 502")</f>
        <v>155 W 18th St, Unit 502</v>
      </c>
      <c r="B6759" s="2" t="str">
        <f t="shared" si="1064"/>
        <v>The Flynn</v>
      </c>
      <c r="C6759" s="1" t="s">
        <v>62</v>
      </c>
      <c r="D6759" s="1" t="s">
        <v>41</v>
      </c>
      <c r="E6759" s="3">
        <v>2485000</v>
      </c>
      <c r="F6759" s="1">
        <v>77656.25</v>
      </c>
      <c r="M6759" s="1">
        <v>32</v>
      </c>
      <c r="Q6759" s="1" t="s">
        <v>42</v>
      </c>
      <c r="S6759" s="1" t="s">
        <v>42</v>
      </c>
      <c r="T6759" s="1" t="s">
        <v>273</v>
      </c>
      <c r="AA6759" s="1">
        <v>2485000</v>
      </c>
      <c r="AB6759" s="1" t="s">
        <v>4977</v>
      </c>
      <c r="AC6759" s="5">
        <v>42797</v>
      </c>
      <c r="AF6759" s="1">
        <v>10011</v>
      </c>
      <c r="AI6759" s="1" t="s">
        <v>78</v>
      </c>
      <c r="AJ6759" s="1">
        <v>2016</v>
      </c>
      <c r="AK6759" s="1" t="s">
        <v>55</v>
      </c>
      <c r="AL6759" s="1">
        <v>30</v>
      </c>
    </row>
    <row r="6760" spans="1:38" x14ac:dyDescent="0.2">
      <c r="A6760" s="2" t="str">
        <f>HYPERLINK("https://www.compass.com/listing/155-west-18th-street-unit-ph3-manhattan-ny-10011/380686481090712321/","155 W 18th St, Unit PH3")</f>
        <v>155 W 18th St, Unit PH3</v>
      </c>
      <c r="B6760" s="2" t="str">
        <f t="shared" si="1064"/>
        <v>The Flynn</v>
      </c>
      <c r="C6760" s="1" t="s">
        <v>62</v>
      </c>
      <c r="D6760" s="1" t="s">
        <v>41</v>
      </c>
      <c r="E6760" s="3">
        <v>7987500</v>
      </c>
      <c r="F6760" s="1">
        <v>52205.882352941102</v>
      </c>
      <c r="M6760" s="1">
        <v>153</v>
      </c>
      <c r="Q6760" s="1" t="s">
        <v>42</v>
      </c>
      <c r="S6760" s="1" t="s">
        <v>42</v>
      </c>
      <c r="T6760" s="1" t="s">
        <v>273</v>
      </c>
      <c r="AA6760" s="1">
        <v>7987500</v>
      </c>
      <c r="AB6760" s="1" t="s">
        <v>4978</v>
      </c>
      <c r="AC6760" s="5">
        <v>42734</v>
      </c>
      <c r="AF6760" s="1">
        <v>10011</v>
      </c>
      <c r="AI6760" s="1" t="s">
        <v>78</v>
      </c>
      <c r="AJ6760" s="1">
        <v>2016</v>
      </c>
      <c r="AK6760" s="1" t="s">
        <v>55</v>
      </c>
      <c r="AL6760" s="1">
        <v>30</v>
      </c>
    </row>
    <row r="6761" spans="1:38" x14ac:dyDescent="0.2">
      <c r="A6761" s="2" t="str">
        <f>HYPERLINK("https://www.compass.com/listing/155-west-18th-street-unit-ph1-manhattan-ny-10011/380686482097494417/","155 W 18th St, Unit PH1")</f>
        <v>155 W 18th St, Unit PH1</v>
      </c>
      <c r="B6761" s="2" t="str">
        <f t="shared" si="1064"/>
        <v>The Flynn</v>
      </c>
      <c r="C6761" s="1" t="s">
        <v>62</v>
      </c>
      <c r="D6761" s="1" t="s">
        <v>41</v>
      </c>
      <c r="E6761" s="3">
        <v>11670000</v>
      </c>
      <c r="F6761" s="1">
        <v>76274.509803921494</v>
      </c>
      <c r="M6761" s="1">
        <v>153</v>
      </c>
      <c r="Q6761" s="1" t="s">
        <v>42</v>
      </c>
      <c r="S6761" s="1" t="s">
        <v>42</v>
      </c>
      <c r="T6761" s="1" t="s">
        <v>273</v>
      </c>
      <c r="AA6761" s="1">
        <v>11670000</v>
      </c>
      <c r="AB6761" s="1" t="s">
        <v>4979</v>
      </c>
      <c r="AC6761" s="5">
        <v>42734</v>
      </c>
      <c r="AF6761" s="1">
        <v>10011</v>
      </c>
      <c r="AI6761" s="1" t="s">
        <v>78</v>
      </c>
      <c r="AJ6761" s="1">
        <v>2016</v>
      </c>
      <c r="AK6761" s="1" t="s">
        <v>55</v>
      </c>
      <c r="AL6761" s="1">
        <v>30</v>
      </c>
    </row>
    <row r="6762" spans="1:38" x14ac:dyDescent="0.2">
      <c r="A6762" s="2" t="str">
        <f>HYPERLINK("https://www.compass.com/listing/155-west-18th-street-unit-203-manhattan-ny-10011/380686482657842449/","155 W 18th St, Unit 203")</f>
        <v>155 W 18th St, Unit 203</v>
      </c>
      <c r="B6762" s="2" t="str">
        <f t="shared" si="1064"/>
        <v>The Flynn</v>
      </c>
      <c r="C6762" s="1" t="s">
        <v>62</v>
      </c>
      <c r="D6762" s="1" t="s">
        <v>41</v>
      </c>
      <c r="E6762" s="3">
        <v>5500000</v>
      </c>
      <c r="F6762" s="1">
        <v>2300.2927645336599</v>
      </c>
      <c r="M6762" s="4">
        <v>2391</v>
      </c>
      <c r="Q6762" s="1" t="s">
        <v>42</v>
      </c>
      <c r="S6762" s="1" t="s">
        <v>42</v>
      </c>
      <c r="T6762" s="1" t="s">
        <v>273</v>
      </c>
      <c r="AA6762" s="1">
        <v>5500000</v>
      </c>
      <c r="AB6762" s="1" t="s">
        <v>4980</v>
      </c>
      <c r="AC6762" s="5">
        <v>42823</v>
      </c>
      <c r="AF6762" s="1">
        <v>10011</v>
      </c>
      <c r="AI6762" s="1" t="s">
        <v>78</v>
      </c>
      <c r="AJ6762" s="1">
        <v>2016</v>
      </c>
      <c r="AK6762" s="1" t="s">
        <v>55</v>
      </c>
      <c r="AL6762" s="1">
        <v>30</v>
      </c>
    </row>
    <row r="6763" spans="1:38" x14ac:dyDescent="0.2">
      <c r="A6763" s="2" t="str">
        <f>HYPERLINK("https://www.compass.com/listing/55-west-17th-street-unit-1201-manhattan-ny-10011/380689583701398577/","55 W 17th St, Unit 1201")</f>
        <v>55 W 17th St, Unit 1201</v>
      </c>
      <c r="B6763" s="2" t="str">
        <f t="shared" ref="B6763:B6766" si="1065">HYPERLINK("https://www.compass.com/building/55-w-17th-st-manhattan-ny-10011/281911689161499829/","55 W 17th St")</f>
        <v>55 W 17th St</v>
      </c>
      <c r="C6763" s="1" t="s">
        <v>56</v>
      </c>
      <c r="D6763" s="1" t="s">
        <v>41</v>
      </c>
      <c r="E6763" s="3">
        <v>3843884</v>
      </c>
      <c r="F6763" s="1">
        <v>142366.058148148</v>
      </c>
      <c r="M6763" s="1">
        <v>27</v>
      </c>
      <c r="Q6763" s="1" t="s">
        <v>42</v>
      </c>
      <c r="S6763" s="1" t="s">
        <v>42</v>
      </c>
      <c r="T6763" s="1" t="s">
        <v>273</v>
      </c>
      <c r="AA6763" s="1">
        <v>3843883.57</v>
      </c>
      <c r="AB6763" s="1" t="s">
        <v>4981</v>
      </c>
      <c r="AC6763" s="5">
        <v>42950</v>
      </c>
      <c r="AF6763" s="1">
        <v>10011</v>
      </c>
      <c r="AI6763" s="1" t="s">
        <v>102</v>
      </c>
      <c r="AJ6763" s="1">
        <v>2018</v>
      </c>
      <c r="AK6763" s="1" t="s">
        <v>55</v>
      </c>
      <c r="AL6763" s="1">
        <v>52</v>
      </c>
    </row>
    <row r="6764" spans="1:38" x14ac:dyDescent="0.2">
      <c r="A6764" s="2" t="str">
        <f>HYPERLINK("https://www.compass.com/listing/55-west-17th-street-unit-303-manhattan-ny-10011/380689595319475393/","55 W 17th St, Unit 303")</f>
        <v>55 W 17th St, Unit 303</v>
      </c>
      <c r="B6764" s="2" t="str">
        <f t="shared" si="1065"/>
        <v>55 W 17th St</v>
      </c>
      <c r="C6764" s="1" t="s">
        <v>56</v>
      </c>
      <c r="D6764" s="1" t="s">
        <v>41</v>
      </c>
      <c r="E6764" s="3">
        <v>2647450</v>
      </c>
      <c r="F6764" s="1">
        <v>1962.5277983691601</v>
      </c>
      <c r="M6764" s="4">
        <v>1349</v>
      </c>
      <c r="Q6764" s="1" t="s">
        <v>42</v>
      </c>
      <c r="S6764" s="1" t="s">
        <v>42</v>
      </c>
      <c r="T6764" s="1" t="s">
        <v>273</v>
      </c>
      <c r="AA6764" s="1">
        <v>2647450</v>
      </c>
      <c r="AB6764" s="1" t="s">
        <v>4982</v>
      </c>
      <c r="AC6764" s="5">
        <v>42908</v>
      </c>
      <c r="AF6764" s="1">
        <v>10011</v>
      </c>
      <c r="AI6764" s="1" t="s">
        <v>102</v>
      </c>
      <c r="AJ6764" s="1">
        <v>2018</v>
      </c>
      <c r="AK6764" s="1" t="s">
        <v>55</v>
      </c>
      <c r="AL6764" s="1">
        <v>52</v>
      </c>
    </row>
    <row r="6765" spans="1:38" x14ac:dyDescent="0.2">
      <c r="A6765" s="2" t="str">
        <f>HYPERLINK("https://www.compass.com/listing/55-west-17th-street-unit-1301-manhattan-ny-10011/380689596970484545/","55 W 17th St, Unit 1301/")</f>
        <v>55 W 17th St, Unit 1301/</v>
      </c>
      <c r="B6765" s="2" t="str">
        <f t="shared" si="1065"/>
        <v>55 W 17th St</v>
      </c>
      <c r="C6765" s="1" t="s">
        <v>56</v>
      </c>
      <c r="D6765" s="1" t="s">
        <v>41</v>
      </c>
      <c r="E6765" s="3">
        <v>8550000</v>
      </c>
      <c r="F6765" s="1">
        <v>371739.13043478201</v>
      </c>
      <c r="H6765" s="1">
        <v>4</v>
      </c>
      <c r="J6765" s="1">
        <v>4.5</v>
      </c>
      <c r="M6765" s="1">
        <v>23</v>
      </c>
      <c r="N6765" s="1">
        <v>5687</v>
      </c>
      <c r="O6765" s="1">
        <v>12026</v>
      </c>
      <c r="P6765" s="1">
        <v>6339</v>
      </c>
      <c r="Q6765" s="1" t="s">
        <v>42</v>
      </c>
      <c r="S6765" s="1" t="s">
        <v>42</v>
      </c>
      <c r="T6765" s="1" t="s">
        <v>273</v>
      </c>
      <c r="AA6765" s="1">
        <v>8550000</v>
      </c>
      <c r="AB6765" s="1" t="s">
        <v>4983</v>
      </c>
      <c r="AC6765" s="5">
        <v>43402</v>
      </c>
      <c r="AF6765" s="1">
        <v>10011</v>
      </c>
      <c r="AI6765" s="1" t="s">
        <v>102</v>
      </c>
      <c r="AJ6765" s="1">
        <v>2018</v>
      </c>
      <c r="AK6765" s="1" t="s">
        <v>55</v>
      </c>
      <c r="AL6765" s="1">
        <v>52</v>
      </c>
    </row>
    <row r="6766" spans="1:38" x14ac:dyDescent="0.2">
      <c r="A6766" s="2" t="str">
        <f>HYPERLINK("https://www.compass.com/listing/55-west-17th-street-unit-1101-manhattan-ny-10011/380689598826215153/","55 W 17th St, Unit 1101")</f>
        <v>55 W 17th St, Unit 1101</v>
      </c>
      <c r="B6766" s="2" t="str">
        <f t="shared" si="1065"/>
        <v>55 W 17th St</v>
      </c>
      <c r="C6766" s="1" t="s">
        <v>56</v>
      </c>
      <c r="D6766" s="1" t="s">
        <v>41</v>
      </c>
      <c r="E6766" s="3">
        <v>3415000</v>
      </c>
      <c r="F6766" s="1">
        <v>2067.1912832929702</v>
      </c>
      <c r="M6766" s="4">
        <v>1652</v>
      </c>
      <c r="Q6766" s="1" t="s">
        <v>42</v>
      </c>
      <c r="S6766" s="1" t="s">
        <v>42</v>
      </c>
      <c r="T6766" s="1" t="s">
        <v>273</v>
      </c>
      <c r="AA6766" s="1">
        <v>3415000</v>
      </c>
      <c r="AB6766" s="1" t="s">
        <v>4984</v>
      </c>
      <c r="AC6766" s="5">
        <v>42851</v>
      </c>
      <c r="AF6766" s="1">
        <v>10011</v>
      </c>
      <c r="AI6766" s="1" t="s">
        <v>102</v>
      </c>
      <c r="AJ6766" s="1">
        <v>2018</v>
      </c>
      <c r="AK6766" s="1" t="s">
        <v>55</v>
      </c>
      <c r="AL6766" s="1">
        <v>52</v>
      </c>
    </row>
    <row r="6767" spans="1:38" x14ac:dyDescent="0.2">
      <c r="A6767" s="2" t="str">
        <f>HYPERLINK("https://www.compass.com/listing/12-east-88th-street-unit-9c-manhattan-ny-10128/380781801665251841/","12 E 88th St, Unit 9C")</f>
        <v>12 E 88th St, Unit 9C</v>
      </c>
      <c r="B6767" s="2" t="str">
        <f>HYPERLINK("https://www.compass.com/building/12-e-88th-st-manhattan-ny-10128/282046316798827461/","12 E 88th St")</f>
        <v>12 E 88th St</v>
      </c>
      <c r="C6767" s="1" t="s">
        <v>82</v>
      </c>
      <c r="D6767" s="1" t="s">
        <v>41</v>
      </c>
      <c r="E6767" s="3">
        <v>10084889</v>
      </c>
      <c r="F6767" s="1">
        <v>31515.279125000001</v>
      </c>
      <c r="M6767" s="1">
        <v>320</v>
      </c>
      <c r="Q6767" s="1" t="s">
        <v>42</v>
      </c>
      <c r="S6767" s="1" t="s">
        <v>42</v>
      </c>
      <c r="T6767" s="1" t="s">
        <v>273</v>
      </c>
      <c r="AA6767" s="1">
        <v>10084889.32</v>
      </c>
      <c r="AB6767" s="1" t="s">
        <v>4985</v>
      </c>
      <c r="AC6767" s="5">
        <v>42962</v>
      </c>
      <c r="AF6767" s="1">
        <v>10128</v>
      </c>
      <c r="AI6767" s="1" t="s">
        <v>177</v>
      </c>
      <c r="AJ6767" s="1">
        <v>1931</v>
      </c>
      <c r="AK6767" s="1" t="s">
        <v>49</v>
      </c>
      <c r="AL6767" s="1">
        <v>39</v>
      </c>
    </row>
    <row r="6768" spans="1:38" x14ac:dyDescent="0.2">
      <c r="A6768" s="2" t="str">
        <f>HYPERLINK("https://www.compass.com/listing/48-east-132nd-street-unit-phe-manhattan-ny-10037/380801076279405601/","48 E 132nd St, Unit PHE")</f>
        <v>48 E 132nd St, Unit PHE</v>
      </c>
      <c r="B6768" s="2" t="str">
        <f t="shared" ref="B6768:B6769" si="1066">HYPERLINK("https://www.compass.com/building/48-e-132nd-st-manhattan-ny-10037/282028625274876293/","48 E 132nd St")</f>
        <v>48 E 132nd St</v>
      </c>
      <c r="C6768" s="1" t="s">
        <v>84</v>
      </c>
      <c r="D6768" s="1" t="s">
        <v>41</v>
      </c>
      <c r="E6768" s="3">
        <v>733018</v>
      </c>
      <c r="F6768" s="1">
        <v>18795.3284615384</v>
      </c>
      <c r="M6768" s="1">
        <v>39</v>
      </c>
      <c r="Q6768" s="1" t="s">
        <v>42</v>
      </c>
      <c r="S6768" s="1" t="s">
        <v>42</v>
      </c>
      <c r="T6768" s="1" t="s">
        <v>273</v>
      </c>
      <c r="AA6768" s="1">
        <v>733017.81</v>
      </c>
      <c r="AB6768" s="1" t="s">
        <v>4986</v>
      </c>
      <c r="AC6768" s="5">
        <v>42928</v>
      </c>
      <c r="AF6768" s="1">
        <v>10037</v>
      </c>
      <c r="AI6768" s="1" t="s">
        <v>80</v>
      </c>
      <c r="AJ6768" s="1">
        <v>2016</v>
      </c>
      <c r="AL6768" s="1">
        <v>19</v>
      </c>
    </row>
    <row r="6769" spans="1:38" x14ac:dyDescent="0.2">
      <c r="A6769" s="2" t="str">
        <f>HYPERLINK("https://www.compass.com/listing/48-east-132nd-street-unit-3f-manhattan-ny-10037/380801077722016609/","48 E 132nd St, Unit 3F")</f>
        <v>48 E 132nd St, Unit 3F</v>
      </c>
      <c r="B6769" s="2" t="str">
        <f t="shared" si="1066"/>
        <v>48 E 132nd St</v>
      </c>
      <c r="C6769" s="1" t="s">
        <v>84</v>
      </c>
      <c r="D6769" s="1" t="s">
        <v>41</v>
      </c>
      <c r="E6769" s="3">
        <v>455286</v>
      </c>
      <c r="F6769" s="1">
        <v>991.90849673202604</v>
      </c>
      <c r="M6769" s="1">
        <v>459</v>
      </c>
      <c r="Q6769" s="1" t="s">
        <v>42</v>
      </c>
      <c r="S6769" s="1" t="s">
        <v>42</v>
      </c>
      <c r="T6769" s="1" t="s">
        <v>273</v>
      </c>
      <c r="AA6769" s="1">
        <v>455286</v>
      </c>
      <c r="AB6769" s="1" t="s">
        <v>4987</v>
      </c>
      <c r="AC6769" s="5">
        <v>42926</v>
      </c>
      <c r="AF6769" s="1">
        <v>10037</v>
      </c>
      <c r="AI6769" s="1" t="s">
        <v>80</v>
      </c>
      <c r="AJ6769" s="1">
        <v>2016</v>
      </c>
      <c r="AL6769" s="1">
        <v>19</v>
      </c>
    </row>
    <row r="6770" spans="1:38" x14ac:dyDescent="0.2">
      <c r="A6770" s="2" t="str">
        <f>HYPERLINK("https://www.compass.com/listing/200-east-94th-street-unit-225-manhattan-ny-10128/381162024507198977/","200 E 94th St, Unit 225")</f>
        <v>200 E 94th St, Unit 225</v>
      </c>
      <c r="B6770" s="2" t="str">
        <f>HYPERLINK("https://www.compass.com/building/carnegie-park-condominium-manhattan-ny/282049797358118613/","Carnegie Park Condominium")</f>
        <v>Carnegie Park Condominium</v>
      </c>
      <c r="C6770" s="1" t="s">
        <v>82</v>
      </c>
      <c r="D6770" s="1" t="s">
        <v>41</v>
      </c>
      <c r="E6770" s="3">
        <v>997885</v>
      </c>
      <c r="F6770" s="1">
        <v>1413.43484419263</v>
      </c>
      <c r="G6770" s="1">
        <v>3</v>
      </c>
      <c r="H6770" s="1">
        <v>1</v>
      </c>
      <c r="I6770" s="1">
        <v>1</v>
      </c>
      <c r="J6770" s="1">
        <v>1</v>
      </c>
      <c r="K6770" s="1">
        <v>1</v>
      </c>
      <c r="M6770" s="1">
        <v>706</v>
      </c>
      <c r="N6770" s="1">
        <v>791</v>
      </c>
      <c r="O6770" s="1">
        <v>1646</v>
      </c>
      <c r="P6770" s="1">
        <v>855</v>
      </c>
      <c r="Q6770" s="1" t="s">
        <v>42</v>
      </c>
      <c r="S6770" s="1" t="s">
        <v>42</v>
      </c>
      <c r="T6770" s="1" t="s">
        <v>273</v>
      </c>
      <c r="V6770" s="5">
        <v>44248</v>
      </c>
      <c r="W6770" s="5">
        <v>43778</v>
      </c>
      <c r="X6770" s="1">
        <v>1095000</v>
      </c>
      <c r="Y6770" s="1">
        <v>1095000</v>
      </c>
      <c r="Z6770" s="5">
        <v>43778</v>
      </c>
      <c r="AA6770" s="1">
        <v>997885</v>
      </c>
      <c r="AB6770" s="1" t="s">
        <v>4988</v>
      </c>
      <c r="AC6770" s="5">
        <v>43817</v>
      </c>
      <c r="AF6770" s="1">
        <v>10128</v>
      </c>
      <c r="AI6770" s="1" t="s">
        <v>185</v>
      </c>
      <c r="AJ6770" s="1">
        <v>1986</v>
      </c>
      <c r="AK6770" s="1" t="s">
        <v>46</v>
      </c>
      <c r="AL6770" s="1">
        <v>287</v>
      </c>
    </row>
    <row r="6771" spans="1:38" x14ac:dyDescent="0.2">
      <c r="A6771" s="2" t="str">
        <f>HYPERLINK("https://www.compass.com/listing/15-hudson-yards-unit-34c-manhattan-ny-10001/383198392654888833/","15 Hudson Yards, Unit 34C")</f>
        <v>15 Hudson Yards, Unit 34C</v>
      </c>
      <c r="B6771" s="2" t="str">
        <f>HYPERLINK("https://www.compass.com/building/fifteen-hudson-yards-manhattan-ny/282058587512011909/","Fifteen Hudson Yards")</f>
        <v>Fifteen Hudson Yards</v>
      </c>
      <c r="C6771" s="1" t="s">
        <v>77</v>
      </c>
      <c r="D6771" s="1" t="s">
        <v>41</v>
      </c>
      <c r="E6771" s="3">
        <v>4607500</v>
      </c>
      <c r="G6771" s="1">
        <v>4</v>
      </c>
      <c r="H6771" s="1">
        <v>2</v>
      </c>
      <c r="I6771" s="1">
        <v>3</v>
      </c>
      <c r="J6771" s="1">
        <v>2.5</v>
      </c>
      <c r="K6771" s="1">
        <v>2</v>
      </c>
      <c r="L6771" s="1">
        <v>1</v>
      </c>
      <c r="N6771" s="1">
        <v>3724</v>
      </c>
      <c r="O6771" s="1">
        <v>3776</v>
      </c>
      <c r="P6771" s="1">
        <v>52</v>
      </c>
      <c r="Q6771" s="1" t="s">
        <v>42</v>
      </c>
      <c r="S6771" s="1" t="s">
        <v>42</v>
      </c>
      <c r="T6771" s="1" t="s">
        <v>273</v>
      </c>
      <c r="U6771" s="1">
        <v>1134</v>
      </c>
      <c r="V6771" s="5">
        <v>43781</v>
      </c>
      <c r="W6771" s="5">
        <v>42642</v>
      </c>
      <c r="AA6771" s="1">
        <v>4607500</v>
      </c>
      <c r="AB6771" s="1" t="s">
        <v>275</v>
      </c>
      <c r="AC6771" s="5">
        <v>43776</v>
      </c>
      <c r="AF6771" s="1">
        <v>10001</v>
      </c>
      <c r="AJ6771" s="1">
        <v>2018</v>
      </c>
      <c r="AK6771" s="1" t="s">
        <v>49</v>
      </c>
      <c r="AL6771" s="1">
        <v>285</v>
      </c>
    </row>
    <row r="6772" spans="1:38" x14ac:dyDescent="0.2">
      <c r="A6772" s="2" t="str">
        <f>HYPERLINK("https://www.compass.com/listing/220-central-park-south-unit-20c-manhattan-ny-10019/383934628978380625/","220 Central Park S, Unit 20C")</f>
        <v>220 Central Park S, Unit 20C</v>
      </c>
      <c r="B6772" s="2" t="str">
        <f>HYPERLINK("https://www.compass.com/building/220-central-park-south-manhattan-ny/281944232648828453/","220 Central Park South")</f>
        <v>220 Central Park South</v>
      </c>
      <c r="C6772" s="1" t="s">
        <v>260</v>
      </c>
      <c r="D6772" s="1" t="s">
        <v>41</v>
      </c>
      <c r="E6772" s="3">
        <v>1909219</v>
      </c>
      <c r="F6772" s="1">
        <v>3773.1595849802302</v>
      </c>
      <c r="G6772" s="1">
        <v>2</v>
      </c>
      <c r="H6772" s="1" t="s">
        <v>99</v>
      </c>
      <c r="I6772" s="1">
        <v>1</v>
      </c>
      <c r="J6772" s="1">
        <v>1</v>
      </c>
      <c r="K6772" s="1">
        <v>1</v>
      </c>
      <c r="M6772" s="1">
        <v>506</v>
      </c>
      <c r="N6772" s="1">
        <v>965</v>
      </c>
      <c r="O6772" s="1">
        <v>1793</v>
      </c>
      <c r="P6772" s="1">
        <v>828</v>
      </c>
      <c r="Q6772" s="1" t="s">
        <v>42</v>
      </c>
      <c r="S6772" s="1" t="s">
        <v>42</v>
      </c>
      <c r="T6772" s="1" t="s">
        <v>273</v>
      </c>
      <c r="U6772" s="1">
        <v>631</v>
      </c>
      <c r="V6772" s="5">
        <v>43782</v>
      </c>
      <c r="W6772" s="5">
        <v>43137</v>
      </c>
      <c r="X6772" s="1">
        <v>1875000</v>
      </c>
      <c r="Y6772" s="1">
        <v>1875000</v>
      </c>
      <c r="AA6772" s="1">
        <v>1909218.75</v>
      </c>
      <c r="AB6772" s="1" t="s">
        <v>4989</v>
      </c>
      <c r="AC6772" s="5">
        <v>43769</v>
      </c>
      <c r="AF6772" s="1">
        <v>10019</v>
      </c>
      <c r="AI6772" s="1" t="s">
        <v>101</v>
      </c>
      <c r="AJ6772" s="1">
        <v>2018</v>
      </c>
      <c r="AK6772" s="1" t="s">
        <v>46</v>
      </c>
      <c r="AL6772" s="1">
        <v>117</v>
      </c>
    </row>
    <row r="6773" spans="1:38" x14ac:dyDescent="0.2">
      <c r="A6773" s="2" t="str">
        <f>HYPERLINK("https://www.compass.com/listing/15-hudson-yards-unit-27c-manhattan-ny-10001/384814025467809441/","15 Hudson Yards, Unit 27C")</f>
        <v>15 Hudson Yards, Unit 27C</v>
      </c>
      <c r="B6773" s="2" t="str">
        <f>HYPERLINK("https://www.compass.com/building/fifteen-hudson-yards-manhattan-ny/282058587512011909/","Fifteen Hudson Yards")</f>
        <v>Fifteen Hudson Yards</v>
      </c>
      <c r="C6773" s="1" t="s">
        <v>77</v>
      </c>
      <c r="D6773" s="1" t="s">
        <v>41</v>
      </c>
      <c r="E6773" s="3">
        <v>4575000</v>
      </c>
      <c r="F6773" s="1">
        <v>2754.3648404575501</v>
      </c>
      <c r="G6773" s="1">
        <v>4</v>
      </c>
      <c r="H6773" s="1">
        <v>2</v>
      </c>
      <c r="I6773" s="1">
        <v>3</v>
      </c>
      <c r="J6773" s="1">
        <v>2.5</v>
      </c>
      <c r="K6773" s="1">
        <v>2</v>
      </c>
      <c r="L6773" s="1">
        <v>1</v>
      </c>
      <c r="M6773" s="4">
        <v>1661</v>
      </c>
      <c r="N6773" s="1">
        <v>3697</v>
      </c>
      <c r="O6773" s="1">
        <v>3748</v>
      </c>
      <c r="P6773" s="1">
        <v>51</v>
      </c>
      <c r="Q6773" s="1" t="s">
        <v>42</v>
      </c>
      <c r="S6773" s="1" t="s">
        <v>42</v>
      </c>
      <c r="T6773" s="1" t="s">
        <v>273</v>
      </c>
      <c r="U6773" s="1">
        <v>729</v>
      </c>
      <c r="V6773" s="5">
        <v>43783</v>
      </c>
      <c r="W6773" s="5">
        <v>43052</v>
      </c>
      <c r="AA6773" s="1">
        <v>4575000</v>
      </c>
      <c r="AB6773" s="1" t="s">
        <v>275</v>
      </c>
      <c r="AC6773" s="5">
        <v>43781</v>
      </c>
      <c r="AF6773" s="1">
        <v>10001</v>
      </c>
      <c r="AJ6773" s="1">
        <v>2018</v>
      </c>
      <c r="AK6773" s="1" t="s">
        <v>49</v>
      </c>
      <c r="AL6773" s="1">
        <v>285</v>
      </c>
    </row>
    <row r="6774" spans="1:38" x14ac:dyDescent="0.2">
      <c r="A6774" s="2" t="str">
        <f>HYPERLINK("https://www.compass.com/listing/111-murray-street-unit-15b-manhattan-ny-10007/385917272668631377/","111 Murray St, Unit 15B")</f>
        <v>111 Murray St, Unit 15B</v>
      </c>
      <c r="B6774" s="2" t="str">
        <f>HYPERLINK("https://www.compass.com/building/111-murray-st-manhattan-ny-10007/281896511862746053/","111 Murray St")</f>
        <v>111 Murray St</v>
      </c>
      <c r="C6774" s="1" t="s">
        <v>50</v>
      </c>
      <c r="D6774" s="1" t="s">
        <v>41</v>
      </c>
      <c r="E6774" s="3">
        <v>1900000</v>
      </c>
      <c r="F6774" s="1">
        <v>2398.9898989898902</v>
      </c>
      <c r="M6774" s="1">
        <v>792</v>
      </c>
      <c r="Q6774" s="1" t="s">
        <v>42</v>
      </c>
      <c r="S6774" s="1" t="s">
        <v>42</v>
      </c>
      <c r="T6774" s="1" t="s">
        <v>273</v>
      </c>
      <c r="AA6774" s="1">
        <v>1900000</v>
      </c>
      <c r="AB6774" s="1" t="s">
        <v>4990</v>
      </c>
      <c r="AC6774" s="5">
        <v>43769</v>
      </c>
      <c r="AF6774" s="1">
        <v>10007</v>
      </c>
      <c r="AI6774" s="1" t="s">
        <v>80</v>
      </c>
      <c r="AJ6774" s="1">
        <v>2018</v>
      </c>
      <c r="AK6774" s="1" t="s">
        <v>49</v>
      </c>
      <c r="AL6774" s="1">
        <v>157</v>
      </c>
    </row>
    <row r="6775" spans="1:38" x14ac:dyDescent="0.2">
      <c r="A6775" s="2" t="str">
        <f>HYPERLINK("https://www.compass.com/listing/252-south-street-unit-54c-manhattan-ny-10002/385918100651397841/","252 South St, Unit 54C")</f>
        <v>252 South St, Unit 54C</v>
      </c>
      <c r="B6775" s="2" t="str">
        <f>HYPERLINK("https://www.compass.com/building/one-manhattan-square-manhattan-ny/294844950218926165/","One Manhattan Square")</f>
        <v>One Manhattan Square</v>
      </c>
      <c r="C6775" s="1" t="s">
        <v>47</v>
      </c>
      <c r="D6775" s="1" t="s">
        <v>41</v>
      </c>
      <c r="E6775" s="3">
        <v>4009745</v>
      </c>
      <c r="F6775" s="1">
        <v>2696.5331472763901</v>
      </c>
      <c r="M6775" s="4">
        <v>1487</v>
      </c>
      <c r="Q6775" s="1" t="s">
        <v>42</v>
      </c>
      <c r="S6775" s="1" t="s">
        <v>42</v>
      </c>
      <c r="T6775" s="1" t="s">
        <v>273</v>
      </c>
      <c r="AA6775" s="1">
        <v>4009744.79</v>
      </c>
      <c r="AB6775" s="1" t="s">
        <v>4991</v>
      </c>
      <c r="AC6775" s="5">
        <v>43769</v>
      </c>
      <c r="AF6775" s="1">
        <v>10002</v>
      </c>
      <c r="AI6775" s="1" t="s">
        <v>66</v>
      </c>
      <c r="AJ6775" s="1">
        <v>2019</v>
      </c>
      <c r="AK6775" s="1" t="s">
        <v>49</v>
      </c>
      <c r="AL6775" s="1">
        <v>787</v>
      </c>
    </row>
    <row r="6776" spans="1:38" x14ac:dyDescent="0.2">
      <c r="A6776" s="2" t="str">
        <f>HYPERLINK("https://www.compass.com/listing/15-hudson-yards-unit-37c-manhattan-ny-10001/388393866993772177/","15 Hudson Yards, Unit 37C")</f>
        <v>15 Hudson Yards, Unit 37C</v>
      </c>
      <c r="B6776" s="2" t="str">
        <f>HYPERLINK("https://www.compass.com/building/fifteen-hudson-yards-manhattan-ny/282058587512011909/","Fifteen Hudson Yards")</f>
        <v>Fifteen Hudson Yards</v>
      </c>
      <c r="C6776" s="1" t="s">
        <v>77</v>
      </c>
      <c r="D6776" s="1" t="s">
        <v>41</v>
      </c>
      <c r="E6776" s="3">
        <v>4825000</v>
      </c>
      <c r="F6776" s="1">
        <v>2915.40785498489</v>
      </c>
      <c r="G6776" s="1">
        <v>4</v>
      </c>
      <c r="H6776" s="1">
        <v>2</v>
      </c>
      <c r="I6776" s="1">
        <v>3</v>
      </c>
      <c r="J6776" s="1">
        <v>2.5</v>
      </c>
      <c r="K6776" s="1">
        <v>2</v>
      </c>
      <c r="L6776" s="1">
        <v>1</v>
      </c>
      <c r="M6776" s="4">
        <v>1655</v>
      </c>
      <c r="N6776" s="1">
        <v>3738</v>
      </c>
      <c r="O6776" s="1">
        <v>3790</v>
      </c>
      <c r="P6776" s="1">
        <v>52</v>
      </c>
      <c r="Q6776" s="1" t="s">
        <v>42</v>
      </c>
      <c r="S6776" s="1" t="s">
        <v>42</v>
      </c>
      <c r="T6776" s="1" t="s">
        <v>273</v>
      </c>
      <c r="U6776" s="1">
        <v>968</v>
      </c>
      <c r="V6776" s="5">
        <v>43788</v>
      </c>
      <c r="W6776" s="5">
        <v>42816</v>
      </c>
      <c r="AA6776" s="1">
        <v>4825000</v>
      </c>
      <c r="AB6776" s="1" t="s">
        <v>275</v>
      </c>
      <c r="AC6776" s="5">
        <v>43784</v>
      </c>
      <c r="AF6776" s="1">
        <v>10001</v>
      </c>
      <c r="AJ6776" s="1">
        <v>2018</v>
      </c>
      <c r="AK6776" s="1" t="s">
        <v>49</v>
      </c>
      <c r="AL6776" s="1">
        <v>285</v>
      </c>
    </row>
    <row r="6777" spans="1:38" x14ac:dyDescent="0.2">
      <c r="A6777" s="2" t="str">
        <f>HYPERLINK("https://www.compass.com/listing/220-central-park-south-unit-villa-14-duplex-manhattan-ny-10019/391205958041872177/","220 Central Park S, Unit VILLA 14 DUPLEX")</f>
        <v>220 Central Park S, Unit VILLA 14 DUPLEX</v>
      </c>
      <c r="B6777" s="2" t="str">
        <f>HYPERLINK("https://www.compass.com/building/220-central-park-south-manhattan-ny/281944232648828453/","220 Central Park South")</f>
        <v>220 Central Park South</v>
      </c>
      <c r="C6777" s="1" t="s">
        <v>260</v>
      </c>
      <c r="D6777" s="1" t="s">
        <v>41</v>
      </c>
      <c r="E6777" s="3">
        <v>46531988</v>
      </c>
      <c r="F6777" s="1">
        <v>10721.6562211981</v>
      </c>
      <c r="G6777" s="1">
        <v>3</v>
      </c>
      <c r="H6777" s="1">
        <v>1</v>
      </c>
      <c r="I6777" s="1">
        <v>1</v>
      </c>
      <c r="J6777" s="1">
        <v>1</v>
      </c>
      <c r="K6777" s="1">
        <v>1</v>
      </c>
      <c r="M6777" s="4">
        <v>4340</v>
      </c>
      <c r="N6777" s="1">
        <v>9922</v>
      </c>
      <c r="O6777" s="1">
        <v>18428</v>
      </c>
      <c r="P6777" s="1">
        <v>8506</v>
      </c>
      <c r="Q6777" s="1" t="s">
        <v>42</v>
      </c>
      <c r="S6777" s="1" t="s">
        <v>42</v>
      </c>
      <c r="T6777" s="1" t="s">
        <v>273</v>
      </c>
      <c r="U6777" s="1">
        <v>671</v>
      </c>
      <c r="V6777" s="5">
        <v>43797</v>
      </c>
      <c r="W6777" s="5">
        <v>43119</v>
      </c>
      <c r="X6777" s="1">
        <v>47000000</v>
      </c>
      <c r="Y6777" s="1">
        <v>47000000</v>
      </c>
      <c r="AA6777" s="1">
        <v>46531988</v>
      </c>
      <c r="AB6777" s="1" t="s">
        <v>275</v>
      </c>
      <c r="AC6777" s="5">
        <v>43790</v>
      </c>
      <c r="AF6777" s="1">
        <v>10019</v>
      </c>
      <c r="AI6777" s="1" t="s">
        <v>101</v>
      </c>
      <c r="AJ6777" s="1">
        <v>2018</v>
      </c>
      <c r="AK6777" s="1" t="s">
        <v>46</v>
      </c>
      <c r="AL6777" s="1">
        <v>117</v>
      </c>
    </row>
    <row r="6778" spans="1:38" x14ac:dyDescent="0.2">
      <c r="A6778" s="2" t="str">
        <f>HYPERLINK("https://www.compass.com/listing/55-west-17th-street-unit-ph-manhattan-ny-10011/391992589062130721/","55 W 17th St, Unit PH")</f>
        <v>55 W 17th St, Unit PH</v>
      </c>
      <c r="B6778" s="2" t="str">
        <f>HYPERLINK("https://www.compass.com/building/55-w-17th-st-manhattan-ny-10011/281911689161499829/","55 W 17th St")</f>
        <v>55 W 17th St</v>
      </c>
      <c r="C6778" s="1" t="s">
        <v>56</v>
      </c>
      <c r="D6778" s="1" t="s">
        <v>41</v>
      </c>
      <c r="E6778" s="3">
        <v>16756322</v>
      </c>
      <c r="F6778" s="1">
        <v>3482.9187279151902</v>
      </c>
      <c r="G6778" s="1">
        <v>9</v>
      </c>
      <c r="H6778" s="1">
        <v>4</v>
      </c>
      <c r="I6778" s="1">
        <v>6</v>
      </c>
      <c r="J6778" s="1">
        <v>5.5</v>
      </c>
      <c r="K6778" s="1">
        <v>5</v>
      </c>
      <c r="L6778" s="1">
        <v>1</v>
      </c>
      <c r="M6778" s="4">
        <v>4811</v>
      </c>
      <c r="N6778" s="1">
        <v>7424</v>
      </c>
      <c r="O6778" s="1">
        <v>16168</v>
      </c>
      <c r="P6778" s="1">
        <v>8744</v>
      </c>
      <c r="S6778" s="1" t="s">
        <v>42</v>
      </c>
      <c r="T6778" s="1" t="s">
        <v>273</v>
      </c>
      <c r="V6778" s="5">
        <v>44247</v>
      </c>
      <c r="AA6778" s="1">
        <v>16756322</v>
      </c>
      <c r="AB6778" s="1" t="s">
        <v>275</v>
      </c>
      <c r="AC6778" s="5">
        <v>43678</v>
      </c>
      <c r="AF6778" s="1">
        <v>10011</v>
      </c>
      <c r="AI6778" s="1" t="s">
        <v>952</v>
      </c>
      <c r="AJ6778" s="1">
        <v>2018</v>
      </c>
      <c r="AK6778" s="1" t="s">
        <v>55</v>
      </c>
      <c r="AL6778" s="1">
        <v>52</v>
      </c>
    </row>
    <row r="6779" spans="1:38" x14ac:dyDescent="0.2">
      <c r="A6779" s="2" t="str">
        <f>HYPERLINK("https://www.compass.com/listing/111-murray-street-unit-42b-manhattan-ny-10007/393899860701805985/","111 Murray St, Unit 42B")</f>
        <v>111 Murray St, Unit 42B</v>
      </c>
      <c r="B6779" s="2" t="str">
        <f>HYPERLINK("https://www.compass.com/building/111-murray-st-manhattan-ny-10007/281896511862746053/","111 Murray St")</f>
        <v>111 Murray St</v>
      </c>
      <c r="C6779" s="1" t="s">
        <v>50</v>
      </c>
      <c r="D6779" s="1" t="s">
        <v>41</v>
      </c>
      <c r="E6779" s="3">
        <v>3697500</v>
      </c>
      <c r="F6779" s="1">
        <v>2219.38775510204</v>
      </c>
      <c r="M6779" s="4">
        <v>1666</v>
      </c>
      <c r="Q6779" s="1" t="s">
        <v>42</v>
      </c>
      <c r="S6779" s="1" t="s">
        <v>42</v>
      </c>
      <c r="T6779" s="1" t="s">
        <v>273</v>
      </c>
      <c r="AA6779" s="1">
        <v>3697500</v>
      </c>
      <c r="AB6779" s="1" t="s">
        <v>4992</v>
      </c>
      <c r="AC6779" s="5">
        <v>43784</v>
      </c>
      <c r="AF6779" s="1">
        <v>10007</v>
      </c>
      <c r="AI6779" s="1" t="s">
        <v>80</v>
      </c>
      <c r="AJ6779" s="1">
        <v>2018</v>
      </c>
      <c r="AK6779" s="1" t="s">
        <v>49</v>
      </c>
      <c r="AL6779" s="1">
        <v>157</v>
      </c>
    </row>
    <row r="6780" spans="1:38" x14ac:dyDescent="0.2">
      <c r="A6780" s="2" t="str">
        <f>HYPERLINK("https://www.compass.com/listing/220-central-park-south-unit-46a-manhattan-ny-10019/393910179887610321/","220 Central Park S, Unit 46A")</f>
        <v>220 Central Park S, Unit 46A</v>
      </c>
      <c r="B6780" s="2" t="str">
        <f>HYPERLINK("https://www.compass.com/building/220-central-park-south-manhattan-ny/281944232648828453/","220 Central Park South")</f>
        <v>220 Central Park South</v>
      </c>
      <c r="C6780" s="1" t="s">
        <v>260</v>
      </c>
      <c r="D6780" s="1" t="s">
        <v>41</v>
      </c>
      <c r="E6780" s="3">
        <v>59567625</v>
      </c>
      <c r="F6780" s="1">
        <v>9037.7218934911198</v>
      </c>
      <c r="M6780" s="4">
        <v>6591</v>
      </c>
      <c r="Q6780" s="1" t="s">
        <v>42</v>
      </c>
      <c r="S6780" s="1" t="s">
        <v>42</v>
      </c>
      <c r="T6780" s="1" t="s">
        <v>273</v>
      </c>
      <c r="AA6780" s="1">
        <v>59567625</v>
      </c>
      <c r="AB6780" s="1" t="s">
        <v>4993</v>
      </c>
      <c r="AC6780" s="5">
        <v>43784</v>
      </c>
      <c r="AF6780" s="1">
        <v>10019</v>
      </c>
      <c r="AI6780" s="1" t="s">
        <v>101</v>
      </c>
      <c r="AJ6780" s="1">
        <v>2018</v>
      </c>
      <c r="AK6780" s="1" t="s">
        <v>49</v>
      </c>
      <c r="AL6780" s="1">
        <v>117</v>
      </c>
    </row>
    <row r="6781" spans="1:38" x14ac:dyDescent="0.2">
      <c r="A6781" s="2" t="str">
        <f>HYPERLINK("https://www.compass.com/listing/15-hudson-yards-unit-67b-manhattan-ny-10001/394166718520861089/","15 Hudson Yards, Unit 67B")</f>
        <v>15 Hudson Yards, Unit 67B</v>
      </c>
      <c r="B6781" s="2" t="str">
        <f>HYPERLINK("https://www.compass.com/building/fifteen-hudson-yards-manhattan-ny/282058587512011909/","Fifteen Hudson Yards")</f>
        <v>Fifteen Hudson Yards</v>
      </c>
      <c r="C6781" s="1" t="s">
        <v>77</v>
      </c>
      <c r="D6781" s="1" t="s">
        <v>41</v>
      </c>
      <c r="E6781" s="3">
        <v>7955000</v>
      </c>
      <c r="F6781" s="1">
        <v>3437.7700950734602</v>
      </c>
      <c r="G6781" s="1">
        <v>4</v>
      </c>
      <c r="H6781" s="1">
        <v>2</v>
      </c>
      <c r="I6781" s="1">
        <v>3</v>
      </c>
      <c r="J6781" s="1">
        <v>2.5</v>
      </c>
      <c r="K6781" s="1">
        <v>2</v>
      </c>
      <c r="L6781" s="1">
        <v>1</v>
      </c>
      <c r="M6781" s="4">
        <v>2314</v>
      </c>
      <c r="N6781" s="1">
        <v>5407</v>
      </c>
      <c r="O6781" s="1">
        <v>5482</v>
      </c>
      <c r="P6781" s="1">
        <v>75</v>
      </c>
      <c r="Q6781" s="1" t="s">
        <v>42</v>
      </c>
      <c r="S6781" s="1" t="s">
        <v>42</v>
      </c>
      <c r="T6781" s="1" t="s">
        <v>273</v>
      </c>
      <c r="U6781" s="1">
        <v>1035</v>
      </c>
      <c r="V6781" s="5">
        <v>43796</v>
      </c>
      <c r="W6781" s="5">
        <v>42759</v>
      </c>
      <c r="AA6781" s="1">
        <v>7955000</v>
      </c>
      <c r="AB6781" s="1" t="s">
        <v>275</v>
      </c>
      <c r="AC6781" s="5">
        <v>43794</v>
      </c>
      <c r="AF6781" s="1">
        <v>10001</v>
      </c>
      <c r="AJ6781" s="1">
        <v>2018</v>
      </c>
      <c r="AK6781" s="1" t="s">
        <v>46</v>
      </c>
      <c r="AL6781" s="1">
        <v>285</v>
      </c>
    </row>
    <row r="6782" spans="1:38" x14ac:dyDescent="0.2">
      <c r="A6782" s="2" t="str">
        <f>HYPERLINK("https://www.compass.com/listing/111-murray-street-unit-7a-manhattan-ny-10007/39503425452416961/","111 Murray St, Unit 7A")</f>
        <v>111 Murray St, Unit 7A</v>
      </c>
      <c r="B6782" s="2" t="str">
        <f t="shared" ref="B6782:B6785" si="1067">HYPERLINK("https://www.compass.com/building/111-murray-st-manhattan-ny-10007/281896511862746053/","111 Murray St")</f>
        <v>111 Murray St</v>
      </c>
      <c r="C6782" s="1" t="s">
        <v>50</v>
      </c>
      <c r="D6782" s="1" t="s">
        <v>41</v>
      </c>
      <c r="E6782" s="3">
        <v>2545625</v>
      </c>
      <c r="F6782" s="1">
        <v>2260.7682060390698</v>
      </c>
      <c r="M6782" s="4">
        <v>1126</v>
      </c>
      <c r="Q6782" s="1" t="s">
        <v>42</v>
      </c>
      <c r="S6782" s="1" t="s">
        <v>42</v>
      </c>
      <c r="T6782" s="1" t="s">
        <v>273</v>
      </c>
      <c r="AA6782" s="1">
        <v>2545625</v>
      </c>
      <c r="AB6782" s="1" t="s">
        <v>4994</v>
      </c>
      <c r="AC6782" s="5">
        <v>43293</v>
      </c>
      <c r="AF6782" s="1">
        <v>10007</v>
      </c>
      <c r="AI6782" s="1" t="s">
        <v>80</v>
      </c>
      <c r="AJ6782" s="1">
        <v>2018</v>
      </c>
      <c r="AK6782" s="1" t="s">
        <v>49</v>
      </c>
      <c r="AL6782" s="1">
        <v>157</v>
      </c>
    </row>
    <row r="6783" spans="1:38" x14ac:dyDescent="0.2">
      <c r="A6783" s="2" t="str">
        <f>HYPERLINK("https://www.compass.com/listing/111-murray-street-unit-10b-manhattan-ny-10007/396074110643044849/","111 Murray St, Unit 10B")</f>
        <v>111 Murray St, Unit 10B</v>
      </c>
      <c r="B6783" s="2" t="str">
        <f t="shared" si="1067"/>
        <v>111 Murray St</v>
      </c>
      <c r="C6783" s="1" t="s">
        <v>50</v>
      </c>
      <c r="D6783" s="1" t="s">
        <v>41</v>
      </c>
      <c r="E6783" s="3">
        <v>1800000</v>
      </c>
      <c r="F6783" s="1">
        <v>2272.7272727272698</v>
      </c>
      <c r="M6783" s="1">
        <v>792</v>
      </c>
      <c r="Q6783" s="1" t="s">
        <v>42</v>
      </c>
      <c r="S6783" s="1" t="s">
        <v>42</v>
      </c>
      <c r="T6783" s="1" t="s">
        <v>273</v>
      </c>
      <c r="AA6783" s="1">
        <v>1800000</v>
      </c>
      <c r="AB6783" s="1" t="s">
        <v>4995</v>
      </c>
      <c r="AC6783" s="5">
        <v>43776</v>
      </c>
      <c r="AF6783" s="1">
        <v>10007</v>
      </c>
      <c r="AI6783" s="1" t="s">
        <v>80</v>
      </c>
      <c r="AJ6783" s="1">
        <v>2018</v>
      </c>
      <c r="AK6783" s="1" t="s">
        <v>49</v>
      </c>
      <c r="AL6783" s="1">
        <v>157</v>
      </c>
    </row>
    <row r="6784" spans="1:38" x14ac:dyDescent="0.2">
      <c r="A6784" s="2" t="str">
        <f>HYPERLINK("https://www.compass.com/listing/111-murray-street-unit-40b-manhattan-ny-10007/399444884185064177/","111 Murray St, Unit 40B")</f>
        <v>111 Murray St, Unit 40B</v>
      </c>
      <c r="B6784" s="2" t="str">
        <f t="shared" si="1067"/>
        <v>111 Murray St</v>
      </c>
      <c r="C6784" s="1" t="s">
        <v>50</v>
      </c>
      <c r="D6784" s="1" t="s">
        <v>41</v>
      </c>
      <c r="E6784" s="3">
        <v>4430000</v>
      </c>
      <c r="F6784" s="1">
        <v>2659.0636254501801</v>
      </c>
      <c r="M6784" s="4">
        <v>1666</v>
      </c>
      <c r="Q6784" s="1" t="s">
        <v>42</v>
      </c>
      <c r="S6784" s="1" t="s">
        <v>42</v>
      </c>
      <c r="T6784" s="1" t="s">
        <v>273</v>
      </c>
      <c r="AA6784" s="1">
        <v>4430000</v>
      </c>
      <c r="AB6784" s="1" t="s">
        <v>4996</v>
      </c>
      <c r="AC6784" s="5">
        <v>43735</v>
      </c>
      <c r="AF6784" s="1">
        <v>10007</v>
      </c>
      <c r="AI6784" s="1" t="s">
        <v>80</v>
      </c>
      <c r="AJ6784" s="1">
        <v>2018</v>
      </c>
      <c r="AK6784" s="1" t="s">
        <v>49</v>
      </c>
      <c r="AL6784" s="1">
        <v>157</v>
      </c>
    </row>
    <row r="6785" spans="1:38" x14ac:dyDescent="0.2">
      <c r="A6785" s="2" t="str">
        <f>HYPERLINK("https://www.compass.com/listing/111-murray-street-unit-60w-manhattan-ny-10007/399444911725233873/","111 Murray St, Unit 60W")</f>
        <v>111 Murray St, Unit 60W</v>
      </c>
      <c r="B6785" s="2" t="str">
        <f t="shared" si="1067"/>
        <v>111 Murray St</v>
      </c>
      <c r="C6785" s="1" t="s">
        <v>50</v>
      </c>
      <c r="D6785" s="1" t="s">
        <v>41</v>
      </c>
      <c r="E6785" s="3">
        <v>14900000</v>
      </c>
      <c r="F6785" s="1">
        <v>3770.2429149797499</v>
      </c>
      <c r="M6785" s="4">
        <v>3952</v>
      </c>
      <c r="Q6785" s="1" t="s">
        <v>42</v>
      </c>
      <c r="S6785" s="1" t="s">
        <v>42</v>
      </c>
      <c r="T6785" s="1" t="s">
        <v>273</v>
      </c>
      <c r="AA6785" s="1">
        <v>14900000</v>
      </c>
      <c r="AB6785" s="1" t="s">
        <v>4997</v>
      </c>
      <c r="AC6785" s="5">
        <v>43644</v>
      </c>
      <c r="AF6785" s="1">
        <v>10007</v>
      </c>
      <c r="AI6785" s="1" t="s">
        <v>80</v>
      </c>
      <c r="AJ6785" s="1">
        <v>2018</v>
      </c>
      <c r="AK6785" s="1" t="s">
        <v>49</v>
      </c>
      <c r="AL6785" s="1">
        <v>157</v>
      </c>
    </row>
    <row r="6786" spans="1:38" x14ac:dyDescent="0.2">
      <c r="A6786" s="2" t="str">
        <f>HYPERLINK("https://www.compass.com/listing/108-leonard-street-unit-6a-manhattan-ny-10013/399445918902924257/","108 Leonard St, Unit 6A")</f>
        <v>108 Leonard St, Unit 6A</v>
      </c>
      <c r="B6786" s="2" t="str">
        <f>HYPERLINK("https://www.compass.com/building/108-leonard-st-manhattan-ny-10013/307456049610778277/","108 Leonard St")</f>
        <v>108 Leonard St</v>
      </c>
      <c r="C6786" s="1" t="s">
        <v>113</v>
      </c>
      <c r="D6786" s="1" t="s">
        <v>41</v>
      </c>
      <c r="E6786" s="3">
        <v>3850802</v>
      </c>
      <c r="F6786" s="1">
        <v>2180.5220271800599</v>
      </c>
      <c r="M6786" s="4">
        <v>1766</v>
      </c>
      <c r="Q6786" s="1" t="s">
        <v>42</v>
      </c>
      <c r="S6786" s="1" t="s">
        <v>42</v>
      </c>
      <c r="T6786" s="1" t="s">
        <v>273</v>
      </c>
      <c r="AA6786" s="1">
        <v>3850801.9</v>
      </c>
      <c r="AB6786" s="1" t="s">
        <v>4998</v>
      </c>
      <c r="AC6786" s="5">
        <v>43720</v>
      </c>
      <c r="AF6786" s="1">
        <v>10013</v>
      </c>
      <c r="AI6786" s="1" t="s">
        <v>78</v>
      </c>
      <c r="AJ6786" s="1">
        <v>1899</v>
      </c>
      <c r="AK6786" s="1" t="s">
        <v>55</v>
      </c>
      <c r="AL6786" s="1">
        <v>167</v>
      </c>
    </row>
    <row r="6787" spans="1:38" x14ac:dyDescent="0.2">
      <c r="A6787" s="2" t="str">
        <f>HYPERLINK("https://www.compass.com/listing/252-south-street-unit-33l-manhattan-ny-10002/399451713535394033/","252 South St, Unit 33L")</f>
        <v>252 South St, Unit 33L</v>
      </c>
      <c r="B6787" s="2" t="str">
        <f>HYPERLINK("https://www.compass.com/building/one-manhattan-square-manhattan-ny/294844950218926165/","One Manhattan Square")</f>
        <v>One Manhattan Square</v>
      </c>
      <c r="C6787" s="1" t="s">
        <v>47</v>
      </c>
      <c r="D6787" s="1" t="s">
        <v>41</v>
      </c>
      <c r="E6787" s="3">
        <v>2504497</v>
      </c>
      <c r="F6787" s="1">
        <v>2230.1847195013302</v>
      </c>
      <c r="M6787" s="4">
        <v>1123</v>
      </c>
      <c r="Q6787" s="1" t="s">
        <v>42</v>
      </c>
      <c r="S6787" s="1" t="s">
        <v>42</v>
      </c>
      <c r="T6787" s="1" t="s">
        <v>273</v>
      </c>
      <c r="AA6787" s="1">
        <v>2504497.44</v>
      </c>
      <c r="AB6787" s="1" t="s">
        <v>4999</v>
      </c>
      <c r="AC6787" s="5">
        <v>43732</v>
      </c>
      <c r="AF6787" s="1">
        <v>10002</v>
      </c>
      <c r="AI6787" s="1" t="s">
        <v>66</v>
      </c>
      <c r="AJ6787" s="1">
        <v>2019</v>
      </c>
      <c r="AK6787" s="1" t="s">
        <v>49</v>
      </c>
      <c r="AL6787" s="1">
        <v>787</v>
      </c>
    </row>
    <row r="6788" spans="1:38" x14ac:dyDescent="0.2">
      <c r="A6788" s="2" t="str">
        <f>HYPERLINK("https://www.compass.com/listing/70-west-139th-street-unit-4a-manhattan-ny-10037/399675188458470193/","70 W 139th St, Unit 4A")</f>
        <v>70 W 139th St, Unit 4A</v>
      </c>
      <c r="B6788" s="2" t="str">
        <f>HYPERLINK("https://www.compass.com/building/70-w-139th-st-manhattan-ny-10037/292920118235647477/","70 W 139th St")</f>
        <v>70 W 139th St</v>
      </c>
      <c r="C6788" s="1" t="s">
        <v>84</v>
      </c>
      <c r="D6788" s="1" t="s">
        <v>41</v>
      </c>
      <c r="E6788" s="3">
        <v>465381</v>
      </c>
      <c r="F6788" s="1">
        <v>727.15781249999998</v>
      </c>
      <c r="M6788" s="1">
        <v>640</v>
      </c>
      <c r="Q6788" s="1" t="s">
        <v>42</v>
      </c>
      <c r="S6788" s="1" t="s">
        <v>42</v>
      </c>
      <c r="T6788" s="1" t="s">
        <v>273</v>
      </c>
      <c r="AA6788" s="1">
        <v>465381</v>
      </c>
      <c r="AB6788" s="1" t="s">
        <v>5000</v>
      </c>
      <c r="AC6788" s="5">
        <v>43754</v>
      </c>
      <c r="AF6788" s="1">
        <v>10037</v>
      </c>
      <c r="AI6788" s="1" t="s">
        <v>48</v>
      </c>
      <c r="AJ6788" s="1">
        <v>2018</v>
      </c>
      <c r="AL6788" s="1">
        <v>64</v>
      </c>
    </row>
    <row r="6789" spans="1:38" x14ac:dyDescent="0.2">
      <c r="A6789" s="2" t="str">
        <f>HYPERLINK("https://www.compass.com/listing/220-central-park-south-unit-34a-manhattan-ny-10019/400609476034931265/","220 Central Park S, Unit 34A")</f>
        <v>220 Central Park S, Unit 34A</v>
      </c>
      <c r="B6789" s="2" t="str">
        <f t="shared" ref="B6789:B6791" si="1068">HYPERLINK("https://www.compass.com/building/220-central-park-south-manhattan-ny/281944232648828453/","220 Central Park South")</f>
        <v>220 Central Park South</v>
      </c>
      <c r="C6789" s="1" t="s">
        <v>260</v>
      </c>
      <c r="D6789" s="1" t="s">
        <v>41</v>
      </c>
      <c r="E6789" s="3">
        <v>30982500</v>
      </c>
      <c r="F6789" s="1">
        <v>8366.8647042938101</v>
      </c>
      <c r="G6789" s="1">
        <v>6</v>
      </c>
      <c r="H6789" s="1">
        <v>4</v>
      </c>
      <c r="I6789" s="1">
        <v>5</v>
      </c>
      <c r="J6789" s="1">
        <v>4.5</v>
      </c>
      <c r="K6789" s="1">
        <v>4</v>
      </c>
      <c r="L6789" s="1">
        <v>1</v>
      </c>
      <c r="M6789" s="4">
        <v>3703</v>
      </c>
      <c r="N6789" s="1">
        <v>7493</v>
      </c>
      <c r="O6789" s="1">
        <v>13917</v>
      </c>
      <c r="P6789" s="1">
        <v>6424</v>
      </c>
      <c r="Q6789" s="1" t="s">
        <v>42</v>
      </c>
      <c r="S6789" s="1" t="s">
        <v>42</v>
      </c>
      <c r="T6789" s="1" t="s">
        <v>273</v>
      </c>
      <c r="U6789" s="1">
        <v>18</v>
      </c>
      <c r="V6789" s="5">
        <v>43818</v>
      </c>
      <c r="W6789" s="5">
        <v>43784</v>
      </c>
      <c r="X6789" s="1">
        <v>30000000</v>
      </c>
      <c r="Y6789" s="1">
        <v>30000000</v>
      </c>
      <c r="AA6789" s="1">
        <v>30982500</v>
      </c>
      <c r="AB6789" s="1" t="s">
        <v>5001</v>
      </c>
      <c r="AC6789" s="5">
        <v>43802</v>
      </c>
      <c r="AF6789" s="1">
        <v>10019</v>
      </c>
      <c r="AI6789" s="1" t="s">
        <v>101</v>
      </c>
      <c r="AJ6789" s="1">
        <v>2018</v>
      </c>
      <c r="AK6789" s="1" t="s">
        <v>46</v>
      </c>
      <c r="AL6789" s="1">
        <v>117</v>
      </c>
    </row>
    <row r="6790" spans="1:38" x14ac:dyDescent="0.2">
      <c r="A6790" s="2" t="str">
        <f>HYPERLINK("https://www.compass.com/listing/220-central-park-south-unit-ph73-manhattan-ny-10019/400698189968128769/","220 Central Park S, Unit PH73")</f>
        <v>220 Central Park S, Unit PH73</v>
      </c>
      <c r="B6790" s="2" t="str">
        <f t="shared" si="1068"/>
        <v>220 Central Park South</v>
      </c>
      <c r="C6790" s="1" t="s">
        <v>260</v>
      </c>
      <c r="D6790" s="1" t="s">
        <v>41</v>
      </c>
      <c r="E6790" s="3">
        <v>92737628</v>
      </c>
      <c r="F6790" s="1">
        <v>9446.6362310278091</v>
      </c>
      <c r="G6790" s="1">
        <v>7</v>
      </c>
      <c r="H6790" s="1">
        <v>4</v>
      </c>
      <c r="I6790" s="1">
        <v>7</v>
      </c>
      <c r="J6790" s="1">
        <v>6</v>
      </c>
      <c r="K6790" s="1">
        <v>5</v>
      </c>
      <c r="L6790" s="1">
        <v>2</v>
      </c>
      <c r="M6790" s="4">
        <v>9817</v>
      </c>
      <c r="N6790" s="1">
        <v>21596</v>
      </c>
      <c r="O6790" s="1">
        <v>40110</v>
      </c>
      <c r="P6790" s="1">
        <v>18514</v>
      </c>
      <c r="Q6790" s="1" t="s">
        <v>42</v>
      </c>
      <c r="S6790" s="1" t="s">
        <v>42</v>
      </c>
      <c r="T6790" s="1" t="s">
        <v>273</v>
      </c>
      <c r="U6790" s="1">
        <v>1675</v>
      </c>
      <c r="V6790" s="5">
        <v>43818</v>
      </c>
      <c r="W6790" s="5">
        <v>42129</v>
      </c>
      <c r="X6790" s="1">
        <v>92737624</v>
      </c>
      <c r="Y6790" s="1">
        <v>100000000</v>
      </c>
      <c r="AA6790" s="1">
        <v>92737627.879999995</v>
      </c>
      <c r="AB6790" s="1" t="s">
        <v>5002</v>
      </c>
      <c r="AC6790" s="5">
        <v>43804</v>
      </c>
      <c r="AF6790" s="1">
        <v>10019</v>
      </c>
      <c r="AI6790" s="1" t="s">
        <v>101</v>
      </c>
      <c r="AJ6790" s="1">
        <v>2018</v>
      </c>
      <c r="AK6790" s="1" t="s">
        <v>46</v>
      </c>
      <c r="AL6790" s="1">
        <v>117</v>
      </c>
    </row>
    <row r="6791" spans="1:38" x14ac:dyDescent="0.2">
      <c r="A6791" s="2" t="str">
        <f>HYPERLINK("https://www.compass.com/listing/220-central-park-south-unit-19j-manhattan-ny-10019/400698190556031041/","220 Central Park S, Unit 19J")</f>
        <v>220 Central Park S, Unit 19J</v>
      </c>
      <c r="B6791" s="2" t="str">
        <f t="shared" si="1068"/>
        <v>220 Central Park South</v>
      </c>
      <c r="C6791" s="1" t="s">
        <v>260</v>
      </c>
      <c r="D6791" s="1" t="s">
        <v>41</v>
      </c>
      <c r="E6791" s="3">
        <v>2061956</v>
      </c>
      <c r="F6791" s="1">
        <v>3783.40596330275</v>
      </c>
      <c r="G6791" s="1">
        <v>2</v>
      </c>
      <c r="H6791" s="1" t="s">
        <v>99</v>
      </c>
      <c r="I6791" s="1">
        <v>1</v>
      </c>
      <c r="J6791" s="1">
        <v>1</v>
      </c>
      <c r="K6791" s="1">
        <v>1</v>
      </c>
      <c r="M6791" s="1">
        <v>545</v>
      </c>
      <c r="N6791" s="1">
        <v>974</v>
      </c>
      <c r="O6791" s="1">
        <v>1809</v>
      </c>
      <c r="P6791" s="1">
        <v>835</v>
      </c>
      <c r="Q6791" s="1" t="s">
        <v>42</v>
      </c>
      <c r="S6791" s="1" t="s">
        <v>42</v>
      </c>
      <c r="T6791" s="1" t="s">
        <v>273</v>
      </c>
      <c r="U6791" s="1">
        <v>540</v>
      </c>
      <c r="V6791" s="5">
        <v>43818</v>
      </c>
      <c r="W6791" s="5">
        <v>43264</v>
      </c>
      <c r="X6791" s="1">
        <v>2025000</v>
      </c>
      <c r="Y6791" s="1">
        <v>2061956</v>
      </c>
      <c r="AA6791" s="1">
        <v>2061956.25</v>
      </c>
      <c r="AB6791" s="1" t="s">
        <v>5003</v>
      </c>
      <c r="AC6791" s="5">
        <v>43804</v>
      </c>
      <c r="AF6791" s="1">
        <v>10019</v>
      </c>
      <c r="AI6791" s="1" t="s">
        <v>101</v>
      </c>
      <c r="AJ6791" s="1">
        <v>2018</v>
      </c>
      <c r="AK6791" s="1" t="s">
        <v>46</v>
      </c>
      <c r="AL6791" s="1">
        <v>117</v>
      </c>
    </row>
    <row r="6792" spans="1:38" x14ac:dyDescent="0.2">
      <c r="A6792" s="2" t="str">
        <f>HYPERLINK("https://www.compass.com/listing/200-east-94th-street-unit-615-manhattan-ny-10128/402154299911460161/","200 E 94th St, Unit 615")</f>
        <v>200 E 94th St, Unit 615</v>
      </c>
      <c r="B6792" s="2" t="str">
        <f>HYPERLINK("https://www.compass.com/building/carnegie-park-condominium-manhattan-ny/282049797358118613/","Carnegie Park Condominium")</f>
        <v>Carnegie Park Condominium</v>
      </c>
      <c r="C6792" s="1" t="s">
        <v>82</v>
      </c>
      <c r="D6792" s="1" t="s">
        <v>41</v>
      </c>
      <c r="E6792" s="3">
        <v>1510000</v>
      </c>
      <c r="F6792" s="1">
        <v>1403.34572490706</v>
      </c>
      <c r="G6792" s="1">
        <v>4</v>
      </c>
      <c r="H6792" s="1">
        <v>2</v>
      </c>
      <c r="I6792" s="1">
        <v>2</v>
      </c>
      <c r="J6792" s="1">
        <v>2</v>
      </c>
      <c r="K6792" s="1">
        <v>2</v>
      </c>
      <c r="M6792" s="4">
        <v>1076</v>
      </c>
      <c r="N6792" s="1">
        <v>1214</v>
      </c>
      <c r="O6792" s="1">
        <v>2524</v>
      </c>
      <c r="P6792" s="1">
        <v>1310</v>
      </c>
      <c r="Q6792" s="1" t="s">
        <v>42</v>
      </c>
      <c r="S6792" s="1" t="s">
        <v>42</v>
      </c>
      <c r="T6792" s="1" t="s">
        <v>273</v>
      </c>
      <c r="U6792" s="1">
        <v>29</v>
      </c>
      <c r="V6792" s="5">
        <v>44248</v>
      </c>
      <c r="W6792" s="5">
        <v>43807</v>
      </c>
      <c r="X6792" s="1">
        <v>1675000</v>
      </c>
      <c r="Y6792" s="1">
        <v>1675000</v>
      </c>
      <c r="AA6792" s="1">
        <v>1510000</v>
      </c>
      <c r="AB6792" s="1" t="s">
        <v>5004</v>
      </c>
      <c r="AC6792" s="5">
        <v>43836</v>
      </c>
      <c r="AF6792" s="1">
        <v>10128</v>
      </c>
      <c r="AI6792" s="1" t="s">
        <v>163</v>
      </c>
      <c r="AJ6792" s="1">
        <v>1986</v>
      </c>
      <c r="AK6792" s="1" t="s">
        <v>46</v>
      </c>
      <c r="AL6792" s="1">
        <v>287</v>
      </c>
    </row>
    <row r="6793" spans="1:38" x14ac:dyDescent="0.2">
      <c r="A6793" s="2" t="str">
        <f>HYPERLINK("https://www.compass.com/listing/204-forsyth-street-unit-1-manhattan-ny-10002/40232155774730481/","204 Forsyth St, Unit 1")</f>
        <v>204 Forsyth St, Unit 1</v>
      </c>
      <c r="B6793" s="2" t="str">
        <f>HYPERLINK("https://www.compass.com/building/204-forsyth-st-manhattan-ny-10002/281886285847598005/","204 Forsyth St")</f>
        <v>204 Forsyth St</v>
      </c>
      <c r="C6793" s="1" t="s">
        <v>47</v>
      </c>
      <c r="D6793" s="1" t="s">
        <v>41</v>
      </c>
      <c r="E6793" s="3">
        <v>4107111</v>
      </c>
      <c r="F6793" s="1">
        <v>1489.1629369108</v>
      </c>
      <c r="M6793" s="4">
        <v>2758</v>
      </c>
      <c r="Q6793" s="1" t="s">
        <v>42</v>
      </c>
      <c r="S6793" s="1" t="s">
        <v>42</v>
      </c>
      <c r="T6793" s="1" t="s">
        <v>273</v>
      </c>
      <c r="AA6793" s="1">
        <v>4107111.38</v>
      </c>
      <c r="AB6793" s="1" t="s">
        <v>5005</v>
      </c>
      <c r="AC6793" s="5">
        <v>43294</v>
      </c>
      <c r="AF6793" s="1">
        <v>10002</v>
      </c>
      <c r="AI6793" s="1" t="s">
        <v>48</v>
      </c>
      <c r="AJ6793" s="1">
        <v>2016</v>
      </c>
      <c r="AK6793" s="1" t="s">
        <v>49</v>
      </c>
      <c r="AL6793" s="1">
        <v>11</v>
      </c>
    </row>
    <row r="6794" spans="1:38" x14ac:dyDescent="0.2">
      <c r="A6794" s="2" t="str">
        <f>HYPERLINK("https://www.compass.com/listing/15-hudson-yards-unit-68b-manhattan-ny-10001/403524872639280129/","15 Hudson Yards, Unit 68B")</f>
        <v>15 Hudson Yards, Unit 68B</v>
      </c>
      <c r="B6794" s="2" t="str">
        <f>HYPERLINK("https://www.compass.com/building/fifteen-hudson-yards-manhattan-ny/282058587512011909/","Fifteen Hudson Yards")</f>
        <v>Fifteen Hudson Yards</v>
      </c>
      <c r="C6794" s="1" t="s">
        <v>77</v>
      </c>
      <c r="D6794" s="1" t="s">
        <v>41</v>
      </c>
      <c r="E6794" s="3">
        <v>7979750</v>
      </c>
      <c r="F6794" s="1">
        <v>3455.9333044608002</v>
      </c>
      <c r="G6794" s="1">
        <v>4</v>
      </c>
      <c r="H6794" s="1">
        <v>2</v>
      </c>
      <c r="I6794" s="1">
        <v>3</v>
      </c>
      <c r="J6794" s="1">
        <v>2.5</v>
      </c>
      <c r="K6794" s="1">
        <v>2</v>
      </c>
      <c r="L6794" s="1">
        <v>1</v>
      </c>
      <c r="M6794" s="4">
        <v>2309</v>
      </c>
      <c r="N6794" s="1">
        <v>5404</v>
      </c>
      <c r="O6794" s="1">
        <v>5479</v>
      </c>
      <c r="P6794" s="1">
        <v>75</v>
      </c>
      <c r="Q6794" s="1" t="s">
        <v>42</v>
      </c>
      <c r="S6794" s="1" t="s">
        <v>42</v>
      </c>
      <c r="T6794" s="1" t="s">
        <v>273</v>
      </c>
      <c r="U6794" s="1">
        <v>981</v>
      </c>
      <c r="V6794" s="5">
        <v>43817</v>
      </c>
      <c r="W6794" s="5">
        <v>42821</v>
      </c>
      <c r="AA6794" s="1">
        <v>7979750</v>
      </c>
      <c r="AB6794" s="1" t="s">
        <v>275</v>
      </c>
      <c r="AC6794" s="5">
        <v>43802</v>
      </c>
      <c r="AF6794" s="1">
        <v>10001</v>
      </c>
      <c r="AJ6794" s="1">
        <v>2018</v>
      </c>
      <c r="AK6794" s="1" t="s">
        <v>46</v>
      </c>
      <c r="AL6794" s="1">
        <v>285</v>
      </c>
    </row>
    <row r="6795" spans="1:38" x14ac:dyDescent="0.2">
      <c r="A6795" s="2" t="str">
        <f>HYPERLINK("https://www.compass.com/listing/108-leonard-street-unit-5l-manhattan-ny-10013/403566533327197297/","108 Leonard St, Unit 5L")</f>
        <v>108 Leonard St, Unit 5L</v>
      </c>
      <c r="B6795" s="2" t="str">
        <f>HYPERLINK("https://www.compass.com/building/108-leonard-st-manhattan-ny-10013/307456049610778277/","108 Leonard St")</f>
        <v>108 Leonard St</v>
      </c>
      <c r="C6795" s="1" t="s">
        <v>113</v>
      </c>
      <c r="D6795" s="1" t="s">
        <v>41</v>
      </c>
      <c r="E6795" s="3">
        <v>2685917</v>
      </c>
      <c r="F6795" s="1">
        <v>1819.72686314363</v>
      </c>
      <c r="M6795" s="4">
        <v>1476</v>
      </c>
      <c r="Q6795" s="1" t="s">
        <v>42</v>
      </c>
      <c r="S6795" s="1" t="s">
        <v>42</v>
      </c>
      <c r="T6795" s="1" t="s">
        <v>273</v>
      </c>
      <c r="AA6795" s="1">
        <v>2685916.85</v>
      </c>
      <c r="AB6795" s="1" t="s">
        <v>5006</v>
      </c>
      <c r="AC6795" s="5">
        <v>43777</v>
      </c>
      <c r="AF6795" s="1">
        <v>10013</v>
      </c>
      <c r="AI6795" s="1" t="s">
        <v>78</v>
      </c>
      <c r="AJ6795" s="1">
        <v>1899</v>
      </c>
      <c r="AK6795" s="1" t="s">
        <v>55</v>
      </c>
      <c r="AL6795" s="1">
        <v>167</v>
      </c>
    </row>
    <row r="6796" spans="1:38" x14ac:dyDescent="0.2">
      <c r="A6796" s="2" t="str">
        <f>HYPERLINK("https://www.compass.com/listing/235-west-75th-street-unit-302-manhattan-ny-10023/408638792209777841/","235 W 75th St, Unit 302")</f>
        <v>235 W 75th St, Unit 302</v>
      </c>
      <c r="B6796" s="2" t="str">
        <f>HYPERLINK("https://www.compass.com/building/the-astor-manhattan-ny/281958704155269925/","The Astor")</f>
        <v>The Astor</v>
      </c>
      <c r="C6796" s="1" t="s">
        <v>57</v>
      </c>
      <c r="D6796" s="1" t="s">
        <v>41</v>
      </c>
      <c r="E6796" s="3">
        <v>4481234</v>
      </c>
      <c r="F6796" s="1">
        <v>1827.5830913539901</v>
      </c>
      <c r="M6796" s="4">
        <v>2452</v>
      </c>
      <c r="Q6796" s="1" t="s">
        <v>42</v>
      </c>
      <c r="S6796" s="1" t="s">
        <v>42</v>
      </c>
      <c r="T6796" s="1" t="s">
        <v>273</v>
      </c>
      <c r="AA6796" s="1">
        <v>4481233.74</v>
      </c>
      <c r="AB6796" s="1" t="s">
        <v>5007</v>
      </c>
      <c r="AC6796" s="5">
        <v>43802</v>
      </c>
      <c r="AF6796" s="1">
        <v>10023</v>
      </c>
      <c r="AJ6796" s="1">
        <v>2018</v>
      </c>
      <c r="AK6796" s="1" t="s">
        <v>49</v>
      </c>
      <c r="AL6796" s="1">
        <v>98</v>
      </c>
    </row>
    <row r="6797" spans="1:38" x14ac:dyDescent="0.2">
      <c r="A6797" s="2" t="str">
        <f>HYPERLINK("https://www.compass.com/listing/252-south-street-unit-38l-manhattan-ny-10002/409830519461512513/","252 South St, Unit 38L")</f>
        <v>252 South St, Unit 38L</v>
      </c>
      <c r="B6797" s="2" t="str">
        <f>HYPERLINK("https://www.compass.com/building/one-manhattan-square-manhattan-ny/294844950218926165/","One Manhattan Square")</f>
        <v>One Manhattan Square</v>
      </c>
      <c r="C6797" s="1" t="s">
        <v>47</v>
      </c>
      <c r="D6797" s="1" t="s">
        <v>41</v>
      </c>
      <c r="E6797" s="3">
        <v>2569990</v>
      </c>
      <c r="F6797" s="1">
        <v>2288.50400712377</v>
      </c>
      <c r="G6797" s="1">
        <v>5</v>
      </c>
      <c r="H6797" s="1">
        <v>2</v>
      </c>
      <c r="I6797" s="1">
        <v>2</v>
      </c>
      <c r="J6797" s="1">
        <v>2</v>
      </c>
      <c r="K6797" s="1">
        <v>2</v>
      </c>
      <c r="M6797" s="4">
        <v>1123</v>
      </c>
      <c r="N6797" s="1">
        <v>1370.78</v>
      </c>
      <c r="O6797" s="1">
        <v>1392.42</v>
      </c>
      <c r="P6797" s="1">
        <v>21.6666666666666</v>
      </c>
      <c r="Q6797" s="1" t="s">
        <v>42</v>
      </c>
      <c r="S6797" s="1" t="s">
        <v>42</v>
      </c>
      <c r="T6797" s="1" t="s">
        <v>273</v>
      </c>
      <c r="U6797" s="1">
        <v>233</v>
      </c>
      <c r="V6797" s="5">
        <v>44161</v>
      </c>
      <c r="W6797" s="5">
        <v>43817</v>
      </c>
      <c r="X6797" s="1">
        <v>2625390</v>
      </c>
      <c r="Y6797" s="1">
        <v>2625390</v>
      </c>
      <c r="Z6797" s="5">
        <v>44161</v>
      </c>
      <c r="AA6797" s="1">
        <v>2569990</v>
      </c>
      <c r="AB6797" s="1" t="s">
        <v>5008</v>
      </c>
      <c r="AC6797" s="5">
        <v>44144</v>
      </c>
      <c r="AF6797" s="1">
        <v>10002</v>
      </c>
      <c r="AI6797" s="1" t="s">
        <v>4369</v>
      </c>
      <c r="AJ6797" s="1">
        <v>2019</v>
      </c>
      <c r="AK6797" s="1" t="s">
        <v>46</v>
      </c>
      <c r="AL6797" s="1">
        <v>787</v>
      </c>
    </row>
    <row r="6798" spans="1:38" x14ac:dyDescent="0.2">
      <c r="A6798" s="2" t="str">
        <f>HYPERLINK("https://www.compass.com/listing/111-murray-street-unit-12w-manhattan-ny-10007/413467545257090209/","111 Murray St, Unit 12W")</f>
        <v>111 Murray St, Unit 12W</v>
      </c>
      <c r="B6798" s="2" t="str">
        <f t="shared" ref="B6798:B6799" si="1069">HYPERLINK("https://www.compass.com/building/111-murray-st-manhattan-ny-10007/281896511862746053/","111 Murray St")</f>
        <v>111 Murray St</v>
      </c>
      <c r="C6798" s="1" t="s">
        <v>50</v>
      </c>
      <c r="D6798" s="1" t="s">
        <v>41</v>
      </c>
      <c r="E6798" s="3">
        <v>4450000</v>
      </c>
      <c r="F6798" s="1">
        <v>2007.21695985566</v>
      </c>
      <c r="M6798" s="4">
        <v>2217</v>
      </c>
      <c r="Q6798" s="1" t="s">
        <v>42</v>
      </c>
      <c r="S6798" s="1" t="s">
        <v>42</v>
      </c>
      <c r="T6798" s="1" t="s">
        <v>273</v>
      </c>
      <c r="AA6798" s="1">
        <v>4450000</v>
      </c>
      <c r="AB6798" s="1" t="s">
        <v>5009</v>
      </c>
      <c r="AC6798" s="5">
        <v>43810</v>
      </c>
      <c r="AF6798" s="1">
        <v>10007</v>
      </c>
      <c r="AI6798" s="1" t="s">
        <v>80</v>
      </c>
      <c r="AJ6798" s="1">
        <v>2018</v>
      </c>
      <c r="AK6798" s="1" t="s">
        <v>49</v>
      </c>
      <c r="AL6798" s="1">
        <v>157</v>
      </c>
    </row>
    <row r="6799" spans="1:38" x14ac:dyDescent="0.2">
      <c r="A6799" s="2" t="str">
        <f>HYPERLINK("https://www.compass.com/listing/111-murray-street-unit-14w-manhattan-ny-10007/413467549585716433/","111 Murray St, Unit 14W")</f>
        <v>111 Murray St, Unit 14W</v>
      </c>
      <c r="B6799" s="2" t="str">
        <f t="shared" si="1069"/>
        <v>111 Murray St</v>
      </c>
      <c r="C6799" s="1" t="s">
        <v>50</v>
      </c>
      <c r="D6799" s="1" t="s">
        <v>41</v>
      </c>
      <c r="E6799" s="3">
        <v>4500000</v>
      </c>
      <c r="F6799" s="1">
        <v>2029.7699594046001</v>
      </c>
      <c r="M6799" s="4">
        <v>2217</v>
      </c>
      <c r="Q6799" s="1" t="s">
        <v>42</v>
      </c>
      <c r="S6799" s="1" t="s">
        <v>42</v>
      </c>
      <c r="T6799" s="1" t="s">
        <v>273</v>
      </c>
      <c r="AA6799" s="1">
        <v>4500000</v>
      </c>
      <c r="AB6799" s="1" t="s">
        <v>5010</v>
      </c>
      <c r="AC6799" s="5">
        <v>43810</v>
      </c>
      <c r="AF6799" s="1">
        <v>10007</v>
      </c>
      <c r="AI6799" s="1" t="s">
        <v>80</v>
      </c>
      <c r="AJ6799" s="1">
        <v>2018</v>
      </c>
      <c r="AK6799" s="1" t="s">
        <v>49</v>
      </c>
      <c r="AL6799" s="1">
        <v>157</v>
      </c>
    </row>
    <row r="6800" spans="1:38" x14ac:dyDescent="0.2">
      <c r="A6800" s="2" t="str">
        <f>HYPERLINK("https://www.compass.com/listing/108-leonard-street-unit-4d-manhattan-ny-10013/414191833499540017/","108 Leonard St, Unit 4D")</f>
        <v>108 Leonard St, Unit 4D</v>
      </c>
      <c r="B6800" s="2" t="str">
        <f>HYPERLINK("https://www.compass.com/building/108-leonard-st-manhattan-ny-10013/307456049610778277/","108 Leonard St")</f>
        <v>108 Leonard St</v>
      </c>
      <c r="C6800" s="1" t="s">
        <v>113</v>
      </c>
      <c r="D6800" s="1" t="s">
        <v>41</v>
      </c>
      <c r="E6800" s="3">
        <v>1568584</v>
      </c>
      <c r="F6800" s="1">
        <v>1683.0298497854001</v>
      </c>
      <c r="M6800" s="1">
        <v>932</v>
      </c>
      <c r="Q6800" s="1" t="s">
        <v>42</v>
      </c>
      <c r="S6800" s="1" t="s">
        <v>42</v>
      </c>
      <c r="T6800" s="1" t="s">
        <v>273</v>
      </c>
      <c r="AA6800" s="1">
        <v>1568583.82</v>
      </c>
      <c r="AB6800" s="1" t="s">
        <v>5011</v>
      </c>
      <c r="AC6800" s="5">
        <v>43811</v>
      </c>
      <c r="AF6800" s="1">
        <v>10013</v>
      </c>
      <c r="AI6800" s="1" t="s">
        <v>78</v>
      </c>
      <c r="AJ6800" s="1">
        <v>1899</v>
      </c>
      <c r="AK6800" s="1" t="s">
        <v>55</v>
      </c>
      <c r="AL6800" s="1">
        <v>167</v>
      </c>
    </row>
    <row r="6801" spans="1:38" x14ac:dyDescent="0.2">
      <c r="A6801" s="2" t="str">
        <f>HYPERLINK("https://www.compass.com/listing/252-south-street-unit-53l-manhattan-ny-10002/414192548680313905/","252 South St, Unit 53L")</f>
        <v>252 South St, Unit 53L</v>
      </c>
      <c r="B6801" s="2" t="str">
        <f>HYPERLINK("https://www.compass.com/building/one-manhattan-square-manhattan-ny/294844950218926165/","One Manhattan Square")</f>
        <v>One Manhattan Square</v>
      </c>
      <c r="C6801" s="1" t="s">
        <v>47</v>
      </c>
      <c r="D6801" s="1" t="s">
        <v>41</v>
      </c>
      <c r="E6801" s="3">
        <v>2507104</v>
      </c>
      <c r="F6801" s="1">
        <v>2232.5057168299199</v>
      </c>
      <c r="M6801" s="4">
        <v>1123</v>
      </c>
      <c r="Q6801" s="1" t="s">
        <v>42</v>
      </c>
      <c r="S6801" s="1" t="s">
        <v>42</v>
      </c>
      <c r="T6801" s="1" t="s">
        <v>273</v>
      </c>
      <c r="AA6801" s="1">
        <v>2507103.92</v>
      </c>
      <c r="AB6801" s="1" t="s">
        <v>5012</v>
      </c>
      <c r="AC6801" s="5">
        <v>43817</v>
      </c>
      <c r="AF6801" s="1">
        <v>10002</v>
      </c>
      <c r="AI6801" s="1" t="s">
        <v>66</v>
      </c>
      <c r="AJ6801" s="1">
        <v>2019</v>
      </c>
      <c r="AK6801" s="1" t="s">
        <v>49</v>
      </c>
      <c r="AL6801" s="1">
        <v>787</v>
      </c>
    </row>
    <row r="6802" spans="1:38" x14ac:dyDescent="0.2">
      <c r="A6802" s="2" t="str">
        <f>HYPERLINK("https://www.compass.com/listing/220-central-park-south-unit-20a-manhattan-ny-10019/414201152110669313/","220 Central Park S, Unit 20A")</f>
        <v>220 Central Park S, Unit 20A</v>
      </c>
      <c r="B6802" s="2" t="str">
        <f>HYPERLINK("https://www.compass.com/building/220-central-park-south-manhattan-ny/281944232648828453/","220 Central Park South")</f>
        <v>220 Central Park South</v>
      </c>
      <c r="C6802" s="1" t="s">
        <v>260</v>
      </c>
      <c r="D6802" s="1" t="s">
        <v>41</v>
      </c>
      <c r="E6802" s="3">
        <v>3818438</v>
      </c>
      <c r="F6802" s="1">
        <v>4164.0539803707698</v>
      </c>
      <c r="G6802" s="1">
        <v>3</v>
      </c>
      <c r="H6802" s="1">
        <v>1</v>
      </c>
      <c r="I6802" s="1">
        <v>1</v>
      </c>
      <c r="J6802" s="1">
        <v>1</v>
      </c>
      <c r="K6802" s="1">
        <v>1</v>
      </c>
      <c r="M6802" s="1">
        <v>917</v>
      </c>
      <c r="N6802" s="1">
        <v>1695</v>
      </c>
      <c r="O6802" s="1">
        <v>3148</v>
      </c>
      <c r="P6802" s="1">
        <v>1453</v>
      </c>
      <c r="Q6802" s="1" t="s">
        <v>42</v>
      </c>
      <c r="S6802" s="1" t="s">
        <v>42</v>
      </c>
      <c r="T6802" s="1" t="s">
        <v>273</v>
      </c>
      <c r="U6802" s="1">
        <v>675</v>
      </c>
      <c r="V6802" s="5">
        <v>43837</v>
      </c>
      <c r="W6802" s="5">
        <v>43137</v>
      </c>
      <c r="X6802" s="1">
        <v>3750000</v>
      </c>
      <c r="Y6802" s="1">
        <v>3750000</v>
      </c>
      <c r="AA6802" s="1">
        <v>3818437.5</v>
      </c>
      <c r="AB6802" s="1" t="s">
        <v>5013</v>
      </c>
      <c r="AC6802" s="5">
        <v>43812</v>
      </c>
      <c r="AF6802" s="1">
        <v>10019</v>
      </c>
      <c r="AI6802" s="1" t="s">
        <v>101</v>
      </c>
      <c r="AJ6802" s="1">
        <v>2018</v>
      </c>
      <c r="AK6802" s="1" t="s">
        <v>46</v>
      </c>
      <c r="AL6802" s="1">
        <v>117</v>
      </c>
    </row>
    <row r="6803" spans="1:38" x14ac:dyDescent="0.2">
      <c r="A6803" s="2" t="str">
        <f>HYPERLINK("https://www.compass.com/listing/111-murray-street-unit-9a-manhattan-ny-10007/41678185171049297/","111 Murray St, Unit 9A")</f>
        <v>111 Murray St, Unit 9A</v>
      </c>
      <c r="B6803" s="2" t="str">
        <f>HYPERLINK("https://www.compass.com/building/111-murray-st-manhattan-ny-10007/281896511862746053/","111 Murray St")</f>
        <v>111 Murray St</v>
      </c>
      <c r="C6803" s="1" t="s">
        <v>50</v>
      </c>
      <c r="D6803" s="1" t="s">
        <v>41</v>
      </c>
      <c r="E6803" s="3">
        <v>2596538</v>
      </c>
      <c r="F6803" s="1">
        <v>2305.9835701598499</v>
      </c>
      <c r="M6803" s="4">
        <v>1126</v>
      </c>
      <c r="Q6803" s="1" t="s">
        <v>42</v>
      </c>
      <c r="S6803" s="1" t="s">
        <v>42</v>
      </c>
      <c r="T6803" s="1" t="s">
        <v>273</v>
      </c>
      <c r="AA6803" s="1">
        <v>2596537.5</v>
      </c>
      <c r="AB6803" s="1" t="s">
        <v>5014</v>
      </c>
      <c r="AC6803" s="5">
        <v>43298</v>
      </c>
      <c r="AF6803" s="1">
        <v>10007</v>
      </c>
      <c r="AI6803" s="1" t="s">
        <v>80</v>
      </c>
      <c r="AJ6803" s="1">
        <v>2018</v>
      </c>
      <c r="AK6803" s="1" t="s">
        <v>49</v>
      </c>
      <c r="AL6803" s="1">
        <v>157</v>
      </c>
    </row>
    <row r="6804" spans="1:38" x14ac:dyDescent="0.2">
      <c r="A6804" s="2" t="str">
        <f>HYPERLINK("https://www.compass.com/listing/160-leroy-street-unit-10an-manhattan-ny-10014/41685894519852561/","160 Leroy St, Unit 10AN")</f>
        <v>160 Leroy St, Unit 10AN</v>
      </c>
      <c r="B6804" s="2" t="str">
        <f>HYPERLINK("https://www.compass.com/building/160-leroy-st-manhattan-ny-10014/293418469918017093/","160 Leroy St")</f>
        <v>160 Leroy St</v>
      </c>
      <c r="C6804" s="1" t="s">
        <v>67</v>
      </c>
      <c r="D6804" s="1" t="s">
        <v>41</v>
      </c>
      <c r="E6804" s="3">
        <v>7067125</v>
      </c>
      <c r="F6804" s="1">
        <v>3454.11779081133</v>
      </c>
      <c r="M6804" s="4">
        <v>2046</v>
      </c>
      <c r="Q6804" s="1" t="s">
        <v>42</v>
      </c>
      <c r="S6804" s="1" t="s">
        <v>42</v>
      </c>
      <c r="T6804" s="1" t="s">
        <v>273</v>
      </c>
      <c r="AA6804" s="1">
        <v>7067125</v>
      </c>
      <c r="AB6804" s="1" t="s">
        <v>5015</v>
      </c>
      <c r="AC6804" s="5">
        <v>43300</v>
      </c>
      <c r="AF6804" s="1">
        <v>10014</v>
      </c>
      <c r="AI6804" s="1" t="s">
        <v>65</v>
      </c>
      <c r="AJ6804" s="1">
        <v>2017</v>
      </c>
      <c r="AK6804" s="1" t="s">
        <v>202</v>
      </c>
      <c r="AL6804" s="1">
        <v>57</v>
      </c>
    </row>
    <row r="6805" spans="1:38" x14ac:dyDescent="0.2">
      <c r="A6805" s="2" t="str">
        <f>HYPERLINK("https://www.compass.com/listing/220-central-park-south-unit-48a-manhattan-ny-10019/419275764152271889/","220 Central Park S, Unit 48A")</f>
        <v>220 Central Park S, Unit 48A</v>
      </c>
      <c r="B6805" s="2" t="str">
        <f>HYPERLINK("https://www.compass.com/building/220-central-park-south-manhattan-ny/281944232648828453/","220 Central Park South")</f>
        <v>220 Central Park South</v>
      </c>
      <c r="C6805" s="1" t="s">
        <v>260</v>
      </c>
      <c r="D6805" s="1" t="s">
        <v>41</v>
      </c>
      <c r="E6805" s="3">
        <v>59058500</v>
      </c>
      <c r="F6805" s="1">
        <v>8960.4764072219696</v>
      </c>
      <c r="M6805" s="4">
        <v>6591</v>
      </c>
      <c r="Q6805" s="1" t="s">
        <v>42</v>
      </c>
      <c r="S6805" s="1" t="s">
        <v>42</v>
      </c>
      <c r="T6805" s="1" t="s">
        <v>273</v>
      </c>
      <c r="AA6805" s="1">
        <v>59058500</v>
      </c>
      <c r="AB6805" s="1" t="s">
        <v>5016</v>
      </c>
      <c r="AC6805" s="5">
        <v>43812</v>
      </c>
      <c r="AF6805" s="1">
        <v>10019</v>
      </c>
      <c r="AI6805" s="1" t="s">
        <v>101</v>
      </c>
      <c r="AJ6805" s="1">
        <v>2018</v>
      </c>
      <c r="AK6805" s="1" t="s">
        <v>49</v>
      </c>
      <c r="AL6805" s="1">
        <v>117</v>
      </c>
    </row>
    <row r="6806" spans="1:38" x14ac:dyDescent="0.2">
      <c r="A6806" s="2" t="str">
        <f>HYPERLINK("https://www.compass.com/listing/70-west-139th-street-unit-6e-manhattan-ny-10037/419288182370095793/","70 W 139th St, Unit 6E")</f>
        <v>70 W 139th St, Unit 6E</v>
      </c>
      <c r="B6806" s="2" t="str">
        <f>HYPERLINK("https://www.compass.com/building/70-w-139th-st-manhattan-ny-10037/292920118235647477/","70 W 139th St")</f>
        <v>70 W 139th St</v>
      </c>
      <c r="C6806" s="1" t="s">
        <v>84</v>
      </c>
      <c r="D6806" s="1" t="s">
        <v>41</v>
      </c>
      <c r="E6806" s="3">
        <v>533786</v>
      </c>
      <c r="F6806" s="1">
        <v>568.46219382321601</v>
      </c>
      <c r="M6806" s="1">
        <v>939</v>
      </c>
      <c r="Q6806" s="1" t="s">
        <v>42</v>
      </c>
      <c r="S6806" s="1" t="s">
        <v>42</v>
      </c>
      <c r="T6806" s="1" t="s">
        <v>273</v>
      </c>
      <c r="AA6806" s="1">
        <v>533786</v>
      </c>
      <c r="AB6806" s="1" t="s">
        <v>5017</v>
      </c>
      <c r="AC6806" s="5">
        <v>43810</v>
      </c>
      <c r="AF6806" s="1">
        <v>10037</v>
      </c>
      <c r="AI6806" s="1" t="s">
        <v>48</v>
      </c>
      <c r="AJ6806" s="1">
        <v>2018</v>
      </c>
      <c r="AL6806" s="1">
        <v>64</v>
      </c>
    </row>
    <row r="6807" spans="1:38" x14ac:dyDescent="0.2">
      <c r="A6807" s="2" t="str">
        <f>HYPERLINK("https://www.compass.com/listing/108-leonard-street-unit-2b-manhattan-ny-10013/419991080712664897/","108 Leonard St, Unit 2B")</f>
        <v>108 Leonard St, Unit 2B</v>
      </c>
      <c r="B6807" s="2" t="str">
        <f>HYPERLINK("https://www.compass.com/building/108-leonard-st-manhattan-ny-10013/307456049610778277/","108 Leonard St")</f>
        <v>108 Leonard St</v>
      </c>
      <c r="C6807" s="1" t="s">
        <v>113</v>
      </c>
      <c r="D6807" s="1" t="s">
        <v>41</v>
      </c>
      <c r="E6807" s="3">
        <v>2550000</v>
      </c>
      <c r="F6807" s="1">
        <v>1946.5648854961801</v>
      </c>
      <c r="M6807" s="4">
        <v>1310</v>
      </c>
      <c r="Q6807" s="1" t="s">
        <v>42</v>
      </c>
      <c r="S6807" s="1" t="s">
        <v>42</v>
      </c>
      <c r="T6807" s="1" t="s">
        <v>273</v>
      </c>
      <c r="AA6807" s="1">
        <v>2550000</v>
      </c>
      <c r="AB6807" s="1" t="s">
        <v>5018</v>
      </c>
      <c r="AC6807" s="5">
        <v>43816</v>
      </c>
      <c r="AF6807" s="1">
        <v>10013</v>
      </c>
      <c r="AI6807" s="1" t="s">
        <v>78</v>
      </c>
      <c r="AJ6807" s="1">
        <v>1899</v>
      </c>
      <c r="AK6807" s="1" t="s">
        <v>55</v>
      </c>
      <c r="AL6807" s="1">
        <v>167</v>
      </c>
    </row>
    <row r="6808" spans="1:38" x14ac:dyDescent="0.2">
      <c r="A6808" s="2" t="str">
        <f>HYPERLINK("https://www.compass.com/listing/15-hudson-yards-unit-ph82a-manhattan-ny-10001/420959483219200481/","15 Hudson Yards, Unit PH82A")</f>
        <v>15 Hudson Yards, Unit PH82A</v>
      </c>
      <c r="B6808" s="2" t="str">
        <f t="shared" ref="B6808:B6809" si="1070">HYPERLINK("https://www.compass.com/building/fifteen-hudson-yards-manhattan-ny/282058587512011909/","Fifteen Hudson Yards")</f>
        <v>Fifteen Hudson Yards</v>
      </c>
      <c r="C6808" s="1" t="s">
        <v>77</v>
      </c>
      <c r="D6808" s="1" t="s">
        <v>41</v>
      </c>
      <c r="E6808" s="3">
        <v>13241499</v>
      </c>
      <c r="F6808" s="1">
        <v>3866.1310890510899</v>
      </c>
      <c r="G6808" s="1">
        <v>6</v>
      </c>
      <c r="H6808" s="1">
        <v>4</v>
      </c>
      <c r="I6808" s="1">
        <v>5</v>
      </c>
      <c r="J6808" s="1">
        <v>4.5</v>
      </c>
      <c r="K6808" s="1">
        <v>4</v>
      </c>
      <c r="L6808" s="1">
        <v>1</v>
      </c>
      <c r="M6808" s="4">
        <v>3425</v>
      </c>
      <c r="N6808" s="1">
        <v>8268</v>
      </c>
      <c r="O6808" s="1">
        <v>8383</v>
      </c>
      <c r="P6808" s="1">
        <v>115</v>
      </c>
      <c r="Q6808" s="1" t="s">
        <v>42</v>
      </c>
      <c r="S6808" s="1" t="s">
        <v>42</v>
      </c>
      <c r="T6808" s="1" t="s">
        <v>273</v>
      </c>
      <c r="U6808" s="1">
        <v>934</v>
      </c>
      <c r="V6808" s="5">
        <v>43833</v>
      </c>
      <c r="W6808" s="5">
        <v>42877</v>
      </c>
      <c r="X6808" s="1">
        <v>12999999</v>
      </c>
      <c r="Y6808" s="1">
        <v>12999999</v>
      </c>
      <c r="AA6808" s="1">
        <v>13241498.98</v>
      </c>
      <c r="AB6808" s="1" t="s">
        <v>5019</v>
      </c>
      <c r="AC6808" s="5">
        <v>43811</v>
      </c>
      <c r="AF6808" s="1">
        <v>10001</v>
      </c>
      <c r="AJ6808" s="1">
        <v>2018</v>
      </c>
      <c r="AK6808" s="1" t="s">
        <v>46</v>
      </c>
      <c r="AL6808" s="1">
        <v>285</v>
      </c>
    </row>
    <row r="6809" spans="1:38" x14ac:dyDescent="0.2">
      <c r="A6809" s="2" t="str">
        <f>HYPERLINK("https://www.compass.com/listing/15-hudson-yards-unit-ph81d-manhattan-ny-10001/420981008571715681/","15 Hudson Yards, Unit PH81D")</f>
        <v>15 Hudson Yards, Unit PH81D</v>
      </c>
      <c r="B6809" s="2" t="str">
        <f t="shared" si="1070"/>
        <v>Fifteen Hudson Yards</v>
      </c>
      <c r="C6809" s="1" t="s">
        <v>77</v>
      </c>
      <c r="D6809" s="1" t="s">
        <v>41</v>
      </c>
      <c r="E6809" s="3">
        <v>8379750</v>
      </c>
      <c r="F6809" s="1">
        <v>3258.06765163297</v>
      </c>
      <c r="G6809" s="1">
        <v>6</v>
      </c>
      <c r="H6809" s="1">
        <v>3</v>
      </c>
      <c r="I6809" s="1">
        <v>4</v>
      </c>
      <c r="J6809" s="1">
        <v>3.5</v>
      </c>
      <c r="K6809" s="1">
        <v>3</v>
      </c>
      <c r="L6809" s="1">
        <v>1</v>
      </c>
      <c r="M6809" s="4">
        <v>2572</v>
      </c>
      <c r="N6809" s="1">
        <v>5887</v>
      </c>
      <c r="O6809" s="1">
        <v>5969</v>
      </c>
      <c r="P6809" s="1">
        <v>82</v>
      </c>
      <c r="Q6809" s="1" t="s">
        <v>42</v>
      </c>
      <c r="S6809" s="1" t="s">
        <v>42</v>
      </c>
      <c r="T6809" s="1" t="s">
        <v>273</v>
      </c>
      <c r="U6809" s="1">
        <v>713</v>
      </c>
      <c r="V6809" s="5">
        <v>43833</v>
      </c>
      <c r="W6809" s="5">
        <v>43096</v>
      </c>
      <c r="X6809" s="1">
        <v>8375000</v>
      </c>
      <c r="Y6809" s="1">
        <v>8375000</v>
      </c>
      <c r="AA6809" s="1">
        <v>8379750</v>
      </c>
      <c r="AB6809" s="1" t="s">
        <v>275</v>
      </c>
      <c r="AC6809" s="5">
        <v>43809</v>
      </c>
      <c r="AF6809" s="1">
        <v>10001</v>
      </c>
      <c r="AJ6809" s="1">
        <v>2018</v>
      </c>
      <c r="AK6809" s="1" t="s">
        <v>46</v>
      </c>
      <c r="AL6809" s="1">
        <v>285</v>
      </c>
    </row>
    <row r="6810" spans="1:38" x14ac:dyDescent="0.2">
      <c r="A6810" s="2" t="str">
        <f>HYPERLINK("https://www.compass.com/listing/252-south-street-unit-51l-manhattan-ny-10002/421440913151631713/","252 South St, Unit 51L")</f>
        <v>252 South St, Unit 51L</v>
      </c>
      <c r="B6810" s="2" t="str">
        <f>HYPERLINK("https://www.compass.com/building/one-manhattan-square-manhattan-ny/294844950218926165/","One Manhattan Square")</f>
        <v>One Manhattan Square</v>
      </c>
      <c r="C6810" s="1" t="s">
        <v>47</v>
      </c>
      <c r="D6810" s="1" t="s">
        <v>41</v>
      </c>
      <c r="E6810" s="3">
        <v>2492116</v>
      </c>
      <c r="F6810" s="1">
        <v>2219.1595369545798</v>
      </c>
      <c r="M6810" s="4">
        <v>1123</v>
      </c>
      <c r="Q6810" s="1" t="s">
        <v>42</v>
      </c>
      <c r="S6810" s="1" t="s">
        <v>42</v>
      </c>
      <c r="T6810" s="1" t="s">
        <v>273</v>
      </c>
      <c r="AA6810" s="1">
        <v>2492116.16</v>
      </c>
      <c r="AB6810" s="1" t="s">
        <v>5020</v>
      </c>
      <c r="AC6810" s="5">
        <v>43825</v>
      </c>
      <c r="AF6810" s="1">
        <v>10002</v>
      </c>
      <c r="AI6810" s="1" t="s">
        <v>66</v>
      </c>
      <c r="AJ6810" s="1">
        <v>2019</v>
      </c>
      <c r="AK6810" s="1" t="s">
        <v>49</v>
      </c>
      <c r="AL6810" s="1">
        <v>787</v>
      </c>
    </row>
    <row r="6811" spans="1:38" x14ac:dyDescent="0.2">
      <c r="A6811" s="2" t="str">
        <f>HYPERLINK("https://www.compass.com/listing/111-murray-street-unit-55w-manhattan-ny-10007/423614740769922401/","111 Murray St, Unit 55W")</f>
        <v>111 Murray St, Unit 55W</v>
      </c>
      <c r="B6811" s="2" t="str">
        <f>HYPERLINK("https://www.compass.com/building/111-murray-st-manhattan-ny-10007/281896511862746053/","111 Murray St")</f>
        <v>111 Murray St</v>
      </c>
      <c r="C6811" s="1" t="s">
        <v>50</v>
      </c>
      <c r="D6811" s="1" t="s">
        <v>41</v>
      </c>
      <c r="E6811" s="3">
        <v>14250000</v>
      </c>
      <c r="F6811" s="1">
        <v>4202.3002064287803</v>
      </c>
      <c r="M6811" s="4">
        <v>3391</v>
      </c>
      <c r="Q6811" s="1" t="s">
        <v>42</v>
      </c>
      <c r="S6811" s="1" t="s">
        <v>42</v>
      </c>
      <c r="T6811" s="1" t="s">
        <v>273</v>
      </c>
      <c r="AA6811" s="1">
        <v>14250000</v>
      </c>
      <c r="AB6811" s="1" t="s">
        <v>5021</v>
      </c>
      <c r="AC6811" s="5">
        <v>43826</v>
      </c>
      <c r="AF6811" s="1">
        <v>10007</v>
      </c>
      <c r="AI6811" s="1" t="s">
        <v>80</v>
      </c>
      <c r="AJ6811" s="1">
        <v>2018</v>
      </c>
      <c r="AK6811" s="1" t="s">
        <v>49</v>
      </c>
      <c r="AL6811" s="1">
        <v>157</v>
      </c>
    </row>
    <row r="6812" spans="1:38" x14ac:dyDescent="0.2">
      <c r="A6812" s="2" t="str">
        <f>HYPERLINK("https://www.compass.com/listing/70-west-139th-street-unit-1h-manhattan-ny-10037/423636186858463393/","70 W 139th St, Unit 1H")</f>
        <v>70 W 139th St, Unit 1H</v>
      </c>
      <c r="B6812" s="2" t="str">
        <f>HYPERLINK("https://www.compass.com/building/70-w-139th-st-manhattan-ny-10037/292920118235647477/","70 W 139th St")</f>
        <v>70 W 139th St</v>
      </c>
      <c r="C6812" s="1" t="s">
        <v>84</v>
      </c>
      <c r="D6812" s="1" t="s">
        <v>41</v>
      </c>
      <c r="E6812" s="3">
        <v>465381</v>
      </c>
      <c r="F6812" s="1">
        <v>741.05254777070002</v>
      </c>
      <c r="M6812" s="1">
        <v>628</v>
      </c>
      <c r="Q6812" s="1" t="s">
        <v>42</v>
      </c>
      <c r="S6812" s="1" t="s">
        <v>42</v>
      </c>
      <c r="T6812" s="1" t="s">
        <v>273</v>
      </c>
      <c r="AA6812" s="1">
        <v>465381</v>
      </c>
      <c r="AB6812" s="1" t="s">
        <v>5022</v>
      </c>
      <c r="AC6812" s="5">
        <v>43819</v>
      </c>
      <c r="AF6812" s="1">
        <v>10037</v>
      </c>
      <c r="AI6812" s="1" t="s">
        <v>48</v>
      </c>
      <c r="AJ6812" s="1">
        <v>2018</v>
      </c>
      <c r="AL6812" s="1">
        <v>64</v>
      </c>
    </row>
    <row r="6813" spans="1:38" x14ac:dyDescent="0.2">
      <c r="A6813" s="2" t="str">
        <f>HYPERLINK("https://www.compass.com/listing/220-central-park-south-unit-48-manhattan-ny-10019/423839493504119025/","220 Central Park S, Unit 48")</f>
        <v>220 Central Park S, Unit 48</v>
      </c>
      <c r="B6813" s="2" t="str">
        <f>HYPERLINK("https://www.compass.com/building/220-central-park-south-manhattan-ny/281944232648828453/","220 Central Park South")</f>
        <v>220 Central Park South</v>
      </c>
      <c r="C6813" s="1" t="s">
        <v>260</v>
      </c>
      <c r="D6813" s="1" t="s">
        <v>41</v>
      </c>
      <c r="E6813" s="3">
        <v>59058500</v>
      </c>
      <c r="F6813" s="1">
        <v>8960.4764072219696</v>
      </c>
      <c r="G6813" s="1">
        <v>9</v>
      </c>
      <c r="H6813" s="1">
        <v>5</v>
      </c>
      <c r="I6813" s="1">
        <v>8</v>
      </c>
      <c r="J6813" s="1">
        <v>7</v>
      </c>
      <c r="K6813" s="1">
        <v>6</v>
      </c>
      <c r="L6813" s="1">
        <v>2</v>
      </c>
      <c r="M6813" s="4">
        <v>6591</v>
      </c>
      <c r="N6813" s="1">
        <v>13963</v>
      </c>
      <c r="O6813" s="1">
        <v>25933</v>
      </c>
      <c r="P6813" s="1">
        <v>11970</v>
      </c>
      <c r="Q6813" s="1" t="s">
        <v>42</v>
      </c>
      <c r="S6813" s="1" t="s">
        <v>42</v>
      </c>
      <c r="T6813" s="1" t="s">
        <v>273</v>
      </c>
      <c r="U6813" s="1">
        <v>1718</v>
      </c>
      <c r="V6813" s="5">
        <v>43837</v>
      </c>
      <c r="W6813" s="5">
        <v>42094</v>
      </c>
      <c r="X6813" s="1">
        <v>58000000</v>
      </c>
      <c r="Y6813" s="1">
        <v>58000000</v>
      </c>
      <c r="AA6813" s="1">
        <v>59058500</v>
      </c>
      <c r="AB6813" s="1" t="s">
        <v>275</v>
      </c>
      <c r="AC6813" s="5">
        <v>43812</v>
      </c>
      <c r="AF6813" s="1">
        <v>10019</v>
      </c>
      <c r="AI6813" s="1" t="s">
        <v>101</v>
      </c>
      <c r="AJ6813" s="1">
        <v>2018</v>
      </c>
      <c r="AK6813" s="1" t="s">
        <v>46</v>
      </c>
      <c r="AL6813" s="1">
        <v>117</v>
      </c>
    </row>
    <row r="6814" spans="1:38" x14ac:dyDescent="0.2">
      <c r="A6814" s="2" t="str">
        <f>HYPERLINK("https://www.compass.com/listing/111-murray-street-unit-8b-manhattan-ny-10007/424907168544434241/","111 Murray St, Unit 8B")</f>
        <v>111 Murray St, Unit 8B</v>
      </c>
      <c r="B6814" s="2" t="str">
        <f t="shared" ref="B6814:B6819" si="1071">HYPERLINK("https://www.compass.com/building/111-murray-st-manhattan-ny-10007/281896511862746053/","111 Murray St")</f>
        <v>111 Murray St</v>
      </c>
      <c r="C6814" s="1" t="s">
        <v>50</v>
      </c>
      <c r="D6814" s="1" t="s">
        <v>41</v>
      </c>
      <c r="E6814" s="3">
        <v>1462000</v>
      </c>
      <c r="F6814" s="1">
        <v>1845.9595959595899</v>
      </c>
      <c r="H6814" s="1">
        <v>1</v>
      </c>
      <c r="J6814" s="1">
        <v>1</v>
      </c>
      <c r="K6814" s="1">
        <v>1</v>
      </c>
      <c r="M6814" s="1">
        <v>792</v>
      </c>
      <c r="N6814" s="1">
        <v>871</v>
      </c>
      <c r="O6814" s="1">
        <v>2094</v>
      </c>
      <c r="P6814" s="1">
        <v>1223</v>
      </c>
      <c r="Q6814" s="1" t="s">
        <v>42</v>
      </c>
      <c r="S6814" s="1" t="s">
        <v>42</v>
      </c>
      <c r="T6814" s="1" t="s">
        <v>273</v>
      </c>
      <c r="AA6814" s="1">
        <v>1462000</v>
      </c>
      <c r="AB6814" s="1" t="s">
        <v>5023</v>
      </c>
      <c r="AC6814" s="5">
        <v>43784</v>
      </c>
      <c r="AF6814" s="1">
        <v>10007</v>
      </c>
      <c r="AI6814" s="1" t="s">
        <v>80</v>
      </c>
      <c r="AJ6814" s="1">
        <v>2018</v>
      </c>
      <c r="AK6814" s="1" t="s">
        <v>49</v>
      </c>
      <c r="AL6814" s="1">
        <v>157</v>
      </c>
    </row>
    <row r="6815" spans="1:38" x14ac:dyDescent="0.2">
      <c r="A6815" s="2" t="str">
        <f>HYPERLINK("https://www.compass.com/listing/111-murray-street-unit-26a-manhattan-ny-10007/424907224596965409/","111 Murray St, Unit 26A")</f>
        <v>111 Murray St, Unit 26A</v>
      </c>
      <c r="B6815" s="2" t="str">
        <f t="shared" si="1071"/>
        <v>111 Murray St</v>
      </c>
      <c r="C6815" s="1" t="s">
        <v>50</v>
      </c>
      <c r="D6815" s="1" t="s">
        <v>41</v>
      </c>
      <c r="E6815" s="3">
        <v>3315000</v>
      </c>
      <c r="F6815" s="1">
        <v>2080.9792843691098</v>
      </c>
      <c r="M6815" s="4">
        <v>1593</v>
      </c>
      <c r="Q6815" s="1" t="s">
        <v>42</v>
      </c>
      <c r="S6815" s="1" t="s">
        <v>42</v>
      </c>
      <c r="T6815" s="1" t="s">
        <v>273</v>
      </c>
      <c r="AA6815" s="1">
        <v>3315000</v>
      </c>
      <c r="AB6815" s="1" t="s">
        <v>5024</v>
      </c>
      <c r="AC6815" s="5">
        <v>43784</v>
      </c>
      <c r="AF6815" s="1">
        <v>10007</v>
      </c>
      <c r="AI6815" s="1" t="s">
        <v>80</v>
      </c>
      <c r="AJ6815" s="1">
        <v>2018</v>
      </c>
      <c r="AK6815" s="1" t="s">
        <v>49</v>
      </c>
      <c r="AL6815" s="1">
        <v>157</v>
      </c>
    </row>
    <row r="6816" spans="1:38" x14ac:dyDescent="0.2">
      <c r="A6816" s="2" t="str">
        <f>HYPERLINK("https://www.compass.com/listing/111-murray-street-unit-30a-manhattan-ny-10007/424907232322873473/","111 Murray St, Unit 30A")</f>
        <v>111 Murray St, Unit 30A</v>
      </c>
      <c r="B6816" s="2" t="str">
        <f t="shared" si="1071"/>
        <v>111 Murray St</v>
      </c>
      <c r="C6816" s="1" t="s">
        <v>50</v>
      </c>
      <c r="D6816" s="1" t="s">
        <v>41</v>
      </c>
      <c r="E6816" s="3">
        <v>3527500</v>
      </c>
      <c r="F6816" s="1">
        <v>2214.3753923414902</v>
      </c>
      <c r="M6816" s="4">
        <v>1593</v>
      </c>
      <c r="Q6816" s="1" t="s">
        <v>42</v>
      </c>
      <c r="S6816" s="1" t="s">
        <v>42</v>
      </c>
      <c r="T6816" s="1" t="s">
        <v>273</v>
      </c>
      <c r="AA6816" s="1">
        <v>3527500</v>
      </c>
      <c r="AB6816" s="1" t="s">
        <v>5025</v>
      </c>
      <c r="AC6816" s="5">
        <v>43784</v>
      </c>
      <c r="AF6816" s="1">
        <v>10007</v>
      </c>
      <c r="AI6816" s="1" t="s">
        <v>80</v>
      </c>
      <c r="AJ6816" s="1">
        <v>2018</v>
      </c>
      <c r="AK6816" s="1" t="s">
        <v>49</v>
      </c>
      <c r="AL6816" s="1">
        <v>157</v>
      </c>
    </row>
    <row r="6817" spans="1:38" x14ac:dyDescent="0.2">
      <c r="A6817" s="2" t="str">
        <f>HYPERLINK("https://www.compass.com/listing/111-murray-street-unit-38b-manhattan-ny-10007/424907251071562401/","111 Murray St, Unit 38B")</f>
        <v>111 Murray St, Unit 38B</v>
      </c>
      <c r="B6817" s="2" t="str">
        <f t="shared" si="1071"/>
        <v>111 Murray St</v>
      </c>
      <c r="C6817" s="1" t="s">
        <v>50</v>
      </c>
      <c r="D6817" s="1" t="s">
        <v>41</v>
      </c>
      <c r="E6817" s="3">
        <v>3527500</v>
      </c>
      <c r="F6817" s="1">
        <v>2117.3469387755099</v>
      </c>
      <c r="M6817" s="4">
        <v>1666</v>
      </c>
      <c r="Q6817" s="1" t="s">
        <v>42</v>
      </c>
      <c r="S6817" s="1" t="s">
        <v>42</v>
      </c>
      <c r="T6817" s="1" t="s">
        <v>273</v>
      </c>
      <c r="AA6817" s="1">
        <v>3527500</v>
      </c>
      <c r="AB6817" s="1" t="s">
        <v>5026</v>
      </c>
      <c r="AC6817" s="5">
        <v>43784</v>
      </c>
      <c r="AF6817" s="1">
        <v>10007</v>
      </c>
      <c r="AI6817" s="1" t="s">
        <v>80</v>
      </c>
      <c r="AJ6817" s="1">
        <v>2018</v>
      </c>
      <c r="AK6817" s="1" t="s">
        <v>49</v>
      </c>
      <c r="AL6817" s="1">
        <v>157</v>
      </c>
    </row>
    <row r="6818" spans="1:38" x14ac:dyDescent="0.2">
      <c r="A6818" s="2" t="str">
        <f>HYPERLINK("https://www.compass.com/listing/111-murray-street-unit-38w-manhattan-ny-10007/424907251761059777/","111 Murray St, Unit 38W")</f>
        <v>111 Murray St, Unit 38W</v>
      </c>
      <c r="B6818" s="2" t="str">
        <f t="shared" si="1071"/>
        <v>111 Murray St</v>
      </c>
      <c r="C6818" s="1" t="s">
        <v>50</v>
      </c>
      <c r="D6818" s="1" t="s">
        <v>41</v>
      </c>
      <c r="E6818" s="3">
        <v>5750000</v>
      </c>
      <c r="F6818" s="1">
        <v>2523.03641948222</v>
      </c>
      <c r="M6818" s="4">
        <v>2279</v>
      </c>
      <c r="Q6818" s="1" t="s">
        <v>42</v>
      </c>
      <c r="S6818" s="1" t="s">
        <v>42</v>
      </c>
      <c r="T6818" s="1" t="s">
        <v>273</v>
      </c>
      <c r="AA6818" s="1">
        <v>5750000</v>
      </c>
      <c r="AB6818" s="1" t="s">
        <v>5027</v>
      </c>
      <c r="AC6818" s="5">
        <v>43784</v>
      </c>
      <c r="AF6818" s="1">
        <v>10007</v>
      </c>
      <c r="AI6818" s="1" t="s">
        <v>80</v>
      </c>
      <c r="AJ6818" s="1">
        <v>2018</v>
      </c>
      <c r="AK6818" s="1" t="s">
        <v>49</v>
      </c>
      <c r="AL6818" s="1">
        <v>157</v>
      </c>
    </row>
    <row r="6819" spans="1:38" x14ac:dyDescent="0.2">
      <c r="A6819" s="2" t="str">
        <f>HYPERLINK("https://www.compass.com/listing/111-murray-street-unit-51w-manhattan-ny-10007/424907277873280321/","111 Murray St, Unit 51W")</f>
        <v>111 Murray St, Unit 51W</v>
      </c>
      <c r="B6819" s="2" t="str">
        <f t="shared" si="1071"/>
        <v>111 Murray St</v>
      </c>
      <c r="C6819" s="1" t="s">
        <v>50</v>
      </c>
      <c r="D6819" s="1" t="s">
        <v>41</v>
      </c>
      <c r="E6819" s="3">
        <v>9018772</v>
      </c>
      <c r="F6819" s="1">
        <v>2748.7875830539401</v>
      </c>
      <c r="M6819" s="4">
        <v>3281</v>
      </c>
      <c r="Q6819" s="1" t="s">
        <v>42</v>
      </c>
      <c r="S6819" s="1" t="s">
        <v>42</v>
      </c>
      <c r="T6819" s="1" t="s">
        <v>273</v>
      </c>
      <c r="AA6819" s="1">
        <v>9018772.0600000005</v>
      </c>
      <c r="AB6819" s="1" t="s">
        <v>5028</v>
      </c>
      <c r="AC6819" s="5">
        <v>43770</v>
      </c>
      <c r="AF6819" s="1">
        <v>10007</v>
      </c>
      <c r="AI6819" s="1" t="s">
        <v>80</v>
      </c>
      <c r="AJ6819" s="1">
        <v>2018</v>
      </c>
      <c r="AK6819" s="1" t="s">
        <v>49</v>
      </c>
      <c r="AL6819" s="1">
        <v>157</v>
      </c>
    </row>
    <row r="6820" spans="1:38" x14ac:dyDescent="0.2">
      <c r="A6820" s="2" t="str">
        <f>HYPERLINK("https://www.compass.com/listing/108-leonard-street-unit-4i-manhattan-ny-10013/424907393855616529/","108 Leonard St, Unit 4I")</f>
        <v>108 Leonard St, Unit 4I</v>
      </c>
      <c r="B6820" s="2" t="str">
        <f>HYPERLINK("https://www.compass.com/building/108-leonard-st-manhattan-ny-10013/307456049610778277/","108 Leonard St")</f>
        <v>108 Leonard St</v>
      </c>
      <c r="C6820" s="1" t="s">
        <v>113</v>
      </c>
      <c r="D6820" s="1" t="s">
        <v>41</v>
      </c>
      <c r="E6820" s="3">
        <v>2037302</v>
      </c>
      <c r="F6820" s="1">
        <v>1825.53981182795</v>
      </c>
      <c r="M6820" s="4">
        <v>1116</v>
      </c>
      <c r="Q6820" s="1" t="s">
        <v>42</v>
      </c>
      <c r="S6820" s="1" t="s">
        <v>42</v>
      </c>
      <c r="T6820" s="1" t="s">
        <v>273</v>
      </c>
      <c r="AA6820" s="1">
        <v>2037302.43</v>
      </c>
      <c r="AB6820" s="1" t="s">
        <v>5029</v>
      </c>
      <c r="AC6820" s="5">
        <v>43768</v>
      </c>
      <c r="AF6820" s="1">
        <v>10013</v>
      </c>
      <c r="AI6820" s="1" t="s">
        <v>78</v>
      </c>
      <c r="AJ6820" s="1">
        <v>1899</v>
      </c>
      <c r="AK6820" s="1" t="s">
        <v>55</v>
      </c>
      <c r="AL6820" s="1">
        <v>167</v>
      </c>
    </row>
    <row r="6821" spans="1:38" x14ac:dyDescent="0.2">
      <c r="A6821" s="2" t="str">
        <f>HYPERLINK("https://www.compass.com/listing/252-south-street-unit-43l-manhattan-ny-10002/424908131978073185/","252 South St, Unit 43L")</f>
        <v>252 South St, Unit 43L</v>
      </c>
      <c r="B6821" s="2" t="str">
        <f t="shared" ref="B6821:B6824" si="1072">HYPERLINK("https://www.compass.com/building/one-manhattan-square-manhattan-ny/294844950218926165/","One Manhattan Square")</f>
        <v>One Manhattan Square</v>
      </c>
      <c r="C6821" s="1" t="s">
        <v>47</v>
      </c>
      <c r="D6821" s="1" t="s">
        <v>41</v>
      </c>
      <c r="E6821" s="3">
        <v>2570666</v>
      </c>
      <c r="F6821" s="1">
        <v>2289.10636687444</v>
      </c>
      <c r="M6821" s="4">
        <v>1123</v>
      </c>
      <c r="Q6821" s="1" t="s">
        <v>42</v>
      </c>
      <c r="S6821" s="1" t="s">
        <v>42</v>
      </c>
      <c r="T6821" s="1" t="s">
        <v>273</v>
      </c>
      <c r="AA6821" s="1">
        <v>2570666.4500000002</v>
      </c>
      <c r="AB6821" s="1" t="s">
        <v>5030</v>
      </c>
      <c r="AC6821" s="5">
        <v>43766</v>
      </c>
      <c r="AF6821" s="1">
        <v>10002</v>
      </c>
      <c r="AI6821" s="1" t="s">
        <v>66</v>
      </c>
      <c r="AJ6821" s="1">
        <v>2019</v>
      </c>
      <c r="AK6821" s="1" t="s">
        <v>49</v>
      </c>
      <c r="AL6821" s="1">
        <v>787</v>
      </c>
    </row>
    <row r="6822" spans="1:38" x14ac:dyDescent="0.2">
      <c r="A6822" s="2" t="str">
        <f>HYPERLINK("https://www.compass.com/listing/252-south-street-unit-52l-manhattan-ny-10002/424908163057645345/","252 South St, Unit 52L")</f>
        <v>252 South St, Unit 52L</v>
      </c>
      <c r="B6822" s="2" t="str">
        <f t="shared" si="1072"/>
        <v>One Manhattan Square</v>
      </c>
      <c r="C6822" s="1" t="s">
        <v>47</v>
      </c>
      <c r="D6822" s="1" t="s">
        <v>41</v>
      </c>
      <c r="E6822" s="3">
        <v>2492116</v>
      </c>
      <c r="F6822" s="1">
        <v>2219.1595369545798</v>
      </c>
      <c r="M6822" s="4">
        <v>1123</v>
      </c>
      <c r="Q6822" s="1" t="s">
        <v>42</v>
      </c>
      <c r="S6822" s="1" t="s">
        <v>42</v>
      </c>
      <c r="T6822" s="1" t="s">
        <v>273</v>
      </c>
      <c r="AA6822" s="1">
        <v>2492116.16</v>
      </c>
      <c r="AB6822" s="1" t="s">
        <v>5031</v>
      </c>
      <c r="AC6822" s="5">
        <v>43784</v>
      </c>
      <c r="AF6822" s="1">
        <v>10002</v>
      </c>
      <c r="AI6822" s="1" t="s">
        <v>66</v>
      </c>
      <c r="AJ6822" s="1">
        <v>2019</v>
      </c>
      <c r="AK6822" s="1" t="s">
        <v>49</v>
      </c>
      <c r="AL6822" s="1">
        <v>787</v>
      </c>
    </row>
    <row r="6823" spans="1:38" x14ac:dyDescent="0.2">
      <c r="A6823" s="2" t="str">
        <f>HYPERLINK("https://www.compass.com/listing/252-south-street-unit-54l-manhattan-ny-10002/424908171479593025/","252 South St, Unit 54L")</f>
        <v>252 South St, Unit 54L</v>
      </c>
      <c r="B6823" s="2" t="str">
        <f t="shared" si="1072"/>
        <v>One Manhattan Square</v>
      </c>
      <c r="C6823" s="1" t="s">
        <v>47</v>
      </c>
      <c r="D6823" s="1" t="s">
        <v>41</v>
      </c>
      <c r="E6823" s="3">
        <v>2614656</v>
      </c>
      <c r="F6823" s="1">
        <v>2328.2778984861902</v>
      </c>
      <c r="M6823" s="4">
        <v>1123</v>
      </c>
      <c r="Q6823" s="1" t="s">
        <v>42</v>
      </c>
      <c r="S6823" s="1" t="s">
        <v>42</v>
      </c>
      <c r="T6823" s="1" t="s">
        <v>273</v>
      </c>
      <c r="AA6823" s="1">
        <v>2614656.08</v>
      </c>
      <c r="AB6823" s="1" t="s">
        <v>5032</v>
      </c>
      <c r="AC6823" s="5">
        <v>43766</v>
      </c>
      <c r="AF6823" s="1">
        <v>10002</v>
      </c>
      <c r="AI6823" s="1" t="s">
        <v>66</v>
      </c>
      <c r="AJ6823" s="1">
        <v>2019</v>
      </c>
      <c r="AK6823" s="1" t="s">
        <v>49</v>
      </c>
      <c r="AL6823" s="1">
        <v>787</v>
      </c>
    </row>
    <row r="6824" spans="1:38" x14ac:dyDescent="0.2">
      <c r="A6824" s="2" t="str">
        <f>HYPERLINK("https://www.compass.com/listing/252-south-street-unit-75k-manhattan-ny-10002/424908187927969905/","252 South St, Unit 75K")</f>
        <v>252 South St, Unit 75K</v>
      </c>
      <c r="B6824" s="2" t="str">
        <f t="shared" si="1072"/>
        <v>One Manhattan Square</v>
      </c>
      <c r="C6824" s="1" t="s">
        <v>47</v>
      </c>
      <c r="D6824" s="1" t="s">
        <v>41</v>
      </c>
      <c r="E6824" s="3">
        <v>1627662</v>
      </c>
      <c r="F6824" s="1">
        <v>2365.7884883720899</v>
      </c>
      <c r="M6824" s="1">
        <v>688</v>
      </c>
      <c r="Q6824" s="1" t="s">
        <v>42</v>
      </c>
      <c r="S6824" s="1" t="s">
        <v>42</v>
      </c>
      <c r="T6824" s="1" t="s">
        <v>273</v>
      </c>
      <c r="AA6824" s="1">
        <v>1627662.48</v>
      </c>
      <c r="AB6824" s="1" t="s">
        <v>5033</v>
      </c>
      <c r="AC6824" s="5">
        <v>43761</v>
      </c>
      <c r="AF6824" s="1">
        <v>10002</v>
      </c>
      <c r="AI6824" s="1" t="s">
        <v>66</v>
      </c>
      <c r="AJ6824" s="1">
        <v>2019</v>
      </c>
      <c r="AK6824" s="1" t="s">
        <v>49</v>
      </c>
      <c r="AL6824" s="1">
        <v>787</v>
      </c>
    </row>
    <row r="6825" spans="1:38" x14ac:dyDescent="0.2">
      <c r="A6825" s="2" t="str">
        <f>HYPERLINK("https://www.compass.com/listing/220-central-park-south-unit-v14-manhattan-ny-10019/424917208055738753/","220 Central Park S, Unit V14")</f>
        <v>220 Central Park S, Unit V14</v>
      </c>
      <c r="B6825" s="2" t="str">
        <f>HYPERLINK("https://www.compass.com/building/220-central-park-south-manhattan-ny/281944232648828453/","220 Central Park South")</f>
        <v>220 Central Park South</v>
      </c>
      <c r="C6825" s="1" t="s">
        <v>260</v>
      </c>
      <c r="D6825" s="1" t="s">
        <v>41</v>
      </c>
      <c r="E6825" s="3">
        <v>46531989</v>
      </c>
      <c r="F6825" s="1">
        <v>10721.6563364055</v>
      </c>
      <c r="M6825" s="4">
        <v>4340</v>
      </c>
      <c r="Q6825" s="1" t="s">
        <v>42</v>
      </c>
      <c r="S6825" s="1" t="s">
        <v>42</v>
      </c>
      <c r="T6825" s="1" t="s">
        <v>273</v>
      </c>
      <c r="AA6825" s="1">
        <v>46531988.5</v>
      </c>
      <c r="AB6825" s="1" t="s">
        <v>5034</v>
      </c>
      <c r="AC6825" s="5">
        <v>43790</v>
      </c>
      <c r="AF6825" s="1">
        <v>10019</v>
      </c>
      <c r="AI6825" s="1" t="s">
        <v>101</v>
      </c>
      <c r="AJ6825" s="1">
        <v>2018</v>
      </c>
      <c r="AK6825" s="1" t="s">
        <v>49</v>
      </c>
      <c r="AL6825" s="1">
        <v>117</v>
      </c>
    </row>
    <row r="6826" spans="1:38" x14ac:dyDescent="0.2">
      <c r="A6826" s="2" t="str">
        <f>HYPERLINK("https://www.compass.com/listing/200-east-94th-street-unit-2915-manhattan-ny-10128/424929334929491953/","200 E 94th St, Unit 2915")</f>
        <v>200 E 94th St, Unit 2915</v>
      </c>
      <c r="B6826" s="2" t="str">
        <f>HYPERLINK("https://www.compass.com/building/carnegie-park-condominium-manhattan-ny/282049797358118613/","Carnegie Park Condominium")</f>
        <v>Carnegie Park Condominium</v>
      </c>
      <c r="C6826" s="1" t="s">
        <v>82</v>
      </c>
      <c r="D6826" s="1" t="s">
        <v>41</v>
      </c>
      <c r="E6826" s="3">
        <v>1937030</v>
      </c>
      <c r="F6826" s="1">
        <v>1800.2138011152399</v>
      </c>
      <c r="M6826" s="4">
        <v>1076</v>
      </c>
      <c r="Q6826" s="1" t="s">
        <v>42</v>
      </c>
      <c r="S6826" s="1" t="s">
        <v>42</v>
      </c>
      <c r="T6826" s="1" t="s">
        <v>273</v>
      </c>
      <c r="AA6826" s="1">
        <v>1937030.05</v>
      </c>
      <c r="AB6826" s="1" t="s">
        <v>5035</v>
      </c>
      <c r="AC6826" s="5">
        <v>43782</v>
      </c>
      <c r="AF6826" s="1">
        <v>10128</v>
      </c>
      <c r="AI6826" s="1" t="s">
        <v>163</v>
      </c>
      <c r="AJ6826" s="1">
        <v>1986</v>
      </c>
      <c r="AK6826" s="1" t="s">
        <v>55</v>
      </c>
      <c r="AL6826" s="1">
        <v>287</v>
      </c>
    </row>
    <row r="6827" spans="1:38" x14ac:dyDescent="0.2">
      <c r="A6827" s="2" t="str">
        <f>HYPERLINK("https://www.compass.com/listing/70-west-139th-street-unit-5i-manhattan-ny-10037/424931109304538785/","70 W 139th St, Unit 5I")</f>
        <v>70 W 139th St, Unit 5I</v>
      </c>
      <c r="B6827" s="2" t="str">
        <f t="shared" ref="B6827:B6828" si="1073">HYPERLINK("https://www.compass.com/building/70-w-139th-st-manhattan-ny-10037/292920118235647477/","70 W 139th St")</f>
        <v>70 W 139th St</v>
      </c>
      <c r="C6827" s="1" t="s">
        <v>84</v>
      </c>
      <c r="D6827" s="1" t="s">
        <v>41</v>
      </c>
      <c r="E6827" s="3">
        <v>465381</v>
      </c>
      <c r="F6827" s="1">
        <v>695.636771300448</v>
      </c>
      <c r="M6827" s="1">
        <v>669</v>
      </c>
      <c r="Q6827" s="1" t="s">
        <v>42</v>
      </c>
      <c r="S6827" s="1" t="s">
        <v>42</v>
      </c>
      <c r="T6827" s="1" t="s">
        <v>273</v>
      </c>
      <c r="AA6827" s="1">
        <v>465381</v>
      </c>
      <c r="AB6827" s="1" t="s">
        <v>5036</v>
      </c>
      <c r="AC6827" s="5">
        <v>43761</v>
      </c>
      <c r="AF6827" s="1">
        <v>10037</v>
      </c>
      <c r="AI6827" s="1" t="s">
        <v>48</v>
      </c>
      <c r="AJ6827" s="1">
        <v>2018</v>
      </c>
      <c r="AL6827" s="1">
        <v>64</v>
      </c>
    </row>
    <row r="6828" spans="1:38" x14ac:dyDescent="0.2">
      <c r="A6828" s="2" t="str">
        <f>HYPERLINK("https://www.compass.com/listing/70-west-139th-street-unit-8h-manhattan-ny-10037/424931122920660321/","70 W 139th St, Unit 8H")</f>
        <v>70 W 139th St, Unit 8H</v>
      </c>
      <c r="B6828" s="2" t="str">
        <f t="shared" si="1073"/>
        <v>70 W 139th St</v>
      </c>
      <c r="C6828" s="1" t="s">
        <v>84</v>
      </c>
      <c r="D6828" s="1" t="s">
        <v>41</v>
      </c>
      <c r="E6828" s="3">
        <v>465381</v>
      </c>
      <c r="F6828" s="1">
        <v>743.42012779552704</v>
      </c>
      <c r="M6828" s="1">
        <v>626</v>
      </c>
      <c r="Q6828" s="1" t="s">
        <v>42</v>
      </c>
      <c r="S6828" s="1" t="s">
        <v>42</v>
      </c>
      <c r="T6828" s="1" t="s">
        <v>273</v>
      </c>
      <c r="AA6828" s="1">
        <v>465381</v>
      </c>
      <c r="AB6828" s="1" t="s">
        <v>5037</v>
      </c>
      <c r="AC6828" s="5">
        <v>43763</v>
      </c>
      <c r="AF6828" s="1">
        <v>10037</v>
      </c>
      <c r="AI6828" s="1" t="s">
        <v>48</v>
      </c>
      <c r="AJ6828" s="1">
        <v>2018</v>
      </c>
      <c r="AL6828" s="1">
        <v>64</v>
      </c>
    </row>
    <row r="6829" spans="1:38" x14ac:dyDescent="0.2">
      <c r="A6829" s="2" t="str">
        <f>HYPERLINK("https://www.compass.com/listing/15-hudson-yards-unit-24g-manhattan-ny-10001/429774384572780073/","15 Hudson Yards, Unit 24G")</f>
        <v>15 Hudson Yards, Unit 24G</v>
      </c>
      <c r="B6829" s="2" t="str">
        <f>HYPERLINK("https://www.compass.com/building/fifteen-hudson-yards-manhattan-ny/282058587512011909/","Fifteen Hudson Yards")</f>
        <v>Fifteen Hudson Yards</v>
      </c>
      <c r="C6829" s="1" t="s">
        <v>77</v>
      </c>
      <c r="D6829" s="1" t="s">
        <v>41</v>
      </c>
      <c r="E6829" s="3">
        <v>4270000</v>
      </c>
      <c r="F6829" s="1">
        <v>2916.6666666666601</v>
      </c>
      <c r="G6829" s="1">
        <v>4</v>
      </c>
      <c r="H6829" s="1">
        <v>2</v>
      </c>
      <c r="I6829" s="1">
        <v>3</v>
      </c>
      <c r="J6829" s="1">
        <v>2.5</v>
      </c>
      <c r="K6829" s="1">
        <v>2</v>
      </c>
      <c r="L6829" s="1">
        <v>1</v>
      </c>
      <c r="M6829" s="4">
        <v>1464</v>
      </c>
      <c r="N6829" s="1">
        <v>3340</v>
      </c>
      <c r="O6829" s="1">
        <v>3386</v>
      </c>
      <c r="P6829" s="1">
        <v>46</v>
      </c>
      <c r="Q6829" s="1" t="s">
        <v>42</v>
      </c>
      <c r="S6829" s="1" t="s">
        <v>42</v>
      </c>
      <c r="T6829" s="1" t="s">
        <v>273</v>
      </c>
      <c r="U6829" s="1">
        <v>619</v>
      </c>
      <c r="V6829" s="5">
        <v>43845</v>
      </c>
      <c r="W6829" s="5">
        <v>43220</v>
      </c>
      <c r="AA6829" s="1">
        <v>4270000</v>
      </c>
      <c r="AB6829" s="1" t="s">
        <v>275</v>
      </c>
      <c r="AC6829" s="5">
        <v>43839</v>
      </c>
      <c r="AF6829" s="1">
        <v>10001</v>
      </c>
      <c r="AJ6829" s="1">
        <v>2018</v>
      </c>
      <c r="AK6829" s="1" t="s">
        <v>46</v>
      </c>
      <c r="AL6829" s="1">
        <v>285</v>
      </c>
    </row>
    <row r="6830" spans="1:38" x14ac:dyDescent="0.2">
      <c r="A6830" s="2" t="str">
        <f>HYPERLINK("https://www.compass.com/listing/108-leonard-street-unit-4h-manhattan-ny-10013/429870021557238929/","108 Leonard St, Unit 4H")</f>
        <v>108 Leonard St, Unit 4H</v>
      </c>
      <c r="B6830" s="2" t="str">
        <f t="shared" ref="B6830:B6831" si="1074">HYPERLINK("https://www.compass.com/building/108-leonard-st-manhattan-ny-10013/307456049610778277/","108 Leonard St")</f>
        <v>108 Leonard St</v>
      </c>
      <c r="C6830" s="1" t="s">
        <v>113</v>
      </c>
      <c r="D6830" s="1" t="s">
        <v>41</v>
      </c>
      <c r="E6830" s="3">
        <v>3066716</v>
      </c>
      <c r="F6830" s="1">
        <v>1936.05785353535</v>
      </c>
      <c r="M6830" s="4">
        <v>1584</v>
      </c>
      <c r="Q6830" s="1" t="s">
        <v>42</v>
      </c>
      <c r="S6830" s="1" t="s">
        <v>42</v>
      </c>
      <c r="T6830" s="1" t="s">
        <v>273</v>
      </c>
      <c r="AA6830" s="1">
        <v>3066715.64</v>
      </c>
      <c r="AB6830" s="1" t="s">
        <v>5038</v>
      </c>
      <c r="AC6830" s="5">
        <v>43794</v>
      </c>
      <c r="AF6830" s="1">
        <v>10013</v>
      </c>
      <c r="AI6830" s="1" t="s">
        <v>78</v>
      </c>
      <c r="AJ6830" s="1">
        <v>1899</v>
      </c>
      <c r="AK6830" s="1" t="s">
        <v>55</v>
      </c>
      <c r="AL6830" s="1">
        <v>167</v>
      </c>
    </row>
    <row r="6831" spans="1:38" x14ac:dyDescent="0.2">
      <c r="A6831" s="2" t="str">
        <f>HYPERLINK("https://www.compass.com/listing/108-leonard-street-unit-5h-manhattan-ny-10013/429870028268067417/","108 Leonard St, Unit 5H")</f>
        <v>108 Leonard St, Unit 5H</v>
      </c>
      <c r="B6831" s="2" t="str">
        <f t="shared" si="1074"/>
        <v>108 Leonard St</v>
      </c>
      <c r="C6831" s="1" t="s">
        <v>113</v>
      </c>
      <c r="D6831" s="1" t="s">
        <v>41</v>
      </c>
      <c r="E6831" s="3">
        <v>3241708</v>
      </c>
      <c r="F6831" s="1">
        <v>2047.82580543272</v>
      </c>
      <c r="M6831" s="4">
        <v>1583</v>
      </c>
      <c r="Q6831" s="1" t="s">
        <v>42</v>
      </c>
      <c r="S6831" s="1" t="s">
        <v>42</v>
      </c>
      <c r="T6831" s="1" t="s">
        <v>273</v>
      </c>
      <c r="AA6831" s="1">
        <v>3241708.25</v>
      </c>
      <c r="AB6831" s="1" t="s">
        <v>5039</v>
      </c>
      <c r="AC6831" s="5">
        <v>43791</v>
      </c>
      <c r="AF6831" s="1">
        <v>10013</v>
      </c>
      <c r="AI6831" s="1" t="s">
        <v>78</v>
      </c>
      <c r="AJ6831" s="1">
        <v>1899</v>
      </c>
      <c r="AK6831" s="1" t="s">
        <v>55</v>
      </c>
      <c r="AL6831" s="1">
        <v>167</v>
      </c>
    </row>
    <row r="6832" spans="1:38" x14ac:dyDescent="0.2">
      <c r="A6832" s="2" t="str">
        <f>HYPERLINK("https://www.compass.com/listing/252-south-street-unit-50l-manhattan-ny-10002/429875668164131649/","252 South St, Unit 50L")</f>
        <v>252 South St, Unit 50L</v>
      </c>
      <c r="B6832" s="2" t="str">
        <f t="shared" ref="B6832:B6835" si="1075">HYPERLINK("https://www.compass.com/building/one-manhattan-square-manhattan-ny/294844950218926165/","One Manhattan Square")</f>
        <v>One Manhattan Square</v>
      </c>
      <c r="C6832" s="1" t="s">
        <v>47</v>
      </c>
      <c r="D6832" s="1" t="s">
        <v>41</v>
      </c>
      <c r="E6832" s="3">
        <v>2532682</v>
      </c>
      <c r="F6832" s="1">
        <v>2255.2821727515502</v>
      </c>
      <c r="M6832" s="4">
        <v>1123</v>
      </c>
      <c r="Q6832" s="1" t="s">
        <v>42</v>
      </c>
      <c r="S6832" s="1" t="s">
        <v>42</v>
      </c>
      <c r="T6832" s="1" t="s">
        <v>273</v>
      </c>
      <c r="AA6832" s="1">
        <v>2532681.88</v>
      </c>
      <c r="AB6832" s="1" t="s">
        <v>5040</v>
      </c>
      <c r="AC6832" s="5">
        <v>43794</v>
      </c>
      <c r="AF6832" s="1">
        <v>10002</v>
      </c>
      <c r="AI6832" s="1" t="s">
        <v>66</v>
      </c>
      <c r="AJ6832" s="1">
        <v>2019</v>
      </c>
      <c r="AK6832" s="1" t="s">
        <v>49</v>
      </c>
      <c r="AL6832" s="1">
        <v>787</v>
      </c>
    </row>
    <row r="6833" spans="1:38" x14ac:dyDescent="0.2">
      <c r="A6833" s="2" t="str">
        <f>HYPERLINK("https://www.compass.com/listing/252-south-street-unit-76g-manhattan-ny-10002/429875728629350745/","252 South St, Unit 76G")</f>
        <v>252 South St, Unit 76G</v>
      </c>
      <c r="B6833" s="2" t="str">
        <f t="shared" si="1075"/>
        <v>One Manhattan Square</v>
      </c>
      <c r="C6833" s="1" t="s">
        <v>47</v>
      </c>
      <c r="D6833" s="1" t="s">
        <v>41</v>
      </c>
      <c r="E6833" s="3">
        <v>1629709</v>
      </c>
      <c r="F6833" s="1">
        <v>2368.7632703488298</v>
      </c>
      <c r="M6833" s="1">
        <v>688</v>
      </c>
      <c r="Q6833" s="1" t="s">
        <v>42</v>
      </c>
      <c r="S6833" s="1" t="s">
        <v>42</v>
      </c>
      <c r="T6833" s="1" t="s">
        <v>273</v>
      </c>
      <c r="AA6833" s="1">
        <v>1629709.13</v>
      </c>
      <c r="AB6833" s="1" t="s">
        <v>5041</v>
      </c>
      <c r="AC6833" s="5">
        <v>43795</v>
      </c>
      <c r="AF6833" s="1">
        <v>10002</v>
      </c>
      <c r="AI6833" s="1" t="s">
        <v>66</v>
      </c>
      <c r="AJ6833" s="1">
        <v>2019</v>
      </c>
      <c r="AK6833" s="1" t="s">
        <v>49</v>
      </c>
      <c r="AL6833" s="1">
        <v>787</v>
      </c>
    </row>
    <row r="6834" spans="1:38" x14ac:dyDescent="0.2">
      <c r="A6834" s="2" t="str">
        <f>HYPERLINK("https://www.compass.com/listing/252-south-street-unit-76l-manhattan-ny-10002/429875730516817017/","252 South St, Unit 76L")</f>
        <v>252 South St, Unit 76L</v>
      </c>
      <c r="B6834" s="2" t="str">
        <f t="shared" si="1075"/>
        <v>One Manhattan Square</v>
      </c>
      <c r="C6834" s="1" t="s">
        <v>47</v>
      </c>
      <c r="D6834" s="1" t="s">
        <v>41</v>
      </c>
      <c r="E6834" s="3">
        <v>1749354</v>
      </c>
      <c r="F6834" s="1">
        <v>2467.3533145275001</v>
      </c>
      <c r="M6834" s="1">
        <v>709</v>
      </c>
      <c r="Q6834" s="1" t="s">
        <v>42</v>
      </c>
      <c r="S6834" s="1" t="s">
        <v>42</v>
      </c>
      <c r="T6834" s="1" t="s">
        <v>273</v>
      </c>
      <c r="AA6834" s="1">
        <v>1749353.5</v>
      </c>
      <c r="AB6834" s="1" t="s">
        <v>5042</v>
      </c>
      <c r="AC6834" s="5">
        <v>43795</v>
      </c>
      <c r="AF6834" s="1">
        <v>10002</v>
      </c>
      <c r="AI6834" s="1" t="s">
        <v>66</v>
      </c>
      <c r="AJ6834" s="1">
        <v>2019</v>
      </c>
      <c r="AK6834" s="1" t="s">
        <v>49</v>
      </c>
      <c r="AL6834" s="1">
        <v>787</v>
      </c>
    </row>
    <row r="6835" spans="1:38" x14ac:dyDescent="0.2">
      <c r="A6835" s="2" t="str">
        <f>HYPERLINK("https://www.compass.com/listing/252-south-street-unit-80a-manhattan-ny-10002/429875731943208753/","252 South St, Unit 80A")</f>
        <v>252 South St, Unit 80A</v>
      </c>
      <c r="B6835" s="2" t="str">
        <f t="shared" si="1075"/>
        <v>One Manhattan Square</v>
      </c>
      <c r="C6835" s="1" t="s">
        <v>47</v>
      </c>
      <c r="D6835" s="1" t="s">
        <v>41</v>
      </c>
      <c r="E6835" s="3">
        <v>4909929</v>
      </c>
      <c r="F6835" s="1">
        <v>2924.3171530672998</v>
      </c>
      <c r="M6835" s="4">
        <v>1679</v>
      </c>
      <c r="Q6835" s="1" t="s">
        <v>42</v>
      </c>
      <c r="S6835" s="1" t="s">
        <v>42</v>
      </c>
      <c r="T6835" s="1" t="s">
        <v>273</v>
      </c>
      <c r="AA6835" s="1">
        <v>4909928.5</v>
      </c>
      <c r="AB6835" s="1" t="s">
        <v>5043</v>
      </c>
      <c r="AC6835" s="5">
        <v>43790</v>
      </c>
      <c r="AF6835" s="1">
        <v>10002</v>
      </c>
      <c r="AI6835" s="1" t="s">
        <v>66</v>
      </c>
      <c r="AJ6835" s="1">
        <v>2019</v>
      </c>
      <c r="AK6835" s="1" t="s">
        <v>49</v>
      </c>
      <c r="AL6835" s="1">
        <v>787</v>
      </c>
    </row>
    <row r="6836" spans="1:38" x14ac:dyDescent="0.2">
      <c r="A6836" s="2" t="str">
        <f>HYPERLINK("https://www.compass.com/listing/565-broome-street-unit-n10b-manhattan-ny-10013/429886250007674009/","565 Broome St, Unit N10B")</f>
        <v>565 Broome St, Unit N10B</v>
      </c>
      <c r="B6836" s="2" t="str">
        <f>HYPERLINK("https://www.compass.com/building/565-broome-soho-manhattan-ny/292813251698267109/","565 Broome Soho")</f>
        <v>565 Broome Soho</v>
      </c>
      <c r="C6836" s="1" t="s">
        <v>53</v>
      </c>
      <c r="D6836" s="1" t="s">
        <v>41</v>
      </c>
      <c r="E6836" s="3">
        <v>997885</v>
      </c>
      <c r="F6836" s="1">
        <v>2178.7882096069802</v>
      </c>
      <c r="M6836" s="1">
        <v>458</v>
      </c>
      <c r="Q6836" s="1" t="s">
        <v>42</v>
      </c>
      <c r="S6836" s="1" t="s">
        <v>42</v>
      </c>
      <c r="T6836" s="1" t="s">
        <v>273</v>
      </c>
      <c r="AA6836" s="1">
        <v>997885</v>
      </c>
      <c r="AB6836" s="1" t="s">
        <v>5044</v>
      </c>
      <c r="AC6836" s="5">
        <v>43795</v>
      </c>
      <c r="AF6836" s="1">
        <v>10013</v>
      </c>
      <c r="AI6836" s="1" t="s">
        <v>48</v>
      </c>
      <c r="AJ6836" s="1">
        <v>2019</v>
      </c>
      <c r="AK6836" s="1" t="s">
        <v>49</v>
      </c>
      <c r="AL6836" s="1">
        <v>115</v>
      </c>
    </row>
    <row r="6837" spans="1:38" x14ac:dyDescent="0.2">
      <c r="A6837" s="2" t="str">
        <f>HYPERLINK("https://www.compass.com/listing/536-east-13th-street-unit-ph-manhattan-ny-10009/434601987834026241/","536 E 13th St, Unit PH")</f>
        <v>536 E 13th St, Unit PH</v>
      </c>
      <c r="B6837" s="2" t="str">
        <f>HYPERLINK("https://www.compass.com/building/536-e-13th-st-manhattan-ny-10009/281900929068843109/","536 E 13th St")</f>
        <v>536 E 13th St</v>
      </c>
      <c r="C6837" s="1" t="s">
        <v>71</v>
      </c>
      <c r="D6837" s="1" t="s">
        <v>41</v>
      </c>
      <c r="E6837" s="3">
        <v>1450000</v>
      </c>
      <c r="F6837" s="1">
        <v>1746.98795180722</v>
      </c>
      <c r="G6837" s="1">
        <v>4</v>
      </c>
      <c r="H6837" s="1">
        <v>2</v>
      </c>
      <c r="I6837" s="1">
        <v>1</v>
      </c>
      <c r="J6837" s="1">
        <v>1</v>
      </c>
      <c r="K6837" s="1">
        <v>1</v>
      </c>
      <c r="M6837" s="1">
        <v>830</v>
      </c>
      <c r="N6837" s="1">
        <v>586</v>
      </c>
      <c r="O6837" s="1">
        <v>2081</v>
      </c>
      <c r="P6837" s="1">
        <v>1495</v>
      </c>
      <c r="Q6837" s="1" t="s">
        <v>42</v>
      </c>
      <c r="S6837" s="1" t="s">
        <v>42</v>
      </c>
      <c r="T6837" s="1" t="s">
        <v>273</v>
      </c>
      <c r="U6837" s="1">
        <v>58</v>
      </c>
      <c r="V6837" s="5">
        <v>44062</v>
      </c>
      <c r="W6837" s="5">
        <v>43851</v>
      </c>
      <c r="X6837" s="1">
        <v>1595000</v>
      </c>
      <c r="Y6837" s="1">
        <v>1545000</v>
      </c>
      <c r="Z6837" s="5">
        <v>43974</v>
      </c>
      <c r="AA6837" s="1">
        <v>1450000</v>
      </c>
      <c r="AB6837" s="1" t="s">
        <v>275</v>
      </c>
      <c r="AC6837" s="5">
        <v>44060</v>
      </c>
      <c r="AF6837" s="1">
        <v>10009</v>
      </c>
      <c r="AI6837" s="1" t="s">
        <v>580</v>
      </c>
      <c r="AL6837" s="1">
        <v>11</v>
      </c>
    </row>
    <row r="6838" spans="1:38" x14ac:dyDescent="0.2">
      <c r="A6838" s="2" t="str">
        <f>HYPERLINK("https://www.compass.com/listing/252-south-street-unit-68k-manhattan-ny-10002/435455792612182953/","252 South St, Unit 68K")</f>
        <v>252 South St, Unit 68K</v>
      </c>
      <c r="B6838" s="2" t="str">
        <f>HYPERLINK("https://www.compass.com/building/one-manhattan-square-manhattan-ny/294844950218926165/","One Manhattan Square")</f>
        <v>One Manhattan Square</v>
      </c>
      <c r="C6838" s="1" t="s">
        <v>47</v>
      </c>
      <c r="D6838" s="1" t="s">
        <v>41</v>
      </c>
      <c r="E6838" s="3">
        <v>1527221</v>
      </c>
      <c r="F6838" s="1">
        <v>2219.7977616278999</v>
      </c>
      <c r="M6838" s="1">
        <v>688</v>
      </c>
      <c r="Q6838" s="1" t="s">
        <v>42</v>
      </c>
      <c r="S6838" s="1" t="s">
        <v>42</v>
      </c>
      <c r="T6838" s="1" t="s">
        <v>273</v>
      </c>
      <c r="AA6838" s="1">
        <v>1527220.86</v>
      </c>
      <c r="AB6838" s="1" t="s">
        <v>5045</v>
      </c>
      <c r="AC6838" s="5">
        <v>43843</v>
      </c>
      <c r="AF6838" s="1">
        <v>10002</v>
      </c>
      <c r="AI6838" s="1" t="s">
        <v>66</v>
      </c>
      <c r="AJ6838" s="1">
        <v>2019</v>
      </c>
      <c r="AK6838" s="1" t="s">
        <v>49</v>
      </c>
      <c r="AL6838" s="1">
        <v>787</v>
      </c>
    </row>
    <row r="6839" spans="1:38" x14ac:dyDescent="0.2">
      <c r="A6839" s="2" t="str">
        <f>HYPERLINK("https://www.compass.com/listing/108-leonard-street-unit-4b-manhattan-ny-10013/437119063542766529/","108 Leonard St, Unit 4B")</f>
        <v>108 Leonard St, Unit 4B</v>
      </c>
      <c r="B6839" s="2" t="str">
        <f t="shared" ref="B6839:B6840" si="1076">HYPERLINK("https://www.compass.com/building/108-leonard-st-manhattan-ny-10013/307456049610778277/","108 Leonard St")</f>
        <v>108 Leonard St</v>
      </c>
      <c r="C6839" s="1" t="s">
        <v>113</v>
      </c>
      <c r="D6839" s="1" t="s">
        <v>41</v>
      </c>
      <c r="E6839" s="3">
        <v>2800000</v>
      </c>
      <c r="F6839" s="1">
        <v>1955.3072625698301</v>
      </c>
      <c r="M6839" s="4">
        <v>1432</v>
      </c>
      <c r="Q6839" s="1" t="s">
        <v>42</v>
      </c>
      <c r="S6839" s="1" t="s">
        <v>42</v>
      </c>
      <c r="T6839" s="1" t="s">
        <v>273</v>
      </c>
      <c r="AA6839" s="1">
        <v>2800000</v>
      </c>
      <c r="AB6839" s="1" t="s">
        <v>5046</v>
      </c>
      <c r="AC6839" s="5">
        <v>43836</v>
      </c>
      <c r="AF6839" s="1">
        <v>10013</v>
      </c>
      <c r="AI6839" s="1" t="s">
        <v>78</v>
      </c>
      <c r="AJ6839" s="1">
        <v>1899</v>
      </c>
      <c r="AK6839" s="1" t="s">
        <v>55</v>
      </c>
      <c r="AL6839" s="1">
        <v>167</v>
      </c>
    </row>
    <row r="6840" spans="1:38" x14ac:dyDescent="0.2">
      <c r="A6840" s="2" t="str">
        <f>HYPERLINK("https://www.compass.com/listing/108-leonard-street-unit-9b-manhattan-ny-10013/437119082475644841/","108 Leonard St, Unit 9B")</f>
        <v>108 Leonard St, Unit 9B</v>
      </c>
      <c r="B6840" s="2" t="str">
        <f t="shared" si="1076"/>
        <v>108 Leonard St</v>
      </c>
      <c r="C6840" s="1" t="s">
        <v>113</v>
      </c>
      <c r="D6840" s="1" t="s">
        <v>41</v>
      </c>
      <c r="E6840" s="3">
        <v>2979950</v>
      </c>
      <c r="F6840" s="1">
        <v>2098.55620422535</v>
      </c>
      <c r="M6840" s="4">
        <v>1420</v>
      </c>
      <c r="Q6840" s="1" t="s">
        <v>42</v>
      </c>
      <c r="S6840" s="1" t="s">
        <v>42</v>
      </c>
      <c r="T6840" s="1" t="s">
        <v>273</v>
      </c>
      <c r="AA6840" s="1">
        <v>2979949.81</v>
      </c>
      <c r="AB6840" s="1" t="s">
        <v>5047</v>
      </c>
      <c r="AC6840" s="5">
        <v>43836</v>
      </c>
      <c r="AF6840" s="1">
        <v>10013</v>
      </c>
      <c r="AI6840" s="1" t="s">
        <v>78</v>
      </c>
      <c r="AJ6840" s="1">
        <v>1899</v>
      </c>
      <c r="AK6840" s="1" t="s">
        <v>55</v>
      </c>
      <c r="AL6840" s="1">
        <v>167</v>
      </c>
    </row>
    <row r="6841" spans="1:38" x14ac:dyDescent="0.2">
      <c r="A6841" s="2" t="str">
        <f>HYPERLINK("https://www.compass.com/listing/391-broadway-unit-loftc-manhattan-ny-10013/437119399875896969/","391 Broadway, Unit LOFTC")</f>
        <v>391 Broadway, Unit LOFTC</v>
      </c>
      <c r="B6841" s="2" t="str">
        <f>HYPERLINK("https://www.compass.com/building/391-broadway-manhattan-ny-10013/281919434489105749/","391 Broadway")</f>
        <v>391 Broadway</v>
      </c>
      <c r="C6841" s="1" t="s">
        <v>50</v>
      </c>
      <c r="D6841" s="1" t="s">
        <v>41</v>
      </c>
      <c r="E6841" s="3">
        <v>2703500</v>
      </c>
      <c r="F6841" s="1">
        <v>1325.24509803921</v>
      </c>
      <c r="M6841" s="4">
        <v>2040</v>
      </c>
      <c r="Q6841" s="1" t="s">
        <v>42</v>
      </c>
      <c r="S6841" s="1" t="s">
        <v>42</v>
      </c>
      <c r="T6841" s="1" t="s">
        <v>273</v>
      </c>
      <c r="AA6841" s="1">
        <v>2703500</v>
      </c>
      <c r="AB6841" s="1" t="s">
        <v>5048</v>
      </c>
      <c r="AC6841" s="5">
        <v>43818</v>
      </c>
      <c r="AF6841" s="1">
        <v>10013</v>
      </c>
      <c r="AI6841" s="1" t="s">
        <v>177</v>
      </c>
      <c r="AJ6841" s="1">
        <v>1915</v>
      </c>
      <c r="AL6841" s="1">
        <v>4</v>
      </c>
    </row>
    <row r="6842" spans="1:38" x14ac:dyDescent="0.2">
      <c r="A6842" s="2" t="str">
        <f>HYPERLINK("https://www.compass.com/listing/160-leroy-street-unit-14an-manhattan-ny-10014/437123262829753217/","160 Leroy St, Unit 14AN")</f>
        <v>160 Leroy St, Unit 14AN</v>
      </c>
      <c r="B6842" s="2" t="str">
        <f>HYPERLINK("https://www.compass.com/building/160-leroy-st-manhattan-ny-10014/293418469918017093/","160 Leroy St")</f>
        <v>160 Leroy St</v>
      </c>
      <c r="C6842" s="1" t="s">
        <v>67</v>
      </c>
      <c r="D6842" s="1" t="s">
        <v>41</v>
      </c>
      <c r="E6842" s="3">
        <v>12711588</v>
      </c>
      <c r="F6842" s="1">
        <v>3568.6657776530001</v>
      </c>
      <c r="M6842" s="4">
        <v>3562</v>
      </c>
      <c r="Q6842" s="1" t="s">
        <v>42</v>
      </c>
      <c r="S6842" s="1" t="s">
        <v>42</v>
      </c>
      <c r="T6842" s="1" t="s">
        <v>273</v>
      </c>
      <c r="AA6842" s="1">
        <v>12711587.5</v>
      </c>
      <c r="AB6842" s="1" t="s">
        <v>5049</v>
      </c>
      <c r="AC6842" s="5">
        <v>43840</v>
      </c>
      <c r="AF6842" s="1">
        <v>10014</v>
      </c>
      <c r="AI6842" s="1" t="s">
        <v>65</v>
      </c>
      <c r="AJ6842" s="1">
        <v>2017</v>
      </c>
      <c r="AK6842" s="1" t="s">
        <v>202</v>
      </c>
      <c r="AL6842" s="1">
        <v>57</v>
      </c>
    </row>
    <row r="6843" spans="1:38" x14ac:dyDescent="0.2">
      <c r="A6843" s="2" t="str">
        <f>HYPERLINK("https://www.compass.com/listing/200-east-94th-street-unit-2909-manhattan-ny-10128/437140312138796457/","200 E 94th St, Unit 2909")</f>
        <v>200 E 94th St, Unit 2909</v>
      </c>
      <c r="B6843" s="2" t="str">
        <f>HYPERLINK("https://www.compass.com/building/carnegie-park-condominium-manhattan-ny/282049797358118613/","Carnegie Park Condominium")</f>
        <v>Carnegie Park Condominium</v>
      </c>
      <c r="C6843" s="1" t="s">
        <v>82</v>
      </c>
      <c r="D6843" s="1" t="s">
        <v>41</v>
      </c>
      <c r="E6843" s="3">
        <v>1261404</v>
      </c>
      <c r="F6843" s="1">
        <v>1672.95022546419</v>
      </c>
      <c r="M6843" s="1">
        <v>754</v>
      </c>
      <c r="Q6843" s="1" t="s">
        <v>42</v>
      </c>
      <c r="S6843" s="1" t="s">
        <v>42</v>
      </c>
      <c r="T6843" s="1" t="s">
        <v>273</v>
      </c>
      <c r="AA6843" s="1">
        <v>1261404.47</v>
      </c>
      <c r="AB6843" s="1" t="s">
        <v>5050</v>
      </c>
      <c r="AC6843" s="5">
        <v>43840</v>
      </c>
      <c r="AF6843" s="1">
        <v>10128</v>
      </c>
      <c r="AI6843" s="1" t="s">
        <v>163</v>
      </c>
      <c r="AJ6843" s="1">
        <v>1986</v>
      </c>
      <c r="AK6843" s="1" t="s">
        <v>55</v>
      </c>
      <c r="AL6843" s="1">
        <v>287</v>
      </c>
    </row>
    <row r="6844" spans="1:38" x14ac:dyDescent="0.2">
      <c r="A6844" s="2" t="str">
        <f>HYPERLINK("https://www.compass.com/listing/90-lexington-avenue-unit-1f-manhattan-ny-10016/440939506284430513/","90 Lexington Ave, Unit 1F")</f>
        <v>90 Lexington Ave, Unit 1F</v>
      </c>
      <c r="B6844" s="2" t="str">
        <f>HYPERLINK("https://www.compass.com/building/88-90-lexington-avenue-manhattan-ny/281941431524842901/","88 &amp; 90 Lexington Avenue")</f>
        <v>88 &amp; 90 Lexington Avenue</v>
      </c>
      <c r="C6844" s="1" t="s">
        <v>40</v>
      </c>
      <c r="D6844" s="1" t="s">
        <v>41</v>
      </c>
      <c r="E6844" s="3">
        <v>1112740</v>
      </c>
      <c r="F6844" s="1">
        <v>1042.8677507028999</v>
      </c>
      <c r="M6844" s="4">
        <v>1067</v>
      </c>
      <c r="Q6844" s="1" t="s">
        <v>42</v>
      </c>
      <c r="S6844" s="1" t="s">
        <v>42</v>
      </c>
      <c r="T6844" s="1" t="s">
        <v>273</v>
      </c>
      <c r="AA6844" s="1">
        <v>1112739.8899999999</v>
      </c>
      <c r="AB6844" s="1" t="s">
        <v>5051</v>
      </c>
      <c r="AC6844" s="5">
        <v>43845</v>
      </c>
      <c r="AF6844" s="1">
        <v>10016</v>
      </c>
      <c r="AI6844" s="1" t="s">
        <v>118</v>
      </c>
      <c r="AJ6844" s="1">
        <v>1957</v>
      </c>
      <c r="AK6844" s="1" t="s">
        <v>49</v>
      </c>
      <c r="AL6844" s="1">
        <v>49</v>
      </c>
    </row>
    <row r="6845" spans="1:38" x14ac:dyDescent="0.2">
      <c r="A6845" s="2" t="str">
        <f>HYPERLINK("https://www.compass.com/listing/252-south-street-unit-80b-manhattan-ny-10002/441339229067530681/","252 South St, Unit 80B")</f>
        <v>252 South St, Unit 80B</v>
      </c>
      <c r="B6845" s="2" t="str">
        <f t="shared" ref="B6845:B6846" si="1077">HYPERLINK("https://www.compass.com/building/one-manhattan-square-manhattan-ny/294844950218926165/","One Manhattan Square")</f>
        <v>One Manhattan Square</v>
      </c>
      <c r="C6845" s="1" t="s">
        <v>47</v>
      </c>
      <c r="D6845" s="1" t="s">
        <v>41</v>
      </c>
      <c r="E6845" s="3">
        <v>2753275</v>
      </c>
      <c r="F6845" s="1">
        <v>2667.9021317829402</v>
      </c>
      <c r="H6845" s="1">
        <v>2</v>
      </c>
      <c r="J6845" s="1">
        <v>2</v>
      </c>
      <c r="M6845" s="4">
        <v>1032</v>
      </c>
      <c r="N6845" s="1">
        <v>1550</v>
      </c>
      <c r="O6845" s="1">
        <v>1575</v>
      </c>
      <c r="P6845" s="1">
        <v>25</v>
      </c>
      <c r="Q6845" s="1" t="s">
        <v>42</v>
      </c>
      <c r="S6845" s="1" t="s">
        <v>42</v>
      </c>
      <c r="T6845" s="1" t="s">
        <v>273</v>
      </c>
      <c r="AA6845" s="1">
        <v>2753275</v>
      </c>
      <c r="AB6845" s="1" t="s">
        <v>5052</v>
      </c>
      <c r="AC6845" s="5">
        <v>43826</v>
      </c>
      <c r="AF6845" s="1">
        <v>10002</v>
      </c>
      <c r="AI6845" s="1" t="s">
        <v>66</v>
      </c>
      <c r="AJ6845" s="1">
        <v>2019</v>
      </c>
      <c r="AK6845" s="1" t="s">
        <v>49</v>
      </c>
      <c r="AL6845" s="1">
        <v>787</v>
      </c>
    </row>
    <row r="6846" spans="1:38" x14ac:dyDescent="0.2">
      <c r="A6846" s="2" t="str">
        <f>HYPERLINK("https://www.compass.com/listing/252-south-street-unit-80c-manhattan-ny-10002/441339230108024361/","252 South St, Unit 80C")</f>
        <v>252 South St, Unit 80C</v>
      </c>
      <c r="B6846" s="2" t="str">
        <f t="shared" si="1077"/>
        <v>One Manhattan Square</v>
      </c>
      <c r="C6846" s="1" t="s">
        <v>47</v>
      </c>
      <c r="D6846" s="1" t="s">
        <v>41</v>
      </c>
      <c r="E6846" s="3">
        <v>12751575</v>
      </c>
      <c r="F6846" s="1">
        <v>3447.3033738848299</v>
      </c>
      <c r="M6846" s="4">
        <v>3699</v>
      </c>
      <c r="Q6846" s="1" t="s">
        <v>42</v>
      </c>
      <c r="S6846" s="1" t="s">
        <v>42</v>
      </c>
      <c r="T6846" s="1" t="s">
        <v>273</v>
      </c>
      <c r="AA6846" s="1">
        <v>12751575.18</v>
      </c>
      <c r="AB6846" s="1" t="s">
        <v>5053</v>
      </c>
      <c r="AC6846" s="5">
        <v>43826</v>
      </c>
      <c r="AF6846" s="1">
        <v>10002</v>
      </c>
      <c r="AI6846" s="1" t="s">
        <v>66</v>
      </c>
      <c r="AJ6846" s="1">
        <v>2019</v>
      </c>
      <c r="AK6846" s="1" t="s">
        <v>49</v>
      </c>
      <c r="AL6846" s="1">
        <v>787</v>
      </c>
    </row>
    <row r="6847" spans="1:38" x14ac:dyDescent="0.2">
      <c r="A6847" s="2" t="str">
        <f>HYPERLINK("https://www.compass.com/listing/108-leonard-street-unit-3b-manhattan-ny-10013/441737729890694569/","108 Leonard St, Unit 3B")</f>
        <v>108 Leonard St, Unit 3B</v>
      </c>
      <c r="B6847" s="2" t="str">
        <f t="shared" ref="B6847:B6849" si="1078">HYPERLINK("https://www.compass.com/building/108-leonard-st-manhattan-ny-10013/307456049610778277/","108 Leonard St")</f>
        <v>108 Leonard St</v>
      </c>
      <c r="C6847" s="1" t="s">
        <v>113</v>
      </c>
      <c r="D6847" s="1" t="s">
        <v>41</v>
      </c>
      <c r="E6847" s="3">
        <v>2593922</v>
      </c>
      <c r="F6847" s="1">
        <v>1816.47186974789</v>
      </c>
      <c r="M6847" s="4">
        <v>1428</v>
      </c>
      <c r="Q6847" s="1" t="s">
        <v>42</v>
      </c>
      <c r="S6847" s="1" t="s">
        <v>42</v>
      </c>
      <c r="T6847" s="1" t="s">
        <v>273</v>
      </c>
      <c r="AA6847" s="1">
        <v>2593921.83</v>
      </c>
      <c r="AB6847" s="1" t="s">
        <v>5054</v>
      </c>
      <c r="AC6847" s="5">
        <v>43845</v>
      </c>
      <c r="AF6847" s="1">
        <v>10013</v>
      </c>
      <c r="AI6847" s="1" t="s">
        <v>78</v>
      </c>
      <c r="AJ6847" s="1">
        <v>1899</v>
      </c>
      <c r="AK6847" s="1" t="s">
        <v>55</v>
      </c>
      <c r="AL6847" s="1">
        <v>167</v>
      </c>
    </row>
    <row r="6848" spans="1:38" x14ac:dyDescent="0.2">
      <c r="A6848" s="2" t="str">
        <f>HYPERLINK("https://www.compass.com/listing/108-leonard-street-unit-4c-manhattan-ny-10013/442027864788209001/","108 Leonard St, Unit 4C")</f>
        <v>108 Leonard St, Unit 4C</v>
      </c>
      <c r="B6848" s="2" t="str">
        <f t="shared" si="1078"/>
        <v>108 Leonard St</v>
      </c>
      <c r="C6848" s="1" t="s">
        <v>113</v>
      </c>
      <c r="D6848" s="1" t="s">
        <v>41</v>
      </c>
      <c r="E6848" s="3">
        <v>4075339</v>
      </c>
      <c r="F6848" s="1">
        <v>2113.7649377593302</v>
      </c>
      <c r="M6848" s="4">
        <v>1928</v>
      </c>
      <c r="Q6848" s="1" t="s">
        <v>42</v>
      </c>
      <c r="S6848" s="1" t="s">
        <v>42</v>
      </c>
      <c r="T6848" s="1" t="s">
        <v>273</v>
      </c>
      <c r="AA6848" s="1">
        <v>4075338.8</v>
      </c>
      <c r="AB6848" s="1" t="s">
        <v>5055</v>
      </c>
      <c r="AC6848" s="5">
        <v>43847</v>
      </c>
      <c r="AF6848" s="1">
        <v>10013</v>
      </c>
      <c r="AI6848" s="1" t="s">
        <v>78</v>
      </c>
      <c r="AJ6848" s="1">
        <v>1899</v>
      </c>
      <c r="AK6848" s="1" t="s">
        <v>55</v>
      </c>
      <c r="AL6848" s="1">
        <v>167</v>
      </c>
    </row>
    <row r="6849" spans="1:38" x14ac:dyDescent="0.2">
      <c r="A6849" s="2" t="str">
        <f>HYPERLINK("https://www.compass.com/listing/108-leonard-street-unit-5b-manhattan-ny-10013/443490845564592513/","108 Leonard St, Unit 5B")</f>
        <v>108 Leonard St, Unit 5B</v>
      </c>
      <c r="B6849" s="2" t="str">
        <f t="shared" si="1078"/>
        <v>108 Leonard St</v>
      </c>
      <c r="C6849" s="1" t="s">
        <v>113</v>
      </c>
      <c r="D6849" s="1" t="s">
        <v>41</v>
      </c>
      <c r="E6849" s="3">
        <v>2810503</v>
      </c>
      <c r="F6849" s="1">
        <v>1979.2272253521101</v>
      </c>
      <c r="M6849" s="4">
        <v>1420</v>
      </c>
      <c r="Q6849" s="1" t="s">
        <v>42</v>
      </c>
      <c r="S6849" s="1" t="s">
        <v>42</v>
      </c>
      <c r="T6849" s="1" t="s">
        <v>273</v>
      </c>
      <c r="AA6849" s="1">
        <v>2810502.66</v>
      </c>
      <c r="AB6849" s="1" t="s">
        <v>5056</v>
      </c>
      <c r="AC6849" s="5">
        <v>43847</v>
      </c>
      <c r="AF6849" s="1">
        <v>10013</v>
      </c>
      <c r="AI6849" s="1" t="s">
        <v>78</v>
      </c>
      <c r="AJ6849" s="1">
        <v>1899</v>
      </c>
      <c r="AK6849" s="1" t="s">
        <v>55</v>
      </c>
      <c r="AL6849" s="1">
        <v>167</v>
      </c>
    </row>
    <row r="6850" spans="1:38" x14ac:dyDescent="0.2">
      <c r="A6850" s="2" t="str">
        <f>HYPERLINK("https://www.compass.com/listing/111-murray-street-unit-8c-manhattan-ny-10007/44577206265050273/","111 Murray St, Unit 8C")</f>
        <v>111 Murray St, Unit 8C</v>
      </c>
      <c r="B6850" s="2" t="str">
        <f>HYPERLINK("https://www.compass.com/building/111-murray-st-manhattan-ny-10007/281896511862746053/","111 Murray St")</f>
        <v>111 Murray St</v>
      </c>
      <c r="C6850" s="1" t="s">
        <v>50</v>
      </c>
      <c r="D6850" s="1" t="s">
        <v>41</v>
      </c>
      <c r="E6850" s="3">
        <v>2214694</v>
      </c>
      <c r="F6850" s="1">
        <v>2684.4772727272698</v>
      </c>
      <c r="M6850" s="1">
        <v>825</v>
      </c>
      <c r="Q6850" s="1" t="s">
        <v>42</v>
      </c>
      <c r="S6850" s="1" t="s">
        <v>42</v>
      </c>
      <c r="T6850" s="1" t="s">
        <v>273</v>
      </c>
      <c r="AA6850" s="1">
        <v>2214693.75</v>
      </c>
      <c r="AB6850" s="1" t="s">
        <v>5057</v>
      </c>
      <c r="AC6850" s="5">
        <v>43307</v>
      </c>
      <c r="AF6850" s="1">
        <v>10007</v>
      </c>
      <c r="AI6850" s="1" t="s">
        <v>80</v>
      </c>
      <c r="AJ6850" s="1">
        <v>2018</v>
      </c>
      <c r="AK6850" s="1" t="s">
        <v>49</v>
      </c>
      <c r="AL6850" s="1">
        <v>157</v>
      </c>
    </row>
    <row r="6851" spans="1:38" x14ac:dyDescent="0.2">
      <c r="A6851" s="2" t="str">
        <f>HYPERLINK("https://www.compass.com/listing/108-leonard-street-unit-3k-manhattan-ny-10013/446085483601494689/","108 Leonard St, Unit 3K")</f>
        <v>108 Leonard St, Unit 3K</v>
      </c>
      <c r="B6851" s="2" t="str">
        <f>HYPERLINK("https://www.compass.com/building/108-leonard-st-manhattan-ny-10013/307456049610778277/","108 Leonard St")</f>
        <v>108 Leonard St</v>
      </c>
      <c r="C6851" s="1" t="s">
        <v>113</v>
      </c>
      <c r="D6851" s="1" t="s">
        <v>41</v>
      </c>
      <c r="E6851" s="3">
        <v>1660893</v>
      </c>
      <c r="F6851" s="1">
        <v>1782.07434549356</v>
      </c>
      <c r="M6851" s="1">
        <v>932</v>
      </c>
      <c r="Q6851" s="1" t="s">
        <v>42</v>
      </c>
      <c r="S6851" s="1" t="s">
        <v>42</v>
      </c>
      <c r="T6851" s="1" t="s">
        <v>273</v>
      </c>
      <c r="AA6851" s="1">
        <v>1660893.29</v>
      </c>
      <c r="AB6851" s="1" t="s">
        <v>5058</v>
      </c>
      <c r="AC6851" s="5">
        <v>43859</v>
      </c>
      <c r="AF6851" s="1">
        <v>10013</v>
      </c>
      <c r="AI6851" s="1" t="s">
        <v>78</v>
      </c>
      <c r="AJ6851" s="1">
        <v>1899</v>
      </c>
      <c r="AK6851" s="1" t="s">
        <v>55</v>
      </c>
      <c r="AL6851" s="1">
        <v>167</v>
      </c>
    </row>
    <row r="6852" spans="1:38" x14ac:dyDescent="0.2">
      <c r="A6852" s="2" t="str">
        <f>HYPERLINK("https://www.compass.com/listing/220-central-park-south-unit-56b-manhattan-ny-10019/446093649978346345/","220 Central Park S, Unit 56B")</f>
        <v>220 Central Park S, Unit 56B</v>
      </c>
      <c r="B6852" s="2" t="str">
        <f>HYPERLINK("https://www.compass.com/building/220-central-park-south-manhattan-ny/281944232648828453/","220 Central Park South")</f>
        <v>220 Central Park South</v>
      </c>
      <c r="C6852" s="1" t="s">
        <v>260</v>
      </c>
      <c r="D6852" s="1" t="s">
        <v>41</v>
      </c>
      <c r="E6852" s="3">
        <v>28001875</v>
      </c>
      <c r="F6852" s="1">
        <v>8690.8364369956507</v>
      </c>
      <c r="G6852" s="1">
        <v>5</v>
      </c>
      <c r="H6852" s="1">
        <v>3</v>
      </c>
      <c r="I6852" s="1">
        <v>4</v>
      </c>
      <c r="J6852" s="1">
        <v>3.5</v>
      </c>
      <c r="K6852" s="1">
        <v>3</v>
      </c>
      <c r="L6852" s="1">
        <v>1</v>
      </c>
      <c r="M6852" s="4">
        <v>3222</v>
      </c>
      <c r="N6852" s="1">
        <v>6646</v>
      </c>
      <c r="O6852" s="1">
        <v>12343</v>
      </c>
      <c r="P6852" s="1">
        <v>5697</v>
      </c>
      <c r="Q6852" s="1" t="s">
        <v>42</v>
      </c>
      <c r="S6852" s="1" t="s">
        <v>42</v>
      </c>
      <c r="T6852" s="1" t="s">
        <v>273</v>
      </c>
      <c r="U6852" s="1">
        <v>1666</v>
      </c>
      <c r="V6852" s="5">
        <v>43869</v>
      </c>
      <c r="W6852" s="5">
        <v>42143</v>
      </c>
      <c r="X6852" s="1">
        <v>27500000</v>
      </c>
      <c r="Y6852" s="1">
        <v>27500000</v>
      </c>
      <c r="AA6852" s="1">
        <v>28001875</v>
      </c>
      <c r="AB6852" s="1" t="s">
        <v>5059</v>
      </c>
      <c r="AC6852" s="5">
        <v>43809</v>
      </c>
      <c r="AF6852" s="1">
        <v>10019</v>
      </c>
      <c r="AI6852" s="1" t="s">
        <v>101</v>
      </c>
      <c r="AJ6852" s="1">
        <v>2018</v>
      </c>
      <c r="AK6852" s="1" t="s">
        <v>46</v>
      </c>
      <c r="AL6852" s="1">
        <v>117</v>
      </c>
    </row>
    <row r="6853" spans="1:38" x14ac:dyDescent="0.2">
      <c r="A6853" s="2" t="str">
        <f>HYPERLINK("https://www.compass.com/listing/70-west-139th-street-unit-2e-manhattan-ny-10037/446104394191390905/","70 W 139th St, Unit 2E")</f>
        <v>70 W 139th St, Unit 2E</v>
      </c>
      <c r="B6853" s="2" t="str">
        <f>HYPERLINK("https://www.compass.com/building/70-w-139th-st-manhattan-ny-10037/292920118235647477/","70 W 139th St")</f>
        <v>70 W 139th St</v>
      </c>
      <c r="C6853" s="1" t="s">
        <v>84</v>
      </c>
      <c r="D6853" s="1" t="s">
        <v>41</v>
      </c>
      <c r="E6853" s="3">
        <v>533786</v>
      </c>
      <c r="F6853" s="1">
        <v>568.46219382321601</v>
      </c>
      <c r="M6853" s="1">
        <v>939</v>
      </c>
      <c r="Q6853" s="1" t="s">
        <v>42</v>
      </c>
      <c r="S6853" s="1" t="s">
        <v>42</v>
      </c>
      <c r="T6853" s="1" t="s">
        <v>273</v>
      </c>
      <c r="AA6853" s="1">
        <v>533786</v>
      </c>
      <c r="AB6853" s="1" t="s">
        <v>5060</v>
      </c>
      <c r="AC6853" s="5">
        <v>43843</v>
      </c>
      <c r="AF6853" s="1">
        <v>10037</v>
      </c>
      <c r="AI6853" s="1" t="s">
        <v>48</v>
      </c>
      <c r="AJ6853" s="1">
        <v>2018</v>
      </c>
      <c r="AL6853" s="1">
        <v>64</v>
      </c>
    </row>
    <row r="6854" spans="1:38" x14ac:dyDescent="0.2">
      <c r="A6854" s="2" t="str">
        <f>HYPERLINK("https://www.compass.com/listing/252-south-street-unit-53n-manhattan-ny-10002/446796503357540049/","252 South St, Unit 53N")</f>
        <v>252 South St, Unit 53N</v>
      </c>
      <c r="B6854" s="2" t="str">
        <f>HYPERLINK("https://www.compass.com/building/one-manhattan-square-manhattan-ny/294844950218926165/","One Manhattan Square")</f>
        <v>One Manhattan Square</v>
      </c>
      <c r="C6854" s="1" t="s">
        <v>47</v>
      </c>
      <c r="D6854" s="1" t="s">
        <v>41</v>
      </c>
      <c r="E6854" s="3">
        <v>1534328</v>
      </c>
      <c r="F6854" s="1">
        <v>2122.16919778699</v>
      </c>
      <c r="M6854" s="1">
        <v>723</v>
      </c>
      <c r="Q6854" s="1" t="s">
        <v>42</v>
      </c>
      <c r="S6854" s="1" t="s">
        <v>42</v>
      </c>
      <c r="T6854" s="1" t="s">
        <v>273</v>
      </c>
      <c r="AA6854" s="1">
        <v>1534328.33</v>
      </c>
      <c r="AB6854" s="1" t="s">
        <v>5061</v>
      </c>
      <c r="AC6854" s="5">
        <v>43859</v>
      </c>
      <c r="AF6854" s="1">
        <v>10002</v>
      </c>
      <c r="AI6854" s="1" t="s">
        <v>66</v>
      </c>
      <c r="AJ6854" s="1">
        <v>2019</v>
      </c>
      <c r="AK6854" s="1" t="s">
        <v>49</v>
      </c>
      <c r="AL6854" s="1">
        <v>787</v>
      </c>
    </row>
    <row r="6855" spans="1:38" x14ac:dyDescent="0.2">
      <c r="A6855" s="2" t="str">
        <f>HYPERLINK("https://www.compass.com/listing/108-leonard-street-unit-3e-manhattan-ny-10013/450419592511687489/","108 Leonard St, Unit 3E")</f>
        <v>108 Leonard St, Unit 3E</v>
      </c>
      <c r="B6855" s="2" t="str">
        <f>HYPERLINK("https://www.compass.com/building/108-leonard-st-manhattan-ny-10013/307456049610778277/","108 Leonard St")</f>
        <v>108 Leonard St</v>
      </c>
      <c r="C6855" s="1" t="s">
        <v>113</v>
      </c>
      <c r="D6855" s="1" t="s">
        <v>41</v>
      </c>
      <c r="E6855" s="3">
        <v>1897046</v>
      </c>
      <c r="F6855" s="1">
        <v>1552.41097381342</v>
      </c>
      <c r="M6855" s="4">
        <v>1222</v>
      </c>
      <c r="Q6855" s="1" t="s">
        <v>42</v>
      </c>
      <c r="S6855" s="1" t="s">
        <v>42</v>
      </c>
      <c r="T6855" s="1" t="s">
        <v>273</v>
      </c>
      <c r="AA6855" s="1">
        <v>1897046.21</v>
      </c>
      <c r="AB6855" s="1" t="s">
        <v>5062</v>
      </c>
      <c r="AC6855" s="5">
        <v>43858</v>
      </c>
      <c r="AF6855" s="1">
        <v>10013</v>
      </c>
      <c r="AI6855" s="1" t="s">
        <v>78</v>
      </c>
      <c r="AJ6855" s="1">
        <v>1899</v>
      </c>
      <c r="AK6855" s="1" t="s">
        <v>55</v>
      </c>
      <c r="AL6855" s="1">
        <v>167</v>
      </c>
    </row>
    <row r="6856" spans="1:38" x14ac:dyDescent="0.2">
      <c r="A6856" s="2" t="str">
        <f>HYPERLINK("https://www.compass.com/listing/15-west-61st-street-unit-11b-manhattan-ny-10023/451151204135948929/","15 W 61st St, Unit 11B")</f>
        <v>15 W 61st St, Unit 11B</v>
      </c>
      <c r="B6856" s="2" t="str">
        <f t="shared" ref="B6856:B6857" si="1079">HYPERLINK("https://www.compass.com/building/the-park-loggia-manhattan-ny/292861833130357557/","The Park Loggia")</f>
        <v>The Park Loggia</v>
      </c>
      <c r="C6856" s="1" t="s">
        <v>57</v>
      </c>
      <c r="D6856" s="1" t="s">
        <v>41</v>
      </c>
      <c r="E6856" s="3">
        <v>3293831</v>
      </c>
      <c r="F6856" s="1">
        <v>2643.5242776885998</v>
      </c>
      <c r="G6856" s="1">
        <v>4</v>
      </c>
      <c r="H6856" s="1">
        <v>2</v>
      </c>
      <c r="I6856" s="1">
        <v>2</v>
      </c>
      <c r="J6856" s="1">
        <v>2</v>
      </c>
      <c r="K6856" s="1">
        <v>2</v>
      </c>
      <c r="M6856" s="4">
        <v>1246</v>
      </c>
      <c r="N6856" s="1">
        <v>1320</v>
      </c>
      <c r="O6856" s="1">
        <v>2590</v>
      </c>
      <c r="P6856" s="1">
        <v>1270</v>
      </c>
      <c r="Q6856" s="1" t="s">
        <v>42</v>
      </c>
      <c r="S6856" s="1" t="s">
        <v>42</v>
      </c>
      <c r="T6856" s="1" t="s">
        <v>273</v>
      </c>
      <c r="U6856" s="1">
        <v>126</v>
      </c>
      <c r="V6856" s="5">
        <v>43911</v>
      </c>
      <c r="W6856" s="5">
        <v>43733</v>
      </c>
      <c r="X6856" s="1">
        <v>3275000</v>
      </c>
      <c r="Y6856" s="1">
        <v>3275000</v>
      </c>
      <c r="AA6856" s="1">
        <v>3293831.25</v>
      </c>
      <c r="AB6856" s="1" t="s">
        <v>5063</v>
      </c>
      <c r="AC6856" s="5">
        <v>43859</v>
      </c>
      <c r="AF6856" s="1">
        <v>10023</v>
      </c>
      <c r="AI6856" s="1" t="s">
        <v>1071</v>
      </c>
      <c r="AJ6856" s="1">
        <v>2019</v>
      </c>
      <c r="AK6856" s="1" t="s">
        <v>108</v>
      </c>
      <c r="AL6856" s="1">
        <v>172</v>
      </c>
    </row>
    <row r="6857" spans="1:38" x14ac:dyDescent="0.2">
      <c r="A6857" s="2" t="str">
        <f>HYPERLINK("https://www.compass.com/listing/15-west-61st-street-unit-29d-manhattan-ny-10023/451151204715090337/","15 W 61st St, Unit 29D")</f>
        <v>15 W 61st St, Unit 29D</v>
      </c>
      <c r="B6857" s="2" t="str">
        <f t="shared" si="1079"/>
        <v>The Park Loggia</v>
      </c>
      <c r="C6857" s="1" t="s">
        <v>57</v>
      </c>
      <c r="D6857" s="1" t="s">
        <v>41</v>
      </c>
      <c r="E6857" s="3">
        <v>3775000</v>
      </c>
      <c r="F6857" s="1">
        <v>2771.65932452276</v>
      </c>
      <c r="G6857" s="1">
        <v>4</v>
      </c>
      <c r="H6857" s="1">
        <v>2</v>
      </c>
      <c r="I6857" s="1">
        <v>2</v>
      </c>
      <c r="J6857" s="1">
        <v>2</v>
      </c>
      <c r="K6857" s="1">
        <v>2</v>
      </c>
      <c r="M6857" s="4">
        <v>1362</v>
      </c>
      <c r="N6857" s="1">
        <v>1437</v>
      </c>
      <c r="O6857" s="1">
        <v>2820</v>
      </c>
      <c r="P6857" s="1">
        <v>1383</v>
      </c>
      <c r="Q6857" s="1" t="s">
        <v>42</v>
      </c>
      <c r="S6857" s="1" t="s">
        <v>42</v>
      </c>
      <c r="T6857" s="1" t="s">
        <v>273</v>
      </c>
      <c r="U6857" s="1">
        <v>214</v>
      </c>
      <c r="V6857" s="5">
        <v>43911</v>
      </c>
      <c r="W6857" s="5">
        <v>43647</v>
      </c>
      <c r="X6857" s="1">
        <v>3775000</v>
      </c>
      <c r="Y6857" s="1">
        <v>3775000</v>
      </c>
      <c r="AA6857" s="1">
        <v>3775000</v>
      </c>
      <c r="AB6857" s="1" t="s">
        <v>5064</v>
      </c>
      <c r="AC6857" s="5">
        <v>43861</v>
      </c>
      <c r="AF6857" s="1">
        <v>10023</v>
      </c>
      <c r="AI6857" s="1" t="s">
        <v>1071</v>
      </c>
      <c r="AJ6857" s="1">
        <v>2019</v>
      </c>
      <c r="AK6857" s="1" t="s">
        <v>108</v>
      </c>
      <c r="AL6857" s="1">
        <v>172</v>
      </c>
    </row>
    <row r="6858" spans="1:38" x14ac:dyDescent="0.2">
      <c r="A6858" s="2" t="str">
        <f>HYPERLINK("https://www.compass.com/listing/252-south-street-unit-26m-manhattan-ny-10002/455493003252425729/","252 South St, Unit 26M")</f>
        <v>252 South St, Unit 26M</v>
      </c>
      <c r="B6858" s="2" t="str">
        <f>HYPERLINK("https://www.compass.com/building/one-manhattan-square-manhattan-ny/294844950218926165/","One Manhattan Square")</f>
        <v>One Manhattan Square</v>
      </c>
      <c r="C6858" s="1" t="s">
        <v>47</v>
      </c>
      <c r="D6858" s="1" t="s">
        <v>41</v>
      </c>
      <c r="E6858" s="3">
        <v>2279484</v>
      </c>
      <c r="F6858" s="1">
        <v>2029.8169902048</v>
      </c>
      <c r="M6858" s="4">
        <v>1123</v>
      </c>
      <c r="Q6858" s="1" t="s">
        <v>42</v>
      </c>
      <c r="S6858" s="1" t="s">
        <v>42</v>
      </c>
      <c r="T6858" s="1" t="s">
        <v>273</v>
      </c>
      <c r="AA6858" s="1">
        <v>2279484.48</v>
      </c>
      <c r="AB6858" s="1" t="s">
        <v>5065</v>
      </c>
      <c r="AC6858" s="5">
        <v>43860</v>
      </c>
      <c r="AF6858" s="1">
        <v>10002</v>
      </c>
      <c r="AI6858" s="1" t="s">
        <v>66</v>
      </c>
      <c r="AJ6858" s="1">
        <v>2019</v>
      </c>
      <c r="AK6858" s="1" t="s">
        <v>49</v>
      </c>
      <c r="AL6858" s="1">
        <v>787</v>
      </c>
    </row>
    <row r="6859" spans="1:38" x14ac:dyDescent="0.2">
      <c r="A6859" s="2" t="str">
        <f>HYPERLINK("https://www.compass.com/listing/15-west-61st-street-unit-21d-manhattan-ny-10023/455497894347535945/","15 W 61st St, Unit 21D")</f>
        <v>15 W 61st St, Unit 21D</v>
      </c>
      <c r="B6859" s="2" t="str">
        <f>HYPERLINK("https://www.compass.com/building/the-park-loggia-manhattan-ny/292861833130357557/","The Park Loggia")</f>
        <v>The Park Loggia</v>
      </c>
      <c r="C6859" s="1" t="s">
        <v>57</v>
      </c>
      <c r="D6859" s="1" t="s">
        <v>41</v>
      </c>
      <c r="E6859" s="3">
        <v>3735875</v>
      </c>
      <c r="F6859" s="1">
        <v>27879.664179104398</v>
      </c>
      <c r="G6859" s="1">
        <v>4</v>
      </c>
      <c r="H6859" s="1">
        <v>2</v>
      </c>
      <c r="I6859" s="1">
        <v>2</v>
      </c>
      <c r="J6859" s="1">
        <v>2</v>
      </c>
      <c r="K6859" s="1">
        <v>2</v>
      </c>
      <c r="M6859" s="1">
        <v>134</v>
      </c>
      <c r="N6859" s="1">
        <v>1415</v>
      </c>
      <c r="O6859" s="1">
        <v>2776</v>
      </c>
      <c r="P6859" s="1">
        <v>1361</v>
      </c>
      <c r="Q6859" s="1" t="s">
        <v>42</v>
      </c>
      <c r="S6859" s="1" t="s">
        <v>42</v>
      </c>
      <c r="T6859" s="1" t="s">
        <v>273</v>
      </c>
      <c r="U6859" s="1">
        <v>228</v>
      </c>
      <c r="V6859" s="5">
        <v>43911</v>
      </c>
      <c r="W6859" s="5">
        <v>43644</v>
      </c>
      <c r="X6859" s="1">
        <v>3575000</v>
      </c>
      <c r="Y6859" s="1">
        <v>3575000</v>
      </c>
      <c r="AA6859" s="1">
        <v>3735875</v>
      </c>
      <c r="AB6859" s="1" t="s">
        <v>5066</v>
      </c>
      <c r="AC6859" s="5">
        <v>43872</v>
      </c>
      <c r="AF6859" s="1">
        <v>10023</v>
      </c>
      <c r="AI6859" s="1" t="s">
        <v>1071</v>
      </c>
      <c r="AJ6859" s="1">
        <v>2019</v>
      </c>
      <c r="AK6859" s="1" t="s">
        <v>108</v>
      </c>
      <c r="AL6859" s="1">
        <v>172</v>
      </c>
    </row>
    <row r="6860" spans="1:38" x14ac:dyDescent="0.2">
      <c r="A6860" s="2" t="str">
        <f>HYPERLINK("https://www.compass.com/listing/325-lexington-avenue-unit-10ee-manhattan-ny-10016/455789078684955969/","325 Lexington Ave, Unit 10EE")</f>
        <v>325 Lexington Ave, Unit 10EE</v>
      </c>
      <c r="B6860" s="2" t="str">
        <f>HYPERLINK("https://www.compass.com/building/325-lex-condominium-manhattan-ny/281939882467713365/","325 Lex Condominium")</f>
        <v>325 Lex Condominium</v>
      </c>
      <c r="C6860" s="1" t="s">
        <v>59</v>
      </c>
      <c r="D6860" s="1" t="s">
        <v>41</v>
      </c>
      <c r="E6860" s="3">
        <v>980000</v>
      </c>
      <c r="F6860" s="1">
        <v>1519.37984496124</v>
      </c>
      <c r="G6860" s="1">
        <v>3</v>
      </c>
      <c r="H6860" s="1">
        <v>1</v>
      </c>
      <c r="I6860" s="1">
        <v>1</v>
      </c>
      <c r="J6860" s="1">
        <v>1</v>
      </c>
      <c r="K6860" s="1">
        <v>1</v>
      </c>
      <c r="M6860" s="1">
        <v>645</v>
      </c>
      <c r="N6860" s="1">
        <v>987</v>
      </c>
      <c r="O6860" s="1">
        <v>1625</v>
      </c>
      <c r="P6860" s="1">
        <v>638</v>
      </c>
      <c r="Q6860" s="1" t="s">
        <v>42</v>
      </c>
      <c r="S6860" s="1" t="s">
        <v>42</v>
      </c>
      <c r="T6860" s="1" t="s">
        <v>273</v>
      </c>
      <c r="U6860" s="1">
        <v>174</v>
      </c>
      <c r="V6860" s="5">
        <v>44287</v>
      </c>
      <c r="W6860" s="5">
        <v>43881</v>
      </c>
      <c r="X6860" s="1">
        <v>1250000</v>
      </c>
      <c r="Y6860" s="1">
        <v>998000</v>
      </c>
      <c r="Z6860" s="5">
        <v>44173</v>
      </c>
      <c r="AA6860" s="1">
        <v>980000</v>
      </c>
      <c r="AB6860" s="1" t="s">
        <v>275</v>
      </c>
      <c r="AC6860" s="5">
        <v>44239</v>
      </c>
      <c r="AF6860" s="1">
        <v>10016</v>
      </c>
      <c r="AI6860" s="1" t="s">
        <v>205</v>
      </c>
      <c r="AJ6860" s="1">
        <v>2014</v>
      </c>
      <c r="AK6860" s="1" t="s">
        <v>108</v>
      </c>
      <c r="AL6860" s="1">
        <v>125</v>
      </c>
    </row>
    <row r="6861" spans="1:38" x14ac:dyDescent="0.2">
      <c r="A6861" s="2" t="str">
        <f>HYPERLINK("https://www.compass.com/listing/15-hudson-yards-unit-24e-manhattan-ny-10001/456564738101888321/","15 Hudson Yards, Unit 24E")</f>
        <v>15 Hudson Yards, Unit 24E</v>
      </c>
      <c r="B6861" s="2" t="str">
        <f t="shared" ref="B6861:B6862" si="1080">HYPERLINK("https://www.compass.com/building/fifteen-hudson-yards-manhattan-ny/282058587512011909/","Fifteen Hudson Yards")</f>
        <v>Fifteen Hudson Yards</v>
      </c>
      <c r="C6861" s="1" t="s">
        <v>77</v>
      </c>
      <c r="D6861" s="1" t="s">
        <v>41</v>
      </c>
      <c r="E6861" s="3">
        <v>2400000</v>
      </c>
      <c r="F6861" s="1">
        <v>2421.7961654894002</v>
      </c>
      <c r="G6861" s="1">
        <v>3</v>
      </c>
      <c r="H6861" s="1">
        <v>1</v>
      </c>
      <c r="I6861" s="1">
        <v>2</v>
      </c>
      <c r="J6861" s="1">
        <v>1.5</v>
      </c>
      <c r="K6861" s="1">
        <v>1</v>
      </c>
      <c r="L6861" s="1">
        <v>1</v>
      </c>
      <c r="M6861" s="1">
        <v>991</v>
      </c>
      <c r="N6861" s="1">
        <v>2141</v>
      </c>
      <c r="O6861" s="1">
        <v>2171</v>
      </c>
      <c r="P6861" s="1">
        <v>30</v>
      </c>
      <c r="Q6861" s="1" t="s">
        <v>42</v>
      </c>
      <c r="S6861" s="1" t="s">
        <v>42</v>
      </c>
      <c r="T6861" s="1" t="s">
        <v>273</v>
      </c>
      <c r="U6861" s="1">
        <v>81</v>
      </c>
      <c r="V6861" s="5">
        <v>43882</v>
      </c>
      <c r="W6861" s="5">
        <v>43798</v>
      </c>
      <c r="X6861" s="1">
        <v>2400000</v>
      </c>
      <c r="Y6861" s="1">
        <v>2400000</v>
      </c>
      <c r="AA6861" s="1">
        <v>2400000</v>
      </c>
      <c r="AB6861" s="1" t="s">
        <v>275</v>
      </c>
      <c r="AC6861" s="5">
        <v>43879</v>
      </c>
      <c r="AF6861" s="1">
        <v>10001</v>
      </c>
      <c r="AJ6861" s="1">
        <v>2018</v>
      </c>
      <c r="AK6861" s="1" t="s">
        <v>46</v>
      </c>
      <c r="AL6861" s="1">
        <v>285</v>
      </c>
    </row>
    <row r="6862" spans="1:38" x14ac:dyDescent="0.2">
      <c r="A6862" s="2" t="str">
        <f>HYPERLINK("https://www.compass.com/listing/15-hudson-yards-unit-ph87a-manhattan-ny-10001/456582295785251801/","15 Hudson Yards, Unit PH87A")</f>
        <v>15 Hudson Yards, Unit PH87A</v>
      </c>
      <c r="B6862" s="2" t="str">
        <f t="shared" si="1080"/>
        <v>Fifteen Hudson Yards</v>
      </c>
      <c r="C6862" s="1" t="s">
        <v>77</v>
      </c>
      <c r="D6862" s="1" t="s">
        <v>41</v>
      </c>
      <c r="E6862" s="3">
        <v>13000000</v>
      </c>
      <c r="F6862" s="1">
        <v>3912.1275955461902</v>
      </c>
      <c r="G6862" s="1">
        <v>6</v>
      </c>
      <c r="H6862" s="1">
        <v>4</v>
      </c>
      <c r="I6862" s="1">
        <v>5</v>
      </c>
      <c r="J6862" s="1">
        <v>4.5</v>
      </c>
      <c r="K6862" s="1">
        <v>4</v>
      </c>
      <c r="L6862" s="1">
        <v>1</v>
      </c>
      <c r="M6862" s="4">
        <v>3323</v>
      </c>
      <c r="N6862" s="1">
        <v>8158</v>
      </c>
      <c r="O6862" s="1">
        <v>8271</v>
      </c>
      <c r="P6862" s="1">
        <v>113</v>
      </c>
      <c r="Q6862" s="1" t="s">
        <v>42</v>
      </c>
      <c r="S6862" s="1" t="s">
        <v>42</v>
      </c>
      <c r="T6862" s="1" t="s">
        <v>273</v>
      </c>
      <c r="U6862" s="1">
        <v>681</v>
      </c>
      <c r="V6862" s="5">
        <v>43888</v>
      </c>
      <c r="W6862" s="5">
        <v>43199</v>
      </c>
      <c r="X6862" s="1">
        <v>13000000</v>
      </c>
      <c r="Y6862" s="1">
        <v>13000000</v>
      </c>
      <c r="AA6862" s="1">
        <v>13000000</v>
      </c>
      <c r="AB6862" s="1" t="s">
        <v>275</v>
      </c>
      <c r="AC6862" s="5">
        <v>43880</v>
      </c>
      <c r="AF6862" s="1">
        <v>10001</v>
      </c>
      <c r="AJ6862" s="1">
        <v>2018</v>
      </c>
      <c r="AK6862" s="1" t="s">
        <v>46</v>
      </c>
      <c r="AL6862" s="1">
        <v>285</v>
      </c>
    </row>
    <row r="6863" spans="1:38" x14ac:dyDescent="0.2">
      <c r="A6863" s="2" t="str">
        <f>HYPERLINK("https://www.compass.com/listing/196-orchard-street-unit-7m-manhattan-ny-10002/456943337850082993/","196 Orchard St, Unit 7M")</f>
        <v>196 Orchard St, Unit 7M</v>
      </c>
      <c r="B6863" s="2" t="str">
        <f>HYPERLINK("https://www.compass.com/building/196-orchard-st-manhattan-ny-10002/281886194713760485/","196 Orchard St")</f>
        <v>196 Orchard St</v>
      </c>
      <c r="C6863" s="1" t="s">
        <v>47</v>
      </c>
      <c r="D6863" s="1" t="s">
        <v>41</v>
      </c>
      <c r="E6863" s="3">
        <v>2329701</v>
      </c>
      <c r="F6863" s="1">
        <v>3955.3501697792799</v>
      </c>
      <c r="M6863" s="1">
        <v>589</v>
      </c>
      <c r="Q6863" s="1" t="s">
        <v>42</v>
      </c>
      <c r="S6863" s="1" t="s">
        <v>42</v>
      </c>
      <c r="T6863" s="1" t="s">
        <v>273</v>
      </c>
      <c r="AA6863" s="1">
        <v>2329701.25</v>
      </c>
      <c r="AB6863" s="1" t="s">
        <v>5067</v>
      </c>
      <c r="AC6863" s="5">
        <v>43874</v>
      </c>
      <c r="AF6863" s="1">
        <v>10002</v>
      </c>
      <c r="AI6863" s="1" t="s">
        <v>165</v>
      </c>
      <c r="AJ6863" s="1">
        <v>2018</v>
      </c>
      <c r="AK6863" s="1" t="s">
        <v>202</v>
      </c>
      <c r="AL6863" s="1">
        <v>89</v>
      </c>
    </row>
    <row r="6864" spans="1:38" x14ac:dyDescent="0.2">
      <c r="A6864" s="2" t="str">
        <f>HYPERLINK("https://www.compass.com/listing/15-west-61st-street-unit-16a-manhattan-ny-10023/456948721089922209/","15 W 61st St, Unit 16A")</f>
        <v>15 W 61st St, Unit 16A</v>
      </c>
      <c r="B6864" s="2" t="str">
        <f>HYPERLINK("https://www.compass.com/building/the-park-loggia-manhattan-ny/292861833130357557/","The Park Loggia")</f>
        <v>The Park Loggia</v>
      </c>
      <c r="C6864" s="1" t="s">
        <v>57</v>
      </c>
      <c r="D6864" s="1" t="s">
        <v>41</v>
      </c>
      <c r="E6864" s="3">
        <v>4049250</v>
      </c>
      <c r="F6864" s="1">
        <v>2913.1294964028698</v>
      </c>
      <c r="G6864" s="1">
        <v>4</v>
      </c>
      <c r="H6864" s="1">
        <v>2</v>
      </c>
      <c r="I6864" s="1">
        <v>2</v>
      </c>
      <c r="J6864" s="1">
        <v>2</v>
      </c>
      <c r="K6864" s="1">
        <v>2</v>
      </c>
      <c r="M6864" s="4">
        <v>1390</v>
      </c>
      <c r="N6864" s="1">
        <v>1520</v>
      </c>
      <c r="O6864" s="1">
        <v>2982</v>
      </c>
      <c r="P6864" s="1">
        <v>1462</v>
      </c>
      <c r="Q6864" s="1" t="s">
        <v>42</v>
      </c>
      <c r="S6864" s="1" t="s">
        <v>42</v>
      </c>
      <c r="T6864" s="1" t="s">
        <v>273</v>
      </c>
      <c r="U6864" s="1">
        <v>220</v>
      </c>
      <c r="V6864" s="5">
        <v>43911</v>
      </c>
      <c r="W6864" s="5">
        <v>43654</v>
      </c>
      <c r="X6864" s="1">
        <v>4000000</v>
      </c>
      <c r="Y6864" s="1">
        <v>4000000</v>
      </c>
      <c r="AA6864" s="1">
        <v>4049250</v>
      </c>
      <c r="AB6864" s="1" t="s">
        <v>5068</v>
      </c>
      <c r="AC6864" s="5">
        <v>43874</v>
      </c>
      <c r="AF6864" s="1">
        <v>10023</v>
      </c>
      <c r="AI6864" s="1" t="s">
        <v>1071</v>
      </c>
      <c r="AJ6864" s="1">
        <v>2019</v>
      </c>
      <c r="AK6864" s="1" t="s">
        <v>108</v>
      </c>
      <c r="AL6864" s="1">
        <v>172</v>
      </c>
    </row>
    <row r="6865" spans="1:38" x14ac:dyDescent="0.2">
      <c r="A6865" s="2" t="str">
        <f>HYPERLINK("https://www.compass.com/listing/100-barrow-street-unit-1a-manhattan-ny-10014/46059963142982721/","100 Barrow St, Unit 1A")</f>
        <v>100 Barrow St, Unit 1A</v>
      </c>
      <c r="B6865" s="2" t="str">
        <f>HYPERLINK("https://www.compass.com/building/100-barrow-manhattan-ny/292834978184618837/","100 Barrow")</f>
        <v>100 Barrow</v>
      </c>
      <c r="C6865" s="1" t="s">
        <v>67</v>
      </c>
      <c r="D6865" s="1" t="s">
        <v>41</v>
      </c>
      <c r="E6865" s="3">
        <v>145000</v>
      </c>
      <c r="Q6865" s="1" t="s">
        <v>271</v>
      </c>
      <c r="S6865" s="1" t="s">
        <v>271</v>
      </c>
      <c r="T6865" s="1" t="s">
        <v>273</v>
      </c>
      <c r="AA6865" s="1">
        <v>145000</v>
      </c>
      <c r="AB6865" s="1" t="s">
        <v>5069</v>
      </c>
      <c r="AC6865" s="5">
        <v>43308</v>
      </c>
      <c r="AF6865" s="1">
        <v>10014</v>
      </c>
      <c r="AJ6865" s="1">
        <v>2015</v>
      </c>
      <c r="AK6865" s="1" t="s">
        <v>202</v>
      </c>
      <c r="AL6865" s="1">
        <v>33</v>
      </c>
    </row>
    <row r="6866" spans="1:38" x14ac:dyDescent="0.2">
      <c r="A6866" s="2" t="str">
        <f>HYPERLINK("https://www.compass.com/listing/15-west-61st-street-unit-11a-manhattan-ny-10023/461295388742736673/","15 W 61st St, Unit 11A")</f>
        <v>15 W 61st St, Unit 11A</v>
      </c>
      <c r="B6866" s="2" t="str">
        <f t="shared" ref="B6866:B6867" si="1081">HYPERLINK("https://www.compass.com/building/the-park-loggia-manhattan-ny/292861833130357557/","The Park Loggia")</f>
        <v>The Park Loggia</v>
      </c>
      <c r="C6866" s="1" t="s">
        <v>57</v>
      </c>
      <c r="D6866" s="1" t="s">
        <v>41</v>
      </c>
      <c r="E6866" s="3">
        <v>4950000</v>
      </c>
      <c r="F6866" s="1">
        <v>3201.8111254851201</v>
      </c>
      <c r="G6866" s="1">
        <v>5</v>
      </c>
      <c r="H6866" s="1">
        <v>3</v>
      </c>
      <c r="I6866" s="1">
        <v>3</v>
      </c>
      <c r="J6866" s="1">
        <v>2.5</v>
      </c>
      <c r="K6866" s="1">
        <v>2</v>
      </c>
      <c r="L6866" s="1">
        <v>1</v>
      </c>
      <c r="M6866" s="4">
        <v>1546</v>
      </c>
      <c r="N6866" s="1">
        <v>1680</v>
      </c>
      <c r="O6866" s="1">
        <v>3296</v>
      </c>
      <c r="P6866" s="1">
        <v>1616</v>
      </c>
      <c r="Q6866" s="1" t="s">
        <v>42</v>
      </c>
      <c r="S6866" s="1" t="s">
        <v>42</v>
      </c>
      <c r="T6866" s="1" t="s">
        <v>273</v>
      </c>
      <c r="U6866" s="1">
        <v>112</v>
      </c>
      <c r="V6866" s="5">
        <v>43911</v>
      </c>
      <c r="W6866" s="5">
        <v>43768</v>
      </c>
      <c r="X6866" s="1">
        <v>4950000</v>
      </c>
      <c r="Y6866" s="1">
        <v>4950000</v>
      </c>
      <c r="AA6866" s="1">
        <v>4950000</v>
      </c>
      <c r="AB6866" s="1" t="s">
        <v>5070</v>
      </c>
      <c r="AC6866" s="5">
        <v>43880</v>
      </c>
      <c r="AF6866" s="1">
        <v>10023</v>
      </c>
      <c r="AI6866" s="1" t="s">
        <v>1071</v>
      </c>
      <c r="AJ6866" s="1">
        <v>2019</v>
      </c>
      <c r="AK6866" s="1" t="s">
        <v>108</v>
      </c>
      <c r="AL6866" s="1">
        <v>172</v>
      </c>
    </row>
    <row r="6867" spans="1:38" x14ac:dyDescent="0.2">
      <c r="A6867" s="2" t="str">
        <f>HYPERLINK("https://www.compass.com/listing/15-west-61st-street-unit-29c-manhattan-ny-10023/461295391997391921/","15 W 61st St, Unit 29C")</f>
        <v>15 W 61st St, Unit 29C</v>
      </c>
      <c r="B6867" s="2" t="str">
        <f t="shared" si="1081"/>
        <v>The Park Loggia</v>
      </c>
      <c r="C6867" s="1" t="s">
        <v>57</v>
      </c>
      <c r="D6867" s="1" t="s">
        <v>41</v>
      </c>
      <c r="E6867" s="3">
        <v>2172036</v>
      </c>
      <c r="F6867" s="1">
        <v>2598.1294856459299</v>
      </c>
      <c r="G6867" s="1">
        <v>3</v>
      </c>
      <c r="H6867" s="1">
        <v>1</v>
      </c>
      <c r="I6867" s="1">
        <v>1</v>
      </c>
      <c r="J6867" s="1">
        <v>1</v>
      </c>
      <c r="K6867" s="1">
        <v>1</v>
      </c>
      <c r="M6867" s="1">
        <v>836</v>
      </c>
      <c r="N6867" s="1">
        <v>860</v>
      </c>
      <c r="O6867" s="1">
        <v>1687</v>
      </c>
      <c r="P6867" s="1">
        <v>827</v>
      </c>
      <c r="Q6867" s="1" t="s">
        <v>42</v>
      </c>
      <c r="S6867" s="1" t="s">
        <v>42</v>
      </c>
      <c r="T6867" s="1" t="s">
        <v>273</v>
      </c>
      <c r="U6867" s="1">
        <v>134</v>
      </c>
      <c r="V6867" s="5">
        <v>43911</v>
      </c>
      <c r="W6867" s="5">
        <v>43745</v>
      </c>
      <c r="X6867" s="1">
        <v>2165000</v>
      </c>
      <c r="Y6867" s="1">
        <v>2165000</v>
      </c>
      <c r="AA6867" s="1">
        <v>2172036.25</v>
      </c>
      <c r="AB6867" s="1" t="s">
        <v>5071</v>
      </c>
      <c r="AC6867" s="5">
        <v>43879</v>
      </c>
      <c r="AF6867" s="1">
        <v>10023</v>
      </c>
      <c r="AI6867" s="1" t="s">
        <v>65</v>
      </c>
      <c r="AJ6867" s="1">
        <v>2019</v>
      </c>
      <c r="AK6867" s="1" t="s">
        <v>108</v>
      </c>
      <c r="AL6867" s="1">
        <v>172</v>
      </c>
    </row>
    <row r="6868" spans="1:38" x14ac:dyDescent="0.2">
      <c r="A6868" s="2" t="str">
        <f>HYPERLINK("https://www.compass.com/listing/70-west-139th-street-unit-2d-manhattan-ny-10037/462027915044013769/","70 W 139th St, Unit 2D")</f>
        <v>70 W 139th St, Unit 2D</v>
      </c>
      <c r="B6868" s="2" t="str">
        <f>HYPERLINK("https://www.compass.com/building/70-w-139th-st-manhattan-ny-10037/292920118235647477/","70 W 139th St")</f>
        <v>70 W 139th St</v>
      </c>
      <c r="C6868" s="1" t="s">
        <v>84</v>
      </c>
      <c r="D6868" s="1" t="s">
        <v>41</v>
      </c>
      <c r="E6868" s="3">
        <v>533786</v>
      </c>
      <c r="F6868" s="1">
        <v>603.14802259887006</v>
      </c>
      <c r="M6868" s="1">
        <v>885</v>
      </c>
      <c r="Q6868" s="1" t="s">
        <v>42</v>
      </c>
      <c r="S6868" s="1" t="s">
        <v>42</v>
      </c>
      <c r="T6868" s="1" t="s">
        <v>273</v>
      </c>
      <c r="AA6868" s="1">
        <v>533786</v>
      </c>
      <c r="AB6868" s="1" t="s">
        <v>5072</v>
      </c>
      <c r="AC6868" s="5">
        <v>43880</v>
      </c>
      <c r="AF6868" s="1">
        <v>10037</v>
      </c>
      <c r="AI6868" s="1" t="s">
        <v>48</v>
      </c>
      <c r="AJ6868" s="1">
        <v>2018</v>
      </c>
      <c r="AL6868" s="1">
        <v>64</v>
      </c>
    </row>
    <row r="6869" spans="1:38" x14ac:dyDescent="0.2">
      <c r="A6869" s="2" t="str">
        <f>HYPERLINK("https://www.compass.com/listing/15-west-61st-street-unit-26d-manhattan-ny-10023/462747222585624721/","15 W 61st St, Unit 26D")</f>
        <v>15 W 61st St, Unit 26D</v>
      </c>
      <c r="B6869" s="2" t="str">
        <f>HYPERLINK("https://www.compass.com/building/the-park-loggia-manhattan-ny/292861833130357557/","The Park Loggia")</f>
        <v>The Park Loggia</v>
      </c>
      <c r="C6869" s="1" t="s">
        <v>57</v>
      </c>
      <c r="D6869" s="1" t="s">
        <v>41</v>
      </c>
      <c r="E6869" s="3">
        <v>3700000</v>
      </c>
      <c r="F6869" s="1">
        <v>2716.5932452276002</v>
      </c>
      <c r="G6869" s="1">
        <v>4</v>
      </c>
      <c r="H6869" s="1">
        <v>2</v>
      </c>
      <c r="I6869" s="1">
        <v>2</v>
      </c>
      <c r="J6869" s="1">
        <v>2</v>
      </c>
      <c r="K6869" s="1">
        <v>2</v>
      </c>
      <c r="M6869" s="4">
        <v>1362</v>
      </c>
      <c r="N6869" s="1">
        <v>1437</v>
      </c>
      <c r="O6869" s="1">
        <v>2820</v>
      </c>
      <c r="P6869" s="1">
        <v>1383</v>
      </c>
      <c r="Q6869" s="1" t="s">
        <v>42</v>
      </c>
      <c r="S6869" s="1" t="s">
        <v>42</v>
      </c>
      <c r="T6869" s="1" t="s">
        <v>273</v>
      </c>
      <c r="U6869" s="1">
        <v>280</v>
      </c>
      <c r="V6869" s="5">
        <v>43911</v>
      </c>
      <c r="W6869" s="5">
        <v>43595</v>
      </c>
      <c r="X6869" s="1">
        <v>3700000</v>
      </c>
      <c r="Y6869" s="1">
        <v>3700000</v>
      </c>
      <c r="AA6869" s="1">
        <v>3700000</v>
      </c>
      <c r="AB6869" s="1" t="s">
        <v>5073</v>
      </c>
      <c r="AC6869" s="5">
        <v>43875</v>
      </c>
      <c r="AF6869" s="1">
        <v>10023</v>
      </c>
      <c r="AI6869" s="1" t="s">
        <v>1071</v>
      </c>
      <c r="AJ6869" s="1">
        <v>2019</v>
      </c>
      <c r="AK6869" s="1" t="s">
        <v>108</v>
      </c>
      <c r="AL6869" s="1">
        <v>172</v>
      </c>
    </row>
    <row r="6870" spans="1:38" x14ac:dyDescent="0.2">
      <c r="A6870" s="2" t="str">
        <f>HYPERLINK("https://www.compass.com/listing/220-central-park-south-unit-57b-manhattan-ny-10019/466629326478461785/","220 Central Park S, Unit 57B")</f>
        <v>220 Central Park S, Unit 57B</v>
      </c>
      <c r="B6870" s="2" t="str">
        <f>HYPERLINK("https://www.compass.com/building/220-central-park-south-manhattan-ny/281944232648828453/","220 Central Park South")</f>
        <v>220 Central Park South</v>
      </c>
      <c r="C6870" s="1" t="s">
        <v>260</v>
      </c>
      <c r="D6870" s="1" t="s">
        <v>41</v>
      </c>
      <c r="E6870" s="3">
        <v>28640950</v>
      </c>
      <c r="F6870" s="1">
        <v>8919.6356275303606</v>
      </c>
      <c r="G6870" s="1">
        <v>5</v>
      </c>
      <c r="H6870" s="1">
        <v>3</v>
      </c>
      <c r="I6870" s="1">
        <v>4</v>
      </c>
      <c r="J6870" s="1">
        <v>3.5</v>
      </c>
      <c r="K6870" s="1">
        <v>3</v>
      </c>
      <c r="L6870" s="1">
        <v>1</v>
      </c>
      <c r="M6870" s="4">
        <v>3211</v>
      </c>
      <c r="N6870" s="1">
        <v>6646</v>
      </c>
      <c r="O6870" s="1">
        <v>12343</v>
      </c>
      <c r="P6870" s="1">
        <v>5697</v>
      </c>
      <c r="Q6870" s="1" t="s">
        <v>42</v>
      </c>
      <c r="S6870" s="1" t="s">
        <v>42</v>
      </c>
      <c r="T6870" s="1" t="s">
        <v>273</v>
      </c>
      <c r="U6870" s="1">
        <v>1823</v>
      </c>
      <c r="V6870" s="5">
        <v>43951</v>
      </c>
      <c r="W6870" s="5">
        <v>42056</v>
      </c>
      <c r="X6870" s="1">
        <v>27800000</v>
      </c>
      <c r="Y6870" s="1">
        <v>27800000</v>
      </c>
      <c r="AA6870" s="1">
        <v>28640950</v>
      </c>
      <c r="AB6870" s="1" t="s">
        <v>5074</v>
      </c>
      <c r="AC6870" s="5">
        <v>43879</v>
      </c>
      <c r="AF6870" s="1">
        <v>10019</v>
      </c>
      <c r="AI6870" s="1" t="s">
        <v>101</v>
      </c>
      <c r="AJ6870" s="1">
        <v>2018</v>
      </c>
      <c r="AK6870" s="1" t="s">
        <v>46</v>
      </c>
      <c r="AL6870" s="1">
        <v>117</v>
      </c>
    </row>
    <row r="6871" spans="1:38" x14ac:dyDescent="0.2">
      <c r="A6871" s="2" t="str">
        <f>HYPERLINK("https://www.compass.com/listing/15-west-61st-street-unit-14a-manhattan-ny-10023/466629930225213713/","15 W 61st St, Unit 14A")</f>
        <v>15 W 61st St, Unit 14A</v>
      </c>
      <c r="B6871" s="2" t="str">
        <f t="shared" ref="B6871:B6872" si="1082">HYPERLINK("https://www.compass.com/building/the-park-loggia-manhattan-ny/292861833130357557/","The Park Loggia")</f>
        <v>The Park Loggia</v>
      </c>
      <c r="C6871" s="1" t="s">
        <v>57</v>
      </c>
      <c r="D6871" s="1" t="s">
        <v>41</v>
      </c>
      <c r="E6871" s="3">
        <v>4966970</v>
      </c>
      <c r="F6871" s="1">
        <v>3212.7875161707598</v>
      </c>
      <c r="G6871" s="1">
        <v>5</v>
      </c>
      <c r="H6871" s="1">
        <v>3</v>
      </c>
      <c r="I6871" s="1">
        <v>3</v>
      </c>
      <c r="J6871" s="1">
        <v>2.5</v>
      </c>
      <c r="K6871" s="1">
        <v>2</v>
      </c>
      <c r="L6871" s="1">
        <v>1</v>
      </c>
      <c r="M6871" s="4">
        <v>1546</v>
      </c>
      <c r="N6871" s="1">
        <v>1680</v>
      </c>
      <c r="O6871" s="1">
        <v>3296</v>
      </c>
      <c r="P6871" s="1">
        <v>1616</v>
      </c>
      <c r="Q6871" s="1" t="s">
        <v>42</v>
      </c>
      <c r="S6871" s="1" t="s">
        <v>42</v>
      </c>
      <c r="T6871" s="1" t="s">
        <v>273</v>
      </c>
      <c r="U6871" s="1">
        <v>270</v>
      </c>
      <c r="V6871" s="5">
        <v>43911</v>
      </c>
      <c r="W6871" s="5">
        <v>43619</v>
      </c>
      <c r="X6871" s="1">
        <v>4866000</v>
      </c>
      <c r="Y6871" s="1">
        <v>4866000</v>
      </c>
      <c r="AA6871" s="1">
        <v>4966969.5</v>
      </c>
      <c r="AB6871" s="1" t="s">
        <v>5075</v>
      </c>
      <c r="AC6871" s="5">
        <v>43889</v>
      </c>
      <c r="AF6871" s="1">
        <v>10023</v>
      </c>
      <c r="AI6871" s="1" t="s">
        <v>1071</v>
      </c>
      <c r="AJ6871" s="1">
        <v>2019</v>
      </c>
      <c r="AK6871" s="1" t="s">
        <v>108</v>
      </c>
      <c r="AL6871" s="1">
        <v>172</v>
      </c>
    </row>
    <row r="6872" spans="1:38" x14ac:dyDescent="0.2">
      <c r="A6872" s="2" t="str">
        <f>HYPERLINK("https://www.compass.com/listing/15-west-61st-street-unit-28c-manhattan-ny-10023/466629934241351273/","15 W 61st St, Unit 28C")</f>
        <v>15 W 61st St, Unit 28C</v>
      </c>
      <c r="B6872" s="2" t="str">
        <f t="shared" si="1082"/>
        <v>The Park Loggia</v>
      </c>
      <c r="C6872" s="1" t="s">
        <v>57</v>
      </c>
      <c r="D6872" s="1" t="s">
        <v>41</v>
      </c>
      <c r="E6872" s="3">
        <v>2060000</v>
      </c>
      <c r="F6872" s="1">
        <v>2464.1148325358799</v>
      </c>
      <c r="H6872" s="1">
        <v>1</v>
      </c>
      <c r="J6872" s="1">
        <v>1</v>
      </c>
      <c r="K6872" s="1">
        <v>1</v>
      </c>
      <c r="M6872" s="1">
        <v>836</v>
      </c>
      <c r="N6872" s="1">
        <v>860</v>
      </c>
      <c r="O6872" s="1">
        <v>1687</v>
      </c>
      <c r="P6872" s="1">
        <v>827</v>
      </c>
      <c r="Q6872" s="1" t="s">
        <v>42</v>
      </c>
      <c r="S6872" s="1" t="s">
        <v>42</v>
      </c>
      <c r="T6872" s="1" t="s">
        <v>273</v>
      </c>
      <c r="AA6872" s="1">
        <v>2060000</v>
      </c>
      <c r="AB6872" s="1" t="s">
        <v>5076</v>
      </c>
      <c r="AC6872" s="5">
        <v>43514</v>
      </c>
      <c r="AF6872" s="1">
        <v>10023</v>
      </c>
      <c r="AI6872" s="1" t="s">
        <v>65</v>
      </c>
      <c r="AJ6872" s="1">
        <v>2019</v>
      </c>
      <c r="AK6872" s="1" t="s">
        <v>55</v>
      </c>
      <c r="AL6872" s="1">
        <v>172</v>
      </c>
    </row>
    <row r="6873" spans="1:38" x14ac:dyDescent="0.2">
      <c r="A6873" s="2" t="str">
        <f>HYPERLINK("https://www.compass.com/listing/111-murray-street-unit-7d-manhattan-ny-10007/46760323360861201/","111 Murray St, Unit 7D")</f>
        <v>111 Murray St, Unit 7D</v>
      </c>
      <c r="B6873" s="2" t="str">
        <f>HYPERLINK("https://www.compass.com/building/111-murray-st-manhattan-ny-10007/281896511862746053/","111 Murray St")</f>
        <v>111 Murray St</v>
      </c>
      <c r="C6873" s="1" t="s">
        <v>50</v>
      </c>
      <c r="D6873" s="1" t="s">
        <v>41</v>
      </c>
      <c r="E6873" s="3">
        <v>1555678</v>
      </c>
      <c r="F6873" s="1">
        <v>2044.25427069645</v>
      </c>
      <c r="M6873" s="1">
        <v>761</v>
      </c>
      <c r="Q6873" s="1" t="s">
        <v>42</v>
      </c>
      <c r="S6873" s="1" t="s">
        <v>42</v>
      </c>
      <c r="T6873" s="1" t="s">
        <v>273</v>
      </c>
      <c r="AA6873" s="1">
        <v>1555677.5</v>
      </c>
      <c r="AB6873" s="1" t="s">
        <v>5077</v>
      </c>
      <c r="AC6873" s="5">
        <v>43308</v>
      </c>
      <c r="AF6873" s="1">
        <v>10007</v>
      </c>
      <c r="AI6873" s="1" t="s">
        <v>80</v>
      </c>
      <c r="AJ6873" s="1">
        <v>2018</v>
      </c>
      <c r="AK6873" s="1" t="s">
        <v>49</v>
      </c>
      <c r="AL6873" s="1">
        <v>157</v>
      </c>
    </row>
    <row r="6874" spans="1:38" x14ac:dyDescent="0.2">
      <c r="A6874" s="2" t="str">
        <f>HYPERLINK("https://www.compass.com/listing/2231-adam-clayton-powell-jr-boulevard-unit-ph14-manhattan-ny-10027/4703676477386813281/","2231 Adam Clayton Powell Jr Blvd, Unit PH14")</f>
        <v>2231 Adam Clayton Powell Jr Blvd, Unit PH14</v>
      </c>
      <c r="B6874" s="2" t="str">
        <f>HYPERLINK("https://www.compass.com/building/the-aurum-manhattan-ny/307451641162444869/","The Aurum")</f>
        <v>The Aurum</v>
      </c>
      <c r="C6874" s="1" t="s">
        <v>84</v>
      </c>
      <c r="D6874" s="1" t="s">
        <v>41</v>
      </c>
      <c r="E6874" s="3">
        <v>1100000</v>
      </c>
      <c r="F6874" s="1">
        <v>1265.8227848101201</v>
      </c>
      <c r="G6874" s="1">
        <v>4</v>
      </c>
      <c r="H6874" s="1">
        <v>2</v>
      </c>
      <c r="I6874" s="1">
        <v>2</v>
      </c>
      <c r="J6874" s="1">
        <v>2</v>
      </c>
      <c r="M6874" s="1">
        <v>869</v>
      </c>
      <c r="N6874" s="1">
        <v>828.76</v>
      </c>
      <c r="O6874" s="1">
        <v>982.98</v>
      </c>
      <c r="P6874" s="1">
        <v>154.25</v>
      </c>
      <c r="Q6874" s="1" t="s">
        <v>42</v>
      </c>
      <c r="S6874" s="1" t="s">
        <v>42</v>
      </c>
      <c r="T6874" s="1" t="s">
        <v>273</v>
      </c>
      <c r="V6874" s="5">
        <v>42917</v>
      </c>
      <c r="AA6874" s="1">
        <v>1100000</v>
      </c>
      <c r="AB6874" s="1" t="s">
        <v>275</v>
      </c>
      <c r="AC6874" s="5">
        <v>42915</v>
      </c>
      <c r="AF6874" s="1">
        <v>10027</v>
      </c>
      <c r="AI6874" s="1" t="s">
        <v>52</v>
      </c>
      <c r="AJ6874" s="1">
        <v>2016</v>
      </c>
      <c r="AK6874" s="1" t="s">
        <v>108</v>
      </c>
      <c r="AL6874" s="1">
        <v>115</v>
      </c>
    </row>
    <row r="6875" spans="1:38" x14ac:dyDescent="0.2">
      <c r="A6875" s="2" t="str">
        <f>HYPERLINK("https://www.compass.com/listing/77-east-110th-street-unit-commercial-manhattan-ny-10029/4703709298880966065/","77 E 110th St, Unit COMMERCIAL")</f>
        <v>77 E 110th St, Unit COMMERCIAL</v>
      </c>
      <c r="B6875" s="2" t="str">
        <f>HYPERLINK("https://www.compass.com/building/77-condominiums-manhattan-ny/281992190891244549/","77 Condominiums")</f>
        <v>77 Condominiums</v>
      </c>
      <c r="C6875" s="1" t="s">
        <v>85</v>
      </c>
      <c r="D6875" s="1" t="s">
        <v>41</v>
      </c>
      <c r="E6875" s="3">
        <v>499000</v>
      </c>
      <c r="F6875" s="1">
        <v>444.345503116651</v>
      </c>
      <c r="G6875" s="1">
        <v>2</v>
      </c>
      <c r="H6875" s="1" t="s">
        <v>99</v>
      </c>
      <c r="I6875" s="1">
        <v>1</v>
      </c>
      <c r="J6875" s="1">
        <v>1</v>
      </c>
      <c r="M6875" s="4">
        <v>1123</v>
      </c>
      <c r="N6875" s="1">
        <v>243.33</v>
      </c>
      <c r="O6875" s="1">
        <v>299.94</v>
      </c>
      <c r="P6875" s="1">
        <v>56.5833333333333</v>
      </c>
      <c r="Q6875" s="1" t="s">
        <v>42</v>
      </c>
      <c r="S6875" s="1" t="s">
        <v>42</v>
      </c>
      <c r="T6875" s="1" t="s">
        <v>273</v>
      </c>
      <c r="U6875" s="1">
        <v>366</v>
      </c>
      <c r="V6875" s="5">
        <v>42917</v>
      </c>
      <c r="W6875" s="5">
        <v>42507</v>
      </c>
      <c r="X6875" s="1">
        <v>499000</v>
      </c>
      <c r="Y6875" s="1">
        <v>499000</v>
      </c>
      <c r="AA6875" s="1">
        <v>499000</v>
      </c>
      <c r="AB6875" s="1" t="s">
        <v>275</v>
      </c>
      <c r="AC6875" s="5">
        <v>42873</v>
      </c>
      <c r="AF6875" s="1">
        <v>10029</v>
      </c>
      <c r="AI6875" s="1" t="s">
        <v>48</v>
      </c>
      <c r="AJ6875" s="1">
        <v>2013</v>
      </c>
      <c r="AL6875" s="1">
        <v>20</v>
      </c>
    </row>
    <row r="6876" spans="1:38" x14ac:dyDescent="0.2">
      <c r="A6876" s="2" t="str">
        <f>HYPERLINK("https://www.compass.com/listing/559-west-23rd-street-unit-7-manhattan-ny-10011/4703714684082085777/","559 W 23rd St, Unit 7")</f>
        <v>559 W 23rd St, Unit 7</v>
      </c>
      <c r="B6876" s="2" t="str">
        <f>HYPERLINK("https://www.compass.com/building/chelsea-waterside-residences-manhattan-ny/281911750683552581/","Chelsea Waterside Residences")</f>
        <v>Chelsea Waterside Residences</v>
      </c>
      <c r="C6876" s="1" t="s">
        <v>62</v>
      </c>
      <c r="D6876" s="1" t="s">
        <v>41</v>
      </c>
      <c r="E6876" s="3">
        <v>4450000</v>
      </c>
      <c r="F6876" s="1">
        <v>1846.47302904564</v>
      </c>
      <c r="G6876" s="1">
        <v>7</v>
      </c>
      <c r="H6876" s="1">
        <v>3</v>
      </c>
      <c r="I6876" s="1">
        <v>4</v>
      </c>
      <c r="J6876" s="1">
        <v>4</v>
      </c>
      <c r="M6876" s="4">
        <v>2410</v>
      </c>
      <c r="N6876" s="1">
        <v>1850</v>
      </c>
      <c r="O6876" s="1">
        <v>5268</v>
      </c>
      <c r="P6876" s="1">
        <v>3418</v>
      </c>
      <c r="Q6876" s="1" t="s">
        <v>42</v>
      </c>
      <c r="S6876" s="1" t="s">
        <v>42</v>
      </c>
      <c r="T6876" s="1" t="s">
        <v>273</v>
      </c>
      <c r="V6876" s="5">
        <v>42782</v>
      </c>
      <c r="AA6876" s="1">
        <v>4450000</v>
      </c>
      <c r="AB6876" s="1" t="s">
        <v>275</v>
      </c>
      <c r="AC6876" s="5">
        <v>42780</v>
      </c>
      <c r="AF6876" s="1">
        <v>10011</v>
      </c>
      <c r="AI6876" s="1" t="s">
        <v>231</v>
      </c>
      <c r="AJ6876" s="1">
        <v>2015</v>
      </c>
      <c r="AK6876" s="1" t="s">
        <v>143</v>
      </c>
      <c r="AL6876" s="1">
        <v>8</v>
      </c>
    </row>
    <row r="6877" spans="1:38" x14ac:dyDescent="0.2">
      <c r="A6877" s="2" t="str">
        <f>HYPERLINK("https://www.compass.com/listing/2231-adam-clayton-powell-jr-boulevard-unit-519-manhattan-ny-10027/4703729661690016785/","2231 Adam Clayton Powell Jr Blvd, Unit 519")</f>
        <v>2231 Adam Clayton Powell Jr Blvd, Unit 519</v>
      </c>
      <c r="B6877" s="2" t="str">
        <f>HYPERLINK("https://www.compass.com/building/the-aurum-manhattan-ny/307451641162444869/","The Aurum")</f>
        <v>The Aurum</v>
      </c>
      <c r="C6877" s="1" t="s">
        <v>84</v>
      </c>
      <c r="D6877" s="1" t="s">
        <v>41</v>
      </c>
      <c r="E6877" s="3">
        <v>795000</v>
      </c>
      <c r="F6877" s="1">
        <v>1251.9685039369999</v>
      </c>
      <c r="G6877" s="1">
        <v>3</v>
      </c>
      <c r="H6877" s="1">
        <v>1</v>
      </c>
      <c r="I6877" s="1">
        <v>1</v>
      </c>
      <c r="J6877" s="1">
        <v>1</v>
      </c>
      <c r="M6877" s="1">
        <v>635</v>
      </c>
      <c r="N6877" s="1">
        <v>738.15</v>
      </c>
      <c r="O6877" s="1">
        <v>875.51</v>
      </c>
      <c r="P6877" s="1">
        <v>137.333333333333</v>
      </c>
      <c r="Q6877" s="1" t="s">
        <v>42</v>
      </c>
      <c r="S6877" s="1" t="s">
        <v>42</v>
      </c>
      <c r="T6877" s="1" t="s">
        <v>273</v>
      </c>
      <c r="V6877" s="5">
        <v>42839</v>
      </c>
      <c r="W6877" s="5">
        <v>42832</v>
      </c>
      <c r="X6877" s="1">
        <v>795000</v>
      </c>
      <c r="Y6877" s="1">
        <v>795000</v>
      </c>
      <c r="AA6877" s="1">
        <v>795000</v>
      </c>
      <c r="AB6877" s="1" t="s">
        <v>275</v>
      </c>
      <c r="AC6877" s="5">
        <v>42832</v>
      </c>
      <c r="AF6877" s="1">
        <v>10027</v>
      </c>
      <c r="AI6877" s="1" t="s">
        <v>52</v>
      </c>
      <c r="AJ6877" s="1">
        <v>2016</v>
      </c>
      <c r="AK6877" s="1" t="s">
        <v>108</v>
      </c>
      <c r="AL6877" s="1">
        <v>115</v>
      </c>
    </row>
    <row r="6878" spans="1:38" x14ac:dyDescent="0.2">
      <c r="A6878" s="2" t="str">
        <f>HYPERLINK("https://www.compass.com/listing/220-central-park-south-unit-61-manhattan-ny-10019/470720536666907345/","220 Central Park S, Unit 61")</f>
        <v>220 Central Park S, Unit 61</v>
      </c>
      <c r="B6878" s="2" t="str">
        <f>HYPERLINK("https://www.compass.com/building/220-central-park-south-manhattan-ny/281944232648828453/","220 Central Park South")</f>
        <v>220 Central Park South</v>
      </c>
      <c r="C6878" s="1" t="s">
        <v>260</v>
      </c>
      <c r="D6878" s="1" t="s">
        <v>41</v>
      </c>
      <c r="E6878" s="3">
        <v>51421625</v>
      </c>
      <c r="F6878" s="1">
        <v>8664.1322662173498</v>
      </c>
      <c r="G6878" s="1">
        <v>8</v>
      </c>
      <c r="H6878" s="1">
        <v>4</v>
      </c>
      <c r="I6878" s="1">
        <v>7</v>
      </c>
      <c r="J6878" s="1">
        <v>6</v>
      </c>
      <c r="K6878" s="1">
        <v>5</v>
      </c>
      <c r="L6878" s="1">
        <v>2</v>
      </c>
      <c r="M6878" s="4">
        <v>5935</v>
      </c>
      <c r="N6878" s="1">
        <v>12434</v>
      </c>
      <c r="O6878" s="1">
        <v>23094</v>
      </c>
      <c r="P6878" s="1">
        <v>10660</v>
      </c>
      <c r="Q6878" s="1" t="s">
        <v>42</v>
      </c>
      <c r="S6878" s="1" t="s">
        <v>42</v>
      </c>
      <c r="T6878" s="1" t="s">
        <v>273</v>
      </c>
      <c r="U6878" s="1">
        <v>1791</v>
      </c>
      <c r="V6878" s="5">
        <v>43951</v>
      </c>
      <c r="W6878" s="5">
        <v>42094</v>
      </c>
      <c r="X6878" s="1">
        <v>50500000</v>
      </c>
      <c r="Y6878" s="1">
        <v>50500000</v>
      </c>
      <c r="AA6878" s="1">
        <v>51421625</v>
      </c>
      <c r="AB6878" s="1" t="s">
        <v>5078</v>
      </c>
      <c r="AC6878" s="5">
        <v>43885</v>
      </c>
      <c r="AF6878" s="1">
        <v>10019</v>
      </c>
      <c r="AI6878" s="1" t="s">
        <v>101</v>
      </c>
      <c r="AJ6878" s="1">
        <v>2018</v>
      </c>
      <c r="AK6878" s="1" t="s">
        <v>46</v>
      </c>
      <c r="AL6878" s="1">
        <v>117</v>
      </c>
    </row>
    <row r="6879" spans="1:38" x14ac:dyDescent="0.2">
      <c r="A6879" s="2" t="str">
        <f>HYPERLINK("https://www.compass.com/listing/15-west-61st-street-unit-16e-manhattan-ny-10023/470721143727425369/","15 W 61st St, Unit 16E")</f>
        <v>15 W 61st St, Unit 16E</v>
      </c>
      <c r="B6879" s="2" t="str">
        <f>HYPERLINK("https://www.compass.com/building/the-park-loggia-manhattan-ny/292861833130357557/","The Park Loggia")</f>
        <v>The Park Loggia</v>
      </c>
      <c r="C6879" s="1" t="s">
        <v>57</v>
      </c>
      <c r="D6879" s="1" t="s">
        <v>41</v>
      </c>
      <c r="E6879" s="3">
        <v>1755688</v>
      </c>
      <c r="F6879" s="1">
        <v>2540.79232995658</v>
      </c>
      <c r="G6879" s="1">
        <v>3</v>
      </c>
      <c r="H6879" s="1">
        <v>1</v>
      </c>
      <c r="I6879" s="1">
        <v>1</v>
      </c>
      <c r="J6879" s="1">
        <v>1</v>
      </c>
      <c r="K6879" s="1">
        <v>1</v>
      </c>
      <c r="M6879" s="1">
        <v>691</v>
      </c>
      <c r="N6879" s="1">
        <v>711</v>
      </c>
      <c r="O6879" s="1">
        <v>1395</v>
      </c>
      <c r="P6879" s="1">
        <v>684</v>
      </c>
      <c r="Q6879" s="1" t="s">
        <v>42</v>
      </c>
      <c r="S6879" s="1" t="s">
        <v>42</v>
      </c>
      <c r="T6879" s="1" t="s">
        <v>273</v>
      </c>
      <c r="U6879" s="1">
        <v>317</v>
      </c>
      <c r="V6879" s="5">
        <v>43911</v>
      </c>
      <c r="W6879" s="5">
        <v>43578</v>
      </c>
      <c r="X6879" s="1">
        <v>1750000</v>
      </c>
      <c r="Y6879" s="1">
        <v>1750000</v>
      </c>
      <c r="AA6879" s="1">
        <v>1755687.5</v>
      </c>
      <c r="AB6879" s="1" t="s">
        <v>5079</v>
      </c>
      <c r="AC6879" s="5">
        <v>43895</v>
      </c>
      <c r="AF6879" s="1">
        <v>10023</v>
      </c>
      <c r="AI6879" s="1" t="s">
        <v>65</v>
      </c>
      <c r="AJ6879" s="1">
        <v>2019</v>
      </c>
      <c r="AK6879" s="1" t="s">
        <v>108</v>
      </c>
      <c r="AL6879" s="1">
        <v>172</v>
      </c>
    </row>
    <row r="6880" spans="1:38" x14ac:dyDescent="0.2">
      <c r="A6880" s="2" t="str">
        <f>HYPERLINK("https://www.compass.com/listing/111-murray-street-unit-9w-manhattan-ny-10007/472162497664131225/","111 Murray St, Unit 9W")</f>
        <v>111 Murray St, Unit 9W</v>
      </c>
      <c r="B6880" s="2" t="str">
        <f t="shared" ref="B6880:B6881" si="1083">HYPERLINK("https://www.compass.com/building/111-murray-st-manhattan-ny-10007/281896511862746053/","111 Murray St")</f>
        <v>111 Murray St</v>
      </c>
      <c r="C6880" s="1" t="s">
        <v>50</v>
      </c>
      <c r="D6880" s="1" t="s">
        <v>41</v>
      </c>
      <c r="E6880" s="3">
        <v>4900000</v>
      </c>
      <c r="F6880" s="1">
        <v>2210.19395579612</v>
      </c>
      <c r="M6880" s="4">
        <v>2217</v>
      </c>
      <c r="Q6880" s="1" t="s">
        <v>42</v>
      </c>
      <c r="S6880" s="1" t="s">
        <v>42</v>
      </c>
      <c r="T6880" s="1" t="s">
        <v>273</v>
      </c>
      <c r="AA6880" s="1">
        <v>4900000</v>
      </c>
      <c r="AB6880" s="1" t="s">
        <v>5080</v>
      </c>
      <c r="AC6880" s="5">
        <v>43892</v>
      </c>
      <c r="AF6880" s="1">
        <v>10007</v>
      </c>
      <c r="AI6880" s="1" t="s">
        <v>80</v>
      </c>
      <c r="AJ6880" s="1">
        <v>2018</v>
      </c>
      <c r="AK6880" s="1" t="s">
        <v>49</v>
      </c>
      <c r="AL6880" s="1">
        <v>157</v>
      </c>
    </row>
    <row r="6881" spans="1:38" x14ac:dyDescent="0.2">
      <c r="A6881" s="2" t="str">
        <f>HYPERLINK("https://www.compass.com/listing/111-murray-street-unit-29w-manhattan-ny-10007/475061306484005137/","111 Murray St, Unit 29W")</f>
        <v>111 Murray St, Unit 29W</v>
      </c>
      <c r="B6881" s="2" t="str">
        <f t="shared" si="1083"/>
        <v>111 Murray St</v>
      </c>
      <c r="C6881" s="1" t="s">
        <v>50</v>
      </c>
      <c r="D6881" s="1" t="s">
        <v>41</v>
      </c>
      <c r="E6881" s="3">
        <v>6678300</v>
      </c>
      <c r="F6881" s="1">
        <v>2487.2625698324</v>
      </c>
      <c r="M6881" s="4">
        <v>2685</v>
      </c>
      <c r="Q6881" s="1" t="s">
        <v>42</v>
      </c>
      <c r="S6881" s="1" t="s">
        <v>42</v>
      </c>
      <c r="T6881" s="1" t="s">
        <v>273</v>
      </c>
      <c r="AA6881" s="1">
        <v>6678300</v>
      </c>
      <c r="AB6881" s="1" t="s">
        <v>5081</v>
      </c>
      <c r="AC6881" s="5">
        <v>43893</v>
      </c>
      <c r="AF6881" s="1">
        <v>10007</v>
      </c>
      <c r="AI6881" s="1" t="s">
        <v>80</v>
      </c>
      <c r="AJ6881" s="1">
        <v>2018</v>
      </c>
      <c r="AK6881" s="1" t="s">
        <v>49</v>
      </c>
      <c r="AL6881" s="1">
        <v>157</v>
      </c>
    </row>
    <row r="6882" spans="1:38" x14ac:dyDescent="0.2">
      <c r="A6882" s="2" t="str">
        <f>HYPERLINK("https://www.compass.com/listing/15-west-61st-street-unit-29a-manhattan-ny-10023/475067891910662177/","15 W 61st St, Unit 29A")</f>
        <v>15 W 61st St, Unit 29A</v>
      </c>
      <c r="B6882" s="2" t="str">
        <f t="shared" ref="B6882:B6883" si="1084">HYPERLINK("https://www.compass.com/building/the-park-loggia-manhattan-ny/292861833130357557/","The Park Loggia")</f>
        <v>The Park Loggia</v>
      </c>
      <c r="C6882" s="1" t="s">
        <v>57</v>
      </c>
      <c r="D6882" s="1" t="s">
        <v>41</v>
      </c>
      <c r="E6882" s="3">
        <v>6790614</v>
      </c>
      <c r="F6882" s="1">
        <v>3544.1617118997901</v>
      </c>
      <c r="G6882" s="1">
        <v>5</v>
      </c>
      <c r="H6882" s="1">
        <v>3</v>
      </c>
      <c r="I6882" s="1">
        <v>3</v>
      </c>
      <c r="J6882" s="1">
        <v>2.5</v>
      </c>
      <c r="K6882" s="1">
        <v>2</v>
      </c>
      <c r="L6882" s="1">
        <v>1</v>
      </c>
      <c r="M6882" s="4">
        <v>1916</v>
      </c>
      <c r="N6882" s="1">
        <v>2061</v>
      </c>
      <c r="O6882" s="1">
        <v>4044</v>
      </c>
      <c r="P6882" s="1">
        <v>1983</v>
      </c>
      <c r="Q6882" s="1" t="s">
        <v>42</v>
      </c>
      <c r="S6882" s="1" t="s">
        <v>42</v>
      </c>
      <c r="T6882" s="1" t="s">
        <v>273</v>
      </c>
      <c r="U6882" s="1">
        <v>94</v>
      </c>
      <c r="V6882" s="5">
        <v>43911</v>
      </c>
      <c r="W6882" s="5">
        <v>43774</v>
      </c>
      <c r="X6882" s="1">
        <v>6650000</v>
      </c>
      <c r="Y6882" s="1">
        <v>6650000</v>
      </c>
      <c r="AA6882" s="1">
        <v>6790613.8399999999</v>
      </c>
      <c r="AB6882" s="1" t="s">
        <v>5082</v>
      </c>
      <c r="AC6882" s="5">
        <v>43868</v>
      </c>
      <c r="AF6882" s="1">
        <v>10023</v>
      </c>
      <c r="AI6882" s="1" t="s">
        <v>1071</v>
      </c>
      <c r="AJ6882" s="1">
        <v>2019</v>
      </c>
      <c r="AK6882" s="1" t="s">
        <v>108</v>
      </c>
      <c r="AL6882" s="1">
        <v>172</v>
      </c>
    </row>
    <row r="6883" spans="1:38" x14ac:dyDescent="0.2">
      <c r="A6883" s="2" t="str">
        <f>HYPERLINK("https://www.compass.com/listing/15-west-61st-street-unit-4h-manhattan-ny-10023/476518144392325201/","15 W 61st St, Unit 4H")</f>
        <v>15 W 61st St, Unit 4H</v>
      </c>
      <c r="B6883" s="2" t="str">
        <f t="shared" si="1084"/>
        <v>The Park Loggia</v>
      </c>
      <c r="C6883" s="1" t="s">
        <v>57</v>
      </c>
      <c r="D6883" s="1" t="s">
        <v>41</v>
      </c>
      <c r="E6883" s="3">
        <v>1680601</v>
      </c>
      <c r="F6883" s="1">
        <v>2130.03978453738</v>
      </c>
      <c r="G6883" s="1">
        <v>3</v>
      </c>
      <c r="H6883" s="1">
        <v>1</v>
      </c>
      <c r="I6883" s="1">
        <v>2</v>
      </c>
      <c r="J6883" s="1">
        <v>1.5</v>
      </c>
      <c r="K6883" s="1">
        <v>1</v>
      </c>
      <c r="L6883" s="1">
        <v>1</v>
      </c>
      <c r="M6883" s="1">
        <v>789</v>
      </c>
      <c r="N6883" s="1">
        <v>811</v>
      </c>
      <c r="O6883" s="1">
        <v>1591</v>
      </c>
      <c r="P6883" s="1">
        <v>780</v>
      </c>
      <c r="Q6883" s="1" t="s">
        <v>42</v>
      </c>
      <c r="S6883" s="1" t="s">
        <v>42</v>
      </c>
      <c r="T6883" s="1" t="s">
        <v>273</v>
      </c>
      <c r="U6883" s="1">
        <v>303</v>
      </c>
      <c r="V6883" s="5">
        <v>43911</v>
      </c>
      <c r="W6883" s="5">
        <v>43586</v>
      </c>
      <c r="X6883" s="1">
        <v>1663550</v>
      </c>
      <c r="Y6883" s="1">
        <v>1663550</v>
      </c>
      <c r="AA6883" s="1">
        <v>1680601.39</v>
      </c>
      <c r="AB6883" s="1" t="s">
        <v>5083</v>
      </c>
      <c r="AC6883" s="5">
        <v>43889</v>
      </c>
      <c r="AF6883" s="1">
        <v>10023</v>
      </c>
      <c r="AI6883" s="1" t="s">
        <v>65</v>
      </c>
      <c r="AJ6883" s="1">
        <v>2019</v>
      </c>
      <c r="AK6883" s="1" t="s">
        <v>108</v>
      </c>
      <c r="AL6883" s="1">
        <v>172</v>
      </c>
    </row>
    <row r="6884" spans="1:38" x14ac:dyDescent="0.2">
      <c r="A6884" s="2" t="str">
        <f>HYPERLINK("https://www.compass.com/listing/220-central-park-south-unit-40b-manhattan-ny-10019/477243877137829305/","220 Central Park S, Unit 40B")</f>
        <v>220 Central Park S, Unit 40B</v>
      </c>
      <c r="B6884" s="2" t="str">
        <f>HYPERLINK("https://www.compass.com/building/220-central-park-south-manhattan-ny/281944232648828453/","220 Central Park South")</f>
        <v>220 Central Park South</v>
      </c>
      <c r="C6884" s="1" t="s">
        <v>260</v>
      </c>
      <c r="D6884" s="1" t="s">
        <v>41</v>
      </c>
      <c r="E6884" s="3">
        <v>22910625</v>
      </c>
      <c r="F6884" s="1">
        <v>7528.9599079855398</v>
      </c>
      <c r="G6884" s="1">
        <v>5</v>
      </c>
      <c r="H6884" s="1">
        <v>3</v>
      </c>
      <c r="I6884" s="1">
        <v>4</v>
      </c>
      <c r="J6884" s="1">
        <v>3.5</v>
      </c>
      <c r="K6884" s="1">
        <v>3</v>
      </c>
      <c r="L6884" s="1">
        <v>1</v>
      </c>
      <c r="M6884" s="4">
        <v>3043</v>
      </c>
      <c r="N6884" s="1">
        <v>6180</v>
      </c>
      <c r="O6884" s="1">
        <v>11478</v>
      </c>
      <c r="P6884" s="1">
        <v>5298</v>
      </c>
      <c r="Q6884" s="1" t="s">
        <v>42</v>
      </c>
      <c r="S6884" s="1" t="s">
        <v>42</v>
      </c>
      <c r="T6884" s="1" t="s">
        <v>273</v>
      </c>
      <c r="U6884" s="1">
        <v>1792</v>
      </c>
      <c r="V6884" s="5">
        <v>43951</v>
      </c>
      <c r="W6884" s="5">
        <v>42110</v>
      </c>
      <c r="X6884" s="1">
        <v>22500000</v>
      </c>
      <c r="Y6884" s="1">
        <v>22500000</v>
      </c>
      <c r="AA6884" s="1">
        <v>22910625</v>
      </c>
      <c r="AB6884" s="1" t="s">
        <v>5084</v>
      </c>
      <c r="AC6884" s="5">
        <v>43902</v>
      </c>
      <c r="AF6884" s="1">
        <v>10019</v>
      </c>
      <c r="AI6884" s="1" t="s">
        <v>101</v>
      </c>
      <c r="AJ6884" s="1">
        <v>2018</v>
      </c>
      <c r="AK6884" s="1" t="s">
        <v>46</v>
      </c>
      <c r="AL6884" s="1">
        <v>117</v>
      </c>
    </row>
    <row r="6885" spans="1:38" x14ac:dyDescent="0.2">
      <c r="A6885" s="2" t="str">
        <f>HYPERLINK("https://www.compass.com/listing/15-west-61st-street-unit-5j-manhattan-ny-10023/477244525442752065/","15 W 61st St, Unit 5J")</f>
        <v>15 W 61st St, Unit 5J</v>
      </c>
      <c r="B6885" s="2" t="str">
        <f t="shared" ref="B6885:B6893" si="1085">HYPERLINK("https://www.compass.com/building/the-park-loggia-manhattan-ny/292861833130357557/","The Park Loggia")</f>
        <v>The Park Loggia</v>
      </c>
      <c r="C6885" s="1" t="s">
        <v>57</v>
      </c>
      <c r="D6885" s="1" t="s">
        <v>41</v>
      </c>
      <c r="E6885" s="3">
        <v>1836108</v>
      </c>
      <c r="F6885" s="1">
        <v>2283.71691542288</v>
      </c>
      <c r="G6885" s="1">
        <v>3</v>
      </c>
      <c r="H6885" s="1">
        <v>1</v>
      </c>
      <c r="I6885" s="1">
        <v>1</v>
      </c>
      <c r="J6885" s="1">
        <v>1</v>
      </c>
      <c r="K6885" s="1">
        <v>1</v>
      </c>
      <c r="M6885" s="1">
        <v>804</v>
      </c>
      <c r="N6885" s="1">
        <v>827</v>
      </c>
      <c r="O6885" s="1">
        <v>1622</v>
      </c>
      <c r="P6885" s="1">
        <v>795</v>
      </c>
      <c r="Q6885" s="1" t="s">
        <v>42</v>
      </c>
      <c r="S6885" s="1" t="s">
        <v>42</v>
      </c>
      <c r="T6885" s="1" t="s">
        <v>273</v>
      </c>
      <c r="U6885" s="1">
        <v>222</v>
      </c>
      <c r="V6885" s="5">
        <v>43911</v>
      </c>
      <c r="W6885" s="5">
        <v>43684</v>
      </c>
      <c r="X6885" s="1">
        <v>1803200</v>
      </c>
      <c r="Y6885" s="1">
        <v>1803200</v>
      </c>
      <c r="AA6885" s="1">
        <v>1836108.4</v>
      </c>
      <c r="AB6885" s="1" t="s">
        <v>5085</v>
      </c>
      <c r="AC6885" s="5">
        <v>43906</v>
      </c>
      <c r="AF6885" s="1">
        <v>10023</v>
      </c>
      <c r="AI6885" s="1" t="s">
        <v>65</v>
      </c>
      <c r="AJ6885" s="1">
        <v>2019</v>
      </c>
      <c r="AK6885" s="1" t="s">
        <v>108</v>
      </c>
      <c r="AL6885" s="1">
        <v>172</v>
      </c>
    </row>
    <row r="6886" spans="1:38" x14ac:dyDescent="0.2">
      <c r="A6886" s="2" t="str">
        <f>HYPERLINK("https://www.compass.com/listing/15-west-61st-street-unit-6b-manhattan-ny-10023/477244526810484393/","15 W 61st St, Unit 6B")</f>
        <v>15 W 61st St, Unit 6B</v>
      </c>
      <c r="B6886" s="2" t="str">
        <f t="shared" si="1085"/>
        <v>The Park Loggia</v>
      </c>
      <c r="C6886" s="1" t="s">
        <v>57</v>
      </c>
      <c r="D6886" s="1" t="s">
        <v>41</v>
      </c>
      <c r="E6886" s="3">
        <v>3158594</v>
      </c>
      <c r="F6886" s="1">
        <v>2360.6829222720398</v>
      </c>
      <c r="G6886" s="1">
        <v>4</v>
      </c>
      <c r="H6886" s="1">
        <v>2</v>
      </c>
      <c r="I6886" s="1">
        <v>3</v>
      </c>
      <c r="J6886" s="1">
        <v>2.5</v>
      </c>
      <c r="K6886" s="1">
        <v>2</v>
      </c>
      <c r="L6886" s="1">
        <v>1</v>
      </c>
      <c r="M6886" s="4">
        <v>1338</v>
      </c>
      <c r="N6886" s="1">
        <v>1375</v>
      </c>
      <c r="O6886" s="1">
        <v>2698</v>
      </c>
      <c r="P6886" s="1">
        <v>1323</v>
      </c>
      <c r="Q6886" s="1" t="s">
        <v>42</v>
      </c>
      <c r="S6886" s="1" t="s">
        <v>42</v>
      </c>
      <c r="T6886" s="1" t="s">
        <v>273</v>
      </c>
      <c r="U6886" s="1">
        <v>315</v>
      </c>
      <c r="V6886" s="5">
        <v>43911</v>
      </c>
      <c r="W6886" s="5">
        <v>43587</v>
      </c>
      <c r="X6886" s="1">
        <v>3125000</v>
      </c>
      <c r="Y6886" s="1">
        <v>3125000</v>
      </c>
      <c r="AA6886" s="1">
        <v>3158593.75</v>
      </c>
      <c r="AB6886" s="1" t="s">
        <v>5086</v>
      </c>
      <c r="AC6886" s="5">
        <v>43902</v>
      </c>
      <c r="AF6886" s="1">
        <v>10023</v>
      </c>
      <c r="AI6886" s="1" t="s">
        <v>65</v>
      </c>
      <c r="AJ6886" s="1">
        <v>2019</v>
      </c>
      <c r="AK6886" s="1" t="s">
        <v>108</v>
      </c>
      <c r="AL6886" s="1">
        <v>172</v>
      </c>
    </row>
    <row r="6887" spans="1:38" x14ac:dyDescent="0.2">
      <c r="A6887" s="2" t="str">
        <f>HYPERLINK("https://www.compass.com/listing/15-west-61st-street-unit-23d-manhattan-ny-10023/477244538302714977/","15 W 61st St, Unit 23D")</f>
        <v>15 W 61st St, Unit 23D</v>
      </c>
      <c r="B6887" s="2" t="str">
        <f t="shared" si="1085"/>
        <v>The Park Loggia</v>
      </c>
      <c r="C6887" s="1" t="s">
        <v>57</v>
      </c>
      <c r="D6887" s="1" t="s">
        <v>41</v>
      </c>
      <c r="E6887" s="3">
        <v>3677252</v>
      </c>
      <c r="F6887" s="1">
        <v>2744.2178208955202</v>
      </c>
      <c r="G6887" s="1">
        <v>4</v>
      </c>
      <c r="H6887" s="1">
        <v>2</v>
      </c>
      <c r="I6887" s="1">
        <v>2</v>
      </c>
      <c r="J6887" s="1">
        <v>2</v>
      </c>
      <c r="K6887" s="1">
        <v>2</v>
      </c>
      <c r="M6887" s="4">
        <v>1340</v>
      </c>
      <c r="N6887" s="1">
        <v>1415</v>
      </c>
      <c r="O6887" s="1">
        <v>2776</v>
      </c>
      <c r="P6887" s="1">
        <v>1361</v>
      </c>
      <c r="Q6887" s="1" t="s">
        <v>42</v>
      </c>
      <c r="S6887" s="1" t="s">
        <v>42</v>
      </c>
      <c r="T6887" s="1" t="s">
        <v>273</v>
      </c>
      <c r="U6887" s="1">
        <v>125</v>
      </c>
      <c r="V6887" s="5">
        <v>43911</v>
      </c>
      <c r="W6887" s="5">
        <v>43777</v>
      </c>
      <c r="X6887" s="1">
        <v>3602500</v>
      </c>
      <c r="Y6887" s="1">
        <v>3602500</v>
      </c>
      <c r="AA6887" s="1">
        <v>3677251.88</v>
      </c>
      <c r="AB6887" s="1" t="s">
        <v>5087</v>
      </c>
      <c r="AC6887" s="5">
        <v>43903</v>
      </c>
      <c r="AF6887" s="1">
        <v>10023</v>
      </c>
      <c r="AI6887" s="1" t="s">
        <v>1071</v>
      </c>
      <c r="AJ6887" s="1">
        <v>2019</v>
      </c>
      <c r="AK6887" s="1" t="s">
        <v>108</v>
      </c>
      <c r="AL6887" s="1">
        <v>172</v>
      </c>
    </row>
    <row r="6888" spans="1:38" x14ac:dyDescent="0.2">
      <c r="A6888" s="2" t="str">
        <f>HYPERLINK("https://www.compass.com/listing/15-west-61st-street-unit-3m-manhattan-ny-10023/477409222104256345/","15 W 61st St, Unit 3M")</f>
        <v>15 W 61st St, Unit 3M</v>
      </c>
      <c r="B6888" s="2" t="str">
        <f t="shared" si="1085"/>
        <v>The Park Loggia</v>
      </c>
      <c r="C6888" s="1" t="s">
        <v>57</v>
      </c>
      <c r="D6888" s="1" t="s">
        <v>41</v>
      </c>
      <c r="E6888" s="3">
        <v>1900000</v>
      </c>
      <c r="F6888" s="1">
        <v>2173.9130434782601</v>
      </c>
      <c r="G6888" s="1">
        <v>3</v>
      </c>
      <c r="H6888" s="1">
        <v>1</v>
      </c>
      <c r="I6888" s="1">
        <v>1</v>
      </c>
      <c r="J6888" s="1">
        <v>1</v>
      </c>
      <c r="K6888" s="1">
        <v>1</v>
      </c>
      <c r="M6888" s="1">
        <v>874</v>
      </c>
      <c r="N6888" s="1">
        <v>899</v>
      </c>
      <c r="O6888" s="1">
        <v>1763</v>
      </c>
      <c r="P6888" s="1">
        <v>864</v>
      </c>
      <c r="Q6888" s="1" t="s">
        <v>42</v>
      </c>
      <c r="S6888" s="1" t="s">
        <v>42</v>
      </c>
      <c r="T6888" s="1" t="s">
        <v>273</v>
      </c>
      <c r="U6888" s="1">
        <v>37</v>
      </c>
      <c r="V6888" s="5">
        <v>43911</v>
      </c>
      <c r="W6888" s="5">
        <v>43861</v>
      </c>
      <c r="X6888" s="1">
        <v>1900000</v>
      </c>
      <c r="Y6888" s="1">
        <v>1900000</v>
      </c>
      <c r="AA6888" s="1">
        <v>1900000</v>
      </c>
      <c r="AB6888" s="1" t="s">
        <v>5088</v>
      </c>
      <c r="AC6888" s="5">
        <v>43899</v>
      </c>
      <c r="AF6888" s="1">
        <v>10023</v>
      </c>
      <c r="AI6888" s="1" t="s">
        <v>65</v>
      </c>
      <c r="AJ6888" s="1">
        <v>2019</v>
      </c>
      <c r="AK6888" s="1" t="s">
        <v>108</v>
      </c>
      <c r="AL6888" s="1">
        <v>172</v>
      </c>
    </row>
    <row r="6889" spans="1:38" x14ac:dyDescent="0.2">
      <c r="A6889" s="2" t="str">
        <f>HYPERLINK("https://www.compass.com/listing/15-west-61st-street-unit-10d-manhattan-ny-10023/477461052528301049/","15 W 61st St, Unit 10D")</f>
        <v>15 W 61st St, Unit 10D</v>
      </c>
      <c r="B6889" s="2" t="str">
        <f t="shared" si="1085"/>
        <v>The Park Loggia</v>
      </c>
      <c r="C6889" s="1" t="s">
        <v>57</v>
      </c>
      <c r="D6889" s="1" t="s">
        <v>41</v>
      </c>
      <c r="E6889" s="3">
        <v>1563014</v>
      </c>
      <c r="F6889" s="1">
        <v>2339.8409431137702</v>
      </c>
      <c r="G6889" s="1">
        <v>3</v>
      </c>
      <c r="H6889" s="1">
        <v>1</v>
      </c>
      <c r="I6889" s="1">
        <v>1</v>
      </c>
      <c r="J6889" s="1">
        <v>1</v>
      </c>
      <c r="K6889" s="1">
        <v>1</v>
      </c>
      <c r="M6889" s="1">
        <v>668</v>
      </c>
      <c r="N6889" s="1">
        <v>687</v>
      </c>
      <c r="O6889" s="1">
        <v>1348</v>
      </c>
      <c r="P6889" s="1">
        <v>661</v>
      </c>
      <c r="Q6889" s="1" t="s">
        <v>42</v>
      </c>
      <c r="S6889" s="1" t="s">
        <v>42</v>
      </c>
      <c r="T6889" s="1" t="s">
        <v>273</v>
      </c>
      <c r="U6889" s="1">
        <v>123</v>
      </c>
      <c r="V6889" s="5">
        <v>43911</v>
      </c>
      <c r="W6889" s="5">
        <v>43766</v>
      </c>
      <c r="X6889" s="1">
        <v>1535000</v>
      </c>
      <c r="Y6889" s="1">
        <v>1535000</v>
      </c>
      <c r="AA6889" s="1">
        <v>1563013.75</v>
      </c>
      <c r="AB6889" s="1" t="s">
        <v>5089</v>
      </c>
      <c r="AC6889" s="5">
        <v>43889</v>
      </c>
      <c r="AF6889" s="1">
        <v>10023</v>
      </c>
      <c r="AI6889" s="1" t="s">
        <v>65</v>
      </c>
      <c r="AJ6889" s="1">
        <v>2019</v>
      </c>
      <c r="AK6889" s="1" t="s">
        <v>108</v>
      </c>
      <c r="AL6889" s="1">
        <v>172</v>
      </c>
    </row>
    <row r="6890" spans="1:38" x14ac:dyDescent="0.2">
      <c r="A6890" s="2" t="str">
        <f>HYPERLINK("https://www.compass.com/listing/15-west-61st-street-unit-10e-manhattan-ny-10023/477461085025652721/","15 W 61st St, Unit 10E")</f>
        <v>15 W 61st St, Unit 10E</v>
      </c>
      <c r="B6890" s="2" t="str">
        <f t="shared" si="1085"/>
        <v>The Park Loggia</v>
      </c>
      <c r="C6890" s="1" t="s">
        <v>57</v>
      </c>
      <c r="D6890" s="1" t="s">
        <v>41</v>
      </c>
      <c r="E6890" s="3">
        <v>1847192</v>
      </c>
      <c r="F6890" s="1">
        <v>2377.3379794079701</v>
      </c>
      <c r="G6890" s="1">
        <v>3</v>
      </c>
      <c r="H6890" s="1">
        <v>1</v>
      </c>
      <c r="I6890" s="1">
        <v>1</v>
      </c>
      <c r="J6890" s="1">
        <v>1</v>
      </c>
      <c r="K6890" s="1">
        <v>1</v>
      </c>
      <c r="M6890" s="1">
        <v>777</v>
      </c>
      <c r="N6890" s="1">
        <v>799</v>
      </c>
      <c r="O6890" s="1">
        <v>1568</v>
      </c>
      <c r="P6890" s="1">
        <v>769</v>
      </c>
      <c r="Q6890" s="1" t="s">
        <v>42</v>
      </c>
      <c r="S6890" s="1" t="s">
        <v>42</v>
      </c>
      <c r="T6890" s="1" t="s">
        <v>273</v>
      </c>
      <c r="U6890" s="1">
        <v>303</v>
      </c>
      <c r="V6890" s="5">
        <v>43911</v>
      </c>
      <c r="W6890" s="5">
        <v>43586</v>
      </c>
      <c r="X6890" s="1">
        <v>1828450</v>
      </c>
      <c r="Y6890" s="1">
        <v>1828450</v>
      </c>
      <c r="AA6890" s="1">
        <v>1847191.61</v>
      </c>
      <c r="AB6890" s="1" t="s">
        <v>1875</v>
      </c>
      <c r="AC6890" s="5">
        <v>43889</v>
      </c>
      <c r="AF6890" s="1">
        <v>10023</v>
      </c>
      <c r="AI6890" s="1" t="s">
        <v>65</v>
      </c>
      <c r="AJ6890" s="1">
        <v>2019</v>
      </c>
      <c r="AK6890" s="1" t="s">
        <v>108</v>
      </c>
      <c r="AL6890" s="1">
        <v>172</v>
      </c>
    </row>
    <row r="6891" spans="1:38" x14ac:dyDescent="0.2">
      <c r="A6891" s="2" t="str">
        <f>HYPERLINK("https://www.compass.com/listing/15-west-61st-street-unit-15c-manhattan-ny-10023/477507358114228329/","15 W 61st St, Unit 15C")</f>
        <v>15 W 61st St, Unit 15C</v>
      </c>
      <c r="B6891" s="2" t="str">
        <f t="shared" si="1085"/>
        <v>The Park Loggia</v>
      </c>
      <c r="C6891" s="1" t="s">
        <v>57</v>
      </c>
      <c r="D6891" s="1" t="s">
        <v>41</v>
      </c>
      <c r="E6891" s="3">
        <v>1739231</v>
      </c>
      <c r="F6891" s="1">
        <v>2516.9772069464502</v>
      </c>
      <c r="G6891" s="1">
        <v>3</v>
      </c>
      <c r="H6891" s="1">
        <v>1</v>
      </c>
      <c r="I6891" s="1">
        <v>1</v>
      </c>
      <c r="J6891" s="1">
        <v>1</v>
      </c>
      <c r="K6891" s="1">
        <v>1</v>
      </c>
      <c r="M6891" s="1">
        <v>691</v>
      </c>
      <c r="N6891" s="1">
        <v>711</v>
      </c>
      <c r="O6891" s="1">
        <v>1395</v>
      </c>
      <c r="P6891" s="1">
        <v>684</v>
      </c>
      <c r="Q6891" s="1" t="s">
        <v>42</v>
      </c>
      <c r="S6891" s="1" t="s">
        <v>42</v>
      </c>
      <c r="T6891" s="1" t="s">
        <v>273</v>
      </c>
      <c r="U6891" s="1">
        <v>301</v>
      </c>
      <c r="V6891" s="5">
        <v>43911</v>
      </c>
      <c r="W6891" s="5">
        <v>43601</v>
      </c>
      <c r="X6891" s="1">
        <v>1725000</v>
      </c>
      <c r="Y6891" s="1">
        <v>1725000</v>
      </c>
      <c r="AA6891" s="1">
        <v>1739231.25</v>
      </c>
      <c r="AB6891" s="1" t="s">
        <v>5090</v>
      </c>
      <c r="AC6891" s="5">
        <v>43902</v>
      </c>
      <c r="AF6891" s="1">
        <v>10023</v>
      </c>
      <c r="AI6891" s="1" t="s">
        <v>65</v>
      </c>
      <c r="AJ6891" s="1">
        <v>2019</v>
      </c>
      <c r="AK6891" s="1" t="s">
        <v>108</v>
      </c>
      <c r="AL6891" s="1">
        <v>172</v>
      </c>
    </row>
    <row r="6892" spans="1:38" x14ac:dyDescent="0.2">
      <c r="A6892" s="2" t="str">
        <f>HYPERLINK("https://www.compass.com/listing/15-west-61st-street-unit-24d-manhattan-ny-10023/477519955202610561/","15 W 61st St, Unit 24D")</f>
        <v>15 W 61st St, Unit 24D</v>
      </c>
      <c r="B6892" s="2" t="str">
        <f t="shared" si="1085"/>
        <v>The Park Loggia</v>
      </c>
      <c r="C6892" s="1" t="s">
        <v>57</v>
      </c>
      <c r="D6892" s="1" t="s">
        <v>41</v>
      </c>
      <c r="E6892" s="3">
        <v>3475000</v>
      </c>
      <c r="F6892" s="1">
        <v>2551.3950073421402</v>
      </c>
      <c r="G6892" s="1">
        <v>4</v>
      </c>
      <c r="H6892" s="1">
        <v>2</v>
      </c>
      <c r="I6892" s="1">
        <v>2</v>
      </c>
      <c r="J6892" s="1">
        <v>2</v>
      </c>
      <c r="K6892" s="1">
        <v>2</v>
      </c>
      <c r="M6892" s="4">
        <v>1362</v>
      </c>
      <c r="N6892" s="1">
        <v>1437</v>
      </c>
      <c r="O6892" s="1">
        <v>2820</v>
      </c>
      <c r="P6892" s="1">
        <v>1383</v>
      </c>
      <c r="Q6892" s="1" t="s">
        <v>42</v>
      </c>
      <c r="S6892" s="1" t="s">
        <v>42</v>
      </c>
      <c r="T6892" s="1" t="s">
        <v>273</v>
      </c>
      <c r="U6892" s="1">
        <v>49</v>
      </c>
      <c r="V6892" s="5">
        <v>43911</v>
      </c>
      <c r="W6892" s="5">
        <v>43858</v>
      </c>
      <c r="X6892" s="1">
        <v>3475000</v>
      </c>
      <c r="Y6892" s="1">
        <v>3475000</v>
      </c>
      <c r="AA6892" s="1">
        <v>3475000</v>
      </c>
      <c r="AB6892" s="1" t="s">
        <v>5091</v>
      </c>
      <c r="AC6892" s="5">
        <v>43908</v>
      </c>
      <c r="AF6892" s="1">
        <v>10023</v>
      </c>
      <c r="AI6892" s="1" t="s">
        <v>1071</v>
      </c>
      <c r="AJ6892" s="1">
        <v>2019</v>
      </c>
      <c r="AK6892" s="1" t="s">
        <v>108</v>
      </c>
      <c r="AL6892" s="1">
        <v>172</v>
      </c>
    </row>
    <row r="6893" spans="1:38" x14ac:dyDescent="0.2">
      <c r="A6893" s="2" t="str">
        <f>HYPERLINK("https://www.compass.com/listing/15-west-61st-street-unit-28c-manhattan-ny-10023/477526625884468593/","15 W 61st St, Unit 28C")</f>
        <v>15 W 61st St, Unit 28C</v>
      </c>
      <c r="B6893" s="2" t="str">
        <f t="shared" si="1085"/>
        <v>The Park Loggia</v>
      </c>
      <c r="C6893" s="1" t="s">
        <v>57</v>
      </c>
      <c r="D6893" s="1" t="s">
        <v>41</v>
      </c>
      <c r="E6893" s="3">
        <v>2060000</v>
      </c>
      <c r="F6893" s="1">
        <v>2464.1148325358799</v>
      </c>
      <c r="G6893" s="1">
        <v>3</v>
      </c>
      <c r="H6893" s="1">
        <v>1</v>
      </c>
      <c r="I6893" s="1">
        <v>1</v>
      </c>
      <c r="J6893" s="1">
        <v>1</v>
      </c>
      <c r="K6893" s="1">
        <v>1</v>
      </c>
      <c r="M6893" s="1">
        <v>836</v>
      </c>
      <c r="N6893" s="1">
        <v>860</v>
      </c>
      <c r="O6893" s="1">
        <v>1687</v>
      </c>
      <c r="P6893" s="1">
        <v>827</v>
      </c>
      <c r="Q6893" s="1" t="s">
        <v>42</v>
      </c>
      <c r="S6893" s="1" t="s">
        <v>42</v>
      </c>
      <c r="T6893" s="1" t="s">
        <v>273</v>
      </c>
      <c r="U6893" s="1">
        <v>189</v>
      </c>
      <c r="V6893" s="5">
        <v>43911</v>
      </c>
      <c r="W6893" s="5">
        <v>43690</v>
      </c>
      <c r="X6893" s="1">
        <v>2060000</v>
      </c>
      <c r="Y6893" s="1">
        <v>2060000</v>
      </c>
      <c r="AA6893" s="1">
        <v>2060000</v>
      </c>
      <c r="AB6893" s="1" t="s">
        <v>275</v>
      </c>
      <c r="AC6893" s="5">
        <v>43879</v>
      </c>
      <c r="AF6893" s="1">
        <v>10023</v>
      </c>
      <c r="AI6893" s="1" t="s">
        <v>65</v>
      </c>
      <c r="AJ6893" s="1">
        <v>2019</v>
      </c>
      <c r="AK6893" s="1" t="s">
        <v>108</v>
      </c>
      <c r="AL6893" s="1">
        <v>172</v>
      </c>
    </row>
    <row r="6894" spans="1:38" x14ac:dyDescent="0.2">
      <c r="A6894" s="2" t="str">
        <f>HYPERLINK("https://www.compass.com/listing/108-leonard-street-unit-4f-manhattan-ny-10013/477961312702675233/","108 Leonard St, Unit 4F")</f>
        <v>108 Leonard St, Unit 4F</v>
      </c>
      <c r="B6894" s="2" t="str">
        <f>HYPERLINK("https://www.compass.com/building/108-leonard-st-manhattan-ny-10013/307456049610778277/","108 Leonard St")</f>
        <v>108 Leonard St</v>
      </c>
      <c r="C6894" s="1" t="s">
        <v>113</v>
      </c>
      <c r="D6894" s="1" t="s">
        <v>41</v>
      </c>
      <c r="E6894" s="3">
        <v>3223780</v>
      </c>
      <c r="F6894" s="1">
        <v>2111.18516044531</v>
      </c>
      <c r="M6894" s="4">
        <v>1527</v>
      </c>
      <c r="Q6894" s="1" t="s">
        <v>42</v>
      </c>
      <c r="S6894" s="1" t="s">
        <v>42</v>
      </c>
      <c r="T6894" s="1" t="s">
        <v>273</v>
      </c>
      <c r="AA6894" s="1">
        <v>3223779.74</v>
      </c>
      <c r="AB6894" s="1" t="s">
        <v>5092</v>
      </c>
      <c r="AC6894" s="5">
        <v>43903</v>
      </c>
      <c r="AF6894" s="1">
        <v>10013</v>
      </c>
      <c r="AI6894" s="1" t="s">
        <v>78</v>
      </c>
      <c r="AJ6894" s="1">
        <v>1899</v>
      </c>
      <c r="AK6894" s="1" t="s">
        <v>55</v>
      </c>
      <c r="AL6894" s="1">
        <v>167</v>
      </c>
    </row>
    <row r="6895" spans="1:38" x14ac:dyDescent="0.2">
      <c r="A6895" s="2" t="str">
        <f>HYPERLINK("https://www.compass.com/listing/70-west-139th-street-unit-4f-manhattan-ny-10037/477977640172044705/","70 W 139th St, Unit 4F")</f>
        <v>70 W 139th St, Unit 4F</v>
      </c>
      <c r="B6895" s="2" t="str">
        <f>HYPERLINK("https://www.compass.com/building/70-w-139th-st-manhattan-ny-10037/292920118235647477/","70 W 139th St")</f>
        <v>70 W 139th St</v>
      </c>
      <c r="C6895" s="1" t="s">
        <v>84</v>
      </c>
      <c r="D6895" s="1" t="s">
        <v>41</v>
      </c>
      <c r="E6895" s="3">
        <v>533786</v>
      </c>
      <c r="F6895" s="1">
        <v>567.25398512221</v>
      </c>
      <c r="M6895" s="1">
        <v>941</v>
      </c>
      <c r="Q6895" s="1" t="s">
        <v>42</v>
      </c>
      <c r="S6895" s="1" t="s">
        <v>42</v>
      </c>
      <c r="T6895" s="1" t="s">
        <v>273</v>
      </c>
      <c r="AA6895" s="1">
        <v>533786</v>
      </c>
      <c r="AB6895" s="1" t="s">
        <v>5093</v>
      </c>
      <c r="AC6895" s="5">
        <v>43899</v>
      </c>
      <c r="AF6895" s="1">
        <v>10037</v>
      </c>
      <c r="AI6895" s="1" t="s">
        <v>48</v>
      </c>
      <c r="AJ6895" s="1">
        <v>2018</v>
      </c>
      <c r="AL6895" s="1">
        <v>64</v>
      </c>
    </row>
    <row r="6896" spans="1:38" x14ac:dyDescent="0.2">
      <c r="A6896" s="2" t="str">
        <f>HYPERLINK("https://www.compass.com/listing/360-east-89th-street-unit-6a-b-manhattan-ny-10128/4824145946260544433/","360 E 89th St, Unit 6A/B")</f>
        <v>360 E 89th St, Unit 6A/B</v>
      </c>
      <c r="B6896" s="2" t="str">
        <f>HYPERLINK("https://www.compass.com/building/citizen360-manhattan-ny/282052027553444853/","Citizen360")</f>
        <v>Citizen360</v>
      </c>
      <c r="C6896" s="1" t="s">
        <v>82</v>
      </c>
      <c r="D6896" s="1" t="s">
        <v>41</v>
      </c>
      <c r="E6896" s="3">
        <v>3820000</v>
      </c>
      <c r="G6896" s="1">
        <v>6</v>
      </c>
      <c r="H6896" s="1">
        <v>4</v>
      </c>
      <c r="I6896" s="1">
        <v>3</v>
      </c>
      <c r="J6896" s="1">
        <v>3.5</v>
      </c>
      <c r="K6896" s="1">
        <v>3</v>
      </c>
      <c r="L6896" s="1">
        <v>1</v>
      </c>
      <c r="N6896" s="1">
        <v>2368.7199999999998</v>
      </c>
      <c r="O6896" s="1">
        <v>5123.82</v>
      </c>
      <c r="P6896" s="1">
        <v>2755.0833333333298</v>
      </c>
      <c r="Q6896" s="1" t="s">
        <v>42</v>
      </c>
      <c r="S6896" s="1" t="s">
        <v>42</v>
      </c>
      <c r="T6896" s="1" t="s">
        <v>273</v>
      </c>
      <c r="V6896" s="5">
        <v>43181</v>
      </c>
      <c r="AA6896" s="1">
        <v>3820000</v>
      </c>
      <c r="AB6896" s="1" t="s">
        <v>275</v>
      </c>
      <c r="AC6896" s="5">
        <v>43034</v>
      </c>
      <c r="AF6896" s="1">
        <v>10128</v>
      </c>
      <c r="AJ6896" s="1">
        <v>2017</v>
      </c>
      <c r="AK6896" s="1" t="s">
        <v>108</v>
      </c>
      <c r="AL6896" s="1">
        <v>82</v>
      </c>
    </row>
    <row r="6897" spans="1:38" x14ac:dyDescent="0.2">
      <c r="A6897" s="2" t="str">
        <f>HYPERLINK("https://www.compass.com/listing/2231-adam-clayton-powell-jr-boulevard-unit-519-manhattan-ny-10027/4852265654696287041/","2231 Adam Clayton Powell Jr Blvd, Unit 519")</f>
        <v>2231 Adam Clayton Powell Jr Blvd, Unit 519</v>
      </c>
      <c r="B6897" s="2" t="str">
        <f>HYPERLINK("https://www.compass.com/building/the-aurum-manhattan-ny/307451641162444869/","The Aurum")</f>
        <v>The Aurum</v>
      </c>
      <c r="C6897" s="1" t="s">
        <v>84</v>
      </c>
      <c r="D6897" s="1" t="s">
        <v>41</v>
      </c>
      <c r="E6897" s="3">
        <v>795000</v>
      </c>
      <c r="F6897" s="1">
        <v>1251.9685039369999</v>
      </c>
      <c r="G6897" s="1">
        <v>3</v>
      </c>
      <c r="H6897" s="1">
        <v>1</v>
      </c>
      <c r="I6897" s="1">
        <v>1</v>
      </c>
      <c r="J6897" s="1">
        <v>1</v>
      </c>
      <c r="M6897" s="1">
        <v>635</v>
      </c>
      <c r="N6897" s="1">
        <v>738</v>
      </c>
      <c r="O6897" s="1">
        <v>875</v>
      </c>
      <c r="P6897" s="1">
        <v>137</v>
      </c>
      <c r="Q6897" s="1" t="s">
        <v>42</v>
      </c>
      <c r="S6897" s="1" t="s">
        <v>42</v>
      </c>
      <c r="T6897" s="1" t="s">
        <v>273</v>
      </c>
      <c r="U6897" s="1">
        <v>635</v>
      </c>
      <c r="V6897" s="5">
        <v>43468</v>
      </c>
      <c r="W6897" s="5">
        <v>42832</v>
      </c>
      <c r="X6897" s="1">
        <v>795000</v>
      </c>
      <c r="Y6897" s="1">
        <v>795000</v>
      </c>
      <c r="AA6897" s="1">
        <v>795000</v>
      </c>
      <c r="AB6897" s="1" t="s">
        <v>275</v>
      </c>
      <c r="AC6897" s="5">
        <v>43467</v>
      </c>
      <c r="AF6897" s="1">
        <v>10027</v>
      </c>
      <c r="AI6897" s="1" t="s">
        <v>52</v>
      </c>
      <c r="AJ6897" s="1">
        <v>2016</v>
      </c>
      <c r="AK6897" s="1" t="s">
        <v>108</v>
      </c>
      <c r="AL6897" s="1">
        <v>115</v>
      </c>
    </row>
    <row r="6898" spans="1:38" x14ac:dyDescent="0.2">
      <c r="A6898" s="2" t="str">
        <f>HYPERLINK("https://www.compass.com/listing/285-west-110th-street-unit-5d-manhattan-ny-10026/4852275408642515665/","285 W 110th St, Unit 5D")</f>
        <v>285 W 110th St, Unit 5D</v>
      </c>
      <c r="B6898" s="2" t="str">
        <f>HYPERLINK("https://www.compass.com/building/circa-central-park-manhattan-ny/282059072692321269/","Circa Central Park")</f>
        <v>Circa Central Park</v>
      </c>
      <c r="C6898" s="1" t="s">
        <v>85</v>
      </c>
      <c r="D6898" s="1" t="s">
        <v>41</v>
      </c>
      <c r="E6898" s="3">
        <v>1067126</v>
      </c>
      <c r="F6898" s="1">
        <v>1629.2</v>
      </c>
      <c r="G6898" s="1">
        <v>2</v>
      </c>
      <c r="H6898" s="1">
        <v>1</v>
      </c>
      <c r="I6898" s="1">
        <v>1</v>
      </c>
      <c r="J6898" s="1">
        <v>1</v>
      </c>
      <c r="K6898" s="1">
        <v>1</v>
      </c>
      <c r="M6898" s="1">
        <v>655</v>
      </c>
      <c r="N6898" s="1">
        <v>654</v>
      </c>
      <c r="O6898" s="1">
        <v>719</v>
      </c>
      <c r="P6898" s="1">
        <v>65</v>
      </c>
      <c r="Q6898" s="1" t="s">
        <v>42</v>
      </c>
      <c r="S6898" s="1" t="s">
        <v>42</v>
      </c>
      <c r="T6898" s="1" t="s">
        <v>273</v>
      </c>
      <c r="V6898" s="5">
        <v>43664</v>
      </c>
      <c r="W6898" s="5">
        <v>42649</v>
      </c>
      <c r="X6898" s="1">
        <v>1275000</v>
      </c>
      <c r="Y6898" s="1">
        <v>1275000</v>
      </c>
      <c r="Z6898" s="5">
        <v>42649</v>
      </c>
      <c r="AA6898" s="1">
        <v>1067126</v>
      </c>
      <c r="AB6898" s="1" t="s">
        <v>275</v>
      </c>
      <c r="AC6898" s="5">
        <v>42930</v>
      </c>
      <c r="AF6898" s="1">
        <v>10026</v>
      </c>
      <c r="AI6898" s="1" t="s">
        <v>48</v>
      </c>
      <c r="AJ6898" s="1">
        <v>2017</v>
      </c>
      <c r="AK6898" s="1" t="s">
        <v>46</v>
      </c>
      <c r="AL6898" s="1">
        <v>38</v>
      </c>
    </row>
    <row r="6899" spans="1:38" x14ac:dyDescent="0.2">
      <c r="A6899" s="2" t="str">
        <f>HYPERLINK("https://www.compass.com/listing/2231-adam-clayton-powell-jr-boulevard-unit-ph14-manhattan-ny-10027/4852276236984006977/","2231 Adam Clayton Powell Jr Blvd, Unit PH14")</f>
        <v>2231 Adam Clayton Powell Jr Blvd, Unit PH14</v>
      </c>
      <c r="B6899" s="2" t="str">
        <f t="shared" ref="B6899:B6900" si="1086">HYPERLINK("https://www.compass.com/building/the-aurum-manhattan-ny/307451641162444869/","The Aurum")</f>
        <v>The Aurum</v>
      </c>
      <c r="C6899" s="1" t="s">
        <v>84</v>
      </c>
      <c r="D6899" s="1" t="s">
        <v>41</v>
      </c>
      <c r="E6899" s="3">
        <v>1100000</v>
      </c>
      <c r="F6899" s="1">
        <v>1265.8227848101201</v>
      </c>
      <c r="G6899" s="1">
        <v>4</v>
      </c>
      <c r="H6899" s="1">
        <v>2</v>
      </c>
      <c r="I6899" s="1">
        <v>2</v>
      </c>
      <c r="J6899" s="1">
        <v>2</v>
      </c>
      <c r="M6899" s="1">
        <v>869</v>
      </c>
      <c r="N6899" s="1">
        <v>829</v>
      </c>
      <c r="O6899" s="1">
        <v>983</v>
      </c>
      <c r="P6899" s="1">
        <v>154</v>
      </c>
      <c r="Q6899" s="1" t="s">
        <v>42</v>
      </c>
      <c r="S6899" s="1" t="s">
        <v>42</v>
      </c>
      <c r="T6899" s="1" t="s">
        <v>273</v>
      </c>
      <c r="U6899" s="1">
        <v>456</v>
      </c>
      <c r="V6899" s="5">
        <v>42917</v>
      </c>
      <c r="W6899" s="5">
        <v>42459</v>
      </c>
      <c r="X6899" s="1">
        <v>1100000</v>
      </c>
      <c r="Y6899" s="1">
        <v>1100000</v>
      </c>
      <c r="AA6899" s="1">
        <v>1100000</v>
      </c>
      <c r="AB6899" s="1" t="s">
        <v>275</v>
      </c>
      <c r="AC6899" s="5">
        <v>42915</v>
      </c>
      <c r="AF6899" s="1">
        <v>10027</v>
      </c>
      <c r="AI6899" s="1" t="s">
        <v>52</v>
      </c>
      <c r="AJ6899" s="1">
        <v>2016</v>
      </c>
      <c r="AK6899" s="1" t="s">
        <v>108</v>
      </c>
      <c r="AL6899" s="1">
        <v>115</v>
      </c>
    </row>
    <row r="6900" spans="1:38" x14ac:dyDescent="0.2">
      <c r="A6900" s="2" t="str">
        <f>HYPERLINK("https://www.compass.com/listing/2231-adam-clayton-powell-jr-boulevard-unit-516-manhattan-ny-10027/4852284948888953505/","2231 Adam Clayton Powell Jr Blvd, Unit 516")</f>
        <v>2231 Adam Clayton Powell Jr Blvd, Unit 516</v>
      </c>
      <c r="B6900" s="2" t="str">
        <f t="shared" si="1086"/>
        <v>The Aurum</v>
      </c>
      <c r="C6900" s="1" t="s">
        <v>84</v>
      </c>
      <c r="D6900" s="1" t="s">
        <v>41</v>
      </c>
      <c r="E6900" s="3">
        <v>697000</v>
      </c>
      <c r="F6900" s="1">
        <v>1097.63779527559</v>
      </c>
      <c r="G6900" s="1">
        <v>3</v>
      </c>
      <c r="H6900" s="1">
        <v>1</v>
      </c>
      <c r="I6900" s="1">
        <v>1</v>
      </c>
      <c r="J6900" s="1">
        <v>1</v>
      </c>
      <c r="M6900" s="1">
        <v>635</v>
      </c>
      <c r="N6900" s="1">
        <v>624</v>
      </c>
      <c r="O6900" s="1">
        <v>740</v>
      </c>
      <c r="P6900" s="1">
        <v>116</v>
      </c>
      <c r="Q6900" s="1" t="s">
        <v>42</v>
      </c>
      <c r="S6900" s="1" t="s">
        <v>42</v>
      </c>
      <c r="T6900" s="1" t="s">
        <v>273</v>
      </c>
      <c r="V6900" s="5">
        <v>43069</v>
      </c>
      <c r="W6900" s="5">
        <v>42832</v>
      </c>
      <c r="X6900" s="1">
        <v>697000</v>
      </c>
      <c r="Y6900" s="1">
        <v>697000</v>
      </c>
      <c r="AA6900" s="1">
        <v>697000</v>
      </c>
      <c r="AB6900" s="1" t="s">
        <v>275</v>
      </c>
      <c r="AC6900" s="5">
        <v>42832</v>
      </c>
      <c r="AF6900" s="1">
        <v>10027</v>
      </c>
      <c r="AI6900" s="1" t="s">
        <v>52</v>
      </c>
      <c r="AJ6900" s="1">
        <v>2016</v>
      </c>
      <c r="AK6900" s="1" t="s">
        <v>108</v>
      </c>
      <c r="AL6900" s="1">
        <v>115</v>
      </c>
    </row>
    <row r="6901" spans="1:38" x14ac:dyDescent="0.2">
      <c r="A6901" s="2" t="str">
        <f>HYPERLINK("https://www.compass.com/listing/220-central-park-south-unit-62-manhattan-ny-10019/488120142618779945/","220 Central Park S, Unit 62")</f>
        <v>220 Central Park S, Unit 62</v>
      </c>
      <c r="B6901" s="2" t="str">
        <f>HYPERLINK("https://www.compass.com/building/220-central-park-south-manhattan-ny/281944232648828453/","220 Central Park South")</f>
        <v>220 Central Park South</v>
      </c>
      <c r="C6901" s="1" t="s">
        <v>260</v>
      </c>
      <c r="D6901" s="1" t="s">
        <v>41</v>
      </c>
      <c r="E6901" s="3">
        <v>52185313</v>
      </c>
      <c r="F6901" s="1">
        <v>8792.8074978938494</v>
      </c>
      <c r="G6901" s="1">
        <v>8</v>
      </c>
      <c r="H6901" s="1">
        <v>4</v>
      </c>
      <c r="I6901" s="1">
        <v>7</v>
      </c>
      <c r="J6901" s="1">
        <v>6</v>
      </c>
      <c r="K6901" s="1">
        <v>5</v>
      </c>
      <c r="L6901" s="1">
        <v>2</v>
      </c>
      <c r="M6901" s="4">
        <v>5935</v>
      </c>
      <c r="N6901" s="1">
        <v>12485</v>
      </c>
      <c r="O6901" s="1">
        <v>23189</v>
      </c>
      <c r="P6901" s="1">
        <v>10704</v>
      </c>
      <c r="Q6901" s="1" t="s">
        <v>42</v>
      </c>
      <c r="S6901" s="1" t="s">
        <v>42</v>
      </c>
      <c r="T6901" s="1" t="s">
        <v>273</v>
      </c>
      <c r="U6901" s="1">
        <v>1827</v>
      </c>
      <c r="V6901" s="5">
        <v>43951</v>
      </c>
      <c r="W6901" s="5">
        <v>42083</v>
      </c>
      <c r="X6901" s="1">
        <v>51250000</v>
      </c>
      <c r="Y6901" s="1">
        <v>51250000</v>
      </c>
      <c r="AA6901" s="1">
        <v>52185312.5</v>
      </c>
      <c r="AB6901" s="1" t="s">
        <v>5094</v>
      </c>
      <c r="AC6901" s="5">
        <v>43921</v>
      </c>
      <c r="AF6901" s="1">
        <v>10019</v>
      </c>
      <c r="AI6901" s="1" t="s">
        <v>101</v>
      </c>
      <c r="AJ6901" s="1">
        <v>2018</v>
      </c>
      <c r="AK6901" s="1" t="s">
        <v>46</v>
      </c>
      <c r="AL6901" s="1">
        <v>117</v>
      </c>
    </row>
    <row r="6902" spans="1:38" x14ac:dyDescent="0.2">
      <c r="A6902" s="2" t="str">
        <f>HYPERLINK("https://www.compass.com/listing/15-west-61st-street-unit-ph32a-manhattan-ny-10023/490556866871879121/","15 W 61st St, Unit PH32A")</f>
        <v>15 W 61st St, Unit PH32A</v>
      </c>
      <c r="B6902" s="2" t="str">
        <f>HYPERLINK("https://www.compass.com/building/the-park-loggia-manhattan-ny/292861833130357557/","The Park Loggia")</f>
        <v>The Park Loggia</v>
      </c>
      <c r="C6902" s="1" t="s">
        <v>57</v>
      </c>
      <c r="D6902" s="1" t="s">
        <v>41</v>
      </c>
      <c r="E6902" s="3">
        <v>9400000</v>
      </c>
      <c r="F6902" s="1">
        <v>3931.4094521120801</v>
      </c>
      <c r="G6902" s="1">
        <v>6</v>
      </c>
      <c r="H6902" s="1">
        <v>4</v>
      </c>
      <c r="I6902" s="1">
        <v>5</v>
      </c>
      <c r="J6902" s="1">
        <v>4.5</v>
      </c>
      <c r="K6902" s="1">
        <v>4</v>
      </c>
      <c r="L6902" s="1">
        <v>1</v>
      </c>
      <c r="M6902" s="4">
        <v>2391</v>
      </c>
      <c r="N6902" s="1">
        <v>2589</v>
      </c>
      <c r="O6902" s="1">
        <v>5079</v>
      </c>
      <c r="P6902" s="1">
        <v>2490</v>
      </c>
      <c r="Q6902" s="1" t="s">
        <v>42</v>
      </c>
      <c r="S6902" s="1" t="s">
        <v>42</v>
      </c>
      <c r="T6902" s="1" t="s">
        <v>273</v>
      </c>
      <c r="U6902" s="1">
        <v>13</v>
      </c>
      <c r="V6902" s="5">
        <v>43929</v>
      </c>
      <c r="W6902" s="5">
        <v>43896</v>
      </c>
      <c r="X6902" s="1">
        <v>9400000</v>
      </c>
      <c r="Y6902" s="1">
        <v>9400000</v>
      </c>
      <c r="AA6902" s="1">
        <v>9400000</v>
      </c>
      <c r="AB6902" s="1" t="s">
        <v>275</v>
      </c>
      <c r="AC6902" s="5">
        <v>43928</v>
      </c>
      <c r="AF6902" s="1">
        <v>10023</v>
      </c>
      <c r="AI6902" s="1" t="s">
        <v>1071</v>
      </c>
      <c r="AJ6902" s="1">
        <v>2019</v>
      </c>
      <c r="AK6902" s="1" t="s">
        <v>108</v>
      </c>
      <c r="AL6902" s="1">
        <v>172</v>
      </c>
    </row>
    <row r="6903" spans="1:38" x14ac:dyDescent="0.2">
      <c r="A6903" s="2" t="str">
        <f>HYPERLINK("https://www.compass.com/listing/220-central-park-south-unit-58b-manhattan-ny-10019/491165479692718609/","220 Central Park S, Unit 58B")</f>
        <v>220 Central Park S, Unit 58B</v>
      </c>
      <c r="B6903" s="2" t="str">
        <f t="shared" ref="B6903:B6904" si="1087">HYPERLINK("https://www.compass.com/building/220-central-park-south-manhattan-ny/281944232648828453/","220 Central Park South")</f>
        <v>220 Central Park South</v>
      </c>
      <c r="C6903" s="1" t="s">
        <v>260</v>
      </c>
      <c r="D6903" s="1" t="s">
        <v>41</v>
      </c>
      <c r="E6903" s="3">
        <v>26779975</v>
      </c>
      <c r="F6903" s="1">
        <v>8392.3456596678097</v>
      </c>
      <c r="G6903" s="1">
        <v>5</v>
      </c>
      <c r="H6903" s="1">
        <v>3</v>
      </c>
      <c r="I6903" s="1">
        <v>4</v>
      </c>
      <c r="J6903" s="1">
        <v>3.5</v>
      </c>
      <c r="K6903" s="1">
        <v>3</v>
      </c>
      <c r="L6903" s="1">
        <v>1</v>
      </c>
      <c r="M6903" s="4">
        <v>3191</v>
      </c>
      <c r="N6903" s="1">
        <v>6697</v>
      </c>
      <c r="O6903" s="1">
        <v>12438</v>
      </c>
      <c r="P6903" s="1">
        <v>5741</v>
      </c>
      <c r="Q6903" s="1" t="s">
        <v>42</v>
      </c>
      <c r="S6903" s="1" t="s">
        <v>42</v>
      </c>
      <c r="T6903" s="1" t="s">
        <v>273</v>
      </c>
      <c r="U6903" s="1">
        <v>1543</v>
      </c>
      <c r="V6903" s="5">
        <v>44139</v>
      </c>
      <c r="W6903" s="5">
        <v>42332</v>
      </c>
      <c r="X6903" s="1">
        <v>28400000</v>
      </c>
      <c r="Y6903" s="1">
        <v>28400000</v>
      </c>
      <c r="AA6903" s="1">
        <v>26779975</v>
      </c>
      <c r="AB6903" s="1" t="s">
        <v>5095</v>
      </c>
      <c r="AC6903" s="5">
        <v>43875</v>
      </c>
      <c r="AF6903" s="1">
        <v>10019</v>
      </c>
      <c r="AI6903" s="1" t="s">
        <v>118</v>
      </c>
      <c r="AJ6903" s="1">
        <v>2018</v>
      </c>
      <c r="AK6903" s="1" t="s">
        <v>46</v>
      </c>
      <c r="AL6903" s="1">
        <v>117</v>
      </c>
    </row>
    <row r="6904" spans="1:38" x14ac:dyDescent="0.2">
      <c r="A6904" s="2" t="str">
        <f>HYPERLINK("https://www.compass.com/listing/220-central-park-south-unit-19k-manhattan-ny-10019/491177829353269529/","220 Central Park S, Unit 19K")</f>
        <v>220 Central Park S, Unit 19K</v>
      </c>
      <c r="B6904" s="2" t="str">
        <f t="shared" si="1087"/>
        <v>220 Central Park South</v>
      </c>
      <c r="C6904" s="1" t="s">
        <v>260</v>
      </c>
      <c r="D6904" s="1" t="s">
        <v>41</v>
      </c>
      <c r="E6904" s="3">
        <v>1807394</v>
      </c>
      <c r="F6904" s="1">
        <v>3829.2240466101598</v>
      </c>
      <c r="G6904" s="1">
        <v>2</v>
      </c>
      <c r="H6904" s="1" t="s">
        <v>99</v>
      </c>
      <c r="I6904" s="1">
        <v>1</v>
      </c>
      <c r="J6904" s="1">
        <v>1</v>
      </c>
      <c r="K6904" s="1">
        <v>1</v>
      </c>
      <c r="M6904" s="1">
        <v>472</v>
      </c>
      <c r="N6904" s="1">
        <v>855</v>
      </c>
      <c r="O6904" s="1">
        <v>1588</v>
      </c>
      <c r="P6904" s="1">
        <v>733</v>
      </c>
      <c r="Q6904" s="1" t="s">
        <v>42</v>
      </c>
      <c r="S6904" s="1" t="s">
        <v>42</v>
      </c>
      <c r="T6904" s="1" t="s">
        <v>273</v>
      </c>
      <c r="U6904" s="1">
        <v>602</v>
      </c>
      <c r="V6904" s="5">
        <v>44139</v>
      </c>
      <c r="W6904" s="5">
        <v>43273</v>
      </c>
      <c r="X6904" s="1">
        <v>1775000</v>
      </c>
      <c r="Y6904" s="1">
        <v>1775000</v>
      </c>
      <c r="AA6904" s="1">
        <v>1807393.75</v>
      </c>
      <c r="AB6904" s="1" t="s">
        <v>5096</v>
      </c>
      <c r="AC6904" s="5">
        <v>43875</v>
      </c>
      <c r="AF6904" s="1">
        <v>10019</v>
      </c>
      <c r="AI6904" s="1" t="s">
        <v>118</v>
      </c>
      <c r="AJ6904" s="1">
        <v>2018</v>
      </c>
      <c r="AK6904" s="1" t="s">
        <v>46</v>
      </c>
      <c r="AL6904" s="1">
        <v>117</v>
      </c>
    </row>
    <row r="6905" spans="1:38" x14ac:dyDescent="0.2">
      <c r="A6905" s="2" t="str">
        <f>HYPERLINK("https://www.compass.com/listing/15-west-61st-street-unit-23a-manhattan-ny-10023/496198176651418921/","15 W 61st St, Unit 23A")</f>
        <v>15 W 61st St, Unit 23A</v>
      </c>
      <c r="B6905" s="2" t="str">
        <f>HYPERLINK("https://www.compass.com/building/the-park-loggia-manhattan-ny/292861833130357557/","The Park Loggia")</f>
        <v>The Park Loggia</v>
      </c>
      <c r="C6905" s="1" t="s">
        <v>57</v>
      </c>
      <c r="D6905" s="1" t="s">
        <v>41</v>
      </c>
      <c r="E6905" s="3">
        <v>6405206</v>
      </c>
      <c r="F6905" s="1">
        <v>3343.0095250521899</v>
      </c>
      <c r="G6905" s="1">
        <v>5</v>
      </c>
      <c r="H6905" s="1">
        <v>3</v>
      </c>
      <c r="I6905" s="1">
        <v>3</v>
      </c>
      <c r="J6905" s="1">
        <v>2.5</v>
      </c>
      <c r="K6905" s="1">
        <v>2</v>
      </c>
      <c r="L6905" s="1">
        <v>1</v>
      </c>
      <c r="M6905" s="4">
        <v>1916</v>
      </c>
      <c r="N6905" s="1">
        <v>2061</v>
      </c>
      <c r="O6905" s="1">
        <v>4044</v>
      </c>
      <c r="P6905" s="1">
        <v>1983</v>
      </c>
      <c r="Q6905" s="1" t="s">
        <v>42</v>
      </c>
      <c r="S6905" s="1" t="s">
        <v>42</v>
      </c>
      <c r="T6905" s="1" t="s">
        <v>273</v>
      </c>
      <c r="U6905" s="1">
        <v>80</v>
      </c>
      <c r="V6905" s="5">
        <v>43937</v>
      </c>
      <c r="W6905" s="5">
        <v>43829</v>
      </c>
      <c r="X6905" s="1">
        <v>6275000</v>
      </c>
      <c r="Y6905" s="1">
        <v>6275000</v>
      </c>
      <c r="AA6905" s="1">
        <v>6405206.25</v>
      </c>
      <c r="AB6905" s="1" t="s">
        <v>5097</v>
      </c>
      <c r="AC6905" s="5">
        <v>43935</v>
      </c>
      <c r="AF6905" s="1">
        <v>10023</v>
      </c>
      <c r="AI6905" s="1" t="s">
        <v>1071</v>
      </c>
      <c r="AJ6905" s="1">
        <v>2019</v>
      </c>
      <c r="AK6905" s="1" t="s">
        <v>108</v>
      </c>
      <c r="AL6905" s="1">
        <v>172</v>
      </c>
    </row>
    <row r="6906" spans="1:38" x14ac:dyDescent="0.2">
      <c r="A6906" s="2" t="str">
        <f>HYPERLINK("https://www.compass.com/listing/111-murray-street-unit-10c-manhattan-ny-10007/49653777849937441/","111 Murray St, Unit 10C")</f>
        <v>111 Murray St, Unit 10C</v>
      </c>
      <c r="B6906" s="2" t="str">
        <f t="shared" ref="B6906:B6907" si="1088">HYPERLINK("https://www.compass.com/building/111-murray-st-manhattan-ny-10007/281896511862746053/","111 Murray St")</f>
        <v>111 Murray St</v>
      </c>
      <c r="C6906" s="1" t="s">
        <v>50</v>
      </c>
      <c r="D6906" s="1" t="s">
        <v>41</v>
      </c>
      <c r="E6906" s="3">
        <v>2265606</v>
      </c>
      <c r="F6906" s="1">
        <v>2746.1893939393899</v>
      </c>
      <c r="M6906" s="1">
        <v>825</v>
      </c>
      <c r="Q6906" s="1" t="s">
        <v>42</v>
      </c>
      <c r="S6906" s="1" t="s">
        <v>42</v>
      </c>
      <c r="T6906" s="1" t="s">
        <v>273</v>
      </c>
      <c r="AA6906" s="1">
        <v>2265606.25</v>
      </c>
      <c r="AB6906" s="1" t="s">
        <v>5098</v>
      </c>
      <c r="AC6906" s="5">
        <v>43314</v>
      </c>
      <c r="AF6906" s="1">
        <v>10007</v>
      </c>
      <c r="AI6906" s="1" t="s">
        <v>80</v>
      </c>
      <c r="AJ6906" s="1">
        <v>2018</v>
      </c>
      <c r="AK6906" s="1" t="s">
        <v>49</v>
      </c>
      <c r="AL6906" s="1">
        <v>157</v>
      </c>
    </row>
    <row r="6907" spans="1:38" x14ac:dyDescent="0.2">
      <c r="A6907" s="2" t="str">
        <f>HYPERLINK("https://www.compass.com/listing/111-murray-street-unit-10d-manhattan-ny-10007/49653778135176129/","111 Murray St, Unit 10D")</f>
        <v>111 Murray St, Unit 10D</v>
      </c>
      <c r="B6907" s="2" t="str">
        <f t="shared" si="1088"/>
        <v>111 Murray St</v>
      </c>
      <c r="C6907" s="1" t="s">
        <v>50</v>
      </c>
      <c r="D6907" s="1" t="s">
        <v>41</v>
      </c>
      <c r="E6907" s="3">
        <v>1583379</v>
      </c>
      <c r="F6907" s="1">
        <v>2080.6553876478301</v>
      </c>
      <c r="M6907" s="1">
        <v>761</v>
      </c>
      <c r="Q6907" s="1" t="s">
        <v>42</v>
      </c>
      <c r="S6907" s="1" t="s">
        <v>42</v>
      </c>
      <c r="T6907" s="1" t="s">
        <v>273</v>
      </c>
      <c r="AA6907" s="1">
        <v>1583378.75</v>
      </c>
      <c r="AB6907" s="1" t="s">
        <v>5099</v>
      </c>
      <c r="AC6907" s="5">
        <v>43306</v>
      </c>
      <c r="AF6907" s="1">
        <v>10007</v>
      </c>
      <c r="AI6907" s="1" t="s">
        <v>80</v>
      </c>
      <c r="AJ6907" s="1">
        <v>2018</v>
      </c>
      <c r="AK6907" s="1" t="s">
        <v>49</v>
      </c>
      <c r="AL6907" s="1">
        <v>157</v>
      </c>
    </row>
    <row r="6908" spans="1:38" x14ac:dyDescent="0.2">
      <c r="A6908" s="2" t="str">
        <f>HYPERLINK("https://www.compass.com/listing/220-central-park-south-unit-18j-manhattan-ny-10019/498974247201386273/","220 Central Park S, Unit 18J")</f>
        <v>220 Central Park S, Unit 18J</v>
      </c>
      <c r="B6908" s="2" t="str">
        <f>HYPERLINK("https://www.compass.com/building/220-central-park-south-manhattan-ny/281944232648828453/","220 Central Park South")</f>
        <v>220 Central Park South</v>
      </c>
      <c r="C6908" s="1" t="s">
        <v>260</v>
      </c>
      <c r="D6908" s="1" t="s">
        <v>41</v>
      </c>
      <c r="E6908" s="3">
        <v>2036500</v>
      </c>
      <c r="F6908" s="1">
        <v>3736.6972477064201</v>
      </c>
      <c r="G6908" s="1">
        <v>2</v>
      </c>
      <c r="H6908" s="1" t="s">
        <v>99</v>
      </c>
      <c r="I6908" s="1">
        <v>1</v>
      </c>
      <c r="J6908" s="1">
        <v>1</v>
      </c>
      <c r="K6908" s="1">
        <v>1</v>
      </c>
      <c r="M6908" s="1">
        <v>545</v>
      </c>
      <c r="N6908" s="1">
        <v>973</v>
      </c>
      <c r="O6908" s="1">
        <v>1807</v>
      </c>
      <c r="P6908" s="1">
        <v>834</v>
      </c>
      <c r="Q6908" s="1" t="s">
        <v>42</v>
      </c>
      <c r="S6908" s="1" t="s">
        <v>42</v>
      </c>
      <c r="T6908" s="1" t="s">
        <v>273</v>
      </c>
      <c r="U6908" s="1">
        <v>757</v>
      </c>
      <c r="V6908" s="5">
        <v>43951</v>
      </c>
      <c r="W6908" s="5">
        <v>43152</v>
      </c>
      <c r="X6908" s="1">
        <v>2000000</v>
      </c>
      <c r="Y6908" s="1">
        <v>2000000</v>
      </c>
      <c r="AA6908" s="1">
        <v>2036500</v>
      </c>
      <c r="AB6908" s="1" t="s">
        <v>5100</v>
      </c>
      <c r="AC6908" s="5">
        <v>43930</v>
      </c>
      <c r="AF6908" s="1">
        <v>10019</v>
      </c>
      <c r="AI6908" s="1" t="s">
        <v>101</v>
      </c>
      <c r="AJ6908" s="1">
        <v>2018</v>
      </c>
      <c r="AK6908" s="1" t="s">
        <v>46</v>
      </c>
      <c r="AL6908" s="1">
        <v>117</v>
      </c>
    </row>
    <row r="6909" spans="1:38" x14ac:dyDescent="0.2">
      <c r="A6909" s="2" t="str">
        <f>HYPERLINK("https://www.compass.com/listing/15-west-61st-street-unit-ph2a-manhattan-ny-10023/500423604056658945/","15 W 61st St, Unit PH2A")</f>
        <v>15 W 61st St, Unit PH2A</v>
      </c>
      <c r="B6909" s="2" t="str">
        <f>HYPERLINK("https://www.compass.com/building/the-park-loggia-manhattan-ny/292861833130357557/","The Park Loggia")</f>
        <v>The Park Loggia</v>
      </c>
      <c r="C6909" s="1" t="s">
        <v>57</v>
      </c>
      <c r="D6909" s="1" t="s">
        <v>41</v>
      </c>
      <c r="E6909" s="3">
        <v>9400000</v>
      </c>
      <c r="F6909" s="1">
        <v>3931.4094521120801</v>
      </c>
      <c r="M6909" s="4">
        <v>2391</v>
      </c>
      <c r="Q6909" s="1" t="s">
        <v>42</v>
      </c>
      <c r="S6909" s="1" t="s">
        <v>42</v>
      </c>
      <c r="T6909" s="1" t="s">
        <v>273</v>
      </c>
      <c r="AA6909" s="1">
        <v>9400000</v>
      </c>
      <c r="AB6909" s="1" t="s">
        <v>5101</v>
      </c>
      <c r="AC6909" s="5">
        <v>43927</v>
      </c>
      <c r="AF6909" s="1">
        <v>10023</v>
      </c>
      <c r="AI6909" s="1" t="s">
        <v>65</v>
      </c>
      <c r="AJ6909" s="1">
        <v>2019</v>
      </c>
      <c r="AK6909" s="1" t="s">
        <v>55</v>
      </c>
      <c r="AL6909" s="1">
        <v>172</v>
      </c>
    </row>
    <row r="6910" spans="1:38" x14ac:dyDescent="0.2">
      <c r="A6910" s="2" t="str">
        <f>HYPERLINK("https://www.compass.com/listing/160-leroy-street-unit-12bn-manhattan-ny-10014/501147277751167953/","160 Leroy St, Unit 12BN")</f>
        <v>160 Leroy St, Unit 12BN</v>
      </c>
      <c r="B6910" s="2" t="str">
        <f>HYPERLINK("https://www.compass.com/building/160-leroy-st-manhattan-ny-10014/293418469918017093/","160 Leroy St")</f>
        <v>160 Leroy St</v>
      </c>
      <c r="C6910" s="1" t="s">
        <v>67</v>
      </c>
      <c r="D6910" s="1" t="s">
        <v>41</v>
      </c>
      <c r="E6910" s="3">
        <v>15314500</v>
      </c>
      <c r="F6910" s="1">
        <v>3360.6539389949498</v>
      </c>
      <c r="M6910" s="4">
        <v>4557</v>
      </c>
      <c r="Q6910" s="1" t="s">
        <v>42</v>
      </c>
      <c r="S6910" s="1" t="s">
        <v>42</v>
      </c>
      <c r="T6910" s="1" t="s">
        <v>273</v>
      </c>
      <c r="AA6910" s="1">
        <v>15314500</v>
      </c>
      <c r="AB6910" s="1" t="s">
        <v>5102</v>
      </c>
      <c r="AC6910" s="5">
        <v>43839</v>
      </c>
      <c r="AF6910" s="1">
        <v>10014</v>
      </c>
      <c r="AI6910" s="1" t="s">
        <v>65</v>
      </c>
      <c r="AJ6910" s="1">
        <v>2017</v>
      </c>
      <c r="AK6910" s="1" t="s">
        <v>202</v>
      </c>
      <c r="AL6910" s="1">
        <v>57</v>
      </c>
    </row>
    <row r="6911" spans="1:38" x14ac:dyDescent="0.2">
      <c r="A6911" s="2" t="str">
        <f>HYPERLINK("https://www.compass.com/listing/220-central-park-south-unit-65-manhattan-ny-10019/501148862283583169/","220 Central Park S, Unit 65")</f>
        <v>220 Central Park S, Unit 65</v>
      </c>
      <c r="B6911" s="2" t="str">
        <f>HYPERLINK("https://www.compass.com/building/220-central-park-south-manhattan-ny/281944232648828453/","220 Central Park South")</f>
        <v>220 Central Park South</v>
      </c>
      <c r="C6911" s="1" t="s">
        <v>260</v>
      </c>
      <c r="D6911" s="1" t="s">
        <v>41</v>
      </c>
      <c r="E6911" s="3">
        <v>56258313</v>
      </c>
      <c r="F6911" s="1">
        <v>9479.0754001684909</v>
      </c>
      <c r="G6911" s="1">
        <v>8</v>
      </c>
      <c r="H6911" s="1">
        <v>4</v>
      </c>
      <c r="I6911" s="1">
        <v>7</v>
      </c>
      <c r="J6911" s="1">
        <v>6</v>
      </c>
      <c r="K6911" s="1">
        <v>5</v>
      </c>
      <c r="L6911" s="1">
        <v>2</v>
      </c>
      <c r="M6911" s="4">
        <v>5935</v>
      </c>
      <c r="N6911" s="1">
        <v>12571</v>
      </c>
      <c r="O6911" s="1">
        <v>23348</v>
      </c>
      <c r="P6911" s="1">
        <v>10777</v>
      </c>
      <c r="Q6911" s="1" t="s">
        <v>42</v>
      </c>
      <c r="S6911" s="1" t="s">
        <v>42</v>
      </c>
      <c r="T6911" s="1" t="s">
        <v>273</v>
      </c>
      <c r="U6911" s="1">
        <v>1289</v>
      </c>
      <c r="V6911" s="5">
        <v>43951</v>
      </c>
      <c r="W6911" s="5">
        <v>42620</v>
      </c>
      <c r="X6911" s="1">
        <v>55250000</v>
      </c>
      <c r="Y6911" s="1">
        <v>55250000</v>
      </c>
      <c r="AA6911" s="1">
        <v>56258312.5</v>
      </c>
      <c r="AB6911" s="1" t="s">
        <v>5103</v>
      </c>
      <c r="AC6911" s="5">
        <v>43938</v>
      </c>
      <c r="AF6911" s="1">
        <v>10019</v>
      </c>
      <c r="AI6911" s="1" t="s">
        <v>101</v>
      </c>
      <c r="AJ6911" s="1">
        <v>2018</v>
      </c>
      <c r="AK6911" s="1" t="s">
        <v>46</v>
      </c>
      <c r="AL6911" s="1">
        <v>117</v>
      </c>
    </row>
    <row r="6912" spans="1:38" x14ac:dyDescent="0.2">
      <c r="A6912" s="2" t="str">
        <f>HYPERLINK("https://www.compass.com/listing/108-leonard-street-unit-12d-manhattan-ny-10013/501870939920050361/","108 Leonard St, Unit 12D")</f>
        <v>108 Leonard St, Unit 12D</v>
      </c>
      <c r="B6912" s="2" t="str">
        <f>HYPERLINK("https://www.compass.com/building/108-leonard-st-manhattan-ny-10013/307456049610778277/","108 Leonard St")</f>
        <v>108 Leonard St</v>
      </c>
      <c r="C6912" s="1" t="s">
        <v>113</v>
      </c>
      <c r="D6912" s="1" t="s">
        <v>41</v>
      </c>
      <c r="E6912" s="3">
        <v>1801967</v>
      </c>
      <c r="F6912" s="1">
        <v>1912.9164118895901</v>
      </c>
      <c r="M6912" s="1">
        <v>942</v>
      </c>
      <c r="Q6912" s="1" t="s">
        <v>42</v>
      </c>
      <c r="S6912" s="1" t="s">
        <v>42</v>
      </c>
      <c r="T6912" s="1" t="s">
        <v>273</v>
      </c>
      <c r="AA6912" s="1">
        <v>1801967.26</v>
      </c>
      <c r="AB6912" s="1" t="s">
        <v>5104</v>
      </c>
      <c r="AC6912" s="5">
        <v>43936</v>
      </c>
      <c r="AF6912" s="1">
        <v>10013</v>
      </c>
      <c r="AI6912" s="1" t="s">
        <v>78</v>
      </c>
      <c r="AJ6912" s="1">
        <v>1899</v>
      </c>
      <c r="AK6912" s="1" t="s">
        <v>55</v>
      </c>
      <c r="AL6912" s="1">
        <v>167</v>
      </c>
    </row>
    <row r="6913" spans="1:38" x14ac:dyDescent="0.2">
      <c r="A6913" s="2" t="str">
        <f>HYPERLINK("https://www.compass.com/listing/220-central-park-south-unit-60-manhattan-ny-10019/501873880965866361/","220 Central Park S, Unit 60")</f>
        <v>220 Central Park S, Unit 60</v>
      </c>
      <c r="B6913" s="2" t="str">
        <f>HYPERLINK("https://www.compass.com/building/220-central-park-south-manhattan-ny/281944232648828453/","220 Central Park South")</f>
        <v>220 Central Park South</v>
      </c>
      <c r="C6913" s="1" t="s">
        <v>260</v>
      </c>
      <c r="D6913" s="1" t="s">
        <v>41</v>
      </c>
      <c r="E6913" s="3">
        <v>50912500</v>
      </c>
      <c r="F6913" s="1">
        <v>8578.3487784330191</v>
      </c>
      <c r="G6913" s="1">
        <v>8</v>
      </c>
      <c r="H6913" s="1">
        <v>4</v>
      </c>
      <c r="I6913" s="1">
        <v>7</v>
      </c>
      <c r="J6913" s="1">
        <v>6</v>
      </c>
      <c r="K6913" s="1">
        <v>5</v>
      </c>
      <c r="L6913" s="1">
        <v>2</v>
      </c>
      <c r="M6913" s="4">
        <v>5935</v>
      </c>
      <c r="N6913" s="1">
        <v>12400</v>
      </c>
      <c r="O6913" s="1">
        <v>23031</v>
      </c>
      <c r="P6913" s="1">
        <v>10631</v>
      </c>
      <c r="Q6913" s="1" t="s">
        <v>42</v>
      </c>
      <c r="S6913" s="1" t="s">
        <v>42</v>
      </c>
      <c r="T6913" s="1" t="s">
        <v>273</v>
      </c>
      <c r="U6913" s="1">
        <v>1827</v>
      </c>
      <c r="V6913" s="5">
        <v>43951</v>
      </c>
      <c r="W6913" s="5">
        <v>42082</v>
      </c>
      <c r="X6913" s="1">
        <v>50000000</v>
      </c>
      <c r="Y6913" s="1">
        <v>50000000</v>
      </c>
      <c r="AA6913" s="1">
        <v>50912500</v>
      </c>
      <c r="AB6913" s="1" t="s">
        <v>5105</v>
      </c>
      <c r="AC6913" s="5">
        <v>43930</v>
      </c>
      <c r="AF6913" s="1">
        <v>10019</v>
      </c>
      <c r="AI6913" s="1" t="s">
        <v>101</v>
      </c>
      <c r="AJ6913" s="1">
        <v>2018</v>
      </c>
      <c r="AK6913" s="1" t="s">
        <v>46</v>
      </c>
      <c r="AL6913" s="1">
        <v>117</v>
      </c>
    </row>
    <row r="6914" spans="1:38" x14ac:dyDescent="0.2">
      <c r="A6914" s="2" t="str">
        <f>HYPERLINK("https://www.compass.com/listing/108-leonard-street-unit-6b-manhattan-ny-10013/508393906269269433/","108 Leonard St, Unit 6B")</f>
        <v>108 Leonard St, Unit 6B</v>
      </c>
      <c r="B6914" s="2" t="str">
        <f>HYPERLINK("https://www.compass.com/building/108-leonard-st-manhattan-ny-10013/307456049610778277/","108 Leonard St")</f>
        <v>108 Leonard St</v>
      </c>
      <c r="C6914" s="1" t="s">
        <v>113</v>
      </c>
      <c r="D6914" s="1" t="s">
        <v>41</v>
      </c>
      <c r="E6914" s="3">
        <v>2896563</v>
      </c>
      <c r="F6914" s="1">
        <v>2036.96397327707</v>
      </c>
      <c r="M6914" s="4">
        <v>1422</v>
      </c>
      <c r="Q6914" s="1" t="s">
        <v>42</v>
      </c>
      <c r="S6914" s="1" t="s">
        <v>42</v>
      </c>
      <c r="T6914" s="1" t="s">
        <v>273</v>
      </c>
      <c r="AA6914" s="1">
        <v>2896562.77</v>
      </c>
      <c r="AB6914" s="1" t="s">
        <v>5106</v>
      </c>
      <c r="AC6914" s="5">
        <v>43945</v>
      </c>
      <c r="AF6914" s="1">
        <v>10013</v>
      </c>
      <c r="AI6914" s="1" t="s">
        <v>78</v>
      </c>
      <c r="AJ6914" s="1">
        <v>1899</v>
      </c>
      <c r="AK6914" s="1" t="s">
        <v>55</v>
      </c>
      <c r="AL6914" s="1">
        <v>167</v>
      </c>
    </row>
    <row r="6915" spans="1:38" x14ac:dyDescent="0.2">
      <c r="A6915" s="2" t="str">
        <f>HYPERLINK("https://www.compass.com/listing/70-west-139th-street-unit-3a-manhattan-ny-10037/508401003836854393/","70 W 139th St, Unit 3A")</f>
        <v>70 W 139th St, Unit 3A</v>
      </c>
      <c r="B6915" s="2" t="str">
        <f t="shared" ref="B6915:B6916" si="1089">HYPERLINK("https://www.compass.com/building/70-w-139th-st-manhattan-ny-10037/292920118235647477/","70 W 139th St")</f>
        <v>70 W 139th St</v>
      </c>
      <c r="C6915" s="1" t="s">
        <v>84</v>
      </c>
      <c r="D6915" s="1" t="s">
        <v>41</v>
      </c>
      <c r="E6915" s="3">
        <v>465381</v>
      </c>
      <c r="F6915" s="1">
        <v>727.15781249999998</v>
      </c>
      <c r="M6915" s="1">
        <v>640</v>
      </c>
      <c r="Q6915" s="1" t="s">
        <v>42</v>
      </c>
      <c r="S6915" s="1" t="s">
        <v>42</v>
      </c>
      <c r="T6915" s="1" t="s">
        <v>273</v>
      </c>
      <c r="AA6915" s="1">
        <v>465381</v>
      </c>
      <c r="AB6915" s="1" t="s">
        <v>5107</v>
      </c>
      <c r="AC6915" s="5">
        <v>43941</v>
      </c>
      <c r="AF6915" s="1">
        <v>10037</v>
      </c>
      <c r="AI6915" s="1" t="s">
        <v>48</v>
      </c>
      <c r="AJ6915" s="1">
        <v>2018</v>
      </c>
      <c r="AL6915" s="1">
        <v>64</v>
      </c>
    </row>
    <row r="6916" spans="1:38" x14ac:dyDescent="0.2">
      <c r="A6916" s="2" t="str">
        <f>HYPERLINK("https://www.compass.com/listing/70-west-139th-street-unit-4g-manhattan-ny-10037/508401009448833153/","70 W 139th St, Unit 4G")</f>
        <v>70 W 139th St, Unit 4G</v>
      </c>
      <c r="B6916" s="2" t="str">
        <f t="shared" si="1089"/>
        <v>70 W 139th St</v>
      </c>
      <c r="C6916" s="1" t="s">
        <v>84</v>
      </c>
      <c r="D6916" s="1" t="s">
        <v>41</v>
      </c>
      <c r="E6916" s="3">
        <v>465381</v>
      </c>
      <c r="F6916" s="1">
        <v>683.37885462555005</v>
      </c>
      <c r="M6916" s="1">
        <v>681</v>
      </c>
      <c r="Q6916" s="1" t="s">
        <v>42</v>
      </c>
      <c r="S6916" s="1" t="s">
        <v>42</v>
      </c>
      <c r="T6916" s="1" t="s">
        <v>273</v>
      </c>
      <c r="AA6916" s="1">
        <v>465381</v>
      </c>
      <c r="AB6916" s="1" t="s">
        <v>5108</v>
      </c>
      <c r="AC6916" s="5">
        <v>43942</v>
      </c>
      <c r="AF6916" s="1">
        <v>10037</v>
      </c>
      <c r="AI6916" s="1" t="s">
        <v>48</v>
      </c>
      <c r="AJ6916" s="1">
        <v>2018</v>
      </c>
      <c r="AL6916" s="1">
        <v>64</v>
      </c>
    </row>
    <row r="6917" spans="1:38" x14ac:dyDescent="0.2">
      <c r="A6917" s="2" t="str">
        <f>HYPERLINK("https://www.compass.com/listing/108-leonard-street-unit-12l-manhattan-ny-10013/515640640011633961/","108 Leonard St, Unit 12L")</f>
        <v>108 Leonard St, Unit 12L</v>
      </c>
      <c r="B6917" s="2" t="str">
        <f>HYPERLINK("https://www.compass.com/building/108-leonard-st-manhattan-ny-10013/307456049610778277/","108 Leonard St")</f>
        <v>108 Leonard St</v>
      </c>
      <c r="C6917" s="1" t="s">
        <v>113</v>
      </c>
      <c r="D6917" s="1" t="s">
        <v>41</v>
      </c>
      <c r="E6917" s="3">
        <v>2850000</v>
      </c>
      <c r="F6917" s="1">
        <v>1936.1413043478201</v>
      </c>
      <c r="M6917" s="4">
        <v>1472</v>
      </c>
      <c r="Q6917" s="1" t="s">
        <v>42</v>
      </c>
      <c r="S6917" s="1" t="s">
        <v>42</v>
      </c>
      <c r="T6917" s="1" t="s">
        <v>273</v>
      </c>
      <c r="AA6917" s="1">
        <v>2850000</v>
      </c>
      <c r="AB6917" s="1" t="s">
        <v>5109</v>
      </c>
      <c r="AC6917" s="5">
        <v>43952</v>
      </c>
      <c r="AF6917" s="1">
        <v>10013</v>
      </c>
      <c r="AI6917" s="1" t="s">
        <v>78</v>
      </c>
      <c r="AJ6917" s="1">
        <v>1899</v>
      </c>
      <c r="AK6917" s="1" t="s">
        <v>55</v>
      </c>
      <c r="AL6917" s="1">
        <v>167</v>
      </c>
    </row>
    <row r="6918" spans="1:38" x14ac:dyDescent="0.2">
      <c r="A6918" s="2" t="str">
        <f>HYPERLINK("https://www.compass.com/listing/138-east-50th-street-unit-15b-manhattan-ny-10022/516476343440265513/","138 E 50th St, Unit 15B")</f>
        <v>138 E 50th St, Unit 15B</v>
      </c>
      <c r="B6918" s="2" t="str">
        <f>HYPERLINK("https://www.compass.com/building/the-centrale-manhattan-ny/281941497232811621/","The Centrale")</f>
        <v>The Centrale</v>
      </c>
      <c r="C6918" s="1" t="s">
        <v>116</v>
      </c>
      <c r="D6918" s="1" t="s">
        <v>41</v>
      </c>
      <c r="E6918" s="3">
        <v>1551014</v>
      </c>
      <c r="F6918" s="1">
        <v>1831.1850649350599</v>
      </c>
      <c r="M6918" s="1">
        <v>847</v>
      </c>
      <c r="Q6918" s="1" t="s">
        <v>42</v>
      </c>
      <c r="S6918" s="1" t="s">
        <v>42</v>
      </c>
      <c r="T6918" s="1" t="s">
        <v>273</v>
      </c>
      <c r="AA6918" s="1">
        <v>1551013.75</v>
      </c>
      <c r="AB6918" s="1" t="s">
        <v>5110</v>
      </c>
      <c r="AC6918" s="5">
        <v>43958</v>
      </c>
      <c r="AF6918" s="1">
        <v>10022</v>
      </c>
      <c r="AI6918" s="1" t="s">
        <v>118</v>
      </c>
      <c r="AJ6918" s="1">
        <v>2019</v>
      </c>
      <c r="AK6918" s="1" t="s">
        <v>55</v>
      </c>
      <c r="AL6918" s="1">
        <v>124</v>
      </c>
    </row>
    <row r="6919" spans="1:38" x14ac:dyDescent="0.2">
      <c r="A6919" s="2" t="str">
        <f>HYPERLINK("https://www.compass.com/listing/416-west-52nd-street-unit-th209-manhattan-ny-10019/520719986456120209/","416 W 52nd St, Unit TH209")</f>
        <v>416 W 52nd St, Unit TH209</v>
      </c>
      <c r="B6919" s="2" t="str">
        <f>HYPERLINK("https://www.compass.com/building/nine52-manhattan-ny/281945622951555813/","Nine52")</f>
        <v>Nine52</v>
      </c>
      <c r="C6919" s="1" t="s">
        <v>90</v>
      </c>
      <c r="D6919" s="1" t="s">
        <v>41</v>
      </c>
      <c r="E6919" s="3">
        <v>1369242</v>
      </c>
      <c r="F6919" s="1">
        <v>1076.4477201257801</v>
      </c>
      <c r="M6919" s="4">
        <v>1272</v>
      </c>
      <c r="Q6919" s="1" t="s">
        <v>42</v>
      </c>
      <c r="S6919" s="1" t="s">
        <v>42</v>
      </c>
      <c r="T6919" s="1" t="s">
        <v>273</v>
      </c>
      <c r="AA6919" s="1">
        <v>1369241.5</v>
      </c>
      <c r="AB6919" s="1" t="s">
        <v>5111</v>
      </c>
      <c r="AC6919" s="5">
        <v>43925</v>
      </c>
      <c r="AF6919" s="1">
        <v>10019</v>
      </c>
      <c r="AI6919" s="1" t="s">
        <v>48</v>
      </c>
      <c r="AJ6919" s="1">
        <v>1940</v>
      </c>
      <c r="AK6919" s="1" t="s">
        <v>55</v>
      </c>
      <c r="AL6919" s="1">
        <v>155</v>
      </c>
    </row>
    <row r="6920" spans="1:38" x14ac:dyDescent="0.2">
      <c r="A6920" s="2" t="str">
        <f>HYPERLINK("https://www.compass.com/listing/138-east-50th-street-unit-21b-manhattan-ny-10022/522899172146726937/","138 E 50th St, Unit 21B")</f>
        <v>138 E 50th St, Unit 21B</v>
      </c>
      <c r="B6920" s="2" t="str">
        <f>HYPERLINK("https://www.compass.com/building/the-centrale-manhattan-ny/281941497232811621/","The Centrale")</f>
        <v>The Centrale</v>
      </c>
      <c r="C6920" s="1" t="s">
        <v>116</v>
      </c>
      <c r="D6920" s="1" t="s">
        <v>41</v>
      </c>
      <c r="E6920" s="3">
        <v>1493773</v>
      </c>
      <c r="F6920" s="1">
        <v>1771.97241992882</v>
      </c>
      <c r="M6920" s="1">
        <v>843</v>
      </c>
      <c r="Q6920" s="1" t="s">
        <v>42</v>
      </c>
      <c r="S6920" s="1" t="s">
        <v>42</v>
      </c>
      <c r="T6920" s="1" t="s">
        <v>273</v>
      </c>
      <c r="AA6920" s="1">
        <v>1493772.75</v>
      </c>
      <c r="AB6920" s="1" t="s">
        <v>5112</v>
      </c>
      <c r="AC6920" s="5">
        <v>43969</v>
      </c>
      <c r="AF6920" s="1">
        <v>10022</v>
      </c>
      <c r="AI6920" s="1" t="s">
        <v>118</v>
      </c>
      <c r="AJ6920" s="1">
        <v>2019</v>
      </c>
      <c r="AK6920" s="1" t="s">
        <v>55</v>
      </c>
      <c r="AL6920" s="1">
        <v>124</v>
      </c>
    </row>
    <row r="6921" spans="1:38" x14ac:dyDescent="0.2">
      <c r="A6921" s="2" t="str">
        <f>HYPERLINK("https://www.compass.com/listing/270-riverside-drive-unit-3a-manhattan-ny-10025/526520758632110353/","270 Riverside Dr, Unit 3A")</f>
        <v>270 Riverside Dr, Unit 3A</v>
      </c>
      <c r="B6921" s="2" t="str">
        <f>HYPERLINK("https://www.compass.com/building/270-riverside-dr-manhattan-ny-10025/281970283991095285/","270 Riverside Dr")</f>
        <v>270 Riverside Dr</v>
      </c>
      <c r="C6921" s="1" t="s">
        <v>57</v>
      </c>
      <c r="D6921" s="1" t="s">
        <v>41</v>
      </c>
      <c r="E6921" s="3">
        <v>4965000</v>
      </c>
      <c r="F6921" s="1">
        <v>1745.1669595782</v>
      </c>
      <c r="M6921" s="4">
        <v>2845</v>
      </c>
      <c r="Q6921" s="1" t="s">
        <v>42</v>
      </c>
      <c r="S6921" s="1" t="s">
        <v>42</v>
      </c>
      <c r="T6921" s="1" t="s">
        <v>273</v>
      </c>
      <c r="AA6921" s="1">
        <v>4965000</v>
      </c>
      <c r="AB6921" s="1" t="s">
        <v>5113</v>
      </c>
      <c r="AC6921" s="5">
        <v>43970</v>
      </c>
      <c r="AF6921" s="1">
        <v>10025</v>
      </c>
      <c r="AJ6921" s="1">
        <v>1920</v>
      </c>
      <c r="AK6921" s="1" t="s">
        <v>70</v>
      </c>
      <c r="AL6921" s="1">
        <v>57</v>
      </c>
    </row>
    <row r="6922" spans="1:38" x14ac:dyDescent="0.2">
      <c r="A6922" s="2" t="str">
        <f>HYPERLINK("https://www.compass.com/listing/108-leonard-street-unit-2c-manhattan-ny-10013/528688529273120817/","108 Leonard St, Unit 2C")</f>
        <v>108 Leonard St, Unit 2C</v>
      </c>
      <c r="B6922" s="2" t="str">
        <f>HYPERLINK("https://www.compass.com/building/108-leonard-st-manhattan-ny-10013/307456049610778277/","108 Leonard St")</f>
        <v>108 Leonard St</v>
      </c>
      <c r="C6922" s="1" t="s">
        <v>113</v>
      </c>
      <c r="D6922" s="1" t="s">
        <v>41</v>
      </c>
      <c r="E6922" s="3">
        <v>2119955</v>
      </c>
      <c r="F6922" s="1">
        <v>1869.44911816578</v>
      </c>
      <c r="M6922" s="4">
        <v>1134</v>
      </c>
      <c r="Q6922" s="1" t="s">
        <v>42</v>
      </c>
      <c r="S6922" s="1" t="s">
        <v>42</v>
      </c>
      <c r="T6922" s="1" t="s">
        <v>273</v>
      </c>
      <c r="AA6922" s="1">
        <v>2119955.2999999998</v>
      </c>
      <c r="AB6922" s="1" t="s">
        <v>5114</v>
      </c>
      <c r="AC6922" s="5">
        <v>43944</v>
      </c>
      <c r="AF6922" s="1">
        <v>10013</v>
      </c>
      <c r="AI6922" s="1" t="s">
        <v>78</v>
      </c>
      <c r="AJ6922" s="1">
        <v>1899</v>
      </c>
      <c r="AK6922" s="1" t="s">
        <v>55</v>
      </c>
      <c r="AL6922" s="1">
        <v>167</v>
      </c>
    </row>
    <row r="6923" spans="1:38" x14ac:dyDescent="0.2">
      <c r="A6923" s="2" t="str">
        <f>HYPERLINK("https://www.compass.com/listing/15-west-61st-street-unit-25a-manhattan-ny-10023/531180749989457617/","15 W 61st St, Unit 25A")</f>
        <v>15 W 61st St, Unit 25A</v>
      </c>
      <c r="B6923" s="2" t="str">
        <f t="shared" ref="B6923:B6924" si="1090">HYPERLINK("https://www.compass.com/building/the-park-loggia-manhattan-ny/292861833130357557/","The Park Loggia")</f>
        <v>The Park Loggia</v>
      </c>
      <c r="C6923" s="1" t="s">
        <v>57</v>
      </c>
      <c r="D6923" s="1" t="s">
        <v>41</v>
      </c>
      <c r="E6923" s="3">
        <v>6870541</v>
      </c>
      <c r="F6923" s="1">
        <v>3582.1379874869599</v>
      </c>
      <c r="G6923" s="1">
        <v>5</v>
      </c>
      <c r="H6923" s="1">
        <v>3</v>
      </c>
      <c r="I6923" s="1">
        <v>3</v>
      </c>
      <c r="J6923" s="1">
        <v>2.5</v>
      </c>
      <c r="K6923" s="1">
        <v>2</v>
      </c>
      <c r="L6923" s="1">
        <v>1</v>
      </c>
      <c r="M6923" s="4">
        <v>1918</v>
      </c>
      <c r="N6923" s="1">
        <v>2061</v>
      </c>
      <c r="O6923" s="1">
        <v>4044</v>
      </c>
      <c r="P6923" s="1">
        <v>1983</v>
      </c>
      <c r="Q6923" s="1" t="s">
        <v>42</v>
      </c>
      <c r="S6923" s="1" t="s">
        <v>42</v>
      </c>
      <c r="T6923" s="1" t="s">
        <v>273</v>
      </c>
      <c r="U6923" s="1">
        <v>155</v>
      </c>
      <c r="V6923" s="5">
        <v>43985</v>
      </c>
      <c r="W6923" s="5">
        <v>43754</v>
      </c>
      <c r="X6923" s="1">
        <v>6730875</v>
      </c>
      <c r="Y6923" s="1">
        <v>6730875</v>
      </c>
      <c r="AA6923" s="1">
        <v>6870540.6600000001</v>
      </c>
      <c r="AB6923" s="1" t="s">
        <v>5115</v>
      </c>
      <c r="AC6923" s="5">
        <v>43983</v>
      </c>
      <c r="AF6923" s="1">
        <v>10023</v>
      </c>
      <c r="AI6923" s="1" t="s">
        <v>1071</v>
      </c>
      <c r="AJ6923" s="1">
        <v>2019</v>
      </c>
      <c r="AK6923" s="1" t="s">
        <v>108</v>
      </c>
      <c r="AL6923" s="1">
        <v>172</v>
      </c>
    </row>
    <row r="6924" spans="1:38" x14ac:dyDescent="0.2">
      <c r="A6924" s="2" t="str">
        <f>HYPERLINK("https://www.compass.com/listing/15-west-61st-street-unit-18d-manhattan-ny-10023/531328616754379017/","15 W 61st St, Unit 18D")</f>
        <v>15 W 61st St, Unit 18D</v>
      </c>
      <c r="B6924" s="2" t="str">
        <f t="shared" si="1090"/>
        <v>The Park Loggia</v>
      </c>
      <c r="C6924" s="1" t="s">
        <v>57</v>
      </c>
      <c r="D6924" s="1" t="s">
        <v>41</v>
      </c>
      <c r="E6924" s="3">
        <v>3572625</v>
      </c>
      <c r="F6924" s="1">
        <v>2666.13805970149</v>
      </c>
      <c r="G6924" s="1">
        <v>4</v>
      </c>
      <c r="H6924" s="1">
        <v>2</v>
      </c>
      <c r="I6924" s="1">
        <v>2</v>
      </c>
      <c r="J6924" s="1">
        <v>2</v>
      </c>
      <c r="K6924" s="1">
        <v>2</v>
      </c>
      <c r="M6924" s="4">
        <v>1340</v>
      </c>
      <c r="N6924" s="1">
        <v>1415</v>
      </c>
      <c r="O6924" s="1">
        <v>2776</v>
      </c>
      <c r="P6924" s="1">
        <v>1361</v>
      </c>
      <c r="Q6924" s="1" t="s">
        <v>42</v>
      </c>
      <c r="S6924" s="1" t="s">
        <v>42</v>
      </c>
      <c r="T6924" s="1" t="s">
        <v>273</v>
      </c>
      <c r="U6924" s="1">
        <v>276</v>
      </c>
      <c r="V6924" s="5">
        <v>43988</v>
      </c>
      <c r="W6924" s="5">
        <v>43633</v>
      </c>
      <c r="X6924" s="1">
        <v>3500000</v>
      </c>
      <c r="Y6924" s="1">
        <v>3500000</v>
      </c>
      <c r="AA6924" s="1">
        <v>3572625</v>
      </c>
      <c r="AB6924" s="1" t="s">
        <v>5116</v>
      </c>
      <c r="AC6924" s="5">
        <v>43984</v>
      </c>
      <c r="AF6924" s="1">
        <v>10023</v>
      </c>
      <c r="AI6924" s="1" t="s">
        <v>1071</v>
      </c>
      <c r="AJ6924" s="1">
        <v>2019</v>
      </c>
      <c r="AK6924" s="1" t="s">
        <v>108</v>
      </c>
      <c r="AL6924" s="1">
        <v>172</v>
      </c>
    </row>
    <row r="6925" spans="1:38" x14ac:dyDescent="0.2">
      <c r="A6925" s="2" t="str">
        <f>HYPERLINK("https://www.compass.com/listing/111-west-57th-street-unit-11b-manhattan-ny-10019/531589545824001041/","111 W 57th St, Unit 11B")</f>
        <v>111 W 57th St, Unit 11B</v>
      </c>
      <c r="B6925" s="2" t="str">
        <f>HYPERLINK("https://www.compass.com/building/111-w-57th-st-manhattan-ny-10019/282058921823206277/","111 W 57th St")</f>
        <v>111 W 57th St</v>
      </c>
      <c r="C6925" s="1" t="s">
        <v>139</v>
      </c>
      <c r="D6925" s="1" t="s">
        <v>41</v>
      </c>
      <c r="E6925" s="3">
        <v>2117806</v>
      </c>
      <c r="Q6925" s="1" t="s">
        <v>42</v>
      </c>
      <c r="S6925" s="1" t="s">
        <v>42</v>
      </c>
      <c r="T6925" s="1" t="s">
        <v>273</v>
      </c>
      <c r="AA6925" s="1">
        <v>2117805.63</v>
      </c>
      <c r="AB6925" s="1" t="s">
        <v>5117</v>
      </c>
      <c r="AC6925" s="5">
        <v>43936</v>
      </c>
      <c r="AF6925" s="1">
        <v>10019</v>
      </c>
      <c r="AI6925" s="1" t="s">
        <v>177</v>
      </c>
      <c r="AJ6925" s="1">
        <v>2016</v>
      </c>
      <c r="AK6925" s="1" t="s">
        <v>49</v>
      </c>
      <c r="AL6925" s="1">
        <v>60</v>
      </c>
    </row>
    <row r="6926" spans="1:38" x14ac:dyDescent="0.2">
      <c r="A6926" s="2" t="str">
        <f>HYPERLINK("https://www.compass.com/listing/15-west-61st-street-unit-15a-manhattan-ny-10023/532783816358971777/","15 W 61st St, Unit 15A")</f>
        <v>15 W 61st St, Unit 15A</v>
      </c>
      <c r="B6926" s="2" t="str">
        <f>HYPERLINK("https://www.compass.com/building/the-park-loggia-manhattan-ny/292861833130357557/","The Park Loggia")</f>
        <v>The Park Loggia</v>
      </c>
      <c r="C6926" s="1" t="s">
        <v>57</v>
      </c>
      <c r="D6926" s="1" t="s">
        <v>41</v>
      </c>
      <c r="E6926" s="3">
        <v>3900000</v>
      </c>
      <c r="F6926" s="1">
        <v>2805.7553956834499</v>
      </c>
      <c r="G6926" s="1">
        <v>4</v>
      </c>
      <c r="H6926" s="1">
        <v>2</v>
      </c>
      <c r="I6926" s="1">
        <v>2</v>
      </c>
      <c r="J6926" s="1">
        <v>2</v>
      </c>
      <c r="K6926" s="1">
        <v>2</v>
      </c>
      <c r="M6926" s="4">
        <v>1390</v>
      </c>
      <c r="N6926" s="1">
        <v>1520</v>
      </c>
      <c r="O6926" s="1">
        <v>2982</v>
      </c>
      <c r="P6926" s="1">
        <v>1462</v>
      </c>
      <c r="Q6926" s="1" t="s">
        <v>42</v>
      </c>
      <c r="S6926" s="1" t="s">
        <v>42</v>
      </c>
      <c r="T6926" s="1" t="s">
        <v>273</v>
      </c>
      <c r="U6926" s="1">
        <v>50</v>
      </c>
      <c r="V6926" s="5">
        <v>43988</v>
      </c>
      <c r="W6926" s="5">
        <v>43859</v>
      </c>
      <c r="X6926" s="1">
        <v>3900000</v>
      </c>
      <c r="Y6926" s="1">
        <v>3900000</v>
      </c>
      <c r="AA6926" s="1">
        <v>3900000</v>
      </c>
      <c r="AB6926" s="1" t="s">
        <v>5118</v>
      </c>
      <c r="AC6926" s="5">
        <v>43986</v>
      </c>
      <c r="AF6926" s="1">
        <v>10023</v>
      </c>
      <c r="AI6926" s="1" t="s">
        <v>1071</v>
      </c>
      <c r="AJ6926" s="1">
        <v>2019</v>
      </c>
      <c r="AK6926" s="1" t="s">
        <v>108</v>
      </c>
      <c r="AL6926" s="1">
        <v>172</v>
      </c>
    </row>
    <row r="6927" spans="1:38" x14ac:dyDescent="0.2">
      <c r="A6927" s="2" t="str">
        <f>HYPERLINK("https://www.compass.com/listing/178-bleecker-street-unit-3f-manhattan-ny-10012/533037305848907129/","178 Bleecker St, Unit 3F")</f>
        <v>178 Bleecker St, Unit 3F</v>
      </c>
      <c r="B6927" s="2" t="str">
        <f>HYPERLINK("https://www.compass.com/building/178-bleecker-st-manhattan-ny-10012/281913488861850821/","178 Bleecker St")</f>
        <v>178 Bleecker St</v>
      </c>
      <c r="C6927" s="1" t="s">
        <v>277</v>
      </c>
      <c r="D6927" s="1" t="s">
        <v>41</v>
      </c>
      <c r="E6927" s="3">
        <v>2900000</v>
      </c>
      <c r="F6927" s="1">
        <v>1800.1241464928601</v>
      </c>
      <c r="M6927" s="4">
        <v>1611</v>
      </c>
      <c r="Q6927" s="1" t="s">
        <v>42</v>
      </c>
      <c r="S6927" s="1" t="s">
        <v>42</v>
      </c>
      <c r="T6927" s="1" t="s">
        <v>273</v>
      </c>
      <c r="AA6927" s="1">
        <v>2900000</v>
      </c>
      <c r="AB6927" s="1" t="s">
        <v>5119</v>
      </c>
      <c r="AC6927" s="5">
        <v>43979</v>
      </c>
      <c r="AF6927" s="1">
        <v>10012</v>
      </c>
      <c r="AJ6927" s="1">
        <v>2017</v>
      </c>
      <c r="AL6927" s="1">
        <v>5</v>
      </c>
    </row>
    <row r="6928" spans="1:38" x14ac:dyDescent="0.2">
      <c r="A6928" s="2" t="str">
        <f>HYPERLINK("https://www.compass.com/listing/15-west-61st-street-unit-14g-manhattan-ny-10023/533485196723531233/","15 W 61st St, Unit 14G")</f>
        <v>15 W 61st St, Unit 14G</v>
      </c>
      <c r="B6928" s="2" t="str">
        <f>HYPERLINK("https://www.compass.com/building/the-park-loggia-manhattan-ny/292861833130357557/","The Park Loggia")</f>
        <v>The Park Loggia</v>
      </c>
      <c r="C6928" s="1" t="s">
        <v>57</v>
      </c>
      <c r="D6928" s="1" t="s">
        <v>41</v>
      </c>
      <c r="E6928" s="3">
        <v>1700478</v>
      </c>
      <c r="F6928" s="1">
        <v>2604.1003062787099</v>
      </c>
      <c r="G6928" s="1">
        <v>3</v>
      </c>
      <c r="H6928" s="1">
        <v>1</v>
      </c>
      <c r="I6928" s="1">
        <v>1</v>
      </c>
      <c r="J6928" s="1">
        <v>1</v>
      </c>
      <c r="K6928" s="1">
        <v>1</v>
      </c>
      <c r="M6928" s="1">
        <v>653</v>
      </c>
      <c r="N6928" s="1">
        <v>672</v>
      </c>
      <c r="O6928" s="1">
        <v>1318</v>
      </c>
      <c r="P6928" s="1">
        <v>646</v>
      </c>
      <c r="Q6928" s="1" t="s">
        <v>42</v>
      </c>
      <c r="S6928" s="1" t="s">
        <v>42</v>
      </c>
      <c r="T6928" s="1" t="s">
        <v>273</v>
      </c>
      <c r="U6928" s="1">
        <v>14</v>
      </c>
      <c r="V6928" s="5">
        <v>43988</v>
      </c>
      <c r="W6928" s="5">
        <v>43895</v>
      </c>
      <c r="X6928" s="1">
        <v>1670000</v>
      </c>
      <c r="Y6928" s="1">
        <v>1670000</v>
      </c>
      <c r="AA6928" s="1">
        <v>1700477.5</v>
      </c>
      <c r="AB6928" s="1" t="s">
        <v>5120</v>
      </c>
      <c r="AC6928" s="5">
        <v>43987</v>
      </c>
      <c r="AF6928" s="1">
        <v>10023</v>
      </c>
      <c r="AI6928" s="1" t="s">
        <v>65</v>
      </c>
      <c r="AJ6928" s="1">
        <v>2019</v>
      </c>
      <c r="AK6928" s="1" t="s">
        <v>108</v>
      </c>
      <c r="AL6928" s="1">
        <v>172</v>
      </c>
    </row>
    <row r="6929" spans="1:38" x14ac:dyDescent="0.2">
      <c r="A6929" s="2" t="str">
        <f>HYPERLINK("https://www.compass.com/listing/108-leonard-street-unit-7e-manhattan-ny-10013/536207541779505545/","108 Leonard St, Unit 7E")</f>
        <v>108 Leonard St, Unit 7E</v>
      </c>
      <c r="B6929" s="2" t="str">
        <f>HYPERLINK("https://www.compass.com/building/108-leonard-st-manhattan-ny-10013/307456049610778277/","108 Leonard St")</f>
        <v>108 Leonard St</v>
      </c>
      <c r="C6929" s="1" t="s">
        <v>113</v>
      </c>
      <c r="D6929" s="1" t="s">
        <v>41</v>
      </c>
      <c r="E6929" s="3">
        <v>2296853</v>
      </c>
      <c r="F6929" s="1">
        <v>1764.09587557603</v>
      </c>
      <c r="M6929" s="4">
        <v>1302</v>
      </c>
      <c r="Q6929" s="1" t="s">
        <v>42</v>
      </c>
      <c r="S6929" s="1" t="s">
        <v>42</v>
      </c>
      <c r="T6929" s="1" t="s">
        <v>273</v>
      </c>
      <c r="AA6929" s="1">
        <v>2296852.83</v>
      </c>
      <c r="AB6929" s="1" t="s">
        <v>5121</v>
      </c>
      <c r="AC6929" s="5">
        <v>43980</v>
      </c>
      <c r="AF6929" s="1">
        <v>10013</v>
      </c>
      <c r="AI6929" s="1" t="s">
        <v>78</v>
      </c>
      <c r="AJ6929" s="1">
        <v>1899</v>
      </c>
      <c r="AK6929" s="1" t="s">
        <v>55</v>
      </c>
      <c r="AL6929" s="1">
        <v>167</v>
      </c>
    </row>
    <row r="6930" spans="1:38" x14ac:dyDescent="0.2">
      <c r="A6930" s="2" t="str">
        <f>HYPERLINK("https://www.compass.com/listing/70-west-139th-street-unit-3g-manhattan-ny-10037/538117624658424353/","70 W 139th St, Unit 3G")</f>
        <v>70 W 139th St, Unit 3G</v>
      </c>
      <c r="B6930" s="2" t="str">
        <f>HYPERLINK("https://www.compass.com/building/70-w-139th-st-manhattan-ny-10037/292920118235647477/","70 W 139th St")</f>
        <v>70 W 139th St</v>
      </c>
      <c r="C6930" s="1" t="s">
        <v>84</v>
      </c>
      <c r="D6930" s="1" t="s">
        <v>41</v>
      </c>
      <c r="E6930" s="3">
        <v>465381</v>
      </c>
      <c r="F6930" s="1">
        <v>683.37885462555005</v>
      </c>
      <c r="M6930" s="1">
        <v>681</v>
      </c>
      <c r="Q6930" s="1" t="s">
        <v>42</v>
      </c>
      <c r="S6930" s="1" t="s">
        <v>42</v>
      </c>
      <c r="T6930" s="1" t="s">
        <v>273</v>
      </c>
      <c r="AA6930" s="1">
        <v>465381</v>
      </c>
      <c r="AB6930" s="1" t="s">
        <v>5122</v>
      </c>
      <c r="AC6930" s="5">
        <v>43979</v>
      </c>
      <c r="AF6930" s="1">
        <v>10037</v>
      </c>
      <c r="AI6930" s="1" t="s">
        <v>48</v>
      </c>
      <c r="AJ6930" s="1">
        <v>2018</v>
      </c>
      <c r="AL6930" s="1">
        <v>64</v>
      </c>
    </row>
    <row r="6931" spans="1:38" x14ac:dyDescent="0.2">
      <c r="A6931" s="2" t="str">
        <f>HYPERLINK("https://www.compass.com/listing/178-bleecker-street-unit-6f-manhattan-ny-10012/54006509343889969/","178 Bleecker St, Unit 6F")</f>
        <v>178 Bleecker St, Unit 6F</v>
      </c>
      <c r="B6931" s="2" t="str">
        <f>HYPERLINK("https://www.compass.com/building/178-bleecker-st-manhattan-ny-10012/281913488861850821/","178 Bleecker St")</f>
        <v>178 Bleecker St</v>
      </c>
      <c r="C6931" s="1" t="s">
        <v>277</v>
      </c>
      <c r="D6931" s="1" t="s">
        <v>41</v>
      </c>
      <c r="E6931" s="3">
        <v>3309313</v>
      </c>
      <c r="F6931" s="1">
        <v>1967.4866230677701</v>
      </c>
      <c r="M6931" s="4">
        <v>1682</v>
      </c>
      <c r="Q6931" s="1" t="s">
        <v>42</v>
      </c>
      <c r="S6931" s="1" t="s">
        <v>42</v>
      </c>
      <c r="T6931" s="1" t="s">
        <v>273</v>
      </c>
      <c r="AA6931" s="1">
        <v>3309312.5</v>
      </c>
      <c r="AB6931" s="1" t="s">
        <v>5123</v>
      </c>
      <c r="AC6931" s="5">
        <v>43308</v>
      </c>
      <c r="AF6931" s="1">
        <v>10012</v>
      </c>
      <c r="AJ6931" s="1">
        <v>2017</v>
      </c>
      <c r="AL6931" s="1">
        <v>5</v>
      </c>
    </row>
    <row r="6932" spans="1:38" x14ac:dyDescent="0.2">
      <c r="A6932" s="2" t="str">
        <f>HYPERLINK("https://www.compass.com/listing/70-west-139th-street-unit-3i-manhattan-ny-10037/541017823521337817/","70 W 139th St, Unit 3I")</f>
        <v>70 W 139th St, Unit 3I</v>
      </c>
      <c r="B6932" s="2" t="str">
        <f>HYPERLINK("https://www.compass.com/building/70-w-139th-st-manhattan-ny-10037/292920118235647477/","70 W 139th St")</f>
        <v>70 W 139th St</v>
      </c>
      <c r="C6932" s="1" t="s">
        <v>84</v>
      </c>
      <c r="D6932" s="1" t="s">
        <v>41</v>
      </c>
      <c r="E6932" s="3">
        <v>465381</v>
      </c>
      <c r="F6932" s="1">
        <v>695.636771300448</v>
      </c>
      <c r="M6932" s="1">
        <v>669</v>
      </c>
      <c r="Q6932" s="1" t="s">
        <v>42</v>
      </c>
      <c r="S6932" s="1" t="s">
        <v>42</v>
      </c>
      <c r="T6932" s="1" t="s">
        <v>273</v>
      </c>
      <c r="AA6932" s="1">
        <v>465381</v>
      </c>
      <c r="AB6932" s="1" t="s">
        <v>5124</v>
      </c>
      <c r="AC6932" s="5">
        <v>43979</v>
      </c>
      <c r="AF6932" s="1">
        <v>10037</v>
      </c>
      <c r="AI6932" s="1" t="s">
        <v>48</v>
      </c>
      <c r="AJ6932" s="1">
        <v>2018</v>
      </c>
      <c r="AL6932" s="1">
        <v>64</v>
      </c>
    </row>
    <row r="6933" spans="1:38" x14ac:dyDescent="0.2">
      <c r="A6933" s="2" t="str">
        <f>HYPERLINK("https://www.compass.com/listing/111-west-57th-street-unit-11d-manhattan-ny-10019/542464627202782529/","111 W 57th St, Unit 11D")</f>
        <v>111 W 57th St, Unit 11D</v>
      </c>
      <c r="B6933" s="2" t="str">
        <f>HYPERLINK("https://www.compass.com/building/111-w-57th-st-manhattan-ny-10019/282058921823206277/","111 W 57th St")</f>
        <v>111 W 57th St</v>
      </c>
      <c r="C6933" s="1" t="s">
        <v>139</v>
      </c>
      <c r="D6933" s="1" t="s">
        <v>41</v>
      </c>
      <c r="E6933" s="3">
        <v>2792652</v>
      </c>
      <c r="Q6933" s="1" t="s">
        <v>42</v>
      </c>
      <c r="S6933" s="1" t="s">
        <v>42</v>
      </c>
      <c r="T6933" s="1" t="s">
        <v>273</v>
      </c>
      <c r="AA6933" s="1">
        <v>2792651.88</v>
      </c>
      <c r="AB6933" s="1" t="s">
        <v>5125</v>
      </c>
      <c r="AC6933" s="5">
        <v>43984</v>
      </c>
      <c r="AF6933" s="1">
        <v>10019</v>
      </c>
      <c r="AI6933" s="1" t="s">
        <v>177</v>
      </c>
      <c r="AJ6933" s="1">
        <v>2016</v>
      </c>
      <c r="AK6933" s="1" t="s">
        <v>49</v>
      </c>
      <c r="AL6933" s="1">
        <v>60</v>
      </c>
    </row>
    <row r="6934" spans="1:38" x14ac:dyDescent="0.2">
      <c r="A6934" s="2" t="str">
        <f>HYPERLINK("https://www.compass.com/listing/160-leroy-street-unit-6d-n-manhattan-ny-10014/54734918567105857/","160 Leroy St, Unit 6D N")</f>
        <v>160 Leroy St, Unit 6D N</v>
      </c>
      <c r="B6934" s="2" t="str">
        <f t="shared" ref="B6934:B6935" si="1091">HYPERLINK("https://www.compass.com/building/160-leroy-st-manhattan-ny-10014/293418469918017093/","160 Leroy St")</f>
        <v>160 Leroy St</v>
      </c>
      <c r="C6934" s="1" t="s">
        <v>67</v>
      </c>
      <c r="D6934" s="1" t="s">
        <v>41</v>
      </c>
      <c r="E6934" s="3">
        <v>2600000</v>
      </c>
      <c r="F6934" s="1">
        <v>2495.2015355086301</v>
      </c>
      <c r="M6934" s="4">
        <v>1042</v>
      </c>
      <c r="Q6934" s="1" t="s">
        <v>42</v>
      </c>
      <c r="S6934" s="1" t="s">
        <v>42</v>
      </c>
      <c r="T6934" s="1" t="s">
        <v>273</v>
      </c>
      <c r="AA6934" s="1">
        <v>2600000</v>
      </c>
      <c r="AB6934" s="1" t="s">
        <v>5126</v>
      </c>
      <c r="AC6934" s="5">
        <v>43315</v>
      </c>
      <c r="AF6934" s="1">
        <v>10014</v>
      </c>
      <c r="AI6934" s="1" t="s">
        <v>65</v>
      </c>
      <c r="AJ6934" s="1">
        <v>2017</v>
      </c>
      <c r="AK6934" s="1" t="s">
        <v>202</v>
      </c>
      <c r="AL6934" s="1">
        <v>57</v>
      </c>
    </row>
    <row r="6935" spans="1:38" x14ac:dyDescent="0.2">
      <c r="A6935" s="2" t="str">
        <f>HYPERLINK("https://www.compass.com/listing/160-leroy-street-unit-9a-s-manhattan-ny-10014/54734924548206369/","160 Leroy St, Unit 9A S")</f>
        <v>160 Leroy St, Unit 9A S</v>
      </c>
      <c r="B6935" s="2" t="str">
        <f t="shared" si="1091"/>
        <v>160 Leroy St</v>
      </c>
      <c r="C6935" s="1" t="s">
        <v>67</v>
      </c>
      <c r="D6935" s="1" t="s">
        <v>41</v>
      </c>
      <c r="E6935" s="3">
        <v>3018000</v>
      </c>
      <c r="F6935" s="1">
        <v>2753.6496350364901</v>
      </c>
      <c r="M6935" s="4">
        <v>1096</v>
      </c>
      <c r="Q6935" s="1" t="s">
        <v>42</v>
      </c>
      <c r="S6935" s="1" t="s">
        <v>42</v>
      </c>
      <c r="T6935" s="1" t="s">
        <v>273</v>
      </c>
      <c r="AA6935" s="1">
        <v>3018000</v>
      </c>
      <c r="AB6935" s="1" t="s">
        <v>5127</v>
      </c>
      <c r="AC6935" s="5">
        <v>43322</v>
      </c>
      <c r="AF6935" s="1">
        <v>10014</v>
      </c>
      <c r="AI6935" s="1" t="s">
        <v>65</v>
      </c>
      <c r="AJ6935" s="1">
        <v>2017</v>
      </c>
      <c r="AK6935" s="1" t="s">
        <v>202</v>
      </c>
      <c r="AL6935" s="1">
        <v>57</v>
      </c>
    </row>
    <row r="6936" spans="1:38" x14ac:dyDescent="0.2">
      <c r="A6936" s="2" t="str">
        <f>HYPERLINK("https://www.compass.com/listing/225-west-17th-street-unit-3ab-manhattan-ny-10011/547790668691925689/","225 W 17th St, Unit 3AB")</f>
        <v>225 W 17th St, Unit 3AB</v>
      </c>
      <c r="B6936" s="2" t="str">
        <f>HYPERLINK("https://www.compass.com/building/225-west-17th-street-manhattan-ny/292802090781141541/","225 West 17th Street")</f>
        <v>225 West 17th Street</v>
      </c>
      <c r="C6936" s="1" t="s">
        <v>62</v>
      </c>
      <c r="D6936" s="1" t="s">
        <v>41</v>
      </c>
      <c r="E6936" s="3">
        <v>6000000</v>
      </c>
      <c r="F6936" s="1">
        <v>1705.02983802216</v>
      </c>
      <c r="M6936" s="4">
        <v>3519</v>
      </c>
      <c r="Q6936" s="1" t="s">
        <v>42</v>
      </c>
      <c r="S6936" s="1" t="s">
        <v>42</v>
      </c>
      <c r="T6936" s="1" t="s">
        <v>273</v>
      </c>
      <c r="AA6936" s="1">
        <v>6000000</v>
      </c>
      <c r="AB6936" s="1" t="s">
        <v>5128</v>
      </c>
      <c r="AC6936" s="5">
        <v>43998</v>
      </c>
      <c r="AF6936" s="1">
        <v>10011</v>
      </c>
      <c r="AI6936" s="1" t="s">
        <v>177</v>
      </c>
      <c r="AJ6936" s="1">
        <v>2018</v>
      </c>
      <c r="AK6936" s="1" t="s">
        <v>73</v>
      </c>
      <c r="AL6936" s="1">
        <v>14</v>
      </c>
    </row>
    <row r="6937" spans="1:38" x14ac:dyDescent="0.2">
      <c r="A6937" s="2" t="str">
        <f>HYPERLINK("https://www.compass.com/listing/50-west-street-unit-14a-manhattan-ny-10006/553342414000451409/","50 West St, Unit 14A")</f>
        <v>50 West St, Unit 14A</v>
      </c>
      <c r="B6937" s="2" t="str">
        <f>HYPERLINK("https://www.compass.com/building/50-west-st-manhattan-ny-10006/281896342152815429/","50 West St")</f>
        <v>50 West St</v>
      </c>
      <c r="C6937" s="1" t="s">
        <v>96</v>
      </c>
      <c r="D6937" s="1" t="s">
        <v>41</v>
      </c>
      <c r="E6937" s="3">
        <v>155792</v>
      </c>
      <c r="F6937" s="1">
        <v>133.49822622107899</v>
      </c>
      <c r="M6937" s="4">
        <v>1167</v>
      </c>
      <c r="Q6937" s="1" t="s">
        <v>42</v>
      </c>
      <c r="S6937" s="1" t="s">
        <v>42</v>
      </c>
      <c r="T6937" s="1" t="s">
        <v>273</v>
      </c>
      <c r="AA6937" s="1">
        <v>155792.43</v>
      </c>
      <c r="AB6937" s="1" t="s">
        <v>5129</v>
      </c>
      <c r="AC6937" s="5">
        <v>44008</v>
      </c>
      <c r="AF6937" s="1">
        <v>10006</v>
      </c>
      <c r="AI6937" s="1" t="s">
        <v>97</v>
      </c>
      <c r="AJ6937" s="1">
        <v>2016</v>
      </c>
      <c r="AK6937" s="1" t="s">
        <v>49</v>
      </c>
      <c r="AL6937" s="1">
        <v>186</v>
      </c>
    </row>
    <row r="6938" spans="1:38" x14ac:dyDescent="0.2">
      <c r="A6938" s="2" t="str">
        <f>HYPERLINK("https://www.compass.com/listing/403-greenwich-street-unit-d-manhattan-ny-10013/556237583716484793/","403 Greenwich St, Unit D")</f>
        <v>403 Greenwich St, Unit D</v>
      </c>
      <c r="B6938" s="2" t="str">
        <f>HYPERLINK("https://www.compass.com/building/403-greenwich-st-manhattan-ny-10013/281919631906604869/","403 Greenwich St")</f>
        <v>403 Greenwich St</v>
      </c>
      <c r="C6938" s="1" t="s">
        <v>50</v>
      </c>
      <c r="D6938" s="1" t="s">
        <v>41</v>
      </c>
      <c r="E6938" s="3">
        <v>8035231</v>
      </c>
      <c r="F6938" s="1">
        <v>1924.1454142720299</v>
      </c>
      <c r="M6938" s="4">
        <v>4176</v>
      </c>
      <c r="Q6938" s="1" t="s">
        <v>42</v>
      </c>
      <c r="S6938" s="1" t="s">
        <v>42</v>
      </c>
      <c r="T6938" s="1" t="s">
        <v>273</v>
      </c>
      <c r="AA6938" s="1">
        <v>8035231.25</v>
      </c>
      <c r="AB6938" s="1" t="s">
        <v>5130</v>
      </c>
      <c r="AC6938" s="5">
        <v>44013</v>
      </c>
      <c r="AF6938" s="1">
        <v>10013</v>
      </c>
      <c r="AJ6938" s="1">
        <v>2017</v>
      </c>
      <c r="AL6938" s="1">
        <v>4</v>
      </c>
    </row>
    <row r="6939" spans="1:38" x14ac:dyDescent="0.2">
      <c r="A6939" s="2" t="str">
        <f>HYPERLINK("https://www.compass.com/listing/347-bowery-unit-r9-manhattan-ny-10003/557688819460576249/","347 Bowery, Unit R9")</f>
        <v>347 Bowery, Unit R9</v>
      </c>
      <c r="B6939" s="2" t="str">
        <f>HYPERLINK("https://www.compass.com/building/347-bowery-manhattan-ny/281893184445880405/","347 Bowery")</f>
        <v>347 Bowery</v>
      </c>
      <c r="C6939" s="1" t="s">
        <v>71</v>
      </c>
      <c r="D6939" s="1" t="s">
        <v>41</v>
      </c>
      <c r="E6939" s="3">
        <v>6575000</v>
      </c>
      <c r="F6939" s="1">
        <v>2274.2995503286002</v>
      </c>
      <c r="M6939" s="4">
        <v>2891</v>
      </c>
      <c r="Q6939" s="1" t="s">
        <v>42</v>
      </c>
      <c r="S6939" s="1" t="s">
        <v>42</v>
      </c>
      <c r="T6939" s="1" t="s">
        <v>273</v>
      </c>
      <c r="AA6939" s="1">
        <v>6575000</v>
      </c>
      <c r="AB6939" s="1" t="s">
        <v>5131</v>
      </c>
      <c r="AC6939" s="5">
        <v>44014</v>
      </c>
      <c r="AF6939" s="1">
        <v>10003</v>
      </c>
      <c r="AI6939" s="1" t="s">
        <v>54</v>
      </c>
      <c r="AJ6939" s="1">
        <v>2017</v>
      </c>
      <c r="AK6939" s="1" t="s">
        <v>73</v>
      </c>
      <c r="AL6939" s="1">
        <v>6</v>
      </c>
    </row>
    <row r="6940" spans="1:38" x14ac:dyDescent="0.2">
      <c r="A6940" s="2" t="str">
        <f>HYPERLINK("https://www.compass.com/listing/15-west-61st-street-unit-17c-manhattan-ny-10023/558675468432793505/","15 W 61st St, Unit 17C")</f>
        <v>15 W 61st St, Unit 17C</v>
      </c>
      <c r="B6940" s="2" t="str">
        <f>HYPERLINK("https://www.compass.com/building/the-park-loggia-manhattan-ny/292861833130357557/","The Park Loggia")</f>
        <v>The Park Loggia</v>
      </c>
      <c r="C6940" s="1" t="s">
        <v>57</v>
      </c>
      <c r="D6940" s="1" t="s">
        <v>41</v>
      </c>
      <c r="E6940" s="3">
        <v>1669930</v>
      </c>
      <c r="F6940" s="1">
        <v>2016.8236714975801</v>
      </c>
      <c r="G6940" s="1">
        <v>3</v>
      </c>
      <c r="H6940" s="1">
        <v>1</v>
      </c>
      <c r="I6940" s="1">
        <v>1</v>
      </c>
      <c r="J6940" s="1">
        <v>1</v>
      </c>
      <c r="K6940" s="1">
        <v>1</v>
      </c>
      <c r="M6940" s="1">
        <v>828</v>
      </c>
      <c r="N6940" s="1">
        <v>851</v>
      </c>
      <c r="O6940" s="1">
        <v>1670</v>
      </c>
      <c r="P6940" s="1">
        <v>819</v>
      </c>
      <c r="Q6940" s="1" t="s">
        <v>42</v>
      </c>
      <c r="S6940" s="1" t="s">
        <v>42</v>
      </c>
      <c r="T6940" s="1" t="s">
        <v>273</v>
      </c>
      <c r="U6940" s="1">
        <v>109</v>
      </c>
      <c r="V6940" s="5">
        <v>44023</v>
      </c>
      <c r="W6940" s="5">
        <v>43818</v>
      </c>
      <c r="X6940" s="1">
        <v>1640000</v>
      </c>
      <c r="Y6940" s="1">
        <v>1640000</v>
      </c>
      <c r="AA6940" s="1">
        <v>1669930</v>
      </c>
      <c r="AB6940" s="1" t="s">
        <v>5132</v>
      </c>
      <c r="AC6940" s="5">
        <v>44022</v>
      </c>
      <c r="AF6940" s="1">
        <v>10023</v>
      </c>
      <c r="AI6940" s="1" t="s">
        <v>65</v>
      </c>
      <c r="AJ6940" s="1">
        <v>2019</v>
      </c>
      <c r="AK6940" s="1" t="s">
        <v>108</v>
      </c>
      <c r="AL6940" s="1">
        <v>172</v>
      </c>
    </row>
    <row r="6941" spans="1:38" x14ac:dyDescent="0.2">
      <c r="A6941" s="2" t="str">
        <f>HYPERLINK("https://www.compass.com/listing/160-leroy-street-unit-12an-manhattan-ny-10014/56185274237032081/","160 Leroy St, Unit 12AN")</f>
        <v>160 Leroy St, Unit 12AN</v>
      </c>
      <c r="B6941" s="2" t="str">
        <f>HYPERLINK("https://www.compass.com/building/160-leroy-st-manhattan-ny-10014/293418469918017093/","160 Leroy St")</f>
        <v>160 Leroy St</v>
      </c>
      <c r="C6941" s="1" t="s">
        <v>67</v>
      </c>
      <c r="D6941" s="1" t="s">
        <v>41</v>
      </c>
      <c r="E6941" s="3">
        <v>12900000</v>
      </c>
      <c r="F6941" s="1">
        <v>3621.5609208309902</v>
      </c>
      <c r="M6941" s="4">
        <v>3562</v>
      </c>
      <c r="Q6941" s="1" t="s">
        <v>42</v>
      </c>
      <c r="S6941" s="1" t="s">
        <v>42</v>
      </c>
      <c r="T6941" s="1" t="s">
        <v>273</v>
      </c>
      <c r="AA6941" s="1">
        <v>12900000</v>
      </c>
      <c r="AB6941" s="1" t="s">
        <v>5133</v>
      </c>
      <c r="AC6941" s="5">
        <v>43321</v>
      </c>
      <c r="AF6941" s="1">
        <v>10014</v>
      </c>
      <c r="AI6941" s="1" t="s">
        <v>65</v>
      </c>
      <c r="AJ6941" s="1">
        <v>2017</v>
      </c>
      <c r="AK6941" s="1" t="s">
        <v>202</v>
      </c>
      <c r="AL6941" s="1">
        <v>57</v>
      </c>
    </row>
    <row r="6942" spans="1:38" x14ac:dyDescent="0.2">
      <c r="A6942" s="2" t="str">
        <f>HYPERLINK("https://www.compass.com/listing/108-leonard-street-unit-11l-manhattan-ny-10013/562197422750151273/","108 Leonard St, Unit 11L")</f>
        <v>108 Leonard St, Unit 11L</v>
      </c>
      <c r="B6942" s="2" t="str">
        <f>HYPERLINK("https://www.compass.com/building/108-leonard-st-manhattan-ny-10013/307456049610778277/","108 Leonard St")</f>
        <v>108 Leonard St</v>
      </c>
      <c r="C6942" s="1" t="s">
        <v>113</v>
      </c>
      <c r="D6942" s="1" t="s">
        <v>41</v>
      </c>
      <c r="E6942" s="3">
        <v>2845902</v>
      </c>
      <c r="F6942" s="1">
        <v>1930.7340976933499</v>
      </c>
      <c r="M6942" s="4">
        <v>1474</v>
      </c>
      <c r="Q6942" s="1" t="s">
        <v>42</v>
      </c>
      <c r="S6942" s="1" t="s">
        <v>42</v>
      </c>
      <c r="T6942" s="1" t="s">
        <v>273</v>
      </c>
      <c r="AA6942" s="1">
        <v>2845902.06</v>
      </c>
      <c r="AB6942" s="1" t="s">
        <v>5134</v>
      </c>
      <c r="AC6942" s="5">
        <v>43943</v>
      </c>
      <c r="AF6942" s="1">
        <v>10013</v>
      </c>
      <c r="AI6942" s="1" t="s">
        <v>78</v>
      </c>
      <c r="AJ6942" s="1">
        <v>1899</v>
      </c>
      <c r="AK6942" s="1" t="s">
        <v>55</v>
      </c>
      <c r="AL6942" s="1">
        <v>167</v>
      </c>
    </row>
    <row r="6943" spans="1:38" x14ac:dyDescent="0.2">
      <c r="A6943" s="2" t="str">
        <f>HYPERLINK("https://www.compass.com/listing/15-west-61st-street-unit-ph1a-manhattan-ny-10023/562201725543687377/","15 W 61st St, Unit PH1A")</f>
        <v>15 W 61st St, Unit PH1A</v>
      </c>
      <c r="B6943" s="2" t="str">
        <f>HYPERLINK("https://www.compass.com/building/the-park-loggia-manhattan-ny/292861833130357557/","The Park Loggia")</f>
        <v>The Park Loggia</v>
      </c>
      <c r="C6943" s="1" t="s">
        <v>57</v>
      </c>
      <c r="D6943" s="1" t="s">
        <v>41</v>
      </c>
      <c r="E6943" s="3">
        <v>9207000</v>
      </c>
      <c r="F6943" s="1">
        <v>3850.69008782936</v>
      </c>
      <c r="M6943" s="4">
        <v>2391</v>
      </c>
      <c r="Q6943" s="1" t="s">
        <v>42</v>
      </c>
      <c r="S6943" s="1" t="s">
        <v>42</v>
      </c>
      <c r="T6943" s="1" t="s">
        <v>273</v>
      </c>
      <c r="AA6943" s="1">
        <v>9207000</v>
      </c>
      <c r="AB6943" s="1" t="s">
        <v>5135</v>
      </c>
      <c r="AC6943" s="5">
        <v>43990</v>
      </c>
      <c r="AF6943" s="1">
        <v>10023</v>
      </c>
      <c r="AI6943" s="1" t="s">
        <v>65</v>
      </c>
      <c r="AJ6943" s="1">
        <v>2019</v>
      </c>
      <c r="AK6943" s="1" t="s">
        <v>55</v>
      </c>
      <c r="AL6943" s="1">
        <v>172</v>
      </c>
    </row>
    <row r="6944" spans="1:38" x14ac:dyDescent="0.2">
      <c r="A6944" s="2" t="str">
        <f>HYPERLINK("https://www.compass.com/listing/220-central-park-south-unit-64-manhattan-ny-10019/565839045207626609/","220 Central Park S, Unit 64")</f>
        <v>220 Central Park S, Unit 64</v>
      </c>
      <c r="B6944" s="2" t="str">
        <f t="shared" ref="B6944:B6945" si="1092">HYPERLINK("https://www.compass.com/building/220-central-park-south-manhattan-ny/281944232648828453/","220 Central Park South")</f>
        <v>220 Central Park South</v>
      </c>
      <c r="C6944" s="1" t="s">
        <v>260</v>
      </c>
      <c r="D6944" s="1" t="s">
        <v>41</v>
      </c>
      <c r="E6944" s="3">
        <v>53967250</v>
      </c>
      <c r="F6944" s="1">
        <v>9093.0497051389993</v>
      </c>
      <c r="G6944" s="1">
        <v>8</v>
      </c>
      <c r="H6944" s="1">
        <v>4</v>
      </c>
      <c r="I6944" s="1">
        <v>7</v>
      </c>
      <c r="J6944" s="1">
        <v>6</v>
      </c>
      <c r="K6944" s="1">
        <v>5</v>
      </c>
      <c r="L6944" s="1">
        <v>2</v>
      </c>
      <c r="M6944" s="4">
        <v>5935</v>
      </c>
      <c r="N6944" s="1">
        <v>13051</v>
      </c>
      <c r="O6944" s="1">
        <v>24009</v>
      </c>
      <c r="P6944" s="1">
        <v>10958</v>
      </c>
      <c r="Q6944" s="1" t="s">
        <v>42</v>
      </c>
      <c r="S6944" s="1" t="s">
        <v>42</v>
      </c>
      <c r="T6944" s="1" t="s">
        <v>273</v>
      </c>
      <c r="U6944" s="1">
        <v>1800</v>
      </c>
      <c r="V6944" s="5">
        <v>44139</v>
      </c>
      <c r="W6944" s="5">
        <v>42132</v>
      </c>
      <c r="X6944" s="1">
        <v>54500000</v>
      </c>
      <c r="Y6944" s="1">
        <v>54500000</v>
      </c>
      <c r="AA6944" s="1">
        <v>53967250</v>
      </c>
      <c r="AB6944" s="1" t="s">
        <v>5136</v>
      </c>
      <c r="AC6944" s="5">
        <v>44026</v>
      </c>
      <c r="AF6944" s="1">
        <v>10019</v>
      </c>
      <c r="AI6944" s="1" t="s">
        <v>118</v>
      </c>
      <c r="AJ6944" s="1">
        <v>2018</v>
      </c>
      <c r="AK6944" s="1" t="s">
        <v>46</v>
      </c>
      <c r="AL6944" s="1">
        <v>117</v>
      </c>
    </row>
    <row r="6945" spans="1:38" x14ac:dyDescent="0.2">
      <c r="A6945" s="2" t="str">
        <f>HYPERLINK("https://www.compass.com/listing/220-central-park-south-unit-68-manhattan-ny-10019/568576660138525641/","220 Central Park S, Unit 68")</f>
        <v>220 Central Park S, Unit 68</v>
      </c>
      <c r="B6945" s="2" t="str">
        <f t="shared" si="1092"/>
        <v>220 Central Park South</v>
      </c>
      <c r="C6945" s="1" t="s">
        <v>260</v>
      </c>
      <c r="D6945" s="1" t="s">
        <v>41</v>
      </c>
      <c r="E6945" s="3">
        <v>55500000</v>
      </c>
      <c r="F6945" s="1">
        <v>9351.3058129738802</v>
      </c>
      <c r="M6945" s="4">
        <v>5935</v>
      </c>
      <c r="Q6945" s="1" t="s">
        <v>42</v>
      </c>
      <c r="S6945" s="1" t="s">
        <v>42</v>
      </c>
      <c r="T6945" s="1" t="s">
        <v>273</v>
      </c>
      <c r="AA6945" s="1">
        <v>55500000</v>
      </c>
      <c r="AB6945" s="1" t="s">
        <v>5137</v>
      </c>
      <c r="AC6945" s="5">
        <v>44033</v>
      </c>
      <c r="AF6945" s="1">
        <v>10019</v>
      </c>
      <c r="AI6945" s="1" t="s">
        <v>101</v>
      </c>
      <c r="AJ6945" s="1">
        <v>2018</v>
      </c>
      <c r="AK6945" s="1" t="s">
        <v>49</v>
      </c>
      <c r="AL6945" s="1">
        <v>117</v>
      </c>
    </row>
    <row r="6946" spans="1:38" x14ac:dyDescent="0.2">
      <c r="A6946" s="2" t="str">
        <f>HYPERLINK("https://www.compass.com/listing/200-east-94th-street-unit-1814-manhattan-ny-10128/568581756285195761/","200 E 94th St, Unit 1814")</f>
        <v>200 E 94th St, Unit 1814</v>
      </c>
      <c r="B6946" s="2" t="str">
        <f>HYPERLINK("https://www.compass.com/building/carnegie-park-condominium-manhattan-ny/282049797358118613/","Carnegie Park Condominium")</f>
        <v>Carnegie Park Condominium</v>
      </c>
      <c r="C6946" s="1" t="s">
        <v>82</v>
      </c>
      <c r="D6946" s="1" t="s">
        <v>41</v>
      </c>
      <c r="E6946" s="3">
        <v>1730000</v>
      </c>
      <c r="F6946" s="1">
        <v>1624.4131455398999</v>
      </c>
      <c r="M6946" s="4">
        <v>1065</v>
      </c>
      <c r="Q6946" s="1" t="s">
        <v>42</v>
      </c>
      <c r="S6946" s="1" t="s">
        <v>42</v>
      </c>
      <c r="T6946" s="1" t="s">
        <v>273</v>
      </c>
      <c r="AA6946" s="1">
        <v>1730000</v>
      </c>
      <c r="AB6946" s="1" t="s">
        <v>5138</v>
      </c>
      <c r="AC6946" s="5">
        <v>44028</v>
      </c>
      <c r="AF6946" s="1">
        <v>10128</v>
      </c>
      <c r="AI6946" s="1" t="s">
        <v>163</v>
      </c>
      <c r="AJ6946" s="1">
        <v>1986</v>
      </c>
      <c r="AK6946" s="1" t="s">
        <v>55</v>
      </c>
      <c r="AL6946" s="1">
        <v>287</v>
      </c>
    </row>
    <row r="6947" spans="1:38" x14ac:dyDescent="0.2">
      <c r="A6947" s="2" t="str">
        <f>HYPERLINK("https://www.compass.com/listing/220-central-park-south-unit-20g-manhattan-ny-10019/571462921849504873/","220 Central Park S, Unit 20G")</f>
        <v>220 Central Park S, Unit 20G</v>
      </c>
      <c r="B6947" s="2" t="str">
        <f t="shared" ref="B6947:B6949" si="1093">HYPERLINK("https://www.compass.com/building/220-central-park-south-manhattan-ny/281944232648828453/","220 Central Park South")</f>
        <v>220 Central Park South</v>
      </c>
      <c r="C6947" s="1" t="s">
        <v>260</v>
      </c>
      <c r="D6947" s="1" t="s">
        <v>41</v>
      </c>
      <c r="E6947" s="3">
        <v>1811379</v>
      </c>
      <c r="F6947" s="1">
        <v>3601.1518489065602</v>
      </c>
      <c r="M6947" s="1">
        <v>503</v>
      </c>
      <c r="Q6947" s="1" t="s">
        <v>42</v>
      </c>
      <c r="S6947" s="1" t="s">
        <v>42</v>
      </c>
      <c r="T6947" s="1" t="s">
        <v>273</v>
      </c>
      <c r="AA6947" s="1">
        <v>1811379.38</v>
      </c>
      <c r="AB6947" s="1" t="s">
        <v>5139</v>
      </c>
      <c r="AC6947" s="5">
        <v>44035</v>
      </c>
      <c r="AF6947" s="1">
        <v>10019</v>
      </c>
      <c r="AI6947" s="1" t="s">
        <v>101</v>
      </c>
      <c r="AJ6947" s="1">
        <v>2018</v>
      </c>
      <c r="AK6947" s="1" t="s">
        <v>49</v>
      </c>
      <c r="AL6947" s="1">
        <v>117</v>
      </c>
    </row>
    <row r="6948" spans="1:38" x14ac:dyDescent="0.2">
      <c r="A6948" s="2" t="str">
        <f>HYPERLINK("https://www.compass.com/listing/220-central-park-south-unit-20k-manhattan-ny-10019/571462922705204881/","220 Central Park S, Unit 20K")</f>
        <v>220 Central Park S, Unit 20K</v>
      </c>
      <c r="B6948" s="2" t="str">
        <f t="shared" si="1093"/>
        <v>220 Central Park South</v>
      </c>
      <c r="C6948" s="1" t="s">
        <v>260</v>
      </c>
      <c r="D6948" s="1" t="s">
        <v>41</v>
      </c>
      <c r="E6948" s="3">
        <v>1816425</v>
      </c>
      <c r="F6948" s="1">
        <v>3848.3580508474502</v>
      </c>
      <c r="M6948" s="1">
        <v>472</v>
      </c>
      <c r="Q6948" s="1" t="s">
        <v>42</v>
      </c>
      <c r="S6948" s="1" t="s">
        <v>42</v>
      </c>
      <c r="T6948" s="1" t="s">
        <v>273</v>
      </c>
      <c r="AA6948" s="1">
        <v>1816425</v>
      </c>
      <c r="AB6948" s="1" t="s">
        <v>5140</v>
      </c>
      <c r="AC6948" s="5">
        <v>44035</v>
      </c>
      <c r="AF6948" s="1">
        <v>10019</v>
      </c>
      <c r="AI6948" s="1" t="s">
        <v>101</v>
      </c>
      <c r="AJ6948" s="1">
        <v>2018</v>
      </c>
      <c r="AK6948" s="1" t="s">
        <v>49</v>
      </c>
      <c r="AL6948" s="1">
        <v>117</v>
      </c>
    </row>
    <row r="6949" spans="1:38" x14ac:dyDescent="0.2">
      <c r="A6949" s="2" t="str">
        <f>HYPERLINK("https://www.compass.com/listing/220-central-park-south-unit-ph76-manhattan-ny-10019/571462953533280441/","220 Central Park S, Unit PH76")</f>
        <v>220 Central Park S, Unit PH76</v>
      </c>
      <c r="B6949" s="2" t="str">
        <f t="shared" si="1093"/>
        <v>220 Central Park South</v>
      </c>
      <c r="C6949" s="1" t="s">
        <v>260</v>
      </c>
      <c r="D6949" s="1" t="s">
        <v>41</v>
      </c>
      <c r="E6949" s="3">
        <v>99903375</v>
      </c>
      <c r="F6949" s="1">
        <v>12164.0539388773</v>
      </c>
      <c r="M6949" s="4">
        <v>8213</v>
      </c>
      <c r="Q6949" s="1" t="s">
        <v>42</v>
      </c>
      <c r="S6949" s="1" t="s">
        <v>42</v>
      </c>
      <c r="T6949" s="1" t="s">
        <v>273</v>
      </c>
      <c r="AA6949" s="1">
        <v>99903375</v>
      </c>
      <c r="AB6949" s="1" t="s">
        <v>5141</v>
      </c>
      <c r="AC6949" s="5">
        <v>44035</v>
      </c>
      <c r="AF6949" s="1">
        <v>10019</v>
      </c>
      <c r="AI6949" s="1" t="s">
        <v>101</v>
      </c>
      <c r="AJ6949" s="1">
        <v>2018</v>
      </c>
      <c r="AK6949" s="1" t="s">
        <v>49</v>
      </c>
      <c r="AL6949" s="1">
        <v>117</v>
      </c>
    </row>
    <row r="6950" spans="1:38" x14ac:dyDescent="0.2">
      <c r="A6950" s="2" t="str">
        <f>HYPERLINK("https://www.compass.com/listing/138-east-50th-street-unit-11b-manhattan-ny-10022/572191813400938641/","138 E 50th St, Unit 11B")</f>
        <v>138 E 50th St, Unit 11B</v>
      </c>
      <c r="B6950" s="2" t="str">
        <f t="shared" ref="B6950:B6951" si="1094">HYPERLINK("https://www.compass.com/building/the-centrale-manhattan-ny/281941497232811621/","The Centrale")</f>
        <v>The Centrale</v>
      </c>
      <c r="C6950" s="1" t="s">
        <v>116</v>
      </c>
      <c r="D6950" s="1" t="s">
        <v>41</v>
      </c>
      <c r="E6950" s="3">
        <v>1328816</v>
      </c>
      <c r="F6950" s="1">
        <v>1576.2944839857601</v>
      </c>
      <c r="M6950" s="1">
        <v>843</v>
      </c>
      <c r="Q6950" s="1" t="s">
        <v>42</v>
      </c>
      <c r="S6950" s="1" t="s">
        <v>42</v>
      </c>
      <c r="T6950" s="1" t="s">
        <v>273</v>
      </c>
      <c r="AA6950" s="1">
        <v>1328816.25</v>
      </c>
      <c r="AB6950" s="1" t="s">
        <v>5142</v>
      </c>
      <c r="AC6950" s="5">
        <v>44033</v>
      </c>
      <c r="AF6950" s="1">
        <v>10022</v>
      </c>
      <c r="AI6950" s="1" t="s">
        <v>118</v>
      </c>
      <c r="AJ6950" s="1">
        <v>2019</v>
      </c>
      <c r="AK6950" s="1" t="s">
        <v>55</v>
      </c>
      <c r="AL6950" s="1">
        <v>124</v>
      </c>
    </row>
    <row r="6951" spans="1:38" x14ac:dyDescent="0.2">
      <c r="A6951" s="2" t="str">
        <f>HYPERLINK("https://www.compass.com/listing/138-east-50th-street-unit-19b-manhattan-ny-10022/572191819566803329/","138 E 50th St, Unit 19B")</f>
        <v>138 E 50th St, Unit 19B</v>
      </c>
      <c r="B6951" s="2" t="str">
        <f t="shared" si="1094"/>
        <v>The Centrale</v>
      </c>
      <c r="C6951" s="1" t="s">
        <v>116</v>
      </c>
      <c r="D6951" s="1" t="s">
        <v>41</v>
      </c>
      <c r="E6951" s="3">
        <v>1566400</v>
      </c>
      <c r="F6951" s="1">
        <v>1849.35080283353</v>
      </c>
      <c r="M6951" s="1">
        <v>847</v>
      </c>
      <c r="Q6951" s="1" t="s">
        <v>42</v>
      </c>
      <c r="S6951" s="1" t="s">
        <v>42</v>
      </c>
      <c r="T6951" s="1" t="s">
        <v>273</v>
      </c>
      <c r="AA6951" s="1">
        <v>1566400.13</v>
      </c>
      <c r="AB6951" s="1" t="s">
        <v>5143</v>
      </c>
      <c r="AC6951" s="5">
        <v>44034</v>
      </c>
      <c r="AF6951" s="1">
        <v>10022</v>
      </c>
      <c r="AI6951" s="1" t="s">
        <v>118</v>
      </c>
      <c r="AJ6951" s="1">
        <v>2019</v>
      </c>
      <c r="AK6951" s="1" t="s">
        <v>55</v>
      </c>
      <c r="AL6951" s="1">
        <v>124</v>
      </c>
    </row>
    <row r="6952" spans="1:38" x14ac:dyDescent="0.2">
      <c r="A6952" s="2" t="str">
        <f>HYPERLINK("https://www.compass.com/listing/111-west-57th-street-unit-11c-manhattan-ny-10019/572925370687801417/","111 W 57th St, Unit 11C")</f>
        <v>111 W 57th St, Unit 11C</v>
      </c>
      <c r="B6952" s="2" t="str">
        <f>HYPERLINK("https://www.compass.com/building/111-w-57th-st-manhattan-ny-10019/282058921823206277/","111 W 57th St")</f>
        <v>111 W 57th St</v>
      </c>
      <c r="C6952" s="1" t="s">
        <v>139</v>
      </c>
      <c r="D6952" s="1" t="s">
        <v>41</v>
      </c>
      <c r="E6952" s="3">
        <v>1708819</v>
      </c>
      <c r="Q6952" s="1" t="s">
        <v>42</v>
      </c>
      <c r="S6952" s="1" t="s">
        <v>42</v>
      </c>
      <c r="T6952" s="1" t="s">
        <v>273</v>
      </c>
      <c r="AA6952" s="1">
        <v>1708818.75</v>
      </c>
      <c r="AB6952" s="1" t="s">
        <v>5144</v>
      </c>
      <c r="AC6952" s="5">
        <v>44035</v>
      </c>
      <c r="AF6952" s="1">
        <v>10019</v>
      </c>
      <c r="AI6952" s="1" t="s">
        <v>177</v>
      </c>
      <c r="AJ6952" s="1">
        <v>2016</v>
      </c>
      <c r="AK6952" s="1" t="s">
        <v>49</v>
      </c>
      <c r="AL6952" s="1">
        <v>60</v>
      </c>
    </row>
    <row r="6953" spans="1:38" x14ac:dyDescent="0.2">
      <c r="A6953" s="2" t="str">
        <f>HYPERLINK("https://www.compass.com/listing/15-west-61st-street-unit-17d-manhattan-ny-10023/573643516205799745/","15 W 61st St, Unit 17D")</f>
        <v>15 W 61st St, Unit 17D</v>
      </c>
      <c r="B6953" s="2" t="str">
        <f>HYPERLINK("https://www.compass.com/building/the-park-loggia-manhattan-ny/292861833130357557/","The Park Loggia")</f>
        <v>The Park Loggia</v>
      </c>
      <c r="C6953" s="1" t="s">
        <v>57</v>
      </c>
      <c r="D6953" s="1" t="s">
        <v>41</v>
      </c>
      <c r="E6953" s="3">
        <v>3317438</v>
      </c>
      <c r="F6953" s="1">
        <v>2475.6996268656699</v>
      </c>
      <c r="M6953" s="4">
        <v>1340</v>
      </c>
      <c r="Q6953" s="1" t="s">
        <v>42</v>
      </c>
      <c r="S6953" s="1" t="s">
        <v>42</v>
      </c>
      <c r="T6953" s="1" t="s">
        <v>273</v>
      </c>
      <c r="AA6953" s="1">
        <v>3317437.5</v>
      </c>
      <c r="AB6953" s="1" t="s">
        <v>5145</v>
      </c>
      <c r="AC6953" s="5">
        <v>44034</v>
      </c>
      <c r="AF6953" s="1">
        <v>10023</v>
      </c>
      <c r="AI6953" s="1" t="s">
        <v>65</v>
      </c>
      <c r="AJ6953" s="1">
        <v>2019</v>
      </c>
      <c r="AK6953" s="1" t="s">
        <v>55</v>
      </c>
      <c r="AL6953" s="1">
        <v>172</v>
      </c>
    </row>
    <row r="6954" spans="1:38" x14ac:dyDescent="0.2">
      <c r="A6954" s="2" t="str">
        <f>HYPERLINK("https://www.compass.com/listing/70-west-139th-street-unit-2g-manhattan-ny-10037/574376357398715137/","70 W 139th St, Unit 2G")</f>
        <v>70 W 139th St, Unit 2G</v>
      </c>
      <c r="B6954" s="2" t="str">
        <f>HYPERLINK("https://www.compass.com/building/70-w-139th-st-manhattan-ny-10037/292920118235647477/","70 W 139th St")</f>
        <v>70 W 139th St</v>
      </c>
      <c r="C6954" s="1" t="s">
        <v>84</v>
      </c>
      <c r="D6954" s="1" t="s">
        <v>41</v>
      </c>
      <c r="E6954" s="3">
        <v>465381</v>
      </c>
      <c r="F6954" s="1">
        <v>683.37885462555005</v>
      </c>
      <c r="M6954" s="1">
        <v>681</v>
      </c>
      <c r="Q6954" s="1" t="s">
        <v>42</v>
      </c>
      <c r="S6954" s="1" t="s">
        <v>42</v>
      </c>
      <c r="T6954" s="1" t="s">
        <v>273</v>
      </c>
      <c r="AA6954" s="1">
        <v>465381</v>
      </c>
      <c r="AB6954" s="1" t="s">
        <v>5146</v>
      </c>
      <c r="AC6954" s="5">
        <v>44035</v>
      </c>
      <c r="AF6954" s="1">
        <v>10037</v>
      </c>
      <c r="AI6954" s="1" t="s">
        <v>48</v>
      </c>
      <c r="AJ6954" s="1">
        <v>2018</v>
      </c>
      <c r="AL6954" s="1">
        <v>64</v>
      </c>
    </row>
    <row r="6955" spans="1:38" x14ac:dyDescent="0.2">
      <c r="A6955" s="2" t="str">
        <f>HYPERLINK("https://www.compass.com/listing/108-leonard-street-unit-8i-manhattan-ny-10013/582854463558282361/","108 Leonard St, Unit 8I")</f>
        <v>108 Leonard St, Unit 8I</v>
      </c>
      <c r="B6955" s="2" t="str">
        <f>HYPERLINK("https://www.compass.com/building/108-leonard-st-manhattan-ny-10013/307456049610778277/","108 Leonard St")</f>
        <v>108 Leonard St</v>
      </c>
      <c r="C6955" s="1" t="s">
        <v>113</v>
      </c>
      <c r="D6955" s="1" t="s">
        <v>41</v>
      </c>
      <c r="E6955" s="3">
        <v>1865318</v>
      </c>
      <c r="F6955" s="1">
        <v>1649.2644562334201</v>
      </c>
      <c r="M6955" s="4">
        <v>1131</v>
      </c>
      <c r="Q6955" s="1" t="s">
        <v>42</v>
      </c>
      <c r="S6955" s="1" t="s">
        <v>42</v>
      </c>
      <c r="T6955" s="1" t="s">
        <v>273</v>
      </c>
      <c r="AA6955" s="1">
        <v>1865318.1</v>
      </c>
      <c r="AB6955" s="1" t="s">
        <v>5147</v>
      </c>
      <c r="AC6955" s="5">
        <v>44040</v>
      </c>
      <c r="AF6955" s="1">
        <v>10013</v>
      </c>
      <c r="AI6955" s="1" t="s">
        <v>78</v>
      </c>
      <c r="AJ6955" s="1">
        <v>1899</v>
      </c>
      <c r="AK6955" s="1" t="s">
        <v>55</v>
      </c>
      <c r="AL6955" s="1">
        <v>167</v>
      </c>
    </row>
    <row r="6956" spans="1:38" x14ac:dyDescent="0.2">
      <c r="A6956" s="2" t="str">
        <f>HYPERLINK("https://www.compass.com/listing/180-east-88th-street-unit-38-manhattan-ny-10128/583067742893127769/","180 E 88th St, Unit 38")</f>
        <v>180 E 88th St, Unit 38</v>
      </c>
      <c r="B6956" s="2" t="str">
        <f>HYPERLINK("https://www.compass.com/building/180-e-88th-st-manhattan-ny-10128/282058835781256373/","180 E 88th St")</f>
        <v>180 E 88th St</v>
      </c>
      <c r="C6956" s="1" t="s">
        <v>82</v>
      </c>
      <c r="D6956" s="1" t="s">
        <v>41</v>
      </c>
      <c r="E6956" s="3">
        <v>11229516</v>
      </c>
      <c r="F6956" s="1">
        <v>3490.6794000621699</v>
      </c>
      <c r="M6956" s="4">
        <v>3217</v>
      </c>
      <c r="Q6956" s="1" t="s">
        <v>42</v>
      </c>
      <c r="S6956" s="1" t="s">
        <v>42</v>
      </c>
      <c r="T6956" s="1" t="s">
        <v>273</v>
      </c>
      <c r="AA6956" s="1">
        <v>11229515.630000001</v>
      </c>
      <c r="AB6956" s="1" t="s">
        <v>5148</v>
      </c>
      <c r="AC6956" s="5">
        <v>44020</v>
      </c>
      <c r="AF6956" s="1">
        <v>10128</v>
      </c>
      <c r="AJ6956" s="1">
        <v>2019</v>
      </c>
      <c r="AK6956" s="1" t="s">
        <v>49</v>
      </c>
      <c r="AL6956" s="1">
        <v>48</v>
      </c>
    </row>
    <row r="6957" spans="1:38" x14ac:dyDescent="0.2">
      <c r="A6957" s="2" t="str">
        <f>HYPERLINK("https://www.compass.com/listing/35-hudson-yards-unit-5803-manhattan-ny-10001/583783384168757961/","35 Hudson Yards, Unit 5803")</f>
        <v>35 Hudson Yards, Unit 5803</v>
      </c>
      <c r="B6957" s="2" t="str">
        <f>HYPERLINK("https://www.compass.com/building/35-hudson-yards-manhattan-ny/292773408544917349/","35 Hudson Yards")</f>
        <v>35 Hudson Yards</v>
      </c>
      <c r="C6957" s="1" t="s">
        <v>77</v>
      </c>
      <c r="D6957" s="1" t="s">
        <v>41</v>
      </c>
      <c r="E6957" s="3">
        <v>4253750</v>
      </c>
      <c r="Q6957" s="1" t="s">
        <v>42</v>
      </c>
      <c r="S6957" s="1" t="s">
        <v>42</v>
      </c>
      <c r="T6957" s="1" t="s">
        <v>273</v>
      </c>
      <c r="AA6957" s="1">
        <v>4253750</v>
      </c>
      <c r="AB6957" s="1" t="s">
        <v>5149</v>
      </c>
      <c r="AC6957" s="5">
        <v>44048</v>
      </c>
      <c r="AF6957" s="1">
        <v>10001</v>
      </c>
      <c r="AI6957" s="1" t="s">
        <v>48</v>
      </c>
      <c r="AJ6957" s="1">
        <v>2019</v>
      </c>
      <c r="AK6957" s="1" t="s">
        <v>55</v>
      </c>
      <c r="AL6957" s="1">
        <v>143</v>
      </c>
    </row>
    <row r="6958" spans="1:38" x14ac:dyDescent="0.2">
      <c r="A6958" s="2" t="str">
        <f>HYPERLINK("https://www.compass.com/listing/220-central-park-south-unit-20b-manhattan-ny-10019/583785231658934465/","220 Central Park S, Unit 20B")</f>
        <v>220 Central Park S, Unit 20B</v>
      </c>
      <c r="B6958" s="2" t="str">
        <f>HYPERLINK("https://www.compass.com/building/220-central-park-south-manhattan-ny/281944232648828453/","220 Central Park South")</f>
        <v>220 Central Park South</v>
      </c>
      <c r="C6958" s="1" t="s">
        <v>260</v>
      </c>
      <c r="D6958" s="1" t="s">
        <v>41</v>
      </c>
      <c r="E6958" s="3">
        <v>3767525</v>
      </c>
      <c r="F6958" s="1">
        <v>3872.0709146968102</v>
      </c>
      <c r="M6958" s="1">
        <v>973</v>
      </c>
      <c r="Q6958" s="1" t="s">
        <v>42</v>
      </c>
      <c r="S6958" s="1" t="s">
        <v>42</v>
      </c>
      <c r="T6958" s="1" t="s">
        <v>273</v>
      </c>
      <c r="AA6958" s="1">
        <v>3767525</v>
      </c>
      <c r="AB6958" s="1" t="s">
        <v>5150</v>
      </c>
      <c r="AC6958" s="5">
        <v>44042</v>
      </c>
      <c r="AF6958" s="1">
        <v>10019</v>
      </c>
      <c r="AI6958" s="1" t="s">
        <v>101</v>
      </c>
      <c r="AJ6958" s="1">
        <v>2018</v>
      </c>
      <c r="AK6958" s="1" t="s">
        <v>49</v>
      </c>
      <c r="AL6958" s="1">
        <v>117</v>
      </c>
    </row>
    <row r="6959" spans="1:38" x14ac:dyDescent="0.2">
      <c r="A6959" s="2" t="str">
        <f>HYPERLINK("https://www.compass.com/listing/12-east-88th-street-unit-7e-manhattan-ny-10128/583789641206205897/","12 E 88th St, Unit 7E")</f>
        <v>12 E 88th St, Unit 7E</v>
      </c>
      <c r="B6959" s="2" t="str">
        <f>HYPERLINK("https://www.compass.com/building/12-e-88th-st-manhattan-ny-10128/282046316798827461/","12 E 88th St")</f>
        <v>12 E 88th St</v>
      </c>
      <c r="C6959" s="1" t="s">
        <v>82</v>
      </c>
      <c r="D6959" s="1" t="s">
        <v>41</v>
      </c>
      <c r="E6959" s="3">
        <v>718885</v>
      </c>
      <c r="F6959" s="1">
        <v>1006.84103641456</v>
      </c>
      <c r="M6959" s="1">
        <v>714</v>
      </c>
      <c r="Q6959" s="1" t="s">
        <v>42</v>
      </c>
      <c r="S6959" s="1" t="s">
        <v>42</v>
      </c>
      <c r="T6959" s="1" t="s">
        <v>273</v>
      </c>
      <c r="AA6959" s="1">
        <v>718884.5</v>
      </c>
      <c r="AB6959" s="1" t="s">
        <v>5151</v>
      </c>
      <c r="AC6959" s="5">
        <v>44049</v>
      </c>
      <c r="AF6959" s="1">
        <v>10128</v>
      </c>
      <c r="AI6959" s="1" t="s">
        <v>177</v>
      </c>
      <c r="AJ6959" s="1">
        <v>1931</v>
      </c>
      <c r="AK6959" s="1" t="s">
        <v>49</v>
      </c>
      <c r="AL6959" s="1">
        <v>39</v>
      </c>
    </row>
    <row r="6960" spans="1:38" x14ac:dyDescent="0.2">
      <c r="A6960" s="2" t="str">
        <f>HYPERLINK("https://www.compass.com/listing/35-hudson-yards-unit-5903-manhattan-ny-10001/587406960675431905/","35 Hudson Yards, Unit 5903")</f>
        <v>35 Hudson Yards, Unit 5903</v>
      </c>
      <c r="B6960" s="2" t="str">
        <f>HYPERLINK("https://www.compass.com/building/35-hudson-yards-manhattan-ny/292773408544917349/","35 Hudson Yards")</f>
        <v>35 Hudson Yards</v>
      </c>
      <c r="C6960" s="1" t="s">
        <v>77</v>
      </c>
      <c r="D6960" s="1" t="s">
        <v>41</v>
      </c>
      <c r="E6960" s="3">
        <v>4253750</v>
      </c>
      <c r="Q6960" s="1" t="s">
        <v>42</v>
      </c>
      <c r="S6960" s="1" t="s">
        <v>42</v>
      </c>
      <c r="T6960" s="1" t="s">
        <v>273</v>
      </c>
      <c r="AA6960" s="1">
        <v>4253750</v>
      </c>
      <c r="AB6960" s="1" t="s">
        <v>5152</v>
      </c>
      <c r="AC6960" s="5">
        <v>44048</v>
      </c>
      <c r="AF6960" s="1">
        <v>10001</v>
      </c>
      <c r="AI6960" s="1" t="s">
        <v>48</v>
      </c>
      <c r="AJ6960" s="1">
        <v>2019</v>
      </c>
      <c r="AK6960" s="1" t="s">
        <v>55</v>
      </c>
      <c r="AL6960" s="1">
        <v>143</v>
      </c>
    </row>
    <row r="6961" spans="1:38" x14ac:dyDescent="0.2">
      <c r="A6961" s="2" t="str">
        <f>HYPERLINK("https://www.compass.com/listing/220-central-park-south-unit-19e-manhattan-ny-10019/587408833339860025/","220 Central Park S, Unit 19E")</f>
        <v>220 Central Park S, Unit 19E</v>
      </c>
      <c r="B6961" s="2" t="str">
        <f t="shared" ref="B6961:B6962" si="1095">HYPERLINK("https://www.compass.com/building/220-central-park-south-manhattan-ny/281944232648828453/","220 Central Park South")</f>
        <v>220 Central Park South</v>
      </c>
      <c r="C6961" s="1" t="s">
        <v>260</v>
      </c>
      <c r="D6961" s="1" t="s">
        <v>41</v>
      </c>
      <c r="E6961" s="3">
        <v>1384820</v>
      </c>
      <c r="F6961" s="1">
        <v>3569.1237113401999</v>
      </c>
      <c r="M6961" s="1">
        <v>388</v>
      </c>
      <c r="Q6961" s="1" t="s">
        <v>42</v>
      </c>
      <c r="S6961" s="1" t="s">
        <v>42</v>
      </c>
      <c r="T6961" s="1" t="s">
        <v>273</v>
      </c>
      <c r="AA6961" s="1">
        <v>1384820</v>
      </c>
      <c r="AB6961" s="1" t="s">
        <v>5153</v>
      </c>
      <c r="AC6961" s="5">
        <v>44050</v>
      </c>
      <c r="AF6961" s="1">
        <v>10019</v>
      </c>
      <c r="AI6961" s="1" t="s">
        <v>101</v>
      </c>
      <c r="AJ6961" s="1">
        <v>2018</v>
      </c>
      <c r="AK6961" s="1" t="s">
        <v>49</v>
      </c>
      <c r="AL6961" s="1">
        <v>117</v>
      </c>
    </row>
    <row r="6962" spans="1:38" x14ac:dyDescent="0.2">
      <c r="A6962" s="2" t="str">
        <f>HYPERLINK("https://www.compass.com/listing/220-central-park-south-unit-v11-manhattan-ny-10019/587408873043044761/","220 Central Park S, Unit V11")</f>
        <v>220 Central Park S, Unit V11</v>
      </c>
      <c r="B6962" s="2" t="str">
        <f t="shared" si="1095"/>
        <v>220 Central Park South</v>
      </c>
      <c r="C6962" s="1" t="s">
        <v>260</v>
      </c>
      <c r="D6962" s="1" t="s">
        <v>41</v>
      </c>
      <c r="E6962" s="3">
        <v>49000000</v>
      </c>
      <c r="F6962" s="1">
        <v>10165.975103734399</v>
      </c>
      <c r="M6962" s="4">
        <v>4820</v>
      </c>
      <c r="Q6962" s="1" t="s">
        <v>42</v>
      </c>
      <c r="S6962" s="1" t="s">
        <v>42</v>
      </c>
      <c r="T6962" s="1" t="s">
        <v>273</v>
      </c>
      <c r="AA6962" s="1">
        <v>49000000</v>
      </c>
      <c r="AB6962" s="1" t="s">
        <v>5154</v>
      </c>
      <c r="AC6962" s="5">
        <v>44050</v>
      </c>
      <c r="AF6962" s="1">
        <v>10019</v>
      </c>
      <c r="AI6962" s="1" t="s">
        <v>101</v>
      </c>
      <c r="AJ6962" s="1">
        <v>2018</v>
      </c>
      <c r="AK6962" s="1" t="s">
        <v>49</v>
      </c>
      <c r="AL6962" s="1">
        <v>117</v>
      </c>
    </row>
    <row r="6963" spans="1:38" x14ac:dyDescent="0.2">
      <c r="A6963" s="2" t="str">
        <f>HYPERLINK("https://www.compass.com/listing/35-hudson-yards-unit-7101-manhattan-ny-10001/589588702836671913/","35 Hudson Yards, Unit 7101")</f>
        <v>35 Hudson Yards, Unit 7101</v>
      </c>
      <c r="B6963" s="2" t="str">
        <f>HYPERLINK("https://www.compass.com/building/35-hudson-yards-manhattan-ny/292773408544917349/","35 Hudson Yards")</f>
        <v>35 Hudson Yards</v>
      </c>
      <c r="C6963" s="1" t="s">
        <v>77</v>
      </c>
      <c r="D6963" s="1" t="s">
        <v>41</v>
      </c>
      <c r="E6963" s="3">
        <v>6978750</v>
      </c>
      <c r="Q6963" s="1" t="s">
        <v>42</v>
      </c>
      <c r="S6963" s="1" t="s">
        <v>42</v>
      </c>
      <c r="T6963" s="1" t="s">
        <v>273</v>
      </c>
      <c r="AA6963" s="1">
        <v>6978750</v>
      </c>
      <c r="AB6963" s="1" t="s">
        <v>5155</v>
      </c>
      <c r="AC6963" s="5">
        <v>44057</v>
      </c>
      <c r="AF6963" s="1">
        <v>10001</v>
      </c>
      <c r="AI6963" s="1" t="s">
        <v>48</v>
      </c>
      <c r="AJ6963" s="1">
        <v>2019</v>
      </c>
      <c r="AK6963" s="1" t="s">
        <v>55</v>
      </c>
      <c r="AL6963" s="1">
        <v>143</v>
      </c>
    </row>
    <row r="6964" spans="1:38" x14ac:dyDescent="0.2">
      <c r="A6964" s="2" t="str">
        <f>HYPERLINK("https://www.compass.com/listing/220-central-park-south-unit-v3-manhattan-ny-10019/589590767893809849/","220 Central Park S, Unit V3")</f>
        <v>220 Central Park S, Unit V3</v>
      </c>
      <c r="B6964" s="2" t="str">
        <f>HYPERLINK("https://www.compass.com/building/220-central-park-south-manhattan-ny/281944232648828453/","220 Central Park South")</f>
        <v>220 Central Park South</v>
      </c>
      <c r="C6964" s="1" t="s">
        <v>260</v>
      </c>
      <c r="D6964" s="1" t="s">
        <v>41</v>
      </c>
      <c r="E6964" s="3">
        <v>30500000</v>
      </c>
      <c r="F6964" s="1">
        <v>6229.5751633986902</v>
      </c>
      <c r="M6964" s="4">
        <v>4896</v>
      </c>
      <c r="Q6964" s="1" t="s">
        <v>42</v>
      </c>
      <c r="S6964" s="1" t="s">
        <v>42</v>
      </c>
      <c r="T6964" s="1" t="s">
        <v>273</v>
      </c>
      <c r="AA6964" s="1">
        <v>30500000</v>
      </c>
      <c r="AB6964" s="1" t="s">
        <v>5156</v>
      </c>
      <c r="AC6964" s="5">
        <v>44057</v>
      </c>
      <c r="AF6964" s="1">
        <v>10019</v>
      </c>
      <c r="AI6964" s="1" t="s">
        <v>101</v>
      </c>
      <c r="AJ6964" s="1">
        <v>2018</v>
      </c>
      <c r="AK6964" s="1" t="s">
        <v>49</v>
      </c>
      <c r="AL6964" s="1">
        <v>117</v>
      </c>
    </row>
    <row r="6965" spans="1:38" x14ac:dyDescent="0.2">
      <c r="A6965" s="2" t="str">
        <f>HYPERLINK("https://www.compass.com/listing/15-west-61st-street-unit-30d-manhattan-ny-10023/589591281897266241/","15 W 61st St, Unit 30D")</f>
        <v>15 W 61st St, Unit 30D</v>
      </c>
      <c r="B6965" s="2" t="str">
        <f>HYPERLINK("https://www.compass.com/building/the-park-loggia-manhattan-ny/292861833130357557/","The Park Loggia")</f>
        <v>The Park Loggia</v>
      </c>
      <c r="C6965" s="1" t="s">
        <v>57</v>
      </c>
      <c r="D6965" s="1" t="s">
        <v>41</v>
      </c>
      <c r="E6965" s="3">
        <v>3802850</v>
      </c>
      <c r="F6965" s="1">
        <v>2792.1071953010201</v>
      </c>
      <c r="M6965" s="4">
        <v>1362</v>
      </c>
      <c r="Q6965" s="1" t="s">
        <v>42</v>
      </c>
      <c r="S6965" s="1" t="s">
        <v>42</v>
      </c>
      <c r="T6965" s="1" t="s">
        <v>273</v>
      </c>
      <c r="AA6965" s="1">
        <v>3802850</v>
      </c>
      <c r="AB6965" s="1" t="s">
        <v>5157</v>
      </c>
      <c r="AC6965" s="5">
        <v>44057</v>
      </c>
      <c r="AF6965" s="1">
        <v>10023</v>
      </c>
      <c r="AI6965" s="1" t="s">
        <v>65</v>
      </c>
      <c r="AJ6965" s="1">
        <v>2019</v>
      </c>
      <c r="AK6965" s="1" t="s">
        <v>55</v>
      </c>
      <c r="AL6965" s="1">
        <v>172</v>
      </c>
    </row>
    <row r="6966" spans="1:38" x14ac:dyDescent="0.2">
      <c r="A6966" s="2" t="str">
        <f>HYPERLINK("https://www.compass.com/listing/111-murray-street-unit-7c-manhattan-ny-10007/59074363353261857/","111 Murray St, Unit 7C")</f>
        <v>111 Murray St, Unit 7C</v>
      </c>
      <c r="B6966" s="2" t="str">
        <f>HYPERLINK("https://www.compass.com/building/111-murray-st-manhattan-ny-10007/281896511862746053/","111 Murray St")</f>
        <v>111 Murray St</v>
      </c>
      <c r="C6966" s="1" t="s">
        <v>50</v>
      </c>
      <c r="D6966" s="1" t="s">
        <v>41</v>
      </c>
      <c r="E6966" s="3">
        <v>2189238</v>
      </c>
      <c r="F6966" s="1">
        <v>2653.6212121212102</v>
      </c>
      <c r="M6966" s="1">
        <v>825</v>
      </c>
      <c r="Q6966" s="1" t="s">
        <v>42</v>
      </c>
      <c r="S6966" s="1" t="s">
        <v>42</v>
      </c>
      <c r="T6966" s="1" t="s">
        <v>273</v>
      </c>
      <c r="AA6966" s="1">
        <v>2189237.5</v>
      </c>
      <c r="AB6966" s="1" t="s">
        <v>5158</v>
      </c>
      <c r="AC6966" s="5">
        <v>43325</v>
      </c>
      <c r="AF6966" s="1">
        <v>10007</v>
      </c>
      <c r="AI6966" s="1" t="s">
        <v>80</v>
      </c>
      <c r="AJ6966" s="1">
        <v>2018</v>
      </c>
      <c r="AK6966" s="1" t="s">
        <v>49</v>
      </c>
      <c r="AL6966" s="1">
        <v>157</v>
      </c>
    </row>
    <row r="6967" spans="1:38" x14ac:dyDescent="0.2">
      <c r="A6967" s="2" t="str">
        <f>HYPERLINK("https://www.compass.com/listing/160-leroy-street-unit-7a-n-manhattan-ny-10014/59083488489437265/","160 Leroy St, Unit 7A N")</f>
        <v>160 Leroy St, Unit 7A N</v>
      </c>
      <c r="B6967" s="2" t="str">
        <f>HYPERLINK("https://www.compass.com/building/160-leroy-st-manhattan-ny-10014/293418469918017093/","160 Leroy St")</f>
        <v>160 Leroy St</v>
      </c>
      <c r="C6967" s="1" t="s">
        <v>67</v>
      </c>
      <c r="D6967" s="1" t="s">
        <v>41</v>
      </c>
      <c r="E6967" s="3">
        <v>6400000</v>
      </c>
      <c r="F6967" s="1">
        <v>3128.0547409579599</v>
      </c>
      <c r="M6967" s="4">
        <v>2046</v>
      </c>
      <c r="Q6967" s="1" t="s">
        <v>42</v>
      </c>
      <c r="S6967" s="1" t="s">
        <v>42</v>
      </c>
      <c r="T6967" s="1" t="s">
        <v>273</v>
      </c>
      <c r="AA6967" s="1">
        <v>6400000</v>
      </c>
      <c r="AB6967" s="1" t="s">
        <v>5159</v>
      </c>
      <c r="AC6967" s="5">
        <v>43321</v>
      </c>
      <c r="AF6967" s="1">
        <v>10014</v>
      </c>
      <c r="AI6967" s="1" t="s">
        <v>65</v>
      </c>
      <c r="AJ6967" s="1">
        <v>2017</v>
      </c>
      <c r="AK6967" s="1" t="s">
        <v>202</v>
      </c>
      <c r="AL6967" s="1">
        <v>57</v>
      </c>
    </row>
    <row r="6968" spans="1:38" x14ac:dyDescent="0.2">
      <c r="A6968" s="2" t="str">
        <f>HYPERLINK("https://www.compass.com/listing/220-central-park-south-unit-20d-manhattan-ny-10019/591759432105928025/","220 Central Park S, Unit 20D")</f>
        <v>220 Central Park S, Unit 20D</v>
      </c>
      <c r="B6968" s="2" t="str">
        <f>HYPERLINK("https://www.compass.com/building/220-central-park-south-manhattan-ny/281944232648828453/","220 Central Park South")</f>
        <v>220 Central Park South</v>
      </c>
      <c r="C6968" s="1" t="s">
        <v>260</v>
      </c>
      <c r="D6968" s="1" t="s">
        <v>41</v>
      </c>
      <c r="E6968" s="3">
        <v>1816425</v>
      </c>
      <c r="F6968" s="1">
        <v>3589.7727272727202</v>
      </c>
      <c r="M6968" s="1">
        <v>506</v>
      </c>
      <c r="Q6968" s="1" t="s">
        <v>42</v>
      </c>
      <c r="S6968" s="1" t="s">
        <v>42</v>
      </c>
      <c r="T6968" s="1" t="s">
        <v>273</v>
      </c>
      <c r="AA6968" s="1">
        <v>1816425</v>
      </c>
      <c r="AB6968" s="1" t="s">
        <v>5160</v>
      </c>
      <c r="AC6968" s="5">
        <v>44057</v>
      </c>
      <c r="AF6968" s="1">
        <v>10019</v>
      </c>
      <c r="AI6968" s="1" t="s">
        <v>101</v>
      </c>
      <c r="AJ6968" s="1">
        <v>2018</v>
      </c>
      <c r="AK6968" s="1" t="s">
        <v>49</v>
      </c>
      <c r="AL6968" s="1">
        <v>117</v>
      </c>
    </row>
    <row r="6969" spans="1:38" x14ac:dyDescent="0.2">
      <c r="A6969" s="2" t="str">
        <f>HYPERLINK("https://www.compass.com/listing/70-west-139th-street-unit-2f-manhattan-ny-10037/593215307773253153/","70 W 139th St, Unit 2F")</f>
        <v>70 W 139th St, Unit 2F</v>
      </c>
      <c r="B6969" s="2" t="str">
        <f>HYPERLINK("https://www.compass.com/building/70-w-139th-st-manhattan-ny-10037/292920118235647477/","70 W 139th St")</f>
        <v>70 W 139th St</v>
      </c>
      <c r="C6969" s="1" t="s">
        <v>84</v>
      </c>
      <c r="D6969" s="1" t="s">
        <v>41</v>
      </c>
      <c r="E6969" s="3">
        <v>533786</v>
      </c>
      <c r="F6969" s="1">
        <v>567.25398512221</v>
      </c>
      <c r="M6969" s="1">
        <v>941</v>
      </c>
      <c r="Q6969" s="1" t="s">
        <v>42</v>
      </c>
      <c r="S6969" s="1" t="s">
        <v>42</v>
      </c>
      <c r="T6969" s="1" t="s">
        <v>273</v>
      </c>
      <c r="AA6969" s="1">
        <v>533786</v>
      </c>
      <c r="AB6969" s="1" t="s">
        <v>5161</v>
      </c>
      <c r="AC6969" s="5">
        <v>44056</v>
      </c>
      <c r="AF6969" s="1">
        <v>10037</v>
      </c>
      <c r="AI6969" s="1" t="s">
        <v>48</v>
      </c>
      <c r="AJ6969" s="1">
        <v>2018</v>
      </c>
      <c r="AL6969" s="1">
        <v>64</v>
      </c>
    </row>
    <row r="6970" spans="1:38" x14ac:dyDescent="0.2">
      <c r="A6970" s="2" t="str">
        <f>HYPERLINK("https://www.compass.com/listing/220-central-park-south-unit-v7-manhattan-ny-10019/593935563470766937/","220 Central Park S, Unit V7")</f>
        <v>220 Central Park S, Unit V7</v>
      </c>
      <c r="B6970" s="2" t="str">
        <f t="shared" ref="B6970:B6971" si="1096">HYPERLINK("https://www.compass.com/building/220-central-park-south-manhattan-ny/281944232648828453/","220 Central Park South")</f>
        <v>220 Central Park South</v>
      </c>
      <c r="C6970" s="1" t="s">
        <v>260</v>
      </c>
      <c r="D6970" s="1" t="s">
        <v>41</v>
      </c>
      <c r="E6970" s="3">
        <v>40730000</v>
      </c>
      <c r="F6970" s="1">
        <v>8234.9373230893598</v>
      </c>
      <c r="M6970" s="4">
        <v>4946</v>
      </c>
      <c r="Q6970" s="1" t="s">
        <v>42</v>
      </c>
      <c r="S6970" s="1" t="s">
        <v>42</v>
      </c>
      <c r="T6970" s="1" t="s">
        <v>273</v>
      </c>
      <c r="AA6970" s="1">
        <v>40730000</v>
      </c>
      <c r="AB6970" s="1" t="s">
        <v>5162</v>
      </c>
      <c r="AC6970" s="5">
        <v>44042</v>
      </c>
      <c r="AF6970" s="1">
        <v>10019</v>
      </c>
      <c r="AI6970" s="1" t="s">
        <v>101</v>
      </c>
      <c r="AJ6970" s="1">
        <v>2018</v>
      </c>
      <c r="AK6970" s="1" t="s">
        <v>49</v>
      </c>
      <c r="AL6970" s="1">
        <v>117</v>
      </c>
    </row>
    <row r="6971" spans="1:38" x14ac:dyDescent="0.2">
      <c r="A6971" s="2" t="str">
        <f>HYPERLINK("https://www.compass.com/listing/220-central-park-south-unit-70-manhattan-ny-10019/594658042929702009/","220 Central Park S, Unit 70")</f>
        <v>220 Central Park S, Unit 70</v>
      </c>
      <c r="B6971" s="2" t="str">
        <f t="shared" si="1096"/>
        <v>220 Central Park South</v>
      </c>
      <c r="C6971" s="1" t="s">
        <v>260</v>
      </c>
      <c r="D6971" s="1" t="s">
        <v>41</v>
      </c>
      <c r="E6971" s="3">
        <v>61000000</v>
      </c>
      <c r="F6971" s="1">
        <v>10278.011794439701</v>
      </c>
      <c r="M6971" s="4">
        <v>5935</v>
      </c>
      <c r="Q6971" s="1" t="s">
        <v>42</v>
      </c>
      <c r="S6971" s="1" t="s">
        <v>42</v>
      </c>
      <c r="T6971" s="1" t="s">
        <v>273</v>
      </c>
      <c r="AA6971" s="1">
        <v>61000000</v>
      </c>
      <c r="AB6971" s="1" t="s">
        <v>5163</v>
      </c>
      <c r="AC6971" s="5">
        <v>44062</v>
      </c>
      <c r="AF6971" s="1">
        <v>10019</v>
      </c>
      <c r="AI6971" s="1" t="s">
        <v>101</v>
      </c>
      <c r="AJ6971" s="1">
        <v>2018</v>
      </c>
      <c r="AK6971" s="1" t="s">
        <v>49</v>
      </c>
      <c r="AL6971" s="1">
        <v>117</v>
      </c>
    </row>
    <row r="6972" spans="1:38" x14ac:dyDescent="0.2">
      <c r="A6972" s="2" t="str">
        <f>HYPERLINK("https://www.compass.com/listing/100-barrow-street-unit-2c-manhattan-ny-10014/59809372296999633/","100 Barrow St, Unit 2C")</f>
        <v>100 Barrow St, Unit 2C</v>
      </c>
      <c r="B6972" s="2" t="str">
        <f>HYPERLINK("https://www.compass.com/building/100-barrow-manhattan-ny/292834978184618837/","100 Barrow")</f>
        <v>100 Barrow</v>
      </c>
      <c r="C6972" s="1" t="s">
        <v>67</v>
      </c>
      <c r="D6972" s="1" t="s">
        <v>41</v>
      </c>
      <c r="E6972" s="3">
        <v>170000</v>
      </c>
      <c r="Q6972" s="1" t="s">
        <v>271</v>
      </c>
      <c r="S6972" s="1" t="s">
        <v>271</v>
      </c>
      <c r="T6972" s="1" t="s">
        <v>273</v>
      </c>
      <c r="AA6972" s="1">
        <v>170000</v>
      </c>
      <c r="AB6972" s="1" t="s">
        <v>5164</v>
      </c>
      <c r="AC6972" s="5">
        <v>43328</v>
      </c>
      <c r="AF6972" s="1">
        <v>10014</v>
      </c>
      <c r="AJ6972" s="1">
        <v>2015</v>
      </c>
      <c r="AK6972" s="1" t="s">
        <v>202</v>
      </c>
      <c r="AL6972" s="1">
        <v>33</v>
      </c>
    </row>
    <row r="6973" spans="1:38" x14ac:dyDescent="0.2">
      <c r="A6973" s="2" t="str">
        <f>HYPERLINK("https://www.compass.com/listing/252-south-street-unit-54j-manhattan-ny-10002/604803732452480049/","252 South St, Unit 54J")</f>
        <v>252 South St, Unit 54J</v>
      </c>
      <c r="B6973" s="2" t="str">
        <f>HYPERLINK("https://www.compass.com/building/one-manhattan-square-manhattan-ny/294844950218926165/","One Manhattan Square")</f>
        <v>One Manhattan Square</v>
      </c>
      <c r="C6973" s="1" t="s">
        <v>47</v>
      </c>
      <c r="D6973" s="1" t="s">
        <v>41</v>
      </c>
      <c r="E6973" s="3">
        <v>1661502</v>
      </c>
      <c r="F6973" s="1">
        <v>2390.6504460431602</v>
      </c>
      <c r="M6973" s="1">
        <v>695</v>
      </c>
      <c r="Q6973" s="1" t="s">
        <v>42</v>
      </c>
      <c r="S6973" s="1" t="s">
        <v>42</v>
      </c>
      <c r="T6973" s="1" t="s">
        <v>273</v>
      </c>
      <c r="AA6973" s="1">
        <v>1661502.06</v>
      </c>
      <c r="AB6973" s="1" t="s">
        <v>5165</v>
      </c>
      <c r="AC6973" s="5">
        <v>44077</v>
      </c>
      <c r="AF6973" s="1">
        <v>10002</v>
      </c>
      <c r="AI6973" s="1" t="s">
        <v>66</v>
      </c>
      <c r="AJ6973" s="1">
        <v>2019</v>
      </c>
      <c r="AK6973" s="1" t="s">
        <v>49</v>
      </c>
      <c r="AL6973" s="1">
        <v>787</v>
      </c>
    </row>
    <row r="6974" spans="1:38" x14ac:dyDescent="0.2">
      <c r="A6974" s="2" t="str">
        <f>HYPERLINK("https://www.compass.com/listing/220-central-park-south-unit-19b-manhattan-ny-10019/604807552506679553/","220 Central Park S, Unit 19B")</f>
        <v>220 Central Park S, Unit 19B</v>
      </c>
      <c r="B6974" s="2" t="str">
        <f t="shared" ref="B6974:B6978" si="1097">HYPERLINK("https://www.compass.com/building/220-central-park-south-manhattan-ny/281944232648828453/","220 Central Park South")</f>
        <v>220 Central Park South</v>
      </c>
      <c r="C6974" s="1" t="s">
        <v>260</v>
      </c>
      <c r="D6974" s="1" t="s">
        <v>41</v>
      </c>
      <c r="E6974" s="3">
        <v>3716613</v>
      </c>
      <c r="F6974" s="1">
        <v>3819.7456320657702</v>
      </c>
      <c r="M6974" s="1">
        <v>973</v>
      </c>
      <c r="Q6974" s="1" t="s">
        <v>42</v>
      </c>
      <c r="S6974" s="1" t="s">
        <v>42</v>
      </c>
      <c r="T6974" s="1" t="s">
        <v>273</v>
      </c>
      <c r="AA6974" s="1">
        <v>3716612.5</v>
      </c>
      <c r="AB6974" s="1" t="s">
        <v>5166</v>
      </c>
      <c r="AC6974" s="5">
        <v>44078</v>
      </c>
      <c r="AF6974" s="1">
        <v>10019</v>
      </c>
      <c r="AI6974" s="1" t="s">
        <v>101</v>
      </c>
      <c r="AJ6974" s="1">
        <v>2018</v>
      </c>
      <c r="AK6974" s="1" t="s">
        <v>49</v>
      </c>
      <c r="AL6974" s="1">
        <v>117</v>
      </c>
    </row>
    <row r="6975" spans="1:38" x14ac:dyDescent="0.2">
      <c r="A6975" s="2" t="str">
        <f>HYPERLINK("https://www.compass.com/listing/220-central-park-south-unit-72-manhattan-ny-10019/604807590188795913/","220 Central Park S, Unit 72")</f>
        <v>220 Central Park S, Unit 72</v>
      </c>
      <c r="B6975" s="2" t="str">
        <f t="shared" si="1097"/>
        <v>220 Central Park South</v>
      </c>
      <c r="C6975" s="1" t="s">
        <v>260</v>
      </c>
      <c r="D6975" s="1" t="s">
        <v>41</v>
      </c>
      <c r="E6975" s="3">
        <v>63131500</v>
      </c>
      <c r="F6975" s="1">
        <v>10637.1524852569</v>
      </c>
      <c r="M6975" s="4">
        <v>5935</v>
      </c>
      <c r="Q6975" s="1" t="s">
        <v>42</v>
      </c>
      <c r="S6975" s="1" t="s">
        <v>42</v>
      </c>
      <c r="T6975" s="1" t="s">
        <v>273</v>
      </c>
      <c r="AA6975" s="1">
        <v>63131500</v>
      </c>
      <c r="AB6975" s="1" t="s">
        <v>5167</v>
      </c>
      <c r="AC6975" s="5">
        <v>44078</v>
      </c>
      <c r="AF6975" s="1">
        <v>10019</v>
      </c>
      <c r="AI6975" s="1" t="s">
        <v>101</v>
      </c>
      <c r="AJ6975" s="1">
        <v>2018</v>
      </c>
      <c r="AK6975" s="1" t="s">
        <v>49</v>
      </c>
      <c r="AL6975" s="1">
        <v>117</v>
      </c>
    </row>
    <row r="6976" spans="1:38" x14ac:dyDescent="0.2">
      <c r="A6976" s="2" t="str">
        <f>HYPERLINK("https://www.compass.com/listing/220-central-park-south-unit-69-manhattan-ny-10019/607703795805342913/","220 Central Park S, Unit 69")</f>
        <v>220 Central Park S, Unit 69</v>
      </c>
      <c r="B6976" s="2" t="str">
        <f t="shared" si="1097"/>
        <v>220 Central Park South</v>
      </c>
      <c r="C6976" s="1" t="s">
        <v>260</v>
      </c>
      <c r="D6976" s="1" t="s">
        <v>41</v>
      </c>
      <c r="E6976" s="3">
        <v>61604125</v>
      </c>
      <c r="F6976" s="1">
        <v>10379.802021903901</v>
      </c>
      <c r="M6976" s="4">
        <v>5935</v>
      </c>
      <c r="Q6976" s="1" t="s">
        <v>42</v>
      </c>
      <c r="S6976" s="1" t="s">
        <v>42</v>
      </c>
      <c r="T6976" s="1" t="s">
        <v>273</v>
      </c>
      <c r="AA6976" s="1">
        <v>61604125</v>
      </c>
      <c r="AB6976" s="1" t="s">
        <v>5168</v>
      </c>
      <c r="AC6976" s="5">
        <v>44077</v>
      </c>
      <c r="AF6976" s="1">
        <v>10019</v>
      </c>
      <c r="AI6976" s="1" t="s">
        <v>101</v>
      </c>
      <c r="AJ6976" s="1">
        <v>2018</v>
      </c>
      <c r="AK6976" s="1" t="s">
        <v>49</v>
      </c>
      <c r="AL6976" s="1">
        <v>117</v>
      </c>
    </row>
    <row r="6977" spans="1:38" x14ac:dyDescent="0.2">
      <c r="A6977" s="2" t="str">
        <f>HYPERLINK("https://www.compass.com/listing/220-central-park-south-unit-71-manhattan-ny-10019/614221786827090585/","220 Central Park S, Unit 71")</f>
        <v>220 Central Park S, Unit 71</v>
      </c>
      <c r="B6977" s="2" t="str">
        <f t="shared" si="1097"/>
        <v>220 Central Park South</v>
      </c>
      <c r="C6977" s="1" t="s">
        <v>260</v>
      </c>
      <c r="D6977" s="1" t="s">
        <v>41</v>
      </c>
      <c r="E6977" s="3">
        <v>62622375</v>
      </c>
      <c r="F6977" s="1">
        <v>10551.3689974726</v>
      </c>
      <c r="M6977" s="4">
        <v>5935</v>
      </c>
      <c r="Q6977" s="1" t="s">
        <v>42</v>
      </c>
      <c r="S6977" s="1" t="s">
        <v>42</v>
      </c>
      <c r="T6977" s="1" t="s">
        <v>273</v>
      </c>
      <c r="AA6977" s="1">
        <v>62622375</v>
      </c>
      <c r="AB6977" s="1" t="s">
        <v>5169</v>
      </c>
      <c r="AC6977" s="5">
        <v>44092</v>
      </c>
      <c r="AF6977" s="1">
        <v>10019</v>
      </c>
      <c r="AI6977" s="1" t="s">
        <v>101</v>
      </c>
      <c r="AJ6977" s="1">
        <v>2018</v>
      </c>
      <c r="AK6977" s="1" t="s">
        <v>49</v>
      </c>
      <c r="AL6977" s="1">
        <v>117</v>
      </c>
    </row>
    <row r="6978" spans="1:38" x14ac:dyDescent="0.2">
      <c r="A6978" s="2" t="str">
        <f>HYPERLINK("https://www.compass.com/listing/220-central-park-south-unit-18a-manhattan-ny-10019/619292071762937681/","220 Central Park S, Unit 18A")</f>
        <v>220 Central Park S, Unit 18A</v>
      </c>
      <c r="B6978" s="2" t="str">
        <f t="shared" si="1097"/>
        <v>220 Central Park South</v>
      </c>
      <c r="C6978" s="1" t="s">
        <v>260</v>
      </c>
      <c r="D6978" s="1" t="s">
        <v>41</v>
      </c>
      <c r="E6978" s="3">
        <v>3156575</v>
      </c>
      <c r="F6978" s="1">
        <v>4046.89102564102</v>
      </c>
      <c r="M6978" s="1">
        <v>780</v>
      </c>
      <c r="Q6978" s="1" t="s">
        <v>42</v>
      </c>
      <c r="S6978" s="1" t="s">
        <v>42</v>
      </c>
      <c r="T6978" s="1" t="s">
        <v>273</v>
      </c>
      <c r="AA6978" s="1">
        <v>3156575</v>
      </c>
      <c r="AB6978" s="1" t="s">
        <v>5170</v>
      </c>
      <c r="AC6978" s="5">
        <v>44084</v>
      </c>
      <c r="AF6978" s="1">
        <v>10019</v>
      </c>
      <c r="AI6978" s="1" t="s">
        <v>101</v>
      </c>
      <c r="AJ6978" s="1">
        <v>2018</v>
      </c>
      <c r="AK6978" s="1" t="s">
        <v>49</v>
      </c>
      <c r="AL6978" s="1">
        <v>117</v>
      </c>
    </row>
    <row r="6979" spans="1:38" x14ac:dyDescent="0.2">
      <c r="A6979" s="2" t="str">
        <f>HYPERLINK("https://www.compass.com/listing/138-east-50th-street-unit-22d-manhattan-ny-10022/619293436925299577/","138 E 50th St, Unit 22D")</f>
        <v>138 E 50th St, Unit 22D</v>
      </c>
      <c r="B6979" s="2" t="str">
        <f>HYPERLINK("https://www.compass.com/building/the-centrale-manhattan-ny/281941497232811621/","The Centrale")</f>
        <v>The Centrale</v>
      </c>
      <c r="C6979" s="1" t="s">
        <v>116</v>
      </c>
      <c r="D6979" s="1" t="s">
        <v>41</v>
      </c>
      <c r="E6979" s="3">
        <v>1939766</v>
      </c>
      <c r="F6979" s="1">
        <v>1641.08819796954</v>
      </c>
      <c r="M6979" s="4">
        <v>1182</v>
      </c>
      <c r="Q6979" s="1" t="s">
        <v>42</v>
      </c>
      <c r="S6979" s="1" t="s">
        <v>42</v>
      </c>
      <c r="T6979" s="1" t="s">
        <v>273</v>
      </c>
      <c r="AA6979" s="1">
        <v>1939766.25</v>
      </c>
      <c r="AB6979" s="1" t="s">
        <v>5171</v>
      </c>
      <c r="AC6979" s="5">
        <v>44095</v>
      </c>
      <c r="AF6979" s="1">
        <v>10022</v>
      </c>
      <c r="AI6979" s="1" t="s">
        <v>118</v>
      </c>
      <c r="AJ6979" s="1">
        <v>2019</v>
      </c>
      <c r="AK6979" s="1" t="s">
        <v>55</v>
      </c>
      <c r="AL6979" s="1">
        <v>124</v>
      </c>
    </row>
    <row r="6980" spans="1:38" x14ac:dyDescent="0.2">
      <c r="A6980" s="2" t="str">
        <f>HYPERLINK("https://www.compass.com/listing/220-central-park-south-unit-18b-manhattan-ny-10019/620017863874453481/","220 Central Park S, Unit 18B")</f>
        <v>220 Central Park S, Unit 18B</v>
      </c>
      <c r="B6980" s="2" t="str">
        <f>HYPERLINK("https://www.compass.com/building/220-central-park-south-manhattan-ny/281944232648828453/","220 Central Park South")</f>
        <v>220 Central Park South</v>
      </c>
      <c r="C6980" s="1" t="s">
        <v>260</v>
      </c>
      <c r="D6980" s="1" t="s">
        <v>41</v>
      </c>
      <c r="E6980" s="3">
        <v>3411138</v>
      </c>
      <c r="F6980" s="1">
        <v>3819.8628219484799</v>
      </c>
      <c r="M6980" s="1">
        <v>893</v>
      </c>
      <c r="Q6980" s="1" t="s">
        <v>42</v>
      </c>
      <c r="S6980" s="1" t="s">
        <v>42</v>
      </c>
      <c r="T6980" s="1" t="s">
        <v>273</v>
      </c>
      <c r="AA6980" s="1">
        <v>3411137.5</v>
      </c>
      <c r="AB6980" s="1" t="s">
        <v>5172</v>
      </c>
      <c r="AC6980" s="5">
        <v>44092</v>
      </c>
      <c r="AF6980" s="1">
        <v>10019</v>
      </c>
      <c r="AI6980" s="1" t="s">
        <v>101</v>
      </c>
      <c r="AJ6980" s="1">
        <v>2018</v>
      </c>
      <c r="AK6980" s="1" t="s">
        <v>49</v>
      </c>
      <c r="AL6980" s="1">
        <v>117</v>
      </c>
    </row>
    <row r="6981" spans="1:38" x14ac:dyDescent="0.2">
      <c r="A6981" s="2" t="str">
        <f>HYPERLINK("https://www.compass.com/listing/111-murray-street-unit-16b-manhattan-ny-10007/64873750444652881/","111 Murray St, Unit 16B")</f>
        <v>111 Murray St, Unit 16B</v>
      </c>
      <c r="B6981" s="2" t="str">
        <f>HYPERLINK("https://www.compass.com/building/111-murray-st-manhattan-ny-10007/281896511862746053/","111 Murray St")</f>
        <v>111 Murray St</v>
      </c>
      <c r="C6981" s="1" t="s">
        <v>50</v>
      </c>
      <c r="D6981" s="1" t="s">
        <v>41</v>
      </c>
      <c r="E6981" s="3">
        <v>3818438</v>
      </c>
      <c r="F6981" s="1">
        <v>2415.2039848197301</v>
      </c>
      <c r="M6981" s="4">
        <v>1581</v>
      </c>
      <c r="Q6981" s="1" t="s">
        <v>42</v>
      </c>
      <c r="S6981" s="1" t="s">
        <v>42</v>
      </c>
      <c r="T6981" s="1" t="s">
        <v>273</v>
      </c>
      <c r="AA6981" s="1">
        <v>3818437.5</v>
      </c>
      <c r="AB6981" s="1" t="s">
        <v>5173</v>
      </c>
      <c r="AC6981" s="5">
        <v>43335</v>
      </c>
      <c r="AF6981" s="1">
        <v>10007</v>
      </c>
      <c r="AI6981" s="1" t="s">
        <v>80</v>
      </c>
      <c r="AJ6981" s="1">
        <v>2018</v>
      </c>
      <c r="AK6981" s="1" t="s">
        <v>49</v>
      </c>
      <c r="AL6981" s="1">
        <v>157</v>
      </c>
    </row>
    <row r="6982" spans="1:38" x14ac:dyDescent="0.2">
      <c r="A6982" s="2" t="str">
        <f>HYPERLINK("https://www.compass.com/listing/160-leroy-street-unit-8a-s-manhattan-ny-10014/64881907191604033/","160 Leroy St, Unit 8A S")</f>
        <v>160 Leroy St, Unit 8A S</v>
      </c>
      <c r="B6982" s="2" t="str">
        <f t="shared" ref="B6982:B6983" si="1098">HYPERLINK("https://www.compass.com/building/160-leroy-st-manhattan-ny-10014/293418469918017093/","160 Leroy St")</f>
        <v>160 Leroy St</v>
      </c>
      <c r="C6982" s="1" t="s">
        <v>67</v>
      </c>
      <c r="D6982" s="1" t="s">
        <v>41</v>
      </c>
      <c r="E6982" s="3">
        <v>2956175</v>
      </c>
      <c r="F6982" s="1">
        <v>2697.23996350364</v>
      </c>
      <c r="M6982" s="4">
        <v>1096</v>
      </c>
      <c r="Q6982" s="1" t="s">
        <v>42</v>
      </c>
      <c r="S6982" s="1" t="s">
        <v>42</v>
      </c>
      <c r="T6982" s="1" t="s">
        <v>273</v>
      </c>
      <c r="AA6982" s="1">
        <v>2956175</v>
      </c>
      <c r="AB6982" s="1" t="s">
        <v>5174</v>
      </c>
      <c r="AC6982" s="5">
        <v>43273</v>
      </c>
      <c r="AF6982" s="1">
        <v>10014</v>
      </c>
      <c r="AI6982" s="1" t="s">
        <v>65</v>
      </c>
      <c r="AJ6982" s="1">
        <v>2017</v>
      </c>
      <c r="AK6982" s="1" t="s">
        <v>202</v>
      </c>
      <c r="AL6982" s="1">
        <v>57</v>
      </c>
    </row>
    <row r="6983" spans="1:38" x14ac:dyDescent="0.2">
      <c r="A6983" s="2" t="str">
        <f>HYPERLINK("https://www.compass.com/listing/160-leroy-street-unit-8c-s-manhattan-ny-10014/64881907736849249/","160 Leroy St, Unit 8C S")</f>
        <v>160 Leroy St, Unit 8C S</v>
      </c>
      <c r="B6983" s="2" t="str">
        <f t="shared" si="1098"/>
        <v>160 Leroy St</v>
      </c>
      <c r="C6983" s="1" t="s">
        <v>67</v>
      </c>
      <c r="D6983" s="1" t="s">
        <v>41</v>
      </c>
      <c r="E6983" s="3">
        <v>5044334</v>
      </c>
      <c r="F6983" s="1">
        <v>3068.3296472019401</v>
      </c>
      <c r="M6983" s="4">
        <v>1644</v>
      </c>
      <c r="Q6983" s="1" t="s">
        <v>42</v>
      </c>
      <c r="S6983" s="1" t="s">
        <v>42</v>
      </c>
      <c r="T6983" s="1" t="s">
        <v>273</v>
      </c>
      <c r="AA6983" s="1">
        <v>5044333.9400000004</v>
      </c>
      <c r="AB6983" s="1" t="s">
        <v>5175</v>
      </c>
      <c r="AC6983" s="5">
        <v>43251</v>
      </c>
      <c r="AF6983" s="1">
        <v>10014</v>
      </c>
      <c r="AI6983" s="1" t="s">
        <v>65</v>
      </c>
      <c r="AJ6983" s="1">
        <v>2017</v>
      </c>
      <c r="AK6983" s="1" t="s">
        <v>202</v>
      </c>
      <c r="AL6983" s="1">
        <v>57</v>
      </c>
    </row>
    <row r="6984" spans="1:38" x14ac:dyDescent="0.2">
      <c r="A6984" s="2" t="str">
        <f>HYPERLINK("https://www.compass.com/listing/252-south-street-unit-65k-manhattan-ny-10002/650202263563097329/","252 South St, Unit 65K")</f>
        <v>252 South St, Unit 65K</v>
      </c>
      <c r="B6984" s="2" t="str">
        <f>HYPERLINK("https://www.compass.com/building/one-manhattan-square-manhattan-ny/294844950218926165/","One Manhattan Square")</f>
        <v>One Manhattan Square</v>
      </c>
      <c r="C6984" s="1" t="s">
        <v>47</v>
      </c>
      <c r="D6984" s="1" t="s">
        <v>41</v>
      </c>
      <c r="E6984" s="3">
        <v>1539521</v>
      </c>
      <c r="F6984" s="1">
        <v>2237.6758720930202</v>
      </c>
      <c r="H6984" s="1">
        <v>1</v>
      </c>
      <c r="J6984" s="1">
        <v>1</v>
      </c>
      <c r="K6984" s="1">
        <v>1</v>
      </c>
      <c r="M6984" s="1">
        <v>688</v>
      </c>
      <c r="N6984" s="1">
        <v>943.07</v>
      </c>
      <c r="O6984" s="1">
        <v>958.07</v>
      </c>
      <c r="P6984" s="1">
        <v>15</v>
      </c>
      <c r="Q6984" s="1" t="s">
        <v>42</v>
      </c>
      <c r="S6984" s="1" t="s">
        <v>42</v>
      </c>
      <c r="T6984" s="1" t="s">
        <v>273</v>
      </c>
      <c r="AA6984" s="1">
        <v>1539521</v>
      </c>
      <c r="AB6984" s="1" t="s">
        <v>5176</v>
      </c>
      <c r="AC6984" s="5">
        <v>44133</v>
      </c>
      <c r="AF6984" s="1">
        <v>10002</v>
      </c>
      <c r="AI6984" s="1" t="s">
        <v>66</v>
      </c>
      <c r="AJ6984" s="1">
        <v>2019</v>
      </c>
      <c r="AK6984" s="1" t="s">
        <v>49</v>
      </c>
      <c r="AL6984" s="1">
        <v>787</v>
      </c>
    </row>
    <row r="6985" spans="1:38" x14ac:dyDescent="0.2">
      <c r="A6985" s="2" t="str">
        <f>HYPERLINK("https://www.compass.com/listing/220-central-park-south-unit-19c-manhattan-ny-10019/650204633965655417/","220 Central Park S, Unit 19C")</f>
        <v>220 Central Park S, Unit 19C</v>
      </c>
      <c r="B6985" s="2" t="str">
        <f t="shared" ref="B6985:B6987" si="1099">HYPERLINK("https://www.compass.com/building/220-central-park-south-manhattan-ny/281944232648828453/","220 Central Park South")</f>
        <v>220 Central Park South</v>
      </c>
      <c r="C6985" s="1" t="s">
        <v>260</v>
      </c>
      <c r="D6985" s="1" t="s">
        <v>41</v>
      </c>
      <c r="E6985" s="3">
        <v>1545375</v>
      </c>
      <c r="F6985" s="1">
        <v>2960.4885057471201</v>
      </c>
      <c r="M6985" s="1">
        <v>522</v>
      </c>
      <c r="Q6985" s="1" t="s">
        <v>42</v>
      </c>
      <c r="S6985" s="1" t="s">
        <v>42</v>
      </c>
      <c r="T6985" s="1" t="s">
        <v>273</v>
      </c>
      <c r="AA6985" s="1">
        <v>1545375</v>
      </c>
      <c r="AB6985" s="1" t="s">
        <v>5177</v>
      </c>
      <c r="AC6985" s="5">
        <v>44070</v>
      </c>
      <c r="AF6985" s="1">
        <v>10019</v>
      </c>
      <c r="AI6985" s="1" t="s">
        <v>101</v>
      </c>
      <c r="AJ6985" s="1">
        <v>2018</v>
      </c>
      <c r="AK6985" s="1" t="s">
        <v>49</v>
      </c>
      <c r="AL6985" s="1">
        <v>117</v>
      </c>
    </row>
    <row r="6986" spans="1:38" x14ac:dyDescent="0.2">
      <c r="A6986" s="2" t="str">
        <f>HYPERLINK("https://www.compass.com/listing/220-central-park-south-unit-19d-manhattan-ny-10019/650204634997509097/","220 Central Park S, Unit 19D")</f>
        <v>220 Central Park S, Unit 19D</v>
      </c>
      <c r="B6986" s="2" t="str">
        <f t="shared" si="1099"/>
        <v>220 Central Park South</v>
      </c>
      <c r="C6986" s="1" t="s">
        <v>260</v>
      </c>
      <c r="D6986" s="1" t="s">
        <v>41</v>
      </c>
      <c r="E6986" s="3">
        <v>1807394</v>
      </c>
      <c r="F6986" s="1">
        <v>3571.92440711462</v>
      </c>
      <c r="M6986" s="1">
        <v>506</v>
      </c>
      <c r="Q6986" s="1" t="s">
        <v>42</v>
      </c>
      <c r="S6986" s="1" t="s">
        <v>42</v>
      </c>
      <c r="T6986" s="1" t="s">
        <v>273</v>
      </c>
      <c r="AA6986" s="1">
        <v>1807393.75</v>
      </c>
      <c r="AB6986" s="1" t="s">
        <v>5178</v>
      </c>
      <c r="AC6986" s="5">
        <v>44120</v>
      </c>
      <c r="AF6986" s="1">
        <v>10019</v>
      </c>
      <c r="AI6986" s="1" t="s">
        <v>101</v>
      </c>
      <c r="AJ6986" s="1">
        <v>2018</v>
      </c>
      <c r="AK6986" s="1" t="s">
        <v>49</v>
      </c>
      <c r="AL6986" s="1">
        <v>117</v>
      </c>
    </row>
    <row r="6987" spans="1:38" x14ac:dyDescent="0.2">
      <c r="A6987" s="2" t="str">
        <f>HYPERLINK("https://www.compass.com/listing/220-central-park-south-unit-v10-manhattan-ny-10019/650204663107356337/","220 Central Park S, Unit V10")</f>
        <v>220 Central Park S, Unit V10</v>
      </c>
      <c r="B6987" s="2" t="str">
        <f t="shared" si="1099"/>
        <v>220 Central Park South</v>
      </c>
      <c r="C6987" s="1" t="s">
        <v>260</v>
      </c>
      <c r="D6987" s="1" t="s">
        <v>41</v>
      </c>
      <c r="E6987" s="3">
        <v>40000000</v>
      </c>
      <c r="F6987" s="1">
        <v>10111.223458038399</v>
      </c>
      <c r="M6987" s="4">
        <v>3956</v>
      </c>
      <c r="Q6987" s="1" t="s">
        <v>42</v>
      </c>
      <c r="S6987" s="1" t="s">
        <v>42</v>
      </c>
      <c r="T6987" s="1" t="s">
        <v>273</v>
      </c>
      <c r="AA6987" s="1">
        <v>40000000</v>
      </c>
      <c r="AB6987" s="1" t="s">
        <v>5179</v>
      </c>
      <c r="AC6987" s="5">
        <v>44120</v>
      </c>
      <c r="AF6987" s="1">
        <v>10019</v>
      </c>
      <c r="AI6987" s="1" t="s">
        <v>101</v>
      </c>
      <c r="AJ6987" s="1">
        <v>2018</v>
      </c>
      <c r="AK6987" s="1" t="s">
        <v>49</v>
      </c>
      <c r="AL6987" s="1">
        <v>117</v>
      </c>
    </row>
    <row r="6988" spans="1:38" x14ac:dyDescent="0.2">
      <c r="A6988" s="2" t="str">
        <f>HYPERLINK("https://www.compass.com/listing/15-west-61st-street-unit-5m-manhattan-ny-10023/650204978242227481/","15 W 61st St, Unit 5M")</f>
        <v>15 W 61st St, Unit 5M</v>
      </c>
      <c r="B6988" s="2" t="str">
        <f t="shared" ref="B6988:B6990" si="1100">HYPERLINK("https://www.compass.com/building/the-park-loggia-manhattan-ny/292861833130357557/","The Park Loggia")</f>
        <v>The Park Loggia</v>
      </c>
      <c r="C6988" s="1" t="s">
        <v>57</v>
      </c>
      <c r="D6988" s="1" t="s">
        <v>41</v>
      </c>
      <c r="E6988" s="3">
        <v>2240150</v>
      </c>
      <c r="F6988" s="1">
        <v>2226.78926441351</v>
      </c>
      <c r="M6988" s="4">
        <v>1006</v>
      </c>
      <c r="Q6988" s="1" t="s">
        <v>42</v>
      </c>
      <c r="S6988" s="1" t="s">
        <v>42</v>
      </c>
      <c r="T6988" s="1" t="s">
        <v>273</v>
      </c>
      <c r="AA6988" s="1">
        <v>2240150</v>
      </c>
      <c r="AB6988" s="1" t="s">
        <v>5180</v>
      </c>
      <c r="AC6988" s="5">
        <v>44120</v>
      </c>
      <c r="AF6988" s="1">
        <v>10023</v>
      </c>
      <c r="AI6988" s="1" t="s">
        <v>65</v>
      </c>
      <c r="AJ6988" s="1">
        <v>2019</v>
      </c>
      <c r="AK6988" s="1" t="s">
        <v>55</v>
      </c>
      <c r="AL6988" s="1">
        <v>172</v>
      </c>
    </row>
    <row r="6989" spans="1:38" x14ac:dyDescent="0.2">
      <c r="A6989" s="2" t="str">
        <f>HYPERLINK("https://www.compass.com/listing/15-west-61st-street-unit-28b-manhattan-ny-10023/650205019681982881/","15 W 61st St, Unit 28B")</f>
        <v>15 W 61st St, Unit 28B</v>
      </c>
      <c r="B6989" s="2" t="str">
        <f t="shared" si="1100"/>
        <v>The Park Loggia</v>
      </c>
      <c r="C6989" s="1" t="s">
        <v>57</v>
      </c>
      <c r="D6989" s="1" t="s">
        <v>41</v>
      </c>
      <c r="E6989" s="3">
        <v>3300000</v>
      </c>
      <c r="F6989" s="1">
        <v>2857.1428571428501</v>
      </c>
      <c r="M6989" s="4">
        <v>1155</v>
      </c>
      <c r="Q6989" s="1" t="s">
        <v>42</v>
      </c>
      <c r="S6989" s="1" t="s">
        <v>42</v>
      </c>
      <c r="T6989" s="1" t="s">
        <v>273</v>
      </c>
      <c r="AA6989" s="1">
        <v>3300000</v>
      </c>
      <c r="AB6989" s="1" t="s">
        <v>5181</v>
      </c>
      <c r="AC6989" s="5">
        <v>44124</v>
      </c>
      <c r="AF6989" s="1">
        <v>10023</v>
      </c>
      <c r="AI6989" s="1" t="s">
        <v>65</v>
      </c>
      <c r="AJ6989" s="1">
        <v>2019</v>
      </c>
      <c r="AK6989" s="1" t="s">
        <v>55</v>
      </c>
      <c r="AL6989" s="1">
        <v>172</v>
      </c>
    </row>
    <row r="6990" spans="1:38" x14ac:dyDescent="0.2">
      <c r="A6990" s="2" t="str">
        <f>HYPERLINK("https://www.compass.com/listing/15-west-61st-street-unit-ph2c-manhattan-ny-10023/650205026141342577/","15 W 61st St, Unit PH2C")</f>
        <v>15 W 61st St, Unit PH2C</v>
      </c>
      <c r="B6990" s="2" t="str">
        <f t="shared" si="1100"/>
        <v>The Park Loggia</v>
      </c>
      <c r="C6990" s="1" t="s">
        <v>57</v>
      </c>
      <c r="D6990" s="1" t="s">
        <v>41</v>
      </c>
      <c r="E6990" s="3">
        <v>8200000</v>
      </c>
      <c r="F6990" s="1">
        <v>3700.3610108303201</v>
      </c>
      <c r="M6990" s="4">
        <v>2216</v>
      </c>
      <c r="Q6990" s="1" t="s">
        <v>42</v>
      </c>
      <c r="S6990" s="1" t="s">
        <v>42</v>
      </c>
      <c r="T6990" s="1" t="s">
        <v>273</v>
      </c>
      <c r="AA6990" s="1">
        <v>8200000</v>
      </c>
      <c r="AB6990" s="1" t="s">
        <v>5182</v>
      </c>
      <c r="AC6990" s="5">
        <v>44125</v>
      </c>
      <c r="AF6990" s="1">
        <v>10023</v>
      </c>
      <c r="AI6990" s="1" t="s">
        <v>65</v>
      </c>
      <c r="AJ6990" s="1">
        <v>2019</v>
      </c>
      <c r="AK6990" s="1" t="s">
        <v>55</v>
      </c>
      <c r="AL6990" s="1">
        <v>172</v>
      </c>
    </row>
    <row r="6991" spans="1:38" x14ac:dyDescent="0.2">
      <c r="A6991" s="2" t="str">
        <f>HYPERLINK("https://www.compass.com/listing/111-murray-street-unit-26w-manhattan-ny-10007/651689747547284289/","111 Murray St, Unit 26W")</f>
        <v>111 Murray St, Unit 26W</v>
      </c>
      <c r="B6991" s="2" t="str">
        <f t="shared" ref="B6991:B6992" si="1101">HYPERLINK("https://www.compass.com/building/111-murray-st-manhattan-ny-10007/281896511862746053/","111 Murray St")</f>
        <v>111 Murray St</v>
      </c>
      <c r="C6991" s="1" t="s">
        <v>50</v>
      </c>
      <c r="D6991" s="1" t="s">
        <v>41</v>
      </c>
      <c r="E6991" s="3">
        <v>6100000</v>
      </c>
      <c r="F6991" s="1">
        <v>2271.8808193668501</v>
      </c>
      <c r="M6991" s="4">
        <v>2685</v>
      </c>
      <c r="Q6991" s="1" t="s">
        <v>42</v>
      </c>
      <c r="S6991" s="1" t="s">
        <v>42</v>
      </c>
      <c r="T6991" s="1" t="s">
        <v>273</v>
      </c>
      <c r="AA6991" s="1">
        <v>6100000</v>
      </c>
      <c r="AB6991" s="1" t="s">
        <v>5183</v>
      </c>
      <c r="AC6991" s="5">
        <v>44092</v>
      </c>
      <c r="AF6991" s="1">
        <v>10007</v>
      </c>
      <c r="AI6991" s="1" t="s">
        <v>80</v>
      </c>
      <c r="AJ6991" s="1">
        <v>2018</v>
      </c>
      <c r="AK6991" s="1" t="s">
        <v>49</v>
      </c>
      <c r="AL6991" s="1">
        <v>157</v>
      </c>
    </row>
    <row r="6992" spans="1:38" x14ac:dyDescent="0.2">
      <c r="A6992" s="2" t="str">
        <f>HYPERLINK("https://www.compass.com/listing/111-murray-street-unit-61w-manhattan-ny-10007/651689850492282097/","111 Murray St, Unit 61W")</f>
        <v>111 Murray St, Unit 61W</v>
      </c>
      <c r="B6992" s="2" t="str">
        <f t="shared" si="1101"/>
        <v>111 Murray St</v>
      </c>
      <c r="C6992" s="1" t="s">
        <v>50</v>
      </c>
      <c r="D6992" s="1" t="s">
        <v>41</v>
      </c>
      <c r="E6992" s="3">
        <v>11000000</v>
      </c>
      <c r="F6992" s="1">
        <v>2740.40857000498</v>
      </c>
      <c r="M6992" s="4">
        <v>4014</v>
      </c>
      <c r="Q6992" s="1" t="s">
        <v>42</v>
      </c>
      <c r="S6992" s="1" t="s">
        <v>42</v>
      </c>
      <c r="T6992" s="1" t="s">
        <v>273</v>
      </c>
      <c r="AA6992" s="1">
        <v>11000000</v>
      </c>
      <c r="AB6992" s="1" t="s">
        <v>5184</v>
      </c>
      <c r="AC6992" s="5">
        <v>44098</v>
      </c>
      <c r="AF6992" s="1">
        <v>10007</v>
      </c>
      <c r="AI6992" s="1" t="s">
        <v>80</v>
      </c>
      <c r="AJ6992" s="1">
        <v>2018</v>
      </c>
      <c r="AK6992" s="1" t="s">
        <v>49</v>
      </c>
      <c r="AL6992" s="1">
        <v>157</v>
      </c>
    </row>
    <row r="6993" spans="1:38" x14ac:dyDescent="0.2">
      <c r="A6993" s="2" t="str">
        <f>HYPERLINK("https://www.compass.com/listing/220-central-park-south-unit-20e-manhattan-ny-10019/652177254009453457/","220 Central Park S, Unit 20E")</f>
        <v>220 Central Park S, Unit 20E</v>
      </c>
      <c r="B6993" s="2" t="str">
        <f t="shared" ref="B6993:B6994" si="1102">HYPERLINK("https://www.compass.com/building/220-central-park-south-manhattan-ny/281944232648828453/","220 Central Park South")</f>
        <v>220 Central Park South</v>
      </c>
      <c r="C6993" s="1" t="s">
        <v>260</v>
      </c>
      <c r="D6993" s="1" t="s">
        <v>41</v>
      </c>
      <c r="E6993" s="3">
        <v>1405185</v>
      </c>
      <c r="F6993" s="1">
        <v>3621.6108247422599</v>
      </c>
      <c r="M6993" s="1">
        <v>388</v>
      </c>
      <c r="Q6993" s="1" t="s">
        <v>42</v>
      </c>
      <c r="S6993" s="1" t="s">
        <v>42</v>
      </c>
      <c r="T6993" s="1" t="s">
        <v>273</v>
      </c>
      <c r="AA6993" s="1">
        <v>1405185</v>
      </c>
      <c r="AB6993" s="1" t="s">
        <v>5185</v>
      </c>
      <c r="AC6993" s="5">
        <v>44113</v>
      </c>
      <c r="AF6993" s="1">
        <v>10019</v>
      </c>
      <c r="AI6993" s="1" t="s">
        <v>101</v>
      </c>
      <c r="AJ6993" s="1">
        <v>2018</v>
      </c>
      <c r="AK6993" s="1" t="s">
        <v>49</v>
      </c>
      <c r="AL6993" s="1">
        <v>117</v>
      </c>
    </row>
    <row r="6994" spans="1:38" x14ac:dyDescent="0.2">
      <c r="A6994" s="2" t="str">
        <f>HYPERLINK("https://www.compass.com/listing/220-central-park-south-unit-v8-manhattan-ny-10019/652177367129838673/","220 Central Park S, Unit V8")</f>
        <v>220 Central Park S, Unit V8</v>
      </c>
      <c r="B6994" s="2" t="str">
        <f t="shared" si="1102"/>
        <v>220 Central Park South</v>
      </c>
      <c r="C6994" s="1" t="s">
        <v>260</v>
      </c>
      <c r="D6994" s="1" t="s">
        <v>41</v>
      </c>
      <c r="E6994" s="3">
        <v>65593125</v>
      </c>
      <c r="F6994" s="1">
        <v>8291.3822525597207</v>
      </c>
      <c r="M6994" s="4">
        <v>7911</v>
      </c>
      <c r="Q6994" s="1" t="s">
        <v>42</v>
      </c>
      <c r="S6994" s="1" t="s">
        <v>42</v>
      </c>
      <c r="T6994" s="1" t="s">
        <v>273</v>
      </c>
      <c r="AA6994" s="1">
        <v>65593125</v>
      </c>
      <c r="AB6994" s="1" t="s">
        <v>5186</v>
      </c>
      <c r="AC6994" s="5">
        <v>44113</v>
      </c>
      <c r="AF6994" s="1">
        <v>10019</v>
      </c>
      <c r="AI6994" s="1" t="s">
        <v>101</v>
      </c>
      <c r="AJ6994" s="1">
        <v>2018</v>
      </c>
      <c r="AK6994" s="1" t="s">
        <v>49</v>
      </c>
      <c r="AL6994" s="1">
        <v>117</v>
      </c>
    </row>
    <row r="6995" spans="1:38" x14ac:dyDescent="0.2">
      <c r="A6995" s="2" t="str">
        <f>HYPERLINK("https://www.compass.com/listing/301-east-81st-street-unit-4c-manhattan-ny-10028/652386570062738449/","301 E 81st St, Unit 4C")</f>
        <v>301 E 81st St, Unit 4C</v>
      </c>
      <c r="B6995" s="2" t="str">
        <f>HYPERLINK("https://www.compass.com/building/beckford-house-manhattan-ny/293531205712863989/","Beckford House")</f>
        <v>Beckford House</v>
      </c>
      <c r="C6995" s="1" t="s">
        <v>82</v>
      </c>
      <c r="D6995" s="1" t="s">
        <v>41</v>
      </c>
      <c r="E6995" s="3">
        <v>2175000</v>
      </c>
      <c r="Q6995" s="1" t="s">
        <v>42</v>
      </c>
      <c r="S6995" s="1" t="s">
        <v>42</v>
      </c>
      <c r="T6995" s="1" t="s">
        <v>273</v>
      </c>
      <c r="AA6995" s="1">
        <v>2175000</v>
      </c>
      <c r="AB6995" s="1" t="s">
        <v>5187</v>
      </c>
      <c r="AC6995" s="5">
        <v>44118</v>
      </c>
      <c r="AF6995" s="1">
        <v>10028</v>
      </c>
      <c r="AI6995" s="1" t="s">
        <v>140</v>
      </c>
      <c r="AJ6995" s="1">
        <v>2019</v>
      </c>
      <c r="AK6995" s="1" t="s">
        <v>202</v>
      </c>
      <c r="AL6995" s="1">
        <v>0</v>
      </c>
    </row>
    <row r="6996" spans="1:38" x14ac:dyDescent="0.2">
      <c r="A6996" s="2" t="str">
        <f>HYPERLINK("https://www.compass.com/listing/70-west-139th-street-unit-3f-manhattan-ny-10037/652430109211554545/","70 W 139th St, Unit 3F")</f>
        <v>70 W 139th St, Unit 3F</v>
      </c>
      <c r="B6996" s="2" t="str">
        <f>HYPERLINK("https://www.compass.com/building/70-w-139th-st-manhattan-ny-10037/292920118235647477/","70 W 139th St")</f>
        <v>70 W 139th St</v>
      </c>
      <c r="C6996" s="1" t="s">
        <v>84</v>
      </c>
      <c r="D6996" s="1" t="s">
        <v>41</v>
      </c>
      <c r="E6996" s="3">
        <v>533786</v>
      </c>
      <c r="F6996" s="1">
        <v>567.25398512221</v>
      </c>
      <c r="M6996" s="1">
        <v>941</v>
      </c>
      <c r="Q6996" s="1" t="s">
        <v>42</v>
      </c>
      <c r="S6996" s="1" t="s">
        <v>42</v>
      </c>
      <c r="T6996" s="1" t="s">
        <v>273</v>
      </c>
      <c r="AA6996" s="1">
        <v>533786</v>
      </c>
      <c r="AB6996" s="1" t="s">
        <v>5188</v>
      </c>
      <c r="AC6996" s="5">
        <v>44113</v>
      </c>
      <c r="AF6996" s="1">
        <v>10037</v>
      </c>
      <c r="AI6996" s="1" t="s">
        <v>48</v>
      </c>
      <c r="AJ6996" s="1">
        <v>2018</v>
      </c>
      <c r="AL6996" s="1">
        <v>64</v>
      </c>
    </row>
    <row r="6997" spans="1:38" x14ac:dyDescent="0.2">
      <c r="A6997" s="2" t="str">
        <f>HYPERLINK("https://www.compass.com/listing/88-lexington-avenue-unit-1a-brooklyn-ny-11238/652692900879129297/","88 Lexington Ave, Unit 1A")</f>
        <v>88 Lexington Ave, Unit 1A</v>
      </c>
      <c r="B6997" s="2" t="str">
        <f>HYPERLINK("https://www.compass.com/building/88-lexington-ave-brooklyn-ny-11238/293534270968904021/","88 Lexington Ave")</f>
        <v>88 Lexington Ave</v>
      </c>
      <c r="C6997" s="1" t="s">
        <v>1549</v>
      </c>
      <c r="D6997" s="1" t="s">
        <v>1550</v>
      </c>
      <c r="E6997" s="3">
        <v>1145000</v>
      </c>
      <c r="Q6997" s="1" t="s">
        <v>42</v>
      </c>
      <c r="S6997" s="1" t="s">
        <v>42</v>
      </c>
      <c r="T6997" s="1" t="s">
        <v>273</v>
      </c>
      <c r="AA6997" s="1">
        <v>1145000</v>
      </c>
      <c r="AB6997" s="1" t="s">
        <v>5189</v>
      </c>
      <c r="AC6997" s="5">
        <v>44106</v>
      </c>
      <c r="AF6997" s="1">
        <v>11238</v>
      </c>
      <c r="AI6997" s="1" t="s">
        <v>177</v>
      </c>
      <c r="AJ6997" s="1">
        <v>1930</v>
      </c>
      <c r="AL6997" s="1">
        <v>4</v>
      </c>
    </row>
    <row r="6998" spans="1:38" x14ac:dyDescent="0.2">
      <c r="A6998" s="2" t="str">
        <f>HYPERLINK("https://www.compass.com/listing/42-allen-street-unit-4a-manhattan-ny-10002/653592882596043513/","42 Allen St, Unit 4A")</f>
        <v>42 Allen St, Unit 4A</v>
      </c>
      <c r="B6998" s="2" t="str">
        <f>HYPERLINK("https://www.compass.com/building/42-allen-manhattan-ny/307432515178187973/","42 Allen")</f>
        <v>42 Allen</v>
      </c>
      <c r="C6998" s="1" t="s">
        <v>47</v>
      </c>
      <c r="D6998" s="1" t="s">
        <v>41</v>
      </c>
      <c r="E6998" s="3">
        <v>1717500</v>
      </c>
      <c r="F6998" s="1">
        <v>1371.8051118210799</v>
      </c>
      <c r="M6998" s="4">
        <v>1252</v>
      </c>
      <c r="Q6998" s="1" t="s">
        <v>42</v>
      </c>
      <c r="S6998" s="1" t="s">
        <v>42</v>
      </c>
      <c r="T6998" s="1" t="s">
        <v>273</v>
      </c>
      <c r="AA6998" s="1">
        <v>1717500</v>
      </c>
      <c r="AB6998" s="1" t="s">
        <v>5190</v>
      </c>
      <c r="AC6998" s="5">
        <v>44140</v>
      </c>
      <c r="AF6998" s="1">
        <v>10002</v>
      </c>
      <c r="AJ6998" s="1">
        <v>2019</v>
      </c>
      <c r="AL6998" s="1">
        <v>8</v>
      </c>
    </row>
    <row r="6999" spans="1:38" x14ac:dyDescent="0.2">
      <c r="A6999" s="2" t="str">
        <f>HYPERLINK("https://www.compass.com/listing/498-west-end-avenue-unit-4c-manhattan-ny-10024/653597107828781521/","498 W End Ave, Unit 4C")</f>
        <v>498 W End Ave, Unit 4C</v>
      </c>
      <c r="B6999" s="2" t="str">
        <f t="shared" ref="B6999:B7000" si="1103">HYPERLINK("https://www.compass.com/building/498-w-end-ave-manhattan-ny-10024/281925430842268789/","498 W End Ave")</f>
        <v>498 W End Ave</v>
      </c>
      <c r="C6999" s="1" t="s">
        <v>57</v>
      </c>
      <c r="D6999" s="1" t="s">
        <v>41</v>
      </c>
      <c r="E6999" s="3">
        <v>956773</v>
      </c>
      <c r="F6999" s="1">
        <v>564.467846607669</v>
      </c>
      <c r="M6999" s="4">
        <v>1695</v>
      </c>
      <c r="Q6999" s="1" t="s">
        <v>42</v>
      </c>
      <c r="S6999" s="1" t="s">
        <v>42</v>
      </c>
      <c r="T6999" s="1" t="s">
        <v>273</v>
      </c>
      <c r="AA6999" s="1">
        <v>956773</v>
      </c>
      <c r="AB6999" s="1" t="s">
        <v>5191</v>
      </c>
      <c r="AC6999" s="5">
        <v>44136</v>
      </c>
      <c r="AF6999" s="1">
        <v>10024</v>
      </c>
      <c r="AJ6999" s="1">
        <v>1912</v>
      </c>
      <c r="AK6999" s="1" t="s">
        <v>55</v>
      </c>
      <c r="AL6999" s="1">
        <v>19</v>
      </c>
    </row>
    <row r="7000" spans="1:38" x14ac:dyDescent="0.2">
      <c r="A7000" s="2" t="str">
        <f>HYPERLINK("https://www.compass.com/listing/498-west-end-avenue-unit-11d-manhattan-ny-10024/653597109187834385/","498 W End Ave, Unit 11D")</f>
        <v>498 W End Ave, Unit 11D</v>
      </c>
      <c r="B7000" s="2" t="str">
        <f t="shared" si="1103"/>
        <v>498 W End Ave</v>
      </c>
      <c r="C7000" s="1" t="s">
        <v>57</v>
      </c>
      <c r="D7000" s="1" t="s">
        <v>41</v>
      </c>
      <c r="E7000" s="3">
        <v>413773</v>
      </c>
      <c r="F7000" s="1">
        <v>479.45886442641898</v>
      </c>
      <c r="M7000" s="1">
        <v>863</v>
      </c>
      <c r="Q7000" s="1" t="s">
        <v>42</v>
      </c>
      <c r="S7000" s="1" t="s">
        <v>42</v>
      </c>
      <c r="T7000" s="1" t="s">
        <v>273</v>
      </c>
      <c r="AA7000" s="1">
        <v>413773</v>
      </c>
      <c r="AB7000" s="1" t="s">
        <v>5192</v>
      </c>
      <c r="AC7000" s="5">
        <v>44137</v>
      </c>
      <c r="AF7000" s="1">
        <v>10024</v>
      </c>
      <c r="AJ7000" s="1">
        <v>1912</v>
      </c>
      <c r="AK7000" s="1" t="s">
        <v>55</v>
      </c>
      <c r="AL7000" s="1">
        <v>19</v>
      </c>
    </row>
    <row r="7001" spans="1:38" x14ac:dyDescent="0.2">
      <c r="A7001" s="2" t="str">
        <f>HYPERLINK("https://www.compass.com/listing/200-east-94th-street-unit-phw-manhattan-ny-10128/653600411111412729/","200 E 94th St, Unit PHW")</f>
        <v>200 E 94th St, Unit PHW</v>
      </c>
      <c r="B7001" s="2" t="str">
        <f>HYPERLINK("https://www.compass.com/building/carnegie-park-condominium-manhattan-ny/282049797358118613/","Carnegie Park Condominium")</f>
        <v>Carnegie Park Condominium</v>
      </c>
      <c r="C7001" s="1" t="s">
        <v>82</v>
      </c>
      <c r="D7001" s="1" t="s">
        <v>41</v>
      </c>
      <c r="E7001" s="3">
        <v>2160819</v>
      </c>
      <c r="F7001" s="1">
        <v>1006.4364229156899</v>
      </c>
      <c r="M7001" s="4">
        <v>2147</v>
      </c>
      <c r="Q7001" s="1" t="s">
        <v>42</v>
      </c>
      <c r="S7001" s="1" t="s">
        <v>42</v>
      </c>
      <c r="T7001" s="1" t="s">
        <v>273</v>
      </c>
      <c r="AA7001" s="1">
        <v>2160819</v>
      </c>
      <c r="AB7001" s="1" t="s">
        <v>5193</v>
      </c>
      <c r="AC7001" s="5">
        <v>44134</v>
      </c>
      <c r="AF7001" s="1">
        <v>10128</v>
      </c>
      <c r="AI7001" s="1" t="s">
        <v>163</v>
      </c>
      <c r="AJ7001" s="1">
        <v>1986</v>
      </c>
      <c r="AK7001" s="1" t="s">
        <v>55</v>
      </c>
      <c r="AL7001" s="1">
        <v>287</v>
      </c>
    </row>
    <row r="7002" spans="1:38" x14ac:dyDescent="0.2">
      <c r="A7002" s="2" t="str">
        <f>HYPERLINK("https://www.compass.com/listing/347-bowery-unit-r3-manhattan-ny-10003/654090223023238569/","347 Bowery, Unit R3")</f>
        <v>347 Bowery, Unit R3</v>
      </c>
      <c r="B7002" s="2" t="str">
        <f>HYPERLINK("https://www.compass.com/building/347-bowery-manhattan-ny/281893184445880405/","347 Bowery")</f>
        <v>347 Bowery</v>
      </c>
      <c r="C7002" s="1" t="s">
        <v>71</v>
      </c>
      <c r="D7002" s="1" t="s">
        <v>41</v>
      </c>
      <c r="E7002" s="3">
        <v>4999999</v>
      </c>
      <c r="F7002" s="1">
        <v>1963.86449332285</v>
      </c>
      <c r="M7002" s="4">
        <v>2546</v>
      </c>
      <c r="Q7002" s="1" t="s">
        <v>42</v>
      </c>
      <c r="S7002" s="1" t="s">
        <v>42</v>
      </c>
      <c r="T7002" s="1" t="s">
        <v>273</v>
      </c>
      <c r="AA7002" s="1">
        <v>4999999</v>
      </c>
      <c r="AB7002" s="1" t="s">
        <v>5194</v>
      </c>
      <c r="AC7002" s="5">
        <v>44133</v>
      </c>
      <c r="AF7002" s="1">
        <v>10003</v>
      </c>
      <c r="AI7002" s="1" t="s">
        <v>54</v>
      </c>
      <c r="AJ7002" s="1">
        <v>2017</v>
      </c>
      <c r="AK7002" s="1" t="s">
        <v>73</v>
      </c>
      <c r="AL7002" s="1">
        <v>6</v>
      </c>
    </row>
    <row r="7003" spans="1:38" x14ac:dyDescent="0.2">
      <c r="A7003" s="2" t="str">
        <f>HYPERLINK("https://www.compass.com/listing/15-west-61st-street-unit-9d-manhattan-ny-10023/657720271089736321/","15 W 61st St, Unit 9D")</f>
        <v>15 W 61st St, Unit 9D</v>
      </c>
      <c r="B7003" s="2" t="str">
        <f>HYPERLINK("https://www.compass.com/building/the-park-loggia-manhattan-ny/292861833130357557/","The Park Loggia")</f>
        <v>The Park Loggia</v>
      </c>
      <c r="C7003" s="1" t="s">
        <v>57</v>
      </c>
      <c r="D7003" s="1" t="s">
        <v>41</v>
      </c>
      <c r="E7003" s="3">
        <v>1372836</v>
      </c>
      <c r="F7003" s="1">
        <v>2055.1444011976</v>
      </c>
      <c r="M7003" s="1">
        <v>668</v>
      </c>
      <c r="Q7003" s="1" t="s">
        <v>42</v>
      </c>
      <c r="S7003" s="1" t="s">
        <v>42</v>
      </c>
      <c r="T7003" s="1" t="s">
        <v>273</v>
      </c>
      <c r="AA7003" s="1">
        <v>1372836.46</v>
      </c>
      <c r="AB7003" s="1" t="s">
        <v>5195</v>
      </c>
      <c r="AC7003" s="5">
        <v>44148</v>
      </c>
      <c r="AF7003" s="1">
        <v>10023</v>
      </c>
      <c r="AI7003" s="1" t="s">
        <v>65</v>
      </c>
      <c r="AJ7003" s="1">
        <v>2019</v>
      </c>
      <c r="AK7003" s="1" t="s">
        <v>55</v>
      </c>
      <c r="AL7003" s="1">
        <v>172</v>
      </c>
    </row>
    <row r="7004" spans="1:38" x14ac:dyDescent="0.2">
      <c r="A7004" s="2" t="str">
        <f>HYPERLINK("https://www.compass.com/listing/35-hudson-yards-unit-6105-manhattan-ny-10001/663524213984707345/","35 Hudson Yards, Unit 6105")</f>
        <v>35 Hudson Yards, Unit 6105</v>
      </c>
      <c r="B7004" s="2" t="str">
        <f>HYPERLINK("https://www.compass.com/building/35-hudson-yards-manhattan-ny/292773408544917349/","35 Hudson Yards")</f>
        <v>35 Hudson Yards</v>
      </c>
      <c r="C7004" s="1" t="s">
        <v>77</v>
      </c>
      <c r="D7004" s="1" t="s">
        <v>41</v>
      </c>
      <c r="E7004" s="3">
        <v>4003750</v>
      </c>
      <c r="Q7004" s="1" t="s">
        <v>42</v>
      </c>
      <c r="S7004" s="1" t="s">
        <v>42</v>
      </c>
      <c r="T7004" s="1" t="s">
        <v>273</v>
      </c>
      <c r="AA7004" s="1">
        <v>4003750</v>
      </c>
      <c r="AB7004" s="1" t="s">
        <v>5196</v>
      </c>
      <c r="AC7004" s="5">
        <v>44159</v>
      </c>
      <c r="AF7004" s="1">
        <v>10001</v>
      </c>
      <c r="AI7004" s="1" t="s">
        <v>48</v>
      </c>
      <c r="AJ7004" s="1">
        <v>2019</v>
      </c>
      <c r="AK7004" s="1" t="s">
        <v>55</v>
      </c>
      <c r="AL7004" s="1">
        <v>143</v>
      </c>
    </row>
    <row r="7005" spans="1:38" x14ac:dyDescent="0.2">
      <c r="A7005" s="2" t="str">
        <f>HYPERLINK("https://www.compass.com/listing/416-west-52nd-street-unit-716-manhattan-ny-10019/66356073665144401/","416 W 52nd St, Unit 716")</f>
        <v>416 W 52nd St, Unit 716</v>
      </c>
      <c r="B7005" s="2" t="str">
        <f>HYPERLINK("https://www.compass.com/building/nine52-manhattan-ny/281945622951555813/","Nine52")</f>
        <v>Nine52</v>
      </c>
      <c r="C7005" s="1" t="s">
        <v>90</v>
      </c>
      <c r="D7005" s="1" t="s">
        <v>41</v>
      </c>
      <c r="E7005" s="3">
        <v>1099710</v>
      </c>
      <c r="F7005" s="1">
        <v>1939.5238095238001</v>
      </c>
      <c r="H7005" s="1">
        <v>1</v>
      </c>
      <c r="J7005" s="1">
        <v>1</v>
      </c>
      <c r="K7005" s="1">
        <v>1</v>
      </c>
      <c r="M7005" s="1">
        <v>567</v>
      </c>
      <c r="N7005" s="1">
        <v>443</v>
      </c>
      <c r="O7005" s="1">
        <v>1204</v>
      </c>
      <c r="P7005" s="1">
        <v>761</v>
      </c>
      <c r="Q7005" s="1" t="s">
        <v>42</v>
      </c>
      <c r="S7005" s="1" t="s">
        <v>42</v>
      </c>
      <c r="T7005" s="1" t="s">
        <v>273</v>
      </c>
      <c r="AA7005" s="1">
        <v>1099710</v>
      </c>
      <c r="AB7005" s="1" t="s">
        <v>5197</v>
      </c>
      <c r="AC7005" s="5">
        <v>43335</v>
      </c>
      <c r="AF7005" s="1">
        <v>10019</v>
      </c>
      <c r="AI7005" s="1" t="s">
        <v>48</v>
      </c>
      <c r="AJ7005" s="1">
        <v>1940</v>
      </c>
      <c r="AK7005" s="1" t="s">
        <v>55</v>
      </c>
      <c r="AL7005" s="1">
        <v>155</v>
      </c>
    </row>
    <row r="7006" spans="1:38" x14ac:dyDescent="0.2">
      <c r="A7006" s="2" t="str">
        <f>HYPERLINK("https://www.compass.com/listing/178-bleecker-street-unit-5f-manhattan-ny-10012/675844231512035777/","178 Bleecker St, Unit 5F")</f>
        <v>178 Bleecker St, Unit 5F</v>
      </c>
      <c r="B7006" s="2" t="str">
        <f>HYPERLINK("https://www.compass.com/building/178-bleecker-st-manhattan-ny-10012/281913488861850821/","178 Bleecker St")</f>
        <v>178 Bleecker St</v>
      </c>
      <c r="C7006" s="1" t="s">
        <v>277</v>
      </c>
      <c r="D7006" s="1" t="s">
        <v>41</v>
      </c>
      <c r="E7006" s="3">
        <v>2050000</v>
      </c>
      <c r="F7006" s="1">
        <v>1833.6314847942699</v>
      </c>
      <c r="M7006" s="4">
        <v>1118</v>
      </c>
      <c r="Q7006" s="1" t="s">
        <v>42</v>
      </c>
      <c r="S7006" s="1" t="s">
        <v>42</v>
      </c>
      <c r="T7006" s="1" t="s">
        <v>273</v>
      </c>
      <c r="AA7006" s="1">
        <v>2050000</v>
      </c>
      <c r="AB7006" s="1" t="s">
        <v>5198</v>
      </c>
      <c r="AC7006" s="5">
        <v>44175</v>
      </c>
      <c r="AF7006" s="1">
        <v>10012</v>
      </c>
      <c r="AJ7006" s="1">
        <v>2017</v>
      </c>
      <c r="AL7006" s="1">
        <v>5</v>
      </c>
    </row>
    <row r="7007" spans="1:38" x14ac:dyDescent="0.2">
      <c r="A7007" s="2" t="str">
        <f>HYPERLINK("https://www.compass.com/listing/138-east-50th-street-unit-12d-manhattan-ny-10022/675849679728194489/","138 E 50th St, Unit 12D")</f>
        <v>138 E 50th St, Unit 12D</v>
      </c>
      <c r="B7007" s="2" t="str">
        <f>HYPERLINK("https://www.compass.com/building/the-centrale-manhattan-ny/281941497232811621/","The Centrale")</f>
        <v>The Centrale</v>
      </c>
      <c r="C7007" s="1" t="s">
        <v>116</v>
      </c>
      <c r="D7007" s="1" t="s">
        <v>41</v>
      </c>
      <c r="E7007" s="3">
        <v>2270000</v>
      </c>
      <c r="F7007" s="1">
        <v>1880.69594034797</v>
      </c>
      <c r="M7007" s="4">
        <v>1207</v>
      </c>
      <c r="Q7007" s="1" t="s">
        <v>42</v>
      </c>
      <c r="S7007" s="1" t="s">
        <v>42</v>
      </c>
      <c r="T7007" s="1" t="s">
        <v>273</v>
      </c>
      <c r="AA7007" s="1">
        <v>2270000</v>
      </c>
      <c r="AB7007" s="1" t="s">
        <v>5199</v>
      </c>
      <c r="AC7007" s="5">
        <v>44175</v>
      </c>
      <c r="AF7007" s="1">
        <v>10022</v>
      </c>
      <c r="AI7007" s="1" t="s">
        <v>118</v>
      </c>
      <c r="AJ7007" s="1">
        <v>2019</v>
      </c>
      <c r="AK7007" s="1" t="s">
        <v>55</v>
      </c>
      <c r="AL7007" s="1">
        <v>124</v>
      </c>
    </row>
    <row r="7008" spans="1:38" x14ac:dyDescent="0.2">
      <c r="A7008" s="2" t="str">
        <f>HYPERLINK("https://www.compass.com/listing/220-central-park-south-unit-18d-manhattan-ny-10019/680195383833873609/","220 Central Park S, Unit 18D")</f>
        <v>220 Central Park S, Unit 18D</v>
      </c>
      <c r="B7008" s="2" t="str">
        <f>HYPERLINK("https://www.compass.com/building/220-central-park-south-manhattan-ny/281944232648828453/","220 Central Park South")</f>
        <v>220 Central Park South</v>
      </c>
      <c r="C7008" s="1" t="s">
        <v>260</v>
      </c>
      <c r="D7008" s="1" t="s">
        <v>41</v>
      </c>
      <c r="E7008" s="3">
        <v>5193075</v>
      </c>
      <c r="F7008" s="1">
        <v>3875.4291044776101</v>
      </c>
      <c r="M7008" s="4">
        <v>1340</v>
      </c>
      <c r="Q7008" s="1" t="s">
        <v>42</v>
      </c>
      <c r="S7008" s="1" t="s">
        <v>42</v>
      </c>
      <c r="T7008" s="1" t="s">
        <v>273</v>
      </c>
      <c r="AA7008" s="1">
        <v>5193075</v>
      </c>
      <c r="AB7008" s="1" t="s">
        <v>5200</v>
      </c>
      <c r="AC7008" s="5">
        <v>44183</v>
      </c>
      <c r="AF7008" s="1">
        <v>10019</v>
      </c>
      <c r="AI7008" s="1" t="s">
        <v>101</v>
      </c>
      <c r="AJ7008" s="1">
        <v>2018</v>
      </c>
      <c r="AK7008" s="1" t="s">
        <v>49</v>
      </c>
      <c r="AL7008" s="1">
        <v>117</v>
      </c>
    </row>
    <row r="7009" spans="1:38" x14ac:dyDescent="0.2">
      <c r="A7009" s="2" t="str">
        <f>HYPERLINK("https://www.compass.com/listing/221-west-77th-street-manhattan-ny-10024/683096066442281305/","221 W 77th St, Fl 17")</f>
        <v>221 W 77th St, Fl 17</v>
      </c>
      <c r="B7009" s="2" t="str">
        <f>HYPERLINK("https://www.compass.com/building/221-west-77th-street-manhattan-ny/292869344491294229/","221 West 77th Street")</f>
        <v>221 West 77th Street</v>
      </c>
      <c r="C7009" s="1" t="s">
        <v>57</v>
      </c>
      <c r="D7009" s="1" t="s">
        <v>41</v>
      </c>
      <c r="E7009" s="3">
        <v>8050000</v>
      </c>
      <c r="F7009" s="1">
        <v>2730.6648575305198</v>
      </c>
      <c r="M7009" s="4">
        <v>2948</v>
      </c>
      <c r="Q7009" s="1" t="s">
        <v>42</v>
      </c>
      <c r="S7009" s="1" t="s">
        <v>42</v>
      </c>
      <c r="T7009" s="1" t="s">
        <v>273</v>
      </c>
      <c r="AA7009" s="1">
        <v>8050000</v>
      </c>
      <c r="AB7009" s="1" t="s">
        <v>5201</v>
      </c>
      <c r="AC7009" s="5">
        <v>44168</v>
      </c>
      <c r="AF7009" s="1">
        <v>10024</v>
      </c>
      <c r="AI7009" s="1" t="s">
        <v>48</v>
      </c>
      <c r="AJ7009" s="1">
        <v>2017</v>
      </c>
      <c r="AK7009" s="1" t="s">
        <v>55</v>
      </c>
      <c r="AL7009" s="1">
        <v>26</v>
      </c>
    </row>
    <row r="7010" spans="1:38" x14ac:dyDescent="0.2">
      <c r="A7010" s="2" t="str">
        <f>HYPERLINK("https://www.compass.com/listing/35-hudson-yards-unit-6903-manhattan-ny-10001/688357381918660193/","35 Hudson Yards, Unit 6903")</f>
        <v>35 Hudson Yards, Unit 6903</v>
      </c>
      <c r="B7010" s="2" t="str">
        <f>HYPERLINK("https://www.compass.com/building/35-hudson-yards-manhattan-ny/292773408544917349/","35 Hudson Yards")</f>
        <v>35 Hudson Yards</v>
      </c>
      <c r="C7010" s="1" t="s">
        <v>77</v>
      </c>
      <c r="D7010" s="1" t="s">
        <v>41</v>
      </c>
      <c r="E7010" s="3">
        <v>6173750</v>
      </c>
      <c r="Q7010" s="1" t="s">
        <v>42</v>
      </c>
      <c r="S7010" s="1" t="s">
        <v>42</v>
      </c>
      <c r="T7010" s="1" t="s">
        <v>273</v>
      </c>
      <c r="AA7010" s="1">
        <v>6173750</v>
      </c>
      <c r="AB7010" s="1" t="s">
        <v>5202</v>
      </c>
      <c r="AC7010" s="5">
        <v>44183</v>
      </c>
      <c r="AF7010" s="1">
        <v>10001</v>
      </c>
      <c r="AI7010" s="1" t="s">
        <v>48</v>
      </c>
      <c r="AJ7010" s="1">
        <v>2019</v>
      </c>
      <c r="AK7010" s="1" t="s">
        <v>55</v>
      </c>
      <c r="AL7010" s="1">
        <v>143</v>
      </c>
    </row>
    <row r="7011" spans="1:38" x14ac:dyDescent="0.2">
      <c r="A7011" s="2" t="str">
        <f>HYPERLINK("https://www.compass.com/listing/111-murray-street-unit-45e-manhattan-ny-10007/688885758836798657/","111 Murray St, Unit 45E")</f>
        <v>111 Murray St, Unit 45E</v>
      </c>
      <c r="B7011" s="2" t="str">
        <f t="shared" ref="B7011:B7012" si="1104">HYPERLINK("https://www.compass.com/building/111-murray-st-manhattan-ny-10007/281896511862746053/","111 Murray St")</f>
        <v>111 Murray St</v>
      </c>
      <c r="C7011" s="1" t="s">
        <v>50</v>
      </c>
      <c r="D7011" s="1" t="s">
        <v>41</v>
      </c>
      <c r="E7011" s="3">
        <v>6700000</v>
      </c>
      <c r="F7011" s="1">
        <v>2375.0443105281802</v>
      </c>
      <c r="M7011" s="4">
        <v>2821</v>
      </c>
      <c r="Q7011" s="1" t="s">
        <v>42</v>
      </c>
      <c r="S7011" s="1" t="s">
        <v>42</v>
      </c>
      <c r="T7011" s="1" t="s">
        <v>273</v>
      </c>
      <c r="AA7011" s="1">
        <v>6700000</v>
      </c>
      <c r="AB7011" s="1" t="s">
        <v>5203</v>
      </c>
      <c r="AC7011" s="5">
        <v>44144</v>
      </c>
      <c r="AF7011" s="1">
        <v>10007</v>
      </c>
      <c r="AI7011" s="1" t="s">
        <v>80</v>
      </c>
      <c r="AJ7011" s="1">
        <v>2018</v>
      </c>
      <c r="AK7011" s="1" t="s">
        <v>49</v>
      </c>
      <c r="AL7011" s="1">
        <v>157</v>
      </c>
    </row>
    <row r="7012" spans="1:38" x14ac:dyDescent="0.2">
      <c r="A7012" s="2" t="str">
        <f>HYPERLINK("https://www.compass.com/listing/111-murray-street-unit-62w-manhattan-ny-10007/690335958772482505/","111 Murray St, Unit 62W")</f>
        <v>111 Murray St, Unit 62W</v>
      </c>
      <c r="B7012" s="2" t="str">
        <f t="shared" si="1104"/>
        <v>111 Murray St</v>
      </c>
      <c r="C7012" s="1" t="s">
        <v>50</v>
      </c>
      <c r="D7012" s="1" t="s">
        <v>41</v>
      </c>
      <c r="E7012" s="3">
        <v>11400000</v>
      </c>
      <c r="F7012" s="1">
        <v>2792.7486526212601</v>
      </c>
      <c r="M7012" s="4">
        <v>4082</v>
      </c>
      <c r="Q7012" s="1" t="s">
        <v>42</v>
      </c>
      <c r="S7012" s="1" t="s">
        <v>42</v>
      </c>
      <c r="T7012" s="1" t="s">
        <v>273</v>
      </c>
      <c r="AA7012" s="1">
        <v>11400000</v>
      </c>
      <c r="AB7012" s="1" t="s">
        <v>5204</v>
      </c>
      <c r="AC7012" s="5">
        <v>44183</v>
      </c>
      <c r="AF7012" s="1">
        <v>10007</v>
      </c>
      <c r="AI7012" s="1" t="s">
        <v>80</v>
      </c>
      <c r="AJ7012" s="1">
        <v>2018</v>
      </c>
      <c r="AK7012" s="1" t="s">
        <v>49</v>
      </c>
      <c r="AL7012" s="1">
        <v>157</v>
      </c>
    </row>
    <row r="7013" spans="1:38" x14ac:dyDescent="0.2">
      <c r="A7013" s="2" t="str">
        <f>HYPERLINK("https://www.compass.com/listing/35-hudson-yards-unit-6901-manhattan-ny-10001/690338334510366817/","35 Hudson Yards, Unit 6901")</f>
        <v>35 Hudson Yards, Unit 6901</v>
      </c>
      <c r="B7013" s="2" t="str">
        <f>HYPERLINK("https://www.compass.com/building/35-hudson-yards-manhattan-ny/292773408544917349/","35 Hudson Yards")</f>
        <v>35 Hudson Yards</v>
      </c>
      <c r="C7013" s="1" t="s">
        <v>77</v>
      </c>
      <c r="D7013" s="1" t="s">
        <v>41</v>
      </c>
      <c r="E7013" s="3">
        <v>6853750</v>
      </c>
      <c r="Q7013" s="1" t="s">
        <v>42</v>
      </c>
      <c r="S7013" s="1" t="s">
        <v>42</v>
      </c>
      <c r="T7013" s="1" t="s">
        <v>273</v>
      </c>
      <c r="AA7013" s="1">
        <v>6853750</v>
      </c>
      <c r="AB7013" s="1" t="s">
        <v>5205</v>
      </c>
      <c r="AC7013" s="5">
        <v>44183</v>
      </c>
      <c r="AF7013" s="1">
        <v>10001</v>
      </c>
      <c r="AI7013" s="1" t="s">
        <v>48</v>
      </c>
      <c r="AJ7013" s="1">
        <v>2019</v>
      </c>
      <c r="AK7013" s="1" t="s">
        <v>55</v>
      </c>
      <c r="AL7013" s="1">
        <v>143</v>
      </c>
    </row>
    <row r="7014" spans="1:38" x14ac:dyDescent="0.2">
      <c r="A7014" s="2" t="str">
        <f>HYPERLINK("https://www.compass.com/listing/301-east-81st-street-unit-14b-manhattan-ny-10028/693249719472888569/","301 E 81st St, Unit 14B")</f>
        <v>301 E 81st St, Unit 14B</v>
      </c>
      <c r="B7014" s="2" t="str">
        <f>HYPERLINK("https://www.compass.com/building/beckford-house-manhattan-ny/293531205712863989/","Beckford House")</f>
        <v>Beckford House</v>
      </c>
      <c r="C7014" s="1" t="s">
        <v>82</v>
      </c>
      <c r="D7014" s="1" t="s">
        <v>41</v>
      </c>
      <c r="E7014" s="3">
        <v>3900000</v>
      </c>
      <c r="Q7014" s="1" t="s">
        <v>42</v>
      </c>
      <c r="S7014" s="1" t="s">
        <v>42</v>
      </c>
      <c r="T7014" s="1" t="s">
        <v>273</v>
      </c>
      <c r="AA7014" s="1">
        <v>3900000</v>
      </c>
      <c r="AB7014" s="1" t="s">
        <v>5206</v>
      </c>
      <c r="AC7014" s="5">
        <v>44127</v>
      </c>
      <c r="AF7014" s="1">
        <v>10028</v>
      </c>
      <c r="AI7014" s="1" t="s">
        <v>140</v>
      </c>
      <c r="AJ7014" s="1">
        <v>2019</v>
      </c>
      <c r="AK7014" s="1" t="s">
        <v>202</v>
      </c>
      <c r="AL7014" s="1">
        <v>0</v>
      </c>
    </row>
    <row r="7015" spans="1:38" x14ac:dyDescent="0.2">
      <c r="A7015" s="2" t="str">
        <f>HYPERLINK("https://www.compass.com/listing/35-hudson-yards-unit-5705-manhattan-ny-10001/694695432442669729/","35 Hudson Yards, Unit 5705")</f>
        <v>35 Hudson Yards, Unit 5705</v>
      </c>
      <c r="B7015" s="2" t="str">
        <f>HYPERLINK("https://www.compass.com/building/35-hudson-yards-manhattan-ny/292773408544917349/","35 Hudson Yards")</f>
        <v>35 Hudson Yards</v>
      </c>
      <c r="C7015" s="1" t="s">
        <v>77</v>
      </c>
      <c r="D7015" s="1" t="s">
        <v>41</v>
      </c>
      <c r="E7015" s="3">
        <v>4299344</v>
      </c>
      <c r="Q7015" s="1" t="s">
        <v>42</v>
      </c>
      <c r="S7015" s="1" t="s">
        <v>42</v>
      </c>
      <c r="T7015" s="1" t="s">
        <v>273</v>
      </c>
      <c r="AA7015" s="1">
        <v>4299343.75</v>
      </c>
      <c r="AB7015" s="1" t="s">
        <v>5207</v>
      </c>
      <c r="AC7015" s="5">
        <v>44187</v>
      </c>
      <c r="AF7015" s="1">
        <v>10001</v>
      </c>
      <c r="AI7015" s="1" t="s">
        <v>48</v>
      </c>
      <c r="AJ7015" s="1">
        <v>2019</v>
      </c>
      <c r="AK7015" s="1" t="s">
        <v>55</v>
      </c>
      <c r="AL7015" s="1">
        <v>143</v>
      </c>
    </row>
    <row r="7016" spans="1:38" x14ac:dyDescent="0.2">
      <c r="A7016" s="2" t="str">
        <f>HYPERLINK("https://www.compass.com/listing/200-east-94th-street-unit-phs-manhattan-ny-10128/700232827335180481/","200 E 94th St, Unit PHS")</f>
        <v>200 E 94th St, Unit PHS</v>
      </c>
      <c r="B7016" s="2" t="str">
        <f t="shared" ref="B7016:B7017" si="1105">HYPERLINK("https://www.compass.com/building/carnegie-park-condominium-manhattan-ny/282049797358118613/","Carnegie Park Condominium")</f>
        <v>Carnegie Park Condominium</v>
      </c>
      <c r="C7016" s="1" t="s">
        <v>82</v>
      </c>
      <c r="D7016" s="1" t="s">
        <v>41</v>
      </c>
      <c r="E7016" s="3">
        <v>6902351</v>
      </c>
      <c r="F7016" s="1">
        <v>2154.9644895410502</v>
      </c>
      <c r="M7016" s="4">
        <v>3203</v>
      </c>
      <c r="Q7016" s="1" t="s">
        <v>42</v>
      </c>
      <c r="S7016" s="1" t="s">
        <v>42</v>
      </c>
      <c r="T7016" s="1" t="s">
        <v>273</v>
      </c>
      <c r="AA7016" s="1">
        <v>6902351.2599999998</v>
      </c>
      <c r="AB7016" s="1" t="s">
        <v>5208</v>
      </c>
      <c r="AC7016" s="5">
        <v>44204</v>
      </c>
      <c r="AF7016" s="1">
        <v>10128</v>
      </c>
      <c r="AI7016" s="1" t="s">
        <v>163</v>
      </c>
      <c r="AJ7016" s="1">
        <v>1986</v>
      </c>
      <c r="AK7016" s="1" t="s">
        <v>55</v>
      </c>
      <c r="AL7016" s="1">
        <v>287</v>
      </c>
    </row>
    <row r="7017" spans="1:38" x14ac:dyDescent="0.2">
      <c r="A7017" s="2" t="str">
        <f>HYPERLINK("https://www.compass.com/listing/200-east-94th-street-unit-1012-manhattan-ny-10128/701244332943915601/","200 E 94th St, Unit 1012")</f>
        <v>200 E 94th St, Unit 1012</v>
      </c>
      <c r="B7017" s="2" t="str">
        <f t="shared" si="1105"/>
        <v>Carnegie Park Condominium</v>
      </c>
      <c r="C7017" s="1" t="s">
        <v>82</v>
      </c>
      <c r="D7017" s="1" t="s">
        <v>41</v>
      </c>
      <c r="E7017" s="3">
        <v>1055000</v>
      </c>
      <c r="F7017" s="1">
        <v>1496.4539007092101</v>
      </c>
      <c r="M7017" s="1">
        <v>705</v>
      </c>
      <c r="Q7017" s="1" t="s">
        <v>42</v>
      </c>
      <c r="S7017" s="1" t="s">
        <v>42</v>
      </c>
      <c r="T7017" s="1" t="s">
        <v>273</v>
      </c>
      <c r="AA7017" s="1">
        <v>1055000</v>
      </c>
      <c r="AB7017" s="1" t="s">
        <v>5209</v>
      </c>
      <c r="AC7017" s="5">
        <v>44189</v>
      </c>
      <c r="AF7017" s="1">
        <v>10128</v>
      </c>
      <c r="AI7017" s="1" t="s">
        <v>163</v>
      </c>
      <c r="AJ7017" s="1">
        <v>1986</v>
      </c>
      <c r="AK7017" s="1" t="s">
        <v>55</v>
      </c>
      <c r="AL7017" s="1">
        <v>287</v>
      </c>
    </row>
    <row r="7018" spans="1:38" x14ac:dyDescent="0.2">
      <c r="A7018" s="2" t="str">
        <f>HYPERLINK("https://www.compass.com/listing/21-east-12th-street-unit-3a-manhattan-ny-10003/705976991550441321/","21 E 12th St, Unit 3A")</f>
        <v>21 E 12th St, Unit 3A</v>
      </c>
      <c r="B7018" s="2" t="str">
        <f>HYPERLINK("https://www.compass.com/building/21-east-12th-street-manhattan-ny/292779727154847925/","21 East 12th Street")</f>
        <v>21 East 12th Street</v>
      </c>
      <c r="C7018" s="1" t="s">
        <v>277</v>
      </c>
      <c r="D7018" s="1" t="s">
        <v>41</v>
      </c>
      <c r="E7018" s="3">
        <v>9655656</v>
      </c>
      <c r="F7018" s="1">
        <v>1452.1967213114699</v>
      </c>
      <c r="M7018" s="4">
        <v>6649</v>
      </c>
      <c r="Q7018" s="1" t="s">
        <v>42</v>
      </c>
      <c r="S7018" s="1" t="s">
        <v>42</v>
      </c>
      <c r="T7018" s="1" t="s">
        <v>273</v>
      </c>
      <c r="AA7018" s="1">
        <v>9655656</v>
      </c>
      <c r="AB7018" s="1" t="s">
        <v>5210</v>
      </c>
      <c r="AC7018" s="5">
        <v>44210</v>
      </c>
      <c r="AF7018" s="1">
        <v>10003</v>
      </c>
      <c r="AI7018" s="1" t="s">
        <v>80</v>
      </c>
      <c r="AJ7018" s="1">
        <v>2018</v>
      </c>
      <c r="AK7018" s="1" t="s">
        <v>202</v>
      </c>
      <c r="AL7018" s="1">
        <v>52</v>
      </c>
    </row>
    <row r="7019" spans="1:38" x14ac:dyDescent="0.2">
      <c r="A7019" s="2" t="str">
        <f>HYPERLINK("https://www.compass.com/listing/15-west-61st-street-unit-8g-manhattan-ny-10023/705982426017905569/","15 W 61st St, Unit 8G")</f>
        <v>15 W 61st St, Unit 8G</v>
      </c>
      <c r="B7019" s="2" t="str">
        <f t="shared" ref="B7019:B7020" si="1106">HYPERLINK("https://www.compass.com/building/the-park-loggia-manhattan-ny/292861833130357557/","The Park Loggia")</f>
        <v>The Park Loggia</v>
      </c>
      <c r="C7019" s="1" t="s">
        <v>57</v>
      </c>
      <c r="D7019" s="1" t="s">
        <v>41</v>
      </c>
      <c r="E7019" s="3">
        <v>1450000</v>
      </c>
      <c r="F7019" s="1">
        <v>2220.5206738131701</v>
      </c>
      <c r="M7019" s="1">
        <v>653</v>
      </c>
      <c r="Q7019" s="1" t="s">
        <v>42</v>
      </c>
      <c r="S7019" s="1" t="s">
        <v>42</v>
      </c>
      <c r="T7019" s="1" t="s">
        <v>273</v>
      </c>
      <c r="AA7019" s="1">
        <v>1450000</v>
      </c>
      <c r="AB7019" s="1" t="s">
        <v>5211</v>
      </c>
      <c r="AC7019" s="5">
        <v>44204</v>
      </c>
      <c r="AF7019" s="1">
        <v>10023</v>
      </c>
      <c r="AI7019" s="1" t="s">
        <v>65</v>
      </c>
      <c r="AJ7019" s="1">
        <v>2019</v>
      </c>
      <c r="AK7019" s="1" t="s">
        <v>55</v>
      </c>
      <c r="AL7019" s="1">
        <v>172</v>
      </c>
    </row>
    <row r="7020" spans="1:38" x14ac:dyDescent="0.2">
      <c r="A7020" s="2" t="str">
        <f>HYPERLINK("https://www.compass.com/listing/15-west-61st-street-unit-15c-manhattan-ny-10023/705982447308013489/","15 W 61st St, Unit 15C")</f>
        <v>15 W 61st St, Unit 15C</v>
      </c>
      <c r="B7020" s="2" t="str">
        <f t="shared" si="1106"/>
        <v>The Park Loggia</v>
      </c>
      <c r="C7020" s="1" t="s">
        <v>57</v>
      </c>
      <c r="D7020" s="1" t="s">
        <v>41</v>
      </c>
      <c r="E7020" s="3">
        <v>1165000</v>
      </c>
      <c r="F7020" s="1">
        <v>2084.07871198568</v>
      </c>
      <c r="H7020" s="1">
        <v>1</v>
      </c>
      <c r="J7020" s="1">
        <v>1</v>
      </c>
      <c r="K7020" s="1">
        <v>1</v>
      </c>
      <c r="M7020" s="1">
        <v>559</v>
      </c>
      <c r="N7020" s="1">
        <v>711</v>
      </c>
      <c r="O7020" s="1">
        <v>1395</v>
      </c>
      <c r="P7020" s="1">
        <v>684</v>
      </c>
      <c r="Q7020" s="1" t="s">
        <v>42</v>
      </c>
      <c r="S7020" s="1" t="s">
        <v>42</v>
      </c>
      <c r="T7020" s="1" t="s">
        <v>273</v>
      </c>
      <c r="AA7020" s="1">
        <v>1165000</v>
      </c>
      <c r="AB7020" s="1" t="s">
        <v>5212</v>
      </c>
      <c r="AC7020" s="5">
        <v>44211</v>
      </c>
      <c r="AF7020" s="1">
        <v>10023</v>
      </c>
      <c r="AI7020" s="1" t="s">
        <v>65</v>
      </c>
      <c r="AJ7020" s="1">
        <v>2019</v>
      </c>
      <c r="AK7020" s="1" t="s">
        <v>55</v>
      </c>
      <c r="AL7020" s="1">
        <v>172</v>
      </c>
    </row>
    <row r="7021" spans="1:38" x14ac:dyDescent="0.2">
      <c r="A7021" s="2" t="str">
        <f>HYPERLINK("https://www.compass.com/listing/12-east-88th-street-unit-2b-manhattan-ny-10128/705991472309680697/","12 E 88th St, Unit 2B")</f>
        <v>12 E 88th St, Unit 2B</v>
      </c>
      <c r="B7021" s="2" t="str">
        <f>HYPERLINK("https://www.compass.com/building/12-e-88th-st-manhattan-ny-10128/282046316798827461/","12 E 88th St")</f>
        <v>12 E 88th St</v>
      </c>
      <c r="C7021" s="1" t="s">
        <v>82</v>
      </c>
      <c r="D7021" s="1" t="s">
        <v>41</v>
      </c>
      <c r="E7021" s="3">
        <v>1150000</v>
      </c>
      <c r="F7021" s="1">
        <v>1324.8847926267199</v>
      </c>
      <c r="M7021" s="1">
        <v>868</v>
      </c>
      <c r="Q7021" s="1" t="s">
        <v>42</v>
      </c>
      <c r="S7021" s="1" t="s">
        <v>42</v>
      </c>
      <c r="T7021" s="1" t="s">
        <v>273</v>
      </c>
      <c r="AA7021" s="1">
        <v>1150000</v>
      </c>
      <c r="AB7021" s="1" t="s">
        <v>5213</v>
      </c>
      <c r="AC7021" s="5">
        <v>44186</v>
      </c>
      <c r="AF7021" s="1">
        <v>10128</v>
      </c>
      <c r="AI7021" s="1" t="s">
        <v>177</v>
      </c>
      <c r="AJ7021" s="1">
        <v>1931</v>
      </c>
      <c r="AK7021" s="1" t="s">
        <v>49</v>
      </c>
      <c r="AL7021" s="1">
        <v>39</v>
      </c>
    </row>
    <row r="7022" spans="1:38" x14ac:dyDescent="0.2">
      <c r="A7022" s="2" t="str">
        <f>HYPERLINK("https://www.compass.com/listing/15-west-61st-street-unit-29b-manhattan-ny-10023/710646238373460321/","15 W 61st St, Unit 29B")</f>
        <v>15 W 61st St, Unit 29B</v>
      </c>
      <c r="B7022" s="2" t="str">
        <f>HYPERLINK("https://www.compass.com/building/the-park-loggia-manhattan-ny/292861833130357557/","The Park Loggia")</f>
        <v>The Park Loggia</v>
      </c>
      <c r="C7022" s="1" t="s">
        <v>57</v>
      </c>
      <c r="D7022" s="1" t="s">
        <v>41</v>
      </c>
      <c r="E7022" s="3">
        <v>3325000</v>
      </c>
      <c r="F7022" s="1">
        <v>2878.7878787878699</v>
      </c>
      <c r="M7022" s="4">
        <v>1155</v>
      </c>
      <c r="Q7022" s="1" t="s">
        <v>42</v>
      </c>
      <c r="S7022" s="1" t="s">
        <v>42</v>
      </c>
      <c r="T7022" s="1" t="s">
        <v>273</v>
      </c>
      <c r="AA7022" s="1">
        <v>3325000</v>
      </c>
      <c r="AB7022" s="1" t="s">
        <v>5214</v>
      </c>
      <c r="AC7022" s="5">
        <v>44224</v>
      </c>
      <c r="AF7022" s="1">
        <v>10023</v>
      </c>
      <c r="AI7022" s="1" t="s">
        <v>65</v>
      </c>
      <c r="AJ7022" s="1">
        <v>2019</v>
      </c>
      <c r="AK7022" s="1" t="s">
        <v>55</v>
      </c>
      <c r="AL7022" s="1">
        <v>172</v>
      </c>
    </row>
    <row r="7023" spans="1:38" x14ac:dyDescent="0.2">
      <c r="A7023" s="2" t="str">
        <f>HYPERLINK("https://www.compass.com/listing/301-east-81st-street-unit-9a-manhattan-ny-10028/720801839087983713/","301 E 81st St, Unit 9A")</f>
        <v>301 E 81st St, Unit 9A</v>
      </c>
      <c r="B7023" s="2" t="str">
        <f t="shared" ref="B7023:B7024" si="1107">HYPERLINK("https://www.compass.com/building/beckford-house-manhattan-ny/293531205712863989/","Beckford House")</f>
        <v>Beckford House</v>
      </c>
      <c r="C7023" s="1" t="s">
        <v>82</v>
      </c>
      <c r="D7023" s="1" t="s">
        <v>41</v>
      </c>
      <c r="E7023" s="3">
        <v>4430000</v>
      </c>
      <c r="Q7023" s="1" t="s">
        <v>42</v>
      </c>
      <c r="S7023" s="1" t="s">
        <v>42</v>
      </c>
      <c r="T7023" s="1" t="s">
        <v>273</v>
      </c>
      <c r="AA7023" s="1">
        <v>4430000</v>
      </c>
      <c r="AB7023" s="1" t="s">
        <v>5215</v>
      </c>
      <c r="AC7023" s="5">
        <v>44232</v>
      </c>
      <c r="AF7023" s="1">
        <v>10028</v>
      </c>
      <c r="AI7023" s="1" t="s">
        <v>140</v>
      </c>
      <c r="AJ7023" s="1">
        <v>2019</v>
      </c>
      <c r="AK7023" s="1" t="s">
        <v>202</v>
      </c>
      <c r="AL7023" s="1">
        <v>0</v>
      </c>
    </row>
    <row r="7024" spans="1:38" x14ac:dyDescent="0.2">
      <c r="A7024" s="2" t="str">
        <f>HYPERLINK("https://www.compass.com/listing/301-east-81st-street-unit-5a-manhattan-ny-10028/724660490739878057/","301 E 81st St, Unit 5A")</f>
        <v>301 E 81st St, Unit 5A</v>
      </c>
      <c r="B7024" s="2" t="str">
        <f t="shared" si="1107"/>
        <v>Beckford House</v>
      </c>
      <c r="C7024" s="1" t="s">
        <v>82</v>
      </c>
      <c r="D7024" s="1" t="s">
        <v>41</v>
      </c>
      <c r="E7024" s="3">
        <v>2850000</v>
      </c>
      <c r="Q7024" s="1" t="s">
        <v>42</v>
      </c>
      <c r="S7024" s="1" t="s">
        <v>42</v>
      </c>
      <c r="T7024" s="1" t="s">
        <v>273</v>
      </c>
      <c r="AA7024" s="1">
        <v>2850000</v>
      </c>
      <c r="AB7024" s="1" t="s">
        <v>5216</v>
      </c>
      <c r="AC7024" s="5">
        <v>44235</v>
      </c>
      <c r="AF7024" s="1">
        <v>10028</v>
      </c>
      <c r="AI7024" s="1" t="s">
        <v>140</v>
      </c>
      <c r="AJ7024" s="1">
        <v>2019</v>
      </c>
      <c r="AK7024" s="1" t="s">
        <v>202</v>
      </c>
      <c r="AL7024" s="1">
        <v>0</v>
      </c>
    </row>
    <row r="7025" spans="1:38" x14ac:dyDescent="0.2">
      <c r="A7025" s="2" t="str">
        <f>HYPERLINK("https://www.compass.com/listing/111-murray-street-unit-53w-manhattan-ny-10007/725857375836913201/","111 Murray St, Unit 53W")</f>
        <v>111 Murray St, Unit 53W</v>
      </c>
      <c r="B7025" s="2" t="str">
        <f>HYPERLINK("https://www.compass.com/building/111-murray-st-manhattan-ny-10007/281896511862746053/","111 Murray St")</f>
        <v>111 Murray St</v>
      </c>
      <c r="C7025" s="1" t="s">
        <v>50</v>
      </c>
      <c r="D7025" s="1" t="s">
        <v>41</v>
      </c>
      <c r="E7025" s="3">
        <v>9300000</v>
      </c>
      <c r="F7025" s="1">
        <v>2792.7927927927899</v>
      </c>
      <c r="M7025" s="4">
        <v>3330</v>
      </c>
      <c r="Q7025" s="1" t="s">
        <v>42</v>
      </c>
      <c r="S7025" s="1" t="s">
        <v>42</v>
      </c>
      <c r="T7025" s="1" t="s">
        <v>273</v>
      </c>
      <c r="AA7025" s="1">
        <v>9300000</v>
      </c>
      <c r="AB7025" s="1" t="s">
        <v>5217</v>
      </c>
      <c r="AC7025" s="5">
        <v>44235</v>
      </c>
      <c r="AF7025" s="1">
        <v>10007</v>
      </c>
      <c r="AI7025" s="1" t="s">
        <v>80</v>
      </c>
      <c r="AJ7025" s="1">
        <v>2018</v>
      </c>
      <c r="AK7025" s="1" t="s">
        <v>49</v>
      </c>
      <c r="AL7025" s="1">
        <v>157</v>
      </c>
    </row>
    <row r="7026" spans="1:38" x14ac:dyDescent="0.2">
      <c r="A7026" s="2" t="str">
        <f>HYPERLINK("https://www.compass.com/listing/15-west-61st-street-unit-4i-manhattan-ny-10023/731661354149072601/","15 W 61st St, Unit 4I")</f>
        <v>15 W 61st St, Unit 4I</v>
      </c>
      <c r="B7026" s="2" t="str">
        <f>HYPERLINK("https://www.compass.com/building/the-park-loggia-manhattan-ny/292861833130357557/","The Park Loggia")</f>
        <v>The Park Loggia</v>
      </c>
      <c r="C7026" s="1" t="s">
        <v>57</v>
      </c>
      <c r="D7026" s="1" t="s">
        <v>41</v>
      </c>
      <c r="E7026" s="3">
        <v>1662000</v>
      </c>
      <c r="F7026" s="1">
        <v>2207.1713147410301</v>
      </c>
      <c r="M7026" s="1">
        <v>753</v>
      </c>
      <c r="Q7026" s="1" t="s">
        <v>42</v>
      </c>
      <c r="S7026" s="1" t="s">
        <v>42</v>
      </c>
      <c r="T7026" s="1" t="s">
        <v>273</v>
      </c>
      <c r="AA7026" s="1">
        <v>1662000</v>
      </c>
      <c r="AB7026" s="1" t="s">
        <v>5218</v>
      </c>
      <c r="AC7026" s="5">
        <v>44243</v>
      </c>
      <c r="AF7026" s="1">
        <v>10023</v>
      </c>
      <c r="AI7026" s="1" t="s">
        <v>65</v>
      </c>
      <c r="AJ7026" s="1">
        <v>2019</v>
      </c>
      <c r="AK7026" s="1" t="s">
        <v>55</v>
      </c>
      <c r="AL7026" s="1">
        <v>172</v>
      </c>
    </row>
    <row r="7027" spans="1:38" x14ac:dyDescent="0.2">
      <c r="A7027" s="2" t="str">
        <f>HYPERLINK("https://www.compass.com/listing/35-hudson-yards-unit-5505-manhattan-ny-10001/734521427607655297/","35 Hudson Yards, Unit 5505")</f>
        <v>35 Hudson Yards, Unit 5505</v>
      </c>
      <c r="B7027" s="2" t="str">
        <f>HYPERLINK("https://www.compass.com/building/35-hudson-yards-manhattan-ny/292773408544917349/","35 Hudson Yards")</f>
        <v>35 Hudson Yards</v>
      </c>
      <c r="C7027" s="1" t="s">
        <v>77</v>
      </c>
      <c r="D7027" s="1" t="s">
        <v>41</v>
      </c>
      <c r="E7027" s="3">
        <v>4153750</v>
      </c>
      <c r="Q7027" s="1" t="s">
        <v>42</v>
      </c>
      <c r="S7027" s="1" t="s">
        <v>42</v>
      </c>
      <c r="T7027" s="1" t="s">
        <v>273</v>
      </c>
      <c r="AA7027" s="1">
        <v>4153750</v>
      </c>
      <c r="AB7027" s="1" t="s">
        <v>5219</v>
      </c>
      <c r="AC7027" s="5">
        <v>44246</v>
      </c>
      <c r="AF7027" s="1">
        <v>10001</v>
      </c>
      <c r="AI7027" s="1" t="s">
        <v>48</v>
      </c>
      <c r="AJ7027" s="1">
        <v>2019</v>
      </c>
      <c r="AK7027" s="1" t="s">
        <v>55</v>
      </c>
      <c r="AL7027" s="1">
        <v>143</v>
      </c>
    </row>
    <row r="7028" spans="1:38" x14ac:dyDescent="0.2">
      <c r="A7028" s="2" t="str">
        <f>HYPERLINK("https://www.compass.com/listing/217-west-57th-street-unit-47a-manhattan-ny-10019/735264947473798193/","217 W 57th St, Unit 47A")</f>
        <v>217 W 57th St, Unit 47A</v>
      </c>
      <c r="B7028" s="2" t="str">
        <f>HYPERLINK("https://www.compass.com/building/central-park-tower-manhattan-ny/292845475244082085/","Central Park Tower")</f>
        <v>Central Park Tower</v>
      </c>
      <c r="C7028" s="1" t="s">
        <v>139</v>
      </c>
      <c r="D7028" s="1" t="s">
        <v>41</v>
      </c>
      <c r="E7028" s="3">
        <v>8549254</v>
      </c>
      <c r="Q7028" s="1" t="s">
        <v>42</v>
      </c>
      <c r="S7028" s="1" t="s">
        <v>42</v>
      </c>
      <c r="T7028" s="1" t="s">
        <v>273</v>
      </c>
      <c r="AA7028" s="1">
        <v>8549253.75</v>
      </c>
      <c r="AB7028" s="1" t="s">
        <v>5220</v>
      </c>
      <c r="AC7028" s="5">
        <v>44250</v>
      </c>
      <c r="AF7028" s="1">
        <v>10019</v>
      </c>
      <c r="AI7028" s="1" t="s">
        <v>101</v>
      </c>
      <c r="AJ7028" s="1">
        <v>2020</v>
      </c>
      <c r="AL7028" s="1">
        <v>179</v>
      </c>
    </row>
    <row r="7029" spans="1:38" x14ac:dyDescent="0.2">
      <c r="A7029" s="2" t="str">
        <f>HYPERLINK("https://www.compass.com/listing/111-murray-street-unit-8a-manhattan-ny-10007/74298337666284977/","111 Murray St, Unit 8A")</f>
        <v>111 Murray St, Unit 8A</v>
      </c>
      <c r="B7029" s="2" t="str">
        <f t="shared" ref="B7029:B7030" si="1108">HYPERLINK("https://www.compass.com/building/111-murray-st-manhattan-ny-10007/281896511862746053/","111 Murray St")</f>
        <v>111 Murray St</v>
      </c>
      <c r="C7029" s="1" t="s">
        <v>50</v>
      </c>
      <c r="D7029" s="1" t="s">
        <v>41</v>
      </c>
      <c r="E7029" s="3">
        <v>2571081</v>
      </c>
      <c r="F7029" s="1">
        <v>2283.3758880994601</v>
      </c>
      <c r="M7029" s="4">
        <v>1126</v>
      </c>
      <c r="Q7029" s="1" t="s">
        <v>42</v>
      </c>
      <c r="S7029" s="1" t="s">
        <v>42</v>
      </c>
      <c r="T7029" s="1" t="s">
        <v>273</v>
      </c>
      <c r="AA7029" s="1">
        <v>2571081.25</v>
      </c>
      <c r="AB7029" s="1" t="s">
        <v>5221</v>
      </c>
      <c r="AC7029" s="5">
        <v>43339</v>
      </c>
      <c r="AF7029" s="1">
        <v>10007</v>
      </c>
      <c r="AI7029" s="1" t="s">
        <v>80</v>
      </c>
      <c r="AJ7029" s="1">
        <v>2018</v>
      </c>
      <c r="AK7029" s="1" t="s">
        <v>49</v>
      </c>
      <c r="AL7029" s="1">
        <v>157</v>
      </c>
    </row>
    <row r="7030" spans="1:38" x14ac:dyDescent="0.2">
      <c r="A7030" s="2" t="str">
        <f>HYPERLINK("https://www.compass.com/listing/111-murray-street-unit-54w-manhattan-ny-10007/746815655994898993/","111 Murray St, Unit 54W")</f>
        <v>111 Murray St, Unit 54W</v>
      </c>
      <c r="B7030" s="2" t="str">
        <f t="shared" si="1108"/>
        <v>111 Murray St</v>
      </c>
      <c r="C7030" s="1" t="s">
        <v>50</v>
      </c>
      <c r="D7030" s="1" t="s">
        <v>41</v>
      </c>
      <c r="E7030" s="3">
        <v>9990000</v>
      </c>
      <c r="F7030" s="1">
        <v>2974.0994343554598</v>
      </c>
      <c r="M7030" s="4">
        <v>3359</v>
      </c>
      <c r="Q7030" s="1" t="s">
        <v>42</v>
      </c>
      <c r="S7030" s="1" t="s">
        <v>42</v>
      </c>
      <c r="T7030" s="1" t="s">
        <v>273</v>
      </c>
      <c r="AA7030" s="1">
        <v>9990000</v>
      </c>
      <c r="AB7030" s="1" t="s">
        <v>5222</v>
      </c>
      <c r="AC7030" s="5">
        <v>44277</v>
      </c>
      <c r="AF7030" s="1">
        <v>10007</v>
      </c>
      <c r="AI7030" s="1" t="s">
        <v>80</v>
      </c>
      <c r="AJ7030" s="1">
        <v>2018</v>
      </c>
      <c r="AK7030" s="1" t="s">
        <v>49</v>
      </c>
      <c r="AL7030" s="1">
        <v>157</v>
      </c>
    </row>
    <row r="7031" spans="1:38" x14ac:dyDescent="0.2">
      <c r="A7031" s="2" t="str">
        <f>HYPERLINK("https://www.compass.com/listing/252-south-street-unit-10c-manhattan-ny-10002/746815788207684217/","252 South St, Unit 10C")</f>
        <v>252 South St, Unit 10C</v>
      </c>
      <c r="B7031" s="2" t="str">
        <f>HYPERLINK("https://www.compass.com/building/one-manhattan-square-manhattan-ny/294844950218926165/","One Manhattan Square")</f>
        <v>One Manhattan Square</v>
      </c>
      <c r="C7031" s="1" t="s">
        <v>47</v>
      </c>
      <c r="D7031" s="1" t="s">
        <v>41</v>
      </c>
      <c r="E7031" s="3">
        <v>1225900</v>
      </c>
      <c r="F7031" s="1">
        <v>1763.88489208633</v>
      </c>
      <c r="H7031" s="1">
        <v>1</v>
      </c>
      <c r="J7031" s="1">
        <v>1</v>
      </c>
      <c r="K7031" s="1">
        <v>1</v>
      </c>
      <c r="M7031" s="1">
        <v>695</v>
      </c>
      <c r="N7031" s="1">
        <v>752.49</v>
      </c>
      <c r="O7031" s="1">
        <v>764.49</v>
      </c>
      <c r="P7031" s="1">
        <v>12</v>
      </c>
      <c r="Q7031" s="1" t="s">
        <v>42</v>
      </c>
      <c r="S7031" s="1" t="s">
        <v>42</v>
      </c>
      <c r="T7031" s="1" t="s">
        <v>273</v>
      </c>
      <c r="AA7031" s="1">
        <v>1225900</v>
      </c>
      <c r="AB7031" s="1" t="s">
        <v>5223</v>
      </c>
      <c r="AC7031" s="5">
        <v>44267</v>
      </c>
      <c r="AF7031" s="1">
        <v>10002</v>
      </c>
      <c r="AI7031" s="1" t="s">
        <v>66</v>
      </c>
      <c r="AJ7031" s="1">
        <v>2019</v>
      </c>
      <c r="AK7031" s="1" t="s">
        <v>49</v>
      </c>
      <c r="AL7031" s="1">
        <v>787</v>
      </c>
    </row>
    <row r="7032" spans="1:38" x14ac:dyDescent="0.2">
      <c r="A7032" s="2" t="str">
        <f>HYPERLINK("https://www.compass.com/listing/15-west-61st-street-unit-4e-manhattan-ny-10023/750022625575173513/","15 W 61st St, Unit 4E")</f>
        <v>15 W 61st St, Unit 4E</v>
      </c>
      <c r="B7032" s="2" t="str">
        <f>HYPERLINK("https://www.compass.com/building/the-park-loggia-manhattan-ny/292861833130357557/","The Park Loggia")</f>
        <v>The Park Loggia</v>
      </c>
      <c r="C7032" s="1" t="s">
        <v>57</v>
      </c>
      <c r="D7032" s="1" t="s">
        <v>41</v>
      </c>
      <c r="E7032" s="3">
        <v>1329251</v>
      </c>
      <c r="F7032" s="1">
        <v>1699.8093350383599</v>
      </c>
      <c r="G7032" s="1">
        <v>3</v>
      </c>
      <c r="H7032" s="1">
        <v>1</v>
      </c>
      <c r="I7032" s="1">
        <v>1</v>
      </c>
      <c r="J7032" s="1">
        <v>1</v>
      </c>
      <c r="K7032" s="1">
        <v>1</v>
      </c>
      <c r="M7032" s="1">
        <v>782</v>
      </c>
      <c r="N7032" s="1">
        <v>795</v>
      </c>
      <c r="O7032" s="1">
        <v>1594</v>
      </c>
      <c r="P7032" s="1">
        <v>799</v>
      </c>
      <c r="Q7032" s="1" t="s">
        <v>42</v>
      </c>
      <c r="S7032" s="1" t="s">
        <v>42</v>
      </c>
      <c r="T7032" s="1" t="s">
        <v>273</v>
      </c>
      <c r="V7032" s="5">
        <v>44287</v>
      </c>
      <c r="AA7032" s="1">
        <v>1329250.8999999999</v>
      </c>
      <c r="AB7032" s="1" t="s">
        <v>5224</v>
      </c>
      <c r="AC7032" s="5">
        <v>44277</v>
      </c>
      <c r="AF7032" s="1">
        <v>10023</v>
      </c>
      <c r="AI7032" s="1" t="s">
        <v>65</v>
      </c>
      <c r="AJ7032" s="1">
        <v>2019</v>
      </c>
      <c r="AK7032" s="1" t="s">
        <v>108</v>
      </c>
      <c r="AL7032" s="1">
        <v>172</v>
      </c>
    </row>
    <row r="7033" spans="1:38" x14ac:dyDescent="0.2">
      <c r="A7033" s="2" t="str">
        <f>HYPERLINK("https://www.compass.com/listing/138-east-50th-street-unit-21a-manhattan-ny-10022/751884560956020161/","138 E 50th St, Unit 21A")</f>
        <v>138 E 50th St, Unit 21A</v>
      </c>
      <c r="B7033" s="2" t="str">
        <f>HYPERLINK("https://www.compass.com/building/the-centrale-manhattan-ny/281941497232811621/","The Centrale")</f>
        <v>The Centrale</v>
      </c>
      <c r="C7033" s="1" t="s">
        <v>116</v>
      </c>
      <c r="D7033" s="1" t="s">
        <v>41</v>
      </c>
      <c r="E7033" s="3">
        <v>2950000</v>
      </c>
      <c r="F7033" s="1">
        <v>2040.1106500691501</v>
      </c>
      <c r="M7033" s="4">
        <v>1446</v>
      </c>
      <c r="Q7033" s="1" t="s">
        <v>42</v>
      </c>
      <c r="S7033" s="1" t="s">
        <v>42</v>
      </c>
      <c r="T7033" s="1" t="s">
        <v>273</v>
      </c>
      <c r="AA7033" s="1">
        <v>2950000</v>
      </c>
      <c r="AB7033" s="1" t="s">
        <v>5225</v>
      </c>
      <c r="AC7033" s="5">
        <v>44259</v>
      </c>
      <c r="AF7033" s="1">
        <v>10022</v>
      </c>
      <c r="AI7033" s="1" t="s">
        <v>118</v>
      </c>
      <c r="AJ7033" s="1">
        <v>2019</v>
      </c>
      <c r="AK7033" s="1" t="s">
        <v>55</v>
      </c>
      <c r="AL7033" s="1">
        <v>124</v>
      </c>
    </row>
    <row r="7034" spans="1:38" x14ac:dyDescent="0.2">
      <c r="A7034" s="2" t="str">
        <f>HYPERLINK("https://www.compass.com/listing/130-william-street-unit-19c-manhattan-ny-10038/755012668933869945/","130 William St, Unit 19C")</f>
        <v>130 William St, Unit 19C</v>
      </c>
      <c r="B7034" s="2" t="str">
        <f>HYPERLINK("https://www.compass.com/building/130-william-st-manhattan-ny-10038/282029682239486757/","130 William St")</f>
        <v>130 William St</v>
      </c>
      <c r="C7034" s="1" t="s">
        <v>96</v>
      </c>
      <c r="D7034" s="1" t="s">
        <v>41</v>
      </c>
      <c r="E7034" s="3">
        <v>2198952</v>
      </c>
      <c r="F7034" s="1">
        <v>1707.26056677018</v>
      </c>
      <c r="G7034" s="1">
        <v>4</v>
      </c>
      <c r="H7034" s="1">
        <v>2</v>
      </c>
      <c r="I7034" s="1">
        <v>2</v>
      </c>
      <c r="J7034" s="1">
        <v>2</v>
      </c>
      <c r="K7034" s="1">
        <v>2</v>
      </c>
      <c r="M7034" s="4">
        <v>1288</v>
      </c>
      <c r="N7034" s="1">
        <v>885.94</v>
      </c>
      <c r="O7034" s="1">
        <v>2602.3000000000002</v>
      </c>
      <c r="P7034" s="1">
        <v>1716.3333333333301</v>
      </c>
      <c r="Q7034" s="1" t="s">
        <v>42</v>
      </c>
      <c r="S7034" s="1" t="s">
        <v>42</v>
      </c>
      <c r="T7034" s="1" t="s">
        <v>273</v>
      </c>
      <c r="V7034" s="5">
        <v>44326</v>
      </c>
      <c r="AA7034" s="1">
        <v>2198951.61</v>
      </c>
      <c r="AB7034" s="1" t="s">
        <v>5226</v>
      </c>
      <c r="AC7034" s="5">
        <v>44288</v>
      </c>
      <c r="AF7034" s="1">
        <v>10038</v>
      </c>
      <c r="AI7034" s="1" t="s">
        <v>111</v>
      </c>
      <c r="AJ7034" s="1">
        <v>2020</v>
      </c>
      <c r="AK7034" s="1" t="s">
        <v>46</v>
      </c>
      <c r="AL7034" s="1">
        <v>244</v>
      </c>
    </row>
    <row r="7035" spans="1:38" x14ac:dyDescent="0.2">
      <c r="A7035" s="2" t="str">
        <f>HYPERLINK("https://www.compass.com/listing/111-murray-street-unit-59e-manhattan-ny-10007/755983181262665537/","111 Murray St, Unit 59E")</f>
        <v>111 Murray St, Unit 59E</v>
      </c>
      <c r="B7035" s="2" t="str">
        <f t="shared" ref="B7035:B7037" si="1109">HYPERLINK("https://www.compass.com/building/111-murray-st-manhattan-ny-10007/281896511862746053/","111 Murray St")</f>
        <v>111 Murray St</v>
      </c>
      <c r="C7035" s="1" t="s">
        <v>50</v>
      </c>
      <c r="D7035" s="1" t="s">
        <v>41</v>
      </c>
      <c r="E7035" s="3">
        <v>7500000</v>
      </c>
      <c r="F7035" s="1">
        <v>2453.3856722276701</v>
      </c>
      <c r="M7035" s="4">
        <v>3057</v>
      </c>
      <c r="Q7035" s="1" t="s">
        <v>42</v>
      </c>
      <c r="S7035" s="1" t="s">
        <v>42</v>
      </c>
      <c r="T7035" s="1" t="s">
        <v>273</v>
      </c>
      <c r="AA7035" s="1">
        <v>7500000</v>
      </c>
      <c r="AB7035" s="1" t="s">
        <v>5227</v>
      </c>
      <c r="AC7035" s="5">
        <v>44277</v>
      </c>
      <c r="AF7035" s="1">
        <v>10007</v>
      </c>
      <c r="AI7035" s="1" t="s">
        <v>80</v>
      </c>
      <c r="AJ7035" s="1">
        <v>2018</v>
      </c>
      <c r="AK7035" s="1" t="s">
        <v>49</v>
      </c>
      <c r="AL7035" s="1">
        <v>157</v>
      </c>
    </row>
    <row r="7036" spans="1:38" x14ac:dyDescent="0.2">
      <c r="A7036" s="2" t="str">
        <f>HYPERLINK("https://www.compass.com/listing/111-murray-street-unit-27w-manhattan-ny-10007/755984072502502073/","111 Murray St, Unit 27W")</f>
        <v>111 Murray St, Unit 27W</v>
      </c>
      <c r="B7036" s="2" t="str">
        <f t="shared" si="1109"/>
        <v>111 Murray St</v>
      </c>
      <c r="C7036" s="1" t="s">
        <v>50</v>
      </c>
      <c r="D7036" s="1" t="s">
        <v>41</v>
      </c>
      <c r="E7036" s="3">
        <v>6150000</v>
      </c>
      <c r="F7036" s="1">
        <v>2290.5027932960802</v>
      </c>
      <c r="M7036" s="4">
        <v>2685</v>
      </c>
      <c r="Q7036" s="1" t="s">
        <v>42</v>
      </c>
      <c r="S7036" s="1" t="s">
        <v>42</v>
      </c>
      <c r="T7036" s="1" t="s">
        <v>273</v>
      </c>
      <c r="AA7036" s="1">
        <v>6150000</v>
      </c>
      <c r="AB7036" s="1" t="s">
        <v>5228</v>
      </c>
      <c r="AC7036" s="5">
        <v>44286</v>
      </c>
      <c r="AF7036" s="1">
        <v>10007</v>
      </c>
      <c r="AI7036" s="1" t="s">
        <v>80</v>
      </c>
      <c r="AJ7036" s="1">
        <v>2018</v>
      </c>
      <c r="AK7036" s="1" t="s">
        <v>49</v>
      </c>
      <c r="AL7036" s="1">
        <v>157</v>
      </c>
    </row>
    <row r="7037" spans="1:38" x14ac:dyDescent="0.2">
      <c r="A7037" s="2" t="str">
        <f>HYPERLINK("https://www.compass.com/listing/111-murray-street-unit-10a-manhattan-ny-10007/75745791716645921/","111 Murray St, Unit 10A")</f>
        <v>111 Murray St, Unit 10A</v>
      </c>
      <c r="B7037" s="2" t="str">
        <f t="shared" si="1109"/>
        <v>111 Murray St</v>
      </c>
      <c r="C7037" s="1" t="s">
        <v>50</v>
      </c>
      <c r="D7037" s="1" t="s">
        <v>41</v>
      </c>
      <c r="E7037" s="3">
        <v>2723819</v>
      </c>
      <c r="F7037" s="1">
        <v>2419.02198046181</v>
      </c>
      <c r="M7037" s="4">
        <v>1126</v>
      </c>
      <c r="Q7037" s="1" t="s">
        <v>42</v>
      </c>
      <c r="S7037" s="1" t="s">
        <v>42</v>
      </c>
      <c r="T7037" s="1" t="s">
        <v>273</v>
      </c>
      <c r="AA7037" s="1">
        <v>2723818.75</v>
      </c>
      <c r="AB7037" s="1" t="s">
        <v>5229</v>
      </c>
      <c r="AC7037" s="5">
        <v>43340</v>
      </c>
      <c r="AF7037" s="1">
        <v>10007</v>
      </c>
      <c r="AI7037" s="1" t="s">
        <v>80</v>
      </c>
      <c r="AJ7037" s="1">
        <v>2018</v>
      </c>
      <c r="AK7037" s="1" t="s">
        <v>49</v>
      </c>
      <c r="AL7037" s="1">
        <v>157</v>
      </c>
    </row>
    <row r="7038" spans="1:38" x14ac:dyDescent="0.2">
      <c r="A7038" s="2" t="str">
        <f>HYPERLINK("https://www.compass.com/listing/160-leroy-street-unit-6b-n-manhattan-ny-10014/75755794921958449/","160 Leroy St, Unit 6B N")</f>
        <v>160 Leroy St, Unit 6B N</v>
      </c>
      <c r="B7038" s="2" t="str">
        <f>HYPERLINK("https://www.compass.com/building/160-leroy-st-manhattan-ny-10014/293418469918017093/","160 Leroy St")</f>
        <v>160 Leroy St</v>
      </c>
      <c r="C7038" s="1" t="s">
        <v>67</v>
      </c>
      <c r="D7038" s="1" t="s">
        <v>41</v>
      </c>
      <c r="E7038" s="3">
        <v>5250000</v>
      </c>
      <c r="F7038" s="1">
        <v>2998.2866933180999</v>
      </c>
      <c r="M7038" s="4">
        <v>1751</v>
      </c>
      <c r="Q7038" s="1" t="s">
        <v>42</v>
      </c>
      <c r="S7038" s="1" t="s">
        <v>42</v>
      </c>
      <c r="T7038" s="1" t="s">
        <v>273</v>
      </c>
      <c r="AA7038" s="1">
        <v>5250000</v>
      </c>
      <c r="AB7038" s="1" t="s">
        <v>5230</v>
      </c>
      <c r="AC7038" s="5">
        <v>43350</v>
      </c>
      <c r="AF7038" s="1">
        <v>10014</v>
      </c>
      <c r="AI7038" s="1" t="s">
        <v>65</v>
      </c>
      <c r="AJ7038" s="1">
        <v>2017</v>
      </c>
      <c r="AK7038" s="1" t="s">
        <v>202</v>
      </c>
      <c r="AL7038" s="1">
        <v>57</v>
      </c>
    </row>
    <row r="7039" spans="1:38" x14ac:dyDescent="0.2">
      <c r="A7039" s="2" t="str">
        <f>HYPERLINK("https://www.compass.com/listing/15-west-61st-street-unit-5e-manhattan-ny-10023/761297089786079865/","15 W 61st St, Unit 5E")</f>
        <v>15 W 61st St, Unit 5E</v>
      </c>
      <c r="B7039" s="2" t="str">
        <f>HYPERLINK("https://www.compass.com/building/the-park-loggia-manhattan-ny/292861833130357557/","The Park Loggia")</f>
        <v>The Park Loggia</v>
      </c>
      <c r="C7039" s="1" t="s">
        <v>57</v>
      </c>
      <c r="D7039" s="1" t="s">
        <v>41</v>
      </c>
      <c r="E7039" s="3">
        <v>930290</v>
      </c>
      <c r="F7039" s="1">
        <v>1879.3735353535301</v>
      </c>
      <c r="M7039" s="1">
        <v>495</v>
      </c>
      <c r="Q7039" s="1" t="s">
        <v>42</v>
      </c>
      <c r="S7039" s="1" t="s">
        <v>42</v>
      </c>
      <c r="T7039" s="1" t="s">
        <v>273</v>
      </c>
      <c r="AA7039" s="1">
        <v>930289.9</v>
      </c>
      <c r="AB7039" s="1" t="s">
        <v>5231</v>
      </c>
      <c r="AC7039" s="5">
        <v>44286</v>
      </c>
      <c r="AF7039" s="1">
        <v>10023</v>
      </c>
      <c r="AI7039" s="1" t="s">
        <v>65</v>
      </c>
      <c r="AJ7039" s="1">
        <v>2019</v>
      </c>
      <c r="AK7039" s="1" t="s">
        <v>55</v>
      </c>
      <c r="AL7039" s="1">
        <v>172</v>
      </c>
    </row>
    <row r="7040" spans="1:38" x14ac:dyDescent="0.2">
      <c r="A7040" s="2" t="str">
        <f>HYPERLINK("https://www.compass.com/listing/111-murray-street-unit-22w-manhattan-ny-10007/762045614900851953/","111 Murray St, Unit 22W")</f>
        <v>111 Murray St, Unit 22W</v>
      </c>
      <c r="B7040" s="2" t="str">
        <f>HYPERLINK("https://www.compass.com/building/111-murray-st-manhattan-ny-10007/281896511862746053/","111 Murray St")</f>
        <v>111 Murray St</v>
      </c>
      <c r="C7040" s="1" t="s">
        <v>50</v>
      </c>
      <c r="D7040" s="1" t="s">
        <v>41</v>
      </c>
      <c r="E7040" s="3">
        <v>5800000</v>
      </c>
      <c r="F7040" s="1">
        <v>2160.1489757914301</v>
      </c>
      <c r="M7040" s="4">
        <v>2685</v>
      </c>
      <c r="Q7040" s="1" t="s">
        <v>42</v>
      </c>
      <c r="S7040" s="1" t="s">
        <v>42</v>
      </c>
      <c r="T7040" s="1" t="s">
        <v>273</v>
      </c>
      <c r="AA7040" s="1">
        <v>5800000</v>
      </c>
      <c r="AB7040" s="1" t="s">
        <v>5232</v>
      </c>
      <c r="AC7040" s="5">
        <v>44279</v>
      </c>
      <c r="AF7040" s="1">
        <v>10007</v>
      </c>
      <c r="AI7040" s="1" t="s">
        <v>80</v>
      </c>
      <c r="AJ7040" s="1">
        <v>2018</v>
      </c>
      <c r="AK7040" s="1" t="s">
        <v>49</v>
      </c>
      <c r="AL7040" s="1">
        <v>157</v>
      </c>
    </row>
    <row r="7041" spans="1:38" x14ac:dyDescent="0.2">
      <c r="A7041" s="2" t="str">
        <f>HYPERLINK("https://www.compass.com/listing/277-5th-avenue-unit-26c-manhattan-ny-10016/762046051931227497/","277 5th Ave, Unit 26C")</f>
        <v>277 5th Ave, Unit 26C</v>
      </c>
      <c r="B7041" s="2" t="str">
        <f>HYPERLINK("https://www.compass.com/building/277-fifth-avenue-manhattan-ny/281939285475645317/","277 FIFTH AVENUE")</f>
        <v>277 FIFTH AVENUE</v>
      </c>
      <c r="C7041" s="1" t="s">
        <v>40</v>
      </c>
      <c r="D7041" s="1" t="s">
        <v>41</v>
      </c>
      <c r="E7041" s="3">
        <v>1796300</v>
      </c>
      <c r="F7041" s="1">
        <v>2169.4444444444398</v>
      </c>
      <c r="M7041" s="1">
        <v>828</v>
      </c>
      <c r="Q7041" s="1" t="s">
        <v>42</v>
      </c>
      <c r="S7041" s="1" t="s">
        <v>42</v>
      </c>
      <c r="T7041" s="1" t="s">
        <v>273</v>
      </c>
      <c r="AA7041" s="1">
        <v>1796300</v>
      </c>
      <c r="AB7041" s="1" t="s">
        <v>5233</v>
      </c>
      <c r="AC7041" s="5">
        <v>44286</v>
      </c>
      <c r="AF7041" s="1">
        <v>10016</v>
      </c>
      <c r="AI7041" s="1" t="s">
        <v>118</v>
      </c>
      <c r="AJ7041" s="1">
        <v>2019</v>
      </c>
      <c r="AK7041" s="1" t="s">
        <v>49</v>
      </c>
      <c r="AL7041" s="1">
        <v>130</v>
      </c>
    </row>
    <row r="7042" spans="1:38" x14ac:dyDescent="0.2">
      <c r="A7042" s="2" t="str">
        <f>HYPERLINK("https://www.compass.com/listing/111-murray-street-unit-19b-manhattan-ny-10007/76470124906833393/","111 Murray St, Unit 19B")</f>
        <v>111 Murray St, Unit 19B</v>
      </c>
      <c r="B7042" s="2" t="str">
        <f>HYPERLINK("https://www.compass.com/building/111-murray-st-manhattan-ny-10007/281896511862746053/","111 Murray St")</f>
        <v>111 Murray St</v>
      </c>
      <c r="C7042" s="1" t="s">
        <v>50</v>
      </c>
      <c r="D7042" s="1" t="s">
        <v>41</v>
      </c>
      <c r="E7042" s="3">
        <v>4312289</v>
      </c>
      <c r="F7042" s="1">
        <v>2727.5703668564202</v>
      </c>
      <c r="M7042" s="4">
        <v>1581</v>
      </c>
      <c r="Q7042" s="1" t="s">
        <v>42</v>
      </c>
      <c r="S7042" s="1" t="s">
        <v>42</v>
      </c>
      <c r="T7042" s="1" t="s">
        <v>273</v>
      </c>
      <c r="AA7042" s="1">
        <v>4312288.75</v>
      </c>
      <c r="AB7042" s="1" t="s">
        <v>5234</v>
      </c>
      <c r="AC7042" s="5">
        <v>43342</v>
      </c>
      <c r="AF7042" s="1">
        <v>10007</v>
      </c>
      <c r="AI7042" s="1" t="s">
        <v>80</v>
      </c>
      <c r="AJ7042" s="1">
        <v>2018</v>
      </c>
      <c r="AK7042" s="1" t="s">
        <v>49</v>
      </c>
      <c r="AL7042" s="1">
        <v>157</v>
      </c>
    </row>
    <row r="7043" spans="1:38" x14ac:dyDescent="0.2">
      <c r="A7043" s="2" t="str">
        <f>HYPERLINK("https://www.compass.com/listing/15-west-61st-street-unit-4f-manhattan-ny-10023/765647688698026585/","15 W 61st St, Unit 4F")</f>
        <v>15 W 61st St, Unit 4F</v>
      </c>
      <c r="B7043" s="2" t="str">
        <f>HYPERLINK("https://www.compass.com/building/the-park-loggia-manhattan-ny/292861833130357557/","The Park Loggia")</f>
        <v>The Park Loggia</v>
      </c>
      <c r="C7043" s="1" t="s">
        <v>57</v>
      </c>
      <c r="D7043" s="1" t="s">
        <v>41</v>
      </c>
      <c r="E7043" s="3">
        <v>921308</v>
      </c>
      <c r="F7043" s="1">
        <v>1861.2290505050501</v>
      </c>
      <c r="M7043" s="1">
        <v>495</v>
      </c>
      <c r="Q7043" s="1" t="s">
        <v>42</v>
      </c>
      <c r="S7043" s="1" t="s">
        <v>42</v>
      </c>
      <c r="T7043" s="1" t="s">
        <v>273</v>
      </c>
      <c r="AA7043" s="1">
        <v>921308.38</v>
      </c>
      <c r="AB7043" s="1" t="s">
        <v>5235</v>
      </c>
      <c r="AC7043" s="5">
        <v>44286</v>
      </c>
      <c r="AF7043" s="1">
        <v>10023</v>
      </c>
      <c r="AI7043" s="1" t="s">
        <v>65</v>
      </c>
      <c r="AJ7043" s="1">
        <v>2019</v>
      </c>
      <c r="AK7043" s="1" t="s">
        <v>55</v>
      </c>
      <c r="AL7043" s="1">
        <v>172</v>
      </c>
    </row>
    <row r="7044" spans="1:38" x14ac:dyDescent="0.2">
      <c r="A7044" s="2" t="str">
        <f>HYPERLINK("https://www.compass.com/listing/70-charlton-street-unit-s8-manhattan-ny-10014/767103098257470809/","70 Charlton St, Unit S8")</f>
        <v>70 Charlton St, Unit S8</v>
      </c>
      <c r="B7044" s="2" t="str">
        <f>HYPERLINK("https://www.compass.com/building/70-charlton-street-manhattan-ny/292835639240484293/","70 Charlton Street")</f>
        <v>70 Charlton Street</v>
      </c>
      <c r="C7044" s="1" t="s">
        <v>53</v>
      </c>
      <c r="D7044" s="1" t="s">
        <v>41</v>
      </c>
      <c r="E7044" s="3">
        <v>7208119</v>
      </c>
      <c r="Q7044" s="1" t="s">
        <v>271</v>
      </c>
      <c r="S7044" s="1" t="s">
        <v>271</v>
      </c>
      <c r="T7044" s="1" t="s">
        <v>273</v>
      </c>
      <c r="AA7044" s="1">
        <v>7208118.75</v>
      </c>
      <c r="AB7044" s="1" t="s">
        <v>5236</v>
      </c>
      <c r="AC7044" s="5">
        <v>43388</v>
      </c>
      <c r="AF7044" s="1">
        <v>10014</v>
      </c>
      <c r="AI7044" s="1" t="s">
        <v>80</v>
      </c>
      <c r="AJ7044" s="1">
        <v>2016</v>
      </c>
      <c r="AK7044" s="1" t="s">
        <v>49</v>
      </c>
      <c r="AL7044" s="1">
        <v>92</v>
      </c>
    </row>
    <row r="7045" spans="1:38" x14ac:dyDescent="0.2">
      <c r="A7045" s="2" t="str">
        <f>HYPERLINK("https://www.compass.com/listing/111-murray-street-unit-20w-manhattan-ny-10007/77195941186192977/","111 Murray St, Unit 20W")</f>
        <v>111 Murray St, Unit 20W</v>
      </c>
      <c r="B7045" s="2" t="str">
        <f t="shared" ref="B7045:B7047" si="1110">HYPERLINK("https://www.compass.com/building/111-murray-st-manhattan-ny-10007/281896511862746053/","111 Murray St")</f>
        <v>111 Murray St</v>
      </c>
      <c r="C7045" s="1" t="s">
        <v>50</v>
      </c>
      <c r="D7045" s="1" t="s">
        <v>41</v>
      </c>
      <c r="E7045" s="3">
        <v>7218000</v>
      </c>
      <c r="F7045" s="1">
        <v>2688.26815642458</v>
      </c>
      <c r="M7045" s="4">
        <v>2685</v>
      </c>
      <c r="Q7045" s="1" t="s">
        <v>42</v>
      </c>
      <c r="S7045" s="1" t="s">
        <v>42</v>
      </c>
      <c r="T7045" s="1" t="s">
        <v>273</v>
      </c>
      <c r="AA7045" s="1">
        <v>7218000</v>
      </c>
      <c r="AB7045" s="1" t="s">
        <v>5237</v>
      </c>
      <c r="AC7045" s="5">
        <v>43343</v>
      </c>
      <c r="AF7045" s="1">
        <v>10007</v>
      </c>
      <c r="AI7045" s="1" t="s">
        <v>80</v>
      </c>
      <c r="AJ7045" s="1">
        <v>2018</v>
      </c>
      <c r="AK7045" s="1" t="s">
        <v>49</v>
      </c>
      <c r="AL7045" s="1">
        <v>157</v>
      </c>
    </row>
    <row r="7046" spans="1:38" x14ac:dyDescent="0.2">
      <c r="A7046" s="2" t="str">
        <f>HYPERLINK("https://www.compass.com/listing/111-murray-street-unit-61e-manhattan-ny-10007/775804244445801609/","111 Murray St, Unit 61E")</f>
        <v>111 Murray St, Unit 61E</v>
      </c>
      <c r="B7046" s="2" t="str">
        <f t="shared" si="1110"/>
        <v>111 Murray St</v>
      </c>
      <c r="C7046" s="1" t="s">
        <v>50</v>
      </c>
      <c r="D7046" s="1" t="s">
        <v>41</v>
      </c>
      <c r="E7046" s="3">
        <v>7800000</v>
      </c>
      <c r="F7046" s="1">
        <v>2439.7873005943002</v>
      </c>
      <c r="M7046" s="4">
        <v>3197</v>
      </c>
      <c r="Q7046" s="1" t="s">
        <v>42</v>
      </c>
      <c r="S7046" s="1" t="s">
        <v>42</v>
      </c>
      <c r="T7046" s="1" t="s">
        <v>273</v>
      </c>
      <c r="AA7046" s="1">
        <v>7800000</v>
      </c>
      <c r="AB7046" s="1" t="s">
        <v>5238</v>
      </c>
      <c r="AC7046" s="5">
        <v>44306</v>
      </c>
      <c r="AF7046" s="1">
        <v>10007</v>
      </c>
      <c r="AI7046" s="1" t="s">
        <v>80</v>
      </c>
      <c r="AJ7046" s="1">
        <v>2018</v>
      </c>
      <c r="AK7046" s="1" t="s">
        <v>49</v>
      </c>
      <c r="AL7046" s="1">
        <v>157</v>
      </c>
    </row>
    <row r="7047" spans="1:38" x14ac:dyDescent="0.2">
      <c r="A7047" s="2" t="str">
        <f>HYPERLINK("https://www.compass.com/listing/111-murray-street-unit-53e-manhattan-ny-10007/777259822167505897/","111 Murray St, Unit 53E")</f>
        <v>111 Murray St, Unit 53E</v>
      </c>
      <c r="B7047" s="2" t="str">
        <f t="shared" si="1110"/>
        <v>111 Murray St</v>
      </c>
      <c r="C7047" s="1" t="s">
        <v>50</v>
      </c>
      <c r="D7047" s="1" t="s">
        <v>41</v>
      </c>
      <c r="E7047" s="3">
        <v>7400000</v>
      </c>
      <c r="F7047" s="1">
        <v>2436.6150806717101</v>
      </c>
      <c r="M7047" s="4">
        <v>3037</v>
      </c>
      <c r="Q7047" s="1" t="s">
        <v>42</v>
      </c>
      <c r="S7047" s="1" t="s">
        <v>42</v>
      </c>
      <c r="T7047" s="1" t="s">
        <v>273</v>
      </c>
      <c r="AA7047" s="1">
        <v>7400000</v>
      </c>
      <c r="AB7047" s="1" t="s">
        <v>5239</v>
      </c>
      <c r="AC7047" s="5">
        <v>44312</v>
      </c>
      <c r="AF7047" s="1">
        <v>10007</v>
      </c>
      <c r="AI7047" s="1" t="s">
        <v>80</v>
      </c>
      <c r="AJ7047" s="1">
        <v>2018</v>
      </c>
      <c r="AK7047" s="1" t="s">
        <v>49</v>
      </c>
      <c r="AL7047" s="1">
        <v>157</v>
      </c>
    </row>
    <row r="7048" spans="1:38" x14ac:dyDescent="0.2">
      <c r="A7048" s="2" t="str">
        <f>HYPERLINK("https://www.compass.com/listing/121-east-22nd-street-unit-n702-manhattan-ny-10010/779422544095591081/","121 E 22nd St, Unit N702")</f>
        <v>121 E 22nd St, Unit N702</v>
      </c>
      <c r="B7048" s="2" t="str">
        <f>HYPERLINK("https://www.compass.com/building/121-e-22nd-manhattan-ny/292795784653461493/","121 E 22nd")</f>
        <v>121 E 22nd</v>
      </c>
      <c r="C7048" s="1" t="s">
        <v>64</v>
      </c>
      <c r="D7048" s="1" t="s">
        <v>41</v>
      </c>
      <c r="E7048" s="3">
        <v>2990000</v>
      </c>
      <c r="F7048" s="1">
        <v>1786.1409796893599</v>
      </c>
      <c r="M7048" s="4">
        <v>1674</v>
      </c>
      <c r="Q7048" s="1" t="s">
        <v>42</v>
      </c>
      <c r="S7048" s="1" t="s">
        <v>42</v>
      </c>
      <c r="T7048" s="1" t="s">
        <v>273</v>
      </c>
      <c r="AA7048" s="1">
        <v>2990000</v>
      </c>
      <c r="AB7048" s="1" t="s">
        <v>5240</v>
      </c>
      <c r="AC7048" s="5">
        <v>44306</v>
      </c>
      <c r="AF7048" s="1">
        <v>10010</v>
      </c>
      <c r="AI7048" s="1" t="s">
        <v>66</v>
      </c>
      <c r="AJ7048" s="1">
        <v>2016</v>
      </c>
      <c r="AK7048" s="1" t="s">
        <v>55</v>
      </c>
      <c r="AL7048" s="1">
        <v>140</v>
      </c>
    </row>
    <row r="7049" spans="1:38" x14ac:dyDescent="0.2">
      <c r="A7049" s="2" t="str">
        <f>HYPERLINK("https://www.compass.com/listing/217-west-57th-street-unit-48c-manhattan-ny-10019/779422548159602177/","217 W 57th St, Unit 48C")</f>
        <v>217 W 57th St, Unit 48C</v>
      </c>
      <c r="B7049" s="2" t="str">
        <f>HYPERLINK("https://www.compass.com/building/central-park-tower-manhattan-ny/292845475244082085/","Central Park Tower")</f>
        <v>Central Park Tower</v>
      </c>
      <c r="C7049" s="1" t="s">
        <v>139</v>
      </c>
      <c r="D7049" s="1" t="s">
        <v>41</v>
      </c>
      <c r="E7049" s="3">
        <v>15315500</v>
      </c>
      <c r="Q7049" s="1" t="s">
        <v>42</v>
      </c>
      <c r="S7049" s="1" t="s">
        <v>42</v>
      </c>
      <c r="T7049" s="1" t="s">
        <v>273</v>
      </c>
      <c r="AA7049" s="1">
        <v>15315500</v>
      </c>
      <c r="AB7049" s="1" t="s">
        <v>5241</v>
      </c>
      <c r="AC7049" s="5">
        <v>44306</v>
      </c>
      <c r="AF7049" s="1">
        <v>10019</v>
      </c>
      <c r="AI7049" s="1" t="s">
        <v>101</v>
      </c>
      <c r="AJ7049" s="1">
        <v>2020</v>
      </c>
      <c r="AL7049" s="1">
        <v>179</v>
      </c>
    </row>
    <row r="7050" spans="1:38" x14ac:dyDescent="0.2">
      <c r="A7050" s="2" t="str">
        <f>HYPERLINK("https://www.compass.com/listing/15-west-61st-street-unit-6e-manhattan-ny-10023/780885221533079689/","15 W 61st St, Unit 6E")</f>
        <v>15 W 61st St, Unit 6E</v>
      </c>
      <c r="B7050" s="2" t="str">
        <f>HYPERLINK("https://www.compass.com/building/the-park-loggia-manhattan-ny/292861833130357557/","The Park Loggia")</f>
        <v>The Park Loggia</v>
      </c>
      <c r="C7050" s="1" t="s">
        <v>57</v>
      </c>
      <c r="D7050" s="1" t="s">
        <v>41</v>
      </c>
      <c r="E7050" s="3">
        <v>1390000</v>
      </c>
      <c r="F7050" s="1">
        <v>1777.4936061380999</v>
      </c>
      <c r="M7050" s="1">
        <v>782</v>
      </c>
      <c r="Q7050" s="1" t="s">
        <v>42</v>
      </c>
      <c r="S7050" s="1" t="s">
        <v>42</v>
      </c>
      <c r="T7050" s="1" t="s">
        <v>273</v>
      </c>
      <c r="AA7050" s="1">
        <v>1390000</v>
      </c>
      <c r="AB7050" s="1" t="s">
        <v>5242</v>
      </c>
      <c r="AC7050" s="5">
        <v>44308</v>
      </c>
      <c r="AF7050" s="1">
        <v>10023</v>
      </c>
      <c r="AI7050" s="1" t="s">
        <v>65</v>
      </c>
      <c r="AJ7050" s="1">
        <v>2019</v>
      </c>
      <c r="AK7050" s="1" t="s">
        <v>55</v>
      </c>
      <c r="AL7050" s="1">
        <v>172</v>
      </c>
    </row>
    <row r="7051" spans="1:38" x14ac:dyDescent="0.2">
      <c r="A7051" s="2" t="str">
        <f>HYPERLINK("https://www.compass.com/listing/325-lexington-avenue-unit-8b-manhattan-ny-10016/783011007042248177/","325 Lexington Ave, Unit 8B")</f>
        <v>325 Lexington Ave, Unit 8B</v>
      </c>
      <c r="B7051" s="2" t="str">
        <f>HYPERLINK("https://www.compass.com/building/325-lex-condominium-manhattan-ny/281939882467713365/","325 Lex Condominium")</f>
        <v>325 Lex Condominium</v>
      </c>
      <c r="C7051" s="1" t="s">
        <v>59</v>
      </c>
      <c r="D7051" s="1" t="s">
        <v>41</v>
      </c>
      <c r="E7051" s="3">
        <v>799326</v>
      </c>
      <c r="F7051" s="1">
        <v>1601.8562124248399</v>
      </c>
      <c r="G7051" s="1">
        <v>2</v>
      </c>
      <c r="H7051" s="1" t="s">
        <v>99</v>
      </c>
      <c r="I7051" s="1">
        <v>1</v>
      </c>
      <c r="J7051" s="1">
        <v>1</v>
      </c>
      <c r="K7051" s="1">
        <v>1</v>
      </c>
      <c r="M7051" s="1">
        <v>499</v>
      </c>
      <c r="N7051" s="1">
        <v>679</v>
      </c>
      <c r="O7051" s="1">
        <v>827</v>
      </c>
      <c r="P7051" s="1">
        <v>148</v>
      </c>
      <c r="Q7051" s="1" t="s">
        <v>42</v>
      </c>
      <c r="S7051" s="1" t="s">
        <v>42</v>
      </c>
      <c r="T7051" s="1" t="s">
        <v>273</v>
      </c>
      <c r="U7051" s="1">
        <v>97</v>
      </c>
      <c r="V7051" s="5">
        <v>42574</v>
      </c>
      <c r="W7051" s="5">
        <v>41947</v>
      </c>
      <c r="X7051" s="1">
        <v>785000</v>
      </c>
      <c r="Y7051" s="1">
        <v>785000</v>
      </c>
      <c r="AA7051" s="1">
        <v>799326.25</v>
      </c>
      <c r="AB7051" s="1" t="s">
        <v>5243</v>
      </c>
      <c r="AC7051" s="5">
        <v>42044</v>
      </c>
      <c r="AF7051" s="1">
        <v>10016</v>
      </c>
      <c r="AI7051" s="1" t="s">
        <v>60</v>
      </c>
      <c r="AJ7051" s="1">
        <v>2014</v>
      </c>
      <c r="AK7051" s="1" t="s">
        <v>108</v>
      </c>
      <c r="AL7051" s="1">
        <v>125</v>
      </c>
    </row>
    <row r="7052" spans="1:38" x14ac:dyDescent="0.2">
      <c r="A7052" s="2" t="str">
        <f>HYPERLINK("https://www.compass.com/listing/196-orchard-street-unit-4a-manhattan-ny-10002/783966786066523617/","196 Orchard St, Unit 4A")</f>
        <v>196 Orchard St, Unit 4A</v>
      </c>
      <c r="B7052" s="2" t="str">
        <f>HYPERLINK("https://www.compass.com/building/196-orchard-st-manhattan-ny-10002/281886194713760485/","196 Orchard St")</f>
        <v>196 Orchard St</v>
      </c>
      <c r="C7052" s="1" t="s">
        <v>47</v>
      </c>
      <c r="D7052" s="1" t="s">
        <v>41</v>
      </c>
      <c r="E7052" s="3">
        <v>1210000</v>
      </c>
      <c r="F7052" s="1">
        <v>1472.0194647201899</v>
      </c>
      <c r="H7052" s="1">
        <v>1</v>
      </c>
      <c r="J7052" s="1">
        <v>1</v>
      </c>
      <c r="K7052" s="1">
        <v>1</v>
      </c>
      <c r="M7052" s="1">
        <v>822</v>
      </c>
      <c r="Q7052" s="1" t="s">
        <v>42</v>
      </c>
      <c r="S7052" s="1" t="s">
        <v>42</v>
      </c>
      <c r="T7052" s="1" t="s">
        <v>273</v>
      </c>
      <c r="AA7052" s="1">
        <v>1210000</v>
      </c>
      <c r="AB7052" s="1" t="s">
        <v>5244</v>
      </c>
      <c r="AC7052" s="5">
        <v>43935</v>
      </c>
      <c r="AF7052" s="1">
        <v>10002</v>
      </c>
      <c r="AI7052" s="1" t="s">
        <v>165</v>
      </c>
      <c r="AJ7052" s="1">
        <v>2018</v>
      </c>
      <c r="AK7052" s="1" t="s">
        <v>202</v>
      </c>
      <c r="AL7052" s="1">
        <v>89</v>
      </c>
    </row>
    <row r="7053" spans="1:38" x14ac:dyDescent="0.2">
      <c r="A7053" s="2" t="str">
        <f>HYPERLINK("https://www.compass.com/listing/217-west-57th-street-unit-34a-manhattan-ny-10019/787406983050670441/","217 W 57th St, Unit 34A")</f>
        <v>217 W 57th St, Unit 34A</v>
      </c>
      <c r="B7053" s="2" t="str">
        <f>HYPERLINK("https://www.compass.com/building/central-park-tower-manhattan-ny/292845475244082085/","Central Park Tower")</f>
        <v>Central Park Tower</v>
      </c>
      <c r="C7053" s="1" t="s">
        <v>139</v>
      </c>
      <c r="D7053" s="1" t="s">
        <v>41</v>
      </c>
      <c r="E7053" s="3">
        <v>8833738</v>
      </c>
      <c r="Q7053" s="1" t="s">
        <v>42</v>
      </c>
      <c r="S7053" s="1" t="s">
        <v>42</v>
      </c>
      <c r="T7053" s="1" t="s">
        <v>273</v>
      </c>
      <c r="AA7053" s="1">
        <v>8833737.5</v>
      </c>
      <c r="AB7053" s="1" t="s">
        <v>5245</v>
      </c>
      <c r="AC7053" s="5">
        <v>44323</v>
      </c>
      <c r="AF7053" s="1">
        <v>10019</v>
      </c>
      <c r="AI7053" s="1" t="s">
        <v>101</v>
      </c>
      <c r="AJ7053" s="1">
        <v>2020</v>
      </c>
      <c r="AL7053" s="1">
        <v>179</v>
      </c>
    </row>
    <row r="7054" spans="1:38" x14ac:dyDescent="0.2">
      <c r="A7054" s="2" t="str">
        <f>HYPERLINK("https://www.compass.com/listing/111-murray-street-unit-60e-manhattan-ny-10007/790405473642728817/","111 Murray St, Unit 60E")</f>
        <v>111 Murray St, Unit 60E</v>
      </c>
      <c r="B7054" s="2" t="str">
        <f>HYPERLINK("https://www.compass.com/building/111-murray-st-manhattan-ny-10007/281896511862746053/","111 Murray St")</f>
        <v>111 Murray St</v>
      </c>
      <c r="C7054" s="1" t="s">
        <v>50</v>
      </c>
      <c r="D7054" s="1" t="s">
        <v>41</v>
      </c>
      <c r="E7054" s="3">
        <v>7675000</v>
      </c>
      <c r="F7054" s="1">
        <v>2456.7861715749</v>
      </c>
      <c r="M7054" s="4">
        <v>3124</v>
      </c>
      <c r="Q7054" s="1" t="s">
        <v>42</v>
      </c>
      <c r="S7054" s="1" t="s">
        <v>42</v>
      </c>
      <c r="T7054" s="1" t="s">
        <v>273</v>
      </c>
      <c r="AA7054" s="1">
        <v>7675000</v>
      </c>
      <c r="AB7054" s="1" t="s">
        <v>5246</v>
      </c>
      <c r="AC7054" s="5">
        <v>44179</v>
      </c>
      <c r="AF7054" s="1">
        <v>10007</v>
      </c>
      <c r="AI7054" s="1" t="s">
        <v>80</v>
      </c>
      <c r="AJ7054" s="1">
        <v>2018</v>
      </c>
      <c r="AK7054" s="1" t="s">
        <v>49</v>
      </c>
      <c r="AL7054" s="1">
        <v>157</v>
      </c>
    </row>
    <row r="7055" spans="1:38" x14ac:dyDescent="0.2">
      <c r="A7055" s="2" t="str">
        <f>HYPERLINK("https://www.compass.com/listing/217-west-57th-street-unit-56n-manhattan-ny-10019/791024902239862081/","217 W 57th St, Unit 56N")</f>
        <v>217 W 57th St, Unit 56N</v>
      </c>
      <c r="B7055" s="2" t="str">
        <f>HYPERLINK("https://www.compass.com/building/central-park-tower-manhattan-ny/292845475244082085/","Central Park Tower")</f>
        <v>Central Park Tower</v>
      </c>
      <c r="C7055" s="1" t="s">
        <v>139</v>
      </c>
      <c r="D7055" s="1" t="s">
        <v>41</v>
      </c>
      <c r="E7055" s="3">
        <v>8420086</v>
      </c>
      <c r="Q7055" s="1" t="s">
        <v>42</v>
      </c>
      <c r="S7055" s="1" t="s">
        <v>42</v>
      </c>
      <c r="T7055" s="1" t="s">
        <v>273</v>
      </c>
      <c r="AA7055" s="1">
        <v>8420086.25</v>
      </c>
      <c r="AB7055" s="1" t="s">
        <v>5247</v>
      </c>
      <c r="AC7055" s="5">
        <v>44323</v>
      </c>
      <c r="AF7055" s="1">
        <v>10019</v>
      </c>
      <c r="AI7055" s="1" t="s">
        <v>101</v>
      </c>
      <c r="AJ7055" s="1">
        <v>2020</v>
      </c>
      <c r="AL7055" s="1">
        <v>179</v>
      </c>
    </row>
    <row r="7056" spans="1:38" x14ac:dyDescent="0.2">
      <c r="A7056" s="2" t="str">
        <f>HYPERLINK("https://www.compass.com/listing/111-murray-street-unit-55e-manhattan-ny-10007/791024940663467121/","111 Murray St, Unit 55E")</f>
        <v>111 Murray St, Unit 55E</v>
      </c>
      <c r="B7056" s="2" t="str">
        <f>HYPERLINK("https://www.compass.com/building/111-murray-st-manhattan-ny-10007/281896511862746053/","111 Murray St")</f>
        <v>111 Murray St</v>
      </c>
      <c r="C7056" s="1" t="s">
        <v>50</v>
      </c>
      <c r="D7056" s="1" t="s">
        <v>41</v>
      </c>
      <c r="E7056" s="3">
        <v>8125000</v>
      </c>
      <c r="F7056" s="1">
        <v>2599.1682661548298</v>
      </c>
      <c r="M7056" s="4">
        <v>3126</v>
      </c>
      <c r="Q7056" s="1" t="s">
        <v>42</v>
      </c>
      <c r="S7056" s="1" t="s">
        <v>42</v>
      </c>
      <c r="T7056" s="1" t="s">
        <v>273</v>
      </c>
      <c r="AA7056" s="1">
        <v>8125000</v>
      </c>
      <c r="AB7056" s="1" t="s">
        <v>5248</v>
      </c>
      <c r="AC7056" s="5">
        <v>44329</v>
      </c>
      <c r="AF7056" s="1">
        <v>10007</v>
      </c>
      <c r="AI7056" s="1" t="s">
        <v>80</v>
      </c>
      <c r="AJ7056" s="1">
        <v>2018</v>
      </c>
      <c r="AK7056" s="1" t="s">
        <v>49</v>
      </c>
      <c r="AL7056" s="1">
        <v>157</v>
      </c>
    </row>
    <row r="7057" spans="1:38" x14ac:dyDescent="0.2">
      <c r="A7057" s="2" t="str">
        <f>HYPERLINK("https://www.compass.com/listing/252-south-street-unit-43g-manhattan-ny-10002/791024942903583209/","252 South St, Unit 43G")</f>
        <v>252 South St, Unit 43G</v>
      </c>
      <c r="B7057" s="2" t="str">
        <f>HYPERLINK("https://www.compass.com/building/one-manhattan-square-manhattan-ny/294844950218926165/","One Manhattan Square")</f>
        <v>One Manhattan Square</v>
      </c>
      <c r="C7057" s="1" t="s">
        <v>47</v>
      </c>
      <c r="D7057" s="1" t="s">
        <v>41</v>
      </c>
      <c r="E7057" s="3">
        <v>2335793</v>
      </c>
      <c r="F7057" s="1">
        <v>2020.5817474048399</v>
      </c>
      <c r="M7057" s="4">
        <v>1156</v>
      </c>
      <c r="Q7057" s="1" t="s">
        <v>42</v>
      </c>
      <c r="S7057" s="1" t="s">
        <v>42</v>
      </c>
      <c r="T7057" s="1" t="s">
        <v>273</v>
      </c>
      <c r="AA7057" s="1">
        <v>2335792.5</v>
      </c>
      <c r="AB7057" s="1" t="s">
        <v>5249</v>
      </c>
      <c r="AC7057" s="5">
        <v>44323</v>
      </c>
      <c r="AF7057" s="1">
        <v>10002</v>
      </c>
      <c r="AI7057" s="1" t="s">
        <v>66</v>
      </c>
      <c r="AJ7057" s="1">
        <v>2019</v>
      </c>
      <c r="AK7057" s="1" t="s">
        <v>49</v>
      </c>
      <c r="AL7057" s="1">
        <v>787</v>
      </c>
    </row>
    <row r="7058" spans="1:38" x14ac:dyDescent="0.2">
      <c r="A7058" s="2" t="str">
        <f>HYPERLINK("https://www.compass.com/listing/220-central-park-south-unit-29b-manhattan-ny-10019/791750113873227721/","220 Central Park S, Unit 29B")</f>
        <v>220 Central Park S, Unit 29B</v>
      </c>
      <c r="B7058" s="2" t="str">
        <f>HYPERLINK("https://www.compass.com/building/220-central-park-south-manhattan-ny/281944232648828453/","220 Central Park South")</f>
        <v>220 Central Park South</v>
      </c>
      <c r="C7058" s="1" t="s">
        <v>260</v>
      </c>
      <c r="D7058" s="1" t="s">
        <v>41</v>
      </c>
      <c r="E7058" s="3">
        <v>16076813</v>
      </c>
      <c r="F7058" s="1">
        <v>6548.5997963340096</v>
      </c>
      <c r="M7058" s="4">
        <v>2455</v>
      </c>
      <c r="Q7058" s="1" t="s">
        <v>42</v>
      </c>
      <c r="S7058" s="1" t="s">
        <v>42</v>
      </c>
      <c r="T7058" s="1" t="s">
        <v>273</v>
      </c>
      <c r="AA7058" s="1">
        <v>16076812.5</v>
      </c>
      <c r="AB7058" s="1" t="s">
        <v>5250</v>
      </c>
      <c r="AC7058" s="5">
        <v>44333</v>
      </c>
      <c r="AF7058" s="1">
        <v>10019</v>
      </c>
      <c r="AI7058" s="1" t="s">
        <v>101</v>
      </c>
      <c r="AJ7058" s="1">
        <v>2018</v>
      </c>
      <c r="AK7058" s="1" t="s">
        <v>49</v>
      </c>
      <c r="AL7058" s="1">
        <v>117</v>
      </c>
    </row>
    <row r="7059" spans="1:38" x14ac:dyDescent="0.2">
      <c r="A7059" s="2" t="str">
        <f>HYPERLINK("https://www.compass.com/listing/217-west-57th-street-unit-35c-manhattan-ny-10019/792461825714995321/","217 W 57th St, Unit 35C")</f>
        <v>217 W 57th St, Unit 35C</v>
      </c>
      <c r="B7059" s="2" t="str">
        <f>HYPERLINK("https://www.compass.com/building/central-park-tower-manhattan-ny/292845475244082085/","Central Park Tower")</f>
        <v>Central Park Tower</v>
      </c>
      <c r="C7059" s="1" t="s">
        <v>139</v>
      </c>
      <c r="D7059" s="1" t="s">
        <v>41</v>
      </c>
      <c r="E7059" s="3">
        <v>10130090</v>
      </c>
      <c r="Q7059" s="1" t="s">
        <v>42</v>
      </c>
      <c r="S7059" s="1" t="s">
        <v>42</v>
      </c>
      <c r="T7059" s="1" t="s">
        <v>273</v>
      </c>
      <c r="AA7059" s="1">
        <v>10130090</v>
      </c>
      <c r="AB7059" s="1" t="s">
        <v>5251</v>
      </c>
      <c r="AC7059" s="5">
        <v>44316</v>
      </c>
      <c r="AF7059" s="1">
        <v>10019</v>
      </c>
      <c r="AI7059" s="1" t="s">
        <v>101</v>
      </c>
      <c r="AJ7059" s="1">
        <v>2020</v>
      </c>
      <c r="AL7059" s="1">
        <v>179</v>
      </c>
    </row>
    <row r="7060" spans="1:38" x14ac:dyDescent="0.2">
      <c r="A7060" s="2" t="str">
        <f>HYPERLINK("https://www.compass.com/listing/111-murray-street-unit-24w-manhattan-ny-10007/79370218366842625/","111 Murray St, Unit 24W")</f>
        <v>111 Murray St, Unit 24W</v>
      </c>
      <c r="B7060" s="2" t="str">
        <f>HYPERLINK("https://www.compass.com/building/111-murray-st-manhattan-ny-10007/281896511862746053/","111 Murray St")</f>
        <v>111 Murray St</v>
      </c>
      <c r="C7060" s="1" t="s">
        <v>50</v>
      </c>
      <c r="D7060" s="1" t="s">
        <v>41</v>
      </c>
      <c r="E7060" s="3">
        <v>7850000</v>
      </c>
      <c r="F7060" s="1">
        <v>2923.6499068901298</v>
      </c>
      <c r="H7060" s="1">
        <v>4</v>
      </c>
      <c r="J7060" s="1">
        <v>4.5</v>
      </c>
      <c r="M7060" s="4">
        <v>2685</v>
      </c>
      <c r="N7060" s="1">
        <v>3167</v>
      </c>
      <c r="O7060" s="1">
        <v>8992</v>
      </c>
      <c r="P7060" s="1">
        <v>5825</v>
      </c>
      <c r="Q7060" s="1" t="s">
        <v>42</v>
      </c>
      <c r="S7060" s="1" t="s">
        <v>42</v>
      </c>
      <c r="T7060" s="1" t="s">
        <v>273</v>
      </c>
      <c r="AA7060" s="1">
        <v>7850000</v>
      </c>
      <c r="AB7060" s="1" t="s">
        <v>5252</v>
      </c>
      <c r="AC7060" s="5">
        <v>43354</v>
      </c>
      <c r="AF7060" s="1">
        <v>10007</v>
      </c>
      <c r="AI7060" s="1" t="s">
        <v>80</v>
      </c>
      <c r="AJ7060" s="1">
        <v>2018</v>
      </c>
      <c r="AK7060" s="1" t="s">
        <v>49</v>
      </c>
      <c r="AL7060" s="1">
        <v>157</v>
      </c>
    </row>
    <row r="7061" spans="1:38" x14ac:dyDescent="0.2">
      <c r="A7061" s="2" t="str">
        <f>HYPERLINK("https://www.compass.com/listing/160-leroy-street-unit-6a-n-manhattan-ny-10014/79380828731307841/","160 Leroy St, Unit 6A N")</f>
        <v>160 Leroy St, Unit 6A N</v>
      </c>
      <c r="B7061" s="2" t="str">
        <f>HYPERLINK("https://www.compass.com/building/160-leroy-st-manhattan-ny-10014/293418469918017093/","160 Leroy St")</f>
        <v>160 Leroy St</v>
      </c>
      <c r="C7061" s="1" t="s">
        <v>67</v>
      </c>
      <c r="D7061" s="1" t="s">
        <v>41</v>
      </c>
      <c r="E7061" s="3">
        <v>6300000</v>
      </c>
      <c r="F7061" s="1">
        <v>3079.1788856304902</v>
      </c>
      <c r="M7061" s="4">
        <v>2046</v>
      </c>
      <c r="Q7061" s="1" t="s">
        <v>42</v>
      </c>
      <c r="S7061" s="1" t="s">
        <v>42</v>
      </c>
      <c r="T7061" s="1" t="s">
        <v>273</v>
      </c>
      <c r="AA7061" s="1">
        <v>6300000</v>
      </c>
      <c r="AB7061" s="1" t="s">
        <v>5253</v>
      </c>
      <c r="AC7061" s="5">
        <v>43213</v>
      </c>
      <c r="AF7061" s="1">
        <v>10014</v>
      </c>
      <c r="AI7061" s="1" t="s">
        <v>65</v>
      </c>
      <c r="AJ7061" s="1">
        <v>2017</v>
      </c>
      <c r="AK7061" s="1" t="s">
        <v>202</v>
      </c>
      <c r="AL7061" s="1">
        <v>57</v>
      </c>
    </row>
    <row r="7062" spans="1:38" x14ac:dyDescent="0.2">
      <c r="A7062" s="2" t="str">
        <f>HYPERLINK("https://www.compass.com/listing/111-murray-street-unit-58e-manhattan-ny-10007/795386869210013689/","111 Murray St, Unit 58E")</f>
        <v>111 Murray St, Unit 58E</v>
      </c>
      <c r="B7062" s="2" t="str">
        <f t="shared" ref="B7062:B7063" si="1111">HYPERLINK("https://www.compass.com/building/111-murray-st-manhattan-ny-10007/281896511862746053/","111 Murray St")</f>
        <v>111 Murray St</v>
      </c>
      <c r="C7062" s="1" t="s">
        <v>50</v>
      </c>
      <c r="D7062" s="1" t="s">
        <v>41</v>
      </c>
      <c r="E7062" s="3">
        <v>7600000</v>
      </c>
      <c r="F7062" s="1">
        <v>2539.25826929502</v>
      </c>
      <c r="M7062" s="4">
        <v>2993</v>
      </c>
      <c r="Q7062" s="1" t="s">
        <v>42</v>
      </c>
      <c r="S7062" s="1" t="s">
        <v>42</v>
      </c>
      <c r="T7062" s="1" t="s">
        <v>273</v>
      </c>
      <c r="AA7062" s="1">
        <v>7600000</v>
      </c>
      <c r="AB7062" s="1" t="s">
        <v>5254</v>
      </c>
      <c r="AC7062" s="5">
        <v>44329</v>
      </c>
      <c r="AF7062" s="1">
        <v>10007</v>
      </c>
      <c r="AI7062" s="1" t="s">
        <v>80</v>
      </c>
      <c r="AJ7062" s="1">
        <v>2018</v>
      </c>
      <c r="AK7062" s="1" t="s">
        <v>49</v>
      </c>
      <c r="AL7062" s="1">
        <v>157</v>
      </c>
    </row>
    <row r="7063" spans="1:38" x14ac:dyDescent="0.2">
      <c r="A7063" s="2" t="str">
        <f>HYPERLINK("https://www.compass.com/listing/111-murray-street-unit-54e-manhattan-ny-10007/796811675918047305/","111 Murray St, Unit 54E")</f>
        <v>111 Murray St, Unit 54E</v>
      </c>
      <c r="B7063" s="2" t="str">
        <f t="shared" si="1111"/>
        <v>111 Murray St</v>
      </c>
      <c r="C7063" s="1" t="s">
        <v>50</v>
      </c>
      <c r="D7063" s="1" t="s">
        <v>41</v>
      </c>
      <c r="E7063" s="3">
        <v>7600000</v>
      </c>
      <c r="F7063" s="1">
        <v>2467.53246753246</v>
      </c>
      <c r="M7063" s="4">
        <v>3080</v>
      </c>
      <c r="Q7063" s="1" t="s">
        <v>42</v>
      </c>
      <c r="S7063" s="1" t="s">
        <v>42</v>
      </c>
      <c r="T7063" s="1" t="s">
        <v>273</v>
      </c>
      <c r="AA7063" s="1">
        <v>7600000</v>
      </c>
      <c r="AB7063" s="1" t="s">
        <v>5255</v>
      </c>
      <c r="AC7063" s="5">
        <v>44337</v>
      </c>
      <c r="AF7063" s="1">
        <v>10007</v>
      </c>
      <c r="AI7063" s="1" t="s">
        <v>80</v>
      </c>
      <c r="AJ7063" s="1">
        <v>2018</v>
      </c>
      <c r="AK7063" s="1" t="s">
        <v>49</v>
      </c>
      <c r="AL7063" s="1">
        <v>157</v>
      </c>
    </row>
    <row r="7064" spans="1:38" x14ac:dyDescent="0.2">
      <c r="A7064" s="2" t="str">
        <f>HYPERLINK("https://www.compass.com/listing/15-west-61st-street-unit-24b-manhattan-ny-10023/796811682695481281/","15 W 61st St, Unit 24B")</f>
        <v>15 W 61st St, Unit 24B</v>
      </c>
      <c r="B7064" s="2" t="str">
        <f>HYPERLINK("https://www.compass.com/building/the-park-loggia-manhattan-ny/292861833130357557/","The Park Loggia")</f>
        <v>The Park Loggia</v>
      </c>
      <c r="C7064" s="1" t="s">
        <v>57</v>
      </c>
      <c r="D7064" s="1" t="s">
        <v>41</v>
      </c>
      <c r="E7064" s="3">
        <v>3390000</v>
      </c>
      <c r="F7064" s="1">
        <v>2935.0649350649301</v>
      </c>
      <c r="M7064" s="4">
        <v>1155</v>
      </c>
      <c r="Q7064" s="1" t="s">
        <v>42</v>
      </c>
      <c r="S7064" s="1" t="s">
        <v>42</v>
      </c>
      <c r="T7064" s="1" t="s">
        <v>273</v>
      </c>
      <c r="AA7064" s="1">
        <v>3390000</v>
      </c>
      <c r="AB7064" s="1" t="s">
        <v>5256</v>
      </c>
      <c r="AC7064" s="5">
        <v>44334</v>
      </c>
      <c r="AF7064" s="1">
        <v>10023</v>
      </c>
      <c r="AI7064" s="1" t="s">
        <v>65</v>
      </c>
      <c r="AJ7064" s="1">
        <v>2019</v>
      </c>
      <c r="AK7064" s="1" t="s">
        <v>55</v>
      </c>
      <c r="AL7064" s="1">
        <v>172</v>
      </c>
    </row>
    <row r="7065" spans="1:38" x14ac:dyDescent="0.2">
      <c r="A7065" s="2" t="str">
        <f>HYPERLINK("https://www.compass.com/listing/220-central-park-south-unit-18c-manhattan-ny-10019/800440166912616577/","220 Central Park S, Unit 18C")</f>
        <v>220 Central Park S, Unit 18C</v>
      </c>
      <c r="B7065" s="2" t="str">
        <f>HYPERLINK("https://www.compass.com/building/220-central-park-south-manhattan-ny/281944232648828453/","220 Central Park South")</f>
        <v>220 Central Park South</v>
      </c>
      <c r="C7065" s="1" t="s">
        <v>260</v>
      </c>
      <c r="D7065" s="1" t="s">
        <v>41</v>
      </c>
      <c r="E7065" s="3">
        <v>1858306</v>
      </c>
      <c r="F7065" s="1">
        <v>3559.9736590038301</v>
      </c>
      <c r="M7065" s="1">
        <v>522</v>
      </c>
      <c r="Q7065" s="1" t="s">
        <v>42</v>
      </c>
      <c r="S7065" s="1" t="s">
        <v>42</v>
      </c>
      <c r="T7065" s="1" t="s">
        <v>273</v>
      </c>
      <c r="AA7065" s="1">
        <v>1858306.25</v>
      </c>
      <c r="AB7065" s="1" t="s">
        <v>5257</v>
      </c>
      <c r="AC7065" s="5">
        <v>44340</v>
      </c>
      <c r="AF7065" s="1">
        <v>10019</v>
      </c>
      <c r="AI7065" s="1" t="s">
        <v>101</v>
      </c>
      <c r="AJ7065" s="1">
        <v>2018</v>
      </c>
      <c r="AK7065" s="1" t="s">
        <v>49</v>
      </c>
      <c r="AL7065" s="1">
        <v>117</v>
      </c>
    </row>
    <row r="7066" spans="1:38" x14ac:dyDescent="0.2">
      <c r="A7066" s="2" t="str">
        <f>HYPERLINK("https://www.compass.com/listing/111-murray-street-unit-15a-manhattan-ny-10007/80092034009930593/","111 Murray St, Unit 15A")</f>
        <v>111 Murray St, Unit 15A</v>
      </c>
      <c r="B7066" s="2" t="str">
        <f>HYPERLINK("https://www.compass.com/building/111-murray-st-manhattan-ny-10007/281896511862746053/","111 Murray St")</f>
        <v>111 Murray St</v>
      </c>
      <c r="C7066" s="1" t="s">
        <v>50</v>
      </c>
      <c r="D7066" s="1" t="s">
        <v>41</v>
      </c>
      <c r="E7066" s="3">
        <v>2724275</v>
      </c>
      <c r="F7066" s="1">
        <v>2419.4271758436898</v>
      </c>
      <c r="H7066" s="1">
        <v>1</v>
      </c>
      <c r="J7066" s="1">
        <v>1.5</v>
      </c>
      <c r="M7066" s="4">
        <v>1126</v>
      </c>
      <c r="N7066" s="1">
        <v>1204</v>
      </c>
      <c r="O7066" s="1">
        <v>2895</v>
      </c>
      <c r="P7066" s="1">
        <v>1691</v>
      </c>
      <c r="Q7066" s="1" t="s">
        <v>42</v>
      </c>
      <c r="S7066" s="1" t="s">
        <v>42</v>
      </c>
      <c r="T7066" s="1" t="s">
        <v>273</v>
      </c>
      <c r="AA7066" s="1">
        <v>2724275</v>
      </c>
      <c r="AB7066" s="1" t="s">
        <v>5258</v>
      </c>
      <c r="AC7066" s="5">
        <v>43332</v>
      </c>
      <c r="AF7066" s="1">
        <v>10007</v>
      </c>
      <c r="AI7066" s="1" t="s">
        <v>80</v>
      </c>
      <c r="AJ7066" s="1">
        <v>2018</v>
      </c>
      <c r="AK7066" s="1" t="s">
        <v>49</v>
      </c>
      <c r="AL7066" s="1">
        <v>157</v>
      </c>
    </row>
    <row r="7067" spans="1:38" x14ac:dyDescent="0.2">
      <c r="A7067" s="2" t="str">
        <f>HYPERLINK("https://www.compass.com/listing/220-central-park-south-unit-67-manhattan-ny-10019/801184533088555713/","220 Central Park S, Unit 67")</f>
        <v>220 Central Park S, Unit 67</v>
      </c>
      <c r="B7067" s="2" t="str">
        <f>HYPERLINK("https://www.compass.com/building/220-central-park-south-manhattan-ny/281944232648828453/","220 Central Park South")</f>
        <v>220 Central Park South</v>
      </c>
      <c r="C7067" s="1" t="s">
        <v>260</v>
      </c>
      <c r="D7067" s="1" t="s">
        <v>41</v>
      </c>
      <c r="E7067" s="3">
        <v>59500000</v>
      </c>
      <c r="F7067" s="1">
        <v>10025.2737994945</v>
      </c>
      <c r="M7067" s="4">
        <v>5935</v>
      </c>
      <c r="Q7067" s="1" t="s">
        <v>42</v>
      </c>
      <c r="S7067" s="1" t="s">
        <v>42</v>
      </c>
      <c r="T7067" s="1" t="s">
        <v>273</v>
      </c>
      <c r="AA7067" s="1">
        <v>59500000</v>
      </c>
      <c r="AB7067" s="1" t="s">
        <v>5259</v>
      </c>
      <c r="AC7067" s="5">
        <v>44340</v>
      </c>
      <c r="AF7067" s="1">
        <v>10019</v>
      </c>
      <c r="AI7067" s="1" t="s">
        <v>101</v>
      </c>
      <c r="AJ7067" s="1">
        <v>2018</v>
      </c>
      <c r="AK7067" s="1" t="s">
        <v>49</v>
      </c>
      <c r="AL7067" s="1">
        <v>117</v>
      </c>
    </row>
    <row r="7068" spans="1:38" x14ac:dyDescent="0.2">
      <c r="A7068" s="2" t="str">
        <f>HYPERLINK("https://www.compass.com/listing/217-west-57th-street-unit-45c-manhattan-ny-10019/801897228084048305/","217 W 57th St, Unit 45C")</f>
        <v>217 W 57th St, Unit 45C</v>
      </c>
      <c r="B7068" s="2" t="str">
        <f>HYPERLINK("https://www.compass.com/building/central-park-tower-manhattan-ny/292845475244082085/","Central Park Tower")</f>
        <v>Central Park Tower</v>
      </c>
      <c r="C7068" s="1" t="s">
        <v>139</v>
      </c>
      <c r="D7068" s="1" t="s">
        <v>41</v>
      </c>
      <c r="E7068" s="3">
        <v>15825875</v>
      </c>
      <c r="Q7068" s="1" t="s">
        <v>42</v>
      </c>
      <c r="S7068" s="1" t="s">
        <v>42</v>
      </c>
      <c r="T7068" s="1" t="s">
        <v>273</v>
      </c>
      <c r="AA7068" s="1">
        <v>15825875</v>
      </c>
      <c r="AB7068" s="1" t="s">
        <v>5260</v>
      </c>
      <c r="AC7068" s="5">
        <v>44336</v>
      </c>
      <c r="AF7068" s="1">
        <v>10019</v>
      </c>
      <c r="AI7068" s="1" t="s">
        <v>101</v>
      </c>
      <c r="AJ7068" s="1">
        <v>2020</v>
      </c>
      <c r="AL7068" s="1">
        <v>179</v>
      </c>
    </row>
    <row r="7069" spans="1:38" x14ac:dyDescent="0.2">
      <c r="A7069" s="2" t="str">
        <f>HYPERLINK("https://www.compass.com/listing/15-west-61st-street-unit-23c-manhattan-ny-10023/805521585025465801/","15 W 61st St, Unit 23C")</f>
        <v>15 W 61st St, Unit 23C</v>
      </c>
      <c r="B7069" s="2" t="str">
        <f t="shared" ref="B7069:B7070" si="1112">HYPERLINK("https://www.compass.com/building/the-park-loggia-manhattan-ny/292861833130357557/","The Park Loggia")</f>
        <v>The Park Loggia</v>
      </c>
      <c r="C7069" s="1" t="s">
        <v>57</v>
      </c>
      <c r="D7069" s="1" t="s">
        <v>41</v>
      </c>
      <c r="E7069" s="3">
        <v>1930000</v>
      </c>
      <c r="F7069" s="1">
        <v>2330.9178743961302</v>
      </c>
      <c r="M7069" s="1">
        <v>828</v>
      </c>
      <c r="Q7069" s="1" t="s">
        <v>42</v>
      </c>
      <c r="S7069" s="1" t="s">
        <v>42</v>
      </c>
      <c r="T7069" s="1" t="s">
        <v>273</v>
      </c>
      <c r="AA7069" s="1">
        <v>1930000</v>
      </c>
      <c r="AB7069" s="1" t="s">
        <v>5261</v>
      </c>
      <c r="AC7069" s="5">
        <v>44349</v>
      </c>
      <c r="AF7069" s="1">
        <v>10023</v>
      </c>
      <c r="AI7069" s="1" t="s">
        <v>65</v>
      </c>
      <c r="AJ7069" s="1">
        <v>2019</v>
      </c>
      <c r="AK7069" s="1" t="s">
        <v>55</v>
      </c>
      <c r="AL7069" s="1">
        <v>172</v>
      </c>
    </row>
    <row r="7070" spans="1:38" x14ac:dyDescent="0.2">
      <c r="A7070" s="2" t="str">
        <f>HYPERLINK("https://www.compass.com/listing/15-west-61st-street-unit-12f-manhattan-ny-10023/806234307039692873/","15 W 61st St, Unit 12F")</f>
        <v>15 W 61st St, Unit 12F</v>
      </c>
      <c r="B7070" s="2" t="str">
        <f t="shared" si="1112"/>
        <v>The Park Loggia</v>
      </c>
      <c r="C7070" s="1" t="s">
        <v>57</v>
      </c>
      <c r="D7070" s="1" t="s">
        <v>41</v>
      </c>
      <c r="E7070" s="3">
        <v>3225000</v>
      </c>
      <c r="F7070" s="1">
        <v>2691.98664440734</v>
      </c>
      <c r="M7070" s="4">
        <v>1198</v>
      </c>
      <c r="Q7070" s="1" t="s">
        <v>42</v>
      </c>
      <c r="S7070" s="1" t="s">
        <v>42</v>
      </c>
      <c r="T7070" s="1" t="s">
        <v>273</v>
      </c>
      <c r="AA7070" s="1">
        <v>3225000</v>
      </c>
      <c r="AB7070" s="1" t="s">
        <v>5262</v>
      </c>
      <c r="AC7070" s="5">
        <v>44344</v>
      </c>
      <c r="AF7070" s="1">
        <v>10023</v>
      </c>
      <c r="AI7070" s="1" t="s">
        <v>65</v>
      </c>
      <c r="AJ7070" s="1">
        <v>2019</v>
      </c>
      <c r="AK7070" s="1" t="s">
        <v>55</v>
      </c>
      <c r="AL7070" s="1">
        <v>172</v>
      </c>
    </row>
    <row r="7071" spans="1:38" x14ac:dyDescent="0.2">
      <c r="A7071" s="2" t="str">
        <f>HYPERLINK("https://www.compass.com/listing/111-murray-street-unit-52e-manhattan-ny-10007/806978352964752705/","111 Murray St, Unit 52E")</f>
        <v>111 Murray St, Unit 52E</v>
      </c>
      <c r="B7071" s="2" t="str">
        <f>HYPERLINK("https://www.compass.com/building/111-murray-st-manhattan-ny-10007/281896511862746053/","111 Murray St")</f>
        <v>111 Murray St</v>
      </c>
      <c r="C7071" s="1" t="s">
        <v>50</v>
      </c>
      <c r="D7071" s="1" t="s">
        <v>41</v>
      </c>
      <c r="E7071" s="3">
        <v>7323754</v>
      </c>
      <c r="F7071" s="1">
        <v>2442.88007671781</v>
      </c>
      <c r="M7071" s="4">
        <v>2998</v>
      </c>
      <c r="Q7071" s="1" t="s">
        <v>42</v>
      </c>
      <c r="S7071" s="1" t="s">
        <v>42</v>
      </c>
      <c r="T7071" s="1" t="s">
        <v>273</v>
      </c>
      <c r="AA7071" s="1">
        <v>7323754.4699999997</v>
      </c>
      <c r="AB7071" s="1" t="s">
        <v>5263</v>
      </c>
      <c r="AC7071" s="5">
        <v>44182</v>
      </c>
      <c r="AF7071" s="1">
        <v>10007</v>
      </c>
      <c r="AI7071" s="1" t="s">
        <v>80</v>
      </c>
      <c r="AJ7071" s="1">
        <v>2018</v>
      </c>
      <c r="AK7071" s="1" t="s">
        <v>49</v>
      </c>
      <c r="AL7071" s="1">
        <v>157</v>
      </c>
    </row>
    <row r="7072" spans="1:38" x14ac:dyDescent="0.2">
      <c r="A7072" s="2" t="str">
        <f>HYPERLINK("https://www.compass.com/listing/121-east-22nd-street-unit-n402-manhattan-ny-10010/812054311863065849/","121 E 22nd St, Unit N402")</f>
        <v>121 E 22nd St, Unit N402</v>
      </c>
      <c r="B7072" s="2" t="str">
        <f>HYPERLINK("https://www.compass.com/building/121-e-22nd-manhattan-ny/292795784653461493/","121 E 22nd")</f>
        <v>121 E 22nd</v>
      </c>
      <c r="C7072" s="1" t="s">
        <v>64</v>
      </c>
      <c r="D7072" s="1" t="s">
        <v>41</v>
      </c>
      <c r="E7072" s="3">
        <v>2879815</v>
      </c>
      <c r="F7072" s="1">
        <v>1720.3193847072801</v>
      </c>
      <c r="M7072" s="4">
        <v>1674</v>
      </c>
      <c r="Q7072" s="1" t="s">
        <v>42</v>
      </c>
      <c r="S7072" s="1" t="s">
        <v>42</v>
      </c>
      <c r="T7072" s="1" t="s">
        <v>273</v>
      </c>
      <c r="AA7072" s="1">
        <v>2879814.65</v>
      </c>
      <c r="AB7072" s="1" t="s">
        <v>5264</v>
      </c>
      <c r="AC7072" s="5">
        <v>44330</v>
      </c>
      <c r="AF7072" s="1">
        <v>10010</v>
      </c>
      <c r="AI7072" s="1" t="s">
        <v>66</v>
      </c>
      <c r="AJ7072" s="1">
        <v>2016</v>
      </c>
      <c r="AK7072" s="1" t="s">
        <v>55</v>
      </c>
      <c r="AL7072" s="1">
        <v>140</v>
      </c>
    </row>
    <row r="7073" spans="1:38" x14ac:dyDescent="0.2">
      <c r="A7073" s="2" t="str">
        <f>HYPERLINK("https://www.compass.com/listing/252-south-street-unit-80d-manhattan-ny-10002/812767281744296129/","252 South St, Unit 80D")</f>
        <v>252 South St, Unit 80D</v>
      </c>
      <c r="B7073" s="2" t="str">
        <f>HYPERLINK("https://www.compass.com/building/one-manhattan-square-manhattan-ny/294844950218926165/","One Manhattan Square")</f>
        <v>One Manhattan Square</v>
      </c>
      <c r="C7073" s="1" t="s">
        <v>47</v>
      </c>
      <c r="D7073" s="1" t="s">
        <v>41</v>
      </c>
      <c r="E7073" s="3">
        <v>9114341</v>
      </c>
      <c r="F7073" s="1">
        <v>2675.9662419260098</v>
      </c>
      <c r="H7073" s="1">
        <v>4</v>
      </c>
      <c r="J7073" s="1">
        <v>3.5</v>
      </c>
      <c r="K7073" s="1">
        <v>3</v>
      </c>
      <c r="L7073" s="1">
        <v>1</v>
      </c>
      <c r="M7073" s="4">
        <v>3406</v>
      </c>
      <c r="N7073" s="1">
        <v>5095</v>
      </c>
      <c r="O7073" s="1">
        <v>5175</v>
      </c>
      <c r="P7073" s="1">
        <v>80</v>
      </c>
      <c r="Q7073" s="1" t="s">
        <v>42</v>
      </c>
      <c r="S7073" s="1" t="s">
        <v>42</v>
      </c>
      <c r="T7073" s="1" t="s">
        <v>273</v>
      </c>
      <c r="AA7073" s="1">
        <v>9114341.0199999996</v>
      </c>
      <c r="AB7073" s="1" t="s">
        <v>5265</v>
      </c>
      <c r="AC7073" s="5">
        <v>44361</v>
      </c>
      <c r="AF7073" s="1">
        <v>10002</v>
      </c>
      <c r="AI7073" s="1" t="s">
        <v>66</v>
      </c>
      <c r="AJ7073" s="1">
        <v>2019</v>
      </c>
      <c r="AK7073" s="1" t="s">
        <v>49</v>
      </c>
      <c r="AL7073" s="1">
        <v>787</v>
      </c>
    </row>
    <row r="7074" spans="1:38" x14ac:dyDescent="0.2">
      <c r="A7074" s="2" t="str">
        <f>HYPERLINK("https://www.compass.com/listing/111-murray-street-unit-15w-manhattan-ny-10007/81527645367534081/","111 Murray St, Unit 15W")</f>
        <v>111 Murray St, Unit 15W</v>
      </c>
      <c r="B7074" s="2" t="str">
        <f t="shared" ref="B7074:B7075" si="1113">HYPERLINK("https://www.compass.com/building/111-murray-st-manhattan-ny-10007/281896511862746053/","111 Murray St")</f>
        <v>111 Murray St</v>
      </c>
      <c r="C7074" s="1" t="s">
        <v>50</v>
      </c>
      <c r="D7074" s="1" t="s">
        <v>41</v>
      </c>
      <c r="E7074" s="3">
        <v>5905850</v>
      </c>
      <c r="F7074" s="1">
        <v>2663.8926477221398</v>
      </c>
      <c r="M7074" s="4">
        <v>2217</v>
      </c>
      <c r="Q7074" s="1" t="s">
        <v>42</v>
      </c>
      <c r="S7074" s="1" t="s">
        <v>42</v>
      </c>
      <c r="T7074" s="1" t="s">
        <v>273</v>
      </c>
      <c r="AA7074" s="1">
        <v>5905850</v>
      </c>
      <c r="AB7074" s="1" t="s">
        <v>5266</v>
      </c>
      <c r="AC7074" s="5">
        <v>43342</v>
      </c>
      <c r="AF7074" s="1">
        <v>10007</v>
      </c>
      <c r="AI7074" s="1" t="s">
        <v>80</v>
      </c>
      <c r="AJ7074" s="1">
        <v>2018</v>
      </c>
      <c r="AK7074" s="1" t="s">
        <v>49</v>
      </c>
      <c r="AL7074" s="1">
        <v>157</v>
      </c>
    </row>
    <row r="7075" spans="1:38" x14ac:dyDescent="0.2">
      <c r="A7075" s="2" t="str">
        <f>HYPERLINK("https://www.compass.com/listing/111-murray-street-unit-17w-manhattan-ny-10007/81527646189617681/","111 Murray St, Unit 17W")</f>
        <v>111 Murray St, Unit 17W</v>
      </c>
      <c r="B7075" s="2" t="str">
        <f t="shared" si="1113"/>
        <v>111 Murray St</v>
      </c>
      <c r="C7075" s="1" t="s">
        <v>50</v>
      </c>
      <c r="D7075" s="1" t="s">
        <v>41</v>
      </c>
      <c r="E7075" s="3">
        <v>7153206</v>
      </c>
      <c r="F7075" s="1">
        <v>2664.1364059590301</v>
      </c>
      <c r="M7075" s="4">
        <v>2685</v>
      </c>
      <c r="Q7075" s="1" t="s">
        <v>42</v>
      </c>
      <c r="S7075" s="1" t="s">
        <v>42</v>
      </c>
      <c r="T7075" s="1" t="s">
        <v>273</v>
      </c>
      <c r="AA7075" s="1">
        <v>7153206.25</v>
      </c>
      <c r="AB7075" s="1" t="s">
        <v>5267</v>
      </c>
      <c r="AC7075" s="5">
        <v>43349</v>
      </c>
      <c r="AF7075" s="1">
        <v>10007</v>
      </c>
      <c r="AI7075" s="1" t="s">
        <v>80</v>
      </c>
      <c r="AJ7075" s="1">
        <v>2018</v>
      </c>
      <c r="AK7075" s="1" t="s">
        <v>49</v>
      </c>
      <c r="AL7075" s="1">
        <v>157</v>
      </c>
    </row>
    <row r="7076" spans="1:38" x14ac:dyDescent="0.2">
      <c r="A7076" s="2" t="str">
        <f>HYPERLINK("https://www.compass.com/listing/111-west-57th-street-unit-14s-manhattan-ny-10019/816018181630163897/","111 W 57th St, Unit 14S")</f>
        <v>111 W 57th St, Unit 14S</v>
      </c>
      <c r="B7076" s="2" t="str">
        <f>HYPERLINK("https://www.compass.com/building/111-w-57th-st-manhattan-ny-10019/282058921823206277/","111 W 57th St")</f>
        <v>111 W 57th St</v>
      </c>
      <c r="C7076" s="1" t="s">
        <v>139</v>
      </c>
      <c r="D7076" s="1" t="s">
        <v>41</v>
      </c>
      <c r="E7076" s="3">
        <v>11000000</v>
      </c>
      <c r="Q7076" s="1" t="s">
        <v>42</v>
      </c>
      <c r="S7076" s="1" t="s">
        <v>42</v>
      </c>
      <c r="T7076" s="1" t="s">
        <v>273</v>
      </c>
      <c r="AA7076" s="1">
        <v>11000000</v>
      </c>
      <c r="AB7076" s="1" t="s">
        <v>5268</v>
      </c>
      <c r="AC7076" s="5">
        <v>44315</v>
      </c>
      <c r="AF7076" s="1">
        <v>10019</v>
      </c>
      <c r="AI7076" s="1" t="s">
        <v>177</v>
      </c>
      <c r="AJ7076" s="1">
        <v>2016</v>
      </c>
      <c r="AK7076" s="1" t="s">
        <v>49</v>
      </c>
      <c r="AL7076" s="1">
        <v>60</v>
      </c>
    </row>
    <row r="7077" spans="1:38" x14ac:dyDescent="0.2">
      <c r="A7077" s="2" t="str">
        <f>HYPERLINK("https://www.compass.com/listing/15-hudson-yards-unit-68c-manhattan-ny-10001/819767953916873065/","15 Hudson Yards, Unit 68C")</f>
        <v>15 Hudson Yards, Unit 68C</v>
      </c>
      <c r="B7077" s="2" t="str">
        <f t="shared" ref="B7077:B7078" si="1114">HYPERLINK("https://www.compass.com/building/fifteen-hudson-yards-manhattan-ny/282058587512011909/","Fifteen Hudson Yards")</f>
        <v>Fifteen Hudson Yards</v>
      </c>
      <c r="C7077" s="1" t="s">
        <v>77</v>
      </c>
      <c r="D7077" s="1" t="s">
        <v>41</v>
      </c>
      <c r="E7077" s="3">
        <v>4895000</v>
      </c>
      <c r="F7077" s="1">
        <v>2619.0476190476102</v>
      </c>
      <c r="G7077" s="1">
        <v>4</v>
      </c>
      <c r="H7077" s="1">
        <v>2</v>
      </c>
      <c r="I7077" s="1">
        <v>3</v>
      </c>
      <c r="J7077" s="1">
        <v>2.5</v>
      </c>
      <c r="K7077" s="1">
        <v>2</v>
      </c>
      <c r="L7077" s="1">
        <v>1</v>
      </c>
      <c r="M7077" s="4">
        <v>1869</v>
      </c>
      <c r="N7077" s="1">
        <v>4061</v>
      </c>
      <c r="O7077" s="1">
        <v>4117</v>
      </c>
      <c r="P7077" s="1">
        <v>56</v>
      </c>
      <c r="Q7077" s="1" t="s">
        <v>42</v>
      </c>
      <c r="S7077" s="1" t="s">
        <v>42</v>
      </c>
      <c r="T7077" s="1" t="s">
        <v>273</v>
      </c>
      <c r="V7077" s="5">
        <v>43694</v>
      </c>
      <c r="W7077" s="5">
        <v>42759</v>
      </c>
      <c r="X7077" s="1">
        <v>4895000</v>
      </c>
      <c r="Y7077" s="1">
        <v>4895000</v>
      </c>
      <c r="AA7077" s="1">
        <v>4895000</v>
      </c>
      <c r="AB7077" s="1" t="s">
        <v>275</v>
      </c>
      <c r="AC7077" s="5">
        <v>43685</v>
      </c>
      <c r="AF7077" s="1">
        <v>10001</v>
      </c>
      <c r="AJ7077" s="1">
        <v>2018</v>
      </c>
      <c r="AK7077" s="1" t="s">
        <v>46</v>
      </c>
      <c r="AL7077" s="1">
        <v>285</v>
      </c>
    </row>
    <row r="7078" spans="1:38" x14ac:dyDescent="0.2">
      <c r="A7078" s="2" t="str">
        <f>HYPERLINK("https://www.compass.com/listing/15-hudson-yards-unit-77f-manhattan-ny-10001/819768095474463729/","15 Hudson Yards, Unit 77F")</f>
        <v>15 Hudson Yards, Unit 77F</v>
      </c>
      <c r="B7078" s="2" t="str">
        <f t="shared" si="1114"/>
        <v>Fifteen Hudson Yards</v>
      </c>
      <c r="C7078" s="1" t="s">
        <v>77</v>
      </c>
      <c r="D7078" s="1" t="s">
        <v>41</v>
      </c>
      <c r="E7078" s="3">
        <v>5093750</v>
      </c>
      <c r="F7078" s="1">
        <v>3053.8069544364498</v>
      </c>
      <c r="G7078" s="1">
        <v>4</v>
      </c>
      <c r="H7078" s="1">
        <v>2</v>
      </c>
      <c r="I7078" s="1">
        <v>3</v>
      </c>
      <c r="J7078" s="1">
        <v>2.5</v>
      </c>
      <c r="K7078" s="1">
        <v>2</v>
      </c>
      <c r="L7078" s="1">
        <v>1</v>
      </c>
      <c r="M7078" s="4">
        <v>1668</v>
      </c>
      <c r="N7078" s="1">
        <v>3832</v>
      </c>
      <c r="O7078" s="1">
        <v>3885</v>
      </c>
      <c r="P7078" s="1">
        <v>53</v>
      </c>
      <c r="Q7078" s="1" t="s">
        <v>42</v>
      </c>
      <c r="S7078" s="1" t="s">
        <v>42</v>
      </c>
      <c r="T7078" s="1" t="s">
        <v>273</v>
      </c>
      <c r="U7078" s="1">
        <v>613</v>
      </c>
      <c r="V7078" s="5">
        <v>43721</v>
      </c>
      <c r="W7078" s="5">
        <v>43091</v>
      </c>
      <c r="X7078" s="1">
        <v>5093750</v>
      </c>
      <c r="Y7078" s="1">
        <v>5093750</v>
      </c>
      <c r="AA7078" s="1">
        <v>5093750</v>
      </c>
      <c r="AB7078" s="1" t="s">
        <v>275</v>
      </c>
      <c r="AC7078" s="5">
        <v>43705</v>
      </c>
      <c r="AF7078" s="1">
        <v>10001</v>
      </c>
      <c r="AJ7078" s="1">
        <v>2018</v>
      </c>
      <c r="AK7078" s="1" t="s">
        <v>46</v>
      </c>
      <c r="AL7078" s="1">
        <v>285</v>
      </c>
    </row>
    <row r="7079" spans="1:38" x14ac:dyDescent="0.2">
      <c r="A7079" s="2" t="str">
        <f>HYPERLINK("https://www.compass.com/listing/15-west-61st-street-unit-16d-manhattan-ny-10023/820739230436554761/","15 W 61st St, Unit 16D")</f>
        <v>15 W 61st St, Unit 16D</v>
      </c>
      <c r="B7079" s="2" t="str">
        <f>HYPERLINK("https://www.compass.com/building/the-park-loggia-manhattan-ny/292861833130357557/","The Park Loggia")</f>
        <v>The Park Loggia</v>
      </c>
      <c r="C7079" s="1" t="s">
        <v>57</v>
      </c>
      <c r="D7079" s="1" t="s">
        <v>41</v>
      </c>
      <c r="E7079" s="3">
        <v>1184694</v>
      </c>
      <c r="F7079" s="1">
        <v>2119.3090339892601</v>
      </c>
      <c r="M7079" s="1">
        <v>559</v>
      </c>
      <c r="Q7079" s="1" t="s">
        <v>42</v>
      </c>
      <c r="S7079" s="1" t="s">
        <v>42</v>
      </c>
      <c r="T7079" s="1" t="s">
        <v>273</v>
      </c>
      <c r="AA7079" s="1">
        <v>1184693.75</v>
      </c>
      <c r="AB7079" s="1" t="s">
        <v>5269</v>
      </c>
      <c r="AC7079" s="5">
        <v>44349</v>
      </c>
      <c r="AF7079" s="1">
        <v>10023</v>
      </c>
      <c r="AI7079" s="1" t="s">
        <v>65</v>
      </c>
      <c r="AJ7079" s="1">
        <v>2019</v>
      </c>
      <c r="AK7079" s="1" t="s">
        <v>55</v>
      </c>
      <c r="AL7079" s="1">
        <v>172</v>
      </c>
    </row>
    <row r="7080" spans="1:38" x14ac:dyDescent="0.2">
      <c r="A7080" s="2" t="str">
        <f>HYPERLINK("https://www.compass.com/listing/220-central-park-south-unit-60-manhattan-ny-10019/822512215280797009/","220 Central Park S, Unit 60")</f>
        <v>220 Central Park S, Unit 60</v>
      </c>
      <c r="B7080" s="2" t="str">
        <f>HYPERLINK("https://www.compass.com/building/220-central-park-south-manhattan-ny/281944232648828453/","220 Central Park South")</f>
        <v>220 Central Park South</v>
      </c>
      <c r="C7080" s="1" t="s">
        <v>260</v>
      </c>
      <c r="D7080" s="1" t="s">
        <v>41</v>
      </c>
      <c r="E7080" s="3">
        <v>82500000</v>
      </c>
      <c r="F7080" s="1">
        <v>13900.589721988201</v>
      </c>
      <c r="H7080" s="1">
        <v>4</v>
      </c>
      <c r="J7080" s="1">
        <v>6</v>
      </c>
      <c r="K7080" s="1">
        <v>5</v>
      </c>
      <c r="L7080" s="1">
        <v>2</v>
      </c>
      <c r="M7080" s="4">
        <v>5935</v>
      </c>
      <c r="N7080" s="1">
        <v>12400</v>
      </c>
      <c r="O7080" s="1">
        <v>23031</v>
      </c>
      <c r="P7080" s="1">
        <v>10631</v>
      </c>
      <c r="Q7080" s="1" t="s">
        <v>42</v>
      </c>
      <c r="S7080" s="1" t="s">
        <v>42</v>
      </c>
      <c r="T7080" s="1" t="s">
        <v>273</v>
      </c>
      <c r="AA7080" s="1">
        <v>82500000</v>
      </c>
      <c r="AB7080" s="1" t="s">
        <v>5270</v>
      </c>
      <c r="AC7080" s="5">
        <v>44336</v>
      </c>
      <c r="AF7080" s="1">
        <v>10019</v>
      </c>
      <c r="AI7080" s="1" t="s">
        <v>101</v>
      </c>
      <c r="AJ7080" s="1">
        <v>2018</v>
      </c>
      <c r="AK7080" s="1" t="s">
        <v>49</v>
      </c>
      <c r="AL7080" s="1">
        <v>117</v>
      </c>
    </row>
    <row r="7081" spans="1:38" x14ac:dyDescent="0.2">
      <c r="A7081" s="2" t="str">
        <f>HYPERLINK("https://www.compass.com/listing/15-west-61st-street-unit-6f-manhattan-ny-10023/822520319880034425/","15 W 61st St, Unit 6F")</f>
        <v>15 W 61st St, Unit 6F</v>
      </c>
      <c r="B7081" s="2" t="str">
        <f>HYPERLINK("https://www.compass.com/building/the-park-loggia-manhattan-ny/292861833130357557/","The Park Loggia")</f>
        <v>The Park Loggia</v>
      </c>
      <c r="C7081" s="1" t="s">
        <v>57</v>
      </c>
      <c r="D7081" s="1" t="s">
        <v>41</v>
      </c>
      <c r="E7081" s="3">
        <v>939643</v>
      </c>
      <c r="F7081" s="1">
        <v>1898.2684444444401</v>
      </c>
      <c r="M7081" s="1">
        <v>495</v>
      </c>
      <c r="Q7081" s="1" t="s">
        <v>42</v>
      </c>
      <c r="S7081" s="1" t="s">
        <v>42</v>
      </c>
      <c r="T7081" s="1" t="s">
        <v>273</v>
      </c>
      <c r="AA7081" s="1">
        <v>939642.88</v>
      </c>
      <c r="AB7081" s="1" t="s">
        <v>5271</v>
      </c>
      <c r="AC7081" s="5">
        <v>44256</v>
      </c>
      <c r="AF7081" s="1">
        <v>10023</v>
      </c>
      <c r="AI7081" s="1" t="s">
        <v>65</v>
      </c>
      <c r="AJ7081" s="1">
        <v>2019</v>
      </c>
      <c r="AK7081" s="1" t="s">
        <v>55</v>
      </c>
      <c r="AL7081" s="1">
        <v>172</v>
      </c>
    </row>
    <row r="7082" spans="1:38" x14ac:dyDescent="0.2">
      <c r="A7082" s="2" t="str">
        <f>HYPERLINK("https://www.compass.com/listing/200-east-94th-street-unit-2815-manhattan-ny-10128/822525625087162513/","200 E 94th St, Unit 2815")</f>
        <v>200 E 94th St, Unit 2815</v>
      </c>
      <c r="B7082" s="2" t="str">
        <f>HYPERLINK("https://www.compass.com/building/carnegie-park-condominium-manhattan-ny/282049797358118613/","Carnegie Park Condominium")</f>
        <v>Carnegie Park Condominium</v>
      </c>
      <c r="C7082" s="1" t="s">
        <v>82</v>
      </c>
      <c r="D7082" s="1" t="s">
        <v>41</v>
      </c>
      <c r="E7082" s="3">
        <v>2854193</v>
      </c>
      <c r="F7082" s="1">
        <v>1603.4794550561701</v>
      </c>
      <c r="M7082" s="4">
        <v>1780</v>
      </c>
      <c r="Q7082" s="1" t="s">
        <v>42</v>
      </c>
      <c r="S7082" s="1" t="s">
        <v>42</v>
      </c>
      <c r="T7082" s="1" t="s">
        <v>273</v>
      </c>
      <c r="AA7082" s="1">
        <v>2854193.43</v>
      </c>
      <c r="AB7082" s="1" t="s">
        <v>5272</v>
      </c>
      <c r="AC7082" s="5">
        <v>44257</v>
      </c>
      <c r="AF7082" s="1">
        <v>10128</v>
      </c>
      <c r="AI7082" s="1" t="s">
        <v>163</v>
      </c>
      <c r="AJ7082" s="1">
        <v>1986</v>
      </c>
      <c r="AK7082" s="1" t="s">
        <v>55</v>
      </c>
      <c r="AL7082" s="1">
        <v>287</v>
      </c>
    </row>
    <row r="7083" spans="1:38" x14ac:dyDescent="0.2">
      <c r="A7083" s="2" t="str">
        <f>HYPERLINK("https://www.compass.com/listing/217-west-57th-street-unit-55n-manhattan-ny-10019/822905493960383953/","217 W 57th St, Unit 55N")</f>
        <v>217 W 57th St, Unit 55N</v>
      </c>
      <c r="B7083" s="2" t="str">
        <f>HYPERLINK("https://www.compass.com/building/central-park-tower-manhattan-ny/292845475244082085/","Central Park Tower")</f>
        <v>Central Park Tower</v>
      </c>
      <c r="C7083" s="1" t="s">
        <v>139</v>
      </c>
      <c r="D7083" s="1" t="s">
        <v>41</v>
      </c>
      <c r="E7083" s="3">
        <v>8323353</v>
      </c>
      <c r="Q7083" s="1" t="s">
        <v>42</v>
      </c>
      <c r="S7083" s="1" t="s">
        <v>42</v>
      </c>
      <c r="T7083" s="1" t="s">
        <v>273</v>
      </c>
      <c r="AA7083" s="1">
        <v>8323352.5</v>
      </c>
      <c r="AB7083" s="1" t="s">
        <v>5273</v>
      </c>
      <c r="AC7083" s="5">
        <v>44364</v>
      </c>
      <c r="AF7083" s="1">
        <v>10019</v>
      </c>
      <c r="AI7083" s="1" t="s">
        <v>101</v>
      </c>
      <c r="AJ7083" s="1">
        <v>2020</v>
      </c>
      <c r="AL7083" s="1">
        <v>179</v>
      </c>
    </row>
    <row r="7084" spans="1:38" x14ac:dyDescent="0.2">
      <c r="A7084" s="2" t="str">
        <f>HYPERLINK("https://www.compass.com/listing/15-west-61st-street-unit-12d-manhattan-ny-10023/825076941914864961/","15 W 61st St, Unit 12D")</f>
        <v>15 W 61st St, Unit 12D</v>
      </c>
      <c r="B7084" s="2" t="str">
        <f>HYPERLINK("https://www.compass.com/building/the-park-loggia-manhattan-ny/292861833130357557/","The Park Loggia")</f>
        <v>The Park Loggia</v>
      </c>
      <c r="C7084" s="1" t="s">
        <v>57</v>
      </c>
      <c r="D7084" s="1" t="s">
        <v>41</v>
      </c>
      <c r="E7084" s="3">
        <v>1545000</v>
      </c>
      <c r="F7084" s="1">
        <v>2312.8742514969999</v>
      </c>
      <c r="M7084" s="1">
        <v>668</v>
      </c>
      <c r="Q7084" s="1" t="s">
        <v>42</v>
      </c>
      <c r="S7084" s="1" t="s">
        <v>42</v>
      </c>
      <c r="T7084" s="1" t="s">
        <v>273</v>
      </c>
      <c r="AA7084" s="1">
        <v>1545000</v>
      </c>
      <c r="AB7084" s="1" t="s">
        <v>5274</v>
      </c>
      <c r="AC7084" s="5">
        <v>44378</v>
      </c>
      <c r="AF7084" s="1">
        <v>10023</v>
      </c>
      <c r="AI7084" s="1" t="s">
        <v>65</v>
      </c>
      <c r="AJ7084" s="1">
        <v>2019</v>
      </c>
      <c r="AK7084" s="1" t="s">
        <v>55</v>
      </c>
      <c r="AL7084" s="1">
        <v>172</v>
      </c>
    </row>
    <row r="7085" spans="1:38" x14ac:dyDescent="0.2">
      <c r="A7085" s="2" t="str">
        <f>HYPERLINK("https://www.compass.com/listing/15-hudson-yards-unit-39j-manhattan-ny-10001/826838363279719641/","15 Hudson Yards, Unit 39J")</f>
        <v>15 Hudson Yards, Unit 39J</v>
      </c>
      <c r="B7085" s="2" t="str">
        <f>HYPERLINK("https://www.compass.com/building/fifteen-hudson-yards-manhattan-ny/282058587512011909/","Fifteen Hudson Yards")</f>
        <v>Fifteen Hudson Yards</v>
      </c>
      <c r="C7085" s="1" t="s">
        <v>77</v>
      </c>
      <c r="D7085" s="1" t="s">
        <v>41</v>
      </c>
      <c r="E7085" s="3">
        <v>2875000</v>
      </c>
      <c r="F7085" s="1">
        <v>2517.51313485113</v>
      </c>
      <c r="G7085" s="1">
        <v>3</v>
      </c>
      <c r="H7085" s="1">
        <v>1</v>
      </c>
      <c r="I7085" s="1">
        <v>2</v>
      </c>
      <c r="J7085" s="1">
        <v>1.5</v>
      </c>
      <c r="K7085" s="1">
        <v>1</v>
      </c>
      <c r="L7085" s="1">
        <v>1</v>
      </c>
      <c r="M7085" s="4">
        <v>1142</v>
      </c>
      <c r="N7085" s="1">
        <v>2516</v>
      </c>
      <c r="O7085" s="1">
        <v>2551</v>
      </c>
      <c r="P7085" s="1">
        <v>35</v>
      </c>
      <c r="Q7085" s="1" t="s">
        <v>42</v>
      </c>
      <c r="S7085" s="1" t="s">
        <v>42</v>
      </c>
      <c r="T7085" s="1" t="s">
        <v>273</v>
      </c>
      <c r="U7085" s="1">
        <v>60</v>
      </c>
      <c r="V7085" s="5">
        <v>43645</v>
      </c>
      <c r="W7085" s="5">
        <v>42774</v>
      </c>
      <c r="X7085" s="1">
        <v>2875000</v>
      </c>
      <c r="Y7085" s="1">
        <v>2875000</v>
      </c>
      <c r="Z7085" s="5">
        <v>42775</v>
      </c>
      <c r="AA7085" s="1">
        <v>2875000</v>
      </c>
      <c r="AB7085" s="1" t="s">
        <v>275</v>
      </c>
      <c r="AC7085" s="5">
        <v>43643</v>
      </c>
      <c r="AF7085" s="1">
        <v>10001</v>
      </c>
      <c r="AJ7085" s="1">
        <v>2018</v>
      </c>
      <c r="AK7085" s="1" t="s">
        <v>46</v>
      </c>
      <c r="AL7085" s="1">
        <v>285</v>
      </c>
    </row>
    <row r="7086" spans="1:38" x14ac:dyDescent="0.2">
      <c r="A7086" s="2" t="str">
        <f>HYPERLINK("https://www.compass.com/listing/111-murray-street-unit-57e-manhattan-ny-10007/827259895638293649/","111 Murray St, Unit 57E")</f>
        <v>111 Murray St, Unit 57E</v>
      </c>
      <c r="B7086" s="2" t="str">
        <f t="shared" ref="B7086:B7087" si="1115">HYPERLINK("https://www.compass.com/building/111-murray-st-manhattan-ny-10007/281896511862746053/","111 Murray St")</f>
        <v>111 Murray St</v>
      </c>
      <c r="C7086" s="1" t="s">
        <v>50</v>
      </c>
      <c r="D7086" s="1" t="s">
        <v>41</v>
      </c>
      <c r="E7086" s="3">
        <v>7450000</v>
      </c>
      <c r="F7086" s="1">
        <v>2539.1956373551402</v>
      </c>
      <c r="M7086" s="4">
        <v>2934</v>
      </c>
      <c r="Q7086" s="1" t="s">
        <v>42</v>
      </c>
      <c r="S7086" s="1" t="s">
        <v>42</v>
      </c>
      <c r="T7086" s="1" t="s">
        <v>273</v>
      </c>
      <c r="AA7086" s="1">
        <v>7450000</v>
      </c>
      <c r="AB7086" s="1" t="s">
        <v>5275</v>
      </c>
      <c r="AC7086" s="5">
        <v>44376</v>
      </c>
      <c r="AF7086" s="1">
        <v>10007</v>
      </c>
      <c r="AI7086" s="1" t="s">
        <v>80</v>
      </c>
      <c r="AJ7086" s="1">
        <v>2018</v>
      </c>
      <c r="AK7086" s="1" t="s">
        <v>49</v>
      </c>
      <c r="AL7086" s="1">
        <v>157</v>
      </c>
    </row>
    <row r="7087" spans="1:38" x14ac:dyDescent="0.2">
      <c r="A7087" s="2" t="str">
        <f>HYPERLINK("https://www.compass.com/listing/111-murray-street-unit-10c-manhattan-ny-10007/831818034984206233/","111 Murray St, Unit 10C")</f>
        <v>111 Murray St, Unit 10C</v>
      </c>
      <c r="B7087" s="2" t="str">
        <f t="shared" si="1115"/>
        <v>111 Murray St</v>
      </c>
      <c r="C7087" s="1" t="s">
        <v>50</v>
      </c>
      <c r="D7087" s="1" t="s">
        <v>41</v>
      </c>
      <c r="E7087" s="3">
        <v>1900000</v>
      </c>
      <c r="F7087" s="1">
        <v>2303.0303030302998</v>
      </c>
      <c r="M7087" s="1">
        <v>825</v>
      </c>
      <c r="Q7087" s="1" t="s">
        <v>42</v>
      </c>
      <c r="S7087" s="1" t="s">
        <v>42</v>
      </c>
      <c r="T7087" s="1" t="s">
        <v>273</v>
      </c>
      <c r="AA7087" s="1">
        <v>1900000</v>
      </c>
      <c r="AB7087" s="1" t="s">
        <v>5276</v>
      </c>
      <c r="AC7087" s="5">
        <v>44377</v>
      </c>
      <c r="AF7087" s="1">
        <v>10007</v>
      </c>
      <c r="AI7087" s="1" t="s">
        <v>80</v>
      </c>
      <c r="AJ7087" s="1">
        <v>2018</v>
      </c>
      <c r="AK7087" s="1" t="s">
        <v>49</v>
      </c>
      <c r="AL7087" s="1">
        <v>157</v>
      </c>
    </row>
    <row r="7088" spans="1:38" x14ac:dyDescent="0.2">
      <c r="A7088" s="2" t="str">
        <f>HYPERLINK("https://www.compass.com/listing/217-west-57th-street-unit-58n-manhattan-ny-10019/831818926566918817/","217 W 57th St, Unit 58N")</f>
        <v>217 W 57th St, Unit 58N</v>
      </c>
      <c r="B7088" s="2" t="str">
        <f t="shared" ref="B7088:B7089" si="1116">HYPERLINK("https://www.compass.com/building/central-park-tower-manhattan-ny/292845475244082085/","Central Park Tower")</f>
        <v>Central Park Tower</v>
      </c>
      <c r="C7088" s="1" t="s">
        <v>139</v>
      </c>
      <c r="D7088" s="1" t="s">
        <v>41</v>
      </c>
      <c r="E7088" s="3">
        <v>8608463</v>
      </c>
      <c r="Q7088" s="1" t="s">
        <v>42</v>
      </c>
      <c r="S7088" s="1" t="s">
        <v>42</v>
      </c>
      <c r="T7088" s="1" t="s">
        <v>273</v>
      </c>
      <c r="AA7088" s="1">
        <v>8608462.5</v>
      </c>
      <c r="AB7088" s="1" t="s">
        <v>5277</v>
      </c>
      <c r="AC7088" s="5">
        <v>44377</v>
      </c>
      <c r="AF7088" s="1">
        <v>10019</v>
      </c>
      <c r="AI7088" s="1" t="s">
        <v>101</v>
      </c>
      <c r="AJ7088" s="1">
        <v>2020</v>
      </c>
      <c r="AL7088" s="1">
        <v>179</v>
      </c>
    </row>
    <row r="7089" spans="1:38" x14ac:dyDescent="0.2">
      <c r="A7089" s="2" t="str">
        <f>HYPERLINK("https://www.compass.com/listing/217-west-57th-street-unit-57n-manhattan-ny-10019/831819016534666913/","217 W 57th St, Unit 57N")</f>
        <v>217 W 57th St, Unit 57N</v>
      </c>
      <c r="B7089" s="2" t="str">
        <f t="shared" si="1116"/>
        <v>Central Park Tower</v>
      </c>
      <c r="C7089" s="1" t="s">
        <v>139</v>
      </c>
      <c r="D7089" s="1" t="s">
        <v>41</v>
      </c>
      <c r="E7089" s="3">
        <v>8516820</v>
      </c>
      <c r="Q7089" s="1" t="s">
        <v>42</v>
      </c>
      <c r="S7089" s="1" t="s">
        <v>42</v>
      </c>
      <c r="T7089" s="1" t="s">
        <v>273</v>
      </c>
      <c r="AA7089" s="1">
        <v>8516820</v>
      </c>
      <c r="AB7089" s="1" t="s">
        <v>5278</v>
      </c>
      <c r="AC7089" s="5">
        <v>44378</v>
      </c>
      <c r="AF7089" s="1">
        <v>10019</v>
      </c>
      <c r="AI7089" s="1" t="s">
        <v>101</v>
      </c>
      <c r="AJ7089" s="1">
        <v>2020</v>
      </c>
      <c r="AL7089" s="1">
        <v>179</v>
      </c>
    </row>
    <row r="7090" spans="1:38" x14ac:dyDescent="0.2">
      <c r="A7090" s="2" t="str">
        <f>HYPERLINK("https://www.compass.com/listing/90-morton-street-unit-2c-manhattan-ny-10014/832343017564754169/","90 Morton St, Unit 2C")</f>
        <v>90 Morton St, Unit 2C</v>
      </c>
      <c r="B7090" s="2" t="str">
        <f>HYPERLINK("https://www.compass.com/building/90-morton-street-manhattan-ny/292834843018978005/","90 Morton Street")</f>
        <v>90 Morton Street</v>
      </c>
      <c r="C7090" s="1" t="s">
        <v>67</v>
      </c>
      <c r="D7090" s="1" t="s">
        <v>41</v>
      </c>
      <c r="E7090" s="3">
        <v>1272813</v>
      </c>
      <c r="F7090" s="1">
        <v>3023.3076009501101</v>
      </c>
      <c r="M7090" s="1">
        <v>421</v>
      </c>
      <c r="Q7090" s="1" t="s">
        <v>42</v>
      </c>
      <c r="S7090" s="1" t="s">
        <v>42</v>
      </c>
      <c r="T7090" s="1" t="s">
        <v>273</v>
      </c>
      <c r="AA7090" s="1">
        <v>1272812.5</v>
      </c>
      <c r="AB7090" s="1" t="s">
        <v>5279</v>
      </c>
      <c r="AC7090" s="5">
        <v>44391</v>
      </c>
      <c r="AF7090" s="1">
        <v>10014</v>
      </c>
      <c r="AI7090" s="1" t="s">
        <v>140</v>
      </c>
      <c r="AJ7090" s="1">
        <v>2018</v>
      </c>
      <c r="AK7090" s="1" t="s">
        <v>49</v>
      </c>
      <c r="AL7090" s="1">
        <v>35</v>
      </c>
    </row>
    <row r="7091" spans="1:38" x14ac:dyDescent="0.2">
      <c r="A7091" s="2" t="str">
        <f>HYPERLINK("https://www.compass.com/listing/15-west-61st-street-unit-11c-manhattan-ny-10023/835223541552526825/","15 W 61st St, Unit 11C")</f>
        <v>15 W 61st St, Unit 11C</v>
      </c>
      <c r="B7091" s="2" t="str">
        <f>HYPERLINK("https://www.compass.com/building/the-park-loggia-manhattan-ny/292861833130357557/","The Park Loggia")</f>
        <v>The Park Loggia</v>
      </c>
      <c r="C7091" s="1" t="s">
        <v>57</v>
      </c>
      <c r="D7091" s="1" t="s">
        <v>41</v>
      </c>
      <c r="E7091" s="3">
        <v>1800000</v>
      </c>
      <c r="F7091" s="1">
        <v>2403.2042723631498</v>
      </c>
      <c r="M7091" s="1">
        <v>749</v>
      </c>
      <c r="Q7091" s="1" t="s">
        <v>42</v>
      </c>
      <c r="S7091" s="1" t="s">
        <v>42</v>
      </c>
      <c r="T7091" s="1" t="s">
        <v>273</v>
      </c>
      <c r="AA7091" s="1">
        <v>1800000</v>
      </c>
      <c r="AB7091" s="1" t="s">
        <v>5280</v>
      </c>
      <c r="AC7091" s="5">
        <v>44371</v>
      </c>
      <c r="AF7091" s="1">
        <v>10023</v>
      </c>
      <c r="AI7091" s="1" t="s">
        <v>65</v>
      </c>
      <c r="AJ7091" s="1">
        <v>2019</v>
      </c>
      <c r="AK7091" s="1" t="s">
        <v>55</v>
      </c>
      <c r="AL7091" s="1">
        <v>172</v>
      </c>
    </row>
    <row r="7092" spans="1:38" x14ac:dyDescent="0.2">
      <c r="A7092" s="2" t="str">
        <f>HYPERLINK("https://www.compass.com/listing/160-leroy-street-unit-12as-manhattan-ny-10014/84439065881012769/","160 Leroy St, Unit 12AS")</f>
        <v>160 Leroy St, Unit 12AS</v>
      </c>
      <c r="B7092" s="2" t="str">
        <f>HYPERLINK("https://www.compass.com/building/160-leroy-st-manhattan-ny-10014/293418469918017093/","160 Leroy St")</f>
        <v>160 Leroy St</v>
      </c>
      <c r="C7092" s="1" t="s">
        <v>67</v>
      </c>
      <c r="D7092" s="1" t="s">
        <v>41</v>
      </c>
      <c r="E7092" s="3">
        <v>15500000</v>
      </c>
      <c r="F7092" s="1">
        <v>4070.3781512605001</v>
      </c>
      <c r="M7092" s="4">
        <v>3808</v>
      </c>
      <c r="Q7092" s="1" t="s">
        <v>42</v>
      </c>
      <c r="S7092" s="1" t="s">
        <v>42</v>
      </c>
      <c r="T7092" s="1" t="s">
        <v>273</v>
      </c>
      <c r="AA7092" s="1">
        <v>15500000</v>
      </c>
      <c r="AB7092" s="1" t="s">
        <v>5281</v>
      </c>
      <c r="AC7092" s="5">
        <v>43340</v>
      </c>
      <c r="AF7092" s="1">
        <v>10014</v>
      </c>
      <c r="AI7092" s="1" t="s">
        <v>65</v>
      </c>
      <c r="AJ7092" s="1">
        <v>2017</v>
      </c>
      <c r="AK7092" s="1" t="s">
        <v>202</v>
      </c>
      <c r="AL7092" s="1">
        <v>57</v>
      </c>
    </row>
    <row r="7093" spans="1:38" x14ac:dyDescent="0.2">
      <c r="A7093" s="2" t="str">
        <f>HYPERLINK("https://www.compass.com/listing/111-murray-street-unit-12c-manhattan-ny-10007/85152528139917921/","111 Murray St, Unit 12C")</f>
        <v>111 Murray St, Unit 12C</v>
      </c>
      <c r="B7093" s="2" t="str">
        <f>HYPERLINK("https://www.compass.com/building/111-murray-st-manhattan-ny-10007/281896511862746053/","111 Murray St")</f>
        <v>111 Murray St</v>
      </c>
      <c r="C7093" s="1" t="s">
        <v>50</v>
      </c>
      <c r="D7093" s="1" t="s">
        <v>41</v>
      </c>
      <c r="E7093" s="3">
        <v>1993224</v>
      </c>
      <c r="F7093" s="1">
        <v>2416.0295515151502</v>
      </c>
      <c r="M7093" s="1">
        <v>825</v>
      </c>
      <c r="Q7093" s="1" t="s">
        <v>42</v>
      </c>
      <c r="S7093" s="1" t="s">
        <v>42</v>
      </c>
      <c r="T7093" s="1" t="s">
        <v>273</v>
      </c>
      <c r="AA7093" s="1">
        <v>1993224.38</v>
      </c>
      <c r="AB7093" s="1" t="s">
        <v>5282</v>
      </c>
      <c r="AC7093" s="5">
        <v>43350</v>
      </c>
      <c r="AF7093" s="1">
        <v>10007</v>
      </c>
      <c r="AI7093" s="1" t="s">
        <v>80</v>
      </c>
      <c r="AJ7093" s="1">
        <v>2018</v>
      </c>
      <c r="AK7093" s="1" t="s">
        <v>49</v>
      </c>
      <c r="AL7093" s="1">
        <v>157</v>
      </c>
    </row>
    <row r="7094" spans="1:38" x14ac:dyDescent="0.2">
      <c r="A7094" s="2" t="str">
        <f>HYPERLINK("https://www.compass.com/listing/230-east-20th-street-unit-25-manhattan-ny-10003/87350117044133697/","230 E 20th St, Unit 25")</f>
        <v>230 E 20th St, Unit 25</v>
      </c>
      <c r="B7094" s="2" t="str">
        <f>HYPERLINK("https://www.compass.com/building/the-modern-at-gramercy-square-manhattan-ny/282059330264532517/","The Modern at Gramercy Square")</f>
        <v>The Modern at Gramercy Square</v>
      </c>
      <c r="C7094" s="1" t="s">
        <v>64</v>
      </c>
      <c r="D7094" s="1" t="s">
        <v>41</v>
      </c>
      <c r="E7094" s="3">
        <v>1427101</v>
      </c>
      <c r="F7094" s="1">
        <v>1954.9322602739701</v>
      </c>
      <c r="M7094" s="1">
        <v>730</v>
      </c>
      <c r="Q7094" s="1" t="s">
        <v>42</v>
      </c>
      <c r="S7094" s="1" t="s">
        <v>42</v>
      </c>
      <c r="T7094" s="1" t="s">
        <v>273</v>
      </c>
      <c r="AA7094" s="1">
        <v>1427100.55</v>
      </c>
      <c r="AB7094" s="1" t="s">
        <v>5283</v>
      </c>
      <c r="AC7094" s="5">
        <v>43363</v>
      </c>
      <c r="AF7094" s="1">
        <v>10003</v>
      </c>
      <c r="AI7094" s="1" t="s">
        <v>65</v>
      </c>
      <c r="AJ7094" s="1">
        <v>2016</v>
      </c>
      <c r="AK7094" s="1" t="s">
        <v>49</v>
      </c>
      <c r="AL7094" s="1">
        <v>37</v>
      </c>
    </row>
    <row r="7095" spans="1:38" x14ac:dyDescent="0.2">
      <c r="A7095" s="2" t="str">
        <f>HYPERLINK("https://www.compass.com/listing/111-murray-street-unit-11w-manhattan-ny-10007/89504669939809345/","111 Murray St, Unit 11W")</f>
        <v>111 Murray St, Unit 11W</v>
      </c>
      <c r="B7095" s="2" t="str">
        <f t="shared" ref="B7095:B7099" si="1117">HYPERLINK("https://www.compass.com/building/111-murray-st-manhattan-ny-10007/281896511862746053/","111 Murray St")</f>
        <v>111 Murray St</v>
      </c>
      <c r="C7095" s="1" t="s">
        <v>50</v>
      </c>
      <c r="D7095" s="1" t="s">
        <v>41</v>
      </c>
      <c r="E7095" s="3">
        <v>6084044</v>
      </c>
      <c r="F7095" s="1">
        <v>2744.2687189896201</v>
      </c>
      <c r="M7095" s="4">
        <v>2217</v>
      </c>
      <c r="Q7095" s="1" t="s">
        <v>42</v>
      </c>
      <c r="S7095" s="1" t="s">
        <v>42</v>
      </c>
      <c r="T7095" s="1" t="s">
        <v>273</v>
      </c>
      <c r="AA7095" s="1">
        <v>6084043.75</v>
      </c>
      <c r="AB7095" s="1" t="s">
        <v>5284</v>
      </c>
      <c r="AC7095" s="5">
        <v>43360</v>
      </c>
      <c r="AF7095" s="1">
        <v>10007</v>
      </c>
      <c r="AI7095" s="1" t="s">
        <v>80</v>
      </c>
      <c r="AJ7095" s="1">
        <v>2018</v>
      </c>
      <c r="AK7095" s="1" t="s">
        <v>49</v>
      </c>
      <c r="AL7095" s="1">
        <v>157</v>
      </c>
    </row>
    <row r="7096" spans="1:38" x14ac:dyDescent="0.2">
      <c r="A7096" s="2" t="str">
        <f>HYPERLINK("https://www.compass.com/listing/111-murray-street-unit-16w-manhattan-ny-10007/89504672020184177/","111 Murray St, Unit 16W")</f>
        <v>111 Murray St, Unit 16W</v>
      </c>
      <c r="B7096" s="2" t="str">
        <f t="shared" si="1117"/>
        <v>111 Murray St</v>
      </c>
      <c r="C7096" s="1" t="s">
        <v>50</v>
      </c>
      <c r="D7096" s="1" t="s">
        <v>41</v>
      </c>
      <c r="E7096" s="3">
        <v>7250000</v>
      </c>
      <c r="F7096" s="1">
        <v>2700.1862197392902</v>
      </c>
      <c r="M7096" s="4">
        <v>2685</v>
      </c>
      <c r="Q7096" s="1" t="s">
        <v>42</v>
      </c>
      <c r="S7096" s="1" t="s">
        <v>42</v>
      </c>
      <c r="T7096" s="1" t="s">
        <v>273</v>
      </c>
      <c r="AA7096" s="1">
        <v>7250000</v>
      </c>
      <c r="AB7096" s="1" t="s">
        <v>5285</v>
      </c>
      <c r="AC7096" s="5">
        <v>43369</v>
      </c>
      <c r="AF7096" s="1">
        <v>10007</v>
      </c>
      <c r="AI7096" s="1" t="s">
        <v>80</v>
      </c>
      <c r="AJ7096" s="1">
        <v>2018</v>
      </c>
      <c r="AK7096" s="1" t="s">
        <v>49</v>
      </c>
      <c r="AL7096" s="1">
        <v>157</v>
      </c>
    </row>
    <row r="7097" spans="1:38" x14ac:dyDescent="0.2">
      <c r="A7097" s="2" t="str">
        <f>HYPERLINK("https://www.compass.com/listing/111-murray-street-unit-24b-manhattan-ny-10007/90951181379136977/","111 Murray St, Unit 24B")</f>
        <v>111 Murray St, Unit 24B</v>
      </c>
      <c r="B7097" s="2" t="str">
        <f t="shared" si="1117"/>
        <v>111 Murray St</v>
      </c>
      <c r="C7097" s="1" t="s">
        <v>50</v>
      </c>
      <c r="D7097" s="1" t="s">
        <v>41</v>
      </c>
      <c r="E7097" s="3">
        <v>4480300</v>
      </c>
      <c r="F7097" s="1">
        <v>2833.8393421884798</v>
      </c>
      <c r="M7097" s="4">
        <v>1581</v>
      </c>
      <c r="Q7097" s="1" t="s">
        <v>42</v>
      </c>
      <c r="S7097" s="1" t="s">
        <v>42</v>
      </c>
      <c r="T7097" s="1" t="s">
        <v>273</v>
      </c>
      <c r="AA7097" s="1">
        <v>4480300</v>
      </c>
      <c r="AB7097" s="1" t="s">
        <v>5286</v>
      </c>
      <c r="AC7097" s="5">
        <v>43364</v>
      </c>
      <c r="AF7097" s="1">
        <v>10007</v>
      </c>
      <c r="AI7097" s="1" t="s">
        <v>80</v>
      </c>
      <c r="AJ7097" s="1">
        <v>2018</v>
      </c>
      <c r="AK7097" s="1" t="s">
        <v>49</v>
      </c>
      <c r="AL7097" s="1">
        <v>157</v>
      </c>
    </row>
    <row r="7098" spans="1:38" x14ac:dyDescent="0.2">
      <c r="A7098" s="2" t="str">
        <f>HYPERLINK("https://www.compass.com/listing/111-murray-street-unit-14d-manhattan-ny-10007/95301191205952113/","111 Murray St, Unit 14D")</f>
        <v>111 Murray St, Unit 14D</v>
      </c>
      <c r="B7098" s="2" t="str">
        <f t="shared" si="1117"/>
        <v>111 Murray St</v>
      </c>
      <c r="C7098" s="1" t="s">
        <v>50</v>
      </c>
      <c r="D7098" s="1" t="s">
        <v>41</v>
      </c>
      <c r="E7098" s="3">
        <v>1466280</v>
      </c>
      <c r="F7098" s="1">
        <v>1926.78055190538</v>
      </c>
      <c r="M7098" s="1">
        <v>761</v>
      </c>
      <c r="Q7098" s="1" t="s">
        <v>42</v>
      </c>
      <c r="S7098" s="1" t="s">
        <v>42</v>
      </c>
      <c r="T7098" s="1" t="s">
        <v>273</v>
      </c>
      <c r="AA7098" s="1">
        <v>1466280</v>
      </c>
      <c r="AB7098" s="1" t="s">
        <v>5287</v>
      </c>
      <c r="AC7098" s="5">
        <v>43360</v>
      </c>
      <c r="AF7098" s="1">
        <v>10007</v>
      </c>
      <c r="AI7098" s="1" t="s">
        <v>80</v>
      </c>
      <c r="AJ7098" s="1">
        <v>2018</v>
      </c>
      <c r="AK7098" s="1" t="s">
        <v>49</v>
      </c>
      <c r="AL7098" s="1">
        <v>157</v>
      </c>
    </row>
    <row r="7099" spans="1:38" x14ac:dyDescent="0.2">
      <c r="A7099" s="2" t="str">
        <f>HYPERLINK("https://www.compass.com/listing/111-murray-street-unit-18b-manhattan-ny-10007/96750516377282865/","111 Murray St, Unit 18B")</f>
        <v>111 Murray St, Unit 18B</v>
      </c>
      <c r="B7099" s="2" t="str">
        <f t="shared" si="1117"/>
        <v>111 Murray St</v>
      </c>
      <c r="C7099" s="1" t="s">
        <v>50</v>
      </c>
      <c r="D7099" s="1" t="s">
        <v>41</v>
      </c>
      <c r="E7099" s="3">
        <v>3869350</v>
      </c>
      <c r="F7099" s="1">
        <v>2447.40670461733</v>
      </c>
      <c r="M7099" s="4">
        <v>1581</v>
      </c>
      <c r="Q7099" s="1" t="s">
        <v>42</v>
      </c>
      <c r="S7099" s="1" t="s">
        <v>42</v>
      </c>
      <c r="T7099" s="1" t="s">
        <v>273</v>
      </c>
      <c r="AA7099" s="1">
        <v>3869350</v>
      </c>
      <c r="AB7099" s="1" t="s">
        <v>5288</v>
      </c>
      <c r="AC7099" s="5">
        <v>43356</v>
      </c>
      <c r="AF7099" s="1">
        <v>10007</v>
      </c>
      <c r="AI7099" s="1" t="s">
        <v>80</v>
      </c>
      <c r="AJ7099" s="1">
        <v>2018</v>
      </c>
      <c r="AK7099" s="1" t="s">
        <v>49</v>
      </c>
      <c r="AL7099" s="1">
        <v>157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report generated at 0709pm on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freddy</cp:lastModifiedBy>
  <dcterms:modified xsi:type="dcterms:W3CDTF">2021-08-19T11:50:56Z</dcterms:modified>
</cp:coreProperties>
</file>